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_rels/sheet2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27.xml" ContentType="application/vnd.openxmlformats-officedocument.drawingml.chart+xml"/>
  <Override PartName="/xl/charts/chart15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안내" sheetId="1" state="visible" r:id="rId3"/>
    <sheet name="수출입 총괄" sheetId="2" state="visible" r:id="rId4"/>
    <sheet name="수출입 실적(품목별)" sheetId="3" state="visible" r:id="rId5"/>
    <sheet name="수출입 실적(성질별_수출)" sheetId="4" state="visible" r:id="rId6"/>
    <sheet name="수출입 실적(성질별_수입)" sheetId="5" state="visible" r:id="rId7"/>
    <sheet name="수출입 실적(신성질별)" sheetId="6" state="visible" r:id="rId8"/>
    <sheet name="데이터_총괄" sheetId="7" state="visible" r:id="rId9"/>
    <sheet name="데이터_품목별" sheetId="8" state="visible" r:id="rId10"/>
    <sheet name="데이터_성질별수출" sheetId="9" state="visible" r:id="rId11"/>
    <sheet name="데이터_성질별수입" sheetId="10" state="visible" r:id="rId12"/>
    <sheet name="데이터_신성질별" sheetId="11" state="visible" r:id="rId13"/>
    <sheet name="분석1_정합성검증" sheetId="12" state="visible" r:id="rId14"/>
    <sheet name="분석2_월별추이" sheetId="13" state="visible" r:id="rId15"/>
    <sheet name="분석3_MoM·QoQ·YoY" sheetId="14" state="visible" r:id="rId16"/>
    <sheet name="분석4_연도별계절비교" sheetId="15" state="visible" r:id="rId17"/>
    <sheet name="분석4B_월별매트릭스" sheetId="16" state="visible" r:id="rId18"/>
    <sheet name="분석5_반도체vs비반도체" sheetId="17" state="visible" r:id="rId19"/>
    <sheet name="분석6_HS부문별" sheetId="18" state="visible" r:id="rId20"/>
    <sheet name="분석7_HS류별상세" sheetId="19" state="visible" r:id="rId21"/>
    <sheet name="분석8_성질별심층" sheetId="20" state="visible" r:id="rId22"/>
    <sheet name="분석9_물량·가격분해" sheetId="21" state="visible" r:id="rId23"/>
    <sheet name="분석10_그래프_연도오버레이" sheetId="22" state="visible" r:id="rId24"/>
    <sheet name="분석11_그래프_구조분석" sheetId="23" state="visible" r:id="rId25"/>
    <sheet name="분석12_해설" sheetId="24" state="visible" r:id="rId26"/>
    <sheet name="분석13_월별변화요약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<sst xmlns="http://schemas.openxmlformats.org/spreadsheetml/2006/main" count="36544" uniqueCount="20292">
  <si>
    <t xml:space="preserve">수출입 실적 통합 분석 (2024.01 ~ 2026.07, 31개월) — 월별 분해판</t>
  </si>
  <si>
    <t xml:space="preserve">업로드하신 5개 원본 파일을 한 파일로 모으고, 원본은 수정하지 않은 채 분석 시트를 추가했습니다. 모든 증감 분석은 1~7월 누계가 아니라 각 달을 전년 동월과 비교하는 방식입니다.</t>
  </si>
  <si>
    <t xml:space="preserve">시트 구성</t>
  </si>
  <si>
    <t xml:space="preserve">시트</t>
  </si>
  <si>
    <t xml:space="preserve">내용</t>
  </si>
  <si>
    <t xml:space="preserve">비고</t>
  </si>
  <si>
    <t xml:space="preserve">수출입 총괄 외 4개</t>
  </si>
  <si>
    <t xml:space="preserve">원본 5개 시트 (총괄·품목별·성질별 수출·성질별 수입·신성질별)</t>
  </si>
  <si>
    <t xml:space="preserve">원본 · 수정 없음</t>
  </si>
  <si>
    <t xml:space="preserve">데이터_○○ 5개</t>
  </si>
  <si>
    <t xml:space="preserve">텍스트 숫자를 VALUE 수식으로 숫자화 + 연도·월·분기 파생</t>
  </si>
  <si>
    <t xml:space="preserve">전부 수식 · 직접 입력 금지</t>
  </si>
  <si>
    <t xml:space="preserve">분석1_정합성검증</t>
  </si>
  <si>
    <t xml:space="preserve">총계 vs 합계, 시트 간 교차, 월별 항등식 검증</t>
  </si>
  <si>
    <t xml:space="preserve">분석2_월별추이</t>
  </si>
  <si>
    <r>
      <rPr>
        <sz val="10"/>
        <color rgb="FF000000"/>
        <rFont val="맑은 고딕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개월 추이 </t>
    </r>
    <r>
      <rPr>
        <sz val="10"/>
        <color rgb="FF000000"/>
        <rFont val="맑은 고딕"/>
        <family val="0"/>
        <charset val="1"/>
      </rPr>
      <t xml:space="preserve">· MoM · YoY · </t>
    </r>
    <r>
      <rPr>
        <sz val="10"/>
        <color rgb="FF000000"/>
        <rFont val="WenQuanYi Zen Hei"/>
        <family val="2"/>
      </rPr>
      <t xml:space="preserve">일평균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단가 </t>
    </r>
    <r>
      <rPr>
        <sz val="10"/>
        <color rgb="FF000000"/>
        <rFont val="맑은 고딕"/>
        <family val="0"/>
        <charset val="1"/>
      </rPr>
      <t xml:space="preserve">· 12</t>
    </r>
    <r>
      <rPr>
        <sz val="10"/>
        <color rgb="FF000000"/>
        <rFont val="WenQuanYi Zen Hei"/>
        <family val="2"/>
      </rPr>
      <t xml:space="preserve">개월 이동합</t>
    </r>
  </si>
  <si>
    <t xml:space="preserve">분석3_MoM·QoQ·YoY</t>
  </si>
  <si>
    <t xml:space="preserve">월별 MoM/YoY, 분기별 QoQ/YoY, 연도별 비교</t>
  </si>
  <si>
    <t xml:space="preserve">분석4_연도별계절비교</t>
  </si>
  <si>
    <r>
      <rPr>
        <sz val="10"/>
        <color rgb="FF000000"/>
        <rFont val="맑은 고딕"/>
        <family val="0"/>
        <charset val="1"/>
      </rPr>
      <t xml:space="preserve">1~12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× 2024/2025/2026 </t>
    </r>
    <r>
      <rPr>
        <sz val="10"/>
        <color rgb="FF000000"/>
        <rFont val="WenQuanYi Zen Hei"/>
        <family val="2"/>
      </rPr>
      <t xml:space="preserve">매트릭스 </t>
    </r>
    <r>
      <rPr>
        <sz val="10"/>
        <color rgb="FF000000"/>
        <rFont val="맑은 고딕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종</t>
    </r>
  </si>
  <si>
    <t xml:space="preserve">오버레이 그래프 원본</t>
  </si>
  <si>
    <t xml:space="preserve">분석4B_월별매트릭스</t>
  </si>
  <si>
    <r>
      <rPr>
        <sz val="10"/>
        <color rgb="FF000000"/>
        <rFont val="맑은 고딕"/>
        <family val="0"/>
        <charset val="1"/>
      </rPr>
      <t xml:space="preserve">HS 97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성질별 전 항목의 </t>
    </r>
    <r>
      <rPr>
        <sz val="10"/>
        <color rgb="FF000000"/>
        <rFont val="맑은 고딕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개월 월별 값</t>
    </r>
  </si>
  <si>
    <t xml:space="preserve">★ 월별 분석의 원천</t>
  </si>
  <si>
    <t xml:space="preserve">분석5_반도체vs비반도체</t>
  </si>
  <si>
    <t xml:space="preserve">월별 금액·YoY·기여도·우위 판정 (정의 3종)</t>
  </si>
  <si>
    <t xml:space="preserve">★ 월별 분해</t>
  </si>
  <si>
    <t xml:space="preserve">분석6_HS부문별</t>
  </si>
  <si>
    <r>
      <rPr>
        <sz val="10"/>
        <color rgb="FF000000"/>
        <rFont val="맑은 고딕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개 부문의 월별 </t>
    </r>
    <r>
      <rPr>
        <sz val="10"/>
        <color rgb="FF000000"/>
        <rFont val="맑은 고딕"/>
        <family val="0"/>
        <charset val="1"/>
      </rPr>
      <t xml:space="preserve">YoY·</t>
    </r>
    <r>
      <rPr>
        <sz val="10"/>
        <color rgb="FF000000"/>
        <rFont val="WenQuanYi Zen Hei"/>
        <family val="2"/>
      </rPr>
      <t xml:space="preserve">월별 증감액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구성 류</t>
    </r>
  </si>
  <si>
    <t xml:space="preserve">분석7_HS류별상세</t>
  </si>
  <si>
    <r>
      <rPr>
        <sz val="10"/>
        <color rgb="FF000000"/>
        <rFont val="맑은 고딕"/>
        <family val="0"/>
        <charset val="1"/>
      </rPr>
      <t xml:space="preserve">97</t>
    </r>
    <r>
      <rPr>
        <sz val="10"/>
        <color rgb="FF000000"/>
        <rFont val="WenQuanYi Zen Hei"/>
        <family val="2"/>
      </rPr>
      <t xml:space="preserve">개 류의 월별 </t>
    </r>
    <r>
      <rPr>
        <sz val="10"/>
        <color rgb="FF000000"/>
        <rFont val="맑은 고딕"/>
        <family val="0"/>
        <charset val="1"/>
      </rPr>
      <t xml:space="preserve">YoY 7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월별 증감액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자동 해석</t>
    </r>
  </si>
  <si>
    <t xml:space="preserve">분석8_성질별심층</t>
  </si>
  <si>
    <t xml:space="preserve">성질별 수출·수입, 신성질별의 월별 YoY</t>
  </si>
  <si>
    <t xml:space="preserve">분석9_물량·가격분해</t>
  </si>
  <si>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개 달을 각각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효과로 분해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피셔 지수</t>
    </r>
  </si>
  <si>
    <t xml:space="preserve">분석10_그래프_연도오버레이</t>
  </si>
  <si>
    <r>
      <rPr>
        <sz val="10"/>
        <color rgb="FF000000"/>
        <rFont val="맑은 고딕"/>
        <family val="0"/>
        <charset val="1"/>
      </rPr>
      <t xml:space="preserve">1~12</t>
    </r>
    <r>
      <rPr>
        <sz val="10"/>
        <color rgb="FF000000"/>
        <rFont val="WenQuanYi Zen Hei"/>
        <family val="2"/>
      </rPr>
      <t xml:space="preserve">월 축에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연도를 겹친 그래프 </t>
    </r>
    <r>
      <rPr>
        <sz val="10"/>
        <color rgb="FF000000"/>
        <rFont val="맑은 고딕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종</t>
    </r>
  </si>
  <si>
    <t xml:space="preserve">분석11_그래프_구조분석</t>
  </si>
  <si>
    <t xml:space="preserve">월별 증감액 분해·반도체·부문·분기 그래프 10종</t>
  </si>
  <si>
    <t xml:space="preserve">분석12_해설</t>
  </si>
  <si>
    <t xml:space="preserve">월별로 본 해석 · 사용법 · 한계</t>
  </si>
  <si>
    <t xml:space="preserve">먼저 읽으시면 좋습니다</t>
  </si>
  <si>
    <t xml:space="preserve">분석13_월별변화요약</t>
  </si>
  <si>
    <t xml:space="preserve">한 행이 한 달 — 그 달의 증감 주도 품목 상위 3개와 몫</t>
  </si>
  <si>
    <t xml:space="preserve">★ 신규</t>
  </si>
  <si>
    <t xml:space="preserve">이번 판에서 달라진 점</t>
  </si>
  <si>
    <t xml:space="preserve">① 모든 증감 분석을 1~7월 누계에서 월별 비교로 전환 (분석5·6·7·8·9)</t>
  </si>
  <si>
    <t xml:space="preserve">② 분석4B_월별매트릭스 신설 — HS 97류·21개 부문·성질별 전 항목의 31개월 값을 한 곳에 계산</t>
  </si>
  <si>
    <t xml:space="preserve">③ 분석13_월별변화요약 신설 — 한 행이 한 달, 그 달의 증가·감소 상위 3개 품목과 반도체/비반도체 몫</t>
  </si>
  <si>
    <t xml:space="preserve">④ 분석7에 2026년 7개월의 월별 YoY·월별 증감액 열 추가, 해석 문장에 "몇 개월 증가·최대/최소는 몇 월" 자동 반영</t>
  </si>
  <si>
    <t xml:space="preserve">⑤ 분석9를 19개 달 각각의 3효과 분해로 전환, 분석11에 월별 증감액 분해 그래프 추가</t>
  </si>
  <si>
    <t xml:space="preserve">⑥ 누계 수치는 삭제하지 않고 각 시트 뒤쪽에 참고용으로 유지</t>
  </si>
  <si>
    <t xml:space="preserve">※ 모든 분석 셀은 원본을 참조하는 수식입니다. 원본에 다음 달 데이터를 추가하고 정제 시트·분석4B의 범위를 늘리면 분석 전체가 갱신됩니다.</t>
  </si>
  <si>
    <t xml:space="preserve">수출입 총괄</t>
  </si>
  <si>
    <t xml:space="preserve">검색조건  조회기간: 202401  ~ 202607 , 통계기준: 수리일, 중량단위: 톤</t>
  </si>
  <si>
    <t xml:space="preserve">단위:건, 톤(TON), 천 달러</t>
  </si>
  <si>
    <t xml:space="preserve">기간</t>
  </si>
  <si>
    <t xml:space="preserve">조업일수</t>
  </si>
  <si>
    <t xml:space="preserve">수출 건수</t>
  </si>
  <si>
    <t xml:space="preserve">수출 중량</t>
  </si>
  <si>
    <t xml:space="preserve">수출 금액</t>
  </si>
  <si>
    <t xml:space="preserve">수입 건수</t>
  </si>
  <si>
    <t xml:space="preserve">수입중량</t>
  </si>
  <si>
    <t xml:space="preserve">수입금액</t>
  </si>
  <si>
    <t xml:space="preserve">무역수지</t>
  </si>
  <si>
    <t xml:space="preserve">총계</t>
  </si>
  <si>
    <t xml:space="preserve">         695.5</t>
  </si>
  <si>
    <t xml:space="preserve">          34,342,880</t>
  </si>
  <si>
    <t xml:space="preserve">         505,655,916.9</t>
  </si>
  <si>
    <t xml:space="preserve">       1,988,002,368</t>
  </si>
  <si>
    <t xml:space="preserve">         141,143,449</t>
  </si>
  <si>
    <t xml:space="preserve">       1,414,626,020.9</t>
  </si>
  <si>
    <t xml:space="preserve">       1,690,965,721</t>
  </si>
  <si>
    <t xml:space="preserve">         297,036,647</t>
  </si>
  <si>
    <t xml:space="preserve">2024.01</t>
  </si>
  <si>
    <t xml:space="preserve">          24.0</t>
  </si>
  <si>
    <t xml:space="preserve">           1,035,551</t>
  </si>
  <si>
    <t xml:space="preserve">          17,105,790.7</t>
  </si>
  <si>
    <t xml:space="preserve">          54,709,823</t>
  </si>
  <si>
    <t xml:space="preserve">           4,276,442</t>
  </si>
  <si>
    <t xml:space="preserve">          51,377,769.3</t>
  </si>
  <si>
    <t xml:space="preserve">          54,474,611</t>
  </si>
  <si>
    <t xml:space="preserve">             235,213</t>
  </si>
  <si>
    <t xml:space="preserve">2024.02</t>
  </si>
  <si>
    <t xml:space="preserve">          20.5</t>
  </si>
  <si>
    <t xml:space="preserve">             906,528</t>
  </si>
  <si>
    <t xml:space="preserve">          15,678,985.8</t>
  </si>
  <si>
    <t xml:space="preserve">          52,076,390</t>
  </si>
  <si>
    <t xml:space="preserve">           3,659,530</t>
  </si>
  <si>
    <t xml:space="preserve">          45,689,883.8</t>
  </si>
  <si>
    <t xml:space="preserve">          48,221,860</t>
  </si>
  <si>
    <t xml:space="preserve">           3,854,529</t>
  </si>
  <si>
    <t xml:space="preserve">2024.03</t>
  </si>
  <si>
    <t xml:space="preserve">          22.5</t>
  </si>
  <si>
    <t xml:space="preserve">           1,018,882</t>
  </si>
  <si>
    <t xml:space="preserve">          16,805,631.5</t>
  </si>
  <si>
    <t xml:space="preserve">          56,518,309</t>
  </si>
  <si>
    <t xml:space="preserve">           4,614,926</t>
  </si>
  <si>
    <t xml:space="preserve">          44,316,660.0</t>
  </si>
  <si>
    <t xml:space="preserve">          52,112,905</t>
  </si>
  <si>
    <t xml:space="preserve">           4,405,404</t>
  </si>
  <si>
    <t xml:space="preserve">2024.04</t>
  </si>
  <si>
    <t xml:space="preserve">          23.0</t>
  </si>
  <si>
    <t xml:space="preserve">           1,012,749</t>
  </si>
  <si>
    <t xml:space="preserve">          16,491,489.3</t>
  </si>
  <si>
    <t xml:space="preserve">          56,148,299</t>
  </si>
  <si>
    <t xml:space="preserve">           4,396,142</t>
  </si>
  <si>
    <t xml:space="preserve">          47,615,984.8</t>
  </si>
  <si>
    <t xml:space="preserve">          54,821,181</t>
  </si>
  <si>
    <t xml:space="preserve">           1,327,118</t>
  </si>
  <si>
    <t xml:space="preserve">2024.05</t>
  </si>
  <si>
    <t xml:space="preserve">          22.0</t>
  </si>
  <si>
    <t xml:space="preserve">           1,038,452</t>
  </si>
  <si>
    <t xml:space="preserve">          16,793,798.4</t>
  </si>
  <si>
    <t xml:space="preserve">          58,020,557</t>
  </si>
  <si>
    <t xml:space="preserve">           4,430,186</t>
  </si>
  <si>
    <t xml:space="preserve">          45,880,287.0</t>
  </si>
  <si>
    <t xml:space="preserve">          53,132,937</t>
  </si>
  <si>
    <t xml:space="preserve">           4,887,620</t>
  </si>
  <si>
    <t xml:space="preserve">2024.06</t>
  </si>
  <si>
    <t xml:space="preserve">          21.5</t>
  </si>
  <si>
    <t xml:space="preserve">           1,015,654</t>
  </si>
  <si>
    <t xml:space="preserve">          14,641,434.6</t>
  </si>
  <si>
    <t xml:space="preserve">          57,341,634</t>
  </si>
  <si>
    <t xml:space="preserve">           4,008,321</t>
  </si>
  <si>
    <t xml:space="preserve">          42,701,364.6</t>
  </si>
  <si>
    <t xml:space="preserve">          49,090,193</t>
  </si>
  <si>
    <t xml:space="preserve">           8,251,441</t>
  </si>
  <si>
    <t xml:space="preserve">2024.07</t>
  </si>
  <si>
    <t xml:space="preserve">          25.0</t>
  </si>
  <si>
    <t xml:space="preserve">           1,111,979</t>
  </si>
  <si>
    <t xml:space="preserve">          16,697,113.3</t>
  </si>
  <si>
    <t xml:space="preserve">          57,458,788</t>
  </si>
  <si>
    <t xml:space="preserve">           4,361,845</t>
  </si>
  <si>
    <t xml:space="preserve">          45,267,798.7</t>
  </si>
  <si>
    <t xml:space="preserve">          53,838,742</t>
  </si>
  <si>
    <t xml:space="preserve">           3,620,046</t>
  </si>
  <si>
    <t xml:space="preserve">2024.08</t>
  </si>
  <si>
    <t xml:space="preserve">          23.5</t>
  </si>
  <si>
    <t xml:space="preserve">             971,248</t>
  </si>
  <si>
    <t xml:space="preserve">          17,070,040.9</t>
  </si>
  <si>
    <t xml:space="preserve">          57,642,924</t>
  </si>
  <si>
    <t xml:space="preserve">           4,219,404</t>
  </si>
  <si>
    <t xml:space="preserve">          49,665,340.4</t>
  </si>
  <si>
    <t xml:space="preserve">          54,054,894</t>
  </si>
  <si>
    <t xml:space="preserve">           3,588,030</t>
  </si>
  <si>
    <t xml:space="preserve">2024.09</t>
  </si>
  <si>
    <t xml:space="preserve">          20.0</t>
  </si>
  <si>
    <t xml:space="preserve">           1,151,289</t>
  </si>
  <si>
    <t xml:space="preserve">          16,449,775.4</t>
  </si>
  <si>
    <t xml:space="preserve">          58,544,693</t>
  </si>
  <si>
    <t xml:space="preserve">           4,244,016</t>
  </si>
  <si>
    <t xml:space="preserve">          44,145,421.6</t>
  </si>
  <si>
    <t xml:space="preserve">          52,102,925</t>
  </si>
  <si>
    <t xml:space="preserve">           6,441,768</t>
  </si>
  <si>
    <t xml:space="preserve">2024.10</t>
  </si>
  <si>
    <t xml:space="preserve">           1,020,830</t>
  </si>
  <si>
    <t xml:space="preserve">          15,994,863.5</t>
  </si>
  <si>
    <t xml:space="preserve">          57,500,192</t>
  </si>
  <si>
    <t xml:space="preserve">           4,672,638</t>
  </si>
  <si>
    <t xml:space="preserve">          47,452,574.1</t>
  </si>
  <si>
    <t xml:space="preserve">          54,331,589</t>
  </si>
  <si>
    <t xml:space="preserve">           3,168,604</t>
  </si>
  <si>
    <t xml:space="preserve">2024.11</t>
  </si>
  <si>
    <t xml:space="preserve">           1,221,469</t>
  </si>
  <si>
    <t xml:space="preserve">          15,893,956.0</t>
  </si>
  <si>
    <t xml:space="preserve">          56,288,629</t>
  </si>
  <si>
    <t xml:space="preserve">           4,595,519</t>
  </si>
  <si>
    <t xml:space="preserve">          44,116,294.6</t>
  </si>
  <si>
    <t xml:space="preserve">          50,718,992</t>
  </si>
  <si>
    <t xml:space="preserve">           5,569,637</t>
  </si>
  <si>
    <t xml:space="preserve">2024.12</t>
  </si>
  <si>
    <t xml:space="preserve">           1,135,404</t>
  </si>
  <si>
    <t xml:space="preserve">          17,620,291.4</t>
  </si>
  <si>
    <t xml:space="preserve">          61,359,250</t>
  </si>
  <si>
    <t xml:space="preserve">           4,668,507</t>
  </si>
  <si>
    <t xml:space="preserve">          48,014,998.4</t>
  </si>
  <si>
    <t xml:space="preserve">          54,866,380</t>
  </si>
  <si>
    <t xml:space="preserve">           6,492,870</t>
  </si>
  <si>
    <t xml:space="preserve">2025.01</t>
  </si>
  <si>
    <t xml:space="preserve">             924,441</t>
  </si>
  <si>
    <t xml:space="preserve">          14,986,301.7</t>
  </si>
  <si>
    <t xml:space="preserve">          49,176,984</t>
  </si>
  <si>
    <t xml:space="preserve">           3,847,092</t>
  </si>
  <si>
    <t xml:space="preserve">          47,927,337.6</t>
  </si>
  <si>
    <t xml:space="preserve">          51,172,292</t>
  </si>
  <si>
    <t xml:space="preserve">          -1,995,308</t>
  </si>
  <si>
    <t xml:space="preserve">2025.02</t>
  </si>
  <si>
    <t xml:space="preserve">           1,014,431</t>
  </si>
  <si>
    <t xml:space="preserve">          16,151,895.1</t>
  </si>
  <si>
    <t xml:space="preserve">          52,292,301</t>
  </si>
  <si>
    <t xml:space="preserve">           3,982,365</t>
  </si>
  <si>
    <t xml:space="preserve">          41,535,200.5</t>
  </si>
  <si>
    <t xml:space="preserve">          48,328,741</t>
  </si>
  <si>
    <t xml:space="preserve">           3,963,560</t>
  </si>
  <si>
    <t xml:space="preserve">2025.03</t>
  </si>
  <si>
    <t xml:space="preserve">           1,236,266</t>
  </si>
  <si>
    <t xml:space="preserve">          15,702,059.6</t>
  </si>
  <si>
    <t xml:space="preserve">          58,064,562</t>
  </si>
  <si>
    <t xml:space="preserve">           4,558,238</t>
  </si>
  <si>
    <t xml:space="preserve">          41,960,252.6</t>
  </si>
  <si>
    <t xml:space="preserve">          53,341,032</t>
  </si>
  <si>
    <t xml:space="preserve">           4,723,530</t>
  </si>
  <si>
    <t xml:space="preserve">2025.04</t>
  </si>
  <si>
    <t xml:space="preserve">           1,088,160</t>
  </si>
  <si>
    <t xml:space="preserve">          17,527,804.9</t>
  </si>
  <si>
    <t xml:space="preserve">          58,035,745</t>
  </si>
  <si>
    <t xml:space="preserve">           4,601,632</t>
  </si>
  <si>
    <t xml:space="preserve">          45,256,630.0</t>
  </si>
  <si>
    <t xml:space="preserve">          53,232,716</t>
  </si>
  <si>
    <t xml:space="preserve">           4,803,029</t>
  </si>
  <si>
    <t xml:space="preserve">2025.05</t>
  </si>
  <si>
    <t xml:space="preserve">           1,034,785</t>
  </si>
  <si>
    <t xml:space="preserve">          16,573,462.9</t>
  </si>
  <si>
    <t xml:space="preserve">          57,261,063</t>
  </si>
  <si>
    <t xml:space="preserve">           4,586,252</t>
  </si>
  <si>
    <t xml:space="preserve">          43,030,473.8</t>
  </si>
  <si>
    <t xml:space="preserve">          50,345,116</t>
  </si>
  <si>
    <t xml:space="preserve">           6,915,946</t>
  </si>
  <si>
    <t xml:space="preserve">2025.06</t>
  </si>
  <si>
    <t xml:space="preserve">          21.0</t>
  </si>
  <si>
    <t xml:space="preserve">           1,328,545</t>
  </si>
  <si>
    <t xml:space="preserve">          16,221,157.0</t>
  </si>
  <si>
    <t xml:space="preserve">          59,833,797</t>
  </si>
  <si>
    <t xml:space="preserve">           4,272,361</t>
  </si>
  <si>
    <t xml:space="preserve">          42,728,885.3</t>
  </si>
  <si>
    <t xml:space="preserve">          50,825,746</t>
  </si>
  <si>
    <t xml:space="preserve">           9,008,051</t>
  </si>
  <si>
    <t xml:space="preserve">2025.07</t>
  </si>
  <si>
    <t xml:space="preserve">           1,177,196</t>
  </si>
  <si>
    <t xml:space="preserve">          17,580,838.3</t>
  </si>
  <si>
    <t xml:space="preserve">          60,724,322</t>
  </si>
  <si>
    <t xml:space="preserve">           4,754,616</t>
  </si>
  <si>
    <t xml:space="preserve">          47,540,216.0</t>
  </si>
  <si>
    <t xml:space="preserve">          54,210,371</t>
  </si>
  <si>
    <t xml:space="preserve">           6,513,951</t>
  </si>
  <si>
    <t xml:space="preserve">2025.08</t>
  </si>
  <si>
    <t xml:space="preserve">           1,058,881</t>
  </si>
  <si>
    <t xml:space="preserve">          17,118,673.9</t>
  </si>
  <si>
    <t xml:space="preserve">          58,259,332</t>
  </si>
  <si>
    <t xml:space="preserve">           4,524,180</t>
  </si>
  <si>
    <t xml:space="preserve">          48,641,920.6</t>
  </si>
  <si>
    <t xml:space="preserve">          51,856,624</t>
  </si>
  <si>
    <t xml:space="preserve">           6,402,708</t>
  </si>
  <si>
    <t xml:space="preserve">2025.09</t>
  </si>
  <si>
    <t xml:space="preserve">           1,451,822</t>
  </si>
  <si>
    <t xml:space="preserve">          18,076,703.2</t>
  </si>
  <si>
    <t xml:space="preserve">          65,904,118</t>
  </si>
  <si>
    <t xml:space="preserve">           4,986,893</t>
  </si>
  <si>
    <t xml:space="preserve">          47,278,338.2</t>
  </si>
  <si>
    <t xml:space="preserve">          56,419,614</t>
  </si>
  <si>
    <t xml:space="preserve">           9,484,504</t>
  </si>
  <si>
    <t xml:space="preserve">2025.10</t>
  </si>
  <si>
    <t xml:space="preserve">           1,040,165</t>
  </si>
  <si>
    <t xml:space="preserve">          16,017,317.9</t>
  </si>
  <si>
    <t xml:space="preserve">          59,511,578</t>
  </si>
  <si>
    <t xml:space="preserve">           4,655,160</t>
  </si>
  <si>
    <t xml:space="preserve">          47,575,893.6</t>
  </si>
  <si>
    <t xml:space="preserve">          53,510,827</t>
  </si>
  <si>
    <t xml:space="preserve">           6,000,751</t>
  </si>
  <si>
    <t xml:space="preserve">2025.11</t>
  </si>
  <si>
    <t xml:space="preserve">           1,152,460</t>
  </si>
  <si>
    <t xml:space="preserve">          14,605,096.4</t>
  </si>
  <si>
    <t xml:space="preserve">          60,752,618</t>
  </si>
  <si>
    <t xml:space="preserve">           4,883,281</t>
  </si>
  <si>
    <t xml:space="preserve">          43,553,038.8</t>
  </si>
  <si>
    <t xml:space="preserve">          51,284,605</t>
  </si>
  <si>
    <t xml:space="preserve">           9,468,013</t>
  </si>
  <si>
    <t xml:space="preserve">2025.12</t>
  </si>
  <si>
    <t xml:space="preserve">           1,275,309</t>
  </si>
  <si>
    <t xml:space="preserve">          17,977,895.8</t>
  </si>
  <si>
    <t xml:space="preserve">          69,513,624</t>
  </si>
  <si>
    <t xml:space="preserve">           4,883,706</t>
  </si>
  <si>
    <t xml:space="preserve">          47,510,406.2</t>
  </si>
  <si>
    <t xml:space="preserve">          57,367,684</t>
  </si>
  <si>
    <t xml:space="preserve">          12,145,941</t>
  </si>
  <si>
    <t xml:space="preserve">2026.01</t>
  </si>
  <si>
    <t xml:space="preserve">           1,027,989</t>
  </si>
  <si>
    <t xml:space="preserve">          16,739,947.8</t>
  </si>
  <si>
    <t xml:space="preserve">          65,843,937</t>
  </si>
  <si>
    <t xml:space="preserve">           4,936,713</t>
  </si>
  <si>
    <t xml:space="preserve">          50,015,116.3</t>
  </si>
  <si>
    <t xml:space="preserve">          57,143,469</t>
  </si>
  <si>
    <t xml:space="preserve">           8,700,468</t>
  </si>
  <si>
    <t xml:space="preserve">2026.02</t>
  </si>
  <si>
    <t xml:space="preserve">          19.0</t>
  </si>
  <si>
    <t xml:space="preserve">             970,132</t>
  </si>
  <si>
    <t xml:space="preserve">          15,601,517.8</t>
  </si>
  <si>
    <t xml:space="preserve">          67,642,547</t>
  </si>
  <si>
    <t xml:space="preserve">           4,102,805</t>
  </si>
  <si>
    <t xml:space="preserve">          43,303,286.9</t>
  </si>
  <si>
    <t xml:space="preserve">          51,933,913</t>
  </si>
  <si>
    <t xml:space="preserve">          15,708,634</t>
  </si>
  <si>
    <t xml:space="preserve">2026.03</t>
  </si>
  <si>
    <t xml:space="preserve">           1,439,801</t>
  </si>
  <si>
    <t xml:space="preserve">          16,180,252.0</t>
  </si>
  <si>
    <t xml:space="preserve">          87,333,128</t>
  </si>
  <si>
    <t xml:space="preserve">           5,237,532</t>
  </si>
  <si>
    <t xml:space="preserve">          43,965,413.1</t>
  </si>
  <si>
    <t xml:space="preserve">          60,753,446</t>
  </si>
  <si>
    <t xml:space="preserve">          26,579,682</t>
  </si>
  <si>
    <t xml:space="preserve">2026.04</t>
  </si>
  <si>
    <t xml:space="preserve">           1,130,727</t>
  </si>
  <si>
    <t xml:space="preserve">          14,413,704.2</t>
  </si>
  <si>
    <t xml:space="preserve">          85,751,883</t>
  </si>
  <si>
    <t xml:space="preserve">           5,105,811</t>
  </si>
  <si>
    <t xml:space="preserve">          41,998,480.7</t>
  </si>
  <si>
    <t xml:space="preserve">          62,104,908</t>
  </si>
  <si>
    <t xml:space="preserve">          23,646,975</t>
  </si>
  <si>
    <t xml:space="preserve">2026.05</t>
  </si>
  <si>
    <t xml:space="preserve">             993,936</t>
  </si>
  <si>
    <t xml:space="preserve">          13,589,511.3</t>
  </si>
  <si>
    <t xml:space="preserve">          87,576,083</t>
  </si>
  <si>
    <t xml:space="preserve">           4,874,306</t>
  </si>
  <si>
    <t xml:space="preserve">          39,727,515.1</t>
  </si>
  <si>
    <t xml:space="preserve">          60,748,350</t>
  </si>
  <si>
    <t xml:space="preserve">          26,827,733</t>
  </si>
  <si>
    <t xml:space="preserve">2026.06</t>
  </si>
  <si>
    <t xml:space="preserve">           1,245,865</t>
  </si>
  <si>
    <t xml:space="preserve">          15,687,925.9</t>
  </si>
  <si>
    <t xml:space="preserve">         101,956,159</t>
  </si>
  <si>
    <t xml:space="preserve">           5,044,182</t>
  </si>
  <si>
    <t xml:space="preserve">          43,689,062.2</t>
  </si>
  <si>
    <t xml:space="preserve">          66,051,586</t>
  </si>
  <si>
    <t xml:space="preserve">          35,904,573</t>
  </si>
  <si>
    <t xml:space="preserve">2026.07</t>
  </si>
  <si>
    <t xml:space="preserve">           1,111,934</t>
  </si>
  <si>
    <t xml:space="preserve">          17,660,680.7</t>
  </si>
  <si>
    <t xml:space="preserve">          98,959,099</t>
  </si>
  <si>
    <t xml:space="preserve">           5,158,848</t>
  </si>
  <si>
    <t xml:space="preserve">          51,144,176.2</t>
  </si>
  <si>
    <t xml:space="preserve">          68,567,473</t>
  </si>
  <si>
    <t xml:space="preserve">          30,391,625</t>
  </si>
  <si>
    <t xml:space="preserve">수출입 실적(품목별)</t>
  </si>
  <si>
    <t xml:space="preserve">검색조건  통계항목 : 품목별, 품목명 : 전체, 하위품목 유무 : 무, 조회기간 : 202401  ~ 202607 , 통계기준 : 수리일, 중량단위 : 톤</t>
  </si>
  <si>
    <t xml:space="preserve">단위:톤(TON), 천 달러</t>
  </si>
  <si>
    <r>
      <rPr>
        <b val="true"/>
        <sz val="10"/>
        <rFont val="맑은 고딕"/>
        <family val="0"/>
        <charset val="1"/>
      </rPr>
      <t xml:space="preserve">HS</t>
    </r>
    <r>
      <rPr>
        <b val="true"/>
        <sz val="10"/>
        <rFont val="WenQuanYi Zen Hei"/>
        <family val="2"/>
      </rPr>
      <t xml:space="preserve">코드</t>
    </r>
  </si>
  <si>
    <t xml:space="preserve">품목명</t>
  </si>
  <si>
    <t xml:space="preserve">수입 중량</t>
  </si>
  <si>
    <t xml:space="preserve">수입 금액</t>
  </si>
  <si>
    <t xml:space="preserve">         504,808,074.9</t>
  </si>
  <si>
    <t xml:space="preserve">       1,987,154,630</t>
  </si>
  <si>
    <t xml:space="preserve">       1,413,063,376.6</t>
  </si>
  <si>
    <t xml:space="preserve">       1,690,339,715</t>
  </si>
  <si>
    <t xml:space="preserve">         296,814,915</t>
  </si>
  <si>
    <t xml:space="preserve">01</t>
  </si>
  <si>
    <t xml:space="preserve">살아 있는 동물</t>
  </si>
  <si>
    <t xml:space="preserve">                   1.9</t>
  </si>
  <si>
    <t xml:space="preserve">                 697</t>
  </si>
  <si>
    <t xml:space="preserve">                  78.1</t>
  </si>
  <si>
    <t xml:space="preserve">               5,631</t>
  </si>
  <si>
    <t xml:space="preserve">              -4,934</t>
  </si>
  <si>
    <t xml:space="preserve">02</t>
  </si>
  <si>
    <t xml:space="preserve">육과 식용 설육(屑肉)</t>
  </si>
  <si>
    <t xml:space="preserve">               3,806.5</t>
  </si>
  <si>
    <t xml:space="preserve">               5,389</t>
  </si>
  <si>
    <t xml:space="preserve">             154,357.2</t>
  </si>
  <si>
    <t xml:space="preserve">             823,919</t>
  </si>
  <si>
    <t xml:space="preserve">            -818,530</t>
  </si>
  <si>
    <t xml:space="preserve">03</t>
  </si>
  <si>
    <t xml:space="preserve">어류ㆍ갑각류ㆍ연체동물과 그 밖의 수생(水生) 무척추동물</t>
  </si>
  <si>
    <t xml:space="preserve">              45,908.2</t>
  </si>
  <si>
    <t xml:space="preserve">             128,716</t>
  </si>
  <si>
    <t xml:space="preserve">             119,002.6</t>
  </si>
  <si>
    <t xml:space="preserve">             424,949</t>
  </si>
  <si>
    <t xml:space="preserve">            -296,232</t>
  </si>
  <si>
    <t xml:space="preserve">04</t>
  </si>
  <si>
    <t xml:space="preserve">낙농품, 새의 알, 천연꿀, 다른 류로 분류되지 않은 식용인 동물성 생산품</t>
  </si>
  <si>
    <t xml:space="preserve">               2,995.9</t>
  </si>
  <si>
    <t xml:space="preserve">               7,500</t>
  </si>
  <si>
    <t xml:space="preserve">              23,072.3</t>
  </si>
  <si>
    <t xml:space="preserve">              93,645</t>
  </si>
  <si>
    <t xml:space="preserve">             -86,145</t>
  </si>
  <si>
    <t xml:space="preserve">05</t>
  </si>
  <si>
    <t xml:space="preserve">다른 류로 분류되지 않은 동물성 생산품</t>
  </si>
  <si>
    <t xml:space="preserve">               1,211.7</t>
  </si>
  <si>
    <t xml:space="preserve">               3,306</t>
  </si>
  <si>
    <t xml:space="preserve">               5,691.0</t>
  </si>
  <si>
    <t xml:space="preserve">              28,749</t>
  </si>
  <si>
    <t xml:space="preserve">             -25,443</t>
  </si>
  <si>
    <t xml:space="preserve">06</t>
  </si>
  <si>
    <t xml:space="preserve">살아 있는 수목과 그 밖의 식물, 인경(鱗莖)ㆍ뿌리와 이와 유사한 물품, 절화(切花)와 장식용 잎</t>
  </si>
  <si>
    <t xml:space="preserve">                  67.8</t>
  </si>
  <si>
    <t xml:space="preserve">                 856</t>
  </si>
  <si>
    <t xml:space="preserve">               8,667.7</t>
  </si>
  <si>
    <t xml:space="preserve">              15,350</t>
  </si>
  <si>
    <t xml:space="preserve">             -14,494</t>
  </si>
  <si>
    <t xml:space="preserve">07</t>
  </si>
  <si>
    <t xml:space="preserve">식용의 채소ㆍ뿌리ㆍ괴경(塊莖)</t>
  </si>
  <si>
    <t xml:space="preserve">               5,191.9</t>
  </si>
  <si>
    <t xml:space="preserve">              10,899</t>
  </si>
  <si>
    <t xml:space="preserve">             103,820.8</t>
  </si>
  <si>
    <t xml:space="preserve">              86,850</t>
  </si>
  <si>
    <t xml:space="preserve">             -75,951</t>
  </si>
  <si>
    <t xml:space="preserve">08</t>
  </si>
  <si>
    <t xml:space="preserve">식용의 과실과 견과류, 감귤류ㆍ멜론의 껍질</t>
  </si>
  <si>
    <t xml:space="preserve">               2,972.4</t>
  </si>
  <si>
    <t xml:space="preserve">              26,827</t>
  </si>
  <si>
    <t xml:space="preserve">              67,690.2</t>
  </si>
  <si>
    <t xml:space="preserve">             159,724</t>
  </si>
  <si>
    <t xml:space="preserve">            -132,897</t>
  </si>
  <si>
    <t xml:space="preserve">09</t>
  </si>
  <si>
    <t xml:space="preserve">커피ㆍ차ㆍ마테(maté)ㆍ향신료</t>
  </si>
  <si>
    <t xml:space="preserve">                 385.0</t>
  </si>
  <si>
    <t xml:space="preserve">               3,239</t>
  </si>
  <si>
    <t xml:space="preserve">              21,378.1</t>
  </si>
  <si>
    <t xml:space="preserve">             103,751</t>
  </si>
  <si>
    <t xml:space="preserve">            -100,511</t>
  </si>
  <si>
    <t xml:space="preserve">10</t>
  </si>
  <si>
    <t xml:space="preserve">곡물</t>
  </si>
  <si>
    <t xml:space="preserve">                 358.6</t>
  </si>
  <si>
    <t xml:space="preserve">                 918</t>
  </si>
  <si>
    <t xml:space="preserve">           1,451,151.7</t>
  </si>
  <si>
    <t xml:space="preserve">             450,755</t>
  </si>
  <si>
    <t xml:space="preserve">            -449,837</t>
  </si>
  <si>
    <t xml:space="preserve">11</t>
  </si>
  <si>
    <t xml:space="preserve">제분공업의 생산품과 맥아, 전분, 이눌린(inulin), 밀의 글루텐(gluten)</t>
  </si>
  <si>
    <t xml:space="preserve">               5,794.3</t>
  </si>
  <si>
    <t xml:space="preserve">               4,158</t>
  </si>
  <si>
    <t xml:space="preserve">              31,887.3</t>
  </si>
  <si>
    <t xml:space="preserve">              28,615</t>
  </si>
  <si>
    <t xml:space="preserve">             -24,457</t>
  </si>
  <si>
    <t xml:space="preserve">12</t>
  </si>
  <si>
    <t xml:space="preserve">채유(採油)에 적합한 종자와 과실, 각종 종자와 과실, 공업용ㆍ의약용 식물, 짚과 사료용 식물</t>
  </si>
  <si>
    <t xml:space="preserve">               2,659.8</t>
  </si>
  <si>
    <t xml:space="preserve">              46,869</t>
  </si>
  <si>
    <t xml:space="preserve">             265,704.5</t>
  </si>
  <si>
    <t xml:space="preserve">             164,119</t>
  </si>
  <si>
    <t xml:space="preserve">            -117,250</t>
  </si>
  <si>
    <t xml:space="preserve">13</t>
  </si>
  <si>
    <t xml:space="preserve">락(lac), 검ㆍ수지ㆍ그 밖의 식물성 수액과 추출물(extract)</t>
  </si>
  <si>
    <t xml:space="preserve">                 352.1</t>
  </si>
  <si>
    <t xml:space="preserve">               8,023</t>
  </si>
  <si>
    <t xml:space="preserve">               8,066.1</t>
  </si>
  <si>
    <t xml:space="preserve">              24,882</t>
  </si>
  <si>
    <t xml:space="preserve">             -16,859</t>
  </si>
  <si>
    <t xml:space="preserve">14</t>
  </si>
  <si>
    <t xml:space="preserve">식물성 편조물(編組物)용 재료와 다른 류로 분류되지 않은 식물성 생산품</t>
  </si>
  <si>
    <t xml:space="preserve">                  17.0</t>
  </si>
  <si>
    <t xml:space="preserve">                  88</t>
  </si>
  <si>
    <t xml:space="preserve">              16,246.3</t>
  </si>
  <si>
    <t xml:space="preserve">               4,128</t>
  </si>
  <si>
    <t xml:space="preserve">              -4,040</t>
  </si>
  <si>
    <t xml:space="preserve">15</t>
  </si>
  <si>
    <t xml:space="preserve">동물성ㆍ식물성ㆍ미생물성 지방과 기름 및이들의 분해생산물, 조제한 식용 지방과 동물성ㆍ식물성 왁스</t>
  </si>
  <si>
    <t xml:space="preserve">               4,629.2</t>
  </si>
  <si>
    <t xml:space="preserve">               6,136</t>
  </si>
  <si>
    <t xml:space="preserve">             102,620.1</t>
  </si>
  <si>
    <t xml:space="preserve">             132,488</t>
  </si>
  <si>
    <t xml:space="preserve">            -126,352</t>
  </si>
  <si>
    <t xml:space="preserve">16</t>
  </si>
  <si>
    <t xml:space="preserve">육류ㆍ어류ㆍ갑각류ㆍ연체동물이나 그 밖의 수생(水生) 무척추동물 또는 곤충의 조제품</t>
  </si>
  <si>
    <t xml:space="preserve">               4,160.4</t>
  </si>
  <si>
    <t xml:space="preserve">              25,872</t>
  </si>
  <si>
    <t xml:space="preserve">              18,620.1</t>
  </si>
  <si>
    <t xml:space="preserve">             101,141</t>
  </si>
  <si>
    <t xml:space="preserve">             -75,269</t>
  </si>
  <si>
    <t xml:space="preserve">17</t>
  </si>
  <si>
    <t xml:space="preserve">당류(糖類)와 설탕과자</t>
  </si>
  <si>
    <t xml:space="preserve">              32,227.3</t>
  </si>
  <si>
    <t xml:space="preserve">              31,537</t>
  </si>
  <si>
    <t xml:space="preserve">             206,375.9</t>
  </si>
  <si>
    <t xml:space="preserve">             150,608</t>
  </si>
  <si>
    <t xml:space="preserve">            -119,071</t>
  </si>
  <si>
    <t xml:space="preserve">18</t>
  </si>
  <si>
    <t xml:space="preserve">코코아와 그 조제품</t>
  </si>
  <si>
    <t xml:space="preserve">               1,946.3</t>
  </si>
  <si>
    <t xml:space="preserve">               4,923</t>
  </si>
  <si>
    <t xml:space="preserve">               5,880.4</t>
  </si>
  <si>
    <t xml:space="preserve">              43,737</t>
  </si>
  <si>
    <t xml:space="preserve">             -38,814</t>
  </si>
  <si>
    <t xml:space="preserve">19</t>
  </si>
  <si>
    <t xml:space="preserve">곡물ㆍ고운 가루ㆍ전분ㆍ밀크의 조제품과 베이커리 제품</t>
  </si>
  <si>
    <t xml:space="preserve">              43,637.8</t>
  </si>
  <si>
    <t xml:space="preserve">             172,480</t>
  </si>
  <si>
    <t xml:space="preserve">              29,825.5</t>
  </si>
  <si>
    <t xml:space="preserve">              97,746</t>
  </si>
  <si>
    <t xml:space="preserve">              74,734</t>
  </si>
  <si>
    <t xml:space="preserve">20</t>
  </si>
  <si>
    <t xml:space="preserve">채소ㆍ과실ㆍ견과류나 식물의그 밖의 부분의 조제품</t>
  </si>
  <si>
    <t xml:space="preserve">              10,058.7</t>
  </si>
  <si>
    <t xml:space="preserve">              73,506</t>
  </si>
  <si>
    <t xml:space="preserve">              99,683.9</t>
  </si>
  <si>
    <t xml:space="preserve">             141,997</t>
  </si>
  <si>
    <t xml:space="preserve">             -68,491</t>
  </si>
  <si>
    <t xml:space="preserve">21</t>
  </si>
  <si>
    <t xml:space="preserve">각종 조제 식료품</t>
  </si>
  <si>
    <t xml:space="preserve">              35,722.0</t>
  </si>
  <si>
    <t xml:space="preserve">             141,456</t>
  </si>
  <si>
    <t xml:space="preserve">              32,859.4</t>
  </si>
  <si>
    <t xml:space="preserve">             227,146</t>
  </si>
  <si>
    <t xml:space="preserve">             -85,690</t>
  </si>
  <si>
    <t xml:space="preserve">22</t>
  </si>
  <si>
    <t xml:space="preserve">음료ㆍ주류ㆍ식초</t>
  </si>
  <si>
    <t xml:space="preserve">              61,948.1</t>
  </si>
  <si>
    <t xml:space="preserve">              76,784</t>
  </si>
  <si>
    <t xml:space="preserve">              82,791.6</t>
  </si>
  <si>
    <t xml:space="preserve">             130,106</t>
  </si>
  <si>
    <t xml:space="preserve">             -53,322</t>
  </si>
  <si>
    <t xml:space="preserve">23</t>
  </si>
  <si>
    <t xml:space="preserve">식품 공업에서 생기는 잔재물과 웨이스트(waste), 조제 사료</t>
  </si>
  <si>
    <t xml:space="preserve">              29,616.8</t>
  </si>
  <si>
    <t xml:space="preserve">              29,457</t>
  </si>
  <si>
    <t xml:space="preserve">             696,368.3</t>
  </si>
  <si>
    <t xml:space="preserve">             272,316</t>
  </si>
  <si>
    <t xml:space="preserve">            -242,859</t>
  </si>
  <si>
    <t xml:space="preserve">24</t>
  </si>
  <si>
    <t xml:space="preserve">담배와 제조한 담배 대용물, 연소시키지 않고흡입하도록 만들어진 물품(니코틴을 함유하였는지에 상관없다), 니코틴을 함유한 그 밖의 물품으로 인체 내에 니코틴을 흡수시키도록 만들어진 것</t>
  </si>
  <si>
    <t xml:space="preserve">               8,471.4</t>
  </si>
  <si>
    <t xml:space="preserve">              68,475</t>
  </si>
  <si>
    <t xml:space="preserve">               8,226.8</t>
  </si>
  <si>
    <t xml:space="preserve">              61,695</t>
  </si>
  <si>
    <t xml:space="preserve">               6,780</t>
  </si>
  <si>
    <t xml:space="preserve">25</t>
  </si>
  <si>
    <t xml:space="preserve">소금, 황, 토석류(土石類), 석고ㆍ석회ㆍ시멘트</t>
  </si>
  <si>
    <t xml:space="preserve">             394,916.9</t>
  </si>
  <si>
    <t xml:space="preserve">              23,062</t>
  </si>
  <si>
    <t xml:space="preserve">             870,670.4</t>
  </si>
  <si>
    <t xml:space="preserve">              68,468</t>
  </si>
  <si>
    <t xml:space="preserve">             -45,406</t>
  </si>
  <si>
    <t xml:space="preserve">26</t>
  </si>
  <si>
    <t xml:space="preserve">광(鑛)ㆍ슬래그(slag)ㆍ회(灰)</t>
  </si>
  <si>
    <t xml:space="preserve">             152,598.7</t>
  </si>
  <si>
    <t xml:space="preserve">             120,988</t>
  </si>
  <si>
    <t xml:space="preserve">           7,108,278.3</t>
  </si>
  <si>
    <t xml:space="preserve">           1,773,555</t>
  </si>
  <si>
    <t xml:space="preserve">          -1,652,568</t>
  </si>
  <si>
    <t xml:space="preserve">27</t>
  </si>
  <si>
    <t xml:space="preserve">광물성 연료ㆍ광물유(鑛物油)와 이들의 증류물, 역청(瀝靑)물질, 광물성 왁스</t>
  </si>
  <si>
    <t xml:space="preserve">           6,296,365.8</t>
  </si>
  <si>
    <t xml:space="preserve">           4,964,732</t>
  </si>
  <si>
    <t xml:space="preserve">          32,892,533.5</t>
  </si>
  <si>
    <t xml:space="preserve">          15,700,071</t>
  </si>
  <si>
    <t xml:space="preserve">         -10,735,339</t>
  </si>
  <si>
    <t xml:space="preserve">28</t>
  </si>
  <si>
    <t xml:space="preserve">무기화학품, 귀금속ㆍ희토류(稀土類)금속ㆍ방사성원소ㆍ동위원소의 유기화합물이나 무기화합물</t>
  </si>
  <si>
    <t xml:space="preserve">             463,934.0</t>
  </si>
  <si>
    <t xml:space="preserve">             914,706</t>
  </si>
  <si>
    <t xml:space="preserve">             437,262.8</t>
  </si>
  <si>
    <t xml:space="preserve">           1,156,717</t>
  </si>
  <si>
    <t xml:space="preserve">            -242,012</t>
  </si>
  <si>
    <t xml:space="preserve">29</t>
  </si>
  <si>
    <t xml:space="preserve">유기화학품</t>
  </si>
  <si>
    <t xml:space="preserve">           1,639,674.9</t>
  </si>
  <si>
    <t xml:space="preserve">           1,867,566</t>
  </si>
  <si>
    <t xml:space="preserve">             624,119.5</t>
  </si>
  <si>
    <t xml:space="preserve">           1,158,761</t>
  </si>
  <si>
    <t xml:space="preserve">             708,805</t>
  </si>
  <si>
    <t xml:space="preserve">30</t>
  </si>
  <si>
    <t xml:space="preserve">의료용품</t>
  </si>
  <si>
    <t xml:space="preserve">               1,983.4</t>
  </si>
  <si>
    <t xml:space="preserve">             556,254</t>
  </si>
  <si>
    <t xml:space="preserve">               8,144.4</t>
  </si>
  <si>
    <t xml:space="preserve">             810,342</t>
  </si>
  <si>
    <t xml:space="preserve">            -254,088</t>
  </si>
  <si>
    <t xml:space="preserve">31</t>
  </si>
  <si>
    <t xml:space="preserve">비료</t>
  </si>
  <si>
    <t xml:space="preserve">              89,409.3</t>
  </si>
  <si>
    <t xml:space="preserve">              42,051</t>
  </si>
  <si>
    <t xml:space="preserve">             316,618.3</t>
  </si>
  <si>
    <t xml:space="preserve">             117,406</t>
  </si>
  <si>
    <t xml:space="preserve">             -75,355</t>
  </si>
  <si>
    <t xml:space="preserve">32</t>
  </si>
  <si>
    <t xml:space="preserve">유연용ㆍ염색용 추출물(extract), 탄닌과 이들의 유도체, 염료ㆍ안료와 그 밖의 착색제, 페인트ㆍ바니시(varnish), 퍼티(putty)와 그 밖의 매스틱(mastic), 잉크</t>
  </si>
  <si>
    <t xml:space="preserve">              27,502.1</t>
  </si>
  <si>
    <t xml:space="preserve">             238,057</t>
  </si>
  <si>
    <t xml:space="preserve">              24,993.2</t>
  </si>
  <si>
    <t xml:space="preserve">             199,299</t>
  </si>
  <si>
    <t xml:space="preserve">              38,758</t>
  </si>
  <si>
    <t xml:space="preserve">33</t>
  </si>
  <si>
    <t xml:space="preserve">정유(essential oil)와 레지노이드(resinoid), 조제향료와 화장품ㆍ화장용품</t>
  </si>
  <si>
    <t xml:space="preserve">              32,548.9</t>
  </si>
  <si>
    <t xml:space="preserve">             773,866</t>
  </si>
  <si>
    <t xml:space="preserve">               8,809.4</t>
  </si>
  <si>
    <t xml:space="preserve">             163,137</t>
  </si>
  <si>
    <t xml:space="preserve">             610,729</t>
  </si>
  <si>
    <t xml:space="preserve">34</t>
  </si>
  <si>
    <t xml:space="preserve"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</si>
  <si>
    <t xml:space="preserve">              58,018.7</t>
  </si>
  <si>
    <t xml:space="preserve">             145,384</t>
  </si>
  <si>
    <t xml:space="preserve">              23,994.1</t>
  </si>
  <si>
    <t xml:space="preserve">              86,239</t>
  </si>
  <si>
    <t xml:space="preserve">              59,146</t>
  </si>
  <si>
    <t xml:space="preserve">35</t>
  </si>
  <si>
    <t xml:space="preserve">단백질계 물질, 변성전분, 글루(glue), 효소</t>
  </si>
  <si>
    <t xml:space="preserve">               5,859.1</t>
  </si>
  <si>
    <t xml:space="preserve">              91,435</t>
  </si>
  <si>
    <t xml:space="preserve">              16,567.3</t>
  </si>
  <si>
    <t xml:space="preserve">              76,674</t>
  </si>
  <si>
    <t xml:space="preserve">              14,761</t>
  </si>
  <si>
    <t xml:space="preserve">36</t>
  </si>
  <si>
    <t xml:space="preserve">화약류, 화공품, 성냥, 발화성 합금, 특정 가연성 조제품</t>
  </si>
  <si>
    <t xml:space="preserve">                 147.3</t>
  </si>
  <si>
    <t xml:space="preserve">               2,618</t>
  </si>
  <si>
    <t xml:space="preserve">                 276.2</t>
  </si>
  <si>
    <t xml:space="preserve">               4,001</t>
  </si>
  <si>
    <t xml:space="preserve">              -1,384</t>
  </si>
  <si>
    <t xml:space="preserve">37</t>
  </si>
  <si>
    <t xml:space="preserve">사진용이나 영화용 재료</t>
  </si>
  <si>
    <t xml:space="preserve">               2,248.5</t>
  </si>
  <si>
    <t xml:space="preserve">             100,232</t>
  </si>
  <si>
    <t xml:space="preserve">               3,145.3</t>
  </si>
  <si>
    <t xml:space="preserve">              81,640</t>
  </si>
  <si>
    <t xml:space="preserve">              18,592</t>
  </si>
  <si>
    <t xml:space="preserve">38</t>
  </si>
  <si>
    <t xml:space="preserve">각종 화학공업 생산품</t>
  </si>
  <si>
    <t xml:space="preserve">             105,321.6</t>
  </si>
  <si>
    <t xml:space="preserve">             587,080</t>
  </si>
  <si>
    <t xml:space="preserve">             239,081.9</t>
  </si>
  <si>
    <t xml:space="preserve">             615,188</t>
  </si>
  <si>
    <t xml:space="preserve">             -28,108</t>
  </si>
  <si>
    <t xml:space="preserve">39</t>
  </si>
  <si>
    <t xml:space="preserve">플라스틱과 그 제품</t>
  </si>
  <si>
    <t xml:space="preserve">           1,538,157.7</t>
  </si>
  <si>
    <t xml:space="preserve">           3,037,165</t>
  </si>
  <si>
    <t xml:space="preserve">             261,709.1</t>
  </si>
  <si>
    <t xml:space="preserve">           1,091,958</t>
  </si>
  <si>
    <t xml:space="preserve">           1,945,207</t>
  </si>
  <si>
    <t xml:space="preserve">40</t>
  </si>
  <si>
    <t xml:space="preserve">고무와 그 제품</t>
  </si>
  <si>
    <t xml:space="preserve">             245,769.8</t>
  </si>
  <si>
    <t xml:space="preserve">             643,545</t>
  </si>
  <si>
    <t xml:space="preserve">              73,491.7</t>
  </si>
  <si>
    <t xml:space="preserve">             234,349</t>
  </si>
  <si>
    <t xml:space="preserve">             409,196</t>
  </si>
  <si>
    <t xml:space="preserve">41</t>
  </si>
  <si>
    <t xml:space="preserve">원피(모피는 제외한다)와 가죽</t>
  </si>
  <si>
    <t xml:space="preserve">               2,979.1</t>
  </si>
  <si>
    <t xml:space="preserve">              24,757</t>
  </si>
  <si>
    <t xml:space="preserve">               6,945.2</t>
  </si>
  <si>
    <t xml:space="preserve">              17,645</t>
  </si>
  <si>
    <t xml:space="preserve">               7,112</t>
  </si>
  <si>
    <t xml:space="preserve">42</t>
  </si>
  <si>
    <t xml:space="preserve">가죽제품, 마구, 여행용구ㆍ핸드백과 이와 유사한 용기, 동물 거트(gut)[누에의 거트(gut)는 제외한다]의 제품</t>
  </si>
  <si>
    <t xml:space="preserve">                 856.8</t>
  </si>
  <si>
    <t xml:space="preserve">              31,796</t>
  </si>
  <si>
    <t xml:space="preserve">              11,445.7</t>
  </si>
  <si>
    <t xml:space="preserve">             369,489</t>
  </si>
  <si>
    <t xml:space="preserve">            -337,693</t>
  </si>
  <si>
    <t xml:space="preserve">43</t>
  </si>
  <si>
    <t xml:space="preserve">모피ㆍ인조모피와 이들의 제품</t>
  </si>
  <si>
    <t xml:space="preserve">                   2.7</t>
  </si>
  <si>
    <t xml:space="preserve">                 335</t>
  </si>
  <si>
    <t xml:space="preserve">                  47.4</t>
  </si>
  <si>
    <t xml:space="preserve">               6,733</t>
  </si>
  <si>
    <t xml:space="preserve">              -6,398</t>
  </si>
  <si>
    <t xml:space="preserve">44</t>
  </si>
  <si>
    <t xml:space="preserve">목재와 그 제품, 목탄</t>
  </si>
  <si>
    <t xml:space="preserve">               5,057.9</t>
  </si>
  <si>
    <t xml:space="preserve">               6,338</t>
  </si>
  <si>
    <t xml:space="preserve">             910,932.5</t>
  </si>
  <si>
    <t xml:space="preserve">             253,384</t>
  </si>
  <si>
    <t xml:space="preserve">            -247,046</t>
  </si>
  <si>
    <t xml:space="preserve">45</t>
  </si>
  <si>
    <t xml:space="preserve">코르크(cork)와 그 제품</t>
  </si>
  <si>
    <t xml:space="preserve">                   2.2</t>
  </si>
  <si>
    <t xml:space="preserve">                  53</t>
  </si>
  <si>
    <t xml:space="preserve">                  30.1</t>
  </si>
  <si>
    <t xml:space="preserve">                 230</t>
  </si>
  <si>
    <t xml:space="preserve">                -177</t>
  </si>
  <si>
    <t xml:space="preserve">46</t>
  </si>
  <si>
    <t xml:space="preserve">짚ㆍ에스파르토(esparto)나 그 밖의 조물 재료의 제품, 바구니 세공물(basketware)과 지조세공물(枝條細工物)</t>
  </si>
  <si>
    <t xml:space="preserve">                   2.9</t>
  </si>
  <si>
    <t xml:space="preserve">                  72</t>
  </si>
  <si>
    <t xml:space="preserve">                 382.5</t>
  </si>
  <si>
    <t xml:space="preserve">               2,087</t>
  </si>
  <si>
    <t xml:space="preserve">              -2,016</t>
  </si>
  <si>
    <t xml:space="preserve">47</t>
  </si>
  <si>
    <t xml:space="preserve">목재나 그 밖의 섬유질 셀룰로오스재료의 펄프, 회수한 종이ㆍ판지[웨이스트(waste)와 스크랩(scrap)]</t>
  </si>
  <si>
    <t xml:space="preserve">              53,551.9</t>
  </si>
  <si>
    <t xml:space="preserve">              11,662</t>
  </si>
  <si>
    <t xml:space="preserve">             228,892.1</t>
  </si>
  <si>
    <t xml:space="preserve">             126,114</t>
  </si>
  <si>
    <t xml:space="preserve">            -114,452</t>
  </si>
  <si>
    <t xml:space="preserve">48</t>
  </si>
  <si>
    <t xml:space="preserve">종이와 판지, 제지용 펄프ㆍ종이ㆍ판지의 제품</t>
  </si>
  <si>
    <t xml:space="preserve">             224,141.5</t>
  </si>
  <si>
    <t xml:space="preserve">             231,117</t>
  </si>
  <si>
    <t xml:space="preserve">             131,137.0</t>
  </si>
  <si>
    <t xml:space="preserve">             198,602</t>
  </si>
  <si>
    <t xml:space="preserve">              32,514</t>
  </si>
  <si>
    <t xml:space="preserve">49</t>
  </si>
  <si>
    <t xml:space="preserve">인쇄서적ㆍ신문ㆍ회화ㆍ그 밖의 인쇄물, 수제(手製)문서ㆍ타자문서ㆍ도면</t>
  </si>
  <si>
    <t xml:space="preserve">               2,514.6</t>
  </si>
  <si>
    <t xml:space="preserve">              26,947</t>
  </si>
  <si>
    <t xml:space="preserve">               1,164.7</t>
  </si>
  <si>
    <t xml:space="preserve">              20,436</t>
  </si>
  <si>
    <t xml:space="preserve">               6,510</t>
  </si>
  <si>
    <t xml:space="preserve">50</t>
  </si>
  <si>
    <t xml:space="preserve">견</t>
  </si>
  <si>
    <t xml:space="preserve">                  19.9</t>
  </si>
  <si>
    <t xml:space="preserve">               1,724</t>
  </si>
  <si>
    <t xml:space="preserve">                  31.5</t>
  </si>
  <si>
    <t xml:space="preserve">               2,820</t>
  </si>
  <si>
    <t xml:space="preserve">              -1,096</t>
  </si>
  <si>
    <t xml:space="preserve">51</t>
  </si>
  <si>
    <t xml:space="preserve">양모ㆍ동물의 부드러운 털이나 거친 털ㆍ말의 털로 만든 실과 직물</t>
  </si>
  <si>
    <t xml:space="preserve">                 124.9</t>
  </si>
  <si>
    <t xml:space="preserve">               2,673</t>
  </si>
  <si>
    <t xml:space="preserve">                 948.9</t>
  </si>
  <si>
    <t xml:space="preserve">              14,158</t>
  </si>
  <si>
    <t xml:space="preserve">             -11,484</t>
  </si>
  <si>
    <t xml:space="preserve">52</t>
  </si>
  <si>
    <t xml:space="preserve">면</t>
  </si>
  <si>
    <t xml:space="preserve">               2,574.6</t>
  </si>
  <si>
    <t xml:space="preserve">              21,683</t>
  </si>
  <si>
    <t xml:space="preserve">              22,568.9</t>
  </si>
  <si>
    <t xml:space="preserve">              71,388</t>
  </si>
  <si>
    <t xml:space="preserve">             -49,705</t>
  </si>
  <si>
    <t xml:space="preserve">53</t>
  </si>
  <si>
    <t xml:space="preserve">그 밖의 식물성 방직용 섬유, 종이실(paper yarn)과 종이실로 만든 직물</t>
  </si>
  <si>
    <t xml:space="preserve">                  41.0</t>
  </si>
  <si>
    <t xml:space="preserve">                 829</t>
  </si>
  <si>
    <t xml:space="preserve">               1,059.7</t>
  </si>
  <si>
    <t xml:space="preserve">               5,674</t>
  </si>
  <si>
    <t xml:space="preserve">              -4,844</t>
  </si>
  <si>
    <t xml:space="preserve">54</t>
  </si>
  <si>
    <t xml:space="preserve">인조필라멘트, 인조방직용 섬유재료의 스트립(strip)과 이와 유사한 것</t>
  </si>
  <si>
    <t xml:space="preserve">              27,392.3</t>
  </si>
  <si>
    <t xml:space="preserve">             171,295</t>
  </si>
  <si>
    <t xml:space="preserve">              40,633.7</t>
  </si>
  <si>
    <t xml:space="preserve">              88,491</t>
  </si>
  <si>
    <t xml:space="preserve">              82,804</t>
  </si>
  <si>
    <t xml:space="preserve">55</t>
  </si>
  <si>
    <t xml:space="preserve">인조스테이플섬유</t>
  </si>
  <si>
    <t xml:space="preserve">              64,364.2</t>
  </si>
  <si>
    <t xml:space="preserve">             115,753</t>
  </si>
  <si>
    <t xml:space="preserve">              14,157.0</t>
  </si>
  <si>
    <t xml:space="preserve">              50,745</t>
  </si>
  <si>
    <t xml:space="preserve">              65,007</t>
  </si>
  <si>
    <t xml:space="preserve">56</t>
  </si>
  <si>
    <t xml:space="preserve">워딩(wadding)ㆍ펠트(felt)ㆍ부직포, 특수사, 끈ㆍ배의 밧줄(cordage)ㆍ로프ㆍ케이블과 이들의 제품</t>
  </si>
  <si>
    <t xml:space="preserve">               9,153.7</t>
  </si>
  <si>
    <t xml:space="preserve">              63,709</t>
  </si>
  <si>
    <t xml:space="preserve">              17,861.7</t>
  </si>
  <si>
    <t xml:space="preserve">              55,633</t>
  </si>
  <si>
    <t xml:space="preserve">               8,076</t>
  </si>
  <si>
    <t xml:space="preserve">57</t>
  </si>
  <si>
    <t xml:space="preserve">양탄자류와 그 밖의 방직용 섬유로 만든 바닥깔개</t>
  </si>
  <si>
    <t xml:space="preserve">                 670.9</t>
  </si>
  <si>
    <t xml:space="preserve">               3,773</t>
  </si>
  <si>
    <t xml:space="preserve">               5,080.5</t>
  </si>
  <si>
    <t xml:space="preserve">               9,494</t>
  </si>
  <si>
    <t xml:space="preserve">              -5,720</t>
  </si>
  <si>
    <t xml:space="preserve">58</t>
  </si>
  <si>
    <t xml:space="preserve">특수직물, 터프트(tuft)한 직물, 레이스, 태피스트리(tapestry), 트리밍(trimming), 자수천</t>
  </si>
  <si>
    <t xml:space="preserve">               1,440.4</t>
  </si>
  <si>
    <t xml:space="preserve">              17,690</t>
  </si>
  <si>
    <t xml:space="preserve">                 694.7</t>
  </si>
  <si>
    <t xml:space="preserve">               5,967</t>
  </si>
  <si>
    <t xml:space="preserve">              11,722</t>
  </si>
  <si>
    <t xml:space="preserve">59</t>
  </si>
  <si>
    <t xml:space="preserve">침투ㆍ도포ㆍ피복하거나 적층한 방직용 섬유의 직물, 공업용인 방직용 섬유제품</t>
  </si>
  <si>
    <t xml:space="preserve">               9,297.7</t>
  </si>
  <si>
    <t xml:space="preserve">              89,852</t>
  </si>
  <si>
    <t xml:space="preserve">               6,682.0</t>
  </si>
  <si>
    <t xml:space="preserve">              39,234</t>
  </si>
  <si>
    <t xml:space="preserve">              50,618</t>
  </si>
  <si>
    <t xml:space="preserve">60</t>
  </si>
  <si>
    <t xml:space="preserve">메리야스 편물과 뜨개질 편물</t>
  </si>
  <si>
    <t xml:space="preserve">              16,454.5</t>
  </si>
  <si>
    <t xml:space="preserve">             128,730</t>
  </si>
  <si>
    <t xml:space="preserve">               1,642.4</t>
  </si>
  <si>
    <t xml:space="preserve">               8,595</t>
  </si>
  <si>
    <t xml:space="preserve">             120,135</t>
  </si>
  <si>
    <t xml:space="preserve">61</t>
  </si>
  <si>
    <t xml:space="preserve">의류와 그 부속품(메리야스 편물이나 뜨개질 편물로 한정한다)</t>
  </si>
  <si>
    <t xml:space="preserve">               2,545.8</t>
  </si>
  <si>
    <t xml:space="preserve">              70,792</t>
  </si>
  <si>
    <t xml:space="preserve">              22,384.5</t>
  </si>
  <si>
    <t xml:space="preserve">             438,489</t>
  </si>
  <si>
    <t xml:space="preserve">            -367,696</t>
  </si>
  <si>
    <t xml:space="preserve">62</t>
  </si>
  <si>
    <t xml:space="preserve">의류와 그 부속품(메리야스 편물이나 뜨개질편물은 제외한다)</t>
  </si>
  <si>
    <t xml:space="preserve">               3,001.7</t>
  </si>
  <si>
    <t xml:space="preserve">              85,016</t>
  </si>
  <si>
    <t xml:space="preserve">              20,754.1</t>
  </si>
  <si>
    <t xml:space="preserve">             669,983</t>
  </si>
  <si>
    <t xml:space="preserve">            -584,967</t>
  </si>
  <si>
    <t xml:space="preserve">63</t>
  </si>
  <si>
    <t xml:space="preserve">제품으로 된 방직용 섬유의 그 밖의 물품, 세트, 사용하던 의류ㆍ방직용 섬유제품, 넝마</t>
  </si>
  <si>
    <t xml:space="preserve">              27,279.5</t>
  </si>
  <si>
    <t xml:space="preserve">              52,749</t>
  </si>
  <si>
    <t xml:space="preserve">              27,379.0</t>
  </si>
  <si>
    <t xml:space="preserve">             116,031</t>
  </si>
  <si>
    <t xml:space="preserve">             -63,282</t>
  </si>
  <si>
    <t xml:space="preserve">64</t>
  </si>
  <si>
    <t xml:space="preserve">신발류ㆍ각반과 이와 유사한 것, 이들의 부분품</t>
  </si>
  <si>
    <t xml:space="preserve">               1,400.6</t>
  </si>
  <si>
    <t xml:space="preserve">              33,687</t>
  </si>
  <si>
    <t xml:space="preserve">              12,470.8</t>
  </si>
  <si>
    <t xml:space="preserve">             333,327</t>
  </si>
  <si>
    <t xml:space="preserve">            -299,641</t>
  </si>
  <si>
    <t xml:space="preserve">65</t>
  </si>
  <si>
    <t xml:space="preserve">모자류와 그 부분품</t>
  </si>
  <si>
    <t xml:space="preserve">                 228.9</t>
  </si>
  <si>
    <t xml:space="preserve">               7,020</t>
  </si>
  <si>
    <t xml:space="preserve">                 881.5</t>
  </si>
  <si>
    <t xml:space="preserve">              26,103</t>
  </si>
  <si>
    <t xml:space="preserve">             -19,082</t>
  </si>
  <si>
    <t xml:space="preserve">66</t>
  </si>
  <si>
    <t xml:space="preserve">산류(傘類)ㆍ지팡이ㆍ시트스틱(seat-stick)ㆍ채찍ㆍ승마용 채찍과 이들의 부분품</t>
  </si>
  <si>
    <t xml:space="preserve">                 111</t>
  </si>
  <si>
    <t xml:space="preserve">               1,437.2</t>
  </si>
  <si>
    <t xml:space="preserve">               9,780</t>
  </si>
  <si>
    <t xml:space="preserve">              -9,669</t>
  </si>
  <si>
    <t xml:space="preserve">67</t>
  </si>
  <si>
    <t xml:space="preserve">조제 깃털ㆍ솜털과 그 제품, 조화, 사람 머리카락으로 된 제품</t>
  </si>
  <si>
    <t xml:space="preserve">                  56.7</t>
  </si>
  <si>
    <t xml:space="preserve">               1,958</t>
  </si>
  <si>
    <t xml:space="preserve">                 737.0</t>
  </si>
  <si>
    <t xml:space="preserve">               9,996</t>
  </si>
  <si>
    <t xml:space="preserve">              -8,038</t>
  </si>
  <si>
    <t xml:space="preserve">68</t>
  </si>
  <si>
    <t xml:space="preserve">돌ㆍ플라스터(plaster)ㆍ시멘트ㆍ석면ㆍ운모나 이와 유사한 재료의 제품</t>
  </si>
  <si>
    <t xml:space="preserve">              10,973.1</t>
  </si>
  <si>
    <t xml:space="preserve">              81,447</t>
  </si>
  <si>
    <t xml:space="preserve">             231,026.8</t>
  </si>
  <si>
    <t xml:space="preserve">             121,248</t>
  </si>
  <si>
    <t xml:space="preserve">             -39,801</t>
  </si>
  <si>
    <t xml:space="preserve">69</t>
  </si>
  <si>
    <t xml:space="preserve">도자제품</t>
  </si>
  <si>
    <t xml:space="preserve">               2,879.0</t>
  </si>
  <si>
    <t xml:space="preserve">              35,590</t>
  </si>
  <si>
    <t xml:space="preserve">             156,902.8</t>
  </si>
  <si>
    <t xml:space="preserve">             142,171</t>
  </si>
  <si>
    <t xml:space="preserve">            -106,581</t>
  </si>
  <si>
    <t xml:space="preserve">70</t>
  </si>
  <si>
    <t xml:space="preserve">유리와 유리제품</t>
  </si>
  <si>
    <t xml:space="preserve">              34,405.2</t>
  </si>
  <si>
    <t xml:space="preserve">             180,016</t>
  </si>
  <si>
    <t xml:space="preserve">             101,219.8</t>
  </si>
  <si>
    <t xml:space="preserve">             217,351</t>
  </si>
  <si>
    <t xml:space="preserve">             -37,335</t>
  </si>
  <si>
    <t xml:space="preserve">71</t>
  </si>
  <si>
    <t xml:space="preserve">천연진주ㆍ양식진주ㆍ귀석ㆍ반귀석ㆍ귀금속ㆍ귀금속을 입힌 금속과 이들의 제품, 모조 신변장식용품, 주화</t>
  </si>
  <si>
    <t xml:space="preserve">                 879.9</t>
  </si>
  <si>
    <t xml:space="preserve">             332,272</t>
  </si>
  <si>
    <t xml:space="preserve">               1,825.4</t>
  </si>
  <si>
    <t xml:space="preserve">             500,809</t>
  </si>
  <si>
    <t xml:space="preserve">            -168,537</t>
  </si>
  <si>
    <t xml:space="preserve">72</t>
  </si>
  <si>
    <t xml:space="preserve">철강</t>
  </si>
  <si>
    <t xml:space="preserve">           2,153,462.3</t>
  </si>
  <si>
    <t xml:space="preserve">           2,065,468</t>
  </si>
  <si>
    <t xml:space="preserve">           1,531,713.7</t>
  </si>
  <si>
    <t xml:space="preserve">           1,255,753</t>
  </si>
  <si>
    <t xml:space="preserve">             809,715</t>
  </si>
  <si>
    <t xml:space="preserve">73</t>
  </si>
  <si>
    <t xml:space="preserve">철강의 제품</t>
  </si>
  <si>
    <t xml:space="preserve">             302,722.6</t>
  </si>
  <si>
    <t xml:space="preserve">             807,996</t>
  </si>
  <si>
    <t xml:space="preserve">             254,498.5</t>
  </si>
  <si>
    <t xml:space="preserve">             653,022</t>
  </si>
  <si>
    <t xml:space="preserve">             154,974</t>
  </si>
  <si>
    <t xml:space="preserve">74</t>
  </si>
  <si>
    <t xml:space="preserve">구리와 그 제품</t>
  </si>
  <si>
    <t xml:space="preserve">              52,071.9</t>
  </si>
  <si>
    <t xml:space="preserve">             422,578</t>
  </si>
  <si>
    <t xml:space="preserve">              64,333.6</t>
  </si>
  <si>
    <t xml:space="preserve">             523,965</t>
  </si>
  <si>
    <t xml:space="preserve">            -101,387</t>
  </si>
  <si>
    <t xml:space="preserve">75</t>
  </si>
  <si>
    <t xml:space="preserve">니켈과 그 제품</t>
  </si>
  <si>
    <t xml:space="preserve">               1,501.6</t>
  </si>
  <si>
    <t xml:space="preserve">              24,406</t>
  </si>
  <si>
    <t xml:space="preserve">               6,962.6</t>
  </si>
  <si>
    <t xml:space="preserve">             123,762</t>
  </si>
  <si>
    <t xml:space="preserve">             -99,355</t>
  </si>
  <si>
    <t xml:space="preserve">76</t>
  </si>
  <si>
    <t xml:space="preserve">알루미늄과 그 제품</t>
  </si>
  <si>
    <t xml:space="preserve">             117,431.1</t>
  </si>
  <si>
    <t xml:space="preserve">             420,911</t>
  </si>
  <si>
    <t xml:space="preserve">             268,349.5</t>
  </si>
  <si>
    <t xml:space="preserve">             712,791</t>
  </si>
  <si>
    <t xml:space="preserve">            -291,880</t>
  </si>
  <si>
    <t xml:space="preserve">78</t>
  </si>
  <si>
    <t xml:space="preserve">납과 그 제품</t>
  </si>
  <si>
    <t xml:space="preserve">              26,967.9</t>
  </si>
  <si>
    <t xml:space="preserve">              61,062</t>
  </si>
  <si>
    <t xml:space="preserve">              13,185.7</t>
  </si>
  <si>
    <t xml:space="preserve">              30,714</t>
  </si>
  <si>
    <t xml:space="preserve">              30,348</t>
  </si>
  <si>
    <t xml:space="preserve">79</t>
  </si>
  <si>
    <t xml:space="preserve">아연과 그 제품</t>
  </si>
  <si>
    <t xml:space="preserve">              49,671.9</t>
  </si>
  <si>
    <t xml:space="preserve">             133,018</t>
  </si>
  <si>
    <t xml:space="preserve">               1,903.5</t>
  </si>
  <si>
    <t xml:space="preserve">               6,166</t>
  </si>
  <si>
    <t xml:space="preserve">             126,852</t>
  </si>
  <si>
    <t xml:space="preserve">80</t>
  </si>
  <si>
    <t xml:space="preserve">주석과 그 제품</t>
  </si>
  <si>
    <t xml:space="preserve">                 183.6</t>
  </si>
  <si>
    <t xml:space="preserve">               5,695</t>
  </si>
  <si>
    <t xml:space="preserve">               1,364.9</t>
  </si>
  <si>
    <t xml:space="preserve">              36,750</t>
  </si>
  <si>
    <t xml:space="preserve">             -31,056</t>
  </si>
  <si>
    <t xml:space="preserve">81</t>
  </si>
  <si>
    <t xml:space="preserve">그 밖의 비금속(卑金屬), 서멧(cermet), 이들의 제품</t>
  </si>
  <si>
    <t xml:space="preserve">               2,240.2</t>
  </si>
  <si>
    <t xml:space="preserve">              23,743</t>
  </si>
  <si>
    <t xml:space="preserve">              14,981.9</t>
  </si>
  <si>
    <t xml:space="preserve">             101,900</t>
  </si>
  <si>
    <t xml:space="preserve">             -78,158</t>
  </si>
  <si>
    <t xml:space="preserve">82</t>
  </si>
  <si>
    <t xml:space="preserve">비금속(卑金屬)으로 만든 공구ㆍ도구ㆍ칼붙이ㆍ스푼ㆍ포크, 이들의 부분품</t>
  </si>
  <si>
    <t xml:space="preserve">               7,158.5</t>
  </si>
  <si>
    <t xml:space="preserve">             164,504</t>
  </si>
  <si>
    <t xml:space="preserve">               5,670.1</t>
  </si>
  <si>
    <t xml:space="preserve">              90,524</t>
  </si>
  <si>
    <t xml:space="preserve">              73,981</t>
  </si>
  <si>
    <t xml:space="preserve">83</t>
  </si>
  <si>
    <t xml:space="preserve">비금속(卑金屬)으로 만든 각종 제품</t>
  </si>
  <si>
    <t xml:space="preserve">              26,656.0</t>
  </si>
  <si>
    <t xml:space="preserve">             143,057</t>
  </si>
  <si>
    <t xml:space="preserve">              14,564.9</t>
  </si>
  <si>
    <t xml:space="preserve">              86,324</t>
  </si>
  <si>
    <t xml:space="preserve">              56,733</t>
  </si>
  <si>
    <t xml:space="preserve">84</t>
  </si>
  <si>
    <t xml:space="preserve">원자로ㆍ보일러ㆍ기계류와 이들의 부분품</t>
  </si>
  <si>
    <t xml:space="preserve">             389,576.7</t>
  </si>
  <si>
    <t xml:space="preserve">           5,981,471</t>
  </si>
  <si>
    <t xml:space="preserve">             214,039.0</t>
  </si>
  <si>
    <t xml:space="preserve">           5,471,938</t>
  </si>
  <si>
    <t xml:space="preserve">             509,533</t>
  </si>
  <si>
    <t xml:space="preserve">85</t>
  </si>
  <si>
    <t xml:space="preserve">전기기기와 그 부분품, 녹음기ㆍ음성 재생기ㆍ텔레비전의 영상과 음성의 기록기ㆍ재생기와 이들의 부분품ㆍ부속품</t>
  </si>
  <si>
    <t xml:space="preserve">             210,677.3</t>
  </si>
  <si>
    <t xml:space="preserve">          15,092,049</t>
  </si>
  <si>
    <t xml:space="preserve">             186,888.7</t>
  </si>
  <si>
    <t xml:space="preserve">          10,151,080</t>
  </si>
  <si>
    <t xml:space="preserve">           4,940,969</t>
  </si>
  <si>
    <t xml:space="preserve">86</t>
  </si>
  <si>
    <t xml:space="preserve">철도용이나 궤도용 기관차ㆍ차량과 이들의 부분품, 철도용이나 궤도용 장비품과 그 부분품, 기계식(전기기계식을 포함한다) 각종 교통신호용 기기</t>
  </si>
  <si>
    <t xml:space="preserve">              11,891.8</t>
  </si>
  <si>
    <t xml:space="preserve">              63,764</t>
  </si>
  <si>
    <t xml:space="preserve">              10,917.3</t>
  </si>
  <si>
    <t xml:space="preserve">              29,700</t>
  </si>
  <si>
    <t xml:space="preserve">              34,065</t>
  </si>
  <si>
    <t xml:space="preserve">87</t>
  </si>
  <si>
    <t xml:space="preserve">철도용이나 궤도용 외의 차량과 그 부분품ㆍ부속품</t>
  </si>
  <si>
    <t xml:space="preserve">             688,992.5</t>
  </si>
  <si>
    <t xml:space="preserve">           8,118,538</t>
  </si>
  <si>
    <t xml:space="preserve">              86,043.7</t>
  </si>
  <si>
    <t xml:space="preserve">           1,303,231</t>
  </si>
  <si>
    <t xml:space="preserve">           6,815,307</t>
  </si>
  <si>
    <t xml:space="preserve">88</t>
  </si>
  <si>
    <t xml:space="preserve">항공기와 우주선, 이들의 부분품</t>
  </si>
  <si>
    <t xml:space="preserve">                 362.9</t>
  </si>
  <si>
    <t xml:space="preserve">             125,804</t>
  </si>
  <si>
    <t xml:space="preserve">                 202.0</t>
  </si>
  <si>
    <t xml:space="preserve">             182,953</t>
  </si>
  <si>
    <t xml:space="preserve">             -57,149</t>
  </si>
  <si>
    <t xml:space="preserve">89</t>
  </si>
  <si>
    <t xml:space="preserve">선박과 수상 구조물</t>
  </si>
  <si>
    <t xml:space="preserve">           1,125,130.2</t>
  </si>
  <si>
    <t xml:space="preserve">           2,407,768</t>
  </si>
  <si>
    <t xml:space="preserve">              51,258.5</t>
  </si>
  <si>
    <t xml:space="preserve">              61,275</t>
  </si>
  <si>
    <t xml:space="preserve">           2,346,493</t>
  </si>
  <si>
    <t xml:space="preserve">90</t>
  </si>
  <si>
    <t xml:space="preserve">광학기기ㆍ사진용 기기ㆍ영화용 기기ㆍ측정기기ㆍ검사기기ㆍ정밀기기ㆍ의료용 기기, 이들의 부분품과 부속품</t>
  </si>
  <si>
    <t xml:space="preserve">              16,998.4</t>
  </si>
  <si>
    <t xml:space="preserve">           1,391,089</t>
  </si>
  <si>
    <t xml:space="preserve">              17,406.5</t>
  </si>
  <si>
    <t xml:space="preserve">           1,785,510</t>
  </si>
  <si>
    <t xml:space="preserve">            -394,422</t>
  </si>
  <si>
    <t xml:space="preserve">91</t>
  </si>
  <si>
    <t xml:space="preserve">시계와 그 부분품</t>
  </si>
  <si>
    <t xml:space="preserve">                  17.7</t>
  </si>
  <si>
    <t xml:space="preserve">              13,173</t>
  </si>
  <si>
    <t xml:space="preserve">                 368.4</t>
  </si>
  <si>
    <t xml:space="preserve">              75,132</t>
  </si>
  <si>
    <t xml:space="preserve">             -61,958</t>
  </si>
  <si>
    <t xml:space="preserve">92</t>
  </si>
  <si>
    <t xml:space="preserve">악기와 그 부분품과 부속품</t>
  </si>
  <si>
    <t xml:space="preserve">                 419.7</t>
  </si>
  <si>
    <t xml:space="preserve">               9,869</t>
  </si>
  <si>
    <t xml:space="preserve">                 747.0</t>
  </si>
  <si>
    <t xml:space="preserve">              18,112</t>
  </si>
  <si>
    <t xml:space="preserve">              -8,243</t>
  </si>
  <si>
    <t xml:space="preserve">93</t>
  </si>
  <si>
    <t xml:space="preserve">무기ㆍ총포탄과 이들의 부분품과 부속품</t>
  </si>
  <si>
    <t xml:space="preserve">               1,378.2</t>
  </si>
  <si>
    <t xml:space="preserve">             153,027</t>
  </si>
  <si>
    <t xml:space="preserve">                  74.7</t>
  </si>
  <si>
    <t xml:space="preserve">              20,440</t>
  </si>
  <si>
    <t xml:space="preserve">             132,587</t>
  </si>
  <si>
    <t xml:space="preserve">94</t>
  </si>
  <si>
    <t xml:space="preserve">가구, 침구ㆍ매트리스ㆍ매트리스 서포트(mattress support)ㆍ쿠션과 이와 유사한 물품, 다른 류로 분류되지 않은 조명기구, 조명용 사인ㆍ조명용 네임플레이트(name-plate)와 이와 유사한 물품, 조립식 건축물</t>
  </si>
  <si>
    <t xml:space="preserve">              15,670.1</t>
  </si>
  <si>
    <t xml:space="preserve">             113,358</t>
  </si>
  <si>
    <t xml:space="preserve">              81,689.5</t>
  </si>
  <si>
    <t xml:space="preserve">             346,582</t>
  </si>
  <si>
    <t xml:space="preserve">            -233,224</t>
  </si>
  <si>
    <t xml:space="preserve">95</t>
  </si>
  <si>
    <t xml:space="preserve">완구ㆍ게임용구ㆍ운동용구와 이들의 부분품과 부속품</t>
  </si>
  <si>
    <t xml:space="preserve">               1,912.9</t>
  </si>
  <si>
    <t xml:space="preserve">              42,834</t>
  </si>
  <si>
    <t xml:space="preserve">              14,921.9</t>
  </si>
  <si>
    <t xml:space="preserve">             217,744</t>
  </si>
  <si>
    <t xml:space="preserve">            -174,910</t>
  </si>
  <si>
    <t xml:space="preserve">96</t>
  </si>
  <si>
    <t xml:space="preserve">잡품</t>
  </si>
  <si>
    <t xml:space="preserve">               2,097.2</t>
  </si>
  <si>
    <t xml:space="preserve">              35,997</t>
  </si>
  <si>
    <t xml:space="preserve">              12,364.7</t>
  </si>
  <si>
    <t xml:space="preserve">             101,386</t>
  </si>
  <si>
    <t xml:space="preserve">             -65,389</t>
  </si>
  <si>
    <t xml:space="preserve">97</t>
  </si>
  <si>
    <t xml:space="preserve">예술품ㆍ수집품ㆍ골동품</t>
  </si>
  <si>
    <t xml:space="preserve">                  13.1</t>
  </si>
  <si>
    <t xml:space="preserve">              30,149</t>
  </si>
  <si>
    <t xml:space="preserve">                  48.5</t>
  </si>
  <si>
    <t xml:space="preserve">              23,407</t>
  </si>
  <si>
    <t xml:space="preserve">               6,743</t>
  </si>
  <si>
    <t xml:space="preserve">99</t>
  </si>
  <si>
    <t xml:space="preserve">일시적 입법 ; 설치된 간이 수정에 따른 입법을 트레이드한다 ; 추가적 수입제한농업인 것의 제 22 부에 따른 확립된 것 조정 행위, 수정된 것처럼</t>
  </si>
  <si>
    <t xml:space="preserve">                   0.0</t>
  </si>
  <si>
    <t xml:space="preserve">                   0</t>
  </si>
  <si>
    <t xml:space="preserve">                 495.8</t>
  </si>
  <si>
    <t xml:space="preserve">                   2.8</t>
  </si>
  <si>
    <t xml:space="preserve">                 712</t>
  </si>
  <si>
    <t xml:space="preserve">                  53.4</t>
  </si>
  <si>
    <t xml:space="preserve">               4,050</t>
  </si>
  <si>
    <t xml:space="preserve">              -3,338</t>
  </si>
  <si>
    <t xml:space="preserve">               5,691.2</t>
  </si>
  <si>
    <t xml:space="preserve">               7,710</t>
  </si>
  <si>
    <t xml:space="preserve">              89,977.1</t>
  </si>
  <si>
    <t xml:space="preserve">             466,316</t>
  </si>
  <si>
    <t xml:space="preserve">            -458,605</t>
  </si>
  <si>
    <t xml:space="preserve">              41,589.0</t>
  </si>
  <si>
    <t xml:space="preserve">             124,869</t>
  </si>
  <si>
    <t xml:space="preserve">              94,230.7</t>
  </si>
  <si>
    <t xml:space="preserve">             385,892</t>
  </si>
  <si>
    <t xml:space="preserve">            -261,023</t>
  </si>
  <si>
    <t xml:space="preserve">               2,718.4</t>
  </si>
  <si>
    <t xml:space="preserve">               6,529</t>
  </si>
  <si>
    <t xml:space="preserve">              21,648.4</t>
  </si>
  <si>
    <t xml:space="preserve">              81,413</t>
  </si>
  <si>
    <t xml:space="preserve">             -74,884</t>
  </si>
  <si>
    <t xml:space="preserve">               1,090.5</t>
  </si>
  <si>
    <t xml:space="preserve">               3,523</t>
  </si>
  <si>
    <t xml:space="preserve">               3,053.6</t>
  </si>
  <si>
    <t xml:space="preserve">              21,617</t>
  </si>
  <si>
    <t xml:space="preserve">             -18,094</t>
  </si>
  <si>
    <t xml:space="preserve">                  50.6</t>
  </si>
  <si>
    <t xml:space="preserve">                 210</t>
  </si>
  <si>
    <t xml:space="preserve">               5,836.4</t>
  </si>
  <si>
    <t xml:space="preserve">              14,195</t>
  </si>
  <si>
    <t xml:space="preserve">             -13,985</t>
  </si>
  <si>
    <t xml:space="preserve">               3,427.6</t>
  </si>
  <si>
    <t xml:space="preserve">               9,624</t>
  </si>
  <si>
    <t xml:space="preserve">              63,719.4</t>
  </si>
  <si>
    <t xml:space="preserve">              57,438</t>
  </si>
  <si>
    <t xml:space="preserve">             -47,813</t>
  </si>
  <si>
    <t xml:space="preserve">               1,544.8</t>
  </si>
  <si>
    <t xml:space="preserve">              18,098</t>
  </si>
  <si>
    <t xml:space="preserve">              69,429.5</t>
  </si>
  <si>
    <t xml:space="preserve">             149,910</t>
  </si>
  <si>
    <t xml:space="preserve">            -131,812</t>
  </si>
  <si>
    <t xml:space="preserve">                 366.7</t>
  </si>
  <si>
    <t xml:space="preserve">               3,019</t>
  </si>
  <si>
    <t xml:space="preserve">              16,446.1</t>
  </si>
  <si>
    <t xml:space="preserve">              83,805</t>
  </si>
  <si>
    <t xml:space="preserve">             -80,786</t>
  </si>
  <si>
    <t xml:space="preserve">                 479.8</t>
  </si>
  <si>
    <t xml:space="preserve">               1,127</t>
  </si>
  <si>
    <t xml:space="preserve">           1,401,381.1</t>
  </si>
  <si>
    <t xml:space="preserve">             383,110</t>
  </si>
  <si>
    <t xml:space="preserve">            -381,983</t>
  </si>
  <si>
    <t xml:space="preserve">               5,924.6</t>
  </si>
  <si>
    <t xml:space="preserve">               4,179</t>
  </si>
  <si>
    <t xml:space="preserve">              25,621.0</t>
  </si>
  <si>
    <t xml:space="preserve">              21,934</t>
  </si>
  <si>
    <t xml:space="preserve">             -17,755</t>
  </si>
  <si>
    <t xml:space="preserve">               1,875.0</t>
  </si>
  <si>
    <t xml:space="preserve">              34,253</t>
  </si>
  <si>
    <t xml:space="preserve">             189,009.7</t>
  </si>
  <si>
    <t xml:space="preserve">             119,309</t>
  </si>
  <si>
    <t xml:space="preserve">             -85,055</t>
  </si>
  <si>
    <t xml:space="preserve">                 361.7</t>
  </si>
  <si>
    <t xml:space="preserve">               8,140</t>
  </si>
  <si>
    <t xml:space="preserve">              11,200.0</t>
  </si>
  <si>
    <t xml:space="preserve">              25,635</t>
  </si>
  <si>
    <t xml:space="preserve">             -17,495</t>
  </si>
  <si>
    <t xml:space="preserve">                  12.9</t>
  </si>
  <si>
    <t xml:space="preserve">                  12</t>
  </si>
  <si>
    <t xml:space="preserve">              12,028.1</t>
  </si>
  <si>
    <t xml:space="preserve">               3,120</t>
  </si>
  <si>
    <t xml:space="preserve">              -3,108</t>
  </si>
  <si>
    <t xml:space="preserve">              10,083.7</t>
  </si>
  <si>
    <t xml:space="preserve">              11,664</t>
  </si>
  <si>
    <t xml:space="preserve">             128,526.8</t>
  </si>
  <si>
    <t xml:space="preserve">             150,487</t>
  </si>
  <si>
    <t xml:space="preserve">            -138,823</t>
  </si>
  <si>
    <t xml:space="preserve">               3,940.8</t>
  </si>
  <si>
    <t xml:space="preserve">              22,662</t>
  </si>
  <si>
    <t xml:space="preserve">              12,309.1</t>
  </si>
  <si>
    <t xml:space="preserve">              67,357</t>
  </si>
  <si>
    <t xml:space="preserve">             -44,695</t>
  </si>
  <si>
    <t xml:space="preserve">              30,106.3</t>
  </si>
  <si>
    <t xml:space="preserve">              28,636</t>
  </si>
  <si>
    <t xml:space="preserve">             197,461.1</t>
  </si>
  <si>
    <t xml:space="preserve">             136,443</t>
  </si>
  <si>
    <t xml:space="preserve">            -107,807</t>
  </si>
  <si>
    <t xml:space="preserve">               1,356.9</t>
  </si>
  <si>
    <t xml:space="preserve">               4,394</t>
  </si>
  <si>
    <t xml:space="preserve">               5,242.0</t>
  </si>
  <si>
    <t xml:space="preserve">              34,961</t>
  </si>
  <si>
    <t xml:space="preserve">             -30,566</t>
  </si>
  <si>
    <t xml:space="preserve">              44,592.6</t>
  </si>
  <si>
    <t xml:space="preserve">             179,549</t>
  </si>
  <si>
    <t xml:space="preserve">              22,857.0</t>
  </si>
  <si>
    <t xml:space="preserve">              77,015</t>
  </si>
  <si>
    <t xml:space="preserve">             102,534</t>
  </si>
  <si>
    <t xml:space="preserve">               9,853.4</t>
  </si>
  <si>
    <t xml:space="preserve">              73,877</t>
  </si>
  <si>
    <t xml:space="preserve">              77,995.8</t>
  </si>
  <si>
    <t xml:space="preserve">             109,161</t>
  </si>
  <si>
    <t xml:space="preserve">             -35,284</t>
  </si>
  <si>
    <t xml:space="preserve">              33,450.6</t>
  </si>
  <si>
    <t xml:space="preserve">             131,030</t>
  </si>
  <si>
    <t xml:space="preserve">              27,237.6</t>
  </si>
  <si>
    <t xml:space="preserve">             221,782</t>
  </si>
  <si>
    <t xml:space="preserve">             -90,752</t>
  </si>
  <si>
    <t xml:space="preserve">              71,095.6</t>
  </si>
  <si>
    <t xml:space="preserve">              86,389</t>
  </si>
  <si>
    <t xml:space="preserve">              82,369.0</t>
  </si>
  <si>
    <t xml:space="preserve">             110,688</t>
  </si>
  <si>
    <t xml:space="preserve">             -24,299</t>
  </si>
  <si>
    <t xml:space="preserve">              22,403.6</t>
  </si>
  <si>
    <t xml:space="preserve">              25,342</t>
  </si>
  <si>
    <t xml:space="preserve">             562,612.9</t>
  </si>
  <si>
    <t xml:space="preserve">             213,072</t>
  </si>
  <si>
    <t xml:space="preserve">            -187,730</t>
  </si>
  <si>
    <t xml:space="preserve">               8,814.1</t>
  </si>
  <si>
    <t xml:space="preserve">              82,228</t>
  </si>
  <si>
    <t xml:space="preserve">               9,212.8</t>
  </si>
  <si>
    <t xml:space="preserve">              72,199</t>
  </si>
  <si>
    <t xml:space="preserve">              10,029</t>
  </si>
  <si>
    <t xml:space="preserve">             450,130.4</t>
  </si>
  <si>
    <t xml:space="preserve">              25,189</t>
  </si>
  <si>
    <t xml:space="preserve">             863,486.0</t>
  </si>
  <si>
    <t xml:space="preserve">              76,307</t>
  </si>
  <si>
    <t xml:space="preserve">             -51,118</t>
  </si>
  <si>
    <t xml:space="preserve">             182,206.0</t>
  </si>
  <si>
    <t xml:space="preserve">             136,990</t>
  </si>
  <si>
    <t xml:space="preserve">           5,765,097.1</t>
  </si>
  <si>
    <t xml:space="preserve">           1,487,991</t>
  </si>
  <si>
    <t xml:space="preserve">          -1,351,001</t>
  </si>
  <si>
    <t xml:space="preserve">           5,670,229.3</t>
  </si>
  <si>
    <t xml:space="preserve">           4,589,485</t>
  </si>
  <si>
    <t xml:space="preserve">          29,923,854.8</t>
  </si>
  <si>
    <t xml:space="preserve">          13,927,770</t>
  </si>
  <si>
    <t xml:space="preserve">          -9,338,285</t>
  </si>
  <si>
    <t xml:space="preserve">             408,526.2</t>
  </si>
  <si>
    <t xml:space="preserve">             941,068</t>
  </si>
  <si>
    <t xml:space="preserve">             297,641.4</t>
  </si>
  <si>
    <t xml:space="preserve">             887,329</t>
  </si>
  <si>
    <t xml:space="preserve">              53,739</t>
  </si>
  <si>
    <t xml:space="preserve">           1,645,116.5</t>
  </si>
  <si>
    <t xml:space="preserve">           1,870,413</t>
  </si>
  <si>
    <t xml:space="preserve">             632,632.8</t>
  </si>
  <si>
    <t xml:space="preserve">           1,059,789</t>
  </si>
  <si>
    <t xml:space="preserve">             810,624</t>
  </si>
  <si>
    <t xml:space="preserve">               2,144.2</t>
  </si>
  <si>
    <t xml:space="preserve">             597,545</t>
  </si>
  <si>
    <t xml:space="preserve">               6,726.7</t>
  </si>
  <si>
    <t xml:space="preserve">             720,409</t>
  </si>
  <si>
    <t xml:space="preserve">            -122,864</t>
  </si>
  <si>
    <t xml:space="preserve">              71,723.5</t>
  </si>
  <si>
    <t xml:space="preserve">              30,087</t>
  </si>
  <si>
    <t xml:space="preserve">             199,383.9</t>
  </si>
  <si>
    <t xml:space="preserve">              80,001</t>
  </si>
  <si>
    <t xml:space="preserve">             -49,913</t>
  </si>
  <si>
    <t xml:space="preserve">              30,858.2</t>
  </si>
  <si>
    <t xml:space="preserve">             243,025</t>
  </si>
  <si>
    <t xml:space="preserve">              22,704.4</t>
  </si>
  <si>
    <t xml:space="preserve">             170,224</t>
  </si>
  <si>
    <t xml:space="preserve">              72,801</t>
  </si>
  <si>
    <t xml:space="preserve">              32,122.7</t>
  </si>
  <si>
    <t xml:space="preserve">             698,589</t>
  </si>
  <si>
    <t xml:space="preserve">               8,361.3</t>
  </si>
  <si>
    <t xml:space="preserve">             155,080</t>
  </si>
  <si>
    <t xml:space="preserve">             543,508</t>
  </si>
  <si>
    <t xml:space="preserve">              53,530.7</t>
  </si>
  <si>
    <t xml:space="preserve">             135,292</t>
  </si>
  <si>
    <t xml:space="preserve">              19,379.2</t>
  </si>
  <si>
    <t xml:space="preserve">              80,202</t>
  </si>
  <si>
    <t xml:space="preserve">              55,091</t>
  </si>
  <si>
    <t xml:space="preserve">               5,794.8</t>
  </si>
  <si>
    <t xml:space="preserve">              73,663</t>
  </si>
  <si>
    <t xml:space="preserve">              14,104.6</t>
  </si>
  <si>
    <t xml:space="preserve">              69,064</t>
  </si>
  <si>
    <t xml:space="preserve">               4,599</t>
  </si>
  <si>
    <t xml:space="preserve">                 215.6</t>
  </si>
  <si>
    <t xml:space="preserve">               3,040</t>
  </si>
  <si>
    <t xml:space="preserve">                 146.2</t>
  </si>
  <si>
    <t xml:space="preserve">               1,238</t>
  </si>
  <si>
    <t xml:space="preserve">               1,802</t>
  </si>
  <si>
    <t xml:space="preserve">               1,712.9</t>
  </si>
  <si>
    <t xml:space="preserve">              82,155</t>
  </si>
  <si>
    <t xml:space="preserve">               3,229.1</t>
  </si>
  <si>
    <t xml:space="preserve">              86,969</t>
  </si>
  <si>
    <t xml:space="preserve">              -4,815</t>
  </si>
  <si>
    <t xml:space="preserve">              98,562.2</t>
  </si>
  <si>
    <t xml:space="preserve">             533,432</t>
  </si>
  <si>
    <t xml:space="preserve">             200,138.9</t>
  </si>
  <si>
    <t xml:space="preserve">             684,848</t>
  </si>
  <si>
    <t xml:space="preserve">            -151,416</t>
  </si>
  <si>
    <t xml:space="preserve">           1,493,478.4</t>
  </si>
  <si>
    <t xml:space="preserve">           2,946,760</t>
  </si>
  <si>
    <t xml:space="preserve">             216,806.8</t>
  </si>
  <si>
    <t xml:space="preserve">             901,010</t>
  </si>
  <si>
    <t xml:space="preserve">           2,045,751</t>
  </si>
  <si>
    <t xml:space="preserve">             237,373.4</t>
  </si>
  <si>
    <t xml:space="preserve">             601,129</t>
  </si>
  <si>
    <t xml:space="preserve">              63,722.0</t>
  </si>
  <si>
    <t xml:space="preserve">             212,351</t>
  </si>
  <si>
    <t xml:space="preserve">             388,778</t>
  </si>
  <si>
    <t xml:space="preserve">               2,594.2</t>
  </si>
  <si>
    <t xml:space="preserve">              23,663</t>
  </si>
  <si>
    <t xml:space="preserve">               6,509.7</t>
  </si>
  <si>
    <t xml:space="preserve">              19,498</t>
  </si>
  <si>
    <t xml:space="preserve">               4,165</t>
  </si>
  <si>
    <t xml:space="preserve">                 738.6</t>
  </si>
  <si>
    <t xml:space="preserve">              24,685</t>
  </si>
  <si>
    <t xml:space="preserve">               6,576.3</t>
  </si>
  <si>
    <t xml:space="preserve">             291,932</t>
  </si>
  <si>
    <t xml:space="preserve">            -267,247</t>
  </si>
  <si>
    <t xml:space="preserve">                   4.5</t>
  </si>
  <si>
    <t xml:space="preserve">                 441</t>
  </si>
  <si>
    <t xml:space="preserve">                  13.4</t>
  </si>
  <si>
    <t xml:space="preserve">               1,530</t>
  </si>
  <si>
    <t xml:space="preserve">              -1,089</t>
  </si>
  <si>
    <t xml:space="preserve">               4,535.7</t>
  </si>
  <si>
    <t xml:space="preserve">               4,995</t>
  </si>
  <si>
    <t xml:space="preserve">             681,187.3</t>
  </si>
  <si>
    <t xml:space="preserve">             203,530</t>
  </si>
  <si>
    <t xml:space="preserve">            -198,535</t>
  </si>
  <si>
    <t xml:space="preserve">                   8.0</t>
  </si>
  <si>
    <t xml:space="preserve">                  76</t>
  </si>
  <si>
    <t xml:space="preserve">                  66.1</t>
  </si>
  <si>
    <t xml:space="preserve">                 326</t>
  </si>
  <si>
    <t xml:space="preserve">                -250</t>
  </si>
  <si>
    <t xml:space="preserve">                  86</t>
  </si>
  <si>
    <t xml:space="preserve">                 214.1</t>
  </si>
  <si>
    <t xml:space="preserve">               1,397</t>
  </si>
  <si>
    <t xml:space="preserve">              -1,311</t>
  </si>
  <si>
    <t xml:space="preserve">              49,638.2</t>
  </si>
  <si>
    <t xml:space="preserve">              10,449</t>
  </si>
  <si>
    <t xml:space="preserve">             233,153.2</t>
  </si>
  <si>
    <t xml:space="preserve">             135,608</t>
  </si>
  <si>
    <t xml:space="preserve">            -125,159</t>
  </si>
  <si>
    <t xml:space="preserve">             230,372.6</t>
  </si>
  <si>
    <t xml:space="preserve">             231,242</t>
  </si>
  <si>
    <t xml:space="preserve">             112,920.6</t>
  </si>
  <si>
    <t xml:space="preserve">             167,074</t>
  </si>
  <si>
    <t xml:space="preserve">              64,168</t>
  </si>
  <si>
    <t xml:space="preserve">               2,729.3</t>
  </si>
  <si>
    <t xml:space="preserve">              24,884</t>
  </si>
  <si>
    <t xml:space="preserve">               1,119.9</t>
  </si>
  <si>
    <t xml:space="preserve">              18,965</t>
  </si>
  <si>
    <t xml:space="preserve">               5,919</t>
  </si>
  <si>
    <t xml:space="preserve">                  19.4</t>
  </si>
  <si>
    <t xml:space="preserve">               1,767</t>
  </si>
  <si>
    <t xml:space="preserve">                  31.4</t>
  </si>
  <si>
    <t xml:space="preserve">               1,867</t>
  </si>
  <si>
    <t xml:space="preserve">                 -99</t>
  </si>
  <si>
    <t xml:space="preserve">                 115.6</t>
  </si>
  <si>
    <t xml:space="preserve">               2,702</t>
  </si>
  <si>
    <t xml:space="preserve">                 884.9</t>
  </si>
  <si>
    <t xml:space="preserve">              15,021</t>
  </si>
  <si>
    <t xml:space="preserve">             -12,319</t>
  </si>
  <si>
    <t xml:space="preserve">               2,731.6</t>
  </si>
  <si>
    <t xml:space="preserve">              21,304</t>
  </si>
  <si>
    <t xml:space="preserve">              20,255.2</t>
  </si>
  <si>
    <t xml:space="preserve">              61,935</t>
  </si>
  <si>
    <t xml:space="preserve">             -40,631</t>
  </si>
  <si>
    <t xml:space="preserve">                  27.6</t>
  </si>
  <si>
    <t xml:space="preserve">                 665</t>
  </si>
  <si>
    <t xml:space="preserve">                 863.3</t>
  </si>
  <si>
    <t xml:space="preserve">               5,200</t>
  </si>
  <si>
    <t xml:space="preserve">              -4,535</t>
  </si>
  <si>
    <t xml:space="preserve">              25,767.8</t>
  </si>
  <si>
    <t xml:space="preserve">             160,685</t>
  </si>
  <si>
    <t xml:space="preserve">              31,644.1</t>
  </si>
  <si>
    <t xml:space="preserve">              73,968</t>
  </si>
  <si>
    <t xml:space="preserve">              86,717</t>
  </si>
  <si>
    <t xml:space="preserve">              56,907.8</t>
  </si>
  <si>
    <t xml:space="preserve">              97,400</t>
  </si>
  <si>
    <t xml:space="preserve">              10,234.0</t>
  </si>
  <si>
    <t xml:space="preserve">              39,506</t>
  </si>
  <si>
    <t xml:space="preserve">              57,893</t>
  </si>
  <si>
    <t xml:space="preserve">               8,754.5</t>
  </si>
  <si>
    <t xml:space="preserve">              62,671</t>
  </si>
  <si>
    <t xml:space="preserve">              15,034.0</t>
  </si>
  <si>
    <t xml:space="preserve">              47,205</t>
  </si>
  <si>
    <t xml:space="preserve">              15,466</t>
  </si>
  <si>
    <t xml:space="preserve">                 497.8</t>
  </si>
  <si>
    <t xml:space="preserve">               3,065</t>
  </si>
  <si>
    <t xml:space="preserve">               4,197.3</t>
  </si>
  <si>
    <t xml:space="preserve">               8,780</t>
  </si>
  <si>
    <t xml:space="preserve">              -5,715</t>
  </si>
  <si>
    <t xml:space="preserve">               1,353.4</t>
  </si>
  <si>
    <t xml:space="preserve">              16,267</t>
  </si>
  <si>
    <t xml:space="preserve">                 520.6</t>
  </si>
  <si>
    <t xml:space="preserve">               4,402</t>
  </si>
  <si>
    <t xml:space="preserve">              11,865</t>
  </si>
  <si>
    <t xml:space="preserve">               9,206.0</t>
  </si>
  <si>
    <t xml:space="preserve">              94,707</t>
  </si>
  <si>
    <t xml:space="preserve">               5,070.1</t>
  </si>
  <si>
    <t xml:space="preserve">              30,614</t>
  </si>
  <si>
    <t xml:space="preserve">              64,093</t>
  </si>
  <si>
    <t xml:space="preserve">              18,326.1</t>
  </si>
  <si>
    <t xml:space="preserve">             142,974</t>
  </si>
  <si>
    <t xml:space="preserve">               1,390.6</t>
  </si>
  <si>
    <t xml:space="preserve">               7,485</t>
  </si>
  <si>
    <t xml:space="preserve">             135,489</t>
  </si>
  <si>
    <t xml:space="preserve">               2,315.6</t>
  </si>
  <si>
    <t xml:space="preserve">              60,261</t>
  </si>
  <si>
    <t xml:space="preserve">              15,733.9</t>
  </si>
  <si>
    <t xml:space="preserve">             366,215</t>
  </si>
  <si>
    <t xml:space="preserve">            -305,954</t>
  </si>
  <si>
    <t xml:space="preserve">               2,282.3</t>
  </si>
  <si>
    <t xml:space="preserve">              64,578</t>
  </si>
  <si>
    <t xml:space="preserve">              14,589.2</t>
  </si>
  <si>
    <t xml:space="preserve">             530,287</t>
  </si>
  <si>
    <t xml:space="preserve">            -465,709</t>
  </si>
  <si>
    <t xml:space="preserve">              26,502.7</t>
  </si>
  <si>
    <t xml:space="preserve">              52,819</t>
  </si>
  <si>
    <t xml:space="preserve">              19,296.3</t>
  </si>
  <si>
    <t xml:space="preserve">              75,671</t>
  </si>
  <si>
    <t xml:space="preserve">             -22,852</t>
  </si>
  <si>
    <t xml:space="preserve">               1,132.2</t>
  </si>
  <si>
    <t xml:space="preserve">              31,891</t>
  </si>
  <si>
    <t xml:space="preserve">               9,127.7</t>
  </si>
  <si>
    <t xml:space="preserve">             295,841</t>
  </si>
  <si>
    <t xml:space="preserve">            -263,950</t>
  </si>
  <si>
    <t xml:space="preserve">                 209.4</t>
  </si>
  <si>
    <t xml:space="preserve">               6,837</t>
  </si>
  <si>
    <t xml:space="preserve">                 493.6</t>
  </si>
  <si>
    <t xml:space="preserve">              17,852</t>
  </si>
  <si>
    <t xml:space="preserve">             -11,015</t>
  </si>
  <si>
    <t xml:space="preserve">                   2.5</t>
  </si>
  <si>
    <t xml:space="preserve">                  98</t>
  </si>
  <si>
    <t xml:space="preserve">               1,247.7</t>
  </si>
  <si>
    <t xml:space="preserve">               8,559</t>
  </si>
  <si>
    <t xml:space="preserve">              -8,462</t>
  </si>
  <si>
    <t xml:space="preserve">                  43.0</t>
  </si>
  <si>
    <t xml:space="preserve">               1,429</t>
  </si>
  <si>
    <t xml:space="preserve">                 281.8</t>
  </si>
  <si>
    <t xml:space="preserve">               5,579</t>
  </si>
  <si>
    <t xml:space="preserve">              -4,150</t>
  </si>
  <si>
    <t xml:space="preserve">              10,069.0</t>
  </si>
  <si>
    <t xml:space="preserve">              73,422</t>
  </si>
  <si>
    <t xml:space="preserve">             132,524.5</t>
  </si>
  <si>
    <t xml:space="preserve">              88,482</t>
  </si>
  <si>
    <t xml:space="preserve">             -15,060</t>
  </si>
  <si>
    <t xml:space="preserve">               2,425.9</t>
  </si>
  <si>
    <t xml:space="preserve">              27,853</t>
  </si>
  <si>
    <t xml:space="preserve">             101,080.7</t>
  </si>
  <si>
    <t xml:space="preserve">             108,755</t>
  </si>
  <si>
    <t xml:space="preserve">             -80,902</t>
  </si>
  <si>
    <t xml:space="preserve">              30,079.0</t>
  </si>
  <si>
    <t xml:space="preserve">             148,010</t>
  </si>
  <si>
    <t xml:space="preserve">              89,284.2</t>
  </si>
  <si>
    <t xml:space="preserve">             185,011</t>
  </si>
  <si>
    <t xml:space="preserve">             -37,001</t>
  </si>
  <si>
    <t xml:space="preserve">                 719.9</t>
  </si>
  <si>
    <t xml:space="preserve">             347,542</t>
  </si>
  <si>
    <t xml:space="preserve">               1,545.3</t>
  </si>
  <si>
    <t xml:space="preserve">             319,735</t>
  </si>
  <si>
    <t xml:space="preserve">              27,807</t>
  </si>
  <si>
    <t xml:space="preserve">           2,109,328.5</t>
  </si>
  <si>
    <t xml:space="preserve">           2,037,922</t>
  </si>
  <si>
    <t xml:space="preserve">           1,556,210.6</t>
  </si>
  <si>
    <t xml:space="preserve">           1,254,325</t>
  </si>
  <si>
    <t xml:space="preserve">             783,596</t>
  </si>
  <si>
    <t xml:space="preserve">             283,466.9</t>
  </si>
  <si>
    <t xml:space="preserve">             750,069</t>
  </si>
  <si>
    <t xml:space="preserve">             192,347.3</t>
  </si>
  <si>
    <t xml:space="preserve">             529,077</t>
  </si>
  <si>
    <t xml:space="preserve">             220,992</t>
  </si>
  <si>
    <t xml:space="preserve">              41,942.8</t>
  </si>
  <si>
    <t xml:space="preserve">             362,502</t>
  </si>
  <si>
    <t xml:space="preserve">              64,305.1</t>
  </si>
  <si>
    <t xml:space="preserve">             535,518</t>
  </si>
  <si>
    <t xml:space="preserve">            -173,016</t>
  </si>
  <si>
    <t xml:space="preserve">                 689.6</t>
  </si>
  <si>
    <t xml:space="preserve">              15,797</t>
  </si>
  <si>
    <t xml:space="preserve">              12,769.0</t>
  </si>
  <si>
    <t xml:space="preserve">             135,436</t>
  </si>
  <si>
    <t xml:space="preserve">            -119,639</t>
  </si>
  <si>
    <t xml:space="preserve">              96,453.7</t>
  </si>
  <si>
    <t xml:space="preserve">             361,081</t>
  </si>
  <si>
    <t xml:space="preserve">             229,227.0</t>
  </si>
  <si>
    <t xml:space="preserve">             598,910</t>
  </si>
  <si>
    <t xml:space="preserve">            -237,829</t>
  </si>
  <si>
    <t xml:space="preserve">              30,986.5</t>
  </si>
  <si>
    <t xml:space="preserve">              70,023</t>
  </si>
  <si>
    <t xml:space="preserve">              10,968.0</t>
  </si>
  <si>
    <t xml:space="preserve">              24,715</t>
  </si>
  <si>
    <t xml:space="preserve">              45,308</t>
  </si>
  <si>
    <t xml:space="preserve">              46,301.2</t>
  </si>
  <si>
    <t xml:space="preserve">             120,303</t>
  </si>
  <si>
    <t xml:space="preserve">               2,561.0</t>
  </si>
  <si>
    <t xml:space="preserve">               7,290</t>
  </si>
  <si>
    <t xml:space="preserve">             113,013</t>
  </si>
  <si>
    <t xml:space="preserve">                 148.2</t>
  </si>
  <si>
    <t xml:space="preserve">               5,277</t>
  </si>
  <si>
    <t xml:space="preserve">                 880.7</t>
  </si>
  <si>
    <t xml:space="preserve">              24,944</t>
  </si>
  <si>
    <t xml:space="preserve">             -19,667</t>
  </si>
  <si>
    <t xml:space="preserve">               1,846.9</t>
  </si>
  <si>
    <t xml:space="preserve">              24,995</t>
  </si>
  <si>
    <t xml:space="preserve">              10,430.2</t>
  </si>
  <si>
    <t xml:space="preserve">              92,181</t>
  </si>
  <si>
    <t xml:space="preserve">             -67,185</t>
  </si>
  <si>
    <t xml:space="preserve">               8,209.2</t>
  </si>
  <si>
    <t xml:space="preserve">             170,223</t>
  </si>
  <si>
    <t xml:space="preserve">               3,669.0</t>
  </si>
  <si>
    <t xml:space="preserve">              68,013</t>
  </si>
  <si>
    <t xml:space="preserve">             102,210</t>
  </si>
  <si>
    <t xml:space="preserve">              24,657.1</t>
  </si>
  <si>
    <t xml:space="preserve">             139,278</t>
  </si>
  <si>
    <t xml:space="preserve">               9,758.4</t>
  </si>
  <si>
    <t xml:space="preserve">              65,908</t>
  </si>
  <si>
    <t xml:space="preserve">              73,370</t>
  </si>
  <si>
    <t xml:space="preserve">             415,392.2</t>
  </si>
  <si>
    <t xml:space="preserve">           6,139,483</t>
  </si>
  <si>
    <t xml:space="preserve">             173,217.8</t>
  </si>
  <si>
    <t xml:space="preserve">           4,963,898</t>
  </si>
  <si>
    <t xml:space="preserve">           1,175,585</t>
  </si>
  <si>
    <t xml:space="preserve">             232,068.7</t>
  </si>
  <si>
    <t xml:space="preserve">          15,252,575</t>
  </si>
  <si>
    <t xml:space="preserve">             154,757.1</t>
  </si>
  <si>
    <t xml:space="preserve">           8,891,416</t>
  </si>
  <si>
    <t xml:space="preserve">           6,361,160</t>
  </si>
  <si>
    <t xml:space="preserve">              11,084.0</t>
  </si>
  <si>
    <t xml:space="preserve">             103,098</t>
  </si>
  <si>
    <t xml:space="preserve">               8,517.8</t>
  </si>
  <si>
    <t xml:space="preserve">              25,097</t>
  </si>
  <si>
    <t xml:space="preserve">              78,001</t>
  </si>
  <si>
    <t xml:space="preserve">             621,537.0</t>
  </si>
  <si>
    <t xml:space="preserve">           6,910,254</t>
  </si>
  <si>
    <t xml:space="preserve">              92,217.7</t>
  </si>
  <si>
    <t xml:space="preserve">           1,478,407</t>
  </si>
  <si>
    <t xml:space="preserve">           5,431,846</t>
  </si>
  <si>
    <t xml:space="preserve">                 393.8</t>
  </si>
  <si>
    <t xml:space="preserve">             201,780</t>
  </si>
  <si>
    <t xml:space="preserve">                 597.5</t>
  </si>
  <si>
    <t xml:space="preserve">             318,017</t>
  </si>
  <si>
    <t xml:space="preserve">            -116,237</t>
  </si>
  <si>
    <t xml:space="preserve">             523,166.6</t>
  </si>
  <si>
    <t xml:space="preserve">           1,610,777</t>
  </si>
  <si>
    <t xml:space="preserve">             151,837.0</t>
  </si>
  <si>
    <t xml:space="preserve">             161,029</t>
  </si>
  <si>
    <t xml:space="preserve">           1,449,748</t>
  </si>
  <si>
    <t xml:space="preserve">              17,729.6</t>
  </si>
  <si>
    <t xml:space="preserve">           1,352,831</t>
  </si>
  <si>
    <t xml:space="preserve">              13,981.9</t>
  </si>
  <si>
    <t xml:space="preserve">           1,606,145</t>
  </si>
  <si>
    <t xml:space="preserve">            -253,315</t>
  </si>
  <si>
    <t xml:space="preserve">                  12.8</t>
  </si>
  <si>
    <t xml:space="preserve">              13,993</t>
  </si>
  <si>
    <t xml:space="preserve">                 270.7</t>
  </si>
  <si>
    <t xml:space="preserve">              94,445</t>
  </si>
  <si>
    <t xml:space="preserve">             -80,452</t>
  </si>
  <si>
    <t xml:space="preserve">                 678.0</t>
  </si>
  <si>
    <t xml:space="preserve">               8,157</t>
  </si>
  <si>
    <t xml:space="preserve">                 711.4</t>
  </si>
  <si>
    <t xml:space="preserve">              17,655</t>
  </si>
  <si>
    <t xml:space="preserve">              -9,498</t>
  </si>
  <si>
    <t xml:space="preserve">               1,760.3</t>
  </si>
  <si>
    <t xml:space="preserve">              75,697</t>
  </si>
  <si>
    <t xml:space="preserve">                 160.6</t>
  </si>
  <si>
    <t xml:space="preserve">              18,844</t>
  </si>
  <si>
    <t xml:space="preserve">              56,853</t>
  </si>
  <si>
    <t xml:space="preserve">              14,142.6</t>
  </si>
  <si>
    <t xml:space="preserve">             101,831</t>
  </si>
  <si>
    <t xml:space="preserve">              61,573.2</t>
  </si>
  <si>
    <t xml:space="preserve">             268,240</t>
  </si>
  <si>
    <t xml:space="preserve">            -166,410</t>
  </si>
  <si>
    <t xml:space="preserve">               1,649.9</t>
  </si>
  <si>
    <t xml:space="preserve">              39,875</t>
  </si>
  <si>
    <t xml:space="preserve">               9,905.0</t>
  </si>
  <si>
    <t xml:space="preserve">             154,914</t>
  </si>
  <si>
    <t xml:space="preserve">            -115,039</t>
  </si>
  <si>
    <t xml:space="preserve">               2,197.9</t>
  </si>
  <si>
    <t xml:space="preserve">              34,777</t>
  </si>
  <si>
    <t xml:space="preserve">               7,950.2</t>
  </si>
  <si>
    <t xml:space="preserve">              69,462</t>
  </si>
  <si>
    <t xml:space="preserve">             -34,686</t>
  </si>
  <si>
    <t xml:space="preserve">                  10.6</t>
  </si>
  <si>
    <t xml:space="preserve">              38,501</t>
  </si>
  <si>
    <t xml:space="preserve">                  47.9</t>
  </si>
  <si>
    <t xml:space="preserve">              48,163</t>
  </si>
  <si>
    <t xml:space="preserve">              -9,662</t>
  </si>
  <si>
    <t xml:space="preserve">                   9.0</t>
  </si>
  <si>
    <t xml:space="preserve">                   2.6</t>
  </si>
  <si>
    <t xml:space="preserve">                 944</t>
  </si>
  <si>
    <t xml:space="preserve">                  54.8</t>
  </si>
  <si>
    <t xml:space="preserve">               4,386</t>
  </si>
  <si>
    <t xml:space="preserve">              -3,442</t>
  </si>
  <si>
    <t xml:space="preserve">               5,634.0</t>
  </si>
  <si>
    <t xml:space="preserve">               7,350</t>
  </si>
  <si>
    <t xml:space="preserve">             124,853.4</t>
  </si>
  <si>
    <t xml:space="preserve">             598,604</t>
  </si>
  <si>
    <t xml:space="preserve">            -591,253</t>
  </si>
  <si>
    <t xml:space="preserve">              36,745.7</t>
  </si>
  <si>
    <t xml:space="preserve">             120,182</t>
  </si>
  <si>
    <t xml:space="preserve">             103,956.9</t>
  </si>
  <si>
    <t xml:space="preserve">             397,030</t>
  </si>
  <si>
    <t xml:space="preserve">            -276,848</t>
  </si>
  <si>
    <t xml:space="preserve">               2,634.7</t>
  </si>
  <si>
    <t xml:space="preserve">               6,627</t>
  </si>
  <si>
    <t xml:space="preserve">              30,709.4</t>
  </si>
  <si>
    <t xml:space="preserve">             112,453</t>
  </si>
  <si>
    <t xml:space="preserve">            -105,825</t>
  </si>
  <si>
    <t xml:space="preserve">               1,430.0</t>
  </si>
  <si>
    <t xml:space="preserve">               7,977</t>
  </si>
  <si>
    <t xml:space="preserve">               4,369.3</t>
  </si>
  <si>
    <t xml:space="preserve">              22,946</t>
  </si>
  <si>
    <t xml:space="preserve">             -14,969</t>
  </si>
  <si>
    <t xml:space="preserve">                 134.2</t>
  </si>
  <si>
    <t xml:space="preserve">               1,480</t>
  </si>
  <si>
    <t xml:space="preserve">               8,442.0</t>
  </si>
  <si>
    <t xml:space="preserve">              17,822</t>
  </si>
  <si>
    <t xml:space="preserve">             -16,342</t>
  </si>
  <si>
    <t xml:space="preserve">               3,023.6</t>
  </si>
  <si>
    <t xml:space="preserve">              10,223</t>
  </si>
  <si>
    <t xml:space="preserve">              86,298.0</t>
  </si>
  <si>
    <t xml:space="preserve">              72,551</t>
  </si>
  <si>
    <t xml:space="preserve">             -62,328</t>
  </si>
  <si>
    <t xml:space="preserve">               1,320.3</t>
  </si>
  <si>
    <t xml:space="preserve">              15,298</t>
  </si>
  <si>
    <t xml:space="preserve">             120,263.3</t>
  </si>
  <si>
    <t xml:space="preserve">             263,723</t>
  </si>
  <si>
    <t xml:space="preserve">            -248,425</t>
  </si>
  <si>
    <t xml:space="preserve">                 402.2</t>
  </si>
  <si>
    <t xml:space="preserve">               3,211</t>
  </si>
  <si>
    <t xml:space="preserve">              18,195.6</t>
  </si>
  <si>
    <t xml:space="preserve">              93,834</t>
  </si>
  <si>
    <t xml:space="preserve">             -90,624</t>
  </si>
  <si>
    <t xml:space="preserve">                 513.3</t>
  </si>
  <si>
    <t xml:space="preserve">               1,122</t>
  </si>
  <si>
    <t xml:space="preserve">           1,280,849.1</t>
  </si>
  <si>
    <t xml:space="preserve">             408,615</t>
  </si>
  <si>
    <t xml:space="preserve">            -407,493</t>
  </si>
  <si>
    <t xml:space="preserve">               5,805.5</t>
  </si>
  <si>
    <t xml:space="preserve">               4,391</t>
  </si>
  <si>
    <t xml:space="preserve">              33,110.9</t>
  </si>
  <si>
    <t xml:space="preserve">              28,601</t>
  </si>
  <si>
    <t xml:space="preserve">             -24,210</t>
  </si>
  <si>
    <t xml:space="preserve">               5,293.5</t>
  </si>
  <si>
    <t xml:space="preserve">              59,486</t>
  </si>
  <si>
    <t xml:space="preserve">             206,631.4</t>
  </si>
  <si>
    <t xml:space="preserve">             148,167</t>
  </si>
  <si>
    <t xml:space="preserve">             -88,681</t>
  </si>
  <si>
    <t xml:space="preserve">               1,219.7</t>
  </si>
  <si>
    <t xml:space="preserve">               8,869</t>
  </si>
  <si>
    <t xml:space="preserve">               8,975.0</t>
  </si>
  <si>
    <t xml:space="preserve">              23,792</t>
  </si>
  <si>
    <t xml:space="preserve">             -14,923</t>
  </si>
  <si>
    <t xml:space="preserve">                  17.9</t>
  </si>
  <si>
    <t xml:space="preserve">                  28</t>
  </si>
  <si>
    <t xml:space="preserve">              17,577.5</t>
  </si>
  <si>
    <t xml:space="preserve">               4,522</t>
  </si>
  <si>
    <t xml:space="preserve">              -4,493</t>
  </si>
  <si>
    <t xml:space="preserve">              12,803.7</t>
  </si>
  <si>
    <t xml:space="preserve">              13,811</t>
  </si>
  <si>
    <t xml:space="preserve">             134,853.3</t>
  </si>
  <si>
    <t xml:space="preserve">             169,904</t>
  </si>
  <si>
    <t xml:space="preserve">            -156,093</t>
  </si>
  <si>
    <t xml:space="preserve">               4,754.0</t>
  </si>
  <si>
    <t xml:space="preserve">              28,939</t>
  </si>
  <si>
    <t xml:space="preserve">              15,799.7</t>
  </si>
  <si>
    <t xml:space="preserve">              80,354</t>
  </si>
  <si>
    <t xml:space="preserve">             -51,415</t>
  </si>
  <si>
    <t xml:space="preserve">              19,363.1</t>
  </si>
  <si>
    <t xml:space="preserve">              21,228</t>
  </si>
  <si>
    <t xml:space="preserve">             143,664.7</t>
  </si>
  <si>
    <t xml:space="preserve">             106,969</t>
  </si>
  <si>
    <t xml:space="preserve">             -85,741</t>
  </si>
  <si>
    <t xml:space="preserve">               1,848.5</t>
  </si>
  <si>
    <t xml:space="preserve">               5,213.5</t>
  </si>
  <si>
    <t xml:space="preserve">              34,829</t>
  </si>
  <si>
    <t xml:space="preserve">             -29,250</t>
  </si>
  <si>
    <t xml:space="preserve">              48,132.5</t>
  </si>
  <si>
    <t xml:space="preserve">             190,119</t>
  </si>
  <si>
    <t xml:space="preserve">              27,162.9</t>
  </si>
  <si>
    <t xml:space="preserve">              89,936</t>
  </si>
  <si>
    <t xml:space="preserve">             100,183</t>
  </si>
  <si>
    <t xml:space="preserve">              10,004.8</t>
  </si>
  <si>
    <t xml:space="preserve">              93,043.6</t>
  </si>
  <si>
    <t xml:space="preserve">             135,401</t>
  </si>
  <si>
    <t xml:space="preserve">             -53,174</t>
  </si>
  <si>
    <t xml:space="preserve">              33,248.3</t>
  </si>
  <si>
    <t xml:space="preserve">             147,287</t>
  </si>
  <si>
    <t xml:space="preserve">              31,441.3</t>
  </si>
  <si>
    <t xml:space="preserve">             246,806</t>
  </si>
  <si>
    <t xml:space="preserve">             -99,519</t>
  </si>
  <si>
    <t xml:space="preserve">              82,309.0</t>
  </si>
  <si>
    <t xml:space="preserve">              96,435</t>
  </si>
  <si>
    <t xml:space="preserve">              82,495.5</t>
  </si>
  <si>
    <t xml:space="preserve">             126,390</t>
  </si>
  <si>
    <t xml:space="preserve">             -29,955</t>
  </si>
  <si>
    <t xml:space="preserve">              28,592.2</t>
  </si>
  <si>
    <t xml:space="preserve">              29,186</t>
  </si>
  <si>
    <t xml:space="preserve">             540,329.8</t>
  </si>
  <si>
    <t xml:space="preserve">             212,106</t>
  </si>
  <si>
    <t xml:space="preserve">            -182,919</t>
  </si>
  <si>
    <t xml:space="preserve">               8,230.7</t>
  </si>
  <si>
    <t xml:space="preserve">              88,441</t>
  </si>
  <si>
    <t xml:space="preserve">               6,691.4</t>
  </si>
  <si>
    <t xml:space="preserve">              53,765</t>
  </si>
  <si>
    <t xml:space="preserve">              34,676</t>
  </si>
  <si>
    <t xml:space="preserve">             268,696.6</t>
  </si>
  <si>
    <t xml:space="preserve">              21,752</t>
  </si>
  <si>
    <t xml:space="preserve">             761,540.2</t>
  </si>
  <si>
    <t xml:space="preserve">              76,507</t>
  </si>
  <si>
    <t xml:space="preserve">             -54,755</t>
  </si>
  <si>
    <t xml:space="preserve">             146,831.8</t>
  </si>
  <si>
    <t xml:space="preserve">              83,256</t>
  </si>
  <si>
    <t xml:space="preserve">           6,361,449.2</t>
  </si>
  <si>
    <t xml:space="preserve">           1,326,111</t>
  </si>
  <si>
    <t xml:space="preserve">          -1,242,855</t>
  </si>
  <si>
    <t xml:space="preserve">           6,065,356.6</t>
  </si>
  <si>
    <t xml:space="preserve">           4,878,428</t>
  </si>
  <si>
    <t xml:space="preserve">          27,032,584.2</t>
  </si>
  <si>
    <t xml:space="preserve">          13,239,450</t>
  </si>
  <si>
    <t xml:space="preserve">          -8,361,022</t>
  </si>
  <si>
    <t xml:space="preserve">             431,785.3</t>
  </si>
  <si>
    <t xml:space="preserve">             832,816</t>
  </si>
  <si>
    <t xml:space="preserve">             319,137.9</t>
  </si>
  <si>
    <t xml:space="preserve">           1,308,655</t>
  </si>
  <si>
    <t xml:space="preserve">            -475,839</t>
  </si>
  <si>
    <t xml:space="preserve">           1,569,623.8</t>
  </si>
  <si>
    <t xml:space="preserve">           1,889,609</t>
  </si>
  <si>
    <t xml:space="preserve">             721,784.4</t>
  </si>
  <si>
    <t xml:space="preserve">           1,285,093</t>
  </si>
  <si>
    <t xml:space="preserve">             604,516</t>
  </si>
  <si>
    <t xml:space="preserve">               2,482.6</t>
  </si>
  <si>
    <t xml:space="preserve">             651,057</t>
  </si>
  <si>
    <t xml:space="preserve">               7,166.3</t>
  </si>
  <si>
    <t xml:space="preserve">             856,588</t>
  </si>
  <si>
    <t xml:space="preserve">            -205,531</t>
  </si>
  <si>
    <t xml:space="preserve">              66,409.4</t>
  </si>
  <si>
    <t xml:space="preserve">              27,362</t>
  </si>
  <si>
    <t xml:space="preserve">             109,966.8</t>
  </si>
  <si>
    <t xml:space="preserve">              43,655</t>
  </si>
  <si>
    <t xml:space="preserve">             -16,293</t>
  </si>
  <si>
    <t xml:space="preserve">              30,286.8</t>
  </si>
  <si>
    <t xml:space="preserve">             234,753</t>
  </si>
  <si>
    <t xml:space="preserve">              27,362.9</t>
  </si>
  <si>
    <t xml:space="preserve">             209,476</t>
  </si>
  <si>
    <t xml:space="preserve">              25,278</t>
  </si>
  <si>
    <t xml:space="preserve">              34,721.3</t>
  </si>
  <si>
    <t xml:space="preserve">             749,821</t>
  </si>
  <si>
    <t xml:space="preserve">               9,137.7</t>
  </si>
  <si>
    <t xml:space="preserve">             173,890</t>
  </si>
  <si>
    <t xml:space="preserve">             575,931</t>
  </si>
  <si>
    <t xml:space="preserve">              55,183.0</t>
  </si>
  <si>
    <t xml:space="preserve">             151,784</t>
  </si>
  <si>
    <t xml:space="preserve">              23,816.3</t>
  </si>
  <si>
    <t xml:space="preserve">              94,317</t>
  </si>
  <si>
    <t xml:space="preserve">              57,467</t>
  </si>
  <si>
    <t xml:space="preserve">               5,925.4</t>
  </si>
  <si>
    <t xml:space="preserve">              81,825</t>
  </si>
  <si>
    <t xml:space="preserve">              16,697.4</t>
  </si>
  <si>
    <t xml:space="preserve">              83,842</t>
  </si>
  <si>
    <t xml:space="preserve">              -2,018</t>
  </si>
  <si>
    <t xml:space="preserve">                 121.5</t>
  </si>
  <si>
    <t xml:space="preserve">               2,377</t>
  </si>
  <si>
    <t xml:space="preserve">                 182.4</t>
  </si>
  <si>
    <t xml:space="preserve">               1,631</t>
  </si>
  <si>
    <t xml:space="preserve">                 746</t>
  </si>
  <si>
    <t xml:space="preserve">               2,034.9</t>
  </si>
  <si>
    <t xml:space="preserve">              98,115</t>
  </si>
  <si>
    <t xml:space="preserve">               3,242.6</t>
  </si>
  <si>
    <t xml:space="preserve">              85,077</t>
  </si>
  <si>
    <t xml:space="preserve">              13,039</t>
  </si>
  <si>
    <t xml:space="preserve">             114,072.4</t>
  </si>
  <si>
    <t xml:space="preserve">             578,130</t>
  </si>
  <si>
    <t xml:space="preserve">             194,730.3</t>
  </si>
  <si>
    <t xml:space="preserve">             835,111</t>
  </si>
  <si>
    <t xml:space="preserve">            -256,981</t>
  </si>
  <si>
    <t xml:space="preserve">           1,509,452.5</t>
  </si>
  <si>
    <t xml:space="preserve">           3,023,845</t>
  </si>
  <si>
    <t xml:space="preserve">             268,932.9</t>
  </si>
  <si>
    <t xml:space="preserve">           1,095,959</t>
  </si>
  <si>
    <t xml:space="preserve">           1,927,886</t>
  </si>
  <si>
    <t xml:space="preserve">             233,480.0</t>
  </si>
  <si>
    <t xml:space="preserve">             630,862</t>
  </si>
  <si>
    <t xml:space="preserve">              73,148.2</t>
  </si>
  <si>
    <t xml:space="preserve">             241,454</t>
  </si>
  <si>
    <t xml:space="preserve">             389,408</t>
  </si>
  <si>
    <t xml:space="preserve">               2,941.1</t>
  </si>
  <si>
    <t xml:space="preserve">              24,358</t>
  </si>
  <si>
    <t xml:space="preserve">               7,650.4</t>
  </si>
  <si>
    <t xml:space="preserve">              20,060</t>
  </si>
  <si>
    <t xml:space="preserve">               4,298</t>
  </si>
  <si>
    <t xml:space="preserve">                 709.8</t>
  </si>
  <si>
    <t xml:space="preserve">              29,172</t>
  </si>
  <si>
    <t xml:space="preserve">               8,004.7</t>
  </si>
  <si>
    <t xml:space="preserve">             333,110</t>
  </si>
  <si>
    <t xml:space="preserve">            -303,938</t>
  </si>
  <si>
    <t xml:space="preserve">                   3.5</t>
  </si>
  <si>
    <t xml:space="preserve">                 721</t>
  </si>
  <si>
    <t xml:space="preserve">                  19.8</t>
  </si>
  <si>
    <t xml:space="preserve">               3,358</t>
  </si>
  <si>
    <t xml:space="preserve">              -2,637</t>
  </si>
  <si>
    <t xml:space="preserve">               4,251.5</t>
  </si>
  <si>
    <t xml:space="preserve">               5,569</t>
  </si>
  <si>
    <t xml:space="preserve">             842,336.7</t>
  </si>
  <si>
    <t xml:space="preserve">             230,714</t>
  </si>
  <si>
    <t xml:space="preserve">            -225,145</t>
  </si>
  <si>
    <t xml:space="preserve">                   2.0</t>
  </si>
  <si>
    <t xml:space="preserve">                  42</t>
  </si>
  <si>
    <t xml:space="preserve">                  52.6</t>
  </si>
  <si>
    <t xml:space="preserve">                 265</t>
  </si>
  <si>
    <t xml:space="preserve">                -223</t>
  </si>
  <si>
    <t xml:space="preserve">                   3.3</t>
  </si>
  <si>
    <t xml:space="preserve">                  85</t>
  </si>
  <si>
    <t xml:space="preserve">                 420.7</t>
  </si>
  <si>
    <t xml:space="preserve">               2,712</t>
  </si>
  <si>
    <t xml:space="preserve">              -2,627</t>
  </si>
  <si>
    <t xml:space="preserve">              60,184.6</t>
  </si>
  <si>
    <t xml:space="preserve">              13,248</t>
  </si>
  <si>
    <t xml:space="preserve">             240,505.3</t>
  </si>
  <si>
    <t xml:space="preserve">             132,958</t>
  </si>
  <si>
    <t xml:space="preserve">            -119,709</t>
  </si>
  <si>
    <t xml:space="preserve">             237,442.9</t>
  </si>
  <si>
    <t xml:space="preserve">             234,010</t>
  </si>
  <si>
    <t xml:space="preserve">             110,663.9</t>
  </si>
  <si>
    <t xml:space="preserve">             173,935</t>
  </si>
  <si>
    <t xml:space="preserve">              60,075</t>
  </si>
  <si>
    <t xml:space="preserve">               2,398.4</t>
  </si>
  <si>
    <t xml:space="preserve">              19,652</t>
  </si>
  <si>
    <t xml:space="preserve">               1,168.3</t>
  </si>
  <si>
    <t xml:space="preserve">              27,804</t>
  </si>
  <si>
    <t xml:space="preserve">              -8,152</t>
  </si>
  <si>
    <t xml:space="preserve">                  24.0</t>
  </si>
  <si>
    <t xml:space="preserve">               1,136</t>
  </si>
  <si>
    <t xml:space="preserve">                  30.7</t>
  </si>
  <si>
    <t xml:space="preserve">               2,849</t>
  </si>
  <si>
    <t xml:space="preserve">              -1,713</t>
  </si>
  <si>
    <t xml:space="preserve">                 120.9</t>
  </si>
  <si>
    <t xml:space="preserve">               3,039</t>
  </si>
  <si>
    <t xml:space="preserve">               1,141.0</t>
  </si>
  <si>
    <t xml:space="preserve">              19,633</t>
  </si>
  <si>
    <t xml:space="preserve">             -16,594</t>
  </si>
  <si>
    <t xml:space="preserve">               2,381.1</t>
  </si>
  <si>
    <t xml:space="preserve">              20,915</t>
  </si>
  <si>
    <t xml:space="preserve">              24,236.2</t>
  </si>
  <si>
    <t xml:space="preserve">              77,310</t>
  </si>
  <si>
    <t xml:space="preserve">             -56,395</t>
  </si>
  <si>
    <t xml:space="preserve">                  39.1</t>
  </si>
  <si>
    <t xml:space="preserve">                 452</t>
  </si>
  <si>
    <t xml:space="preserve">               1,359.4</t>
  </si>
  <si>
    <t xml:space="preserve">               5,485</t>
  </si>
  <si>
    <t xml:space="preserve">              -5,033</t>
  </si>
  <si>
    <t xml:space="preserve">              26,593.0</t>
  </si>
  <si>
    <t xml:space="preserve">             170,478</t>
  </si>
  <si>
    <t xml:space="preserve">              38,717.4</t>
  </si>
  <si>
    <t xml:space="preserve">              86,650</t>
  </si>
  <si>
    <t xml:space="preserve">              83,828</t>
  </si>
  <si>
    <t xml:space="preserve">              62,287.8</t>
  </si>
  <si>
    <t xml:space="preserve">             105,979</t>
  </si>
  <si>
    <t xml:space="preserve">              12,663.6</t>
  </si>
  <si>
    <t xml:space="preserve">              49,549</t>
  </si>
  <si>
    <t xml:space="preserve">              56,430</t>
  </si>
  <si>
    <t xml:space="preserve">               9,778.2</t>
  </si>
  <si>
    <t xml:space="preserve">              65,487</t>
  </si>
  <si>
    <t xml:space="preserve">              18,851.4</t>
  </si>
  <si>
    <t xml:space="preserve">              57,831</t>
  </si>
  <si>
    <t xml:space="preserve">               7,656</t>
  </si>
  <si>
    <t xml:space="preserve">                 631.7</t>
  </si>
  <si>
    <t xml:space="preserve">               3,871</t>
  </si>
  <si>
    <t xml:space="preserve">               5,539.5</t>
  </si>
  <si>
    <t xml:space="preserve">               9,177</t>
  </si>
  <si>
    <t xml:space="preserve">              -5,307</t>
  </si>
  <si>
    <t xml:space="preserve">               1,275.9</t>
  </si>
  <si>
    <t xml:space="preserve">              15,696</t>
  </si>
  <si>
    <t xml:space="preserve">                 705.5</t>
  </si>
  <si>
    <t xml:space="preserve">               5,868</t>
  </si>
  <si>
    <t xml:space="preserve">               9,828</t>
  </si>
  <si>
    <t xml:space="preserve">               9,927.6</t>
  </si>
  <si>
    <t xml:space="preserve">             100,815</t>
  </si>
  <si>
    <t xml:space="preserve">               5,451.5</t>
  </si>
  <si>
    <t xml:space="preserve">              35,970</t>
  </si>
  <si>
    <t xml:space="preserve">              64,845</t>
  </si>
  <si>
    <t xml:space="preserve">              18,670.0</t>
  </si>
  <si>
    <t xml:space="preserve">             143,181</t>
  </si>
  <si>
    <t xml:space="preserve">               1,243.8</t>
  </si>
  <si>
    <t xml:space="preserve">               7,381</t>
  </si>
  <si>
    <t xml:space="preserve">             135,800</t>
  </si>
  <si>
    <t xml:space="preserve">               2,575.9</t>
  </si>
  <si>
    <t xml:space="preserve">              68,070</t>
  </si>
  <si>
    <t xml:space="preserve">              20,380.8</t>
  </si>
  <si>
    <t xml:space="preserve">             442,453</t>
  </si>
  <si>
    <t xml:space="preserve">            -374,383</t>
  </si>
  <si>
    <t xml:space="preserve">               2,621.9</t>
  </si>
  <si>
    <t xml:space="preserve">              76,156</t>
  </si>
  <si>
    <t xml:space="preserve">              20,124.1</t>
  </si>
  <si>
    <t xml:space="preserve">             601,291</t>
  </si>
  <si>
    <t xml:space="preserve">            -525,135</t>
  </si>
  <si>
    <t xml:space="preserve">              27,026.0</t>
  </si>
  <si>
    <t xml:space="preserve">              52,568</t>
  </si>
  <si>
    <t xml:space="preserve">              23,892.2</t>
  </si>
  <si>
    <t xml:space="preserve">              94,705</t>
  </si>
  <si>
    <t xml:space="preserve">             -42,137</t>
  </si>
  <si>
    <t xml:space="preserve">               1,175.1</t>
  </si>
  <si>
    <t xml:space="preserve">              27,529</t>
  </si>
  <si>
    <t xml:space="preserve">               9,991.2</t>
  </si>
  <si>
    <t xml:space="preserve">             284,878</t>
  </si>
  <si>
    <t xml:space="preserve">            -257,349</t>
  </si>
  <si>
    <t xml:space="preserve">                 225.3</t>
  </si>
  <si>
    <t xml:space="preserve">               7,364</t>
  </si>
  <si>
    <t xml:space="preserve">                 779.4</t>
  </si>
  <si>
    <t xml:space="preserve">              24,150</t>
  </si>
  <si>
    <t xml:space="preserve">             -16,786</t>
  </si>
  <si>
    <t xml:space="preserve">                 677</t>
  </si>
  <si>
    <t xml:space="preserve">               1,788.3</t>
  </si>
  <si>
    <t xml:space="preserve">              12,414</t>
  </si>
  <si>
    <t xml:space="preserve">             -11,737</t>
  </si>
  <si>
    <t xml:space="preserve">                  60.3</t>
  </si>
  <si>
    <t xml:space="preserve">               1,560</t>
  </si>
  <si>
    <t xml:space="preserve">                 467.0</t>
  </si>
  <si>
    <t xml:space="preserve">               7,384</t>
  </si>
  <si>
    <t xml:space="preserve">              -5,823</t>
  </si>
  <si>
    <t xml:space="preserve">              10,939.3</t>
  </si>
  <si>
    <t xml:space="preserve">              85,398</t>
  </si>
  <si>
    <t xml:space="preserve">             193,599.0</t>
  </si>
  <si>
    <t xml:space="preserve">             108,456</t>
  </si>
  <si>
    <t xml:space="preserve">             -23,059</t>
  </si>
  <si>
    <t xml:space="preserve">               4,114.5</t>
  </si>
  <si>
    <t xml:space="preserve">              29,301</t>
  </si>
  <si>
    <t xml:space="preserve">              88,264.5</t>
  </si>
  <si>
    <t xml:space="preserve">             118,085</t>
  </si>
  <si>
    <t xml:space="preserve">             -88,784</t>
  </si>
  <si>
    <t xml:space="preserve">              30,643.8</t>
  </si>
  <si>
    <t xml:space="preserve">             166,248</t>
  </si>
  <si>
    <t xml:space="preserve">             104,285.9</t>
  </si>
  <si>
    <t xml:space="preserve">             219,593</t>
  </si>
  <si>
    <t xml:space="preserve">             -53,345</t>
  </si>
  <si>
    <t xml:space="preserve">               1,086.7</t>
  </si>
  <si>
    <t xml:space="preserve">             448,657</t>
  </si>
  <si>
    <t xml:space="preserve">               1,446.0</t>
  </si>
  <si>
    <t xml:space="preserve">             539,151</t>
  </si>
  <si>
    <t xml:space="preserve">             -90,494</t>
  </si>
  <si>
    <t xml:space="preserve">           2,206,322.8</t>
  </si>
  <si>
    <t xml:space="preserve">           2,150,885</t>
  </si>
  <si>
    <t xml:space="preserve">           1,643,138.9</t>
  </si>
  <si>
    <t xml:space="preserve">           1,364,423</t>
  </si>
  <si>
    <t xml:space="preserve">             786,463</t>
  </si>
  <si>
    <t xml:space="preserve">             311,827.5</t>
  </si>
  <si>
    <t xml:space="preserve">             847,761</t>
  </si>
  <si>
    <t xml:space="preserve">             211,527.4</t>
  </si>
  <si>
    <t xml:space="preserve">             661,153</t>
  </si>
  <si>
    <t xml:space="preserve">             186,608</t>
  </si>
  <si>
    <t xml:space="preserve">              43,689.5</t>
  </si>
  <si>
    <t xml:space="preserve">             343,699</t>
  </si>
  <si>
    <t xml:space="preserve">              77,000.4</t>
  </si>
  <si>
    <t xml:space="preserve">             638,974</t>
  </si>
  <si>
    <t xml:space="preserve">            -295,275</t>
  </si>
  <si>
    <t xml:space="preserve">               3,523.3</t>
  </si>
  <si>
    <t xml:space="preserve">              33,073</t>
  </si>
  <si>
    <t xml:space="preserve">              10,513.3</t>
  </si>
  <si>
    <t xml:space="preserve">             140,596</t>
  </si>
  <si>
    <t xml:space="preserve">            -107,524</t>
  </si>
  <si>
    <t xml:space="preserve">             105,782.1</t>
  </si>
  <si>
    <t xml:space="preserve">             383,121</t>
  </si>
  <si>
    <t xml:space="preserve">             269,140.5</t>
  </si>
  <si>
    <t xml:space="preserve">             710,310</t>
  </si>
  <si>
    <t xml:space="preserve">            -327,189</t>
  </si>
  <si>
    <t xml:space="preserve">              24,288.8</t>
  </si>
  <si>
    <t xml:space="preserve">              55,323</t>
  </si>
  <si>
    <t xml:space="preserve">              14,212.0</t>
  </si>
  <si>
    <t xml:space="preserve">              31,128</t>
  </si>
  <si>
    <t xml:space="preserve">              24,195</t>
  </si>
  <si>
    <t xml:space="preserve">              45,019.5</t>
  </si>
  <si>
    <t xml:space="preserve">             115,418</t>
  </si>
  <si>
    <t xml:space="preserve">               4,356.4</t>
  </si>
  <si>
    <t xml:space="preserve">              12,103</t>
  </si>
  <si>
    <t xml:space="preserve">             103,315</t>
  </si>
  <si>
    <t xml:space="preserve">                 163.1</t>
  </si>
  <si>
    <t xml:space="preserve">               5,921</t>
  </si>
  <si>
    <t xml:space="preserve">                 930.8</t>
  </si>
  <si>
    <t xml:space="preserve">              27,230</t>
  </si>
  <si>
    <t xml:space="preserve">             -21,308</t>
  </si>
  <si>
    <t xml:space="preserve">               2,177.3</t>
  </si>
  <si>
    <t xml:space="preserve">              27,402</t>
  </si>
  <si>
    <t xml:space="preserve">              15,694.6</t>
  </si>
  <si>
    <t xml:space="preserve">             115,657</t>
  </si>
  <si>
    <t xml:space="preserve">             -88,255</t>
  </si>
  <si>
    <t xml:space="preserve">               8,805.1</t>
  </si>
  <si>
    <t xml:space="preserve">             171,323</t>
  </si>
  <si>
    <t xml:space="preserve">               4,350.8</t>
  </si>
  <si>
    <t xml:space="preserve">              84,218</t>
  </si>
  <si>
    <t xml:space="preserve">              87,105</t>
  </si>
  <si>
    <t xml:space="preserve">              24,686.9</t>
  </si>
  <si>
    <t xml:space="preserve">             142,135</t>
  </si>
  <si>
    <t xml:space="preserve">               9,429.3</t>
  </si>
  <si>
    <t xml:space="preserve">              68,889</t>
  </si>
  <si>
    <t xml:space="preserve">              73,246</t>
  </si>
  <si>
    <t xml:space="preserve">             395,271.7</t>
  </si>
  <si>
    <t xml:space="preserve">           7,019,144</t>
  </si>
  <si>
    <t xml:space="preserve">             206,285.5</t>
  </si>
  <si>
    <t xml:space="preserve">           5,559,210</t>
  </si>
  <si>
    <t xml:space="preserve">           1,459,935</t>
  </si>
  <si>
    <t xml:space="preserve">             225,633.2</t>
  </si>
  <si>
    <t xml:space="preserve">          16,651,262</t>
  </si>
  <si>
    <t xml:space="preserve">             175,510.4</t>
  </si>
  <si>
    <t xml:space="preserve">           9,803,108</t>
  </si>
  <si>
    <t xml:space="preserve">           6,848,155</t>
  </si>
  <si>
    <t xml:space="preserve">              10,996.7</t>
  </si>
  <si>
    <t xml:space="preserve">              47,887</t>
  </si>
  <si>
    <t xml:space="preserve">              11,548.2</t>
  </si>
  <si>
    <t xml:space="preserve">              40,603</t>
  </si>
  <si>
    <t xml:space="preserve">               7,284</t>
  </si>
  <si>
    <t xml:space="preserve">             709,030.2</t>
  </si>
  <si>
    <t xml:space="preserve">           7,885,263</t>
  </si>
  <si>
    <t xml:space="preserve">             100,983.4</t>
  </si>
  <si>
    <t xml:space="preserve">           1,699,605</t>
  </si>
  <si>
    <t xml:space="preserve">           6,185,658</t>
  </si>
  <si>
    <t xml:space="preserve">                 428.8</t>
  </si>
  <si>
    <t xml:space="preserve">             148,948</t>
  </si>
  <si>
    <t xml:space="preserve">                 245.8</t>
  </si>
  <si>
    <t xml:space="preserve">             156,990</t>
  </si>
  <si>
    <t xml:space="preserve">              -8,042</t>
  </si>
  <si>
    <t xml:space="preserve">           1,252,045.7</t>
  </si>
  <si>
    <t xml:space="preserve">           1,962,701</t>
  </si>
  <si>
    <t xml:space="preserve">             568,050.3</t>
  </si>
  <si>
    <t xml:space="preserve">             335,595</t>
  </si>
  <si>
    <t xml:space="preserve">           1,627,106</t>
  </si>
  <si>
    <t xml:space="preserve">              16,934.3</t>
  </si>
  <si>
    <t xml:space="preserve">           1,426,551</t>
  </si>
  <si>
    <t xml:space="preserve">              15,431.8</t>
  </si>
  <si>
    <t xml:space="preserve">           1,825,389</t>
  </si>
  <si>
    <t xml:space="preserve">            -398,838</t>
  </si>
  <si>
    <t xml:space="preserve">              14,511</t>
  </si>
  <si>
    <t xml:space="preserve">                 241.5</t>
  </si>
  <si>
    <t xml:space="preserve">              85,320</t>
  </si>
  <si>
    <t xml:space="preserve">             -70,808</t>
  </si>
  <si>
    <t xml:space="preserve">                 844.6</t>
  </si>
  <si>
    <t xml:space="preserve">               9,668</t>
  </si>
  <si>
    <t xml:space="preserve">                 590.2</t>
  </si>
  <si>
    <t xml:space="preserve">              17,021</t>
  </si>
  <si>
    <t xml:space="preserve">              -7,353</t>
  </si>
  <si>
    <t xml:space="preserve">                 918.6</t>
  </si>
  <si>
    <t xml:space="preserve">              23,570</t>
  </si>
  <si>
    <t xml:space="preserve">               8,216</t>
  </si>
  <si>
    <t xml:space="preserve">              15,354</t>
  </si>
  <si>
    <t xml:space="preserve">              14,426.4</t>
  </si>
  <si>
    <t xml:space="preserve">             109,804</t>
  </si>
  <si>
    <t xml:space="preserve">              57,942.0</t>
  </si>
  <si>
    <t xml:space="preserve">             267,743</t>
  </si>
  <si>
    <t xml:space="preserve">            -157,938</t>
  </si>
  <si>
    <t xml:space="preserve">               2,038.4</t>
  </si>
  <si>
    <t xml:space="preserve">              46,640</t>
  </si>
  <si>
    <t xml:space="preserve">              12,284.5</t>
  </si>
  <si>
    <t xml:space="preserve">             187,552</t>
  </si>
  <si>
    <t xml:space="preserve">            -140,912</t>
  </si>
  <si>
    <t xml:space="preserve">               2,353.6</t>
  </si>
  <si>
    <t xml:space="preserve">              37,646</t>
  </si>
  <si>
    <t xml:space="preserve">               9,636.8</t>
  </si>
  <si>
    <t xml:space="preserve">              81,673</t>
  </si>
  <si>
    <t xml:space="preserve">             -44,028</t>
  </si>
  <si>
    <t xml:space="preserve">                  18.0</t>
  </si>
  <si>
    <t xml:space="preserve">              20,572</t>
  </si>
  <si>
    <t xml:space="preserve">                  75.2</t>
  </si>
  <si>
    <t xml:space="preserve">              29,600</t>
  </si>
  <si>
    <t xml:space="preserve">              -9,028</t>
  </si>
  <si>
    <t xml:space="preserve">                   2.1</t>
  </si>
  <si>
    <t xml:space="preserve">                 111.6</t>
  </si>
  <si>
    <t xml:space="preserve">               7,161</t>
  </si>
  <si>
    <t xml:space="preserve">              -6,496</t>
  </si>
  <si>
    <t xml:space="preserve">               4,323.6</t>
  </si>
  <si>
    <t xml:space="preserve">               5,790</t>
  </si>
  <si>
    <t xml:space="preserve">             120,998.5</t>
  </si>
  <si>
    <t xml:space="preserve">             593,805</t>
  </si>
  <si>
    <t xml:space="preserve">            -588,015</t>
  </si>
  <si>
    <t xml:space="preserve">              54,510.7</t>
  </si>
  <si>
    <t xml:space="preserve">             160,358</t>
  </si>
  <si>
    <t xml:space="preserve">             101,457.3</t>
  </si>
  <si>
    <t xml:space="preserve">             393,118</t>
  </si>
  <si>
    <t xml:space="preserve">            -232,760</t>
  </si>
  <si>
    <t xml:space="preserve">               2,441.0</t>
  </si>
  <si>
    <t xml:space="preserve">               5,644</t>
  </si>
  <si>
    <t xml:space="preserve">              32,994.2</t>
  </si>
  <si>
    <t xml:space="preserve">             116,985</t>
  </si>
  <si>
    <t xml:space="preserve">            -111,341</t>
  </si>
  <si>
    <t xml:space="preserve">               1,995.9</t>
  </si>
  <si>
    <t xml:space="preserve">               6,423</t>
  </si>
  <si>
    <t xml:space="preserve">               4,608.9</t>
  </si>
  <si>
    <t xml:space="preserve">              27,827</t>
  </si>
  <si>
    <t xml:space="preserve">             -21,404</t>
  </si>
  <si>
    <t xml:space="preserve">                  87.9</t>
  </si>
  <si>
    <t xml:space="preserve">                 859</t>
  </si>
  <si>
    <t xml:space="preserve">               8,060.8</t>
  </si>
  <si>
    <t xml:space="preserve">              19,396</t>
  </si>
  <si>
    <t xml:space="preserve">             -18,537</t>
  </si>
  <si>
    <t xml:space="preserve">               2,999.7</t>
  </si>
  <si>
    <t xml:space="preserve">              10,717</t>
  </si>
  <si>
    <t xml:space="preserve">             100,933.1</t>
  </si>
  <si>
    <t xml:space="preserve">              78,941</t>
  </si>
  <si>
    <t xml:space="preserve">             -68,225</t>
  </si>
  <si>
    <t xml:space="preserve">                 856.2</t>
  </si>
  <si>
    <t xml:space="preserve">               9,432</t>
  </si>
  <si>
    <t xml:space="preserve">             127,728.4</t>
  </si>
  <si>
    <t xml:space="preserve">             277,352</t>
  </si>
  <si>
    <t xml:space="preserve">            -267,919</t>
  </si>
  <si>
    <t xml:space="preserve">                 402.9</t>
  </si>
  <si>
    <t xml:space="preserve">               3,955</t>
  </si>
  <si>
    <t xml:space="preserve">             124,731</t>
  </si>
  <si>
    <t xml:space="preserve">            -120,776</t>
  </si>
  <si>
    <t xml:space="preserve">              43,002.2</t>
  </si>
  <si>
    <t xml:space="preserve">              12,352</t>
  </si>
  <si>
    <t xml:space="preserve">           1,529,408.2</t>
  </si>
  <si>
    <t xml:space="preserve">             449,635</t>
  </si>
  <si>
    <t xml:space="preserve">            -437,282</t>
  </si>
  <si>
    <t xml:space="preserve">               6,389.2</t>
  </si>
  <si>
    <t xml:space="preserve">               4,642</t>
  </si>
  <si>
    <t xml:space="preserve">              40,724.7</t>
  </si>
  <si>
    <t xml:space="preserve">              35,530</t>
  </si>
  <si>
    <t xml:space="preserve">             -30,889</t>
  </si>
  <si>
    <t xml:space="preserve">               6,334.6</t>
  </si>
  <si>
    <t xml:space="preserve">              69,205</t>
  </si>
  <si>
    <t xml:space="preserve">             262,005.0</t>
  </si>
  <si>
    <t xml:space="preserve">             157,215</t>
  </si>
  <si>
    <t xml:space="preserve">             -88,011</t>
  </si>
  <si>
    <t xml:space="preserve">                 356.1</t>
  </si>
  <si>
    <t xml:space="preserve">              10,839</t>
  </si>
  <si>
    <t xml:space="preserve">              10,789.5</t>
  </si>
  <si>
    <t xml:space="preserve">              30,866</t>
  </si>
  <si>
    <t xml:space="preserve">             -20,027</t>
  </si>
  <si>
    <t xml:space="preserve">                  48.6</t>
  </si>
  <si>
    <t xml:space="preserve">                  73</t>
  </si>
  <si>
    <t xml:space="preserve">              16,773.2</t>
  </si>
  <si>
    <t xml:space="preserve">               4,584</t>
  </si>
  <si>
    <t xml:space="preserve">              -4,511</t>
  </si>
  <si>
    <t xml:space="preserve">               9,953.1</t>
  </si>
  <si>
    <t xml:space="preserve">              11,193</t>
  </si>
  <si>
    <t xml:space="preserve">             157,172.3</t>
  </si>
  <si>
    <t xml:space="preserve">             189,042</t>
  </si>
  <si>
    <t xml:space="preserve">            -177,849</t>
  </si>
  <si>
    <t xml:space="preserve">               4,829.3</t>
  </si>
  <si>
    <t xml:space="preserve">              31,625</t>
  </si>
  <si>
    <t xml:space="preserve">              16,488.4</t>
  </si>
  <si>
    <t xml:space="preserve">              90,560</t>
  </si>
  <si>
    <t xml:space="preserve">             -58,935</t>
  </si>
  <si>
    <t xml:space="preserve">              24,455.7</t>
  </si>
  <si>
    <t xml:space="preserve">              24,029</t>
  </si>
  <si>
    <t xml:space="preserve">             260,843.7</t>
  </si>
  <si>
    <t xml:space="preserve">             175,507</t>
  </si>
  <si>
    <t xml:space="preserve">            -151,479</t>
  </si>
  <si>
    <t xml:space="preserve">               2,005.8</t>
  </si>
  <si>
    <t xml:space="preserve">               4,681</t>
  </si>
  <si>
    <t xml:space="preserve">               5,464.1</t>
  </si>
  <si>
    <t xml:space="preserve">              33,888</t>
  </si>
  <si>
    <t xml:space="preserve">             -29,207</t>
  </si>
  <si>
    <t xml:space="preserve">              52,843.7</t>
  </si>
  <si>
    <t xml:space="preserve">             210,518</t>
  </si>
  <si>
    <t xml:space="preserve">              28,901.4</t>
  </si>
  <si>
    <t xml:space="preserve">              96,866</t>
  </si>
  <si>
    <t xml:space="preserve">             113,651</t>
  </si>
  <si>
    <t xml:space="preserve">              10,073.0</t>
  </si>
  <si>
    <t xml:space="preserve">              84,818</t>
  </si>
  <si>
    <t xml:space="preserve">              99,325.2</t>
  </si>
  <si>
    <t xml:space="preserve">             141,046</t>
  </si>
  <si>
    <t xml:space="preserve">             -56,228</t>
  </si>
  <si>
    <t xml:space="preserve">              39,025.7</t>
  </si>
  <si>
    <t xml:space="preserve">             152,319</t>
  </si>
  <si>
    <t xml:space="preserve">              34,981.7</t>
  </si>
  <si>
    <t xml:space="preserve">             252,875</t>
  </si>
  <si>
    <t xml:space="preserve">            -100,556</t>
  </si>
  <si>
    <t xml:space="preserve">              88,782.8</t>
  </si>
  <si>
    <t xml:space="preserve">             105,799</t>
  </si>
  <si>
    <t xml:space="preserve">              94,646.5</t>
  </si>
  <si>
    <t xml:space="preserve">             140,971</t>
  </si>
  <si>
    <t xml:space="preserve">             -35,172</t>
  </si>
  <si>
    <t xml:space="preserve">              24,677.0</t>
  </si>
  <si>
    <t xml:space="preserve">              28,763</t>
  </si>
  <si>
    <t xml:space="preserve">             537,797.0</t>
  </si>
  <si>
    <t xml:space="preserve">             222,855</t>
  </si>
  <si>
    <t xml:space="preserve">            -194,092</t>
  </si>
  <si>
    <t xml:space="preserve">               9,291.8</t>
  </si>
  <si>
    <t xml:space="preserve">             106,482</t>
  </si>
  <si>
    <t xml:space="preserve">               6,771.3</t>
  </si>
  <si>
    <t xml:space="preserve">              54,141</t>
  </si>
  <si>
    <t xml:space="preserve">              52,341</t>
  </si>
  <si>
    <t xml:space="preserve">             425,509.6</t>
  </si>
  <si>
    <t xml:space="preserve">              23,148</t>
  </si>
  <si>
    <t xml:space="preserve">           1,188,942.3</t>
  </si>
  <si>
    <t xml:space="preserve">              89,940</t>
  </si>
  <si>
    <t xml:space="preserve">             -66,792</t>
  </si>
  <si>
    <t xml:space="preserve">              66,863.1</t>
  </si>
  <si>
    <t xml:space="preserve">              61,024</t>
  </si>
  <si>
    <t xml:space="preserve">           6,518,231.4</t>
  </si>
  <si>
    <t xml:space="preserve">           1,711,251</t>
  </si>
  <si>
    <t xml:space="preserve">          -1,650,227</t>
  </si>
  <si>
    <t xml:space="preserve">           5,540,013.9</t>
  </si>
  <si>
    <t xml:space="preserve">           4,524,006</t>
  </si>
  <si>
    <t xml:space="preserve">          28,649,190.1</t>
  </si>
  <si>
    <t xml:space="preserve">          14,434,720</t>
  </si>
  <si>
    <t xml:space="preserve">          -9,910,714</t>
  </si>
  <si>
    <t xml:space="preserve">             525,332.9</t>
  </si>
  <si>
    <t xml:space="preserve">             902,405</t>
  </si>
  <si>
    <t xml:space="preserve">             393,285.4</t>
  </si>
  <si>
    <t xml:space="preserve">             969,341</t>
  </si>
  <si>
    <t xml:space="preserve">             -66,936</t>
  </si>
  <si>
    <t xml:space="preserve">           1,728,288.6</t>
  </si>
  <si>
    <t xml:space="preserve">           2,032,844</t>
  </si>
  <si>
    <t xml:space="preserve">             707,614.1</t>
  </si>
  <si>
    <t xml:space="preserve">           1,259,254</t>
  </si>
  <si>
    <t xml:space="preserve">             773,590</t>
  </si>
  <si>
    <t xml:space="preserve">               2,639.9</t>
  </si>
  <si>
    <t xml:space="preserve">             660,387</t>
  </si>
  <si>
    <t xml:space="preserve">               8,498.5</t>
  </si>
  <si>
    <t xml:space="preserve">             811,751</t>
  </si>
  <si>
    <t xml:space="preserve">            -151,365</t>
  </si>
  <si>
    <t xml:space="preserve">              96,675.6</t>
  </si>
  <si>
    <t xml:space="preserve">              39,094</t>
  </si>
  <si>
    <t xml:space="preserve">             204,939.4</t>
  </si>
  <si>
    <t xml:space="preserve">              82,375</t>
  </si>
  <si>
    <t xml:space="preserve">             -43,281</t>
  </si>
  <si>
    <t xml:space="preserve">              30,531.5</t>
  </si>
  <si>
    <t xml:space="preserve">             242,041</t>
  </si>
  <si>
    <t xml:space="preserve">              28,619.9</t>
  </si>
  <si>
    <t xml:space="preserve">             231,045</t>
  </si>
  <si>
    <t xml:space="preserve">              10,996</t>
  </si>
  <si>
    <t xml:space="preserve">              40,201.7</t>
  </si>
  <si>
    <t xml:space="preserve">             824,896</t>
  </si>
  <si>
    <t xml:space="preserve">               9,690.5</t>
  </si>
  <si>
    <t xml:space="preserve">             181,794</t>
  </si>
  <si>
    <t xml:space="preserve">             643,102</t>
  </si>
  <si>
    <t xml:space="preserve">              67,059.2</t>
  </si>
  <si>
    <t xml:space="preserve">             168,765</t>
  </si>
  <si>
    <t xml:space="preserve">              24,144.2</t>
  </si>
  <si>
    <t xml:space="preserve">              99,268</t>
  </si>
  <si>
    <t xml:space="preserve">              69,497</t>
  </si>
  <si>
    <t xml:space="preserve">               6,604.6</t>
  </si>
  <si>
    <t xml:space="preserve">              82,543</t>
  </si>
  <si>
    <t xml:space="preserve">              17,735.0</t>
  </si>
  <si>
    <t xml:space="preserve">              85,302</t>
  </si>
  <si>
    <t xml:space="preserve">              -2,758</t>
  </si>
  <si>
    <t xml:space="preserve">                 352.6</t>
  </si>
  <si>
    <t xml:space="preserve">               8,795</t>
  </si>
  <si>
    <t xml:space="preserve">                 341.4</t>
  </si>
  <si>
    <t xml:space="preserve">               7,535</t>
  </si>
  <si>
    <t xml:space="preserve">               1,260</t>
  </si>
  <si>
    <t xml:space="preserve">               2,123.7</t>
  </si>
  <si>
    <t xml:space="preserve">             100,970</t>
  </si>
  <si>
    <t xml:space="preserve">               3,246.8</t>
  </si>
  <si>
    <t xml:space="preserve">              90,042</t>
  </si>
  <si>
    <t xml:space="preserve">              10,929</t>
  </si>
  <si>
    <t xml:space="preserve">              95,413.0</t>
  </si>
  <si>
    <t xml:space="preserve">             603,715</t>
  </si>
  <si>
    <t xml:space="preserve">             297,378.5</t>
  </si>
  <si>
    <t xml:space="preserve">             735,664</t>
  </si>
  <si>
    <t xml:space="preserve">            -131,949</t>
  </si>
  <si>
    <t xml:space="preserve">           1,573,216.2</t>
  </si>
  <si>
    <t xml:space="preserve">           3,217,969</t>
  </si>
  <si>
    <t xml:space="preserve">             289,856.7</t>
  </si>
  <si>
    <t xml:space="preserve">           1,167,751</t>
  </si>
  <si>
    <t xml:space="preserve">           2,050,219</t>
  </si>
  <si>
    <t xml:space="preserve">             258,892.2</t>
  </si>
  <si>
    <t xml:space="preserve">             695,054</t>
  </si>
  <si>
    <t xml:space="preserve">              75,720.9</t>
  </si>
  <si>
    <t xml:space="preserve">             260,616</t>
  </si>
  <si>
    <t xml:space="preserve">             434,439</t>
  </si>
  <si>
    <t xml:space="preserve">               3,153.2</t>
  </si>
  <si>
    <t xml:space="preserve">              31,407</t>
  </si>
  <si>
    <t xml:space="preserve">               7,333.2</t>
  </si>
  <si>
    <t xml:space="preserve">              21,502</t>
  </si>
  <si>
    <t xml:space="preserve">               9,905</t>
  </si>
  <si>
    <t xml:space="preserve">                 734.4</t>
  </si>
  <si>
    <t xml:space="preserve">              30,676</t>
  </si>
  <si>
    <t xml:space="preserve">              10,694.8</t>
  </si>
  <si>
    <t xml:space="preserve">             365,537</t>
  </si>
  <si>
    <t xml:space="preserve">            -334,860</t>
  </si>
  <si>
    <t xml:space="preserve">                 519</t>
  </si>
  <si>
    <t xml:space="preserve">                  44.1</t>
  </si>
  <si>
    <t xml:space="preserve">               9,577</t>
  </si>
  <si>
    <t xml:space="preserve">              -9,058</t>
  </si>
  <si>
    <t xml:space="preserve">               4,826.2</t>
  </si>
  <si>
    <t xml:space="preserve">               6,850</t>
  </si>
  <si>
    <t xml:space="preserve">             840,369.6</t>
  </si>
  <si>
    <t xml:space="preserve">             242,966</t>
  </si>
  <si>
    <t xml:space="preserve">            -236,116</t>
  </si>
  <si>
    <t xml:space="preserve">                   0.7</t>
  </si>
  <si>
    <t xml:space="preserve">                  26</t>
  </si>
  <si>
    <t xml:space="preserve">                  42.5</t>
  </si>
  <si>
    <t xml:space="preserve">                 354</t>
  </si>
  <si>
    <t xml:space="preserve">                -328</t>
  </si>
  <si>
    <t xml:space="preserve">                   4.2</t>
  </si>
  <si>
    <t xml:space="preserve">                 370</t>
  </si>
  <si>
    <t xml:space="preserve">                 761.0</t>
  </si>
  <si>
    <t xml:space="preserve">               4,297</t>
  </si>
  <si>
    <t xml:space="preserve">              -3,927</t>
  </si>
  <si>
    <t xml:space="preserve">              66,262.5</t>
  </si>
  <si>
    <t xml:space="preserve">              14,896</t>
  </si>
  <si>
    <t xml:space="preserve">             269,228.5</t>
  </si>
  <si>
    <t xml:space="preserve">             150,547</t>
  </si>
  <si>
    <t xml:space="preserve">            -135,651</t>
  </si>
  <si>
    <t xml:space="preserve">             250,872.3</t>
  </si>
  <si>
    <t xml:space="preserve">             254,150</t>
  </si>
  <si>
    <t xml:space="preserve">             124,661.7</t>
  </si>
  <si>
    <t xml:space="preserve">             197,361</t>
  </si>
  <si>
    <t xml:space="preserve">              56,789</t>
  </si>
  <si>
    <t xml:space="preserve">               3,231.1</t>
  </si>
  <si>
    <t xml:space="preserve">              32,209</t>
  </si>
  <si>
    <t xml:space="preserve">               1,555.6</t>
  </si>
  <si>
    <t xml:space="preserve">              25,284</t>
  </si>
  <si>
    <t xml:space="preserve">               6,925</t>
  </si>
  <si>
    <t xml:space="preserve">                  16.7</t>
  </si>
  <si>
    <t xml:space="preserve">               1,939</t>
  </si>
  <si>
    <t xml:space="preserve">                  41.4</t>
  </si>
  <si>
    <t xml:space="preserve">               2,797</t>
  </si>
  <si>
    <t xml:space="preserve">                -858</t>
  </si>
  <si>
    <t xml:space="preserve">                 338.3</t>
  </si>
  <si>
    <t xml:space="preserve">               8,422</t>
  </si>
  <si>
    <t xml:space="preserve">               1,132.9</t>
  </si>
  <si>
    <t xml:space="preserve">              23,613</t>
  </si>
  <si>
    <t xml:space="preserve">             -15,191</t>
  </si>
  <si>
    <t xml:space="preserve">               2,943.7</t>
  </si>
  <si>
    <t xml:space="preserve">              26,190</t>
  </si>
  <si>
    <t xml:space="preserve">              21,861.7</t>
  </si>
  <si>
    <t xml:space="preserve">              77,081</t>
  </si>
  <si>
    <t xml:space="preserve">             -50,891</t>
  </si>
  <si>
    <t xml:space="preserve">                  53.9</t>
  </si>
  <si>
    <t xml:space="preserve">                 348</t>
  </si>
  <si>
    <t xml:space="preserve">               1,061.6</t>
  </si>
  <si>
    <t xml:space="preserve">               4,042</t>
  </si>
  <si>
    <t xml:space="preserve">              -3,693</t>
  </si>
  <si>
    <t xml:space="preserve">              28,563.0</t>
  </si>
  <si>
    <t xml:space="preserve">             181,979</t>
  </si>
  <si>
    <t xml:space="preserve">              43,698.0</t>
  </si>
  <si>
    <t xml:space="preserve">              98,368</t>
  </si>
  <si>
    <t xml:space="preserve">              83,611</t>
  </si>
  <si>
    <t xml:space="preserve">              65,349.1</t>
  </si>
  <si>
    <t xml:space="preserve">             114,507</t>
  </si>
  <si>
    <t xml:space="preserve">              14,032.2</t>
  </si>
  <si>
    <t xml:space="preserve">              53,465</t>
  </si>
  <si>
    <t xml:space="preserve">              61,042</t>
  </si>
  <si>
    <t xml:space="preserve">              10,230.2</t>
  </si>
  <si>
    <t xml:space="preserve">              64,786</t>
  </si>
  <si>
    <t xml:space="preserve">              20,371.7</t>
  </si>
  <si>
    <t xml:space="preserve">              59,908</t>
  </si>
  <si>
    <t xml:space="preserve">               4,878</t>
  </si>
  <si>
    <t xml:space="preserve">                 744.9</t>
  </si>
  <si>
    <t xml:space="preserve">               8,598</t>
  </si>
  <si>
    <t xml:space="preserve">               7,081.5</t>
  </si>
  <si>
    <t xml:space="preserve">              11,582</t>
  </si>
  <si>
    <t xml:space="preserve">              -2,984</t>
  </si>
  <si>
    <t xml:space="preserve">               1,388.3</t>
  </si>
  <si>
    <t xml:space="preserve">              17,593</t>
  </si>
  <si>
    <t xml:space="preserve">                 878.0</t>
  </si>
  <si>
    <t xml:space="preserve">               7,578</t>
  </si>
  <si>
    <t xml:space="preserve">              10,015</t>
  </si>
  <si>
    <t xml:space="preserve">              10,123.4</t>
  </si>
  <si>
    <t xml:space="preserve">             106,157</t>
  </si>
  <si>
    <t xml:space="preserve">               6,552.5</t>
  </si>
  <si>
    <t xml:space="preserve">              41,573</t>
  </si>
  <si>
    <t xml:space="preserve">              64,584</t>
  </si>
  <si>
    <t xml:space="preserve">              20,408.3</t>
  </si>
  <si>
    <t xml:space="preserve">             161,015</t>
  </si>
  <si>
    <t xml:space="preserve">               1,883.2</t>
  </si>
  <si>
    <t xml:space="preserve">              10,299</t>
  </si>
  <si>
    <t xml:space="preserve">             150,716</t>
  </si>
  <si>
    <t xml:space="preserve">               2,603.7</t>
  </si>
  <si>
    <t xml:space="preserve">              66,615</t>
  </si>
  <si>
    <t xml:space="preserve">              21,526.1</t>
  </si>
  <si>
    <t xml:space="preserve">             421,616</t>
  </si>
  <si>
    <t xml:space="preserve">            -355,001</t>
  </si>
  <si>
    <t xml:space="preserve">               2,998.8</t>
  </si>
  <si>
    <t xml:space="preserve">              81,874</t>
  </si>
  <si>
    <t xml:space="preserve">              21,635.9</t>
  </si>
  <si>
    <t xml:space="preserve">             567,696</t>
  </si>
  <si>
    <t xml:space="preserve">            -485,822</t>
  </si>
  <si>
    <t xml:space="preserve">              31,906.2</t>
  </si>
  <si>
    <t xml:space="preserve">              60,091</t>
  </si>
  <si>
    <t xml:space="preserve">              27,309.2</t>
  </si>
  <si>
    <t xml:space="preserve">             117,160</t>
  </si>
  <si>
    <t xml:space="preserve">             -57,069</t>
  </si>
  <si>
    <t xml:space="preserve">               1,299.1</t>
  </si>
  <si>
    <t xml:space="preserve">              27,921</t>
  </si>
  <si>
    <t xml:space="preserve">              12,146.2</t>
  </si>
  <si>
    <t xml:space="preserve">             275,918</t>
  </si>
  <si>
    <t xml:space="preserve">            -247,997</t>
  </si>
  <si>
    <t xml:space="preserve">                 252.7</t>
  </si>
  <si>
    <t xml:space="preserve">               7,918</t>
  </si>
  <si>
    <t xml:space="preserve">               1,130.2</t>
  </si>
  <si>
    <t xml:space="preserve">              29,422</t>
  </si>
  <si>
    <t xml:space="preserve">             -21,503</t>
  </si>
  <si>
    <t xml:space="preserve">                  10.7</t>
  </si>
  <si>
    <t xml:space="preserve">                 521</t>
  </si>
  <si>
    <t xml:space="preserve">               2,658.9</t>
  </si>
  <si>
    <t xml:space="preserve">              17,957</t>
  </si>
  <si>
    <t xml:space="preserve">             -17,436</t>
  </si>
  <si>
    <t xml:space="preserve">                  36.1</t>
  </si>
  <si>
    <t xml:space="preserve">               1,801</t>
  </si>
  <si>
    <t xml:space="preserve">                 684.0</t>
  </si>
  <si>
    <t xml:space="preserve">               8,935</t>
  </si>
  <si>
    <t xml:space="preserve">              -7,135</t>
  </si>
  <si>
    <t xml:space="preserve">              11,479.0</t>
  </si>
  <si>
    <t xml:space="preserve">              85,103</t>
  </si>
  <si>
    <t xml:space="preserve">             265,052.6</t>
  </si>
  <si>
    <t xml:space="preserve">             123,510</t>
  </si>
  <si>
    <t xml:space="preserve">             -38,407</t>
  </si>
  <si>
    <t xml:space="preserve">               3,236.9</t>
  </si>
  <si>
    <t xml:space="preserve">              31,780</t>
  </si>
  <si>
    <t xml:space="preserve">             151,185.5</t>
  </si>
  <si>
    <t xml:space="preserve">             143,405</t>
  </si>
  <si>
    <t xml:space="preserve">            -111,625</t>
  </si>
  <si>
    <t xml:space="preserve">              35,394.1</t>
  </si>
  <si>
    <t xml:space="preserve">             175,091</t>
  </si>
  <si>
    <t xml:space="preserve">             109,885.9</t>
  </si>
  <si>
    <t xml:space="preserve">             225,606</t>
  </si>
  <si>
    <t xml:space="preserve">             -50,515</t>
  </si>
  <si>
    <t xml:space="preserve">                 771.1</t>
  </si>
  <si>
    <t xml:space="preserve">             579,512</t>
  </si>
  <si>
    <t xml:space="preserve">               1,956.3</t>
  </si>
  <si>
    <t xml:space="preserve">             925,126</t>
  </si>
  <si>
    <t xml:space="preserve">            -345,615</t>
  </si>
  <si>
    <t xml:space="preserve">           2,021,669.7</t>
  </si>
  <si>
    <t xml:space="preserve">           2,042,103</t>
  </si>
  <si>
    <t xml:space="preserve">           1,681,592.7</t>
  </si>
  <si>
    <t xml:space="preserve">           1,383,588</t>
  </si>
  <si>
    <t xml:space="preserve">             658,515</t>
  </si>
  <si>
    <t xml:space="preserve">             326,992.1</t>
  </si>
  <si>
    <t xml:space="preserve">             897,481</t>
  </si>
  <si>
    <t xml:space="preserve">             271,474.0</t>
  </si>
  <si>
    <t xml:space="preserve">             693,097</t>
  </si>
  <si>
    <t xml:space="preserve">             204,384</t>
  </si>
  <si>
    <t xml:space="preserve">              40,869.8</t>
  </si>
  <si>
    <t xml:space="preserve">             375,869</t>
  </si>
  <si>
    <t xml:space="preserve">              78,428.3</t>
  </si>
  <si>
    <t xml:space="preserve">             703,073</t>
  </si>
  <si>
    <t xml:space="preserve">            -327,204</t>
  </si>
  <si>
    <t xml:space="preserve">               1,199.0</t>
  </si>
  <si>
    <t xml:space="preserve">              17,717</t>
  </si>
  <si>
    <t xml:space="preserve">               4,140.5</t>
  </si>
  <si>
    <t xml:space="preserve">              90,659</t>
  </si>
  <si>
    <t xml:space="preserve">             -72,942</t>
  </si>
  <si>
    <t xml:space="preserve">             114,311.3</t>
  </si>
  <si>
    <t xml:space="preserve">             427,343</t>
  </si>
  <si>
    <t xml:space="preserve">             269,334.9</t>
  </si>
  <si>
    <t xml:space="preserve">             730,762</t>
  </si>
  <si>
    <t xml:space="preserve">            -303,419</t>
  </si>
  <si>
    <t xml:space="preserve">              25,631.8</t>
  </si>
  <si>
    <t xml:space="preserve">              58,726</t>
  </si>
  <si>
    <t xml:space="preserve">              13,725.1</t>
  </si>
  <si>
    <t xml:space="preserve">              30,879</t>
  </si>
  <si>
    <t xml:space="preserve">              27,847</t>
  </si>
  <si>
    <t xml:space="preserve">              40,619.0</t>
  </si>
  <si>
    <t xml:space="preserve">             111,423</t>
  </si>
  <si>
    <t xml:space="preserve">               5,259.9</t>
  </si>
  <si>
    <t xml:space="preserve">              15,201</t>
  </si>
  <si>
    <t xml:space="preserve">              96,223</t>
  </si>
  <si>
    <t xml:space="preserve">                 147.9</t>
  </si>
  <si>
    <t xml:space="preserve">               5,660</t>
  </si>
  <si>
    <t xml:space="preserve">               1,175.9</t>
  </si>
  <si>
    <t xml:space="preserve">              34,846</t>
  </si>
  <si>
    <t xml:space="preserve">             -29,186</t>
  </si>
  <si>
    <t xml:space="preserve">               2,254.2</t>
  </si>
  <si>
    <t xml:space="preserve">              27,999</t>
  </si>
  <si>
    <t xml:space="preserve">              15,248.1</t>
  </si>
  <si>
    <t xml:space="preserve">             116,239</t>
  </si>
  <si>
    <t xml:space="preserve">             -88,240</t>
  </si>
  <si>
    <t xml:space="preserve">               7,036.3</t>
  </si>
  <si>
    <t xml:space="preserve">             158,891</t>
  </si>
  <si>
    <t xml:space="preserve">               6,100.4</t>
  </si>
  <si>
    <t xml:space="preserve">              97,249</t>
  </si>
  <si>
    <t xml:space="preserve">              61,642</t>
  </si>
  <si>
    <t xml:space="preserve">              26,588.6</t>
  </si>
  <si>
    <t xml:space="preserve">             146,142</t>
  </si>
  <si>
    <t xml:space="preserve">              13,394.7</t>
  </si>
  <si>
    <t xml:space="preserve">              87,328</t>
  </si>
  <si>
    <t xml:space="preserve">              58,814</t>
  </si>
  <si>
    <t xml:space="preserve">             413,774.9</t>
  </si>
  <si>
    <t xml:space="preserve">           6,609,237</t>
  </si>
  <si>
    <t xml:space="preserve">             230,558.8</t>
  </si>
  <si>
    <t xml:space="preserve">           5,450,490</t>
  </si>
  <si>
    <t xml:space="preserve">           1,158,747</t>
  </si>
  <si>
    <t xml:space="preserve">             219,956.2</t>
  </si>
  <si>
    <t xml:space="preserve">          15,588,503</t>
  </si>
  <si>
    <t xml:space="preserve">             192,500.1</t>
  </si>
  <si>
    <t xml:space="preserve">          10,064,430</t>
  </si>
  <si>
    <t xml:space="preserve">           5,524,073</t>
  </si>
  <si>
    <t xml:space="preserve">              13,205.6</t>
  </si>
  <si>
    <t xml:space="preserve">              42,926</t>
  </si>
  <si>
    <t xml:space="preserve">              30,898</t>
  </si>
  <si>
    <t xml:space="preserve">              12,028</t>
  </si>
  <si>
    <t xml:space="preserve">             765,044.2</t>
  </si>
  <si>
    <t xml:space="preserve">           8,537,047</t>
  </si>
  <si>
    <t xml:space="preserve">             115,573.2</t>
  </si>
  <si>
    <t xml:space="preserve">           1,885,258</t>
  </si>
  <si>
    <t xml:space="preserve">           6,651,789</t>
  </si>
  <si>
    <t xml:space="preserve">                 383.9</t>
  </si>
  <si>
    <t xml:space="preserve">             115,245</t>
  </si>
  <si>
    <t xml:space="preserve">                 283.6</t>
  </si>
  <si>
    <t xml:space="preserve">             145,018</t>
  </si>
  <si>
    <t xml:space="preserve">             -29,773</t>
  </si>
  <si>
    <t xml:space="preserve">             999,306.0</t>
  </si>
  <si>
    <t xml:space="preserve">           1,558,389</t>
  </si>
  <si>
    <t xml:space="preserve">             477,034.6</t>
  </si>
  <si>
    <t xml:space="preserve">             329,415</t>
  </si>
  <si>
    <t xml:space="preserve">           1,228,973</t>
  </si>
  <si>
    <t xml:space="preserve">              17,906.8</t>
  </si>
  <si>
    <t xml:space="preserve">           1,422,212</t>
  </si>
  <si>
    <t xml:space="preserve">              18,451.9</t>
  </si>
  <si>
    <t xml:space="preserve">           1,848,418</t>
  </si>
  <si>
    <t xml:space="preserve">            -426,206</t>
  </si>
  <si>
    <t xml:space="preserve">                  21.0</t>
  </si>
  <si>
    <t xml:space="preserve">              12,950</t>
  </si>
  <si>
    <t xml:space="preserve">                 379.1</t>
  </si>
  <si>
    <t xml:space="preserve">              86,487</t>
  </si>
  <si>
    <t xml:space="preserve">             -73,538</t>
  </si>
  <si>
    <t xml:space="preserve">                 629.6</t>
  </si>
  <si>
    <t xml:space="preserve">               9,806</t>
  </si>
  <si>
    <t xml:space="preserve">                 712.7</t>
  </si>
  <si>
    <t xml:space="preserve">              16,347</t>
  </si>
  <si>
    <t xml:space="preserve">              -6,541</t>
  </si>
  <si>
    <t xml:space="preserve">               2,785.0</t>
  </si>
  <si>
    <t xml:space="preserve">             279,485</t>
  </si>
  <si>
    <t xml:space="preserve">                  51.6</t>
  </si>
  <si>
    <t xml:space="preserve">              20,975</t>
  </si>
  <si>
    <t xml:space="preserve">             258,510</t>
  </si>
  <si>
    <t xml:space="preserve">              14,706.8</t>
  </si>
  <si>
    <t xml:space="preserve">             112,188</t>
  </si>
  <si>
    <t xml:space="preserve">              77,832.1</t>
  </si>
  <si>
    <t xml:space="preserve">             344,539</t>
  </si>
  <si>
    <t xml:space="preserve">            -232,350</t>
  </si>
  <si>
    <t xml:space="preserve">               1,809.7</t>
  </si>
  <si>
    <t xml:space="preserve">              44,524</t>
  </si>
  <si>
    <t xml:space="preserve">              17,626.8</t>
  </si>
  <si>
    <t xml:space="preserve">             229,352</t>
  </si>
  <si>
    <t xml:space="preserve">            -184,828</t>
  </si>
  <si>
    <t xml:space="preserve">               2,567.0</t>
  </si>
  <si>
    <t xml:space="preserve">              45,218</t>
  </si>
  <si>
    <t xml:space="preserve">              11,559.6</t>
  </si>
  <si>
    <t xml:space="preserve">             105,746</t>
  </si>
  <si>
    <t xml:space="preserve">             -60,527</t>
  </si>
  <si>
    <t xml:space="preserve">                  18.8</t>
  </si>
  <si>
    <t xml:space="preserve">              45,739</t>
  </si>
  <si>
    <t xml:space="preserve">                  36.9</t>
  </si>
  <si>
    <t xml:space="preserve">              43,974</t>
  </si>
  <si>
    <t xml:space="preserve">               1,765</t>
  </si>
  <si>
    <t xml:space="preserve">                   3.7</t>
  </si>
  <si>
    <t xml:space="preserve">                 789</t>
  </si>
  <si>
    <t xml:space="preserve">                 116.9</t>
  </si>
  <si>
    <t xml:space="preserve">               9,747</t>
  </si>
  <si>
    <t xml:space="preserve">              -8,958</t>
  </si>
  <si>
    <t xml:space="preserve">               4,639.0</t>
  </si>
  <si>
    <t xml:space="preserve">               6,317</t>
  </si>
  <si>
    <t xml:space="preserve">             122,466.1</t>
  </si>
  <si>
    <t xml:space="preserve">             594,069</t>
  </si>
  <si>
    <t xml:space="preserve">            -587,752</t>
  </si>
  <si>
    <t xml:space="preserve">              32,837.8</t>
  </si>
  <si>
    <t xml:space="preserve">             109,814</t>
  </si>
  <si>
    <t xml:space="preserve">              89,623.3</t>
  </si>
  <si>
    <t xml:space="preserve">             378,286</t>
  </si>
  <si>
    <t xml:space="preserve">            -268,472</t>
  </si>
  <si>
    <t xml:space="preserve">               2,770.4</t>
  </si>
  <si>
    <t xml:space="preserve">               6,793</t>
  </si>
  <si>
    <t xml:space="preserve">              32,428.6</t>
  </si>
  <si>
    <t xml:space="preserve">             117,723</t>
  </si>
  <si>
    <t xml:space="preserve">            -110,930</t>
  </si>
  <si>
    <t xml:space="preserve">               3,500.2</t>
  </si>
  <si>
    <t xml:space="preserve">               7,375</t>
  </si>
  <si>
    <t xml:space="preserve">               3,659.5</t>
  </si>
  <si>
    <t xml:space="preserve">              24,801</t>
  </si>
  <si>
    <t xml:space="preserve">             -17,426</t>
  </si>
  <si>
    <t xml:space="preserve">                  46.7</t>
  </si>
  <si>
    <t xml:space="preserve">                 487</t>
  </si>
  <si>
    <t xml:space="preserve">               6,713.9</t>
  </si>
  <si>
    <t xml:space="preserve">              12,711</t>
  </si>
  <si>
    <t xml:space="preserve">             -12,223</t>
  </si>
  <si>
    <t xml:space="preserve">               4,499.5</t>
  </si>
  <si>
    <t xml:space="preserve">              10,021</t>
  </si>
  <si>
    <t xml:space="preserve">              95,801.6</t>
  </si>
  <si>
    <t xml:space="preserve">              72,023</t>
  </si>
  <si>
    <t xml:space="preserve">             -62,002</t>
  </si>
  <si>
    <t xml:space="preserve">                 504.8</t>
  </si>
  <si>
    <t xml:space="preserve">               4,065</t>
  </si>
  <si>
    <t xml:space="preserve">             104,250.3</t>
  </si>
  <si>
    <t xml:space="preserve">             243,291</t>
  </si>
  <si>
    <t xml:space="preserve">            -239,226</t>
  </si>
  <si>
    <t xml:space="preserve">                 385.1</t>
  </si>
  <si>
    <t xml:space="preserve">               2,522</t>
  </si>
  <si>
    <t xml:space="preserve">              18,493.4</t>
  </si>
  <si>
    <t xml:space="preserve">             107,827</t>
  </si>
  <si>
    <t xml:space="preserve">            -105,305</t>
  </si>
  <si>
    <t xml:space="preserve">              57,633.5</t>
  </si>
  <si>
    <t xml:space="preserve">              16,818</t>
  </si>
  <si>
    <t xml:space="preserve">           1,259,682.7</t>
  </si>
  <si>
    <t xml:space="preserve">             353,032</t>
  </si>
  <si>
    <t xml:space="preserve">            -336,214</t>
  </si>
  <si>
    <t xml:space="preserve">               6,051.9</t>
  </si>
  <si>
    <t xml:space="preserve">               4,495</t>
  </si>
  <si>
    <t xml:space="preserve">              37,356.4</t>
  </si>
  <si>
    <t xml:space="preserve">              32,972</t>
  </si>
  <si>
    <t xml:space="preserve">             -28,477</t>
  </si>
  <si>
    <t xml:space="preserve">               2,841.9</t>
  </si>
  <si>
    <t xml:space="preserve">              65,553</t>
  </si>
  <si>
    <t xml:space="preserve">             365,131.6</t>
  </si>
  <si>
    <t xml:space="preserve">             220,248</t>
  </si>
  <si>
    <t xml:space="preserve">            -154,694</t>
  </si>
  <si>
    <t xml:space="preserve">                 246.9</t>
  </si>
  <si>
    <t xml:space="preserve">               6,798</t>
  </si>
  <si>
    <t xml:space="preserve">               8,504.4</t>
  </si>
  <si>
    <t xml:space="preserve">              30,229</t>
  </si>
  <si>
    <t xml:space="preserve">             -23,431</t>
  </si>
  <si>
    <t xml:space="preserve">                   9.9</t>
  </si>
  <si>
    <t xml:space="preserve">                  22</t>
  </si>
  <si>
    <t xml:space="preserve">              18,480.1</t>
  </si>
  <si>
    <t xml:space="preserve">               4,576</t>
  </si>
  <si>
    <t xml:space="preserve">              -4,554</t>
  </si>
  <si>
    <t xml:space="preserve">              16,200.6</t>
  </si>
  <si>
    <t xml:space="preserve">              16,929</t>
  </si>
  <si>
    <t xml:space="preserve">             130,590.7</t>
  </si>
  <si>
    <t xml:space="preserve">             174,417</t>
  </si>
  <si>
    <t xml:space="preserve">            -157,488</t>
  </si>
  <si>
    <t xml:space="preserve">               5,050.3</t>
  </si>
  <si>
    <t xml:space="preserve">              35,932</t>
  </si>
  <si>
    <t xml:space="preserve">              16,079.5</t>
  </si>
  <si>
    <t xml:space="preserve">              88,593</t>
  </si>
  <si>
    <t xml:space="preserve">             -52,660</t>
  </si>
  <si>
    <t xml:space="preserve">              28,654.5</t>
  </si>
  <si>
    <t xml:space="preserve">              26,921</t>
  </si>
  <si>
    <t xml:space="preserve">             190,494.2</t>
  </si>
  <si>
    <t xml:space="preserve">             127,859</t>
  </si>
  <si>
    <t xml:space="preserve">            -100,939</t>
  </si>
  <si>
    <t xml:space="preserve">               2,272.4</t>
  </si>
  <si>
    <t xml:space="preserve">               6,067</t>
  </si>
  <si>
    <t xml:space="preserve">               5,157.5</t>
  </si>
  <si>
    <t xml:space="preserve">              32,361</t>
  </si>
  <si>
    <t xml:space="preserve">             -26,295</t>
  </si>
  <si>
    <t xml:space="preserve">              52,123.1</t>
  </si>
  <si>
    <t xml:space="preserve">             207,843</t>
  </si>
  <si>
    <t xml:space="preserve">              30,026.8</t>
  </si>
  <si>
    <t xml:space="preserve">              96,845</t>
  </si>
  <si>
    <t xml:space="preserve">             110,998</t>
  </si>
  <si>
    <t xml:space="preserve">               9,848.4</t>
  </si>
  <si>
    <t xml:space="preserve">              82,002</t>
  </si>
  <si>
    <t xml:space="preserve">             101,176.9</t>
  </si>
  <si>
    <t xml:space="preserve">             147,492</t>
  </si>
  <si>
    <t xml:space="preserve">             -65,491</t>
  </si>
  <si>
    <t xml:space="preserve">              36,880.7</t>
  </si>
  <si>
    <t xml:space="preserve">             159,133</t>
  </si>
  <si>
    <t xml:space="preserve">              33,626.6</t>
  </si>
  <si>
    <t xml:space="preserve">             253,692</t>
  </si>
  <si>
    <t xml:space="preserve">             -94,559</t>
  </si>
  <si>
    <t xml:space="preserve">              86,012.8</t>
  </si>
  <si>
    <t xml:space="preserve">             101,023</t>
  </si>
  <si>
    <t xml:space="preserve">              97,755.7</t>
  </si>
  <si>
    <t xml:space="preserve">             143,365</t>
  </si>
  <si>
    <t xml:space="preserve">             -42,342</t>
  </si>
  <si>
    <t xml:space="preserve">              23,781.2</t>
  </si>
  <si>
    <t xml:space="preserve">              26,803</t>
  </si>
  <si>
    <t xml:space="preserve">             673,278.7</t>
  </si>
  <si>
    <t xml:space="preserve">             265,277</t>
  </si>
  <si>
    <t xml:space="preserve">            -238,474</t>
  </si>
  <si>
    <t xml:space="preserve">               9,219.0</t>
  </si>
  <si>
    <t xml:space="preserve">              89,639</t>
  </si>
  <si>
    <t xml:space="preserve">               5,039.1</t>
  </si>
  <si>
    <t xml:space="preserve">              47,461</t>
  </si>
  <si>
    <t xml:space="preserve">              42,178</t>
  </si>
  <si>
    <t xml:space="preserve">             474,436.6</t>
  </si>
  <si>
    <t xml:space="preserve">              28,452</t>
  </si>
  <si>
    <t xml:space="preserve">             942,503.3</t>
  </si>
  <si>
    <t xml:space="preserve">              89,068</t>
  </si>
  <si>
    <t xml:space="preserve">             -60,616</t>
  </si>
  <si>
    <t xml:space="preserve">              61,992.7</t>
  </si>
  <si>
    <t xml:space="preserve">              78,337</t>
  </si>
  <si>
    <t xml:space="preserve">           5,852,513.9</t>
  </si>
  <si>
    <t xml:space="preserve">           1,791,021</t>
  </si>
  <si>
    <t xml:space="preserve">          -1,712,684</t>
  </si>
  <si>
    <t xml:space="preserve">           6,113,882.1</t>
  </si>
  <si>
    <t xml:space="preserve">           4,762,891</t>
  </si>
  <si>
    <t xml:space="preserve">          28,312,338.3</t>
  </si>
  <si>
    <t xml:space="preserve">          13,844,143</t>
  </si>
  <si>
    <t xml:space="preserve">          -9,081,252</t>
  </si>
  <si>
    <t xml:space="preserve">             385,315.1</t>
  </si>
  <si>
    <t xml:space="preserve">             813,607</t>
  </si>
  <si>
    <t xml:space="preserve">             392,369.8</t>
  </si>
  <si>
    <t xml:space="preserve">           1,345,655</t>
  </si>
  <si>
    <t xml:space="preserve">            -532,048</t>
  </si>
  <si>
    <t xml:space="preserve">           1,536,433.6</t>
  </si>
  <si>
    <t xml:space="preserve">           1,826,035</t>
  </si>
  <si>
    <t xml:space="preserve">             765,485.8</t>
  </si>
  <si>
    <t xml:space="preserve">           1,262,850</t>
  </si>
  <si>
    <t xml:space="preserve">             563,185</t>
  </si>
  <si>
    <t xml:space="preserve">               2,619.2</t>
  </si>
  <si>
    <t xml:space="preserve">             678,232</t>
  </si>
  <si>
    <t xml:space="preserve">               6,900.4</t>
  </si>
  <si>
    <t xml:space="preserve">             778,622</t>
  </si>
  <si>
    <t xml:space="preserve">            -100,390</t>
  </si>
  <si>
    <t xml:space="preserve">             105,628.2</t>
  </si>
  <si>
    <t xml:space="preserve">              35,617</t>
  </si>
  <si>
    <t xml:space="preserve">              79,406.3</t>
  </si>
  <si>
    <t xml:space="preserve">              34,908</t>
  </si>
  <si>
    <t xml:space="preserve">                 709</t>
  </si>
  <si>
    <t xml:space="preserve">              30,042.4</t>
  </si>
  <si>
    <t xml:space="preserve">             238,498</t>
  </si>
  <si>
    <t xml:space="preserve">              28,169.4</t>
  </si>
  <si>
    <t xml:space="preserve">             212,532</t>
  </si>
  <si>
    <t xml:space="preserve">              25,966</t>
  </si>
  <si>
    <t xml:space="preserve">              39,421.7</t>
  </si>
  <si>
    <t xml:space="preserve">             850,048</t>
  </si>
  <si>
    <t xml:space="preserve">               9,083.4</t>
  </si>
  <si>
    <t xml:space="preserve">             173,555</t>
  </si>
  <si>
    <t xml:space="preserve">             676,493</t>
  </si>
  <si>
    <t xml:space="preserve">              61,275.7</t>
  </si>
  <si>
    <t xml:space="preserve">             164,214</t>
  </si>
  <si>
    <t xml:space="preserve">              26,042.7</t>
  </si>
  <si>
    <t xml:space="preserve">              99,919</t>
  </si>
  <si>
    <t xml:space="preserve">              64,295</t>
  </si>
  <si>
    <t xml:space="preserve">               6,841.8</t>
  </si>
  <si>
    <t xml:space="preserve">              83,370</t>
  </si>
  <si>
    <t xml:space="preserve">              17,086.1</t>
  </si>
  <si>
    <t xml:space="preserve">              81,185</t>
  </si>
  <si>
    <t xml:space="preserve">               2,185</t>
  </si>
  <si>
    <t xml:space="preserve">                 124.1</t>
  </si>
  <si>
    <t xml:space="preserve">               6,737</t>
  </si>
  <si>
    <t xml:space="preserve">                 329.4</t>
  </si>
  <si>
    <t xml:space="preserve">               4,482</t>
  </si>
  <si>
    <t xml:space="preserve">               2,254</t>
  </si>
  <si>
    <t xml:space="preserve">               1,899.4</t>
  </si>
  <si>
    <t xml:space="preserve">              91,428</t>
  </si>
  <si>
    <t xml:space="preserve">               3,145.6</t>
  </si>
  <si>
    <t xml:space="preserve">              90,120</t>
  </si>
  <si>
    <t xml:space="preserve">               1,308</t>
  </si>
  <si>
    <t xml:space="preserve">             114,777.7</t>
  </si>
  <si>
    <t xml:space="preserve">             592,052</t>
  </si>
  <si>
    <t xml:space="preserve">             290,375.4</t>
  </si>
  <si>
    <t xml:space="preserve">             660,986</t>
  </si>
  <si>
    <t xml:space="preserve">             -68,933</t>
  </si>
  <si>
    <t xml:space="preserve">           1,544,715.7</t>
  </si>
  <si>
    <t xml:space="preserve">           3,178,756</t>
  </si>
  <si>
    <t xml:space="preserve">             287,065.9</t>
  </si>
  <si>
    <t xml:space="preserve">           1,117,096</t>
  </si>
  <si>
    <t xml:space="preserve">           2,061,660</t>
  </si>
  <si>
    <t xml:space="preserve">             237,242.8</t>
  </si>
  <si>
    <t xml:space="preserve">             698,143</t>
  </si>
  <si>
    <t xml:space="preserve">              72,765.5</t>
  </si>
  <si>
    <t xml:space="preserve">             236,699</t>
  </si>
  <si>
    <t xml:space="preserve">             461,444</t>
  </si>
  <si>
    <t xml:space="preserve">               2,768.6</t>
  </si>
  <si>
    <t xml:space="preserve">              26,933</t>
  </si>
  <si>
    <t xml:space="preserve">               7,905.7</t>
  </si>
  <si>
    <t xml:space="preserve">              19,593</t>
  </si>
  <si>
    <t xml:space="preserve">               7,340</t>
  </si>
  <si>
    <t xml:space="preserve">                 818.4</t>
  </si>
  <si>
    <t xml:space="preserve">              36,424</t>
  </si>
  <si>
    <t xml:space="preserve">              10,234.2</t>
  </si>
  <si>
    <t xml:space="preserve">             331,989</t>
  </si>
  <si>
    <t xml:space="preserve">            -295,565</t>
  </si>
  <si>
    <t xml:space="preserve">                  14.3</t>
  </si>
  <si>
    <t xml:space="preserve">                 541</t>
  </si>
  <si>
    <t xml:space="preserve">                  46.6</t>
  </si>
  <si>
    <t xml:space="preserve">               7,355</t>
  </si>
  <si>
    <t xml:space="preserve">              -6,814</t>
  </si>
  <si>
    <t xml:space="preserve">               4,720.1</t>
  </si>
  <si>
    <t xml:space="preserve">               6,588</t>
  </si>
  <si>
    <t xml:space="preserve">             973,494.4</t>
  </si>
  <si>
    <t xml:space="preserve">             277,003</t>
  </si>
  <si>
    <t xml:space="preserve">            -270,415</t>
  </si>
  <si>
    <t xml:space="preserve">                   1.1</t>
  </si>
  <si>
    <t xml:space="preserve">                  24</t>
  </si>
  <si>
    <t xml:space="preserve">                  32.5</t>
  </si>
  <si>
    <t xml:space="preserve">                 205</t>
  </si>
  <si>
    <t xml:space="preserve">                -182</t>
  </si>
  <si>
    <t xml:space="preserve">                   5.7</t>
  </si>
  <si>
    <t xml:space="preserve">                 135</t>
  </si>
  <si>
    <t xml:space="preserve">                 816.3</t>
  </si>
  <si>
    <t xml:space="preserve">              -3,820</t>
  </si>
  <si>
    <t xml:space="preserve">              69,708.0</t>
  </si>
  <si>
    <t xml:space="preserve">              16,717</t>
  </si>
  <si>
    <t xml:space="preserve">             239,266.4</t>
  </si>
  <si>
    <t xml:space="preserve">             134,286</t>
  </si>
  <si>
    <t xml:space="preserve">            -117,570</t>
  </si>
  <si>
    <t xml:space="preserve">             242,870.7</t>
  </si>
  <si>
    <t xml:space="preserve">             243,014</t>
  </si>
  <si>
    <t xml:space="preserve">             122,643.4</t>
  </si>
  <si>
    <t xml:space="preserve">             191,411</t>
  </si>
  <si>
    <t xml:space="preserve">              51,603</t>
  </si>
  <si>
    <t xml:space="preserve">               3,389.7</t>
  </si>
  <si>
    <t xml:space="preserve">              28,556</t>
  </si>
  <si>
    <t xml:space="preserve">               1,292.6</t>
  </si>
  <si>
    <t xml:space="preserve">              20,920</t>
  </si>
  <si>
    <t xml:space="preserve">               7,636</t>
  </si>
  <si>
    <t xml:space="preserve">                  11.1</t>
  </si>
  <si>
    <t xml:space="preserve">               1,232</t>
  </si>
  <si>
    <t xml:space="preserve">                  16.4</t>
  </si>
  <si>
    <t xml:space="preserve">               1,638</t>
  </si>
  <si>
    <t xml:space="preserve">                -407</t>
  </si>
  <si>
    <t xml:space="preserve">                 401.1</t>
  </si>
  <si>
    <t xml:space="preserve">               9,649</t>
  </si>
  <si>
    <t xml:space="preserve">               1,140.9</t>
  </si>
  <si>
    <t xml:space="preserve">              23,475</t>
  </si>
  <si>
    <t xml:space="preserve">             -13,826</t>
  </si>
  <si>
    <t xml:space="preserve">               3,378.7</t>
  </si>
  <si>
    <t xml:space="preserve">              28,686</t>
  </si>
  <si>
    <t xml:space="preserve">              21,476.5</t>
  </si>
  <si>
    <t xml:space="preserve">              73,795</t>
  </si>
  <si>
    <t xml:space="preserve">             -45,109</t>
  </si>
  <si>
    <t xml:space="preserve">                 429</t>
  </si>
  <si>
    <t xml:space="preserve">               1,335.4</t>
  </si>
  <si>
    <t xml:space="preserve">               4,162</t>
  </si>
  <si>
    <t xml:space="preserve">              -3,733</t>
  </si>
  <si>
    <t xml:space="preserve">              27,849.4</t>
  </si>
  <si>
    <t xml:space="preserve">             184,661</t>
  </si>
  <si>
    <t xml:space="preserve">              44,181.9</t>
  </si>
  <si>
    <t xml:space="preserve">             101,671</t>
  </si>
  <si>
    <t xml:space="preserve">              82,989</t>
  </si>
  <si>
    <t xml:space="preserve">              62,978.8</t>
  </si>
  <si>
    <t xml:space="preserve">             116,090</t>
  </si>
  <si>
    <t xml:space="preserve">              12,596.3</t>
  </si>
  <si>
    <t xml:space="preserve">              51,056</t>
  </si>
  <si>
    <t xml:space="preserve">              65,033</t>
  </si>
  <si>
    <t xml:space="preserve">               9,867.9</t>
  </si>
  <si>
    <t xml:space="preserve">              65,471</t>
  </si>
  <si>
    <t xml:space="preserve">              19,645.6</t>
  </si>
  <si>
    <t xml:space="preserve">              60,396</t>
  </si>
  <si>
    <t xml:space="preserve">               5,075</t>
  </si>
  <si>
    <t xml:space="preserve">                 636.6</t>
  </si>
  <si>
    <t xml:space="preserve">               5,556</t>
  </si>
  <si>
    <t xml:space="preserve">               6,448.4</t>
  </si>
  <si>
    <t xml:space="preserve">              10,606</t>
  </si>
  <si>
    <t xml:space="preserve">              -5,051</t>
  </si>
  <si>
    <t xml:space="preserve">               1,551.1</t>
  </si>
  <si>
    <t xml:space="preserve">              18,487</t>
  </si>
  <si>
    <t xml:space="preserve">               1,040.4</t>
  </si>
  <si>
    <t xml:space="preserve">               8,233</t>
  </si>
  <si>
    <t xml:space="preserve">              10,255</t>
  </si>
  <si>
    <t xml:space="preserve">               9,037.8</t>
  </si>
  <si>
    <t xml:space="preserve">              96,065</t>
  </si>
  <si>
    <t xml:space="preserve">               6,803.7</t>
  </si>
  <si>
    <t xml:space="preserve">              40,608</t>
  </si>
  <si>
    <t xml:space="preserve">              55,457</t>
  </si>
  <si>
    <t xml:space="preserve">              20,926.6</t>
  </si>
  <si>
    <t xml:space="preserve">             171,356</t>
  </si>
  <si>
    <t xml:space="preserve">               1,634.9</t>
  </si>
  <si>
    <t xml:space="preserve">               9,250</t>
  </si>
  <si>
    <t xml:space="preserve">             162,105</t>
  </si>
  <si>
    <t xml:space="preserve">               2,538.9</t>
  </si>
  <si>
    <t xml:space="preserve">              68,010</t>
  </si>
  <si>
    <t xml:space="preserve">              16,697.0</t>
  </si>
  <si>
    <t xml:space="preserve">             327,431</t>
  </si>
  <si>
    <t xml:space="preserve">            -259,422</t>
  </si>
  <si>
    <t xml:space="preserve">               3,741.0</t>
  </si>
  <si>
    <t xml:space="preserve">              92,802</t>
  </si>
  <si>
    <t xml:space="preserve">              15,989.6</t>
  </si>
  <si>
    <t xml:space="preserve">             429,519</t>
  </si>
  <si>
    <t xml:space="preserve">            -336,717</t>
  </si>
  <si>
    <t xml:space="preserve">              30,862.8</t>
  </si>
  <si>
    <t xml:space="preserve">              59,666</t>
  </si>
  <si>
    <t xml:space="preserve">              27,523.0</t>
  </si>
  <si>
    <t xml:space="preserve">             118,099</t>
  </si>
  <si>
    <t xml:space="preserve">             -58,434</t>
  </si>
  <si>
    <t xml:space="preserve">               1,333.1</t>
  </si>
  <si>
    <t xml:space="preserve">              31,906</t>
  </si>
  <si>
    <t xml:space="preserve">              14,289.4</t>
  </si>
  <si>
    <t xml:space="preserve">             297,687</t>
  </si>
  <si>
    <t xml:space="preserve">            -265,781</t>
  </si>
  <si>
    <t xml:space="preserve">                 249.4</t>
  </si>
  <si>
    <t xml:space="preserve">               8,463</t>
  </si>
  <si>
    <t xml:space="preserve">               1,022.4</t>
  </si>
  <si>
    <t xml:space="preserve">              26,590</t>
  </si>
  <si>
    <t xml:space="preserve">             -18,127</t>
  </si>
  <si>
    <t xml:space="preserve">                  16.3</t>
  </si>
  <si>
    <t xml:space="preserve">                 239</t>
  </si>
  <si>
    <t xml:space="preserve">               3,593.6</t>
  </si>
  <si>
    <t xml:space="preserve">              22,525</t>
  </si>
  <si>
    <t xml:space="preserve">             -22,286</t>
  </si>
  <si>
    <t xml:space="preserve">                  47.8</t>
  </si>
  <si>
    <t xml:space="preserve">               2,240</t>
  </si>
  <si>
    <t xml:space="preserve">                 503.6</t>
  </si>
  <si>
    <t xml:space="preserve">               7,727</t>
  </si>
  <si>
    <t xml:space="preserve">              -5,487</t>
  </si>
  <si>
    <t xml:space="preserve">              12,439.6</t>
  </si>
  <si>
    <t xml:space="preserve">             264,832.2</t>
  </si>
  <si>
    <t xml:space="preserve">             126,060</t>
  </si>
  <si>
    <t xml:space="preserve">             -41,044</t>
  </si>
  <si>
    <t xml:space="preserve">               2,418.9</t>
  </si>
  <si>
    <t xml:space="preserve">              31,899</t>
  </si>
  <si>
    <t xml:space="preserve">             156,756.0</t>
  </si>
  <si>
    <t xml:space="preserve">             131,721</t>
  </si>
  <si>
    <t xml:space="preserve">             -99,822</t>
  </si>
  <si>
    <t xml:space="preserve">              32,308.8</t>
  </si>
  <si>
    <t xml:space="preserve">             178,984</t>
  </si>
  <si>
    <t xml:space="preserve">             104,857.7</t>
  </si>
  <si>
    <t xml:space="preserve">             229,052</t>
  </si>
  <si>
    <t xml:space="preserve">             -50,067</t>
  </si>
  <si>
    <t xml:space="preserve">               1,037.2</t>
  </si>
  <si>
    <t xml:space="preserve">             536,353</t>
  </si>
  <si>
    <t xml:space="preserve">               1,469.0</t>
  </si>
  <si>
    <t xml:space="preserve">             546,545</t>
  </si>
  <si>
    <t xml:space="preserve">             -10,192</t>
  </si>
  <si>
    <t xml:space="preserve">           2,186,142.5</t>
  </si>
  <si>
    <t xml:space="preserve">           2,137,844</t>
  </si>
  <si>
    <t xml:space="preserve">           1,559,357.0</t>
  </si>
  <si>
    <t xml:space="preserve">           1,279,082</t>
  </si>
  <si>
    <t xml:space="preserve">             858,762</t>
  </si>
  <si>
    <t xml:space="preserve">             329,334.8</t>
  </si>
  <si>
    <t xml:space="preserve">             898,803</t>
  </si>
  <si>
    <t xml:space="preserve">             302,797.8</t>
  </si>
  <si>
    <t xml:space="preserve">             731,647</t>
  </si>
  <si>
    <t xml:space="preserve">             167,155</t>
  </si>
  <si>
    <t xml:space="preserve">              55,081.9</t>
  </si>
  <si>
    <t xml:space="preserve">             535,906</t>
  </si>
  <si>
    <t xml:space="preserve">              78,095.7</t>
  </si>
  <si>
    <t xml:space="preserve">             711,104</t>
  </si>
  <si>
    <t xml:space="preserve">            -175,198</t>
  </si>
  <si>
    <t xml:space="preserve">               1,877.4</t>
  </si>
  <si>
    <t xml:space="preserve">              34,698</t>
  </si>
  <si>
    <t xml:space="preserve">               5,454.6</t>
  </si>
  <si>
    <t xml:space="preserve">             107,449</t>
  </si>
  <si>
    <t xml:space="preserve">             -72,751</t>
  </si>
  <si>
    <t xml:space="preserve">             109,866.7</t>
  </si>
  <si>
    <t xml:space="preserve">             422,382</t>
  </si>
  <si>
    <t xml:space="preserve">             272,554.4</t>
  </si>
  <si>
    <t xml:space="preserve">             777,239</t>
  </si>
  <si>
    <t xml:space="preserve">            -354,856</t>
  </si>
  <si>
    <t xml:space="preserve">              33,680.2</t>
  </si>
  <si>
    <t xml:space="preserve">              78,396</t>
  </si>
  <si>
    <t xml:space="preserve">              14,236.4</t>
  </si>
  <si>
    <t xml:space="preserve">              31,240</t>
  </si>
  <si>
    <t xml:space="preserve">              47,156</t>
  </si>
  <si>
    <t xml:space="preserve">              40,960.8</t>
  </si>
  <si>
    <t xml:space="preserve">             119,773</t>
  </si>
  <si>
    <t xml:space="preserve">               2,997.9</t>
  </si>
  <si>
    <t xml:space="preserve">               9,290</t>
  </si>
  <si>
    <t xml:space="preserve">             110,484</t>
  </si>
  <si>
    <t xml:space="preserve">                 187.2</t>
  </si>
  <si>
    <t xml:space="preserve">               4,991</t>
  </si>
  <si>
    <t xml:space="preserve">               1,397.6</t>
  </si>
  <si>
    <t xml:space="preserve">              42,722</t>
  </si>
  <si>
    <t xml:space="preserve">             -37,730</t>
  </si>
  <si>
    <t xml:space="preserve">               2,197.1</t>
  </si>
  <si>
    <t xml:space="preserve">              30,374</t>
  </si>
  <si>
    <t xml:space="preserve">              16,608.6</t>
  </si>
  <si>
    <t xml:space="preserve">             116,467</t>
  </si>
  <si>
    <t xml:space="preserve">             -86,093</t>
  </si>
  <si>
    <t xml:space="preserve">               6,812.7</t>
  </si>
  <si>
    <t xml:space="preserve">             154,756</t>
  </si>
  <si>
    <t xml:space="preserve">               5,519.1</t>
  </si>
  <si>
    <t xml:space="preserve">              85,789</t>
  </si>
  <si>
    <t xml:space="preserve">              68,967</t>
  </si>
  <si>
    <t xml:space="preserve">              26,055.9</t>
  </si>
  <si>
    <t xml:space="preserve">             142,832</t>
  </si>
  <si>
    <t xml:space="preserve">              12,810.7</t>
  </si>
  <si>
    <t xml:space="preserve">              80,612</t>
  </si>
  <si>
    <t xml:space="preserve">              62,220</t>
  </si>
  <si>
    <t xml:space="preserve">             401,539.3</t>
  </si>
  <si>
    <t xml:space="preserve">           6,647,432</t>
  </si>
  <si>
    <t xml:space="preserve">             236,963.5</t>
  </si>
  <si>
    <t xml:space="preserve">           5,209,342</t>
  </si>
  <si>
    <t xml:space="preserve">           1,438,090</t>
  </si>
  <si>
    <t xml:space="preserve">             222,480.8</t>
  </si>
  <si>
    <t xml:space="preserve">          17,412,613</t>
  </si>
  <si>
    <t xml:space="preserve">             208,047.0</t>
  </si>
  <si>
    <t xml:space="preserve">          10,180,914</t>
  </si>
  <si>
    <t xml:space="preserve">           7,231,699</t>
  </si>
  <si>
    <t xml:space="preserve">              12,542.8</t>
  </si>
  <si>
    <t xml:space="preserve">             110,033</t>
  </si>
  <si>
    <t xml:space="preserve">              10,846.2</t>
  </si>
  <si>
    <t xml:space="preserve">              32,278</t>
  </si>
  <si>
    <t xml:space="preserve">              77,755</t>
  </si>
  <si>
    <t xml:space="preserve">             727,464.6</t>
  </si>
  <si>
    <t xml:space="preserve">           8,086,139</t>
  </si>
  <si>
    <t xml:space="preserve">             116,088.9</t>
  </si>
  <si>
    <t xml:space="preserve">           1,869,512</t>
  </si>
  <si>
    <t xml:space="preserve">           6,216,628</t>
  </si>
  <si>
    <t xml:space="preserve">                 407.0</t>
  </si>
  <si>
    <t xml:space="preserve">             124,142</t>
  </si>
  <si>
    <t xml:space="preserve">                 177.5</t>
  </si>
  <si>
    <t xml:space="preserve">              79,613</t>
  </si>
  <si>
    <t xml:space="preserve">              44,529</t>
  </si>
  <si>
    <t xml:space="preserve">             921,936.8</t>
  </si>
  <si>
    <t xml:space="preserve">           2,005,371</t>
  </si>
  <si>
    <t xml:space="preserve">             244,841.8</t>
  </si>
  <si>
    <t xml:space="preserve">             166,039</t>
  </si>
  <si>
    <t xml:space="preserve">           1,839,332</t>
  </si>
  <si>
    <t xml:space="preserve">              17,163.1</t>
  </si>
  <si>
    <t xml:space="preserve">           1,451,675</t>
  </si>
  <si>
    <t xml:space="preserve">              17,512.6</t>
  </si>
  <si>
    <t xml:space="preserve">           1,752,133</t>
  </si>
  <si>
    <t xml:space="preserve">            -300,459</t>
  </si>
  <si>
    <t xml:space="preserve">                  18.4</t>
  </si>
  <si>
    <t xml:space="preserve">              11,363</t>
  </si>
  <si>
    <t xml:space="preserve">                 297.7</t>
  </si>
  <si>
    <t xml:space="preserve">              84,545</t>
  </si>
  <si>
    <t xml:space="preserve">             -73,182</t>
  </si>
  <si>
    <t xml:space="preserve">                 583.5</t>
  </si>
  <si>
    <t xml:space="preserve">               9,911</t>
  </si>
  <si>
    <t xml:space="preserve">                 743.2</t>
  </si>
  <si>
    <t xml:space="preserve">              17,025</t>
  </si>
  <si>
    <t xml:space="preserve">              -7,114</t>
  </si>
  <si>
    <t xml:space="preserve">               1,627.5</t>
  </si>
  <si>
    <t xml:space="preserve">              75,139</t>
  </si>
  <si>
    <t xml:space="preserve">                  69.4</t>
  </si>
  <si>
    <t xml:space="preserve">              19,270</t>
  </si>
  <si>
    <t xml:space="preserve">              55,869</t>
  </si>
  <si>
    <t xml:space="preserve">              16,087.2</t>
  </si>
  <si>
    <t xml:space="preserve">             117,835</t>
  </si>
  <si>
    <t xml:space="preserve">              77,316.3</t>
  </si>
  <si>
    <t xml:space="preserve">             336,105</t>
  </si>
  <si>
    <t xml:space="preserve">            -218,271</t>
  </si>
  <si>
    <t xml:space="preserve">               1,869.5</t>
  </si>
  <si>
    <t xml:space="preserve">              44,213</t>
  </si>
  <si>
    <t xml:space="preserve">              15,638.5</t>
  </si>
  <si>
    <t xml:space="preserve">             204,079</t>
  </si>
  <si>
    <t xml:space="preserve">            -159,866</t>
  </si>
  <si>
    <t xml:space="preserve">               2,633.3</t>
  </si>
  <si>
    <t xml:space="preserve">              46,518</t>
  </si>
  <si>
    <t xml:space="preserve">              11,392.7</t>
  </si>
  <si>
    <t xml:space="preserve">             100,757</t>
  </si>
  <si>
    <t xml:space="preserve">             -54,239</t>
  </si>
  <si>
    <t xml:space="preserve">                   9.1</t>
  </si>
  <si>
    <t xml:space="preserve">              17,073</t>
  </si>
  <si>
    <t xml:space="preserve">                  96.4</t>
  </si>
  <si>
    <t xml:space="preserve">              45,200</t>
  </si>
  <si>
    <t xml:space="preserve">             -28,127</t>
  </si>
  <si>
    <t xml:space="preserve">                   1.5</t>
  </si>
  <si>
    <t xml:space="preserve">                 562</t>
  </si>
  <si>
    <t xml:space="preserve">                 145.1</t>
  </si>
  <si>
    <t xml:space="preserve">               6,103</t>
  </si>
  <si>
    <t xml:space="preserve">              -5,540</t>
  </si>
  <si>
    <t xml:space="preserve">               2,525.4</t>
  </si>
  <si>
    <t xml:space="preserve">               3,686</t>
  </si>
  <si>
    <t xml:space="preserve">             108,671.2</t>
  </si>
  <si>
    <t xml:space="preserve">             532,554</t>
  </si>
  <si>
    <t xml:space="preserve">            -528,868</t>
  </si>
  <si>
    <t xml:space="preserve">              35,689.3</t>
  </si>
  <si>
    <t xml:space="preserve">             108,994</t>
  </si>
  <si>
    <t xml:space="preserve">              81,165.3</t>
  </si>
  <si>
    <t xml:space="preserve">             332,565</t>
  </si>
  <si>
    <t xml:space="preserve">            -223,571</t>
  </si>
  <si>
    <t xml:space="preserve">               2,638.5</t>
  </si>
  <si>
    <t xml:space="preserve">               6,961</t>
  </si>
  <si>
    <t xml:space="preserve">              29,164.5</t>
  </si>
  <si>
    <t xml:space="preserve">             106,915</t>
  </si>
  <si>
    <t xml:space="preserve">             -99,955</t>
  </si>
  <si>
    <t xml:space="preserve">               1,464.0</t>
  </si>
  <si>
    <t xml:space="preserve">               7,008</t>
  </si>
  <si>
    <t xml:space="preserve">               4,061.6</t>
  </si>
  <si>
    <t xml:space="preserve">              24,953</t>
  </si>
  <si>
    <t xml:space="preserve">             -17,945</t>
  </si>
  <si>
    <t xml:space="preserve">                  53.8</t>
  </si>
  <si>
    <t xml:space="preserve">                 651</t>
  </si>
  <si>
    <t xml:space="preserve">               5,854.8</t>
  </si>
  <si>
    <t xml:space="preserve">               9,310</t>
  </si>
  <si>
    <t xml:space="preserve">              -8,659</t>
  </si>
  <si>
    <t xml:space="preserve">               5,361.9</t>
  </si>
  <si>
    <t xml:space="preserve">              10,136</t>
  </si>
  <si>
    <t xml:space="preserve">              95,605.3</t>
  </si>
  <si>
    <t xml:space="preserve">              69,536</t>
  </si>
  <si>
    <t xml:space="preserve">             -59,400</t>
  </si>
  <si>
    <t xml:space="preserve">                 321.5</t>
  </si>
  <si>
    <t xml:space="preserve">               1,876</t>
  </si>
  <si>
    <t xml:space="preserve">              80,257.6</t>
  </si>
  <si>
    <t xml:space="preserve">             194,215</t>
  </si>
  <si>
    <t xml:space="preserve">            -192,338</t>
  </si>
  <si>
    <t xml:space="preserve">                 383.8</t>
  </si>
  <si>
    <t xml:space="preserve">               3,364</t>
  </si>
  <si>
    <t xml:space="preserve">              19,010.6</t>
  </si>
  <si>
    <t xml:space="preserve">             109,996</t>
  </si>
  <si>
    <t xml:space="preserve">            -106,633</t>
  </si>
  <si>
    <t xml:space="preserve">                 319.9</t>
  </si>
  <si>
    <t xml:space="preserve">                 678</t>
  </si>
  <si>
    <t xml:space="preserve">           1,269,428.0</t>
  </si>
  <si>
    <t xml:space="preserve">             370,702</t>
  </si>
  <si>
    <t xml:space="preserve">            -370,024</t>
  </si>
  <si>
    <t xml:space="preserve">               5,071.4</t>
  </si>
  <si>
    <t xml:space="preserve">               3,892</t>
  </si>
  <si>
    <t xml:space="preserve">              34,177.2</t>
  </si>
  <si>
    <t xml:space="preserve">              30,947</t>
  </si>
  <si>
    <t xml:space="preserve">             -27,055</t>
  </si>
  <si>
    <t xml:space="preserve">               2,472.1</t>
  </si>
  <si>
    <t xml:space="preserve">              76,729</t>
  </si>
  <si>
    <t xml:space="preserve">             239,636.0</t>
  </si>
  <si>
    <t xml:space="preserve">             158,981</t>
  </si>
  <si>
    <t xml:space="preserve">             -82,252</t>
  </si>
  <si>
    <t xml:space="preserve">                 295.3</t>
  </si>
  <si>
    <t xml:space="preserve">               7,385</t>
  </si>
  <si>
    <t xml:space="preserve">               5,262.3</t>
  </si>
  <si>
    <t xml:space="preserve">              22,385</t>
  </si>
  <si>
    <t xml:space="preserve">             -15,001</t>
  </si>
  <si>
    <t xml:space="preserve">                  16.0</t>
  </si>
  <si>
    <t xml:space="preserve">                  35</t>
  </si>
  <si>
    <t xml:space="preserve">              24,851.1</t>
  </si>
  <si>
    <t xml:space="preserve">               4,877</t>
  </si>
  <si>
    <t xml:space="preserve">              -4,842</t>
  </si>
  <si>
    <t xml:space="preserve">              19,386.8</t>
  </si>
  <si>
    <t xml:space="preserve">              21,574</t>
  </si>
  <si>
    <t xml:space="preserve">             128,627.2</t>
  </si>
  <si>
    <t xml:space="preserve">             163,578</t>
  </si>
  <si>
    <t xml:space="preserve">            -142,004</t>
  </si>
  <si>
    <t xml:space="preserve">               3,964.3</t>
  </si>
  <si>
    <t xml:space="preserve">              27,850</t>
  </si>
  <si>
    <t xml:space="preserve">              15,087.3</t>
  </si>
  <si>
    <t xml:space="preserve">              85,232</t>
  </si>
  <si>
    <t xml:space="preserve">             -57,382</t>
  </si>
  <si>
    <t xml:space="preserve">              29,969.1</t>
  </si>
  <si>
    <t xml:space="preserve">              27,142</t>
  </si>
  <si>
    <t xml:space="preserve">             212,587.5</t>
  </si>
  <si>
    <t xml:space="preserve">             139,664</t>
  </si>
  <si>
    <t xml:space="preserve">            -112,522</t>
  </si>
  <si>
    <t xml:space="preserve">               2,088.4</t>
  </si>
  <si>
    <t xml:space="preserve">               5,247</t>
  </si>
  <si>
    <t xml:space="preserve">               6,181.8</t>
  </si>
  <si>
    <t xml:space="preserve">              39,761</t>
  </si>
  <si>
    <t xml:space="preserve">             -34,514</t>
  </si>
  <si>
    <t xml:space="preserve">              48,535.1</t>
  </si>
  <si>
    <t xml:space="preserve">             198,857</t>
  </si>
  <si>
    <t xml:space="preserve">              27,665.0</t>
  </si>
  <si>
    <t xml:space="preserve">              91,557</t>
  </si>
  <si>
    <t xml:space="preserve">             107,300</t>
  </si>
  <si>
    <t xml:space="preserve">               9,202.8</t>
  </si>
  <si>
    <t xml:space="preserve">              79,718</t>
  </si>
  <si>
    <t xml:space="preserve">              92,293.0</t>
  </si>
  <si>
    <t xml:space="preserve">             140,563</t>
  </si>
  <si>
    <t xml:space="preserve">             -60,844</t>
  </si>
  <si>
    <t xml:space="preserve">              35,056.9</t>
  </si>
  <si>
    <t xml:space="preserve">             135,582</t>
  </si>
  <si>
    <t xml:space="preserve">              31,620.9</t>
  </si>
  <si>
    <t xml:space="preserve">             229,071</t>
  </si>
  <si>
    <t xml:space="preserve">             -93,489</t>
  </si>
  <si>
    <t xml:space="preserve">              82,270.2</t>
  </si>
  <si>
    <t xml:space="preserve">             102,152</t>
  </si>
  <si>
    <t xml:space="preserve">              94,567.3</t>
  </si>
  <si>
    <t xml:space="preserve">             131,657</t>
  </si>
  <si>
    <t xml:space="preserve">             -29,505</t>
  </si>
  <si>
    <t xml:space="preserve">              31,508.6</t>
  </si>
  <si>
    <t xml:space="preserve">              29,586</t>
  </si>
  <si>
    <t xml:space="preserve">             543,229.1</t>
  </si>
  <si>
    <t xml:space="preserve">             203,915</t>
  </si>
  <si>
    <t xml:space="preserve">            -174,329</t>
  </si>
  <si>
    <t xml:space="preserve">              10,868.3</t>
  </si>
  <si>
    <t xml:space="preserve">             107,586</t>
  </si>
  <si>
    <t xml:space="preserve">               3,832.6</t>
  </si>
  <si>
    <t xml:space="preserve">              36,207</t>
  </si>
  <si>
    <t xml:space="preserve">              71,379</t>
  </si>
  <si>
    <t xml:space="preserve">             284,165.6</t>
  </si>
  <si>
    <t xml:space="preserve">              21,856</t>
  </si>
  <si>
    <t xml:space="preserve">             763,374.0</t>
  </si>
  <si>
    <t xml:space="preserve">              78,015</t>
  </si>
  <si>
    <t xml:space="preserve">             -56,160</t>
  </si>
  <si>
    <t xml:space="preserve">             119,258.1</t>
  </si>
  <si>
    <t xml:space="preserve">              71,183</t>
  </si>
  <si>
    <t xml:space="preserve">           6,794,322.6</t>
  </si>
  <si>
    <t xml:space="preserve">           1,578,509</t>
  </si>
  <si>
    <t xml:space="preserve">          -1,507,326</t>
  </si>
  <si>
    <t xml:space="preserve">           4,996,713.6</t>
  </si>
  <si>
    <t xml:space="preserve">           3,866,671</t>
  </si>
  <si>
    <t xml:space="preserve">          25,601,852.7</t>
  </si>
  <si>
    <t xml:space="preserve">          12,258,921</t>
  </si>
  <si>
    <t xml:space="preserve">          -8,392,251</t>
  </si>
  <si>
    <t xml:space="preserve">             420,794.0</t>
  </si>
  <si>
    <t xml:space="preserve">             836,459</t>
  </si>
  <si>
    <t xml:space="preserve">             361,928.8</t>
  </si>
  <si>
    <t xml:space="preserve">           1,002,900</t>
  </si>
  <si>
    <t xml:space="preserve">            -166,442</t>
  </si>
  <si>
    <t xml:space="preserve">           1,375,383.5</t>
  </si>
  <si>
    <t xml:space="preserve">           1,635,601</t>
  </si>
  <si>
    <t xml:space="preserve">             666,749.1</t>
  </si>
  <si>
    <t xml:space="preserve">           1,091,461</t>
  </si>
  <si>
    <t xml:space="preserve">             544,141</t>
  </si>
  <si>
    <t xml:space="preserve">               2,613.9</t>
  </si>
  <si>
    <t xml:space="preserve">             631,623</t>
  </si>
  <si>
    <t xml:space="preserve">               7,561.8</t>
  </si>
  <si>
    <t xml:space="preserve">             723,973</t>
  </si>
  <si>
    <t xml:space="preserve">             -92,350</t>
  </si>
  <si>
    <t xml:space="preserve">              97,490.9</t>
  </si>
  <si>
    <t xml:space="preserve">              33,186</t>
  </si>
  <si>
    <t xml:space="preserve">             176,025.1</t>
  </si>
  <si>
    <t xml:space="preserve">              62,461</t>
  </si>
  <si>
    <t xml:space="preserve">             -29,275</t>
  </si>
  <si>
    <t xml:space="preserve">              28,991.0</t>
  </si>
  <si>
    <t xml:space="preserve">             216,542</t>
  </si>
  <si>
    <t xml:space="preserve">              27,872.1</t>
  </si>
  <si>
    <t xml:space="preserve">             190,569</t>
  </si>
  <si>
    <t xml:space="preserve">              25,973</t>
  </si>
  <si>
    <t xml:space="preserve">              32,685.7</t>
  </si>
  <si>
    <t xml:space="preserve">             749,670</t>
  </si>
  <si>
    <t xml:space="preserve">               8,364.5</t>
  </si>
  <si>
    <t xml:space="preserve">             159,245</t>
  </si>
  <si>
    <t xml:space="preserve">             590,425</t>
  </si>
  <si>
    <t xml:space="preserve">              55,928.3</t>
  </si>
  <si>
    <t xml:space="preserve">             155,134</t>
  </si>
  <si>
    <t xml:space="preserve">              23,013.3</t>
  </si>
  <si>
    <t xml:space="preserve">              95,231</t>
  </si>
  <si>
    <t xml:space="preserve">              59,903</t>
  </si>
  <si>
    <t xml:space="preserve">               5,830.8</t>
  </si>
  <si>
    <t xml:space="preserve">              78,556</t>
  </si>
  <si>
    <t xml:space="preserve">              17,782.7</t>
  </si>
  <si>
    <t xml:space="preserve">              78,032</t>
  </si>
  <si>
    <t xml:space="preserve">                 524</t>
  </si>
  <si>
    <t xml:space="preserve">                 106.9</t>
  </si>
  <si>
    <t xml:space="preserve">               1,111</t>
  </si>
  <si>
    <t xml:space="preserve">                 369.0</t>
  </si>
  <si>
    <t xml:space="preserve">               4,424</t>
  </si>
  <si>
    <t xml:space="preserve">              -3,314</t>
  </si>
  <si>
    <t xml:space="preserve">               1,930.1</t>
  </si>
  <si>
    <t xml:space="preserve">              82,845</t>
  </si>
  <si>
    <t xml:space="preserve">               2,728.5</t>
  </si>
  <si>
    <t xml:space="preserve">              80,690</t>
  </si>
  <si>
    <t xml:space="preserve">               2,155</t>
  </si>
  <si>
    <t xml:space="preserve">              85,618.8</t>
  </si>
  <si>
    <t xml:space="preserve">             560,796</t>
  </si>
  <si>
    <t xml:space="preserve">             230,154.3</t>
  </si>
  <si>
    <t xml:space="preserve">             665,847</t>
  </si>
  <si>
    <t xml:space="preserve">            -105,051</t>
  </si>
  <si>
    <t xml:space="preserve">           1,425,357.6</t>
  </si>
  <si>
    <t xml:space="preserve">           3,151,097</t>
  </si>
  <si>
    <t xml:space="preserve">             266,628.6</t>
  </si>
  <si>
    <t xml:space="preserve">           1,076,731</t>
  </si>
  <si>
    <t xml:space="preserve">           2,074,366</t>
  </si>
  <si>
    <t xml:space="preserve">             245,298.0</t>
  </si>
  <si>
    <t xml:space="preserve">             669,250</t>
  </si>
  <si>
    <t xml:space="preserve">              72,505.2</t>
  </si>
  <si>
    <t xml:space="preserve">             234,846</t>
  </si>
  <si>
    <t xml:space="preserve">             434,405</t>
  </si>
  <si>
    <t xml:space="preserve">               3,056.2</t>
  </si>
  <si>
    <t xml:space="preserve">              26,209</t>
  </si>
  <si>
    <t xml:space="preserve">               6,541.5</t>
  </si>
  <si>
    <t xml:space="preserve">              22,050</t>
  </si>
  <si>
    <t xml:space="preserve">               4,159</t>
  </si>
  <si>
    <t xml:space="preserve">                 839.1</t>
  </si>
  <si>
    <t xml:space="preserve">              33,019</t>
  </si>
  <si>
    <t xml:space="preserve">               8,820.2</t>
  </si>
  <si>
    <t xml:space="preserve">             308,035</t>
  </si>
  <si>
    <t xml:space="preserve">            -275,017</t>
  </si>
  <si>
    <t xml:space="preserve">                   7.4</t>
  </si>
  <si>
    <t xml:space="preserve">                 586</t>
  </si>
  <si>
    <t xml:space="preserve">                  81.4</t>
  </si>
  <si>
    <t xml:space="preserve">              18,775</t>
  </si>
  <si>
    <t xml:space="preserve">             -18,188</t>
  </si>
  <si>
    <t xml:space="preserve">               4,222.2</t>
  </si>
  <si>
    <t xml:space="preserve">               4,986</t>
  </si>
  <si>
    <t xml:space="preserve">             823,216.2</t>
  </si>
  <si>
    <t xml:space="preserve">             244,057</t>
  </si>
  <si>
    <t xml:space="preserve">            -239,071</t>
  </si>
  <si>
    <t xml:space="preserve">                   1.0</t>
  </si>
  <si>
    <t xml:space="preserve">                  63.8</t>
  </si>
  <si>
    <t xml:space="preserve">                 296</t>
  </si>
  <si>
    <t xml:space="preserve">                -270</t>
  </si>
  <si>
    <t xml:space="preserve">                  41</t>
  </si>
  <si>
    <t xml:space="preserve">                 453.0</t>
  </si>
  <si>
    <t xml:space="preserve">               3,083</t>
  </si>
  <si>
    <t xml:space="preserve">              -3,043</t>
  </si>
  <si>
    <t xml:space="preserve">              46,924.5</t>
  </si>
  <si>
    <t xml:space="preserve">              10,492</t>
  </si>
  <si>
    <t xml:space="preserve">             230,978.3</t>
  </si>
  <si>
    <t xml:space="preserve">             137,595</t>
  </si>
  <si>
    <t xml:space="preserve">            -127,103</t>
  </si>
  <si>
    <t xml:space="preserve">             221,784.0</t>
  </si>
  <si>
    <t xml:space="preserve">             225,036</t>
  </si>
  <si>
    <t xml:space="preserve">             124,791.5</t>
  </si>
  <si>
    <t xml:space="preserve">             186,562</t>
  </si>
  <si>
    <t xml:space="preserve">              38,473</t>
  </si>
  <si>
    <t xml:space="preserve">               5,128.3</t>
  </si>
  <si>
    <t xml:space="preserve">              47,839</t>
  </si>
  <si>
    <t xml:space="preserve">               1,043.9</t>
  </si>
  <si>
    <t xml:space="preserve">              19,283</t>
  </si>
  <si>
    <t xml:space="preserve">                  12.2</t>
  </si>
  <si>
    <t xml:space="preserve">               1,451</t>
  </si>
  <si>
    <t xml:space="preserve">                  24.2</t>
  </si>
  <si>
    <t xml:space="preserve">               2,258</t>
  </si>
  <si>
    <t xml:space="preserve">                -807</t>
  </si>
  <si>
    <t xml:space="preserve">                 433.2</t>
  </si>
  <si>
    <t xml:space="preserve">               7,949</t>
  </si>
  <si>
    <t xml:space="preserve">                 982.0</t>
  </si>
  <si>
    <t xml:space="preserve">              24,812</t>
  </si>
  <si>
    <t xml:space="preserve">             -16,862</t>
  </si>
  <si>
    <t xml:space="preserve">               2,960.5</t>
  </si>
  <si>
    <t xml:space="preserve">              25,519</t>
  </si>
  <si>
    <t xml:space="preserve">              19,848.8</t>
  </si>
  <si>
    <t xml:space="preserve">              64,110</t>
  </si>
  <si>
    <t xml:space="preserve">             -38,591</t>
  </si>
  <si>
    <t xml:space="preserve">                  19.7</t>
  </si>
  <si>
    <t xml:space="preserve">                 162</t>
  </si>
  <si>
    <t xml:space="preserve">               1,233.3</t>
  </si>
  <si>
    <t xml:space="preserve">               3,879</t>
  </si>
  <si>
    <t xml:space="preserve">              -3,718</t>
  </si>
  <si>
    <t xml:space="preserve">              25,072.8</t>
  </si>
  <si>
    <t xml:space="preserve">             166,103</t>
  </si>
  <si>
    <t xml:space="preserve">              38,436.6</t>
  </si>
  <si>
    <t xml:space="preserve">              87,362</t>
  </si>
  <si>
    <t xml:space="preserve">              78,741</t>
  </si>
  <si>
    <t xml:space="preserve">              57,900.7</t>
  </si>
  <si>
    <t xml:space="preserve">             106,905</t>
  </si>
  <si>
    <t xml:space="preserve">              11,890.3</t>
  </si>
  <si>
    <t xml:space="preserve">              45,393</t>
  </si>
  <si>
    <t xml:space="preserve">              61,512</t>
  </si>
  <si>
    <t xml:space="preserve">               9,759.3</t>
  </si>
  <si>
    <t xml:space="preserve">              61,067</t>
  </si>
  <si>
    <t xml:space="preserve">              17,033.1</t>
  </si>
  <si>
    <t xml:space="preserve">              53,409</t>
  </si>
  <si>
    <t xml:space="preserve">               7,657</t>
  </si>
  <si>
    <t xml:space="preserve">                 646.6</t>
  </si>
  <si>
    <t xml:space="preserve">               6,948</t>
  </si>
  <si>
    <t xml:space="preserve">               6,235.9</t>
  </si>
  <si>
    <t xml:space="preserve">              10,507</t>
  </si>
  <si>
    <t xml:space="preserve">              -3,559</t>
  </si>
  <si>
    <t xml:space="preserve">               1,335.5</t>
  </si>
  <si>
    <t xml:space="preserve">              15,623</t>
  </si>
  <si>
    <t xml:space="preserve">                 904.7</t>
  </si>
  <si>
    <t xml:space="preserve">               7,167</t>
  </si>
  <si>
    <t xml:space="preserve">               8,455</t>
  </si>
  <si>
    <t xml:space="preserve">               9,315.7</t>
  </si>
  <si>
    <t xml:space="preserve">              88,637</t>
  </si>
  <si>
    <t xml:space="preserve">               5,371.8</t>
  </si>
  <si>
    <t xml:space="preserve">              38,125</t>
  </si>
  <si>
    <t xml:space="preserve">              50,513</t>
  </si>
  <si>
    <t xml:space="preserve">              18,750.4</t>
  </si>
  <si>
    <t xml:space="preserve">             147,754</t>
  </si>
  <si>
    <t xml:space="preserve">               1,569.1</t>
  </si>
  <si>
    <t xml:space="preserve">               8,960</t>
  </si>
  <si>
    <t xml:space="preserve">             138,794</t>
  </si>
  <si>
    <t xml:space="preserve">               2,322.7</t>
  </si>
  <si>
    <t xml:space="preserve">              65,552</t>
  </si>
  <si>
    <t xml:space="preserve">              14,864.7</t>
  </si>
  <si>
    <t xml:space="preserve">             304,732</t>
  </si>
  <si>
    <t xml:space="preserve">            -239,181</t>
  </si>
  <si>
    <t xml:space="preserve">               3,198.4</t>
  </si>
  <si>
    <t xml:space="preserve">              82,344</t>
  </si>
  <si>
    <t xml:space="preserve">              14,649.1</t>
  </si>
  <si>
    <t xml:space="preserve">             432,552</t>
  </si>
  <si>
    <t xml:space="preserve">            -350,208</t>
  </si>
  <si>
    <t xml:space="preserve">              28,967.4</t>
  </si>
  <si>
    <t xml:space="preserve">              55,232</t>
  </si>
  <si>
    <t xml:space="preserve">              25,990.1</t>
  </si>
  <si>
    <t xml:space="preserve">             107,549</t>
  </si>
  <si>
    <t xml:space="preserve">             -52,317</t>
  </si>
  <si>
    <t xml:space="preserve">               1,346.5</t>
  </si>
  <si>
    <t xml:space="preserve">              35,241</t>
  </si>
  <si>
    <t xml:space="preserve">              11,425.0</t>
  </si>
  <si>
    <t xml:space="preserve">             317,457</t>
  </si>
  <si>
    <t xml:space="preserve">            -282,216</t>
  </si>
  <si>
    <t xml:space="preserve">                 281.3</t>
  </si>
  <si>
    <t xml:space="preserve">               9,168</t>
  </si>
  <si>
    <t xml:space="preserve">                 873.3</t>
  </si>
  <si>
    <t xml:space="preserve">              25,279</t>
  </si>
  <si>
    <t xml:space="preserve">             -16,111</t>
  </si>
  <si>
    <t xml:space="preserve">                   8.2</t>
  </si>
  <si>
    <t xml:space="preserve">                 207</t>
  </si>
  <si>
    <t xml:space="preserve">               2,994.2</t>
  </si>
  <si>
    <t xml:space="preserve">              18,833</t>
  </si>
  <si>
    <t xml:space="preserve">             -18,626</t>
  </si>
  <si>
    <t xml:space="preserve">                  22.4</t>
  </si>
  <si>
    <t xml:space="preserve">               1,727</t>
  </si>
  <si>
    <t xml:space="preserve">                 359.0</t>
  </si>
  <si>
    <t xml:space="preserve">               7,014</t>
  </si>
  <si>
    <t xml:space="preserve">              -5,288</t>
  </si>
  <si>
    <t xml:space="preserve">              10,808.9</t>
  </si>
  <si>
    <t xml:space="preserve">              87,558</t>
  </si>
  <si>
    <t xml:space="preserve">             225,224.8</t>
  </si>
  <si>
    <t xml:space="preserve">             117,385</t>
  </si>
  <si>
    <t xml:space="preserve">             -29,826</t>
  </si>
  <si>
    <t xml:space="preserve">               3,071.3</t>
  </si>
  <si>
    <t xml:space="preserve">              33,461</t>
  </si>
  <si>
    <t xml:space="preserve">             142,952.3</t>
  </si>
  <si>
    <t xml:space="preserve">             129,439</t>
  </si>
  <si>
    <t xml:space="preserve">             -95,977</t>
  </si>
  <si>
    <t xml:space="preserve">              31,372.3</t>
  </si>
  <si>
    <t xml:space="preserve">             171,715</t>
  </si>
  <si>
    <t xml:space="preserve">             103,825.7</t>
  </si>
  <si>
    <t xml:space="preserve">             204,655</t>
  </si>
  <si>
    <t xml:space="preserve">             -32,940</t>
  </si>
  <si>
    <t xml:space="preserve">                 616.4</t>
  </si>
  <si>
    <t xml:space="preserve">             408,069</t>
  </si>
  <si>
    <t xml:space="preserve">               1,729.4</t>
  </si>
  <si>
    <t xml:space="preserve">             380,179</t>
  </si>
  <si>
    <t xml:space="preserve">              27,891</t>
  </si>
  <si>
    <t xml:space="preserve">           1,957,348.0</t>
  </si>
  <si>
    <t xml:space="preserve">           1,856,670</t>
  </si>
  <si>
    <t xml:space="preserve">           1,230,389.6</t>
  </si>
  <si>
    <t xml:space="preserve">           1,069,643</t>
  </si>
  <si>
    <t xml:space="preserve">             787,027</t>
  </si>
  <si>
    <t xml:space="preserve">             307,066.0</t>
  </si>
  <si>
    <t xml:space="preserve">             814,872</t>
  </si>
  <si>
    <t xml:space="preserve">             247,262.3</t>
  </si>
  <si>
    <t xml:space="preserve">             619,453</t>
  </si>
  <si>
    <t xml:space="preserve">             195,419</t>
  </si>
  <si>
    <t xml:space="preserve">              59,944.1</t>
  </si>
  <si>
    <t xml:space="preserve">             560,287</t>
  </si>
  <si>
    <t xml:space="preserve">              70,452.7</t>
  </si>
  <si>
    <t xml:space="preserve">             672,972</t>
  </si>
  <si>
    <t xml:space="preserve">            -112,686</t>
  </si>
  <si>
    <t xml:space="preserve">                 895.2</t>
  </si>
  <si>
    <t xml:space="preserve">              14,364</t>
  </si>
  <si>
    <t xml:space="preserve">               5,491.4</t>
  </si>
  <si>
    <t xml:space="preserve">              98,557</t>
  </si>
  <si>
    <t xml:space="preserve">             -84,193</t>
  </si>
  <si>
    <t xml:space="preserve">             113,111.2</t>
  </si>
  <si>
    <t xml:space="preserve">             435,455</t>
  </si>
  <si>
    <t xml:space="preserve">             257,463.7</t>
  </si>
  <si>
    <t xml:space="preserve">             735,059</t>
  </si>
  <si>
    <t xml:space="preserve">            -299,604</t>
  </si>
  <si>
    <t xml:space="preserve">              15,654.9</t>
  </si>
  <si>
    <t xml:space="preserve">              38,552</t>
  </si>
  <si>
    <t xml:space="preserve">              13,123.2</t>
  </si>
  <si>
    <t xml:space="preserve">              29,461</t>
  </si>
  <si>
    <t xml:space="preserve">               9,091</t>
  </si>
  <si>
    <t xml:space="preserve">              32,254.0</t>
  </si>
  <si>
    <t xml:space="preserve">              98,370</t>
  </si>
  <si>
    <t xml:space="preserve">               4,923.4</t>
  </si>
  <si>
    <t xml:space="preserve">              15,544</t>
  </si>
  <si>
    <t xml:space="preserve">              82,826</t>
  </si>
  <si>
    <t xml:space="preserve">                 216.5</t>
  </si>
  <si>
    <t xml:space="preserve">              10,610</t>
  </si>
  <si>
    <t xml:space="preserve">               1,339.2</t>
  </si>
  <si>
    <t xml:space="preserve">              48,217</t>
  </si>
  <si>
    <t xml:space="preserve">             -37,606</t>
  </si>
  <si>
    <t xml:space="preserve">               2,427.8</t>
  </si>
  <si>
    <t xml:space="preserve">              35,516</t>
  </si>
  <si>
    <t xml:space="preserve">              11,958.6</t>
  </si>
  <si>
    <t xml:space="preserve">             107,284</t>
  </si>
  <si>
    <t xml:space="preserve">             -71,768</t>
  </si>
  <si>
    <t xml:space="preserve">               8,997.4</t>
  </si>
  <si>
    <t xml:space="preserve">             176,518</t>
  </si>
  <si>
    <t xml:space="preserve">               4,837.0</t>
  </si>
  <si>
    <t xml:space="preserve">              80,964</t>
  </si>
  <si>
    <t xml:space="preserve">              95,554</t>
  </si>
  <si>
    <t xml:space="preserve">              23,757.5</t>
  </si>
  <si>
    <t xml:space="preserve">             131,441</t>
  </si>
  <si>
    <t xml:space="preserve">              11,642.5</t>
  </si>
  <si>
    <t xml:space="preserve">              75,638</t>
  </si>
  <si>
    <t xml:space="preserve">              55,803</t>
  </si>
  <si>
    <t xml:space="preserve">             371,661.1</t>
  </si>
  <si>
    <t xml:space="preserve">           7,171,890</t>
  </si>
  <si>
    <t xml:space="preserve">             213,974.3</t>
  </si>
  <si>
    <t xml:space="preserve">           5,571,650</t>
  </si>
  <si>
    <t xml:space="preserve">           1,600,240</t>
  </si>
  <si>
    <t xml:space="preserve">             225,539.8</t>
  </si>
  <si>
    <t xml:space="preserve">          18,947,322</t>
  </si>
  <si>
    <t xml:space="preserve">             180,158.5</t>
  </si>
  <si>
    <t xml:space="preserve">           9,303,066</t>
  </si>
  <si>
    <t xml:space="preserve">           9,644,256</t>
  </si>
  <si>
    <t xml:space="preserve">              10,200.7</t>
  </si>
  <si>
    <t xml:space="preserve">              28,637</t>
  </si>
  <si>
    <t xml:space="preserve">              10,557.7</t>
  </si>
  <si>
    <t xml:space="preserve">              46,822</t>
  </si>
  <si>
    <t xml:space="preserve">             -18,185</t>
  </si>
  <si>
    <t xml:space="preserve">             684,420.4</t>
  </si>
  <si>
    <t xml:space="preserve">           7,771,785</t>
  </si>
  <si>
    <t xml:space="preserve">             110,184.7</t>
  </si>
  <si>
    <t xml:space="preserve">           1,724,724</t>
  </si>
  <si>
    <t xml:space="preserve">           6,047,061</t>
  </si>
  <si>
    <t xml:space="preserve">                 748.0</t>
  </si>
  <si>
    <t xml:space="preserve">             265,274</t>
  </si>
  <si>
    <t xml:space="preserve">                 385.9</t>
  </si>
  <si>
    <t xml:space="preserve">             307,898</t>
  </si>
  <si>
    <t xml:space="preserve">             -42,624</t>
  </si>
  <si>
    <t xml:space="preserve">             760,183.8</t>
  </si>
  <si>
    <t xml:space="preserve">           1,379,609</t>
  </si>
  <si>
    <t xml:space="preserve">             200,873.0</t>
  </si>
  <si>
    <t xml:space="preserve">             204,667</t>
  </si>
  <si>
    <t xml:space="preserve">           1,174,942</t>
  </si>
  <si>
    <t xml:space="preserve">              15,977.7</t>
  </si>
  <si>
    <t xml:space="preserve">           1,321,890</t>
  </si>
  <si>
    <t xml:space="preserve">              15,534.0</t>
  </si>
  <si>
    <t xml:space="preserve">           1,702,184</t>
  </si>
  <si>
    <t xml:space="preserve">            -380,294</t>
  </si>
  <si>
    <t xml:space="preserve">                  17.2</t>
  </si>
  <si>
    <t xml:space="preserve">              12,170</t>
  </si>
  <si>
    <t xml:space="preserve">                 242.4</t>
  </si>
  <si>
    <t xml:space="preserve">              86,366</t>
  </si>
  <si>
    <t xml:space="preserve">             -74,196</t>
  </si>
  <si>
    <t xml:space="preserve">                 500.8</t>
  </si>
  <si>
    <t xml:space="preserve">               9,756</t>
  </si>
  <si>
    <t xml:space="preserve">                 655.9</t>
  </si>
  <si>
    <t xml:space="preserve">              18,240</t>
  </si>
  <si>
    <t xml:space="preserve">              -8,484</t>
  </si>
  <si>
    <t xml:space="preserve">               4,977.9</t>
  </si>
  <si>
    <t xml:space="preserve">             368,308</t>
  </si>
  <si>
    <t xml:space="preserve">                  50.5</t>
  </si>
  <si>
    <t xml:space="preserve">              12,453</t>
  </si>
  <si>
    <t xml:space="preserve">             355,855</t>
  </si>
  <si>
    <t xml:space="preserve">              14,483.3</t>
  </si>
  <si>
    <t xml:space="preserve">             104,061</t>
  </si>
  <si>
    <t xml:space="preserve">              67,334.0</t>
  </si>
  <si>
    <t xml:space="preserve">             307,107</t>
  </si>
  <si>
    <t xml:space="preserve">            -203,046</t>
  </si>
  <si>
    <t xml:space="preserve">               2,137.0</t>
  </si>
  <si>
    <t xml:space="preserve">              47,684</t>
  </si>
  <si>
    <t xml:space="preserve">              12,928.0</t>
  </si>
  <si>
    <t xml:space="preserve">             170,347</t>
  </si>
  <si>
    <t xml:space="preserve">            -122,663</t>
  </si>
  <si>
    <t xml:space="preserve">               2,358.5</t>
  </si>
  <si>
    <t xml:space="preserve">              39,801</t>
  </si>
  <si>
    <t xml:space="preserve">              10,411.0</t>
  </si>
  <si>
    <t xml:space="preserve">              92,300</t>
  </si>
  <si>
    <t xml:space="preserve">             -52,499</t>
  </si>
  <si>
    <t xml:space="preserve">                  12.3</t>
  </si>
  <si>
    <t xml:space="preserve">              13,778</t>
  </si>
  <si>
    <t xml:space="preserve">                 181.1</t>
  </si>
  <si>
    <t xml:space="preserve">              36,447</t>
  </si>
  <si>
    <t xml:space="preserve">             -22,669</t>
  </si>
  <si>
    <t xml:space="preserve">                   1.6</t>
  </si>
  <si>
    <t xml:space="preserve">                 642</t>
  </si>
  <si>
    <t xml:space="preserve">                  76.7</t>
  </si>
  <si>
    <t xml:space="preserve">               7,023</t>
  </si>
  <si>
    <t xml:space="preserve">              -6,381</t>
  </si>
  <si>
    <t xml:space="preserve">               4,817.3</t>
  </si>
  <si>
    <t xml:space="preserve">               6,364</t>
  </si>
  <si>
    <t xml:space="preserve">             118,627.6</t>
  </si>
  <si>
    <t xml:space="preserve">             606,597</t>
  </si>
  <si>
    <t xml:space="preserve">            -600,233</t>
  </si>
  <si>
    <t xml:space="preserve">              43,391.3</t>
  </si>
  <si>
    <t xml:space="preserve">             125,808</t>
  </si>
  <si>
    <t xml:space="preserve">              84,915.0</t>
  </si>
  <si>
    <t xml:space="preserve">             347,056</t>
  </si>
  <si>
    <t xml:space="preserve">            -221,248</t>
  </si>
  <si>
    <t xml:space="preserve">               2,301.3</t>
  </si>
  <si>
    <t xml:space="preserve">               5,162</t>
  </si>
  <si>
    <t xml:space="preserve">              38,303.6</t>
  </si>
  <si>
    <t xml:space="preserve">             141,897</t>
  </si>
  <si>
    <t xml:space="preserve">            -136,734</t>
  </si>
  <si>
    <t xml:space="preserve">               3,073.2</t>
  </si>
  <si>
    <t xml:space="preserve">              11,091</t>
  </si>
  <si>
    <t xml:space="preserve">               4,445.1</t>
  </si>
  <si>
    <t xml:space="preserve">              26,985</t>
  </si>
  <si>
    <t xml:space="preserve">             -15,894</t>
  </si>
  <si>
    <t xml:space="preserve">                  37.0</t>
  </si>
  <si>
    <t xml:space="preserve">                 445</t>
  </si>
  <si>
    <t xml:space="preserve">               5,343.5</t>
  </si>
  <si>
    <t xml:space="preserve">               7,592</t>
  </si>
  <si>
    <t xml:space="preserve">              -7,147</t>
  </si>
  <si>
    <t xml:space="preserve">               4,804.9</t>
  </si>
  <si>
    <t xml:space="preserve">               9,842</t>
  </si>
  <si>
    <t xml:space="preserve">              69,332.0</t>
  </si>
  <si>
    <t xml:space="preserve">              64,554</t>
  </si>
  <si>
    <t xml:space="preserve">             -54,711</t>
  </si>
  <si>
    <t xml:space="preserve">                 465.3</t>
  </si>
  <si>
    <t xml:space="preserve">               3,771</t>
  </si>
  <si>
    <t xml:space="preserve">              76,386.0</t>
  </si>
  <si>
    <t xml:space="preserve">             155,367</t>
  </si>
  <si>
    <t xml:space="preserve">            -151,596</t>
  </si>
  <si>
    <t xml:space="preserve">                 346.1</t>
  </si>
  <si>
    <t xml:space="preserve">               2,967</t>
  </si>
  <si>
    <t xml:space="preserve">              21,025.1</t>
  </si>
  <si>
    <t xml:space="preserve">             133,807</t>
  </si>
  <si>
    <t xml:space="preserve">            -130,840</t>
  </si>
  <si>
    <t xml:space="preserve">                 555.0</t>
  </si>
  <si>
    <t xml:space="preserve">                 785</t>
  </si>
  <si>
    <t xml:space="preserve">           1,462,029.6</t>
  </si>
  <si>
    <t xml:space="preserve">             415,877</t>
  </si>
  <si>
    <t xml:space="preserve">            -415,092</t>
  </si>
  <si>
    <t xml:space="preserve">               5,746.7</t>
  </si>
  <si>
    <t xml:space="preserve">               7,128</t>
  </si>
  <si>
    <t xml:space="preserve">              30,738.3</t>
  </si>
  <si>
    <t xml:space="preserve">              28,571</t>
  </si>
  <si>
    <t xml:space="preserve">             -21,443</t>
  </si>
  <si>
    <t xml:space="preserve">               2,599.6</t>
  </si>
  <si>
    <t xml:space="preserve">              65,994</t>
  </si>
  <si>
    <t xml:space="preserve">             202,460.4</t>
  </si>
  <si>
    <t xml:space="preserve">             133,168</t>
  </si>
  <si>
    <t xml:space="preserve">             -67,174</t>
  </si>
  <si>
    <t xml:space="preserve">                 378.9</t>
  </si>
  <si>
    <t xml:space="preserve">               8,785</t>
  </si>
  <si>
    <t xml:space="preserve">               6,461.5</t>
  </si>
  <si>
    <t xml:space="preserve">              32,439</t>
  </si>
  <si>
    <t xml:space="preserve">             -23,653</t>
  </si>
  <si>
    <t xml:space="preserve">                  80</t>
  </si>
  <si>
    <t xml:space="preserve">              13,379.9</t>
  </si>
  <si>
    <t xml:space="preserve">               3,720</t>
  </si>
  <si>
    <t xml:space="preserve">              -3,641</t>
  </si>
  <si>
    <t xml:space="preserve">              32,538.8</t>
  </si>
  <si>
    <t xml:space="preserve">              32,853</t>
  </si>
  <si>
    <t xml:space="preserve">             125,066.2</t>
  </si>
  <si>
    <t xml:space="preserve">             168,834</t>
  </si>
  <si>
    <t xml:space="preserve">            -135,982</t>
  </si>
  <si>
    <t xml:space="preserve">               4,570.4</t>
  </si>
  <si>
    <t xml:space="preserve">              26,468</t>
  </si>
  <si>
    <t xml:space="preserve">              17,142.8</t>
  </si>
  <si>
    <t xml:space="preserve">              94,676</t>
  </si>
  <si>
    <t xml:space="preserve">             -68,207</t>
  </si>
  <si>
    <t xml:space="preserve">              38,347.7</t>
  </si>
  <si>
    <t xml:space="preserve">              32,829</t>
  </si>
  <si>
    <t xml:space="preserve">             145,879.3</t>
  </si>
  <si>
    <t xml:space="preserve">             109,689</t>
  </si>
  <si>
    <t xml:space="preserve">             -76,859</t>
  </si>
  <si>
    <t xml:space="preserve">               2,268.5</t>
  </si>
  <si>
    <t xml:space="preserve">               5,444</t>
  </si>
  <si>
    <t xml:space="preserve">               6,656.2</t>
  </si>
  <si>
    <t xml:space="preserve">              45,247</t>
  </si>
  <si>
    <t xml:space="preserve">             -39,804</t>
  </si>
  <si>
    <t xml:space="preserve">              52,729.5</t>
  </si>
  <si>
    <t xml:space="preserve">             216,009</t>
  </si>
  <si>
    <t xml:space="preserve">              31,717.0</t>
  </si>
  <si>
    <t xml:space="preserve">             104,677</t>
  </si>
  <si>
    <t xml:space="preserve">             111,333</t>
  </si>
  <si>
    <t xml:space="preserve">               9,678.6</t>
  </si>
  <si>
    <t xml:space="preserve">              82,809</t>
  </si>
  <si>
    <t xml:space="preserve">              98,357.1</t>
  </si>
  <si>
    <t xml:space="preserve">             155,113</t>
  </si>
  <si>
    <t xml:space="preserve">             -72,304</t>
  </si>
  <si>
    <t xml:space="preserve">              36,707.4</t>
  </si>
  <si>
    <t xml:space="preserve">             150,948</t>
  </si>
  <si>
    <t xml:space="preserve">              34,357.4</t>
  </si>
  <si>
    <t xml:space="preserve">             256,480</t>
  </si>
  <si>
    <t xml:space="preserve">            -105,532</t>
  </si>
  <si>
    <t xml:space="preserve">              91,095.7</t>
  </si>
  <si>
    <t xml:space="preserve">             108,979</t>
  </si>
  <si>
    <t xml:space="preserve">              89,964.2</t>
  </si>
  <si>
    <t xml:space="preserve">             141,943</t>
  </si>
  <si>
    <t xml:space="preserve">             -32,964</t>
  </si>
  <si>
    <t xml:space="preserve">              33,009.8</t>
  </si>
  <si>
    <t xml:space="preserve">              33,240</t>
  </si>
  <si>
    <t xml:space="preserve">             602,655.0</t>
  </si>
  <si>
    <t xml:space="preserve">             231,028</t>
  </si>
  <si>
    <t xml:space="preserve">            -197,788</t>
  </si>
  <si>
    <t xml:space="preserve">              12,105.9</t>
  </si>
  <si>
    <t xml:space="preserve">             117,865</t>
  </si>
  <si>
    <t xml:space="preserve">               4,280.9</t>
  </si>
  <si>
    <t xml:space="preserve">              40,509</t>
  </si>
  <si>
    <t xml:space="preserve">              77,355</t>
  </si>
  <si>
    <t xml:space="preserve">             542,761.8</t>
  </si>
  <si>
    <t xml:space="preserve">              28,906</t>
  </si>
  <si>
    <t xml:space="preserve">             957,149.9</t>
  </si>
  <si>
    <t xml:space="preserve">              86,656</t>
  </si>
  <si>
    <t xml:space="preserve">             -57,750</t>
  </si>
  <si>
    <t xml:space="preserve">              49,268.4</t>
  </si>
  <si>
    <t xml:space="preserve">              57,092</t>
  </si>
  <si>
    <t xml:space="preserve">           6,067,743.8</t>
  </si>
  <si>
    <t xml:space="preserve">           1,784,561</t>
  </si>
  <si>
    <t xml:space="preserve">          -1,727,469</t>
  </si>
  <si>
    <t xml:space="preserve">           6,062,988.7</t>
  </si>
  <si>
    <t xml:space="preserve">           4,683,150</t>
  </si>
  <si>
    <t xml:space="preserve">          28,342,458.0</t>
  </si>
  <si>
    <t xml:space="preserve">          13,037,849</t>
  </si>
  <si>
    <t xml:space="preserve">          -8,354,698</t>
  </si>
  <si>
    <t xml:space="preserve">             553,422.1</t>
  </si>
  <si>
    <t xml:space="preserve">             735,420</t>
  </si>
  <si>
    <t xml:space="preserve">             371,771.6</t>
  </si>
  <si>
    <t xml:space="preserve">             981,888</t>
  </si>
  <si>
    <t xml:space="preserve">            -246,468</t>
  </si>
  <si>
    <t xml:space="preserve">           1,684,516.2</t>
  </si>
  <si>
    <t xml:space="preserve">           1,922,804</t>
  </si>
  <si>
    <t xml:space="preserve">             781,180.0</t>
  </si>
  <si>
    <t xml:space="preserve">           1,314,718</t>
  </si>
  <si>
    <t xml:space="preserve">             608,086</t>
  </si>
  <si>
    <t xml:space="preserve">               2,950.0</t>
  </si>
  <si>
    <t xml:space="preserve">             649,181</t>
  </si>
  <si>
    <t xml:space="preserve">               7,284.2</t>
  </si>
  <si>
    <t xml:space="preserve">             781,223</t>
  </si>
  <si>
    <t xml:space="preserve">            -132,042</t>
  </si>
  <si>
    <t xml:space="preserve">              93,295.1</t>
  </si>
  <si>
    <t xml:space="preserve">              31,060</t>
  </si>
  <si>
    <t xml:space="preserve">             127,988.6</t>
  </si>
  <si>
    <t xml:space="preserve">              50,132</t>
  </si>
  <si>
    <t xml:space="preserve">             -19,072</t>
  </si>
  <si>
    <t xml:space="preserve">              31,860.3</t>
  </si>
  <si>
    <t xml:space="preserve">             237,748</t>
  </si>
  <si>
    <t xml:space="preserve">              29,114.9</t>
  </si>
  <si>
    <t xml:space="preserve">             238,512</t>
  </si>
  <si>
    <t xml:space="preserve">                -764</t>
  </si>
  <si>
    <t xml:space="preserve">              39,875.4</t>
  </si>
  <si>
    <t xml:space="preserve">             806,681</t>
  </si>
  <si>
    <t xml:space="preserve">               9,530.2</t>
  </si>
  <si>
    <t xml:space="preserve">             185,708</t>
  </si>
  <si>
    <t xml:space="preserve">             620,973</t>
  </si>
  <si>
    <t xml:space="preserve">              62,213.1</t>
  </si>
  <si>
    <t xml:space="preserve">             162,162</t>
  </si>
  <si>
    <t xml:space="preserve">              25,584.9</t>
  </si>
  <si>
    <t xml:space="preserve">              95,757</t>
  </si>
  <si>
    <t xml:space="preserve">              66,405</t>
  </si>
  <si>
    <t xml:space="preserve">               6,577.9</t>
  </si>
  <si>
    <t xml:space="preserve">              89,964</t>
  </si>
  <si>
    <t xml:space="preserve">              18,871.6</t>
  </si>
  <si>
    <t xml:space="preserve">              88,878</t>
  </si>
  <si>
    <t xml:space="preserve">               1,086</t>
  </si>
  <si>
    <t xml:space="preserve">                 245.0</t>
  </si>
  <si>
    <t xml:space="preserve">               4,940</t>
  </si>
  <si>
    <t xml:space="preserve">                 360.7</t>
  </si>
  <si>
    <t xml:space="preserve">               4,981</t>
  </si>
  <si>
    <t xml:space="preserve">                 -41</t>
  </si>
  <si>
    <t xml:space="preserve">               2,125.5</t>
  </si>
  <si>
    <t xml:space="preserve">              94,031</t>
  </si>
  <si>
    <t xml:space="preserve">               3,045.6</t>
  </si>
  <si>
    <t xml:space="preserve">              92,493</t>
  </si>
  <si>
    <t xml:space="preserve">               1,538</t>
  </si>
  <si>
    <t xml:space="preserve">             126,280.9</t>
  </si>
  <si>
    <t xml:space="preserve">             627,355</t>
  </si>
  <si>
    <t xml:space="preserve">             201,062.4</t>
  </si>
  <si>
    <t xml:space="preserve">             752,250</t>
  </si>
  <si>
    <t xml:space="preserve">            -124,895</t>
  </si>
  <si>
    <t xml:space="preserve">           1,534,752.0</t>
  </si>
  <si>
    <t xml:space="preserve">           3,174,667</t>
  </si>
  <si>
    <t xml:space="preserve">             278,146.4</t>
  </si>
  <si>
    <t xml:space="preserve">           1,148,504</t>
  </si>
  <si>
    <t xml:space="preserve">           2,026,164</t>
  </si>
  <si>
    <t xml:space="preserve">             265,000.7</t>
  </si>
  <si>
    <t xml:space="preserve">             746,841</t>
  </si>
  <si>
    <t xml:space="preserve">              82,413.9</t>
  </si>
  <si>
    <t xml:space="preserve">             271,593</t>
  </si>
  <si>
    <t xml:space="preserve">             475,248</t>
  </si>
  <si>
    <t xml:space="preserve">               2,914.0</t>
  </si>
  <si>
    <t xml:space="preserve">              28,039</t>
  </si>
  <si>
    <t xml:space="preserve">               7,743.6</t>
  </si>
  <si>
    <t xml:space="preserve">              23,256</t>
  </si>
  <si>
    <t xml:space="preserve">               4,782</t>
  </si>
  <si>
    <t xml:space="preserve">                 868.7</t>
  </si>
  <si>
    <t xml:space="preserve">              33,219</t>
  </si>
  <si>
    <t xml:space="preserve">              10,230.8</t>
  </si>
  <si>
    <t xml:space="preserve">             335,700</t>
  </si>
  <si>
    <t xml:space="preserve">            -302,481</t>
  </si>
  <si>
    <t xml:space="preserve">                  17.8</t>
  </si>
  <si>
    <t xml:space="preserve">                 858</t>
  </si>
  <si>
    <t xml:space="preserve">                  80.8</t>
  </si>
  <si>
    <t xml:space="preserve">              13,540</t>
  </si>
  <si>
    <t xml:space="preserve">             -12,682</t>
  </si>
  <si>
    <t xml:space="preserve">               3,722.4</t>
  </si>
  <si>
    <t xml:space="preserve">               5,387</t>
  </si>
  <si>
    <t xml:space="preserve">             892,806.4</t>
  </si>
  <si>
    <t xml:space="preserve">             257,494</t>
  </si>
  <si>
    <t xml:space="preserve">            -252,108</t>
  </si>
  <si>
    <t xml:space="preserve">                   0.8</t>
  </si>
  <si>
    <t xml:space="preserve">                  78.5</t>
  </si>
  <si>
    <t xml:space="preserve">                 432</t>
  </si>
  <si>
    <t xml:space="preserve">                -408</t>
  </si>
  <si>
    <t xml:space="preserve">                   1.2</t>
  </si>
  <si>
    <t xml:space="preserve">                 168</t>
  </si>
  <si>
    <t xml:space="preserve">                 444.9</t>
  </si>
  <si>
    <t xml:space="preserve">               2,313</t>
  </si>
  <si>
    <t xml:space="preserve">              -2,145</t>
  </si>
  <si>
    <t xml:space="preserve">              29,063.3</t>
  </si>
  <si>
    <t xml:space="preserve">               9,268</t>
  </si>
  <si>
    <t xml:space="preserve">             228,019.7</t>
  </si>
  <si>
    <t xml:space="preserve">             128,195</t>
  </si>
  <si>
    <t xml:space="preserve">            -118,927</t>
  </si>
  <si>
    <t xml:space="preserve">             236,550.1</t>
  </si>
  <si>
    <t xml:space="preserve">             245,139</t>
  </si>
  <si>
    <t xml:space="preserve">             119,630.5</t>
  </si>
  <si>
    <t xml:space="preserve">             190,595</t>
  </si>
  <si>
    <t xml:space="preserve">              54,545</t>
  </si>
  <si>
    <t xml:space="preserve">               4,291.7</t>
  </si>
  <si>
    <t xml:space="preserve">              38,294</t>
  </si>
  <si>
    <t xml:space="preserve">               1,204.1</t>
  </si>
  <si>
    <t xml:space="preserve">              25,109</t>
  </si>
  <si>
    <t xml:space="preserve">              13,185</t>
  </si>
  <si>
    <t xml:space="preserve">                  13.3</t>
  </si>
  <si>
    <t xml:space="preserve">               1,671</t>
  </si>
  <si>
    <t xml:space="preserve">                  20.4</t>
  </si>
  <si>
    <t xml:space="preserve">               1,944</t>
  </si>
  <si>
    <t xml:space="preserve">                -274</t>
  </si>
  <si>
    <t xml:space="preserve">                 438.4</t>
  </si>
  <si>
    <t xml:space="preserve">               6,373</t>
  </si>
  <si>
    <t xml:space="preserve">               1,162.0</t>
  </si>
  <si>
    <t xml:space="preserve">              27,452</t>
  </si>
  <si>
    <t xml:space="preserve">             -21,080</t>
  </si>
  <si>
    <t xml:space="preserve">               3,128.3</t>
  </si>
  <si>
    <t xml:space="preserve">              26,800</t>
  </si>
  <si>
    <t xml:space="preserve">              20,055.3</t>
  </si>
  <si>
    <t xml:space="preserve">              66,261</t>
  </si>
  <si>
    <t xml:space="preserve">             -39,460</t>
  </si>
  <si>
    <t xml:space="preserve">                  16.8</t>
  </si>
  <si>
    <t xml:space="preserve">                 318</t>
  </si>
  <si>
    <t xml:space="preserve">               1,297.1</t>
  </si>
  <si>
    <t xml:space="preserve">               4,256</t>
  </si>
  <si>
    <t xml:space="preserve">              -3,938</t>
  </si>
  <si>
    <t xml:space="preserve">              27,406.7</t>
  </si>
  <si>
    <t xml:space="preserve">             170,814</t>
  </si>
  <si>
    <t xml:space="preserve">              40,554.2</t>
  </si>
  <si>
    <t xml:space="preserve">              91,337</t>
  </si>
  <si>
    <t xml:space="preserve">              79,477</t>
  </si>
  <si>
    <t xml:space="preserve">              58,632.2</t>
  </si>
  <si>
    <t xml:space="preserve">             110,847</t>
  </si>
  <si>
    <t xml:space="preserve">              14,090.3</t>
  </si>
  <si>
    <t xml:space="preserve">              52,589</t>
  </si>
  <si>
    <t xml:space="preserve">              58,257</t>
  </si>
  <si>
    <t xml:space="preserve">              10,811.5</t>
  </si>
  <si>
    <t xml:space="preserve">              65,949</t>
  </si>
  <si>
    <t xml:space="preserve">              18,626.6</t>
  </si>
  <si>
    <t xml:space="preserve">              58,997</t>
  </si>
  <si>
    <t xml:space="preserve">               6,952</t>
  </si>
  <si>
    <t xml:space="preserve">                 736.7</t>
  </si>
  <si>
    <t xml:space="preserve">               7,548</t>
  </si>
  <si>
    <t xml:space="preserve">               6,044.8</t>
  </si>
  <si>
    <t xml:space="preserve">              12,496</t>
  </si>
  <si>
    <t xml:space="preserve">              -4,948</t>
  </si>
  <si>
    <t xml:space="preserve">               1,441.8</t>
  </si>
  <si>
    <t xml:space="preserve">              16,614</t>
  </si>
  <si>
    <t xml:space="preserve">                 941.8</t>
  </si>
  <si>
    <t xml:space="preserve">               7,196</t>
  </si>
  <si>
    <t xml:space="preserve">               9,417</t>
  </si>
  <si>
    <t xml:space="preserve">               9,652.3</t>
  </si>
  <si>
    <t xml:space="preserve">              98,601</t>
  </si>
  <si>
    <t xml:space="preserve">               7,312.5</t>
  </si>
  <si>
    <t xml:space="preserve">              43,103</t>
  </si>
  <si>
    <t xml:space="preserve">              55,497</t>
  </si>
  <si>
    <t xml:space="preserve">              18,419.3</t>
  </si>
  <si>
    <t xml:space="preserve">             142,230</t>
  </si>
  <si>
    <t xml:space="preserve">               1,752.8</t>
  </si>
  <si>
    <t xml:space="preserve">              10,430</t>
  </si>
  <si>
    <t xml:space="preserve">             131,800</t>
  </si>
  <si>
    <t xml:space="preserve">               2,408.0</t>
  </si>
  <si>
    <t xml:space="preserve">              66,148</t>
  </si>
  <si>
    <t xml:space="preserve">              19,783.8</t>
  </si>
  <si>
    <t xml:space="preserve">             445,175</t>
  </si>
  <si>
    <t xml:space="preserve">            -379,027</t>
  </si>
  <si>
    <t xml:space="preserve">               2,909.1</t>
  </si>
  <si>
    <t xml:space="preserve">              74,430</t>
  </si>
  <si>
    <t xml:space="preserve">              18,248.2</t>
  </si>
  <si>
    <t xml:space="preserve">             576,247</t>
  </si>
  <si>
    <t xml:space="preserve">            -501,816</t>
  </si>
  <si>
    <t xml:space="preserve">              24,053.6</t>
  </si>
  <si>
    <t xml:space="preserve">              49,809</t>
  </si>
  <si>
    <t xml:space="preserve">              28,953.2</t>
  </si>
  <si>
    <t xml:space="preserve">             121,195</t>
  </si>
  <si>
    <t xml:space="preserve">             -71,386</t>
  </si>
  <si>
    <t xml:space="preserve">               1,553.0</t>
  </si>
  <si>
    <t xml:space="preserve">              31,838</t>
  </si>
  <si>
    <t xml:space="preserve">              10,841.6</t>
  </si>
  <si>
    <t xml:space="preserve">             301,768</t>
  </si>
  <si>
    <t xml:space="preserve">            -269,929</t>
  </si>
  <si>
    <t xml:space="preserve">                 304.0</t>
  </si>
  <si>
    <t xml:space="preserve">              10,310</t>
  </si>
  <si>
    <t xml:space="preserve">                 843.5</t>
  </si>
  <si>
    <t xml:space="preserve">              27,675</t>
  </si>
  <si>
    <t xml:space="preserve">             -17,365</t>
  </si>
  <si>
    <t xml:space="preserve">                   7.3</t>
  </si>
  <si>
    <t xml:space="preserve">                 329</t>
  </si>
  <si>
    <t xml:space="preserve">               3,407.4</t>
  </si>
  <si>
    <t xml:space="preserve">              22,497</t>
  </si>
  <si>
    <t xml:space="preserve">             -22,167</t>
  </si>
  <si>
    <t xml:space="preserve">               1,864</t>
  </si>
  <si>
    <t xml:space="preserve">                 405.3</t>
  </si>
  <si>
    <t xml:space="preserve">               7,816</t>
  </si>
  <si>
    <t xml:space="preserve">              -5,952</t>
  </si>
  <si>
    <t xml:space="preserve">              12,733.5</t>
  </si>
  <si>
    <t xml:space="preserve">              86,112</t>
  </si>
  <si>
    <t xml:space="preserve">             234,289.2</t>
  </si>
  <si>
    <t xml:space="preserve">             123,048</t>
  </si>
  <si>
    <t xml:space="preserve">             -36,936</t>
  </si>
  <si>
    <t xml:space="preserve">               2,835.1</t>
  </si>
  <si>
    <t xml:space="preserve">              32,561</t>
  </si>
  <si>
    <t xml:space="preserve">             145,893.0</t>
  </si>
  <si>
    <t xml:space="preserve">             138,737</t>
  </si>
  <si>
    <t xml:space="preserve">            -106,175</t>
  </si>
  <si>
    <t xml:space="preserve">              34,199.5</t>
  </si>
  <si>
    <t xml:space="preserve">             182,020</t>
  </si>
  <si>
    <t xml:space="preserve">             105,146.5</t>
  </si>
  <si>
    <t xml:space="preserve">             227,236</t>
  </si>
  <si>
    <t xml:space="preserve">             -45,216</t>
  </si>
  <si>
    <t xml:space="preserve">                 810.1</t>
  </si>
  <si>
    <t xml:space="preserve">             519,508</t>
  </si>
  <si>
    <t xml:space="preserve">               1,675.8</t>
  </si>
  <si>
    <t xml:space="preserve">             490,515</t>
  </si>
  <si>
    <t xml:space="preserve">              28,993</t>
  </si>
  <si>
    <t xml:space="preserve">           2,251,488.6</t>
  </si>
  <si>
    <t xml:space="preserve">           2,135,449</t>
  </si>
  <si>
    <t xml:space="preserve">           1,263,834.0</t>
  </si>
  <si>
    <t xml:space="preserve">           1,107,067</t>
  </si>
  <si>
    <t xml:space="preserve">           1,028,382</t>
  </si>
  <si>
    <t xml:space="preserve">             295,130.1</t>
  </si>
  <si>
    <t xml:space="preserve">             800,615</t>
  </si>
  <si>
    <t xml:space="preserve">             262,818.9</t>
  </si>
  <si>
    <t xml:space="preserve">             662,740</t>
  </si>
  <si>
    <t xml:space="preserve">             137,875</t>
  </si>
  <si>
    <t xml:space="preserve">              63,871.8</t>
  </si>
  <si>
    <t xml:space="preserve">             605,990</t>
  </si>
  <si>
    <t xml:space="preserve">              73,956.7</t>
  </si>
  <si>
    <t xml:space="preserve">             728,004</t>
  </si>
  <si>
    <t xml:space="preserve">            -122,015</t>
  </si>
  <si>
    <t xml:space="preserve">               1,032.2</t>
  </si>
  <si>
    <t xml:space="preserve">              17,132</t>
  </si>
  <si>
    <t xml:space="preserve">               4,893.9</t>
  </si>
  <si>
    <t xml:space="preserve">             117,928</t>
  </si>
  <si>
    <t xml:space="preserve">            -100,795</t>
  </si>
  <si>
    <t xml:space="preserve">             112,826.9</t>
  </si>
  <si>
    <t xml:space="preserve">             438,295</t>
  </si>
  <si>
    <t xml:space="preserve">             270,392.0</t>
  </si>
  <si>
    <t xml:space="preserve">             776,133</t>
  </si>
  <si>
    <t xml:space="preserve">            -337,838</t>
  </si>
  <si>
    <t xml:space="preserve">              22,672.2</t>
  </si>
  <si>
    <t xml:space="preserve">              53,989</t>
  </si>
  <si>
    <t xml:space="preserve">              12,544.6</t>
  </si>
  <si>
    <t xml:space="preserve">              28,387</t>
  </si>
  <si>
    <t xml:space="preserve">              25,602</t>
  </si>
  <si>
    <t xml:space="preserve">              38,130.5</t>
  </si>
  <si>
    <t xml:space="preserve">             111,999</t>
  </si>
  <si>
    <t xml:space="preserve">               4,791.4</t>
  </si>
  <si>
    <t xml:space="preserve">              14,475</t>
  </si>
  <si>
    <t xml:space="preserve">              97,524</t>
  </si>
  <si>
    <t xml:space="preserve">                 169.7</t>
  </si>
  <si>
    <t xml:space="preserve">               7,368</t>
  </si>
  <si>
    <t xml:space="preserve">               1,543.1</t>
  </si>
  <si>
    <t xml:space="preserve">              54,970</t>
  </si>
  <si>
    <t xml:space="preserve">             -47,603</t>
  </si>
  <si>
    <t xml:space="preserve">               2,491.0</t>
  </si>
  <si>
    <t xml:space="preserve">              37,355</t>
  </si>
  <si>
    <t xml:space="preserve">              14,398.7</t>
  </si>
  <si>
    <t xml:space="preserve">             129,177</t>
  </si>
  <si>
    <t xml:space="preserve">             -91,823</t>
  </si>
  <si>
    <t xml:space="preserve">              12,218.9</t>
  </si>
  <si>
    <t xml:space="preserve">             208,008</t>
  </si>
  <si>
    <t xml:space="preserve">               5,362.0</t>
  </si>
  <si>
    <t xml:space="preserve">              88,503</t>
  </si>
  <si>
    <t xml:space="preserve">             119,505</t>
  </si>
  <si>
    <t xml:space="preserve">              28,176.9</t>
  </si>
  <si>
    <t xml:space="preserve">             160,361</t>
  </si>
  <si>
    <t xml:space="preserve">              12,181.7</t>
  </si>
  <si>
    <t xml:space="preserve">              80,941</t>
  </si>
  <si>
    <t xml:space="preserve">              79,420</t>
  </si>
  <si>
    <t xml:space="preserve">             420,462.8</t>
  </si>
  <si>
    <t xml:space="preserve">           7,310,070</t>
  </si>
  <si>
    <t xml:space="preserve">             224,991.1</t>
  </si>
  <si>
    <t xml:space="preserve">           5,211,603</t>
  </si>
  <si>
    <t xml:space="preserve">           2,098,468</t>
  </si>
  <si>
    <t xml:space="preserve">             236,673.8</t>
  </si>
  <si>
    <t xml:space="preserve">          17,884,638</t>
  </si>
  <si>
    <t xml:space="preserve">             185,413.0</t>
  </si>
  <si>
    <t xml:space="preserve">          10,524,677</t>
  </si>
  <si>
    <t xml:space="preserve">           7,359,961</t>
  </si>
  <si>
    <t xml:space="preserve">              12,674.6</t>
  </si>
  <si>
    <t xml:space="preserve">              85,824</t>
  </si>
  <si>
    <t xml:space="preserve">              11,192.3</t>
  </si>
  <si>
    <t xml:space="preserve">              35,616</t>
  </si>
  <si>
    <t xml:space="preserve">              50,209</t>
  </si>
  <si>
    <t xml:space="preserve">             661,976.3</t>
  </si>
  <si>
    <t xml:space="preserve">           7,399,270</t>
  </si>
  <si>
    <t xml:space="preserve">             116,249.9</t>
  </si>
  <si>
    <t xml:space="preserve">           1,853,872</t>
  </si>
  <si>
    <t xml:space="preserve">           5,545,398</t>
  </si>
  <si>
    <t xml:space="preserve">                 432.7</t>
  </si>
  <si>
    <t xml:space="preserve">             188,739</t>
  </si>
  <si>
    <t xml:space="preserve">                 691.0</t>
  </si>
  <si>
    <t xml:space="preserve">           1,240,335</t>
  </si>
  <si>
    <t xml:space="preserve">          -1,051,596</t>
  </si>
  <si>
    <t xml:space="preserve">             539,071.3</t>
  </si>
  <si>
    <t xml:space="preserve">             947,649</t>
  </si>
  <si>
    <t xml:space="preserve">              72,342.3</t>
  </si>
  <si>
    <t xml:space="preserve">             194,498</t>
  </si>
  <si>
    <t xml:space="preserve">             753,152</t>
  </si>
  <si>
    <t xml:space="preserve">              17,534.7</t>
  </si>
  <si>
    <t xml:space="preserve">           1,380,638</t>
  </si>
  <si>
    <t xml:space="preserve">              16,583.2</t>
  </si>
  <si>
    <t xml:space="preserve">           1,974,927</t>
  </si>
  <si>
    <t xml:space="preserve">            -594,288</t>
  </si>
  <si>
    <t xml:space="preserve">                  15.1</t>
  </si>
  <si>
    <t xml:space="preserve">              10,846</t>
  </si>
  <si>
    <t xml:space="preserve">                 318.2</t>
  </si>
  <si>
    <t xml:space="preserve">              94,999</t>
  </si>
  <si>
    <t xml:space="preserve">             -84,153</t>
  </si>
  <si>
    <t xml:space="preserve">                 565.1</t>
  </si>
  <si>
    <t xml:space="preserve">              10,762</t>
  </si>
  <si>
    <t xml:space="preserve">                 643.1</t>
  </si>
  <si>
    <t xml:space="preserve">              16,406</t>
  </si>
  <si>
    <t xml:space="preserve">              -5,645</t>
  </si>
  <si>
    <t xml:space="preserve">               2,010.8</t>
  </si>
  <si>
    <t xml:space="preserve">             244,886</t>
  </si>
  <si>
    <t xml:space="preserve">                  68.1</t>
  </si>
  <si>
    <t xml:space="preserve">              20,827</t>
  </si>
  <si>
    <t xml:space="preserve">             224,059</t>
  </si>
  <si>
    <t xml:space="preserve">              16,546.9</t>
  </si>
  <si>
    <t xml:space="preserve">             121,251</t>
  </si>
  <si>
    <t xml:space="preserve">              72,754.8</t>
  </si>
  <si>
    <t xml:space="preserve">             324,731</t>
  </si>
  <si>
    <t xml:space="preserve">            -203,480</t>
  </si>
  <si>
    <t xml:space="preserve">               2,084.7</t>
  </si>
  <si>
    <t xml:space="preserve">              49,334</t>
  </si>
  <si>
    <t xml:space="preserve">              15,042.4</t>
  </si>
  <si>
    <t xml:space="preserve">             191,896</t>
  </si>
  <si>
    <t xml:space="preserve">            -142,562</t>
  </si>
  <si>
    <t xml:space="preserve">               2,568.7</t>
  </si>
  <si>
    <t xml:space="preserve">              40,936</t>
  </si>
  <si>
    <t xml:space="preserve">              11,533.7</t>
  </si>
  <si>
    <t xml:space="preserve">              99,992</t>
  </si>
  <si>
    <t xml:space="preserve">             -59,056</t>
  </si>
  <si>
    <t xml:space="preserve">                   8.4</t>
  </si>
  <si>
    <t xml:space="preserve">               6,695</t>
  </si>
  <si>
    <t xml:space="preserve">                  54.2</t>
  </si>
  <si>
    <t xml:space="preserve">              41,315</t>
  </si>
  <si>
    <t xml:space="preserve">             -34,619</t>
  </si>
  <si>
    <t xml:space="preserve">                   1.8</t>
  </si>
  <si>
    <t xml:space="preserve">                 411</t>
  </si>
  <si>
    <t xml:space="preserve">                  83.2</t>
  </si>
  <si>
    <t xml:space="preserve">               5,244</t>
  </si>
  <si>
    <t xml:space="preserve">              -4,834</t>
  </si>
  <si>
    <t xml:space="preserve">               5,670.4</t>
  </si>
  <si>
    <t xml:space="preserve">               7,408</t>
  </si>
  <si>
    <t xml:space="preserve">             105,707.5</t>
  </si>
  <si>
    <t xml:space="preserve">             559,902</t>
  </si>
  <si>
    <t xml:space="preserve">            -552,494</t>
  </si>
  <si>
    <t xml:space="preserve">              43,788.1</t>
  </si>
  <si>
    <t xml:space="preserve">             124,068</t>
  </si>
  <si>
    <t xml:space="preserve">              99,291.8</t>
  </si>
  <si>
    <t xml:space="preserve">             369,453</t>
  </si>
  <si>
    <t xml:space="preserve">            -245,385</t>
  </si>
  <si>
    <t xml:space="preserve">               2,239.2</t>
  </si>
  <si>
    <t xml:space="preserve">               5,698</t>
  </si>
  <si>
    <t xml:space="preserve">              29,748.5</t>
  </si>
  <si>
    <t xml:space="preserve">             116,389</t>
  </si>
  <si>
    <t xml:space="preserve">            -110,691</t>
  </si>
  <si>
    <t xml:space="preserve">               1,470.4</t>
  </si>
  <si>
    <t xml:space="preserve">               5,074</t>
  </si>
  <si>
    <t xml:space="preserve">               3,421.7</t>
  </si>
  <si>
    <t xml:space="preserve">              25,030</t>
  </si>
  <si>
    <t xml:space="preserve">             -19,956</t>
  </si>
  <si>
    <t xml:space="preserve">                  54.1</t>
  </si>
  <si>
    <t xml:space="preserve">                 365</t>
  </si>
  <si>
    <t xml:space="preserve">               9,454.5</t>
  </si>
  <si>
    <t xml:space="preserve">              12,508</t>
  </si>
  <si>
    <t xml:space="preserve">             -12,143</t>
  </si>
  <si>
    <t xml:space="preserve">               2,883.2</t>
  </si>
  <si>
    <t xml:space="preserve">               8,915</t>
  </si>
  <si>
    <t xml:space="preserve">              70,189.4</t>
  </si>
  <si>
    <t xml:space="preserve">              58,450</t>
  </si>
  <si>
    <t xml:space="preserve">             -49,536</t>
  </si>
  <si>
    <t xml:space="preserve">               4,168.9</t>
  </si>
  <si>
    <t xml:space="preserve">              20,601</t>
  </si>
  <si>
    <t xml:space="preserve">              62,335.6</t>
  </si>
  <si>
    <t xml:space="preserve">             134,609</t>
  </si>
  <si>
    <t xml:space="preserve">            -114,008</t>
  </si>
  <si>
    <t xml:space="preserve">                 525.7</t>
  </si>
  <si>
    <t xml:space="preserve">              14,519</t>
  </si>
  <si>
    <t xml:space="preserve">              22,184.5</t>
  </si>
  <si>
    <t xml:space="preserve">             137,368</t>
  </si>
  <si>
    <t xml:space="preserve">            -122,850</t>
  </si>
  <si>
    <t xml:space="preserve">                 480.7</t>
  </si>
  <si>
    <t xml:space="preserve">                 900</t>
  </si>
  <si>
    <t xml:space="preserve">           1,375,267.7</t>
  </si>
  <si>
    <t xml:space="preserve">             370,898</t>
  </si>
  <si>
    <t xml:space="preserve">            -369,998</t>
  </si>
  <si>
    <t xml:space="preserve">               4,670.1</t>
  </si>
  <si>
    <t xml:space="preserve">               3,412</t>
  </si>
  <si>
    <t xml:space="preserve">              35,073.4</t>
  </si>
  <si>
    <t xml:space="preserve">              31,410</t>
  </si>
  <si>
    <t xml:space="preserve">             -27,998</t>
  </si>
  <si>
    <t xml:space="preserve">               1,846.3</t>
  </si>
  <si>
    <t xml:space="preserve">              43,277</t>
  </si>
  <si>
    <t xml:space="preserve">             261,882.1</t>
  </si>
  <si>
    <t xml:space="preserve">             159,623</t>
  </si>
  <si>
    <t xml:space="preserve">            -116,345</t>
  </si>
  <si>
    <t xml:space="preserve">                 336.8</t>
  </si>
  <si>
    <t xml:space="preserve">               6,593</t>
  </si>
  <si>
    <t xml:space="preserve">               5,707.7</t>
  </si>
  <si>
    <t xml:space="preserve">              20,059</t>
  </si>
  <si>
    <t xml:space="preserve">             -13,466</t>
  </si>
  <si>
    <t xml:space="preserve">                  29.2</t>
  </si>
  <si>
    <t xml:space="preserve">              14,692.5</t>
  </si>
  <si>
    <t xml:space="preserve">               3,815</t>
  </si>
  <si>
    <t xml:space="preserve">              -3,793</t>
  </si>
  <si>
    <t xml:space="preserve">              22,980.1</t>
  </si>
  <si>
    <t xml:space="preserve">              23,842</t>
  </si>
  <si>
    <t xml:space="preserve">             138,666.5</t>
  </si>
  <si>
    <t xml:space="preserve">             181,911</t>
  </si>
  <si>
    <t xml:space="preserve">            -158,069</t>
  </si>
  <si>
    <t xml:space="preserve">               3,893.0</t>
  </si>
  <si>
    <t xml:space="preserve">              24,249</t>
  </si>
  <si>
    <t xml:space="preserve">              16,502.5</t>
  </si>
  <si>
    <t xml:space="preserve">              92,339</t>
  </si>
  <si>
    <t xml:space="preserve">             -68,089</t>
  </si>
  <si>
    <t xml:space="preserve">              35,705.8</t>
  </si>
  <si>
    <t xml:space="preserve">              31,191</t>
  </si>
  <si>
    <t xml:space="preserve">             234,104.2</t>
  </si>
  <si>
    <t xml:space="preserve">             145,551</t>
  </si>
  <si>
    <t xml:space="preserve">            -114,360</t>
  </si>
  <si>
    <t xml:space="preserve">               2,162.4</t>
  </si>
  <si>
    <t xml:space="preserve">               5,961</t>
  </si>
  <si>
    <t xml:space="preserve">               6,308.7</t>
  </si>
  <si>
    <t xml:space="preserve">              53,759</t>
  </si>
  <si>
    <t xml:space="preserve">             -47,798</t>
  </si>
  <si>
    <t xml:space="preserve">              49,251.8</t>
  </si>
  <si>
    <t xml:space="preserve">             200,312</t>
  </si>
  <si>
    <t xml:space="preserve">              28,576.4</t>
  </si>
  <si>
    <t xml:space="preserve">              94,607</t>
  </si>
  <si>
    <t xml:space="preserve">             105,705</t>
  </si>
  <si>
    <t xml:space="preserve">               9,334.7</t>
  </si>
  <si>
    <t xml:space="preserve">              76,003</t>
  </si>
  <si>
    <t xml:space="preserve">              84,536.8</t>
  </si>
  <si>
    <t xml:space="preserve">             129,849</t>
  </si>
  <si>
    <t xml:space="preserve">             -53,846</t>
  </si>
  <si>
    <t xml:space="preserve">              33,203.8</t>
  </si>
  <si>
    <t xml:space="preserve">             127,976</t>
  </si>
  <si>
    <t xml:space="preserve">              32,661.5</t>
  </si>
  <si>
    <t xml:space="preserve">             240,434</t>
  </si>
  <si>
    <t xml:space="preserve">            -112,459</t>
  </si>
  <si>
    <t xml:space="preserve">              76,071.4</t>
  </si>
  <si>
    <t xml:space="preserve">              92,889</t>
  </si>
  <si>
    <t xml:space="preserve">              83,157.9</t>
  </si>
  <si>
    <t xml:space="preserve">             132,753</t>
  </si>
  <si>
    <t xml:space="preserve">             -39,864</t>
  </si>
  <si>
    <t xml:space="preserve">              37,595.0</t>
  </si>
  <si>
    <t xml:space="preserve">              30,796</t>
  </si>
  <si>
    <t xml:space="preserve">             587,778.0</t>
  </si>
  <si>
    <t xml:space="preserve">             215,957</t>
  </si>
  <si>
    <t xml:space="preserve">            -185,161</t>
  </si>
  <si>
    <t xml:space="preserve">               8,897.5</t>
  </si>
  <si>
    <t xml:space="preserve">              95,679</t>
  </si>
  <si>
    <t xml:space="preserve">               3,549.9</t>
  </si>
  <si>
    <t xml:space="preserve">              34,517</t>
  </si>
  <si>
    <t xml:space="preserve">              61,162</t>
  </si>
  <si>
    <t xml:space="preserve">             471,049.5</t>
  </si>
  <si>
    <t xml:space="preserve">              26,227</t>
  </si>
  <si>
    <t xml:space="preserve">             916,767.9</t>
  </si>
  <si>
    <t xml:space="preserve">              72,871</t>
  </si>
  <si>
    <t xml:space="preserve">             -46,643</t>
  </si>
  <si>
    <t xml:space="preserve">              35,135.3</t>
  </si>
  <si>
    <t xml:space="preserve">              63,272</t>
  </si>
  <si>
    <t xml:space="preserve">           6,675,852.9</t>
  </si>
  <si>
    <t xml:space="preserve">           1,472,160</t>
  </si>
  <si>
    <t xml:space="preserve">          -1,408,888</t>
  </si>
  <si>
    <t xml:space="preserve">           6,257,780.0</t>
  </si>
  <si>
    <t xml:space="preserve">           4,604,299</t>
  </si>
  <si>
    <t xml:space="preserve">          31,835,269.5</t>
  </si>
  <si>
    <t xml:space="preserve">          14,808,544</t>
  </si>
  <si>
    <t xml:space="preserve">         -10,204,245</t>
  </si>
  <si>
    <t xml:space="preserve">             456,132.5</t>
  </si>
  <si>
    <t xml:space="preserve">             729,313</t>
  </si>
  <si>
    <t xml:space="preserve">             400,519.3</t>
  </si>
  <si>
    <t xml:space="preserve">           1,136,171</t>
  </si>
  <si>
    <t xml:space="preserve">            -406,859</t>
  </si>
  <si>
    <t xml:space="preserve">           1,797,799.2</t>
  </si>
  <si>
    <t xml:space="preserve">           1,952,588</t>
  </si>
  <si>
    <t xml:space="preserve">             710,025.1</t>
  </si>
  <si>
    <t xml:space="preserve">           1,172,946</t>
  </si>
  <si>
    <t xml:space="preserve">             779,642</t>
  </si>
  <si>
    <t xml:space="preserve">               2,710.0</t>
  </si>
  <si>
    <t xml:space="preserve">             751,479</t>
  </si>
  <si>
    <t xml:space="preserve">               7,349.8</t>
  </si>
  <si>
    <t xml:space="preserve">             898,147</t>
  </si>
  <si>
    <t xml:space="preserve">            -146,668</t>
  </si>
  <si>
    <t xml:space="preserve">              89,213.1</t>
  </si>
  <si>
    <t xml:space="preserve">              35,086</t>
  </si>
  <si>
    <t xml:space="preserve">             100,964.3</t>
  </si>
  <si>
    <t xml:space="preserve">              43,996</t>
  </si>
  <si>
    <t xml:space="preserve">              -8,910</t>
  </si>
  <si>
    <t xml:space="preserve">              27,437.0</t>
  </si>
  <si>
    <t xml:space="preserve">             209,920</t>
  </si>
  <si>
    <t xml:space="preserve">              26,287.2</t>
  </si>
  <si>
    <t xml:space="preserve">             193,957</t>
  </si>
  <si>
    <t xml:space="preserve">              15,963</t>
  </si>
  <si>
    <t xml:space="preserve">              37,927.6</t>
  </si>
  <si>
    <t xml:space="preserve">             796,202</t>
  </si>
  <si>
    <t xml:space="preserve">               9,882.7</t>
  </si>
  <si>
    <t xml:space="preserve">             178,004</t>
  </si>
  <si>
    <t xml:space="preserve">             618,198</t>
  </si>
  <si>
    <t xml:space="preserve">              60,387.3</t>
  </si>
  <si>
    <t xml:space="preserve">             157,721</t>
  </si>
  <si>
    <t xml:space="preserve">              24,906.8</t>
  </si>
  <si>
    <t xml:space="preserve">              95,570</t>
  </si>
  <si>
    <t xml:space="preserve">              62,151</t>
  </si>
  <si>
    <t xml:space="preserve">               6,623.5</t>
  </si>
  <si>
    <t xml:space="preserve">              87,917</t>
  </si>
  <si>
    <t xml:space="preserve">              20,459.9</t>
  </si>
  <si>
    <t xml:space="preserve">              95,003</t>
  </si>
  <si>
    <t xml:space="preserve">              -7,086</t>
  </si>
  <si>
    <t xml:space="preserve">                 276.9</t>
  </si>
  <si>
    <t xml:space="preserve">               1,851</t>
  </si>
  <si>
    <t xml:space="preserve">                 311.3</t>
  </si>
  <si>
    <t xml:space="preserve">               4,938</t>
  </si>
  <si>
    <t xml:space="preserve">              -3,087</t>
  </si>
  <si>
    <t xml:space="preserve">               2,140.7</t>
  </si>
  <si>
    <t xml:space="preserve">              97,672</t>
  </si>
  <si>
    <t xml:space="preserve">               2,783.6</t>
  </si>
  <si>
    <t xml:space="preserve">              82,864</t>
  </si>
  <si>
    <t xml:space="preserve">              14,808</t>
  </si>
  <si>
    <t xml:space="preserve">              76,923.7</t>
  </si>
  <si>
    <t xml:space="preserve">             615,724</t>
  </si>
  <si>
    <t xml:space="preserve">             198,906.6</t>
  </si>
  <si>
    <t xml:space="preserve">             775,362</t>
  </si>
  <si>
    <t xml:space="preserve">            -159,638</t>
  </si>
  <si>
    <t xml:space="preserve">           1,455,434.2</t>
  </si>
  <si>
    <t xml:space="preserve">           2,947,210</t>
  </si>
  <si>
    <t xml:space="preserve">             248,318.9</t>
  </si>
  <si>
    <t xml:space="preserve">           1,088,709</t>
  </si>
  <si>
    <t xml:space="preserve">           1,858,500</t>
  </si>
  <si>
    <t xml:space="preserve">             245,006.6</t>
  </si>
  <si>
    <t xml:space="preserve">             637,916</t>
  </si>
  <si>
    <t xml:space="preserve">              90,946.7</t>
  </si>
  <si>
    <t xml:space="preserve">             284,578</t>
  </si>
  <si>
    <t xml:space="preserve">             353,338</t>
  </si>
  <si>
    <t xml:space="preserve">               2,535.2</t>
  </si>
  <si>
    <t xml:space="preserve">              23,413</t>
  </si>
  <si>
    <t xml:space="preserve">               8,533.9</t>
  </si>
  <si>
    <t xml:space="preserve">              22,470</t>
  </si>
  <si>
    <t xml:space="preserve">                 943</t>
  </si>
  <si>
    <t xml:space="preserve">                 716.5</t>
  </si>
  <si>
    <t xml:space="preserve">              33,848</t>
  </si>
  <si>
    <t xml:space="preserve">               9,554.2</t>
  </si>
  <si>
    <t xml:space="preserve">             302,091</t>
  </si>
  <si>
    <t xml:space="preserve">            -268,243</t>
  </si>
  <si>
    <t xml:space="preserve">                  19.1</t>
  </si>
  <si>
    <t xml:space="preserve">               1,269</t>
  </si>
  <si>
    <t xml:space="preserve">                  72.7</t>
  </si>
  <si>
    <t xml:space="preserve">              14,948</t>
  </si>
  <si>
    <t xml:space="preserve">             -13,679</t>
  </si>
  <si>
    <t xml:space="preserve">               4,096.4</t>
  </si>
  <si>
    <t xml:space="preserve">               5,991</t>
  </si>
  <si>
    <t xml:space="preserve">             883,255.9</t>
  </si>
  <si>
    <t xml:space="preserve">             262,141</t>
  </si>
  <si>
    <t xml:space="preserve">            -256,149</t>
  </si>
  <si>
    <t xml:space="preserve">                  69</t>
  </si>
  <si>
    <t xml:space="preserve">                  77.9</t>
  </si>
  <si>
    <t xml:space="preserve">                 587</t>
  </si>
  <si>
    <t xml:space="preserve">                -518</t>
  </si>
  <si>
    <t xml:space="preserve">                   4.8</t>
  </si>
  <si>
    <t xml:space="preserve">                 302</t>
  </si>
  <si>
    <t xml:space="preserve">                 386.6</t>
  </si>
  <si>
    <t xml:space="preserve">               1,632</t>
  </si>
  <si>
    <t xml:space="preserve">              -1,331</t>
  </si>
  <si>
    <t xml:space="preserve">              23,743.6</t>
  </si>
  <si>
    <t xml:space="preserve">               7,185</t>
  </si>
  <si>
    <t xml:space="preserve">             253,572.3</t>
  </si>
  <si>
    <t xml:space="preserve">             148,481</t>
  </si>
  <si>
    <t xml:space="preserve">            -141,296</t>
  </si>
  <si>
    <t xml:space="preserve">             220,835.8</t>
  </si>
  <si>
    <t xml:space="preserve">             221,385</t>
  </si>
  <si>
    <t xml:space="preserve">             131,869.4</t>
  </si>
  <si>
    <t xml:space="preserve">             194,120</t>
  </si>
  <si>
    <t xml:space="preserve">              27,265</t>
  </si>
  <si>
    <t xml:space="preserve">               2,751.8</t>
  </si>
  <si>
    <t xml:space="preserve">              23,107</t>
  </si>
  <si>
    <t xml:space="preserve">               1,194.2</t>
  </si>
  <si>
    <t xml:space="preserve">              20,781</t>
  </si>
  <si>
    <t xml:space="preserve">               2,326</t>
  </si>
  <si>
    <t xml:space="preserve">                  10.3</t>
  </si>
  <si>
    <t xml:space="preserve">               1,074</t>
  </si>
  <si>
    <t xml:space="preserve">                  30.4</t>
  </si>
  <si>
    <t xml:space="preserve">               2,367</t>
  </si>
  <si>
    <t xml:space="preserve">              -1,293</t>
  </si>
  <si>
    <t xml:space="preserve">                 136.1</t>
  </si>
  <si>
    <t xml:space="preserve">               2,324</t>
  </si>
  <si>
    <t xml:space="preserve">                 677.2</t>
  </si>
  <si>
    <t xml:space="preserve">              14,993</t>
  </si>
  <si>
    <t xml:space="preserve">             -12,669</t>
  </si>
  <si>
    <t xml:space="preserve">               2,904.7</t>
  </si>
  <si>
    <t xml:space="preserve">              23,559</t>
  </si>
  <si>
    <t xml:space="preserve">              19,550.7</t>
  </si>
  <si>
    <t xml:space="preserve">              61,661</t>
  </si>
  <si>
    <t xml:space="preserve">             -38,103</t>
  </si>
  <si>
    <t xml:space="preserve">                  12.1</t>
  </si>
  <si>
    <t xml:space="preserve">                 234</t>
  </si>
  <si>
    <t xml:space="preserve">               1,034.2</t>
  </si>
  <si>
    <t xml:space="preserve">               2,683</t>
  </si>
  <si>
    <t xml:space="preserve">              -2,449</t>
  </si>
  <si>
    <t xml:space="preserve">              21,537.0</t>
  </si>
  <si>
    <t xml:space="preserve">             133,384</t>
  </si>
  <si>
    <t xml:space="preserve">              37,745.0</t>
  </si>
  <si>
    <t xml:space="preserve">              86,031</t>
  </si>
  <si>
    <t xml:space="preserve">              47,353</t>
  </si>
  <si>
    <t xml:space="preserve">              57,444.7</t>
  </si>
  <si>
    <t xml:space="preserve">             105,023</t>
  </si>
  <si>
    <t xml:space="preserve">              13,689.1</t>
  </si>
  <si>
    <t xml:space="preserve">              48,159</t>
  </si>
  <si>
    <t xml:space="preserve">              56,864</t>
  </si>
  <si>
    <t xml:space="preserve">               9,573.6</t>
  </si>
  <si>
    <t xml:space="preserve">              63,522</t>
  </si>
  <si>
    <t xml:space="preserve">              19,693.9</t>
  </si>
  <si>
    <t xml:space="preserve">              59,651</t>
  </si>
  <si>
    <t xml:space="preserve">               3,870</t>
  </si>
  <si>
    <t xml:space="preserve">                 676.8</t>
  </si>
  <si>
    <t xml:space="preserve">               5,964</t>
  </si>
  <si>
    <t xml:space="preserve">               4,633.5</t>
  </si>
  <si>
    <t xml:space="preserve">              10,229</t>
  </si>
  <si>
    <t xml:space="preserve">              -4,265</t>
  </si>
  <si>
    <t xml:space="preserve">               1,311.6</t>
  </si>
  <si>
    <t xml:space="preserve">              15,109</t>
  </si>
  <si>
    <t xml:space="preserve">                 991.2</t>
  </si>
  <si>
    <t xml:space="preserve">               6,997</t>
  </si>
  <si>
    <t xml:space="preserve">               8,112</t>
  </si>
  <si>
    <t xml:space="preserve">               9,918.8</t>
  </si>
  <si>
    <t xml:space="preserve">             100,463</t>
  </si>
  <si>
    <t xml:space="preserve">               6,887.3</t>
  </si>
  <si>
    <t xml:space="preserve">              40,235</t>
  </si>
  <si>
    <t xml:space="preserve">              60,228</t>
  </si>
  <si>
    <t xml:space="preserve">              16,008.9</t>
  </si>
  <si>
    <t xml:space="preserve">             128,829</t>
  </si>
  <si>
    <t xml:space="preserve">               1,682.4</t>
  </si>
  <si>
    <t xml:space="preserve">               8,683</t>
  </si>
  <si>
    <t xml:space="preserve">             120,146</t>
  </si>
  <si>
    <t xml:space="preserve">               2,229.6</t>
  </si>
  <si>
    <t xml:space="preserve">              61,411</t>
  </si>
  <si>
    <t xml:space="preserve">              24,580.2</t>
  </si>
  <si>
    <t xml:space="preserve">             517,344</t>
  </si>
  <si>
    <t xml:space="preserve">            -455,933</t>
  </si>
  <si>
    <t xml:space="preserve">               2,398.2</t>
  </si>
  <si>
    <t xml:space="preserve">              62,571</t>
  </si>
  <si>
    <t xml:space="preserve">              22,368.9</t>
  </si>
  <si>
    <t xml:space="preserve">             727,832</t>
  </si>
  <si>
    <t xml:space="preserve">            -665,260</t>
  </si>
  <si>
    <t xml:space="preserve">              25,778.2</t>
  </si>
  <si>
    <t xml:space="preserve">              47,863</t>
  </si>
  <si>
    <t xml:space="preserve">              28,210.7</t>
  </si>
  <si>
    <t xml:space="preserve">             112,096</t>
  </si>
  <si>
    <t xml:space="preserve">             -64,233</t>
  </si>
  <si>
    <t xml:space="preserve">               1,224.3</t>
  </si>
  <si>
    <t xml:space="preserve">              26,129</t>
  </si>
  <si>
    <t xml:space="preserve">              11,074.9</t>
  </si>
  <si>
    <t xml:space="preserve">             319,114</t>
  </si>
  <si>
    <t xml:space="preserve">            -292,985</t>
  </si>
  <si>
    <t xml:space="preserve">                 275.2</t>
  </si>
  <si>
    <t xml:space="preserve">               9,101</t>
  </si>
  <si>
    <t xml:space="preserve">                 807.4</t>
  </si>
  <si>
    <t xml:space="preserve">              26,028</t>
  </si>
  <si>
    <t xml:space="preserve">             -16,926</t>
  </si>
  <si>
    <t xml:space="preserve">                 156</t>
  </si>
  <si>
    <t xml:space="preserve">               1,728.0</t>
  </si>
  <si>
    <t xml:space="preserve">              12,177</t>
  </si>
  <si>
    <t xml:space="preserve">             -12,021</t>
  </si>
  <si>
    <t xml:space="preserve">                  15.8</t>
  </si>
  <si>
    <t xml:space="preserve">               1,417</t>
  </si>
  <si>
    <t xml:space="preserve">                 424.5</t>
  </si>
  <si>
    <t xml:space="preserve">               7,762</t>
  </si>
  <si>
    <t xml:space="preserve">              -6,344</t>
  </si>
  <si>
    <t xml:space="preserve">               9,871.4</t>
  </si>
  <si>
    <t xml:space="preserve">              76,042</t>
  </si>
  <si>
    <t xml:space="preserve">             214,454.9</t>
  </si>
  <si>
    <t xml:space="preserve">             114,622</t>
  </si>
  <si>
    <t xml:space="preserve">             -38,579</t>
  </si>
  <si>
    <t xml:space="preserve">               2,321.8</t>
  </si>
  <si>
    <t xml:space="preserve">              30,646</t>
  </si>
  <si>
    <t xml:space="preserve">             138,057.0</t>
  </si>
  <si>
    <t xml:space="preserve">             131,138</t>
  </si>
  <si>
    <t xml:space="preserve">            -100,491</t>
  </si>
  <si>
    <t xml:space="preserve">              31,117.2</t>
  </si>
  <si>
    <t xml:space="preserve">             173,274</t>
  </si>
  <si>
    <t xml:space="preserve">              95,086.3</t>
  </si>
  <si>
    <t xml:space="preserve">             222,116</t>
  </si>
  <si>
    <t xml:space="preserve">             -48,842</t>
  </si>
  <si>
    <t xml:space="preserve">             632,635</t>
  </si>
  <si>
    <t xml:space="preserve">               1,417.9</t>
  </si>
  <si>
    <t xml:space="preserve">             665,703</t>
  </si>
  <si>
    <t xml:space="preserve">             -33,068</t>
  </si>
  <si>
    <t xml:space="preserve">           2,320,538.3</t>
  </si>
  <si>
    <t xml:space="preserve">           2,150,115</t>
  </si>
  <si>
    <t xml:space="preserve">           1,446,420.3</t>
  </si>
  <si>
    <t xml:space="preserve">           1,230,224</t>
  </si>
  <si>
    <t xml:space="preserve">             919,891</t>
  </si>
  <si>
    <t xml:space="preserve">             266,391.0</t>
  </si>
  <si>
    <t xml:space="preserve">             770,391</t>
  </si>
  <si>
    <t xml:space="preserve">             239,809.4</t>
  </si>
  <si>
    <t xml:space="preserve">             624,465</t>
  </si>
  <si>
    <t xml:space="preserve">             145,926</t>
  </si>
  <si>
    <t xml:space="preserve">              58,688.0</t>
  </si>
  <si>
    <t xml:space="preserve">             534,600</t>
  </si>
  <si>
    <t xml:space="preserve">              60,442.8</t>
  </si>
  <si>
    <t xml:space="preserve">             583,867</t>
  </si>
  <si>
    <t xml:space="preserve">             -49,267</t>
  </si>
  <si>
    <t xml:space="preserve">                 778.0</t>
  </si>
  <si>
    <t xml:space="preserve">              12,616</t>
  </si>
  <si>
    <t xml:space="preserve">               6,450.7</t>
  </si>
  <si>
    <t xml:space="preserve">             108,117</t>
  </si>
  <si>
    <t xml:space="preserve">             -95,501</t>
  </si>
  <si>
    <t xml:space="preserve">             109,317.7</t>
  </si>
  <si>
    <t xml:space="preserve">             413,342</t>
  </si>
  <si>
    <t xml:space="preserve">             269,676.5</t>
  </si>
  <si>
    <t xml:space="preserve">             781,808</t>
  </si>
  <si>
    <t xml:space="preserve">            -368,465</t>
  </si>
  <si>
    <t xml:space="preserve">              31,990.3</t>
  </si>
  <si>
    <t xml:space="preserve">              72,561</t>
  </si>
  <si>
    <t xml:space="preserve">              15,595.7</t>
  </si>
  <si>
    <t xml:space="preserve">              35,898</t>
  </si>
  <si>
    <t xml:space="preserve">              36,663</t>
  </si>
  <si>
    <t xml:space="preserve">              31,773.8</t>
  </si>
  <si>
    <t xml:space="preserve">              92,310</t>
  </si>
  <si>
    <t xml:space="preserve">               3,342.8</t>
  </si>
  <si>
    <t xml:space="preserve">              10,619</t>
  </si>
  <si>
    <t xml:space="preserve">              81,691</t>
  </si>
  <si>
    <t xml:space="preserve">                 187.9</t>
  </si>
  <si>
    <t xml:space="preserve">               8,540</t>
  </si>
  <si>
    <t xml:space="preserve">               1,412.8</t>
  </si>
  <si>
    <t xml:space="preserve">              47,646</t>
  </si>
  <si>
    <t xml:space="preserve">             -39,106</t>
  </si>
  <si>
    <t xml:space="preserve">              33,319.9</t>
  </si>
  <si>
    <t xml:space="preserve">              42,483</t>
  </si>
  <si>
    <t xml:space="preserve">              13,135.7</t>
  </si>
  <si>
    <t xml:space="preserve">             110,829</t>
  </si>
  <si>
    <t xml:space="preserve">             -68,346</t>
  </si>
  <si>
    <t xml:space="preserve">               8,007.3</t>
  </si>
  <si>
    <t xml:space="preserve">             161,672</t>
  </si>
  <si>
    <t xml:space="preserve">               4,929.8</t>
  </si>
  <si>
    <t xml:space="preserve">              88,551</t>
  </si>
  <si>
    <t xml:space="preserve">              73,120</t>
  </si>
  <si>
    <t xml:space="preserve">              25,332.9</t>
  </si>
  <si>
    <t xml:space="preserve">             144,266</t>
  </si>
  <si>
    <t xml:space="preserve">              12,163.4</t>
  </si>
  <si>
    <t xml:space="preserve">              80,531</t>
  </si>
  <si>
    <t xml:space="preserve">              63,735</t>
  </si>
  <si>
    <t xml:space="preserve">             330,515.9</t>
  </si>
  <si>
    <t xml:space="preserve">           6,295,152</t>
  </si>
  <si>
    <t xml:space="preserve">             203,410.5</t>
  </si>
  <si>
    <t xml:space="preserve">           4,895,890</t>
  </si>
  <si>
    <t xml:space="preserve">           1,399,262</t>
  </si>
  <si>
    <t xml:space="preserve">             207,069.9</t>
  </si>
  <si>
    <t xml:space="preserve">          18,743,622</t>
  </si>
  <si>
    <t xml:space="preserve">             179,673.6</t>
  </si>
  <si>
    <t xml:space="preserve">          10,290,659</t>
  </si>
  <si>
    <t xml:space="preserve">           8,452,963</t>
  </si>
  <si>
    <t xml:space="preserve">              11,532.5</t>
  </si>
  <si>
    <t xml:space="preserve">              44,059</t>
  </si>
  <si>
    <t xml:space="preserve">              14,769.4</t>
  </si>
  <si>
    <t xml:space="preserve">              54,333</t>
  </si>
  <si>
    <t xml:space="preserve">             -10,275</t>
  </si>
  <si>
    <t xml:space="preserve">             624,577.9</t>
  </si>
  <si>
    <t xml:space="preserve">           6,715,246</t>
  </si>
  <si>
    <t xml:space="preserve">             100,606.7</t>
  </si>
  <si>
    <t xml:space="preserve">           1,608,372</t>
  </si>
  <si>
    <t xml:space="preserve">           5,106,874</t>
  </si>
  <si>
    <t xml:space="preserve">                 382.0</t>
  </si>
  <si>
    <t xml:space="preserve">             109,148</t>
  </si>
  <si>
    <t xml:space="preserve">                 402.7</t>
  </si>
  <si>
    <t xml:space="preserve">             327,669</t>
  </si>
  <si>
    <t xml:space="preserve">            -218,521</t>
  </si>
  <si>
    <t xml:space="preserve">           1,117,460.2</t>
  </si>
  <si>
    <t xml:space="preserve">           2,697,894</t>
  </si>
  <si>
    <t xml:space="preserve">             435,192.4</t>
  </si>
  <si>
    <t xml:space="preserve">             499,757</t>
  </si>
  <si>
    <t xml:space="preserve">           2,198,137</t>
  </si>
  <si>
    <t xml:space="preserve">              15,632.9</t>
  </si>
  <si>
    <t xml:space="preserve">           1,374,772</t>
  </si>
  <si>
    <t xml:space="preserve">              16,003.7</t>
  </si>
  <si>
    <t xml:space="preserve">           1,930,165</t>
  </si>
  <si>
    <t xml:space="preserve">            -555,393</t>
  </si>
  <si>
    <t xml:space="preserve">                  15.9</t>
  </si>
  <si>
    <t xml:space="preserve">              10,395</t>
  </si>
  <si>
    <t xml:space="preserve">                 294.6</t>
  </si>
  <si>
    <t xml:space="preserve">              79,249</t>
  </si>
  <si>
    <t xml:space="preserve">             -68,853</t>
  </si>
  <si>
    <t xml:space="preserve">                 463.9</t>
  </si>
  <si>
    <t xml:space="preserve">               8,502</t>
  </si>
  <si>
    <t xml:space="preserve">                 628.8</t>
  </si>
  <si>
    <t xml:space="preserve">              16,747</t>
  </si>
  <si>
    <t xml:space="preserve">              -8,245</t>
  </si>
  <si>
    <t xml:space="preserve">               4,051.8</t>
  </si>
  <si>
    <t xml:space="preserve">             318,518</t>
  </si>
  <si>
    <t xml:space="preserve">                 223.4</t>
  </si>
  <si>
    <t xml:space="preserve">              46,789</t>
  </si>
  <si>
    <t xml:space="preserve">             271,729</t>
  </si>
  <si>
    <t xml:space="preserve">              16,122.5</t>
  </si>
  <si>
    <t xml:space="preserve">             114,566</t>
  </si>
  <si>
    <t xml:space="preserve">              70,240.4</t>
  </si>
  <si>
    <t xml:space="preserve">             318,216</t>
  </si>
  <si>
    <t xml:space="preserve">            -203,650</t>
  </si>
  <si>
    <t xml:space="preserve">               1,970.4</t>
  </si>
  <si>
    <t xml:space="preserve">              42,643</t>
  </si>
  <si>
    <t xml:space="preserve">              13,958.5</t>
  </si>
  <si>
    <t xml:space="preserve">             189,026</t>
  </si>
  <si>
    <t xml:space="preserve">            -146,383</t>
  </si>
  <si>
    <t xml:space="preserve">               2,059.3</t>
  </si>
  <si>
    <t xml:space="preserve">              34,177</t>
  </si>
  <si>
    <t xml:space="preserve">              10,008.5</t>
  </si>
  <si>
    <t xml:space="preserve">              89,851</t>
  </si>
  <si>
    <t xml:space="preserve">             -55,673</t>
  </si>
  <si>
    <t xml:space="preserve">              14,718</t>
  </si>
  <si>
    <t xml:space="preserve">                  77.0</t>
  </si>
  <si>
    <t xml:space="preserve">              92,881</t>
  </si>
  <si>
    <t xml:space="preserve">             -78,163</t>
  </si>
  <si>
    <t xml:space="preserve">                  66.8</t>
  </si>
  <si>
    <t xml:space="preserve">              12,678</t>
  </si>
  <si>
    <t xml:space="preserve">             -12,266</t>
  </si>
  <si>
    <t xml:space="preserve">               5,850.4</t>
  </si>
  <si>
    <t xml:space="preserve">               7,631</t>
  </si>
  <si>
    <t xml:space="preserve">             100,884.9</t>
  </si>
  <si>
    <t xml:space="preserve">             519,136</t>
  </si>
  <si>
    <t xml:space="preserve">            -511,505</t>
  </si>
  <si>
    <t xml:space="preserve">              45,873.6</t>
  </si>
  <si>
    <t xml:space="preserve">             127,512</t>
  </si>
  <si>
    <t xml:space="preserve">              95,134.9</t>
  </si>
  <si>
    <t xml:space="preserve">             381,032</t>
  </si>
  <si>
    <t xml:space="preserve">            -253,519</t>
  </si>
  <si>
    <t xml:space="preserve">               2,550.4</t>
  </si>
  <si>
    <t xml:space="preserve">               7,152</t>
  </si>
  <si>
    <t xml:space="preserve">              27,117.8</t>
  </si>
  <si>
    <t xml:space="preserve">             116,769</t>
  </si>
  <si>
    <t xml:space="preserve">            -109,617</t>
  </si>
  <si>
    <t xml:space="preserve">               1,171.5</t>
  </si>
  <si>
    <t xml:space="preserve">               3,880.7</t>
  </si>
  <si>
    <t xml:space="preserve">              21,819</t>
  </si>
  <si>
    <t xml:space="preserve">             -17,337</t>
  </si>
  <si>
    <t xml:space="preserve">                  32.2</t>
  </si>
  <si>
    <t xml:space="preserve">                 269</t>
  </si>
  <si>
    <t xml:space="preserve">               5,770.3</t>
  </si>
  <si>
    <t xml:space="preserve">              12,190</t>
  </si>
  <si>
    <t xml:space="preserve">             -11,921</t>
  </si>
  <si>
    <t xml:space="preserve">               2,629.4</t>
  </si>
  <si>
    <t xml:space="preserve">               8,386</t>
  </si>
  <si>
    <t xml:space="preserve">              76,916.4</t>
  </si>
  <si>
    <t xml:space="preserve">              65,707</t>
  </si>
  <si>
    <t xml:space="preserve">             -57,322</t>
  </si>
  <si>
    <t xml:space="preserve">               4,138.3</t>
  </si>
  <si>
    <t xml:space="preserve">              18,766</t>
  </si>
  <si>
    <t xml:space="preserve">              54,760.8</t>
  </si>
  <si>
    <t xml:space="preserve">             111,239</t>
  </si>
  <si>
    <t xml:space="preserve">             -92,474</t>
  </si>
  <si>
    <t xml:space="preserve">                 331.9</t>
  </si>
  <si>
    <t xml:space="preserve">               2,477</t>
  </si>
  <si>
    <t xml:space="preserve">              16,787.3</t>
  </si>
  <si>
    <t xml:space="preserve">             110,489</t>
  </si>
  <si>
    <t xml:space="preserve">            -108,012</t>
  </si>
  <si>
    <t xml:space="preserve">              20,519.9</t>
  </si>
  <si>
    <t xml:space="preserve">           1,164,006.7</t>
  </si>
  <si>
    <t xml:space="preserve">             342,078</t>
  </si>
  <si>
    <t xml:space="preserve">            -332,167</t>
  </si>
  <si>
    <t xml:space="preserve">               4,757.9</t>
  </si>
  <si>
    <t xml:space="preserve">               3,558</t>
  </si>
  <si>
    <t xml:space="preserve">              31,378.1</t>
  </si>
  <si>
    <t xml:space="preserve">              28,603</t>
  </si>
  <si>
    <t xml:space="preserve">             -25,045</t>
  </si>
  <si>
    <t xml:space="preserve">               1,633.5</t>
  </si>
  <si>
    <t xml:space="preserve">              43,879</t>
  </si>
  <si>
    <t xml:space="preserve">             222,549.1</t>
  </si>
  <si>
    <t xml:space="preserve">             138,625</t>
  </si>
  <si>
    <t xml:space="preserve">             -94,746</t>
  </si>
  <si>
    <t xml:space="preserve">                 320.1</t>
  </si>
  <si>
    <t xml:space="preserve">               7,369</t>
  </si>
  <si>
    <t xml:space="preserve">               4,744.0</t>
  </si>
  <si>
    <t xml:space="preserve">              21,695</t>
  </si>
  <si>
    <t xml:space="preserve">             -14,326</t>
  </si>
  <si>
    <t xml:space="preserve">                   2.3</t>
  </si>
  <si>
    <t xml:space="preserve">                  23</t>
  </si>
  <si>
    <t xml:space="preserve">              13,104.1</t>
  </si>
  <si>
    <t xml:space="preserve">               3,229</t>
  </si>
  <si>
    <t xml:space="preserve">              -3,206</t>
  </si>
  <si>
    <t xml:space="preserve">              22,256.6</t>
  </si>
  <si>
    <t xml:space="preserve">              23,446</t>
  </si>
  <si>
    <t xml:space="preserve">             114,806.6</t>
  </si>
  <si>
    <t xml:space="preserve">             152,445</t>
  </si>
  <si>
    <t xml:space="preserve">            -128,999</t>
  </si>
  <si>
    <t xml:space="preserve">               4,016.3</t>
  </si>
  <si>
    <t xml:space="preserve">              23,688</t>
  </si>
  <si>
    <t xml:space="preserve">              16,165.6</t>
  </si>
  <si>
    <t xml:space="preserve">              88,780</t>
  </si>
  <si>
    <t xml:space="preserve">             -65,091</t>
  </si>
  <si>
    <t xml:space="preserve">              39,163.4</t>
  </si>
  <si>
    <t xml:space="preserve">              32,888</t>
  </si>
  <si>
    <t xml:space="preserve">             163,332.1</t>
  </si>
  <si>
    <t xml:space="preserve">             110,056</t>
  </si>
  <si>
    <t xml:space="preserve">             -77,168</t>
  </si>
  <si>
    <t xml:space="preserve">               2,345.0</t>
  </si>
  <si>
    <t xml:space="preserve">               6,890</t>
  </si>
  <si>
    <t xml:space="preserve">               6,571.8</t>
  </si>
  <si>
    <t xml:space="preserve">              53,849</t>
  </si>
  <si>
    <t xml:space="preserve">             -46,959</t>
  </si>
  <si>
    <t xml:space="preserve">              48,808.1</t>
  </si>
  <si>
    <t xml:space="preserve">             199,473</t>
  </si>
  <si>
    <t xml:space="preserve">              28,473.7</t>
  </si>
  <si>
    <t xml:space="preserve">              85,284</t>
  </si>
  <si>
    <t xml:space="preserve">             114,189</t>
  </si>
  <si>
    <t xml:space="preserve">               8,841.0</t>
  </si>
  <si>
    <t xml:space="preserve">              76,496</t>
  </si>
  <si>
    <t xml:space="preserve">              87,311.0</t>
  </si>
  <si>
    <t xml:space="preserve">             139,267</t>
  </si>
  <si>
    <t xml:space="preserve">             -62,771</t>
  </si>
  <si>
    <t xml:space="preserve">              32,357.9</t>
  </si>
  <si>
    <t xml:space="preserve">             128,602</t>
  </si>
  <si>
    <t xml:space="preserve">              29,458.7</t>
  </si>
  <si>
    <t xml:space="preserve">             223,122</t>
  </si>
  <si>
    <t xml:space="preserve">             -94,519</t>
  </si>
  <si>
    <t xml:space="preserve">              83,432.5</t>
  </si>
  <si>
    <t xml:space="preserve">             102,978</t>
  </si>
  <si>
    <t xml:space="preserve">              97,288.9</t>
  </si>
  <si>
    <t xml:space="preserve">             130,328</t>
  </si>
  <si>
    <t xml:space="preserve">             -27,350</t>
  </si>
  <si>
    <t xml:space="preserve">              28,783.0</t>
  </si>
  <si>
    <t xml:space="preserve">              27,985</t>
  </si>
  <si>
    <t xml:space="preserve">             540,187.4</t>
  </si>
  <si>
    <t xml:space="preserve">             190,488</t>
  </si>
  <si>
    <t xml:space="preserve">            -162,503</t>
  </si>
  <si>
    <t xml:space="preserve">               7,934.2</t>
  </si>
  <si>
    <t xml:space="preserve">             104,106</t>
  </si>
  <si>
    <t xml:space="preserve">               4,646.8</t>
  </si>
  <si>
    <t xml:space="preserve">              44,856</t>
  </si>
  <si>
    <t xml:space="preserve">              59,250</t>
  </si>
  <si>
    <t xml:space="preserve">             456,686.1</t>
  </si>
  <si>
    <t xml:space="preserve">              27,625</t>
  </si>
  <si>
    <t xml:space="preserve">             879,179.8</t>
  </si>
  <si>
    <t xml:space="preserve">              88,626</t>
  </si>
  <si>
    <t xml:space="preserve">             -61,001</t>
  </si>
  <si>
    <t xml:space="preserve">             100,872.0</t>
  </si>
  <si>
    <t xml:space="preserve">              94,527</t>
  </si>
  <si>
    <t xml:space="preserve">           6,503,410.5</t>
  </si>
  <si>
    <t xml:space="preserve">           1,769,085</t>
  </si>
  <si>
    <t xml:space="preserve">          -1,674,557</t>
  </si>
  <si>
    <t xml:space="preserve">           6,021,574.6</t>
  </si>
  <si>
    <t xml:space="preserve">           4,165,466</t>
  </si>
  <si>
    <t xml:space="preserve">          27,561,227.8</t>
  </si>
  <si>
    <t xml:space="preserve">          12,428,862</t>
  </si>
  <si>
    <t xml:space="preserve">          -8,263,396</t>
  </si>
  <si>
    <t xml:space="preserve">             447,251.5</t>
  </si>
  <si>
    <t xml:space="preserve">             698,038</t>
  </si>
  <si>
    <t xml:space="preserve">             354,975.3</t>
  </si>
  <si>
    <t xml:space="preserve">             878,204</t>
  </si>
  <si>
    <t xml:space="preserve">            -180,167</t>
  </si>
  <si>
    <t xml:space="preserve">           1,654,590.8</t>
  </si>
  <si>
    <t xml:space="preserve">           1,734,020</t>
  </si>
  <si>
    <t xml:space="preserve">             685,336.9</t>
  </si>
  <si>
    <t xml:space="preserve">           1,146,781</t>
  </si>
  <si>
    <t xml:space="preserve">             587,238</t>
  </si>
  <si>
    <t xml:space="preserve">               2,770.3</t>
  </si>
  <si>
    <t xml:space="preserve">             687,957</t>
  </si>
  <si>
    <t xml:space="preserve">               7,305.5</t>
  </si>
  <si>
    <t xml:space="preserve">             916,907</t>
  </si>
  <si>
    <t xml:space="preserve">            -228,950</t>
  </si>
  <si>
    <t xml:space="preserve">             105,323.5</t>
  </si>
  <si>
    <t xml:space="preserve">              33,131</t>
  </si>
  <si>
    <t xml:space="preserve">             126,980.6</t>
  </si>
  <si>
    <t xml:space="preserve">              48,134</t>
  </si>
  <si>
    <t xml:space="preserve">             -15,003</t>
  </si>
  <si>
    <t xml:space="preserve">              26,560.2</t>
  </si>
  <si>
    <t xml:space="preserve">             206,020</t>
  </si>
  <si>
    <t xml:space="preserve">              24,931.6</t>
  </si>
  <si>
    <t xml:space="preserve">             181,799</t>
  </si>
  <si>
    <t xml:space="preserve">              24,221</t>
  </si>
  <si>
    <t xml:space="preserve">              37,787.1</t>
  </si>
  <si>
    <t xml:space="preserve">             881,298</t>
  </si>
  <si>
    <t xml:space="preserve">               8,648.9</t>
  </si>
  <si>
    <t xml:space="preserve">             170,488</t>
  </si>
  <si>
    <t xml:space="preserve">             710,810</t>
  </si>
  <si>
    <t xml:space="preserve">              63,406.4</t>
  </si>
  <si>
    <t xml:space="preserve">             153,671</t>
  </si>
  <si>
    <t xml:space="preserve">              24,574.1</t>
  </si>
  <si>
    <t xml:space="preserve">              95,465</t>
  </si>
  <si>
    <t xml:space="preserve">              58,206</t>
  </si>
  <si>
    <t xml:space="preserve">               6,106.2</t>
  </si>
  <si>
    <t xml:space="preserve">              85,466</t>
  </si>
  <si>
    <t xml:space="preserve">              19,737.5</t>
  </si>
  <si>
    <t xml:space="preserve">              82,838</t>
  </si>
  <si>
    <t xml:space="preserve">               2,628</t>
  </si>
  <si>
    <t xml:space="preserve">                 318.1</t>
  </si>
  <si>
    <t xml:space="preserve">               5,541</t>
  </si>
  <si>
    <t xml:space="preserve">                 175.2</t>
  </si>
  <si>
    <t xml:space="preserve">               2,411</t>
  </si>
  <si>
    <t xml:space="preserve">               3,130</t>
  </si>
  <si>
    <t xml:space="preserve">               1,749.6</t>
  </si>
  <si>
    <t xml:space="preserve">              92,120</t>
  </si>
  <si>
    <t xml:space="preserve">               2,673.1</t>
  </si>
  <si>
    <t xml:space="preserve">              80,628</t>
  </si>
  <si>
    <t xml:space="preserve">              11,492</t>
  </si>
  <si>
    <t xml:space="preserve">             101,083.9</t>
  </si>
  <si>
    <t xml:space="preserve">             569,802</t>
  </si>
  <si>
    <t xml:space="preserve">             172,332.1</t>
  </si>
  <si>
    <t xml:space="preserve">             764,225</t>
  </si>
  <si>
    <t xml:space="preserve">            -194,423</t>
  </si>
  <si>
    <t xml:space="preserve">           1,439,839.9</t>
  </si>
  <si>
    <t xml:space="preserve">           2,847,294</t>
  </si>
  <si>
    <t xml:space="preserve">             249,038.5</t>
  </si>
  <si>
    <t xml:space="preserve">           1,111,447</t>
  </si>
  <si>
    <t xml:space="preserve">           1,735,847</t>
  </si>
  <si>
    <t xml:space="preserve">             233,462.1</t>
  </si>
  <si>
    <t xml:space="preserve">             593,653</t>
  </si>
  <si>
    <t xml:space="preserve">              79,389.7</t>
  </si>
  <si>
    <t xml:space="preserve">             258,877</t>
  </si>
  <si>
    <t xml:space="preserve">             334,776</t>
  </si>
  <si>
    <t xml:space="preserve">               2,411.3</t>
  </si>
  <si>
    <t xml:space="preserve">              23,225</t>
  </si>
  <si>
    <t xml:space="preserve">               7,021.6</t>
  </si>
  <si>
    <t xml:space="preserve">              20,043</t>
  </si>
  <si>
    <t xml:space="preserve">               3,182</t>
  </si>
  <si>
    <t xml:space="preserve">                 874.5</t>
  </si>
  <si>
    <t xml:space="preserve">              33,086</t>
  </si>
  <si>
    <t xml:space="preserve">               9,107.3</t>
  </si>
  <si>
    <t xml:space="preserve">             272,188</t>
  </si>
  <si>
    <t xml:space="preserve">            -239,102</t>
  </si>
  <si>
    <t xml:space="preserve">                  12.4</t>
  </si>
  <si>
    <t xml:space="preserve">               1,256</t>
  </si>
  <si>
    <t xml:space="preserve">                 111.8</t>
  </si>
  <si>
    <t xml:space="preserve">              13,388</t>
  </si>
  <si>
    <t xml:space="preserve">             -12,132</t>
  </si>
  <si>
    <t xml:space="preserve">               3,078.3</t>
  </si>
  <si>
    <t xml:space="preserve">               4,419</t>
  </si>
  <si>
    <t xml:space="preserve">             816,946.1</t>
  </si>
  <si>
    <t xml:space="preserve">             245,564</t>
  </si>
  <si>
    <t xml:space="preserve">            -241,145</t>
  </si>
  <si>
    <t xml:space="preserve">                   4.1</t>
  </si>
  <si>
    <t xml:space="preserve">                  27</t>
  </si>
  <si>
    <t xml:space="preserve">                  90.6</t>
  </si>
  <si>
    <t xml:space="preserve">                 421</t>
  </si>
  <si>
    <t xml:space="preserve">                -393</t>
  </si>
  <si>
    <t xml:space="preserve">                   1.7</t>
  </si>
  <si>
    <t xml:space="preserve">                  82</t>
  </si>
  <si>
    <t xml:space="preserve">                 232.1</t>
  </si>
  <si>
    <t xml:space="preserve">               1,217</t>
  </si>
  <si>
    <t xml:space="preserve">              -1,135</t>
  </si>
  <si>
    <t xml:space="preserve">              30,586.3</t>
  </si>
  <si>
    <t xml:space="preserve">               7,869</t>
  </si>
  <si>
    <t xml:space="preserve">             281,222.0</t>
  </si>
  <si>
    <t xml:space="preserve">             162,915</t>
  </si>
  <si>
    <t xml:space="preserve">            -155,046</t>
  </si>
  <si>
    <t xml:space="preserve">             206,621.9</t>
  </si>
  <si>
    <t xml:space="preserve">             206,908</t>
  </si>
  <si>
    <t xml:space="preserve">             121,735.3</t>
  </si>
  <si>
    <t xml:space="preserve">             183,664</t>
  </si>
  <si>
    <t xml:space="preserve">              23,243</t>
  </si>
  <si>
    <t xml:space="preserve">               5,126.3</t>
  </si>
  <si>
    <t xml:space="preserve">              35,809</t>
  </si>
  <si>
    <t xml:space="preserve">               1,068.7</t>
  </si>
  <si>
    <t xml:space="preserve">              36,135</t>
  </si>
  <si>
    <t xml:space="preserve">                -325</t>
  </si>
  <si>
    <t xml:space="preserve">               1,231</t>
  </si>
  <si>
    <t xml:space="preserve">                  21.9</t>
  </si>
  <si>
    <t xml:space="preserve">               1,920</t>
  </si>
  <si>
    <t xml:space="preserve">                -689</t>
  </si>
  <si>
    <t xml:space="preserve">                 149.4</t>
  </si>
  <si>
    <t xml:space="preserve">               2,783</t>
  </si>
  <si>
    <t xml:space="preserve">                 782.3</t>
  </si>
  <si>
    <t xml:space="preserve">              13,286</t>
  </si>
  <si>
    <t xml:space="preserve">             -10,503</t>
  </si>
  <si>
    <t xml:space="preserve">               2,906.3</t>
  </si>
  <si>
    <t xml:space="preserve">              25,928</t>
  </si>
  <si>
    <t xml:space="preserve">              15,787.2</t>
  </si>
  <si>
    <t xml:space="preserve">              53,543</t>
  </si>
  <si>
    <t xml:space="preserve">             -27,615</t>
  </si>
  <si>
    <t xml:space="preserve">                  55.0</t>
  </si>
  <si>
    <t xml:space="preserve">                 412</t>
  </si>
  <si>
    <t xml:space="preserve">               1,255.2</t>
  </si>
  <si>
    <t xml:space="preserve">               3,529</t>
  </si>
  <si>
    <t xml:space="preserve">              -3,118</t>
  </si>
  <si>
    <t xml:space="preserve">              22,912.9</t>
  </si>
  <si>
    <t xml:space="preserve">             145,210</t>
  </si>
  <si>
    <t xml:space="preserve">              38,750.4</t>
  </si>
  <si>
    <t xml:space="preserve">              87,158</t>
  </si>
  <si>
    <t xml:space="preserve">              58,052</t>
  </si>
  <si>
    <t xml:space="preserve">              54,996.6</t>
  </si>
  <si>
    <t xml:space="preserve">              98,859</t>
  </si>
  <si>
    <t xml:space="preserve">              13,313.3</t>
  </si>
  <si>
    <t xml:space="preserve">              50,133</t>
  </si>
  <si>
    <t xml:space="preserve">              48,726</t>
  </si>
  <si>
    <t xml:space="preserve">               9,919.8</t>
  </si>
  <si>
    <t xml:space="preserve">              61,938</t>
  </si>
  <si>
    <t xml:space="preserve">              18,789.2</t>
  </si>
  <si>
    <t xml:space="preserve">              55,649</t>
  </si>
  <si>
    <t xml:space="preserve">               6,288</t>
  </si>
  <si>
    <t xml:space="preserve">                 580.2</t>
  </si>
  <si>
    <t xml:space="preserve">               6,462</t>
  </si>
  <si>
    <t xml:space="preserve">               4,900.6</t>
  </si>
  <si>
    <t xml:space="preserve">               9,941</t>
  </si>
  <si>
    <t xml:space="preserve">              -3,479</t>
  </si>
  <si>
    <t xml:space="preserve">               1,303.6</t>
  </si>
  <si>
    <t xml:space="preserve">              15,259</t>
  </si>
  <si>
    <t xml:space="preserve">               1,038.6</t>
  </si>
  <si>
    <t xml:space="preserve">               8,239</t>
  </si>
  <si>
    <t xml:space="preserve">               9,517.8</t>
  </si>
  <si>
    <t xml:space="preserve">              95,666</t>
  </si>
  <si>
    <t xml:space="preserve">               5,492.6</t>
  </si>
  <si>
    <t xml:space="preserve">              35,179</t>
  </si>
  <si>
    <t xml:space="preserve">              60,487</t>
  </si>
  <si>
    <t xml:space="preserve">              15,728.0</t>
  </si>
  <si>
    <t xml:space="preserve">             124,317</t>
  </si>
  <si>
    <t xml:space="preserve">               1,871.3</t>
  </si>
  <si>
    <t xml:space="preserve">               9,470</t>
  </si>
  <si>
    <t xml:space="preserve">             114,848</t>
  </si>
  <si>
    <t xml:space="preserve">               2,568.8</t>
  </si>
  <si>
    <t xml:space="preserve">              64,983</t>
  </si>
  <si>
    <t xml:space="preserve">              28,833.6</t>
  </si>
  <si>
    <t xml:space="preserve">             550,106</t>
  </si>
  <si>
    <t xml:space="preserve">            -485,123</t>
  </si>
  <si>
    <t xml:space="preserve">               2,465.2</t>
  </si>
  <si>
    <t xml:space="preserve">              68,365</t>
  </si>
  <si>
    <t xml:space="preserve">              27,206.7</t>
  </si>
  <si>
    <t xml:space="preserve">             838,455</t>
  </si>
  <si>
    <t xml:space="preserve">            -770,090</t>
  </si>
  <si>
    <t xml:space="preserve">              26,271.8</t>
  </si>
  <si>
    <t xml:space="preserve">              53,100</t>
  </si>
  <si>
    <t xml:space="preserve">              25,109.3</t>
  </si>
  <si>
    <t xml:space="preserve">             106,497</t>
  </si>
  <si>
    <t xml:space="preserve">             -53,397</t>
  </si>
  <si>
    <t xml:space="preserve">               1,190.7</t>
  </si>
  <si>
    <t xml:space="preserve">              25,886</t>
  </si>
  <si>
    <t xml:space="preserve">              11,057.8</t>
  </si>
  <si>
    <t xml:space="preserve">             313,293</t>
  </si>
  <si>
    <t xml:space="preserve">            -287,407</t>
  </si>
  <si>
    <t xml:space="preserve">                 319.0</t>
  </si>
  <si>
    <t xml:space="preserve">              11,972</t>
  </si>
  <si>
    <t xml:space="preserve">                 853.1</t>
  </si>
  <si>
    <t xml:space="preserve">              25,379</t>
  </si>
  <si>
    <t xml:space="preserve">             -13,408</t>
  </si>
  <si>
    <t xml:space="preserve">                   6.4</t>
  </si>
  <si>
    <t xml:space="preserve">                 105</t>
  </si>
  <si>
    <t xml:space="preserve">               1,410.6</t>
  </si>
  <si>
    <t xml:space="preserve">               8,775</t>
  </si>
  <si>
    <t xml:space="preserve">              -8,671</t>
  </si>
  <si>
    <t xml:space="preserve">                  26.3</t>
  </si>
  <si>
    <t xml:space="preserve">               1,768</t>
  </si>
  <si>
    <t xml:space="preserve">                 480.4</t>
  </si>
  <si>
    <t xml:space="preserve">               7,237</t>
  </si>
  <si>
    <t xml:space="preserve">              -5,469</t>
  </si>
  <si>
    <t xml:space="preserve">               9,993.0</t>
  </si>
  <si>
    <t xml:space="preserve">              73,088</t>
  </si>
  <si>
    <t xml:space="preserve">             205,367.1</t>
  </si>
  <si>
    <t xml:space="preserve">             102,860</t>
  </si>
  <si>
    <t xml:space="preserve">             -29,772</t>
  </si>
  <si>
    <t xml:space="preserve">               2,084.5</t>
  </si>
  <si>
    <t xml:space="preserve">              29,720</t>
  </si>
  <si>
    <t xml:space="preserve">             132,177.3</t>
  </si>
  <si>
    <t xml:space="preserve">             128,015</t>
  </si>
  <si>
    <t xml:space="preserve">             -98,294</t>
  </si>
  <si>
    <t xml:space="preserve">              30,062.2</t>
  </si>
  <si>
    <t xml:space="preserve">             160,867</t>
  </si>
  <si>
    <t xml:space="preserve">              84,926.1</t>
  </si>
  <si>
    <t xml:space="preserve">             226,293</t>
  </si>
  <si>
    <t xml:space="preserve">             -65,426</t>
  </si>
  <si>
    <t xml:space="preserve">                 654.9</t>
  </si>
  <si>
    <t xml:space="preserve">             481,941</t>
  </si>
  <si>
    <t xml:space="preserve">               1,262.4</t>
  </si>
  <si>
    <t xml:space="preserve">             523,414</t>
  </si>
  <si>
    <t xml:space="preserve">             -41,473</t>
  </si>
  <si>
    <t xml:space="preserve">           2,248,838.0</t>
  </si>
  <si>
    <t xml:space="preserve">           2,075,109</t>
  </si>
  <si>
    <t xml:space="preserve">           1,308,156.6</t>
  </si>
  <si>
    <t xml:space="preserve">           1,090,540</t>
  </si>
  <si>
    <t xml:space="preserve">             984,568</t>
  </si>
  <si>
    <t xml:space="preserve">             250,849.5</t>
  </si>
  <si>
    <t xml:space="preserve">             789,818</t>
  </si>
  <si>
    <t xml:space="preserve">             223,525.2</t>
  </si>
  <si>
    <t xml:space="preserve">             595,368</t>
  </si>
  <si>
    <t xml:space="preserve">             194,450</t>
  </si>
  <si>
    <t xml:space="preserve">              54,150.8</t>
  </si>
  <si>
    <t xml:space="preserve">             496,913</t>
  </si>
  <si>
    <t xml:space="preserve">              55,563.2</t>
  </si>
  <si>
    <t xml:space="preserve">             529,801</t>
  </si>
  <si>
    <t xml:space="preserve">             -32,888</t>
  </si>
  <si>
    <t xml:space="preserve">               4,100.9</t>
  </si>
  <si>
    <t xml:space="preserve">              23,031</t>
  </si>
  <si>
    <t xml:space="preserve">               6,359.3</t>
  </si>
  <si>
    <t xml:space="preserve">             105,474</t>
  </si>
  <si>
    <t xml:space="preserve">             -82,443</t>
  </si>
  <si>
    <t xml:space="preserve">             102,205.7</t>
  </si>
  <si>
    <t xml:space="preserve">             394,595</t>
  </si>
  <si>
    <t xml:space="preserve">             240,089.3</t>
  </si>
  <si>
    <t xml:space="preserve">             688,159</t>
  </si>
  <si>
    <t xml:space="preserve">            -293,564</t>
  </si>
  <si>
    <t xml:space="preserve">              26,628.6</t>
  </si>
  <si>
    <t xml:space="preserve">              59,688</t>
  </si>
  <si>
    <t xml:space="preserve">              18,016.6</t>
  </si>
  <si>
    <t xml:space="preserve">              39,661</t>
  </si>
  <si>
    <t xml:space="preserve">              20,027</t>
  </si>
  <si>
    <t xml:space="preserve">              37,560.4</t>
  </si>
  <si>
    <t xml:space="preserve">             109,507</t>
  </si>
  <si>
    <t xml:space="preserve">               3,736.3</t>
  </si>
  <si>
    <t xml:space="preserve">              12,280</t>
  </si>
  <si>
    <t xml:space="preserve">              97,227</t>
  </si>
  <si>
    <t xml:space="preserve">                 109.6</t>
  </si>
  <si>
    <t xml:space="preserve">               5,233</t>
  </si>
  <si>
    <t xml:space="preserve">               1,363.6</t>
  </si>
  <si>
    <t xml:space="preserve">              46,114</t>
  </si>
  <si>
    <t xml:space="preserve">             -40,881</t>
  </si>
  <si>
    <t xml:space="preserve">               2,695.9</t>
  </si>
  <si>
    <t xml:space="preserve">              32,928</t>
  </si>
  <si>
    <t xml:space="preserve">              15,120.5</t>
  </si>
  <si>
    <t xml:space="preserve">             117,315</t>
  </si>
  <si>
    <t xml:space="preserve">             -84,387</t>
  </si>
  <si>
    <t xml:space="preserve">               5,420.8</t>
  </si>
  <si>
    <t xml:space="preserve">             142,077</t>
  </si>
  <si>
    <t xml:space="preserve">               3,999.6</t>
  </si>
  <si>
    <t xml:space="preserve">              76,248</t>
  </si>
  <si>
    <t xml:space="preserve">              65,829</t>
  </si>
  <si>
    <t xml:space="preserve">              25,268.6</t>
  </si>
  <si>
    <t xml:space="preserve">             139,298</t>
  </si>
  <si>
    <t xml:space="preserve">              10,792.7</t>
  </si>
  <si>
    <t xml:space="preserve">              74,125</t>
  </si>
  <si>
    <t xml:space="preserve">              65,173</t>
  </si>
  <si>
    <t xml:space="preserve">             341,868.0</t>
  </si>
  <si>
    <t xml:space="preserve">           6,623,701</t>
  </si>
  <si>
    <t xml:space="preserve">             192,143.0</t>
  </si>
  <si>
    <t xml:space="preserve">           5,921,673</t>
  </si>
  <si>
    <t xml:space="preserve">             702,029</t>
  </si>
  <si>
    <t xml:space="preserve">             214,214.5</t>
  </si>
  <si>
    <t xml:space="preserve">          20,007,957</t>
  </si>
  <si>
    <t xml:space="preserve">             179,438.5</t>
  </si>
  <si>
    <t xml:space="preserve">          10,865,784</t>
  </si>
  <si>
    <t xml:space="preserve">           9,142,173</t>
  </si>
  <si>
    <t xml:space="preserve">              12,184.4</t>
  </si>
  <si>
    <t xml:space="preserve">              79,072</t>
  </si>
  <si>
    <t xml:space="preserve">              11,306.8</t>
  </si>
  <si>
    <t xml:space="preserve">              59,584</t>
  </si>
  <si>
    <t xml:space="preserve">              19,487</t>
  </si>
  <si>
    <t xml:space="preserve">             641,177.0</t>
  </si>
  <si>
    <t xml:space="preserve">           7,342,939</t>
  </si>
  <si>
    <t xml:space="preserve">              91,697.5</t>
  </si>
  <si>
    <t xml:space="preserve">           1,485,866</t>
  </si>
  <si>
    <t xml:space="preserve">           5,857,073</t>
  </si>
  <si>
    <t xml:space="preserve">                 375.4</t>
  </si>
  <si>
    <t xml:space="preserve">             103,875</t>
  </si>
  <si>
    <t xml:space="preserve">                 220.1</t>
  </si>
  <si>
    <t xml:space="preserve">             135,424</t>
  </si>
  <si>
    <t xml:space="preserve">             -31,549</t>
  </si>
  <si>
    <t xml:space="preserve">             907,191.0</t>
  </si>
  <si>
    <t xml:space="preserve">           2,201,612</t>
  </si>
  <si>
    <t xml:space="preserve">             132,827.7</t>
  </si>
  <si>
    <t xml:space="preserve">             207,855</t>
  </si>
  <si>
    <t xml:space="preserve">           1,993,757</t>
  </si>
  <si>
    <t xml:space="preserve">              14,267.2</t>
  </si>
  <si>
    <t xml:space="preserve">           1,467,936</t>
  </si>
  <si>
    <t xml:space="preserve">              15,549.2</t>
  </si>
  <si>
    <t xml:space="preserve">           2,050,457</t>
  </si>
  <si>
    <t xml:space="preserve">            -582,520</t>
  </si>
  <si>
    <t xml:space="preserve">                  24.8</t>
  </si>
  <si>
    <t xml:space="preserve">              10,389</t>
  </si>
  <si>
    <t xml:space="preserve">                 326.6</t>
  </si>
  <si>
    <t xml:space="preserve">              79,224</t>
  </si>
  <si>
    <t xml:space="preserve">             -68,835</t>
  </si>
  <si>
    <t xml:space="preserve">                 375.8</t>
  </si>
  <si>
    <t xml:space="preserve">               9,356</t>
  </si>
  <si>
    <t xml:space="preserve">                 713.4</t>
  </si>
  <si>
    <t xml:space="preserve">              17,320</t>
  </si>
  <si>
    <t xml:space="preserve">              -7,964</t>
  </si>
  <si>
    <t xml:space="preserve">               3,096.4</t>
  </si>
  <si>
    <t xml:space="preserve">             458,496</t>
  </si>
  <si>
    <t xml:space="preserve">                 183.9</t>
  </si>
  <si>
    <t xml:space="preserve">              30,761</t>
  </si>
  <si>
    <t xml:space="preserve">             427,735</t>
  </si>
  <si>
    <t xml:space="preserve">              15,465.0</t>
  </si>
  <si>
    <t xml:space="preserve">             109,138</t>
  </si>
  <si>
    <t xml:space="preserve">              70,996.5</t>
  </si>
  <si>
    <t xml:space="preserve">             320,148</t>
  </si>
  <si>
    <t xml:space="preserve">            -211,010</t>
  </si>
  <si>
    <t xml:space="preserve">               2,028.6</t>
  </si>
  <si>
    <t xml:space="preserve">              42,896</t>
  </si>
  <si>
    <t xml:space="preserve">              13,300.7</t>
  </si>
  <si>
    <t xml:space="preserve">             196,945</t>
  </si>
  <si>
    <t xml:space="preserve">            -154,049</t>
  </si>
  <si>
    <t xml:space="preserve">               2,116.0</t>
  </si>
  <si>
    <t xml:space="preserve">              35,951</t>
  </si>
  <si>
    <t xml:space="preserve">               9,761.1</t>
  </si>
  <si>
    <t xml:space="preserve">              91,404</t>
  </si>
  <si>
    <t xml:space="preserve">             -55,452</t>
  </si>
  <si>
    <t xml:space="preserve">                  25.8</t>
  </si>
  <si>
    <t xml:space="preserve">              47,307</t>
  </si>
  <si>
    <t xml:space="preserve">                  56.5</t>
  </si>
  <si>
    <t xml:space="preserve">              19,906</t>
  </si>
  <si>
    <t xml:space="preserve">                   1.4</t>
  </si>
  <si>
    <t xml:space="preserve">                 100.9</t>
  </si>
  <si>
    <t xml:space="preserve">               4,915</t>
  </si>
  <si>
    <t xml:space="preserve">              -4,504</t>
  </si>
  <si>
    <t xml:space="preserve">               6,433.2</t>
  </si>
  <si>
    <t xml:space="preserve">               8,867</t>
  </si>
  <si>
    <t xml:space="preserve">             122,800.5</t>
  </si>
  <si>
    <t xml:space="preserve">             632,370</t>
  </si>
  <si>
    <t xml:space="preserve">            -623,503</t>
  </si>
  <si>
    <t xml:space="preserve">              62,905.2</t>
  </si>
  <si>
    <t xml:space="preserve">             172,319</t>
  </si>
  <si>
    <t xml:space="preserve">             107,325.3</t>
  </si>
  <si>
    <t xml:space="preserve">             419,466</t>
  </si>
  <si>
    <t xml:space="preserve">            -247,148</t>
  </si>
  <si>
    <t xml:space="preserve">               2,707.7</t>
  </si>
  <si>
    <t xml:space="preserve">               6,630</t>
  </si>
  <si>
    <t xml:space="preserve">              32,424.4</t>
  </si>
  <si>
    <t xml:space="preserve">             128,279</t>
  </si>
  <si>
    <t xml:space="preserve">            -121,649</t>
  </si>
  <si>
    <t xml:space="preserve">               1,650.8</t>
  </si>
  <si>
    <t xml:space="preserve">               4,216.8</t>
  </si>
  <si>
    <t xml:space="preserve">              26,491</t>
  </si>
  <si>
    <t xml:space="preserve">             -21,247</t>
  </si>
  <si>
    <t xml:space="preserve">                  86.9</t>
  </si>
  <si>
    <t xml:space="preserve">                 737</t>
  </si>
  <si>
    <t xml:space="preserve">               8,310.6</t>
  </si>
  <si>
    <t xml:space="preserve">              16,615</t>
  </si>
  <si>
    <t xml:space="preserve">             -15,878</t>
  </si>
  <si>
    <t xml:space="preserve">               3,000.7</t>
  </si>
  <si>
    <t xml:space="preserve">               9,179</t>
  </si>
  <si>
    <t xml:space="preserve">              82,879.9</t>
  </si>
  <si>
    <t xml:space="preserve">              72,006</t>
  </si>
  <si>
    <t xml:space="preserve">             -62,827</t>
  </si>
  <si>
    <t xml:space="preserve">               8,196.6</t>
  </si>
  <si>
    <t xml:space="preserve">              32,322</t>
  </si>
  <si>
    <t xml:space="preserve">              67,116.4</t>
  </si>
  <si>
    <t xml:space="preserve">             141,478</t>
  </si>
  <si>
    <t xml:space="preserve">            -109,157</t>
  </si>
  <si>
    <t xml:space="preserve">                 482.3</t>
  </si>
  <si>
    <t xml:space="preserve">               4,096</t>
  </si>
  <si>
    <t xml:space="preserve">              21,958.7</t>
  </si>
  <si>
    <t xml:space="preserve">             147,683</t>
  </si>
  <si>
    <t xml:space="preserve">            -143,587</t>
  </si>
  <si>
    <t xml:space="preserve">                 939.2</t>
  </si>
  <si>
    <t xml:space="preserve">               1,222</t>
  </si>
  <si>
    <t xml:space="preserve">           1,468,609.1</t>
  </si>
  <si>
    <t xml:space="preserve">             428,773</t>
  </si>
  <si>
    <t xml:space="preserve">            -427,552</t>
  </si>
  <si>
    <t xml:space="preserve">               4,775.1</t>
  </si>
  <si>
    <t xml:space="preserve">               3,562</t>
  </si>
  <si>
    <t xml:space="preserve">              26,082.3</t>
  </si>
  <si>
    <t xml:space="preserve">              24,413</t>
  </si>
  <si>
    <t xml:space="preserve">             -20,851</t>
  </si>
  <si>
    <t xml:space="preserve">               1,514.5</t>
  </si>
  <si>
    <t xml:space="preserve">              42,772</t>
  </si>
  <si>
    <t xml:space="preserve">             264,907.3</t>
  </si>
  <si>
    <t xml:space="preserve">             157,022</t>
  </si>
  <si>
    <t xml:space="preserve">            -114,250</t>
  </si>
  <si>
    <t xml:space="preserve">                 364.1</t>
  </si>
  <si>
    <t xml:space="preserve">               9,146</t>
  </si>
  <si>
    <t xml:space="preserve">               8,164.3</t>
  </si>
  <si>
    <t xml:space="preserve">              25,989</t>
  </si>
  <si>
    <t xml:space="preserve">             -16,842</t>
  </si>
  <si>
    <t xml:space="preserve">                  25.6</t>
  </si>
  <si>
    <t xml:space="preserve">                  18</t>
  </si>
  <si>
    <t xml:space="preserve">              12,996.0</t>
  </si>
  <si>
    <t xml:space="preserve">               3,889</t>
  </si>
  <si>
    <t xml:space="preserve">              -3,872</t>
  </si>
  <si>
    <t xml:space="preserve">              15,167.6</t>
  </si>
  <si>
    <t xml:space="preserve">              16,046</t>
  </si>
  <si>
    <t xml:space="preserve">             135,227.4</t>
  </si>
  <si>
    <t xml:space="preserve">             183,689</t>
  </si>
  <si>
    <t xml:space="preserve">            -167,642</t>
  </si>
  <si>
    <t xml:space="preserve">               4,629.8</t>
  </si>
  <si>
    <t xml:space="preserve">              26,069</t>
  </si>
  <si>
    <t xml:space="preserve">              18,394.2</t>
  </si>
  <si>
    <t xml:space="preserve">             102,282</t>
  </si>
  <si>
    <t xml:space="preserve">             -76,213</t>
  </si>
  <si>
    <t xml:space="preserve">              37,599.2</t>
  </si>
  <si>
    <t xml:space="preserve">              34,901</t>
  </si>
  <si>
    <t xml:space="preserve">             199,361.0</t>
  </si>
  <si>
    <t xml:space="preserve">             123,066</t>
  </si>
  <si>
    <t xml:space="preserve">             -88,165</t>
  </si>
  <si>
    <t xml:space="preserve">               2,996.7</t>
  </si>
  <si>
    <t xml:space="preserve">               8,916</t>
  </si>
  <si>
    <t xml:space="preserve">               7,114.1</t>
  </si>
  <si>
    <t xml:space="preserve">              62,005</t>
  </si>
  <si>
    <t xml:space="preserve">             -53,089</t>
  </si>
  <si>
    <t xml:space="preserve">              54,651.9</t>
  </si>
  <si>
    <t xml:space="preserve">             225,058</t>
  </si>
  <si>
    <t xml:space="preserve">              30,209.5</t>
  </si>
  <si>
    <t xml:space="preserve">              99,926</t>
  </si>
  <si>
    <t xml:space="preserve">             125,132</t>
  </si>
  <si>
    <t xml:space="preserve">              10,511.8</t>
  </si>
  <si>
    <t xml:space="preserve">              85,996</t>
  </si>
  <si>
    <t xml:space="preserve">              98,922.3</t>
  </si>
  <si>
    <t xml:space="preserve">             152,305</t>
  </si>
  <si>
    <t xml:space="preserve">             -66,309</t>
  </si>
  <si>
    <t xml:space="preserve">              34,281.1</t>
  </si>
  <si>
    <t xml:space="preserve">             152,397</t>
  </si>
  <si>
    <t xml:space="preserve">              32,370.4</t>
  </si>
  <si>
    <t xml:space="preserve">             248,993</t>
  </si>
  <si>
    <t xml:space="preserve">             -96,596</t>
  </si>
  <si>
    <t xml:space="preserve">              78,488.7</t>
  </si>
  <si>
    <t xml:space="preserve">              96,816</t>
  </si>
  <si>
    <t xml:space="preserve">              89,855.9</t>
  </si>
  <si>
    <t xml:space="preserve">             140,321</t>
  </si>
  <si>
    <t xml:space="preserve">             -43,505</t>
  </si>
  <si>
    <t xml:space="preserve">              31,364.4</t>
  </si>
  <si>
    <t xml:space="preserve">              28,999</t>
  </si>
  <si>
    <t xml:space="preserve">             678,116.0</t>
  </si>
  <si>
    <t xml:space="preserve">             240,720</t>
  </si>
  <si>
    <t xml:space="preserve">            -211,721</t>
  </si>
  <si>
    <t xml:space="preserve">               7,215.8</t>
  </si>
  <si>
    <t xml:space="preserve">              89,874</t>
  </si>
  <si>
    <t xml:space="preserve">               4,603.6</t>
  </si>
  <si>
    <t xml:space="preserve">              43,886</t>
  </si>
  <si>
    <t xml:space="preserve">              45,988</t>
  </si>
  <si>
    <t xml:space="preserve">             473,047.9</t>
  </si>
  <si>
    <t xml:space="preserve">              29,904</t>
  </si>
  <si>
    <t xml:space="preserve">           1,024,992.4</t>
  </si>
  <si>
    <t xml:space="preserve">              90,002</t>
  </si>
  <si>
    <t xml:space="preserve">             -60,098</t>
  </si>
  <si>
    <t xml:space="preserve">              53,881.6</t>
  </si>
  <si>
    <t xml:space="preserve">              33,040</t>
  </si>
  <si>
    <t xml:space="preserve">           7,584,994.1</t>
  </si>
  <si>
    <t xml:space="preserve">           1,588,418</t>
  </si>
  <si>
    <t xml:space="preserve">          -1,555,378</t>
  </si>
  <si>
    <t xml:space="preserve">           5,172,721.4</t>
  </si>
  <si>
    <t xml:space="preserve">           3,618,298</t>
  </si>
  <si>
    <t xml:space="preserve">          28,618,781.2</t>
  </si>
  <si>
    <t xml:space="preserve">          13,132,304</t>
  </si>
  <si>
    <t xml:space="preserve">          -9,514,006</t>
  </si>
  <si>
    <t xml:space="preserve">             518,968.9</t>
  </si>
  <si>
    <t xml:space="preserve">             712,372</t>
  </si>
  <si>
    <t xml:space="preserve">             418,048.7</t>
  </si>
  <si>
    <t xml:space="preserve">             812,417</t>
  </si>
  <si>
    <t xml:space="preserve">            -100,045</t>
  </si>
  <si>
    <t xml:space="preserve">           1,669,504.0</t>
  </si>
  <si>
    <t xml:space="preserve">           1,740,881</t>
  </si>
  <si>
    <t xml:space="preserve">             642,586.6</t>
  </si>
  <si>
    <t xml:space="preserve">           1,172,649</t>
  </si>
  <si>
    <t xml:space="preserve">             568,233</t>
  </si>
  <si>
    <t xml:space="preserve">               2,558.4</t>
  </si>
  <si>
    <t xml:space="preserve">             679,283</t>
  </si>
  <si>
    <t xml:space="preserve">               7,262.1</t>
  </si>
  <si>
    <t xml:space="preserve">             783,657</t>
  </si>
  <si>
    <t xml:space="preserve">            -104,374</t>
  </si>
  <si>
    <t xml:space="preserve">              76,375.6</t>
  </si>
  <si>
    <t xml:space="preserve">              35,340</t>
  </si>
  <si>
    <t xml:space="preserve">              87,606.0</t>
  </si>
  <si>
    <t xml:space="preserve">              35,820</t>
  </si>
  <si>
    <t xml:space="preserve">                -480</t>
  </si>
  <si>
    <t xml:space="preserve">              30,687.6</t>
  </si>
  <si>
    <t xml:space="preserve">             225,440</t>
  </si>
  <si>
    <t xml:space="preserve">              27,240.0</t>
  </si>
  <si>
    <t xml:space="preserve">             216,413</t>
  </si>
  <si>
    <t xml:space="preserve">               9,027</t>
  </si>
  <si>
    <t xml:space="preserve">              40,647.8</t>
  </si>
  <si>
    <t xml:space="preserve">           1,001,990</t>
  </si>
  <si>
    <t xml:space="preserve">               9,663.8</t>
  </si>
  <si>
    <t xml:space="preserve">             177,756</t>
  </si>
  <si>
    <t xml:space="preserve">             824,234</t>
  </si>
  <si>
    <t xml:space="preserve">              62,994.7</t>
  </si>
  <si>
    <t xml:space="preserve">             162,004</t>
  </si>
  <si>
    <t xml:space="preserve">              24,776.9</t>
  </si>
  <si>
    <t xml:space="preserve">             100,197</t>
  </si>
  <si>
    <t xml:space="preserve">              61,807</t>
  </si>
  <si>
    <t xml:space="preserve">               6,653.8</t>
  </si>
  <si>
    <t xml:space="preserve">              80,955</t>
  </si>
  <si>
    <t xml:space="preserve">              21,305.3</t>
  </si>
  <si>
    <t xml:space="preserve">              84,776</t>
  </si>
  <si>
    <t xml:space="preserve">              -3,822</t>
  </si>
  <si>
    <t xml:space="preserve">                 117.7</t>
  </si>
  <si>
    <t xml:space="preserve">               3,100</t>
  </si>
  <si>
    <t xml:space="preserve">                 202.6</t>
  </si>
  <si>
    <t xml:space="preserve">               5,265</t>
  </si>
  <si>
    <t xml:space="preserve">              -2,165</t>
  </si>
  <si>
    <t xml:space="preserve">               1,785.7</t>
  </si>
  <si>
    <t xml:space="preserve">              84,820</t>
  </si>
  <si>
    <t xml:space="preserve">               2,820.2</t>
  </si>
  <si>
    <t xml:space="preserve">              93,456</t>
  </si>
  <si>
    <t xml:space="preserve">              -8,635</t>
  </si>
  <si>
    <t xml:space="preserve">              83,778.6</t>
  </si>
  <si>
    <t xml:space="preserve">             582,442</t>
  </si>
  <si>
    <t xml:space="preserve">             197,510.7</t>
  </si>
  <si>
    <t xml:space="preserve">             801,862</t>
  </si>
  <si>
    <t xml:space="preserve">            -219,420</t>
  </si>
  <si>
    <t xml:space="preserve">           1,512,148.3</t>
  </si>
  <si>
    <t xml:space="preserve">           2,974,791</t>
  </si>
  <si>
    <t xml:space="preserve">             265,077.6</t>
  </si>
  <si>
    <t xml:space="preserve">           1,122,544</t>
  </si>
  <si>
    <t xml:space="preserve">           1,852,247</t>
  </si>
  <si>
    <t xml:space="preserve">             244,328.4</t>
  </si>
  <si>
    <t xml:space="preserve">             629,518</t>
  </si>
  <si>
    <t xml:space="preserve">              90,501.7</t>
  </si>
  <si>
    <t xml:space="preserve">             287,810</t>
  </si>
  <si>
    <t xml:space="preserve">             341,708</t>
  </si>
  <si>
    <t xml:space="preserve">               2,870.3</t>
  </si>
  <si>
    <t xml:space="preserve">              25,551</t>
  </si>
  <si>
    <t xml:space="preserve">               8,336.5</t>
  </si>
  <si>
    <t xml:space="preserve">              22,625</t>
  </si>
  <si>
    <t xml:space="preserve">               2,926</t>
  </si>
  <si>
    <t xml:space="preserve">                 920.4</t>
  </si>
  <si>
    <t xml:space="preserve">              36,496</t>
  </si>
  <si>
    <t xml:space="preserve">               9,303.9</t>
  </si>
  <si>
    <t xml:space="preserve">             335,275</t>
  </si>
  <si>
    <t xml:space="preserve">            -298,779</t>
  </si>
  <si>
    <t xml:space="preserve">                 739</t>
  </si>
  <si>
    <t xml:space="preserve">                  74.9</t>
  </si>
  <si>
    <t xml:space="preserve">              15,046</t>
  </si>
  <si>
    <t xml:space="preserve">             -14,307</t>
  </si>
  <si>
    <t xml:space="preserve">               3,783.5</t>
  </si>
  <si>
    <t xml:space="preserve">               5,199</t>
  </si>
  <si>
    <t xml:space="preserve">             944,201.5</t>
  </si>
  <si>
    <t xml:space="preserve">             260,631</t>
  </si>
  <si>
    <t xml:space="preserve">            -255,432</t>
  </si>
  <si>
    <t xml:space="preserve">                   3.0</t>
  </si>
  <si>
    <t xml:space="preserve">                  66</t>
  </si>
  <si>
    <t xml:space="preserve">                  77.5</t>
  </si>
  <si>
    <t xml:space="preserve">                 342</t>
  </si>
  <si>
    <t xml:space="preserve">                -277</t>
  </si>
  <si>
    <t xml:space="preserve">                   3.2</t>
  </si>
  <si>
    <t xml:space="preserve">                 269.8</t>
  </si>
  <si>
    <t xml:space="preserve">               1,090</t>
  </si>
  <si>
    <t xml:space="preserve">                -985</t>
  </si>
  <si>
    <t xml:space="preserve">              45,250.2</t>
  </si>
  <si>
    <t xml:space="preserve">              10,903</t>
  </si>
  <si>
    <t xml:space="preserve">             236,428.5</t>
  </si>
  <si>
    <t xml:space="preserve">             131,856</t>
  </si>
  <si>
    <t xml:space="preserve">            -120,952</t>
  </si>
  <si>
    <t xml:space="preserve">             230,643.2</t>
  </si>
  <si>
    <t xml:space="preserve">             227,603</t>
  </si>
  <si>
    <t xml:space="preserve">             136,060.9</t>
  </si>
  <si>
    <t xml:space="preserve">             196,840</t>
  </si>
  <si>
    <t xml:space="preserve">              30,763</t>
  </si>
  <si>
    <t xml:space="preserve">               4,415.8</t>
  </si>
  <si>
    <t xml:space="preserve">              36,848</t>
  </si>
  <si>
    <t xml:space="preserve">               1,191.7</t>
  </si>
  <si>
    <t xml:space="preserve">              21,325</t>
  </si>
  <si>
    <t xml:space="preserve">              15,523</t>
  </si>
  <si>
    <t xml:space="preserve">                  10.0</t>
  </si>
  <si>
    <t xml:space="preserve">               1,609</t>
  </si>
  <si>
    <t xml:space="preserve">                  34.3</t>
  </si>
  <si>
    <t xml:space="preserve">               2,761</t>
  </si>
  <si>
    <t xml:space="preserve">              -1,152</t>
  </si>
  <si>
    <t xml:space="preserve">                 126.8</t>
  </si>
  <si>
    <t xml:space="preserve">               2,008</t>
  </si>
  <si>
    <t xml:space="preserve">                 723.1</t>
  </si>
  <si>
    <t xml:space="preserve">              16,806</t>
  </si>
  <si>
    <t xml:space="preserve">             -14,798</t>
  </si>
  <si>
    <t xml:space="preserve">               3,559.8</t>
  </si>
  <si>
    <t xml:space="preserve">              27,811</t>
  </si>
  <si>
    <t xml:space="preserve">              20,698.4</t>
  </si>
  <si>
    <t xml:space="preserve">              65,889</t>
  </si>
  <si>
    <t xml:space="preserve">             -38,077</t>
  </si>
  <si>
    <t xml:space="preserve">                  18.5</t>
  </si>
  <si>
    <t xml:space="preserve">                 394</t>
  </si>
  <si>
    <t xml:space="preserve">               1,084.6</t>
  </si>
  <si>
    <t xml:space="preserve">               4,171</t>
  </si>
  <si>
    <t xml:space="preserve">              -3,776</t>
  </si>
  <si>
    <t xml:space="preserve">              24,569.8</t>
  </si>
  <si>
    <t xml:space="preserve">             159,640</t>
  </si>
  <si>
    <t xml:space="preserve">              39,178.2</t>
  </si>
  <si>
    <t xml:space="preserve">              87,568</t>
  </si>
  <si>
    <t xml:space="preserve">              72,072</t>
  </si>
  <si>
    <t xml:space="preserve">              56,094.6</t>
  </si>
  <si>
    <t xml:space="preserve">             100,424</t>
  </si>
  <si>
    <t xml:space="preserve">              13,686.9</t>
  </si>
  <si>
    <t xml:space="preserve">              51,197</t>
  </si>
  <si>
    <t xml:space="preserve">              49,226</t>
  </si>
  <si>
    <t xml:space="preserve">               9,561.9</t>
  </si>
  <si>
    <t xml:space="preserve">              60,100</t>
  </si>
  <si>
    <t xml:space="preserve">              19,064.8</t>
  </si>
  <si>
    <t xml:space="preserve">              57,754</t>
  </si>
  <si>
    <t xml:space="preserve">               2,346</t>
  </si>
  <si>
    <t xml:space="preserve">                 540.5</t>
  </si>
  <si>
    <t xml:space="preserve">               5,968</t>
  </si>
  <si>
    <t xml:space="preserve">               5,111.0</t>
  </si>
  <si>
    <t xml:space="preserve">              10,086</t>
  </si>
  <si>
    <t xml:space="preserve">              -4,118</t>
  </si>
  <si>
    <t xml:space="preserve">               1,442.1</t>
  </si>
  <si>
    <t xml:space="preserve">              17,551</t>
  </si>
  <si>
    <t xml:space="preserve">               8,738</t>
  </si>
  <si>
    <t xml:space="preserve">               8,813</t>
  </si>
  <si>
    <t xml:space="preserve">               9,178.1</t>
  </si>
  <si>
    <t xml:space="preserve">              94,689</t>
  </si>
  <si>
    <t xml:space="preserve">               6,269.8</t>
  </si>
  <si>
    <t xml:space="preserve">              38,027</t>
  </si>
  <si>
    <t xml:space="preserve">              56,662</t>
  </si>
  <si>
    <t xml:space="preserve">              17,358.8</t>
  </si>
  <si>
    <t xml:space="preserve">             135,865</t>
  </si>
  <si>
    <t xml:space="preserve">               2,107.4</t>
  </si>
  <si>
    <t xml:space="preserve">              11,565</t>
  </si>
  <si>
    <t xml:space="preserve">             124,301</t>
  </si>
  <si>
    <t xml:space="preserve">               2,826.2</t>
  </si>
  <si>
    <t xml:space="preserve">              70,335</t>
  </si>
  <si>
    <t xml:space="preserve">              29,722.1</t>
  </si>
  <si>
    <t xml:space="preserve">             500,515</t>
  </si>
  <si>
    <t xml:space="preserve">            -430,179</t>
  </si>
  <si>
    <t xml:space="preserve">               3,186.2</t>
  </si>
  <si>
    <t xml:space="preserve">              84,853</t>
  </si>
  <si>
    <t xml:space="preserve">              30,505.9</t>
  </si>
  <si>
    <t xml:space="preserve">             837,049</t>
  </si>
  <si>
    <t xml:space="preserve">            -752,196</t>
  </si>
  <si>
    <t xml:space="preserve">              29,278.4</t>
  </si>
  <si>
    <t xml:space="preserve">              57,274</t>
  </si>
  <si>
    <t xml:space="preserve">              29,482.2</t>
  </si>
  <si>
    <t xml:space="preserve">             121,062</t>
  </si>
  <si>
    <t xml:space="preserve">             -63,789</t>
  </si>
  <si>
    <t xml:space="preserve">               1,312.2</t>
  </si>
  <si>
    <t xml:space="preserve">              27,552</t>
  </si>
  <si>
    <t xml:space="preserve">              11,105.0</t>
  </si>
  <si>
    <t xml:space="preserve">             283,779</t>
  </si>
  <si>
    <t xml:space="preserve">            -256,227</t>
  </si>
  <si>
    <t xml:space="preserve">                 344.3</t>
  </si>
  <si>
    <t xml:space="preserve">              10,809</t>
  </si>
  <si>
    <t xml:space="preserve">               1,039.8</t>
  </si>
  <si>
    <t xml:space="preserve">              26,426</t>
  </si>
  <si>
    <t xml:space="preserve">             -15,617</t>
  </si>
  <si>
    <t xml:space="preserve">                 106</t>
  </si>
  <si>
    <t xml:space="preserve">               1,320.1</t>
  </si>
  <si>
    <t xml:space="preserve">               8,530</t>
  </si>
  <si>
    <t xml:space="preserve">              -8,424</t>
  </si>
  <si>
    <t xml:space="preserve">               1,659</t>
  </si>
  <si>
    <t xml:space="preserve">                 520.0</t>
  </si>
  <si>
    <t xml:space="preserve">               7,603</t>
  </si>
  <si>
    <t xml:space="preserve">              -5,944</t>
  </si>
  <si>
    <t xml:space="preserve">              10,721.0</t>
  </si>
  <si>
    <t xml:space="preserve">              78,491</t>
  </si>
  <si>
    <t xml:space="preserve">             216,025.1</t>
  </si>
  <si>
    <t xml:space="preserve">             112,450</t>
  </si>
  <si>
    <t xml:space="preserve">             -33,959</t>
  </si>
  <si>
    <t xml:space="preserve">               2,755.1</t>
  </si>
  <si>
    <t xml:space="preserve">              32,456</t>
  </si>
  <si>
    <t xml:space="preserve">             139,568.8</t>
  </si>
  <si>
    <t xml:space="preserve">             138,500</t>
  </si>
  <si>
    <t xml:space="preserve">            -106,044</t>
  </si>
  <si>
    <t xml:space="preserve">              31,276.1</t>
  </si>
  <si>
    <t xml:space="preserve">             171,972</t>
  </si>
  <si>
    <t xml:space="preserve">              91,245.1</t>
  </si>
  <si>
    <t xml:space="preserve">             223,986</t>
  </si>
  <si>
    <t xml:space="preserve">             -52,014</t>
  </si>
  <si>
    <t xml:space="preserve">                 726.7</t>
  </si>
  <si>
    <t xml:space="preserve">             343,764</t>
  </si>
  <si>
    <t xml:space="preserve">               1,378.6</t>
  </si>
  <si>
    <t xml:space="preserve">             647,171</t>
  </si>
  <si>
    <t xml:space="preserve">            -303,407</t>
  </si>
  <si>
    <t xml:space="preserve">           2,322,885.8</t>
  </si>
  <si>
    <t xml:space="preserve">           2,117,478</t>
  </si>
  <si>
    <t xml:space="preserve">           1,410,919.1</t>
  </si>
  <si>
    <t xml:space="preserve">           1,110,001</t>
  </si>
  <si>
    <t xml:space="preserve">           1,007,477</t>
  </si>
  <si>
    <t xml:space="preserve">             295,712.6</t>
  </si>
  <si>
    <t xml:space="preserve">             877,033</t>
  </si>
  <si>
    <t xml:space="preserve">             266,416.3</t>
  </si>
  <si>
    <t xml:space="preserve">             685,582</t>
  </si>
  <si>
    <t xml:space="preserve">             191,451</t>
  </si>
  <si>
    <t xml:space="preserve">              59,454.3</t>
  </si>
  <si>
    <t xml:space="preserve">             504,949</t>
  </si>
  <si>
    <t xml:space="preserve">              59,714.6</t>
  </si>
  <si>
    <t xml:space="preserve">             558,579</t>
  </si>
  <si>
    <t xml:space="preserve">             -53,630</t>
  </si>
  <si>
    <t xml:space="preserve">              13,537</t>
  </si>
  <si>
    <t xml:space="preserve">               5,299.6</t>
  </si>
  <si>
    <t xml:space="preserve">             117,571</t>
  </si>
  <si>
    <t xml:space="preserve">            -104,033</t>
  </si>
  <si>
    <t xml:space="preserve">             106,826.0</t>
  </si>
  <si>
    <t xml:space="preserve">             417,644</t>
  </si>
  <si>
    <t xml:space="preserve">             260,810.1</t>
  </si>
  <si>
    <t xml:space="preserve">             756,740</t>
  </si>
  <si>
    <t xml:space="preserve">            -339,096</t>
  </si>
  <si>
    <t xml:space="preserve">              27,710.7</t>
  </si>
  <si>
    <t xml:space="preserve">              61,125</t>
  </si>
  <si>
    <t xml:space="preserve">              15,961.3</t>
  </si>
  <si>
    <t xml:space="preserve">              35,396</t>
  </si>
  <si>
    <t xml:space="preserve">              25,728</t>
  </si>
  <si>
    <t xml:space="preserve">              38,363.7</t>
  </si>
  <si>
    <t xml:space="preserve">             116,800</t>
  </si>
  <si>
    <t xml:space="preserve">               8,474.7</t>
  </si>
  <si>
    <t xml:space="preserve">              27,497</t>
  </si>
  <si>
    <t xml:space="preserve">              89,303</t>
  </si>
  <si>
    <t xml:space="preserve">                 200.1</t>
  </si>
  <si>
    <t xml:space="preserve">               8,189</t>
  </si>
  <si>
    <t xml:space="preserve">               1,558.4</t>
  </si>
  <si>
    <t xml:space="preserve">              53,342</t>
  </si>
  <si>
    <t xml:space="preserve">             -45,153</t>
  </si>
  <si>
    <t xml:space="preserve">               2,138.8</t>
  </si>
  <si>
    <t xml:space="preserve">              28,929</t>
  </si>
  <si>
    <t xml:space="preserve">              14,137.1</t>
  </si>
  <si>
    <t xml:space="preserve">             128,575</t>
  </si>
  <si>
    <t xml:space="preserve">             -99,646</t>
  </si>
  <si>
    <t xml:space="preserve">               7,394.8</t>
  </si>
  <si>
    <t xml:space="preserve">             158,204</t>
  </si>
  <si>
    <t xml:space="preserve">               4,614.0</t>
  </si>
  <si>
    <t xml:space="preserve">              85,582</t>
  </si>
  <si>
    <t xml:space="preserve">              72,622</t>
  </si>
  <si>
    <t xml:space="preserve">              26,840.3</t>
  </si>
  <si>
    <t xml:space="preserve">             147,947</t>
  </si>
  <si>
    <t xml:space="preserve">              11,251.9</t>
  </si>
  <si>
    <t xml:space="preserve">              86,217</t>
  </si>
  <si>
    <t xml:space="preserve">              61,730</t>
  </si>
  <si>
    <t xml:space="preserve">             345,965.7</t>
  </si>
  <si>
    <t xml:space="preserve">           6,223,215</t>
  </si>
  <si>
    <t xml:space="preserve">             203,388.5</t>
  </si>
  <si>
    <t xml:space="preserve">           5,426,724</t>
  </si>
  <si>
    <t xml:space="preserve">             796,491</t>
  </si>
  <si>
    <t xml:space="preserve">             212,944.6</t>
  </si>
  <si>
    <t xml:space="preserve">          19,050,286</t>
  </si>
  <si>
    <t xml:space="preserve">             209,600.9</t>
  </si>
  <si>
    <t xml:space="preserve">          11,768,096</t>
  </si>
  <si>
    <t xml:space="preserve">           7,282,190</t>
  </si>
  <si>
    <t xml:space="preserve">              12,186.3</t>
  </si>
  <si>
    <t xml:space="preserve">             133,918</t>
  </si>
  <si>
    <t xml:space="preserve">              10,216.4</t>
  </si>
  <si>
    <t xml:space="preserve">              28,867</t>
  </si>
  <si>
    <t xml:space="preserve">             105,052</t>
  </si>
  <si>
    <t xml:space="preserve">             722,234.9</t>
  </si>
  <si>
    <t xml:space="preserve">           7,933,147</t>
  </si>
  <si>
    <t xml:space="preserve">             106,584.5</t>
  </si>
  <si>
    <t xml:space="preserve">           1,773,009</t>
  </si>
  <si>
    <t xml:space="preserve">           6,160,139</t>
  </si>
  <si>
    <t xml:space="preserve">                 615.6</t>
  </si>
  <si>
    <t xml:space="preserve">             325,086</t>
  </si>
  <si>
    <t xml:space="preserve">                 519.5</t>
  </si>
  <si>
    <t xml:space="preserve">             211,619</t>
  </si>
  <si>
    <t xml:space="preserve">             113,468</t>
  </si>
  <si>
    <t xml:space="preserve">             928,174.9</t>
  </si>
  <si>
    <t xml:space="preserve">           1,917,169</t>
  </si>
  <si>
    <t xml:space="preserve">             195,451.5</t>
  </si>
  <si>
    <t xml:space="preserve">             226,606</t>
  </si>
  <si>
    <t xml:space="preserve">           1,690,562</t>
  </si>
  <si>
    <t xml:space="preserve">              15,665.8</t>
  </si>
  <si>
    <t xml:space="preserve">           1,462,224</t>
  </si>
  <si>
    <t xml:space="preserve">              16,729.8</t>
  </si>
  <si>
    <t xml:space="preserve">           2,037,967</t>
  </si>
  <si>
    <t xml:space="preserve">            -575,743</t>
  </si>
  <si>
    <t xml:space="preserve">              13,822</t>
  </si>
  <si>
    <t xml:space="preserve">                 287.4</t>
  </si>
  <si>
    <t xml:space="preserve">              95,951</t>
  </si>
  <si>
    <t xml:space="preserve">             -82,129</t>
  </si>
  <si>
    <t xml:space="preserve">                 553.2</t>
  </si>
  <si>
    <t xml:space="preserve">               8,627</t>
  </si>
  <si>
    <t xml:space="preserve">                 636.8</t>
  </si>
  <si>
    <t xml:space="preserve">              14,996</t>
  </si>
  <si>
    <t xml:space="preserve">              -6,369</t>
  </si>
  <si>
    <t xml:space="preserve">               1,857.3</t>
  </si>
  <si>
    <t xml:space="preserve">             188,701</t>
  </si>
  <si>
    <t xml:space="preserve">                  70.9</t>
  </si>
  <si>
    <t xml:space="preserve">              22,669</t>
  </si>
  <si>
    <t xml:space="preserve">             166,032</t>
  </si>
  <si>
    <t xml:space="preserve">              17,731.6</t>
  </si>
  <si>
    <t xml:space="preserve">             124,005</t>
  </si>
  <si>
    <t xml:space="preserve">              78,132.4</t>
  </si>
  <si>
    <t xml:space="preserve">             348,511</t>
  </si>
  <si>
    <t xml:space="preserve">            -224,506</t>
  </si>
  <si>
    <t xml:space="preserve">               2,435.1</t>
  </si>
  <si>
    <t xml:space="preserve">              51,730</t>
  </si>
  <si>
    <t xml:space="preserve">              17,290.9</t>
  </si>
  <si>
    <t xml:space="preserve">             221,825</t>
  </si>
  <si>
    <t xml:space="preserve">            -170,095</t>
  </si>
  <si>
    <t xml:space="preserve">               2,365.8</t>
  </si>
  <si>
    <t xml:space="preserve">              41,675</t>
  </si>
  <si>
    <t xml:space="preserve">              10,664.2</t>
  </si>
  <si>
    <t xml:space="preserve">              95,507</t>
  </si>
  <si>
    <t xml:space="preserve">             -53,832</t>
  </si>
  <si>
    <t xml:space="preserve">                  25.3</t>
  </si>
  <si>
    <t xml:space="preserve">              59,511</t>
  </si>
  <si>
    <t xml:space="preserve">                  64.0</t>
  </si>
  <si>
    <t xml:space="preserve">              21,506</t>
  </si>
  <si>
    <t xml:space="preserve">              38,005</t>
  </si>
  <si>
    <t xml:space="preserve">                 530</t>
  </si>
  <si>
    <t xml:space="preserve">                 109.2</t>
  </si>
  <si>
    <t xml:space="preserve">               7,559</t>
  </si>
  <si>
    <t xml:space="preserve">              -7,029</t>
  </si>
  <si>
    <t xml:space="preserve">               3,520.8</t>
  </si>
  <si>
    <t xml:space="preserve">               4,944</t>
  </si>
  <si>
    <t xml:space="preserve">              85,154.1</t>
  </si>
  <si>
    <t xml:space="preserve">             471,663</t>
  </si>
  <si>
    <t xml:space="preserve">            -466,719</t>
  </si>
  <si>
    <t xml:space="preserve">              64,365.7</t>
  </si>
  <si>
    <t xml:space="preserve">             162,270</t>
  </si>
  <si>
    <t xml:space="preserve">             103,824.0</t>
  </si>
  <si>
    <t xml:space="preserve">             418,700</t>
  </si>
  <si>
    <t xml:space="preserve">            -256,431</t>
  </si>
  <si>
    <t xml:space="preserve">               2,076.1</t>
  </si>
  <si>
    <t xml:space="preserve">               5,362</t>
  </si>
  <si>
    <t xml:space="preserve">              24,755.5</t>
  </si>
  <si>
    <t xml:space="preserve">             105,637</t>
  </si>
  <si>
    <t xml:space="preserve">            -100,275</t>
  </si>
  <si>
    <t xml:space="preserve">               1,414.5</t>
  </si>
  <si>
    <t xml:space="preserve">               8,529</t>
  </si>
  <si>
    <t xml:space="preserve">               3,280.0</t>
  </si>
  <si>
    <t xml:space="preserve">              21,052</t>
  </si>
  <si>
    <t xml:space="preserve">             -12,523</t>
  </si>
  <si>
    <t xml:space="preserve">                  39.8</t>
  </si>
  <si>
    <t xml:space="preserve">                 545</t>
  </si>
  <si>
    <t xml:space="preserve">              10,125.4</t>
  </si>
  <si>
    <t xml:space="preserve">              18,309</t>
  </si>
  <si>
    <t xml:space="preserve">             -17,764</t>
  </si>
  <si>
    <t xml:space="preserve">               5,866.4</t>
  </si>
  <si>
    <t xml:space="preserve">              11,691</t>
  </si>
  <si>
    <t xml:space="preserve">              84,325.2</t>
  </si>
  <si>
    <t xml:space="preserve">              68,938</t>
  </si>
  <si>
    <t xml:space="preserve">             -57,247</t>
  </si>
  <si>
    <t xml:space="preserve">               8,627.6</t>
  </si>
  <si>
    <t xml:space="preserve">              31,188</t>
  </si>
  <si>
    <t xml:space="preserve">              58,876.8</t>
  </si>
  <si>
    <t xml:space="preserve">             123,341</t>
  </si>
  <si>
    <t xml:space="preserve">             -92,153</t>
  </si>
  <si>
    <t xml:space="preserve">                 545.0</t>
  </si>
  <si>
    <t xml:space="preserve">               4,164</t>
  </si>
  <si>
    <t xml:space="preserve">              15,133.4</t>
  </si>
  <si>
    <t xml:space="preserve">             108,304</t>
  </si>
  <si>
    <t xml:space="preserve">            -104,140</t>
  </si>
  <si>
    <t xml:space="preserve">               4,367.3</t>
  </si>
  <si>
    <t xml:space="preserve">               7,463</t>
  </si>
  <si>
    <t xml:space="preserve">           1,408,979.8</t>
  </si>
  <si>
    <t xml:space="preserve">             402,680</t>
  </si>
  <si>
    <t xml:space="preserve">            -395,217</t>
  </si>
  <si>
    <t xml:space="preserve">               5,509.9</t>
  </si>
  <si>
    <t xml:space="preserve">               4,060</t>
  </si>
  <si>
    <t xml:space="preserve">              31,542.2</t>
  </si>
  <si>
    <t xml:space="preserve">              28,192</t>
  </si>
  <si>
    <t xml:space="preserve">             -24,132</t>
  </si>
  <si>
    <t xml:space="preserve">               1,680.4</t>
  </si>
  <si>
    <t xml:space="preserve">              35,093</t>
  </si>
  <si>
    <t xml:space="preserve">             244,433.6</t>
  </si>
  <si>
    <t xml:space="preserve">             157,134</t>
  </si>
  <si>
    <t xml:space="preserve">            -122,041</t>
  </si>
  <si>
    <t xml:space="preserve">                 311.8</t>
  </si>
  <si>
    <t xml:space="preserve">               8,760</t>
  </si>
  <si>
    <t xml:space="preserve">              11,468.2</t>
  </si>
  <si>
    <t xml:space="preserve">              26,601</t>
  </si>
  <si>
    <t xml:space="preserve">             -17,841</t>
  </si>
  <si>
    <t xml:space="preserve">              12,294.6</t>
  </si>
  <si>
    <t xml:space="preserve">               3,794</t>
  </si>
  <si>
    <t xml:space="preserve">              -3,753</t>
  </si>
  <si>
    <t xml:space="preserve">               6,416.2</t>
  </si>
  <si>
    <t xml:space="preserve">               9,574</t>
  </si>
  <si>
    <t xml:space="preserve">              93,890.5</t>
  </si>
  <si>
    <t xml:space="preserve">             134,836</t>
  </si>
  <si>
    <t xml:space="preserve">            -125,263</t>
  </si>
  <si>
    <t xml:space="preserve">               4,859.1</t>
  </si>
  <si>
    <t xml:space="preserve">              29,708</t>
  </si>
  <si>
    <t xml:space="preserve">              15,640.0</t>
  </si>
  <si>
    <t xml:space="preserve">              86,496</t>
  </si>
  <si>
    <t xml:space="preserve">             -56,788</t>
  </si>
  <si>
    <t xml:space="preserve">              37,227.2</t>
  </si>
  <si>
    <t xml:space="preserve">              32,849</t>
  </si>
  <si>
    <t xml:space="preserve">             197,140.5</t>
  </si>
  <si>
    <t xml:space="preserve">             124,859</t>
  </si>
  <si>
    <t xml:space="preserve">             -92,010</t>
  </si>
  <si>
    <t xml:space="preserve">               3,179.3</t>
  </si>
  <si>
    <t xml:space="preserve">              10,288</t>
  </si>
  <si>
    <t xml:space="preserve">               5,951.4</t>
  </si>
  <si>
    <t xml:space="preserve">              49,773</t>
  </si>
  <si>
    <t xml:space="preserve">             -39,485</t>
  </si>
  <si>
    <t xml:space="preserve">              55,433.6</t>
  </si>
  <si>
    <t xml:space="preserve">              27,938.2</t>
  </si>
  <si>
    <t xml:space="preserve">              89,038</t>
  </si>
  <si>
    <t xml:space="preserve">             128,313</t>
  </si>
  <si>
    <t xml:space="preserve">               9,378.9</t>
  </si>
  <si>
    <t xml:space="preserve">              82,847</t>
  </si>
  <si>
    <t xml:space="preserve">              99,565.6</t>
  </si>
  <si>
    <t xml:space="preserve">             148,071</t>
  </si>
  <si>
    <t xml:space="preserve">             -65,224</t>
  </si>
  <si>
    <t xml:space="preserve">              36,220.5</t>
  </si>
  <si>
    <t xml:space="preserve">             144,347</t>
  </si>
  <si>
    <t xml:space="preserve">              29,756.8</t>
  </si>
  <si>
    <t xml:space="preserve">             216,032</t>
  </si>
  <si>
    <t xml:space="preserve">             -71,685</t>
  </si>
  <si>
    <t xml:space="preserve">              75,432.3</t>
  </si>
  <si>
    <t xml:space="preserve">              98,868</t>
  </si>
  <si>
    <t xml:space="preserve">              79,339.9</t>
  </si>
  <si>
    <t xml:space="preserve">             130,320</t>
  </si>
  <si>
    <t xml:space="preserve">             -31,452</t>
  </si>
  <si>
    <t xml:space="preserve">              24,725.6</t>
  </si>
  <si>
    <t xml:space="preserve">              27,494</t>
  </si>
  <si>
    <t xml:space="preserve">             546,998.4</t>
  </si>
  <si>
    <t xml:space="preserve">             195,081</t>
  </si>
  <si>
    <t xml:space="preserve">            -167,587</t>
  </si>
  <si>
    <t xml:space="preserve">               8,141.2</t>
  </si>
  <si>
    <t xml:space="preserve">              97,378</t>
  </si>
  <si>
    <t xml:space="preserve">               4,965.2</t>
  </si>
  <si>
    <t xml:space="preserve">              43,185</t>
  </si>
  <si>
    <t xml:space="preserve">              54,193</t>
  </si>
  <si>
    <t xml:space="preserve">             557,228.1</t>
  </si>
  <si>
    <t xml:space="preserve">              31,456</t>
  </si>
  <si>
    <t xml:space="preserve">             890,422.8</t>
  </si>
  <si>
    <t xml:space="preserve">              73,496</t>
  </si>
  <si>
    <t xml:space="preserve">             -42,041</t>
  </si>
  <si>
    <t xml:space="preserve">             203,290.2</t>
  </si>
  <si>
    <t xml:space="preserve">              65,224</t>
  </si>
  <si>
    <t xml:space="preserve">           6,035,459.8</t>
  </si>
  <si>
    <t xml:space="preserve">           1,364,370</t>
  </si>
  <si>
    <t xml:space="preserve">          -1,299,146</t>
  </si>
  <si>
    <t xml:space="preserve">           5,448,979.1</t>
  </si>
  <si>
    <t xml:space="preserve">           3,835,069</t>
  </si>
  <si>
    <t xml:space="preserve">          27,718,566.5</t>
  </si>
  <si>
    <t xml:space="preserve">          12,526,422</t>
  </si>
  <si>
    <t xml:space="preserve">          -8,691,353</t>
  </si>
  <si>
    <t xml:space="preserve">             461,522.3</t>
  </si>
  <si>
    <t xml:space="preserve">             650,386</t>
  </si>
  <si>
    <t xml:space="preserve">             379,231.8</t>
  </si>
  <si>
    <t xml:space="preserve">             783,060</t>
  </si>
  <si>
    <t xml:space="preserve">            -132,674</t>
  </si>
  <si>
    <t xml:space="preserve">           1,449,528.9</t>
  </si>
  <si>
    <t xml:space="preserve">           1,559,880</t>
  </si>
  <si>
    <t xml:space="preserve">             590,995.1</t>
  </si>
  <si>
    <t xml:space="preserve">           1,063,999</t>
  </si>
  <si>
    <t xml:space="preserve">             495,882</t>
  </si>
  <si>
    <t xml:space="preserve">               3,405.8</t>
  </si>
  <si>
    <t xml:space="preserve">             795,287</t>
  </si>
  <si>
    <t xml:space="preserve">               7,391.4</t>
  </si>
  <si>
    <t xml:space="preserve">             684,230</t>
  </si>
  <si>
    <t xml:space="preserve">             111,057</t>
  </si>
  <si>
    <t xml:space="preserve">              44,809.5</t>
  </si>
  <si>
    <t xml:space="preserve">              17,311</t>
  </si>
  <si>
    <t xml:space="preserve">             145,384.7</t>
  </si>
  <si>
    <t xml:space="preserve">              57,486</t>
  </si>
  <si>
    <t xml:space="preserve">             -40,175</t>
  </si>
  <si>
    <t xml:space="preserve">              29,740.6</t>
  </si>
  <si>
    <t xml:space="preserve">             211,725</t>
  </si>
  <si>
    <t xml:space="preserve">              21,350.8</t>
  </si>
  <si>
    <t xml:space="preserve">             164,446</t>
  </si>
  <si>
    <t xml:space="preserve">              47,279</t>
  </si>
  <si>
    <t xml:space="preserve">              36,884.7</t>
  </si>
  <si>
    <t xml:space="preserve">             882,072</t>
  </si>
  <si>
    <t xml:space="preserve">               8,688.4</t>
  </si>
  <si>
    <t xml:space="preserve">             169,315</t>
  </si>
  <si>
    <t xml:space="preserve">             712,757</t>
  </si>
  <si>
    <t xml:space="preserve">              63,289.0</t>
  </si>
  <si>
    <t xml:space="preserve">             159,678</t>
  </si>
  <si>
    <t xml:space="preserve">              23,777.5</t>
  </si>
  <si>
    <t xml:space="preserve">              86,101</t>
  </si>
  <si>
    <t xml:space="preserve">              73,577</t>
  </si>
  <si>
    <t xml:space="preserve">               6,077.3</t>
  </si>
  <si>
    <t xml:space="preserve">              76,828</t>
  </si>
  <si>
    <t xml:space="preserve">              21,277.0</t>
  </si>
  <si>
    <t xml:space="preserve">              75,703</t>
  </si>
  <si>
    <t xml:space="preserve">               1,126</t>
  </si>
  <si>
    <t xml:space="preserve">                 352.9</t>
  </si>
  <si>
    <t xml:space="preserve">               8,794</t>
  </si>
  <si>
    <t xml:space="preserve">                 416.5</t>
  </si>
  <si>
    <t xml:space="preserve">               9,825</t>
  </si>
  <si>
    <t xml:space="preserve">              -1,031</t>
  </si>
  <si>
    <t xml:space="preserve">               1,751.9</t>
  </si>
  <si>
    <t xml:space="preserve">              90,144</t>
  </si>
  <si>
    <t xml:space="preserve">               2,887.7</t>
  </si>
  <si>
    <t xml:space="preserve">              80,673</t>
  </si>
  <si>
    <t xml:space="preserve">               9,471</t>
  </si>
  <si>
    <t xml:space="preserve">             100,230.6</t>
  </si>
  <si>
    <t xml:space="preserve">             568,551</t>
  </si>
  <si>
    <t xml:space="preserve">             214,930.1</t>
  </si>
  <si>
    <t xml:space="preserve">             771,008</t>
  </si>
  <si>
    <t xml:space="preserve">            -202,457</t>
  </si>
  <si>
    <t xml:space="preserve">           1,428,183.2</t>
  </si>
  <si>
    <t xml:space="preserve">           2,845,165</t>
  </si>
  <si>
    <t xml:space="preserve">             256,751.9</t>
  </si>
  <si>
    <t xml:space="preserve">           1,057,834</t>
  </si>
  <si>
    <t xml:space="preserve">           1,787,331</t>
  </si>
  <si>
    <t xml:space="preserve">             222,738.9</t>
  </si>
  <si>
    <t xml:space="preserve">             619,527</t>
  </si>
  <si>
    <t xml:space="preserve">              88,097.6</t>
  </si>
  <si>
    <t xml:space="preserve">             268,967</t>
  </si>
  <si>
    <t xml:space="preserve">             350,561</t>
  </si>
  <si>
    <t xml:space="preserve">               2,908.1</t>
  </si>
  <si>
    <t xml:space="preserve">              24,179</t>
  </si>
  <si>
    <t xml:space="preserve">               7,212.8</t>
  </si>
  <si>
    <t xml:space="preserve">              17,818</t>
  </si>
  <si>
    <t xml:space="preserve">               6,360</t>
  </si>
  <si>
    <t xml:space="preserve">                 843.8</t>
  </si>
  <si>
    <t xml:space="preserve">              36,618</t>
  </si>
  <si>
    <t xml:space="preserve">               8,953.8</t>
  </si>
  <si>
    <t xml:space="preserve">             279,306</t>
  </si>
  <si>
    <t xml:space="preserve">            -242,688</t>
  </si>
  <si>
    <t xml:space="preserve">                   6.7</t>
  </si>
  <si>
    <t xml:space="preserve">                 608</t>
  </si>
  <si>
    <t xml:space="preserve">                  89.7</t>
  </si>
  <si>
    <t xml:space="preserve">              12,714</t>
  </si>
  <si>
    <t xml:space="preserve">             -12,106</t>
  </si>
  <si>
    <t xml:space="preserve">               4,383.9</t>
  </si>
  <si>
    <t xml:space="preserve">               7,089</t>
  </si>
  <si>
    <t xml:space="preserve">             795,954.4</t>
  </si>
  <si>
    <t xml:space="preserve">             232,631</t>
  </si>
  <si>
    <t xml:space="preserve">            -225,542</t>
  </si>
  <si>
    <t xml:space="preserve">                   6.2</t>
  </si>
  <si>
    <t xml:space="preserve">                  29</t>
  </si>
  <si>
    <t xml:space="preserve">                  35.4</t>
  </si>
  <si>
    <t xml:space="preserve">                 213</t>
  </si>
  <si>
    <t xml:space="preserve">                -184</t>
  </si>
  <si>
    <t xml:space="preserve">                 346.4</t>
  </si>
  <si>
    <t xml:space="preserve">               1,160</t>
  </si>
  <si>
    <t xml:space="preserve">              -1,084</t>
  </si>
  <si>
    <t xml:space="preserve">              33,709.4</t>
  </si>
  <si>
    <t xml:space="preserve">               7,315</t>
  </si>
  <si>
    <t xml:space="preserve">             208,434.8</t>
  </si>
  <si>
    <t xml:space="preserve">             112,959</t>
  </si>
  <si>
    <t xml:space="preserve">            -105,644</t>
  </si>
  <si>
    <t xml:space="preserve">             209,064.8</t>
  </si>
  <si>
    <t xml:space="preserve">             214,513</t>
  </si>
  <si>
    <t xml:space="preserve">             126,969.6</t>
  </si>
  <si>
    <t xml:space="preserve">             190,373</t>
  </si>
  <si>
    <t xml:space="preserve">              24,139</t>
  </si>
  <si>
    <t xml:space="preserve">               4,776.9</t>
  </si>
  <si>
    <t xml:space="preserve">              44,417</t>
  </si>
  <si>
    <t xml:space="preserve">               1,190.4</t>
  </si>
  <si>
    <t xml:space="preserve">              23,925</t>
  </si>
  <si>
    <t xml:space="preserve">              20,492</t>
  </si>
  <si>
    <t xml:space="preserve">                  12.0</t>
  </si>
  <si>
    <t xml:space="preserve">               1,866</t>
  </si>
  <si>
    <t xml:space="preserve">                  27.7</t>
  </si>
  <si>
    <t xml:space="preserve">               2,519</t>
  </si>
  <si>
    <t xml:space="preserve">                -653</t>
  </si>
  <si>
    <t xml:space="preserve">                 176.4</t>
  </si>
  <si>
    <t xml:space="preserve">               2,410</t>
  </si>
  <si>
    <t xml:space="preserve">                 960.4</t>
  </si>
  <si>
    <t xml:space="preserve">              16,304</t>
  </si>
  <si>
    <t xml:space="preserve">             -13,894</t>
  </si>
  <si>
    <t xml:space="preserve">               3,020.6</t>
  </si>
  <si>
    <t xml:space="preserve">              27,465</t>
  </si>
  <si>
    <t xml:space="preserve">              16,601.4</t>
  </si>
  <si>
    <t xml:space="preserve">              54,505</t>
  </si>
  <si>
    <t xml:space="preserve">             -27,040</t>
  </si>
  <si>
    <t xml:space="preserve">               1,663</t>
  </si>
  <si>
    <t xml:space="preserve">               1,291.5</t>
  </si>
  <si>
    <t xml:space="preserve">               4,280</t>
  </si>
  <si>
    <t xml:space="preserve">              -2,618</t>
  </si>
  <si>
    <t xml:space="preserve">              24,406.0</t>
  </si>
  <si>
    <t xml:space="preserve">             174,225</t>
  </si>
  <si>
    <t xml:space="preserve">              38,983.5</t>
  </si>
  <si>
    <t xml:space="preserve">              87,010</t>
  </si>
  <si>
    <t xml:space="preserve">              87,215</t>
  </si>
  <si>
    <t xml:space="preserve">              56,710.7</t>
  </si>
  <si>
    <t xml:space="preserve">             106,688</t>
  </si>
  <si>
    <t xml:space="preserve">              12,653.3</t>
  </si>
  <si>
    <t xml:space="preserve">              46,866</t>
  </si>
  <si>
    <t xml:space="preserve">              59,822</t>
  </si>
  <si>
    <t xml:space="preserve">              10,135.1</t>
  </si>
  <si>
    <t xml:space="preserve">              68,902</t>
  </si>
  <si>
    <t xml:space="preserve">              16,796.8</t>
  </si>
  <si>
    <t xml:space="preserve">              50,154</t>
  </si>
  <si>
    <t xml:space="preserve">              18,748</t>
  </si>
  <si>
    <t xml:space="preserve">                 594.3</t>
  </si>
  <si>
    <t xml:space="preserve">               6,449</t>
  </si>
  <si>
    <t xml:space="preserve">               5,452.6</t>
  </si>
  <si>
    <t xml:space="preserve">              11,791</t>
  </si>
  <si>
    <t xml:space="preserve">              -5,342</t>
  </si>
  <si>
    <t xml:space="preserve">               1,292.3</t>
  </si>
  <si>
    <t xml:space="preserve">              18,164</t>
  </si>
  <si>
    <t xml:space="preserve">               1,172.6</t>
  </si>
  <si>
    <t xml:space="preserve">               8,033</t>
  </si>
  <si>
    <t xml:space="preserve">              10,131</t>
  </si>
  <si>
    <t xml:space="preserve">               9,469.7</t>
  </si>
  <si>
    <t xml:space="preserve">               6,447.9</t>
  </si>
  <si>
    <t xml:space="preserve">              39,908</t>
  </si>
  <si>
    <t xml:space="preserve">              55,757</t>
  </si>
  <si>
    <t xml:space="preserve">              18,295.6</t>
  </si>
  <si>
    <t xml:space="preserve">             147,536</t>
  </si>
  <si>
    <t xml:space="preserve">               2,044.9</t>
  </si>
  <si>
    <t xml:space="preserve">              10,893</t>
  </si>
  <si>
    <t xml:space="preserve">             136,643</t>
  </si>
  <si>
    <t xml:space="preserve">               2,988.0</t>
  </si>
  <si>
    <t xml:space="preserve">              74,201</t>
  </si>
  <si>
    <t xml:space="preserve">              22,895.3</t>
  </si>
  <si>
    <t xml:space="preserve">             367,472</t>
  </si>
  <si>
    <t xml:space="preserve">            -293,272</t>
  </si>
  <si>
    <t xml:space="preserve">               3,987.3</t>
  </si>
  <si>
    <t xml:space="preserve">             103,493</t>
  </si>
  <si>
    <t xml:space="preserve">              22,450.5</t>
  </si>
  <si>
    <t xml:space="preserve">             540,066</t>
  </si>
  <si>
    <t xml:space="preserve">            -436,573</t>
  </si>
  <si>
    <t xml:space="preserve">              23,981.2</t>
  </si>
  <si>
    <t xml:space="preserve">              51,744</t>
  </si>
  <si>
    <t xml:space="preserve">              26,884.2</t>
  </si>
  <si>
    <t xml:space="preserve">             107,564</t>
  </si>
  <si>
    <t xml:space="preserve">             -55,820</t>
  </si>
  <si>
    <t xml:space="preserve">               1,466.4</t>
  </si>
  <si>
    <t xml:space="preserve">              30,910</t>
  </si>
  <si>
    <t xml:space="preserve">              10,523.4</t>
  </si>
  <si>
    <t xml:space="preserve">             271,027</t>
  </si>
  <si>
    <t xml:space="preserve">            -240,117</t>
  </si>
  <si>
    <t xml:space="preserve">                 312.7</t>
  </si>
  <si>
    <t xml:space="preserve">               9,097</t>
  </si>
  <si>
    <t xml:space="preserve">                 908.0</t>
  </si>
  <si>
    <t xml:space="preserve">              21,277</t>
  </si>
  <si>
    <t xml:space="preserve">             -12,179</t>
  </si>
  <si>
    <t xml:space="preserve">                   4.7</t>
  </si>
  <si>
    <t xml:space="preserve">                 199</t>
  </si>
  <si>
    <t xml:space="preserve">                 920.3</t>
  </si>
  <si>
    <t xml:space="preserve">               6,160</t>
  </si>
  <si>
    <t xml:space="preserve">              -5,961</t>
  </si>
  <si>
    <t xml:space="preserve">               1,814</t>
  </si>
  <si>
    <t xml:space="preserve">                 509.3</t>
  </si>
  <si>
    <t xml:space="preserve">               6,867</t>
  </si>
  <si>
    <t xml:space="preserve">              -5,054</t>
  </si>
  <si>
    <t xml:space="preserve">              10,802.2</t>
  </si>
  <si>
    <t xml:space="preserve">              76,275</t>
  </si>
  <si>
    <t xml:space="preserve">             213,764.3</t>
  </si>
  <si>
    <t xml:space="preserve">             105,370</t>
  </si>
  <si>
    <t xml:space="preserve">             -29,095</t>
  </si>
  <si>
    <t xml:space="preserve">               3,263.1</t>
  </si>
  <si>
    <t xml:space="preserve">              29,628</t>
  </si>
  <si>
    <t xml:space="preserve">             140,612.0</t>
  </si>
  <si>
    <t xml:space="preserve">             120,560</t>
  </si>
  <si>
    <t xml:space="preserve">             -90,932</t>
  </si>
  <si>
    <t xml:space="preserve">              29,462.1</t>
  </si>
  <si>
    <t xml:space="preserve">             163,804</t>
  </si>
  <si>
    <t xml:space="preserve">              83,936.2</t>
  </si>
  <si>
    <t xml:space="preserve">             203,795</t>
  </si>
  <si>
    <t xml:space="preserve">             -39,990</t>
  </si>
  <si>
    <t xml:space="preserve">                 643.7</t>
  </si>
  <si>
    <t xml:space="preserve">             404,168</t>
  </si>
  <si>
    <t xml:space="preserve">               1,050.7</t>
  </si>
  <si>
    <t xml:space="preserve">             555,701</t>
  </si>
  <si>
    <t xml:space="preserve">            -151,532</t>
  </si>
  <si>
    <t xml:space="preserve">           2,280,514.1</t>
  </si>
  <si>
    <t xml:space="preserve">           1,962,108</t>
  </si>
  <si>
    <t xml:space="preserve">           1,402,037.3</t>
  </si>
  <si>
    <t xml:space="preserve">           1,058,574</t>
  </si>
  <si>
    <t xml:space="preserve">             903,534</t>
  </si>
  <si>
    <t xml:space="preserve">             313,336.4</t>
  </si>
  <si>
    <t xml:space="preserve">             829,367</t>
  </si>
  <si>
    <t xml:space="preserve">             235,641.9</t>
  </si>
  <si>
    <t xml:space="preserve">             840,015</t>
  </si>
  <si>
    <t xml:space="preserve">             -10,648</t>
  </si>
  <si>
    <t xml:space="preserve">              52,391.0</t>
  </si>
  <si>
    <t xml:space="preserve">             455,328</t>
  </si>
  <si>
    <t xml:space="preserve">              55,673.3</t>
  </si>
  <si>
    <t xml:space="preserve">             524,430</t>
  </si>
  <si>
    <t xml:space="preserve">             -69,102</t>
  </si>
  <si>
    <t xml:space="preserve">               1,191.0</t>
  </si>
  <si>
    <t xml:space="preserve">              15,585</t>
  </si>
  <si>
    <t xml:space="preserve">               5,182.8</t>
  </si>
  <si>
    <t xml:space="preserve">             105,324</t>
  </si>
  <si>
    <t xml:space="preserve">             -89,739</t>
  </si>
  <si>
    <t xml:space="preserve">             112,072.3</t>
  </si>
  <si>
    <t xml:space="preserve">             430,599</t>
  </si>
  <si>
    <t xml:space="preserve">             246,424.5</t>
  </si>
  <si>
    <t xml:space="preserve">             739,857</t>
  </si>
  <si>
    <t xml:space="preserve">            -309,258</t>
  </si>
  <si>
    <t xml:space="preserve">              20,995.5</t>
  </si>
  <si>
    <t xml:space="preserve">              47,977</t>
  </si>
  <si>
    <t xml:space="preserve">              11,603.3</t>
  </si>
  <si>
    <t xml:space="preserve">              26,107</t>
  </si>
  <si>
    <t xml:space="preserve">              21,871</t>
  </si>
  <si>
    <t xml:space="preserve">              37,054.9</t>
  </si>
  <si>
    <t xml:space="preserve">             117,486</t>
  </si>
  <si>
    <t xml:space="preserve">               5,587.3</t>
  </si>
  <si>
    <t xml:space="preserve">              18,756</t>
  </si>
  <si>
    <t xml:space="preserve">              98,729</t>
  </si>
  <si>
    <t xml:space="preserve">                 242.5</t>
  </si>
  <si>
    <t xml:space="preserve">               1,326.7</t>
  </si>
  <si>
    <t xml:space="preserve">              42,878</t>
  </si>
  <si>
    <t xml:space="preserve">             -37,246</t>
  </si>
  <si>
    <t xml:space="preserve">               3,048.2</t>
  </si>
  <si>
    <t xml:space="preserve">              35,896</t>
  </si>
  <si>
    <t xml:space="preserve">              15,383.5</t>
  </si>
  <si>
    <t xml:space="preserve">             113,566</t>
  </si>
  <si>
    <t xml:space="preserve">             -77,670</t>
  </si>
  <si>
    <t xml:space="preserve">               6,720.0</t>
  </si>
  <si>
    <t xml:space="preserve">             143,225</t>
  </si>
  <si>
    <t xml:space="preserve">               4,428.4</t>
  </si>
  <si>
    <t xml:space="preserve">              79,968</t>
  </si>
  <si>
    <t xml:space="preserve">              63,257</t>
  </si>
  <si>
    <t xml:space="preserve">              24,414.7</t>
  </si>
  <si>
    <t xml:space="preserve">             133,836</t>
  </si>
  <si>
    <t xml:space="preserve">              11,173.5</t>
  </si>
  <si>
    <t xml:space="preserve">              78,560</t>
  </si>
  <si>
    <t xml:space="preserve">              55,276</t>
  </si>
  <si>
    <t xml:space="preserve">             336,312.7</t>
  </si>
  <si>
    <t xml:space="preserve">           6,654,815</t>
  </si>
  <si>
    <t xml:space="preserve">             192,753.8</t>
  </si>
  <si>
    <t xml:space="preserve">           5,751,126</t>
  </si>
  <si>
    <t xml:space="preserve">             903,689</t>
  </si>
  <si>
    <t xml:space="preserve">             209,785.9</t>
  </si>
  <si>
    <t xml:space="preserve">          18,411,009</t>
  </si>
  <si>
    <t xml:space="preserve">             204,788.7</t>
  </si>
  <si>
    <t xml:space="preserve">          10,716,169</t>
  </si>
  <si>
    <t xml:space="preserve">           7,694,840</t>
  </si>
  <si>
    <t xml:space="preserve">              10,379.8</t>
  </si>
  <si>
    <t xml:space="preserve">              55,659</t>
  </si>
  <si>
    <t xml:space="preserve">              11,116.1</t>
  </si>
  <si>
    <t xml:space="preserve">              44,709</t>
  </si>
  <si>
    <t xml:space="preserve">              10,950</t>
  </si>
  <si>
    <t xml:space="preserve">             665,082.9</t>
  </si>
  <si>
    <t xml:space="preserve">           7,197,545</t>
  </si>
  <si>
    <t xml:space="preserve">              91,498.8</t>
  </si>
  <si>
    <t xml:space="preserve">           1,428,467</t>
  </si>
  <si>
    <t xml:space="preserve">           5,769,078</t>
  </si>
  <si>
    <t xml:space="preserve">                 355.5</t>
  </si>
  <si>
    <t xml:space="preserve">             106,761</t>
  </si>
  <si>
    <t xml:space="preserve">                 437.5</t>
  </si>
  <si>
    <t xml:space="preserve">             344,801</t>
  </si>
  <si>
    <t xml:space="preserve">            -238,040</t>
  </si>
  <si>
    <t xml:space="preserve">             879,225.6</t>
  </si>
  <si>
    <t xml:space="preserve">           2,397,600</t>
  </si>
  <si>
    <t xml:space="preserve">              94,151.2</t>
  </si>
  <si>
    <t xml:space="preserve">             156,225</t>
  </si>
  <si>
    <t xml:space="preserve">           2,241,375</t>
  </si>
  <si>
    <t xml:space="preserve">              17,162.4</t>
  </si>
  <si>
    <t xml:space="preserve">           1,410,786</t>
  </si>
  <si>
    <t xml:space="preserve">              15,401.2</t>
  </si>
  <si>
    <t xml:space="preserve">           1,928,130</t>
  </si>
  <si>
    <t xml:space="preserve">            -517,344</t>
  </si>
  <si>
    <t xml:space="preserve">                  10.9</t>
  </si>
  <si>
    <t xml:space="preserve">              15,508</t>
  </si>
  <si>
    <t xml:space="preserve">                 308.9</t>
  </si>
  <si>
    <t xml:space="preserve">             100,082</t>
  </si>
  <si>
    <t xml:space="preserve">             -84,574</t>
  </si>
  <si>
    <t xml:space="preserve">                 474.7</t>
  </si>
  <si>
    <t xml:space="preserve">               8,438</t>
  </si>
  <si>
    <t xml:space="preserve">                 720.1</t>
  </si>
  <si>
    <t xml:space="preserve">              17,977</t>
  </si>
  <si>
    <t xml:space="preserve">              -9,539</t>
  </si>
  <si>
    <t xml:space="preserve">               2,396.3</t>
  </si>
  <si>
    <t xml:space="preserve">             218,257</t>
  </si>
  <si>
    <t xml:space="preserve">                 146.4</t>
  </si>
  <si>
    <t xml:space="preserve">              16,935</t>
  </si>
  <si>
    <t xml:space="preserve">             201,322</t>
  </si>
  <si>
    <t xml:space="preserve">              16,948.0</t>
  </si>
  <si>
    <t xml:space="preserve">             125,918</t>
  </si>
  <si>
    <t xml:space="preserve">              76,526.1</t>
  </si>
  <si>
    <t xml:space="preserve">             333,018</t>
  </si>
  <si>
    <t xml:space="preserve">            -207,100</t>
  </si>
  <si>
    <t xml:space="preserve">               2,082.2</t>
  </si>
  <si>
    <t xml:space="preserve">              48,032</t>
  </si>
  <si>
    <t xml:space="preserve">              15,452.5</t>
  </si>
  <si>
    <t xml:space="preserve">             196,362</t>
  </si>
  <si>
    <t xml:space="preserve">            -148,329</t>
  </si>
  <si>
    <t xml:space="preserve">               2,125.8</t>
  </si>
  <si>
    <t xml:space="preserve">              39,394</t>
  </si>
  <si>
    <t xml:space="preserve">              10,090.5</t>
  </si>
  <si>
    <t xml:space="preserve">              87,701</t>
  </si>
  <si>
    <t xml:space="preserve">             -48,307</t>
  </si>
  <si>
    <t xml:space="preserve">                  14.2</t>
  </si>
  <si>
    <t xml:space="preserve">              13,667</t>
  </si>
  <si>
    <t xml:space="preserve">                  43.2</t>
  </si>
  <si>
    <t xml:space="preserve">              30,589</t>
  </si>
  <si>
    <t xml:space="preserve">             -16,922</t>
  </si>
  <si>
    <t xml:space="preserve">                 523</t>
  </si>
  <si>
    <t xml:space="preserve">                 102.0</t>
  </si>
  <si>
    <t xml:space="preserve">               5,666</t>
  </si>
  <si>
    <t xml:space="preserve">              -5,143</t>
  </si>
  <si>
    <t xml:space="preserve">               4,707.3</t>
  </si>
  <si>
    <t xml:space="preserve">               6,482</t>
  </si>
  <si>
    <t xml:space="preserve">              79,910.3</t>
  </si>
  <si>
    <t xml:space="preserve">             371,229</t>
  </si>
  <si>
    <t xml:space="preserve">            -364,747</t>
  </si>
  <si>
    <t xml:space="preserve">              45,932.5</t>
  </si>
  <si>
    <t xml:space="preserve">             143,073</t>
  </si>
  <si>
    <t xml:space="preserve">             107,915.0</t>
  </si>
  <si>
    <t xml:space="preserve">             507,303</t>
  </si>
  <si>
    <t xml:space="preserve">            -364,230</t>
  </si>
  <si>
    <t xml:space="preserve">               2,634.8</t>
  </si>
  <si>
    <t xml:space="preserve">               6,654</t>
  </si>
  <si>
    <t xml:space="preserve">              27,244.9</t>
  </si>
  <si>
    <t xml:space="preserve">             118,240</t>
  </si>
  <si>
    <t xml:space="preserve">            -111,585</t>
  </si>
  <si>
    <t xml:space="preserve">               1,299.2</t>
  </si>
  <si>
    <t xml:space="preserve">               4,054</t>
  </si>
  <si>
    <t xml:space="preserve">               3,493.1</t>
  </si>
  <si>
    <t xml:space="preserve">              15,733</t>
  </si>
  <si>
    <t xml:space="preserve">             -11,679</t>
  </si>
  <si>
    <t xml:space="preserve">                 181.9</t>
  </si>
  <si>
    <t xml:space="preserve">                 995</t>
  </si>
  <si>
    <t xml:space="preserve">              11,764.0</t>
  </si>
  <si>
    <t xml:space="preserve">              17,837</t>
  </si>
  <si>
    <t xml:space="preserve">             -16,843</t>
  </si>
  <si>
    <t xml:space="preserve">               6,436.2</t>
  </si>
  <si>
    <t xml:space="preserve">              12,484</t>
  </si>
  <si>
    <t xml:space="preserve">             108,839.2</t>
  </si>
  <si>
    <t xml:space="preserve">              86,828</t>
  </si>
  <si>
    <t xml:space="preserve">             -74,344</t>
  </si>
  <si>
    <t xml:space="preserve">               6,265.7</t>
  </si>
  <si>
    <t xml:space="preserve">              40,052</t>
  </si>
  <si>
    <t xml:space="preserve">              62,327.0</t>
  </si>
  <si>
    <t xml:space="preserve">             130,791</t>
  </si>
  <si>
    <t xml:space="preserve">             -90,739</t>
  </si>
  <si>
    <t xml:space="preserve">                 592.5</t>
  </si>
  <si>
    <t xml:space="preserve">               4,472</t>
  </si>
  <si>
    <t xml:space="preserve">              16,229.2</t>
  </si>
  <si>
    <t xml:space="preserve">             112,476</t>
  </si>
  <si>
    <t xml:space="preserve">            -108,004</t>
  </si>
  <si>
    <t xml:space="preserve">               8,700.4</t>
  </si>
  <si>
    <t xml:space="preserve">              13,100</t>
  </si>
  <si>
    <t xml:space="preserve">           1,451,534.8</t>
  </si>
  <si>
    <t xml:space="preserve">             388,990</t>
  </si>
  <si>
    <t xml:space="preserve">            -375,890</t>
  </si>
  <si>
    <t xml:space="preserve">               5,980.1</t>
  </si>
  <si>
    <t xml:space="preserve">               4,123</t>
  </si>
  <si>
    <t xml:space="preserve">              36,940.1</t>
  </si>
  <si>
    <t xml:space="preserve">              30,652</t>
  </si>
  <si>
    <t xml:space="preserve">             -26,529</t>
  </si>
  <si>
    <t xml:space="preserve">               2,377.9</t>
  </si>
  <si>
    <t xml:space="preserve">              55,279</t>
  </si>
  <si>
    <t xml:space="preserve">             213,249.0</t>
  </si>
  <si>
    <t xml:space="preserve">             132,826</t>
  </si>
  <si>
    <t xml:space="preserve">             -77,547</t>
  </si>
  <si>
    <t xml:space="preserve">                 358.0</t>
  </si>
  <si>
    <t xml:space="preserve">               7,306</t>
  </si>
  <si>
    <t xml:space="preserve">               9,950.5</t>
  </si>
  <si>
    <t xml:space="preserve">              26,185</t>
  </si>
  <si>
    <t xml:space="preserve">             -18,880</t>
  </si>
  <si>
    <t xml:space="preserve">                  39</t>
  </si>
  <si>
    <t xml:space="preserve">               9,673.7</t>
  </si>
  <si>
    <t xml:space="preserve">               2,866</t>
  </si>
  <si>
    <t xml:space="preserve">              -2,827</t>
  </si>
  <si>
    <t xml:space="preserve">              26,960.3</t>
  </si>
  <si>
    <t xml:space="preserve">              30,530</t>
  </si>
  <si>
    <t xml:space="preserve">             126,380.8</t>
  </si>
  <si>
    <t xml:space="preserve">             178,094</t>
  </si>
  <si>
    <t xml:space="preserve">            -147,564</t>
  </si>
  <si>
    <t xml:space="preserve">               4,421.1</t>
  </si>
  <si>
    <t xml:space="preserve">              27,344</t>
  </si>
  <si>
    <t xml:space="preserve">              15,969.4</t>
  </si>
  <si>
    <t xml:space="preserve">              87,918</t>
  </si>
  <si>
    <t xml:space="preserve">             -60,574</t>
  </si>
  <si>
    <t xml:space="preserve">              35,489.1</t>
  </si>
  <si>
    <t xml:space="preserve">              31,956</t>
  </si>
  <si>
    <t xml:space="preserve">             255,866.8</t>
  </si>
  <si>
    <t xml:space="preserve">             163,564</t>
  </si>
  <si>
    <t xml:space="preserve">            -131,608</t>
  </si>
  <si>
    <t xml:space="preserve">               2,720.7</t>
  </si>
  <si>
    <t xml:space="preserve">               9,930</t>
  </si>
  <si>
    <t xml:space="preserve">               6,726.4</t>
  </si>
  <si>
    <t xml:space="preserve">              57,415</t>
  </si>
  <si>
    <t xml:space="preserve">             -47,485</t>
  </si>
  <si>
    <t xml:space="preserve">              52,847.1</t>
  </si>
  <si>
    <t xml:space="preserve">             207,896</t>
  </si>
  <si>
    <t xml:space="preserve">              29,499.3</t>
  </si>
  <si>
    <t xml:space="preserve">              94,831</t>
  </si>
  <si>
    <t xml:space="preserve">             113,065</t>
  </si>
  <si>
    <t xml:space="preserve">              10,993.1</t>
  </si>
  <si>
    <t xml:space="preserve">              90,747</t>
  </si>
  <si>
    <t xml:space="preserve">             113,352.0</t>
  </si>
  <si>
    <t xml:space="preserve">             157,477</t>
  </si>
  <si>
    <t xml:space="preserve">             -66,730</t>
  </si>
  <si>
    <t xml:space="preserve">              34,427.4</t>
  </si>
  <si>
    <t xml:space="preserve">             157,399</t>
  </si>
  <si>
    <t xml:space="preserve">              31,437.9</t>
  </si>
  <si>
    <t xml:space="preserve">             219,621</t>
  </si>
  <si>
    <t xml:space="preserve">             -62,222</t>
  </si>
  <si>
    <t xml:space="preserve">              69,980.4</t>
  </si>
  <si>
    <t xml:space="preserve">              89,744</t>
  </si>
  <si>
    <t xml:space="preserve">              81,197.7</t>
  </si>
  <si>
    <t xml:space="preserve">             131,406</t>
  </si>
  <si>
    <t xml:space="preserve">             -41,662</t>
  </si>
  <si>
    <t xml:space="preserve">              29,132.4</t>
  </si>
  <si>
    <t xml:space="preserve">              27,319</t>
  </si>
  <si>
    <t xml:space="preserve">             545,216.9</t>
  </si>
  <si>
    <t xml:space="preserve">             186,635</t>
  </si>
  <si>
    <t xml:space="preserve">            -159,316</t>
  </si>
  <si>
    <t xml:space="preserve">              10,714.0</t>
  </si>
  <si>
    <t xml:space="preserve">             109,040</t>
  </si>
  <si>
    <t xml:space="preserve">               5,007.8</t>
  </si>
  <si>
    <t xml:space="preserve">              53,078</t>
  </si>
  <si>
    <t xml:space="preserve">              55,963</t>
  </si>
  <si>
    <t xml:space="preserve">             559,223.8</t>
  </si>
  <si>
    <t xml:space="preserve">              34,432</t>
  </si>
  <si>
    <t xml:space="preserve">           1,033,112.5</t>
  </si>
  <si>
    <t xml:space="preserve">              93,648</t>
  </si>
  <si>
    <t xml:space="preserve">             -59,216</t>
  </si>
  <si>
    <t xml:space="preserve">             235,064.7</t>
  </si>
  <si>
    <t xml:space="preserve">              75,310</t>
  </si>
  <si>
    <t xml:space="preserve">           6,686,095.5</t>
  </si>
  <si>
    <t xml:space="preserve">           1,552,457</t>
  </si>
  <si>
    <t xml:space="preserve">          -1,477,146</t>
  </si>
  <si>
    <t xml:space="preserve">           5,901,974.4</t>
  </si>
  <si>
    <t xml:space="preserve">           4,124,226</t>
  </si>
  <si>
    <t xml:space="preserve">          29,735,448.1</t>
  </si>
  <si>
    <t xml:space="preserve">          12,757,191</t>
  </si>
  <si>
    <t xml:space="preserve">          -8,632,965</t>
  </si>
  <si>
    <t xml:space="preserve">             503,446.0</t>
  </si>
  <si>
    <t xml:space="preserve">             785,044</t>
  </si>
  <si>
    <t xml:space="preserve">             404,296.9</t>
  </si>
  <si>
    <t xml:space="preserve">             842,996</t>
  </si>
  <si>
    <t xml:space="preserve">             -57,952</t>
  </si>
  <si>
    <t xml:space="preserve">           1,825,672.2</t>
  </si>
  <si>
    <t xml:space="preserve">           1,829,133</t>
  </si>
  <si>
    <t xml:space="preserve">             682,784.9</t>
  </si>
  <si>
    <t xml:space="preserve">           1,134,399</t>
  </si>
  <si>
    <t xml:space="preserve">             694,734</t>
  </si>
  <si>
    <t xml:space="preserve">               3,550.1</t>
  </si>
  <si>
    <t xml:space="preserve">             611,814</t>
  </si>
  <si>
    <t xml:space="preserve">               6,348.2</t>
  </si>
  <si>
    <t xml:space="preserve">             706,141</t>
  </si>
  <si>
    <t xml:space="preserve">             -94,327</t>
  </si>
  <si>
    <t xml:space="preserve">             139,174.1</t>
  </si>
  <si>
    <t xml:space="preserve">              53,825</t>
  </si>
  <si>
    <t xml:space="preserve">             175,252.0</t>
  </si>
  <si>
    <t xml:space="preserve">              68,491</t>
  </si>
  <si>
    <t xml:space="preserve">             -14,666</t>
  </si>
  <si>
    <t xml:space="preserve">              30,676.4</t>
  </si>
  <si>
    <t xml:space="preserve">             221,921</t>
  </si>
  <si>
    <t xml:space="preserve">              25,001.6</t>
  </si>
  <si>
    <t xml:space="preserve">             186,435</t>
  </si>
  <si>
    <t xml:space="preserve">              35,486</t>
  </si>
  <si>
    <t xml:space="preserve">              39,697.9</t>
  </si>
  <si>
    <t xml:space="preserve">             850,607</t>
  </si>
  <si>
    <t xml:space="preserve">               9,377.5</t>
  </si>
  <si>
    <t xml:space="preserve">             166,997</t>
  </si>
  <si>
    <t xml:space="preserve">             683,610</t>
  </si>
  <si>
    <t xml:space="preserve">              59,305.1</t>
  </si>
  <si>
    <t xml:space="preserve">             155,605</t>
  </si>
  <si>
    <t xml:space="preserve">              28,463.0</t>
  </si>
  <si>
    <t xml:space="preserve">             102,076</t>
  </si>
  <si>
    <t xml:space="preserve">              53,529</t>
  </si>
  <si>
    <t xml:space="preserve">               6,679.1</t>
  </si>
  <si>
    <t xml:space="preserve">              82,342</t>
  </si>
  <si>
    <t xml:space="preserve">              29,274.7</t>
  </si>
  <si>
    <t xml:space="preserve">              83,574</t>
  </si>
  <si>
    <t xml:space="preserve">              -1,232</t>
  </si>
  <si>
    <t xml:space="preserve">                 267.7</t>
  </si>
  <si>
    <t xml:space="preserve">               8,579</t>
  </si>
  <si>
    <t xml:space="preserve">                 428.2</t>
  </si>
  <si>
    <t xml:space="preserve">               8,469</t>
  </si>
  <si>
    <t xml:space="preserve">               1,851.2</t>
  </si>
  <si>
    <t xml:space="preserve">              93,107</t>
  </si>
  <si>
    <t xml:space="preserve">               3,816.3</t>
  </si>
  <si>
    <t xml:space="preserve">              86,400</t>
  </si>
  <si>
    <t xml:space="preserve">               6,708</t>
  </si>
  <si>
    <t xml:space="preserve">              99,504.8</t>
  </si>
  <si>
    <t xml:space="preserve">             589,876</t>
  </si>
  <si>
    <t xml:space="preserve">             232,933.0</t>
  </si>
  <si>
    <t xml:space="preserve">             798,507</t>
  </si>
  <si>
    <t xml:space="preserve">            -208,631</t>
  </si>
  <si>
    <t xml:space="preserve">           1,473,580.1</t>
  </si>
  <si>
    <t xml:space="preserve">           2,887,852</t>
  </si>
  <si>
    <t xml:space="preserve">             257,438.2</t>
  </si>
  <si>
    <t xml:space="preserve">           1,135,449</t>
  </si>
  <si>
    <t xml:space="preserve">           1,752,402</t>
  </si>
  <si>
    <t xml:space="preserve">             247,984.8</t>
  </si>
  <si>
    <t xml:space="preserve">             637,026</t>
  </si>
  <si>
    <t xml:space="preserve">              85,302.7</t>
  </si>
  <si>
    <t xml:space="preserve">             277,441</t>
  </si>
  <si>
    <t xml:space="preserve">             359,585</t>
  </si>
  <si>
    <t xml:space="preserve">               2,650.2</t>
  </si>
  <si>
    <t xml:space="preserve">              24,663</t>
  </si>
  <si>
    <t xml:space="preserve">               6,626.4</t>
  </si>
  <si>
    <t xml:space="preserve">              19,981</t>
  </si>
  <si>
    <t xml:space="preserve">               4,682</t>
  </si>
  <si>
    <t xml:space="preserve">                 924.1</t>
  </si>
  <si>
    <t xml:space="preserve">              36,781</t>
  </si>
  <si>
    <t xml:space="preserve">              10,226.1</t>
  </si>
  <si>
    <t xml:space="preserve">             325,771</t>
  </si>
  <si>
    <t xml:space="preserve">            -288,990</t>
  </si>
  <si>
    <t xml:space="preserve">                   7.0</t>
  </si>
  <si>
    <t xml:space="preserve">                 912</t>
  </si>
  <si>
    <t xml:space="preserve">                  83.4</t>
  </si>
  <si>
    <t xml:space="preserve">               8,672</t>
  </si>
  <si>
    <t xml:space="preserve">              -7,760</t>
  </si>
  <si>
    <t xml:space="preserve">               3,219.0</t>
  </si>
  <si>
    <t xml:space="preserve">               4,779</t>
  </si>
  <si>
    <t xml:space="preserve">             956,983.0</t>
  </si>
  <si>
    <t xml:space="preserve">             273,544</t>
  </si>
  <si>
    <t xml:space="preserve">            -268,766</t>
  </si>
  <si>
    <t xml:space="preserve">                   0.6</t>
  </si>
  <si>
    <t xml:space="preserve">                  17</t>
  </si>
  <si>
    <t xml:space="preserve">                  77.8</t>
  </si>
  <si>
    <t xml:space="preserve">                 607</t>
  </si>
  <si>
    <t xml:space="preserve">                -590</t>
  </si>
  <si>
    <t xml:space="preserve">                 157</t>
  </si>
  <si>
    <t xml:space="preserve">                 337.4</t>
  </si>
  <si>
    <t xml:space="preserve">               1,395</t>
  </si>
  <si>
    <t xml:space="preserve">              -1,238</t>
  </si>
  <si>
    <t xml:space="preserve">              40,304.8</t>
  </si>
  <si>
    <t xml:space="preserve">               8,289</t>
  </si>
  <si>
    <t xml:space="preserve">             204,647.0</t>
  </si>
  <si>
    <t xml:space="preserve">             108,667</t>
  </si>
  <si>
    <t xml:space="preserve">            -100,378</t>
  </si>
  <si>
    <t xml:space="preserve">             235,486.9</t>
  </si>
  <si>
    <t xml:space="preserve">             225,238</t>
  </si>
  <si>
    <t xml:space="preserve">             129,419.5</t>
  </si>
  <si>
    <t xml:space="preserve">             197,456</t>
  </si>
  <si>
    <t xml:space="preserve">              27,783</t>
  </si>
  <si>
    <t xml:space="preserve">               2,793.4</t>
  </si>
  <si>
    <t xml:space="preserve">              43,605</t>
  </si>
  <si>
    <t xml:space="preserve">               1,466.9</t>
  </si>
  <si>
    <t xml:space="preserve">              29,541</t>
  </si>
  <si>
    <t xml:space="preserve">              14,064</t>
  </si>
  <si>
    <t xml:space="preserve">                   7.8</t>
  </si>
  <si>
    <t xml:space="preserve">               1,093</t>
  </si>
  <si>
    <t xml:space="preserve">                  38.9</t>
  </si>
  <si>
    <t xml:space="preserve">               2,513</t>
  </si>
  <si>
    <t xml:space="preserve">              -1,419</t>
  </si>
  <si>
    <t xml:space="preserve">                  90.9</t>
  </si>
  <si>
    <t xml:space="preserve">               1,548</t>
  </si>
  <si>
    <t xml:space="preserve">                 746.1</t>
  </si>
  <si>
    <t xml:space="preserve">              14,937</t>
  </si>
  <si>
    <t xml:space="preserve">             -13,388</t>
  </si>
  <si>
    <t xml:space="preserve">               3,534.0</t>
  </si>
  <si>
    <t xml:space="preserve">              27,162</t>
  </si>
  <si>
    <t xml:space="preserve">              18,509.8</t>
  </si>
  <si>
    <t xml:space="preserve">              58,950</t>
  </si>
  <si>
    <t xml:space="preserve">             -31,788</t>
  </si>
  <si>
    <t xml:space="preserve">                  68.7</t>
  </si>
  <si>
    <t xml:space="preserve">               1,344</t>
  </si>
  <si>
    <t xml:space="preserve">               1,287.4</t>
  </si>
  <si>
    <t xml:space="preserve">               4,126</t>
  </si>
  <si>
    <t xml:space="preserve">              -2,782</t>
  </si>
  <si>
    <t xml:space="preserve">              26,191.6</t>
  </si>
  <si>
    <t xml:space="preserve">             168,568</t>
  </si>
  <si>
    <t xml:space="preserve">              43,322.8</t>
  </si>
  <si>
    <t xml:space="preserve">              97,474</t>
  </si>
  <si>
    <t xml:space="preserve">              71,094</t>
  </si>
  <si>
    <t xml:space="preserve">              59,306.6</t>
  </si>
  <si>
    <t xml:space="preserve">             108,584</t>
  </si>
  <si>
    <t xml:space="preserve">              14,497.0</t>
  </si>
  <si>
    <t xml:space="preserve">              49,934</t>
  </si>
  <si>
    <t xml:space="preserve">              58,649</t>
  </si>
  <si>
    <t xml:space="preserve">               9,827.8</t>
  </si>
  <si>
    <t xml:space="preserve">              63,888</t>
  </si>
  <si>
    <t xml:space="preserve">              18,338.2</t>
  </si>
  <si>
    <t xml:space="preserve">              53,391</t>
  </si>
  <si>
    <t xml:space="preserve">              10,497</t>
  </si>
  <si>
    <t xml:space="preserve">                 592.0</t>
  </si>
  <si>
    <t xml:space="preserve">               6,597</t>
  </si>
  <si>
    <t xml:space="preserve">               5,734.0</t>
  </si>
  <si>
    <t xml:space="preserve">               9,711</t>
  </si>
  <si>
    <t xml:space="preserve">              -3,113</t>
  </si>
  <si>
    <t xml:space="preserve">               1,242.4</t>
  </si>
  <si>
    <t xml:space="preserve">              16,080</t>
  </si>
  <si>
    <t xml:space="preserve">               1,008.3</t>
  </si>
  <si>
    <t xml:space="preserve">               7,877</t>
  </si>
  <si>
    <t xml:space="preserve">               8,203</t>
  </si>
  <si>
    <t xml:space="preserve">               9,198.7</t>
  </si>
  <si>
    <t xml:space="preserve">              93,200</t>
  </si>
  <si>
    <t xml:space="preserve">               6,137.6</t>
  </si>
  <si>
    <t xml:space="preserve">              38,620</t>
  </si>
  <si>
    <t xml:space="preserve">              54,580</t>
  </si>
  <si>
    <t xml:space="preserve">              17,906.6</t>
  </si>
  <si>
    <t xml:space="preserve">             140,035</t>
  </si>
  <si>
    <t xml:space="preserve">               1,987.6</t>
  </si>
  <si>
    <t xml:space="preserve">              10,372</t>
  </si>
  <si>
    <t xml:space="preserve">             129,664</t>
  </si>
  <si>
    <t xml:space="preserve">               3,257.6</t>
  </si>
  <si>
    <t xml:space="preserve">              78,740</t>
  </si>
  <si>
    <t xml:space="preserve">              23,932.8</t>
  </si>
  <si>
    <t xml:space="preserve">             401,618</t>
  </si>
  <si>
    <t xml:space="preserve">            -322,878</t>
  </si>
  <si>
    <t xml:space="preserve">               3,382.6</t>
  </si>
  <si>
    <t xml:space="preserve">              90,817</t>
  </si>
  <si>
    <t xml:space="preserve">              22,362.3</t>
  </si>
  <si>
    <t xml:space="preserve">             534,050</t>
  </si>
  <si>
    <t xml:space="preserve">            -443,233</t>
  </si>
  <si>
    <t xml:space="preserve">              27,297.2</t>
  </si>
  <si>
    <t xml:space="preserve">              51,292</t>
  </si>
  <si>
    <t xml:space="preserve">              28,869.0</t>
  </si>
  <si>
    <t xml:space="preserve">             118,669</t>
  </si>
  <si>
    <t xml:space="preserve">             -67,378</t>
  </si>
  <si>
    <t xml:space="preserve">               1,414.4</t>
  </si>
  <si>
    <t xml:space="preserve">              34,175</t>
  </si>
  <si>
    <t xml:space="preserve">              12,235.4</t>
  </si>
  <si>
    <t xml:space="preserve">             334,017</t>
  </si>
  <si>
    <t xml:space="preserve">            -299,842</t>
  </si>
  <si>
    <t xml:space="preserve">                 295.4</t>
  </si>
  <si>
    <t xml:space="preserve">               8,118</t>
  </si>
  <si>
    <t xml:space="preserve">                 993.9</t>
  </si>
  <si>
    <t xml:space="preserve">              24,868</t>
  </si>
  <si>
    <t xml:space="preserve">             -16,750</t>
  </si>
  <si>
    <t xml:space="preserve">                   9.2</t>
  </si>
  <si>
    <t xml:space="preserve">                 527</t>
  </si>
  <si>
    <t xml:space="preserve">               1,025.0</t>
  </si>
  <si>
    <t xml:space="preserve">               7,435</t>
  </si>
  <si>
    <t xml:space="preserve">              -6,907</t>
  </si>
  <si>
    <t xml:space="preserve">               1,484</t>
  </si>
  <si>
    <t xml:space="preserve">                 567.5</t>
  </si>
  <si>
    <t xml:space="preserve">               9,166</t>
  </si>
  <si>
    <t xml:space="preserve">              -7,683</t>
  </si>
  <si>
    <t xml:space="preserve">              10,782.6</t>
  </si>
  <si>
    <t xml:space="preserve">              78,810</t>
  </si>
  <si>
    <t xml:space="preserve">             232,537.3</t>
  </si>
  <si>
    <t xml:space="preserve">             112,514</t>
  </si>
  <si>
    <t xml:space="preserve">             -33,703</t>
  </si>
  <si>
    <t xml:space="preserve">               2,224.1</t>
  </si>
  <si>
    <t xml:space="preserve">              27,516</t>
  </si>
  <si>
    <t xml:space="preserve">             162,693.2</t>
  </si>
  <si>
    <t xml:space="preserve">             148,122</t>
  </si>
  <si>
    <t xml:space="preserve">            -120,607</t>
  </si>
  <si>
    <t xml:space="preserve">              30,528.0</t>
  </si>
  <si>
    <t xml:space="preserve">             175,753</t>
  </si>
  <si>
    <t xml:space="preserve">              87,527.2</t>
  </si>
  <si>
    <t xml:space="preserve">             219,791</t>
  </si>
  <si>
    <t xml:space="preserve">             -44,038</t>
  </si>
  <si>
    <t xml:space="preserve">                 578.9</t>
  </si>
  <si>
    <t xml:space="preserve">             407,576</t>
  </si>
  <si>
    <t xml:space="preserve">                 910.3</t>
  </si>
  <si>
    <t xml:space="preserve">             487,820</t>
  </si>
  <si>
    <t xml:space="preserve">             -80,244</t>
  </si>
  <si>
    <t xml:space="preserve">           2,459,228.4</t>
  </si>
  <si>
    <t xml:space="preserve">           2,069,818</t>
  </si>
  <si>
    <t xml:space="preserve">           1,308,926.6</t>
  </si>
  <si>
    <t xml:space="preserve">           1,039,294</t>
  </si>
  <si>
    <t xml:space="preserve">           1,030,524</t>
  </si>
  <si>
    <t xml:space="preserve">             297,121.7</t>
  </si>
  <si>
    <t xml:space="preserve">             823,416</t>
  </si>
  <si>
    <t xml:space="preserve">             264,659.7</t>
  </si>
  <si>
    <t xml:space="preserve">             868,381</t>
  </si>
  <si>
    <t xml:space="preserve">             -44,965</t>
  </si>
  <si>
    <t xml:space="preserve">              62,525.9</t>
  </si>
  <si>
    <t xml:space="preserve">             565,743</t>
  </si>
  <si>
    <t xml:space="preserve">              67,864.1</t>
  </si>
  <si>
    <t xml:space="preserve">             611,734</t>
  </si>
  <si>
    <t xml:space="preserve">             -45,990</t>
  </si>
  <si>
    <t xml:space="preserve">               1,376.1</t>
  </si>
  <si>
    <t xml:space="preserve">              16,242</t>
  </si>
  <si>
    <t xml:space="preserve">               5,931.8</t>
  </si>
  <si>
    <t xml:space="preserve">             118,273</t>
  </si>
  <si>
    <t xml:space="preserve">            -102,031</t>
  </si>
  <si>
    <t xml:space="preserve">             123,619.8</t>
  </si>
  <si>
    <t xml:space="preserve">             481,104</t>
  </si>
  <si>
    <t xml:space="preserve">             240,057.3</t>
  </si>
  <si>
    <t xml:space="preserve">             733,047</t>
  </si>
  <si>
    <t xml:space="preserve">            -251,943</t>
  </si>
  <si>
    <t xml:space="preserve">              33,310.8</t>
  </si>
  <si>
    <t xml:space="preserve">              72,731</t>
  </si>
  <si>
    <t xml:space="preserve">              16,810.0</t>
  </si>
  <si>
    <t xml:space="preserve">              35,862</t>
  </si>
  <si>
    <t xml:space="preserve">              36,869</t>
  </si>
  <si>
    <t xml:space="preserve">              43,170.9</t>
  </si>
  <si>
    <t xml:space="preserve">             135,900</t>
  </si>
  <si>
    <t xml:space="preserve">               4,646.4</t>
  </si>
  <si>
    <t xml:space="preserve">              15,882</t>
  </si>
  <si>
    <t xml:space="preserve">             120,018</t>
  </si>
  <si>
    <t xml:space="preserve">                 151.1</t>
  </si>
  <si>
    <t xml:space="preserve">               5,161</t>
  </si>
  <si>
    <t xml:space="preserve">               1,057.1</t>
  </si>
  <si>
    <t xml:space="preserve">              37,074</t>
  </si>
  <si>
    <t xml:space="preserve">             -31,913</t>
  </si>
  <si>
    <t xml:space="preserve">               3,212.8</t>
  </si>
  <si>
    <t xml:space="preserve">              39,032</t>
  </si>
  <si>
    <t xml:space="preserve">              15,852.6</t>
  </si>
  <si>
    <t xml:space="preserve">             126,476</t>
  </si>
  <si>
    <t xml:space="preserve">             -87,444</t>
  </si>
  <si>
    <t xml:space="preserve">               6,268.7</t>
  </si>
  <si>
    <t xml:space="preserve">             137,173</t>
  </si>
  <si>
    <t xml:space="preserve">               5,841.4</t>
  </si>
  <si>
    <t xml:space="preserve">              92,512</t>
  </si>
  <si>
    <t xml:space="preserve">              44,660</t>
  </si>
  <si>
    <t xml:space="preserve">              25,843.8</t>
  </si>
  <si>
    <t xml:space="preserve">             144,909</t>
  </si>
  <si>
    <t xml:space="preserve">              13,253.9</t>
  </si>
  <si>
    <t xml:space="preserve">              89,189</t>
  </si>
  <si>
    <t xml:space="preserve">              55,720</t>
  </si>
  <si>
    <t xml:space="preserve">             366,389.4</t>
  </si>
  <si>
    <t xml:space="preserve">           7,773,055</t>
  </si>
  <si>
    <t xml:space="preserve">             203,976.4</t>
  </si>
  <si>
    <t xml:space="preserve">           6,579,785</t>
  </si>
  <si>
    <t xml:space="preserve">           1,193,271</t>
  </si>
  <si>
    <t xml:space="preserve">             229,624.2</t>
  </si>
  <si>
    <t xml:space="preserve">          19,866,706</t>
  </si>
  <si>
    <t xml:space="preserve">             206,797.7</t>
  </si>
  <si>
    <t xml:space="preserve">          11,272,882</t>
  </si>
  <si>
    <t xml:space="preserve">           8,593,824</t>
  </si>
  <si>
    <t xml:space="preserve">              12,239.4</t>
  </si>
  <si>
    <t xml:space="preserve">             102,466</t>
  </si>
  <si>
    <t xml:space="preserve">              12,698.5</t>
  </si>
  <si>
    <t xml:space="preserve">              38,503</t>
  </si>
  <si>
    <t xml:space="preserve">              63,963</t>
  </si>
  <si>
    <t xml:space="preserve">             745,346.7</t>
  </si>
  <si>
    <t xml:space="preserve">           7,972,166</t>
  </si>
  <si>
    <t xml:space="preserve">             109,998.0</t>
  </si>
  <si>
    <t xml:space="preserve">           1,718,654</t>
  </si>
  <si>
    <t xml:space="preserve">           6,253,512</t>
  </si>
  <si>
    <t xml:space="preserve">                 396.5</t>
  </si>
  <si>
    <t xml:space="preserve">             119,762</t>
  </si>
  <si>
    <t xml:space="preserve">                 951.0</t>
  </si>
  <si>
    <t xml:space="preserve">             683,631</t>
  </si>
  <si>
    <t xml:space="preserve">            -563,870</t>
  </si>
  <si>
    <t xml:space="preserve">           1,158,206.6</t>
  </si>
  <si>
    <t xml:space="preserve">           2,942,884</t>
  </si>
  <si>
    <t xml:space="preserve">             590,960.0</t>
  </si>
  <si>
    <t xml:space="preserve">             608,800</t>
  </si>
  <si>
    <t xml:space="preserve">           2,334,083</t>
  </si>
  <si>
    <t xml:space="preserve">              18,686.5</t>
  </si>
  <si>
    <t xml:space="preserve">           1,483,211</t>
  </si>
  <si>
    <t xml:space="preserve">              18,101.4</t>
  </si>
  <si>
    <t xml:space="preserve">           2,348,159</t>
  </si>
  <si>
    <t xml:space="preserve">            -864,948</t>
  </si>
  <si>
    <t xml:space="preserve">                  15.3</t>
  </si>
  <si>
    <t xml:space="preserve">              13,824</t>
  </si>
  <si>
    <t xml:space="preserve">                 277.3</t>
  </si>
  <si>
    <t xml:space="preserve">              86,412</t>
  </si>
  <si>
    <t xml:space="preserve">             -72,588</t>
  </si>
  <si>
    <t xml:space="preserve">                 408.1</t>
  </si>
  <si>
    <t xml:space="preserve">               9,808</t>
  </si>
  <si>
    <t xml:space="preserve">              18,694</t>
  </si>
  <si>
    <t xml:space="preserve">              -8,886</t>
  </si>
  <si>
    <t xml:space="preserve">               3,800.7</t>
  </si>
  <si>
    <t xml:space="preserve">             282,517</t>
  </si>
  <si>
    <t xml:space="preserve">                 219.0</t>
  </si>
  <si>
    <t xml:space="preserve">              11,991</t>
  </si>
  <si>
    <t xml:space="preserve">             270,526</t>
  </si>
  <si>
    <t xml:space="preserve">              15,826.2</t>
  </si>
  <si>
    <t xml:space="preserve">             116,556</t>
  </si>
  <si>
    <t xml:space="preserve">              85,102.8</t>
  </si>
  <si>
    <t xml:space="preserve">             366,008</t>
  </si>
  <si>
    <t xml:space="preserve">            -249,452</t>
  </si>
  <si>
    <t xml:space="preserve">               2,260.1</t>
  </si>
  <si>
    <t xml:space="preserve">              58,339</t>
  </si>
  <si>
    <t xml:space="preserve">              16,394.5</t>
  </si>
  <si>
    <t xml:space="preserve">             206,143</t>
  </si>
  <si>
    <t xml:space="preserve">            -147,805</t>
  </si>
  <si>
    <t xml:space="preserve">               2,229.8</t>
  </si>
  <si>
    <t xml:space="preserve">              37,626</t>
  </si>
  <si>
    <t xml:space="preserve">              12,318.1</t>
  </si>
  <si>
    <t xml:space="preserve">             101,348</t>
  </si>
  <si>
    <t xml:space="preserve">             -63,722</t>
  </si>
  <si>
    <t xml:space="preserve">              16,463</t>
  </si>
  <si>
    <t xml:space="preserve">                  79.1</t>
  </si>
  <si>
    <t xml:space="preserve">              45,097</t>
  </si>
  <si>
    <t xml:space="preserve">             -28,634</t>
  </si>
  <si>
    <t xml:space="preserve">                   3.4</t>
  </si>
  <si>
    <t xml:space="preserve">                 511</t>
  </si>
  <si>
    <t xml:space="preserve">                  44.7</t>
  </si>
  <si>
    <t xml:space="preserve">               4,460</t>
  </si>
  <si>
    <t xml:space="preserve">              -3,948</t>
  </si>
  <si>
    <t xml:space="preserve">               4,211.3</t>
  </si>
  <si>
    <t xml:space="preserve">             128,765.3</t>
  </si>
  <si>
    <t xml:space="preserve">             728,984</t>
  </si>
  <si>
    <t xml:space="preserve">            -723,116</t>
  </si>
  <si>
    <t xml:space="preserve">              32,173.3</t>
  </si>
  <si>
    <t xml:space="preserve">              98,077</t>
  </si>
  <si>
    <t xml:space="preserve">             100,376.1</t>
  </si>
  <si>
    <t xml:space="preserve">             406,964</t>
  </si>
  <si>
    <t xml:space="preserve">            -308,888</t>
  </si>
  <si>
    <t xml:space="preserve">               3,019.3</t>
  </si>
  <si>
    <t xml:space="preserve">              26,697.6</t>
  </si>
  <si>
    <t xml:space="preserve">             110,511</t>
  </si>
  <si>
    <t xml:space="preserve">            -104,002</t>
  </si>
  <si>
    <t xml:space="preserve">               1,109.0</t>
  </si>
  <si>
    <t xml:space="preserve">               2,877</t>
  </si>
  <si>
    <t xml:space="preserve">               4,815.5</t>
  </si>
  <si>
    <t xml:space="preserve">              20,120</t>
  </si>
  <si>
    <t xml:space="preserve">             -17,243</t>
  </si>
  <si>
    <t xml:space="preserve">                 418</t>
  </si>
  <si>
    <t xml:space="preserve">               6,543.0</t>
  </si>
  <si>
    <t xml:space="preserve">              13,617</t>
  </si>
  <si>
    <t xml:space="preserve">             -13,199</t>
  </si>
  <si>
    <t xml:space="preserve">               3,458.9</t>
  </si>
  <si>
    <t xml:space="preserve">               9,802</t>
  </si>
  <si>
    <t xml:space="preserve">              92,844.8</t>
  </si>
  <si>
    <t xml:space="preserve">              75,650</t>
  </si>
  <si>
    <t xml:space="preserve">             -65,848</t>
  </si>
  <si>
    <t xml:space="preserve">               2,811.1</t>
  </si>
  <si>
    <t xml:space="preserve">              26,837</t>
  </si>
  <si>
    <t xml:space="preserve">              61,028.0</t>
  </si>
  <si>
    <t xml:space="preserve">             144,994</t>
  </si>
  <si>
    <t xml:space="preserve">            -118,157</t>
  </si>
  <si>
    <t xml:space="preserve">                 367.7</t>
  </si>
  <si>
    <t xml:space="preserve">               2,706</t>
  </si>
  <si>
    <t xml:space="preserve">              16,153.9</t>
  </si>
  <si>
    <t xml:space="preserve">             109,715</t>
  </si>
  <si>
    <t xml:space="preserve">            -107,009</t>
  </si>
  <si>
    <t xml:space="preserve">               1,786.8</t>
  </si>
  <si>
    <t xml:space="preserve">               3,159</t>
  </si>
  <si>
    <t xml:space="preserve">           1,324,476.1</t>
  </si>
  <si>
    <t xml:space="preserve">             363,115</t>
  </si>
  <si>
    <t xml:space="preserve">            -359,956</t>
  </si>
  <si>
    <t xml:space="preserve">               4,838.7</t>
  </si>
  <si>
    <t xml:space="preserve">               3,474</t>
  </si>
  <si>
    <t xml:space="preserve">              27,034.5</t>
  </si>
  <si>
    <t xml:space="preserve">              23,263</t>
  </si>
  <si>
    <t xml:space="preserve">             -19,789</t>
  </si>
  <si>
    <t xml:space="preserve">               2,129.8</t>
  </si>
  <si>
    <t xml:space="preserve">              53,582</t>
  </si>
  <si>
    <t xml:space="preserve">             255,381.1</t>
  </si>
  <si>
    <t xml:space="preserve">             141,767</t>
  </si>
  <si>
    <t xml:space="preserve">             -88,185</t>
  </si>
  <si>
    <t xml:space="preserve">                 362.5</t>
  </si>
  <si>
    <t xml:space="preserve">               8,220</t>
  </si>
  <si>
    <t xml:space="preserve">               9,954.3</t>
  </si>
  <si>
    <t xml:space="preserve">              25,611</t>
  </si>
  <si>
    <t xml:space="preserve">             -17,391</t>
  </si>
  <si>
    <t xml:space="preserve">                   8.7</t>
  </si>
  <si>
    <t xml:space="preserve">                  14</t>
  </si>
  <si>
    <t xml:space="preserve">               8,691.9</t>
  </si>
  <si>
    <t xml:space="preserve">               3,244</t>
  </si>
  <si>
    <t xml:space="preserve">              -3,230</t>
  </si>
  <si>
    <t xml:space="preserve">              32,441.7</t>
  </si>
  <si>
    <t xml:space="preserve">              36,907</t>
  </si>
  <si>
    <t xml:space="preserve">             124,840.0</t>
  </si>
  <si>
    <t xml:space="preserve">             179,198</t>
  </si>
  <si>
    <t xml:space="preserve">            -142,290</t>
  </si>
  <si>
    <t xml:space="preserve">               3,572.0</t>
  </si>
  <si>
    <t xml:space="preserve">              20,531</t>
  </si>
  <si>
    <t xml:space="preserve">              12,879.7</t>
  </si>
  <si>
    <t xml:space="preserve">              72,361</t>
  </si>
  <si>
    <t xml:space="preserve">             -51,830</t>
  </si>
  <si>
    <t xml:space="preserve">              17,914.5</t>
  </si>
  <si>
    <t xml:space="preserve">              19,752</t>
  </si>
  <si>
    <t xml:space="preserve">             164,906.3</t>
  </si>
  <si>
    <t xml:space="preserve">             114,976</t>
  </si>
  <si>
    <t xml:space="preserve">             -95,223</t>
  </si>
  <si>
    <t xml:space="preserve">               2,334.3</t>
  </si>
  <si>
    <t xml:space="preserve">               8,048</t>
  </si>
  <si>
    <t xml:space="preserve">               6,203.5</t>
  </si>
  <si>
    <t xml:space="preserve">              55,733</t>
  </si>
  <si>
    <t xml:space="preserve">             -47,685</t>
  </si>
  <si>
    <t xml:space="preserve">              48,005.9</t>
  </si>
  <si>
    <t xml:space="preserve">             186,330</t>
  </si>
  <si>
    <t xml:space="preserve">              27,822.0</t>
  </si>
  <si>
    <t xml:space="preserve">              87,188</t>
  </si>
  <si>
    <t xml:space="preserve">              99,143</t>
  </si>
  <si>
    <t xml:space="preserve">               9,203.6</t>
  </si>
  <si>
    <t xml:space="preserve">              73,316</t>
  </si>
  <si>
    <t xml:space="preserve">              88,431.7</t>
  </si>
  <si>
    <t xml:space="preserve">             130,294</t>
  </si>
  <si>
    <t xml:space="preserve">             -56,978</t>
  </si>
  <si>
    <t xml:space="preserve">              31,199.2</t>
  </si>
  <si>
    <t xml:space="preserve">             125,355</t>
  </si>
  <si>
    <t xml:space="preserve">              28,341.2</t>
  </si>
  <si>
    <t xml:space="preserve">             209,252</t>
  </si>
  <si>
    <t xml:space="preserve">             -83,898</t>
  </si>
  <si>
    <t xml:space="preserve">              55,764.5</t>
  </si>
  <si>
    <t xml:space="preserve">              67,192</t>
  </si>
  <si>
    <t xml:space="preserve">              80,304.5</t>
  </si>
  <si>
    <t xml:space="preserve">             117,458</t>
  </si>
  <si>
    <t xml:space="preserve">             -50,266</t>
  </si>
  <si>
    <t xml:space="preserve">              28,738.6</t>
  </si>
  <si>
    <t xml:space="preserve">              27,711</t>
  </si>
  <si>
    <t xml:space="preserve">             569,877.2</t>
  </si>
  <si>
    <t xml:space="preserve">             186,195</t>
  </si>
  <si>
    <t xml:space="preserve">            -158,484</t>
  </si>
  <si>
    <t xml:space="preserve">              76,365</t>
  </si>
  <si>
    <t xml:space="preserve">               4,863.9</t>
  </si>
  <si>
    <t xml:space="preserve">              37,590</t>
  </si>
  <si>
    <t xml:space="preserve">              38,775</t>
  </si>
  <si>
    <t xml:space="preserve">             458,839.8</t>
  </si>
  <si>
    <t xml:space="preserve">              31,425</t>
  </si>
  <si>
    <t xml:space="preserve">           1,161,552.2</t>
  </si>
  <si>
    <t xml:space="preserve">              82,092</t>
  </si>
  <si>
    <t xml:space="preserve">             -50,667</t>
  </si>
  <si>
    <t xml:space="preserve">             127,149.1</t>
  </si>
  <si>
    <t xml:space="preserve">              38,549</t>
  </si>
  <si>
    <t xml:space="preserve">           6,250,464.4</t>
  </si>
  <si>
    <t xml:space="preserve">           1,930,784</t>
  </si>
  <si>
    <t xml:space="preserve">          -1,892,235</t>
  </si>
  <si>
    <t xml:space="preserve">           4,982,652.8</t>
  </si>
  <si>
    <t xml:space="preserve">           3,606,096</t>
  </si>
  <si>
    <t xml:space="preserve">          30,954,267.7</t>
  </si>
  <si>
    <t xml:space="preserve">          13,854,140</t>
  </si>
  <si>
    <t xml:space="preserve">         -10,248,044</t>
  </si>
  <si>
    <t xml:space="preserve">             468,342.4</t>
  </si>
  <si>
    <t xml:space="preserve">             663,940</t>
  </si>
  <si>
    <t xml:space="preserve">             456,092.3</t>
  </si>
  <si>
    <t xml:space="preserve">             807,069</t>
  </si>
  <si>
    <t xml:space="preserve">            -143,130</t>
  </si>
  <si>
    <t xml:space="preserve">           1,609,094.3</t>
  </si>
  <si>
    <t xml:space="preserve">           1,618,152</t>
  </si>
  <si>
    <t xml:space="preserve">             718,892.5</t>
  </si>
  <si>
    <t xml:space="preserve">           1,160,904</t>
  </si>
  <si>
    <t xml:space="preserve">             457,248</t>
  </si>
  <si>
    <t xml:space="preserve">               1,788.8</t>
  </si>
  <si>
    <t xml:space="preserve">             681,649</t>
  </si>
  <si>
    <t xml:space="preserve">               7,407.8</t>
  </si>
  <si>
    <t xml:space="preserve">             659,667</t>
  </si>
  <si>
    <t xml:space="preserve">              21,982</t>
  </si>
  <si>
    <t xml:space="preserve">              93,778.6</t>
  </si>
  <si>
    <t xml:space="preserve">              42,099</t>
  </si>
  <si>
    <t xml:space="preserve">             140,059.3</t>
  </si>
  <si>
    <t xml:space="preserve">              61,539</t>
  </si>
  <si>
    <t xml:space="preserve">             -19,441</t>
  </si>
  <si>
    <t xml:space="preserve">              23,545.8</t>
  </si>
  <si>
    <t xml:space="preserve">             190,642</t>
  </si>
  <si>
    <t xml:space="preserve">              22,728.4</t>
  </si>
  <si>
    <t xml:space="preserve">             172,779</t>
  </si>
  <si>
    <t xml:space="preserve">              17,862</t>
  </si>
  <si>
    <t xml:space="preserve">              31,870.5</t>
  </si>
  <si>
    <t xml:space="preserve">             732,310</t>
  </si>
  <si>
    <t xml:space="preserve">               8,827.0</t>
  </si>
  <si>
    <t xml:space="preserve">             149,071</t>
  </si>
  <si>
    <t xml:space="preserve">             583,239</t>
  </si>
  <si>
    <t xml:space="preserve">              49,591.3</t>
  </si>
  <si>
    <t xml:space="preserve">             137,521</t>
  </si>
  <si>
    <t xml:space="preserve">              23,840.4</t>
  </si>
  <si>
    <t xml:space="preserve">              86,970</t>
  </si>
  <si>
    <t xml:space="preserve">              50,551</t>
  </si>
  <si>
    <t xml:space="preserve">               6,376.2</t>
  </si>
  <si>
    <t xml:space="preserve">              75,103</t>
  </si>
  <si>
    <t xml:space="preserve">              14,467.3</t>
  </si>
  <si>
    <t xml:space="preserve">              75,196</t>
  </si>
  <si>
    <t xml:space="preserve">                 -94</t>
  </si>
  <si>
    <t xml:space="preserve">                  55.5</t>
  </si>
  <si>
    <t xml:space="preserve">               1,929</t>
  </si>
  <si>
    <t xml:space="preserve">                 201.2</t>
  </si>
  <si>
    <t xml:space="preserve">               3,614</t>
  </si>
  <si>
    <t xml:space="preserve">              -1,685</t>
  </si>
  <si>
    <t xml:space="preserve">               1,675.1</t>
  </si>
  <si>
    <t xml:space="preserve">              92,061</t>
  </si>
  <si>
    <t xml:space="preserve">               3,153.5</t>
  </si>
  <si>
    <t xml:space="preserve">              69,926</t>
  </si>
  <si>
    <t xml:space="preserve">              22,136</t>
  </si>
  <si>
    <t xml:space="preserve">              81,563.8</t>
  </si>
  <si>
    <t xml:space="preserve">             527,030</t>
  </si>
  <si>
    <t xml:space="preserve">             236,165.5</t>
  </si>
  <si>
    <t xml:space="preserve">             749,063</t>
  </si>
  <si>
    <t xml:space="preserve">            -222,033</t>
  </si>
  <si>
    <t xml:space="preserve">           1,353,190.5</t>
  </si>
  <si>
    <t xml:space="preserve">           2,634,109</t>
  </si>
  <si>
    <t xml:space="preserve">             245,439.0</t>
  </si>
  <si>
    <t xml:space="preserve">           1,000,692</t>
  </si>
  <si>
    <t xml:space="preserve">           1,633,417</t>
  </si>
  <si>
    <t xml:space="preserve">             255,585.7</t>
  </si>
  <si>
    <t xml:space="preserve">             628,364</t>
  </si>
  <si>
    <t xml:space="preserve">              78,763.3</t>
  </si>
  <si>
    <t xml:space="preserve">             239,060</t>
  </si>
  <si>
    <t xml:space="preserve">             389,304</t>
  </si>
  <si>
    <t xml:space="preserve">               2,942.3</t>
  </si>
  <si>
    <t xml:space="preserve">              24,264</t>
  </si>
  <si>
    <t xml:space="preserve">               5,864.4</t>
  </si>
  <si>
    <t xml:space="preserve">              17,194</t>
  </si>
  <si>
    <t xml:space="preserve">               7,070</t>
  </si>
  <si>
    <t xml:space="preserve">                 790.2</t>
  </si>
  <si>
    <t xml:space="preserve">              32,138</t>
  </si>
  <si>
    <t xml:space="preserve">               9,987.0</t>
  </si>
  <si>
    <t xml:space="preserve">             278,334</t>
  </si>
  <si>
    <t xml:space="preserve">            -246,196</t>
  </si>
  <si>
    <t xml:space="preserve">                   5.4</t>
  </si>
  <si>
    <t xml:space="preserve">                 393</t>
  </si>
  <si>
    <t xml:space="preserve">                  33.0</t>
  </si>
  <si>
    <t xml:space="preserve">               3,643</t>
  </si>
  <si>
    <t xml:space="preserve">              -3,249</t>
  </si>
  <si>
    <t xml:space="preserve">               4,803.0</t>
  </si>
  <si>
    <t xml:space="preserve">               4,723</t>
  </si>
  <si>
    <t xml:space="preserve">             835,717.1</t>
  </si>
  <si>
    <t xml:space="preserve">             246,826</t>
  </si>
  <si>
    <t xml:space="preserve">            -242,103</t>
  </si>
  <si>
    <t xml:space="preserve">                  19</t>
  </si>
  <si>
    <t xml:space="preserve">                  75.1</t>
  </si>
  <si>
    <t xml:space="preserve">                 400</t>
  </si>
  <si>
    <t xml:space="preserve">                -381</t>
  </si>
  <si>
    <t xml:space="preserve">                  67</t>
  </si>
  <si>
    <t xml:space="preserve">                 292.2</t>
  </si>
  <si>
    <t xml:space="preserve">               1,621</t>
  </si>
  <si>
    <t xml:space="preserve">              -1,554</t>
  </si>
  <si>
    <t xml:space="preserve">              37,708.2</t>
  </si>
  <si>
    <t xml:space="preserve">             271,905.3</t>
  </si>
  <si>
    <t xml:space="preserve">             153,235</t>
  </si>
  <si>
    <t xml:space="preserve">            -146,455</t>
  </si>
  <si>
    <t xml:space="preserve">             212,120.5</t>
  </si>
  <si>
    <t xml:space="preserve">             208,453</t>
  </si>
  <si>
    <t xml:space="preserve">             120,146.4</t>
  </si>
  <si>
    <t xml:space="preserve">             182,325</t>
  </si>
  <si>
    <t xml:space="preserve">              26,128</t>
  </si>
  <si>
    <t xml:space="preserve">               1,704.1</t>
  </si>
  <si>
    <t xml:space="preserve">              22,594</t>
  </si>
  <si>
    <t xml:space="preserve">               1,334.8</t>
  </si>
  <si>
    <t xml:space="preserve">              18,666</t>
  </si>
  <si>
    <t xml:space="preserve">               3,928</t>
  </si>
  <si>
    <t xml:space="preserve">               1,291</t>
  </si>
  <si>
    <t xml:space="preserve">                  21.8</t>
  </si>
  <si>
    <t xml:space="preserve">               2,203</t>
  </si>
  <si>
    <t xml:space="preserve">                -912</t>
  </si>
  <si>
    <t xml:space="preserve">                  93.0</t>
  </si>
  <si>
    <t xml:space="preserve">               2,214</t>
  </si>
  <si>
    <t xml:space="preserve">                 671.9</t>
  </si>
  <si>
    <t xml:space="preserve">              11,731</t>
  </si>
  <si>
    <t xml:space="preserve">              -9,517</t>
  </si>
  <si>
    <t xml:space="preserve">               2,633.1</t>
  </si>
  <si>
    <t xml:space="preserve">              20,928</t>
  </si>
  <si>
    <t xml:space="preserve">              17,573.8</t>
  </si>
  <si>
    <t xml:space="preserve">             -32,810</t>
  </si>
  <si>
    <t xml:space="preserve">                  35.1</t>
  </si>
  <si>
    <t xml:space="preserve">               1,182</t>
  </si>
  <si>
    <t xml:space="preserve">                 651.5</t>
  </si>
  <si>
    <t xml:space="preserve">               3,734</t>
  </si>
  <si>
    <t xml:space="preserve">              -2,552</t>
  </si>
  <si>
    <t xml:space="preserve">              22,119.6</t>
  </si>
  <si>
    <t xml:space="preserve">             138,707</t>
  </si>
  <si>
    <t xml:space="preserve">              40,975.7</t>
  </si>
  <si>
    <t xml:space="preserve">              84,615</t>
  </si>
  <si>
    <t xml:space="preserve">              54,092</t>
  </si>
  <si>
    <t xml:space="preserve">              52,676.2</t>
  </si>
  <si>
    <t xml:space="preserve">              92,665</t>
  </si>
  <si>
    <t xml:space="preserve">              12,971.8</t>
  </si>
  <si>
    <t xml:space="preserve">              44,013</t>
  </si>
  <si>
    <t xml:space="preserve">              48,652</t>
  </si>
  <si>
    <t xml:space="preserve">               8,857.9</t>
  </si>
  <si>
    <t xml:space="preserve">              55,119</t>
  </si>
  <si>
    <t xml:space="preserve">              17,213.0</t>
  </si>
  <si>
    <t xml:space="preserve">              51,412</t>
  </si>
  <si>
    <t xml:space="preserve">               3,708</t>
  </si>
  <si>
    <t xml:space="preserve">                 500.3</t>
  </si>
  <si>
    <t xml:space="preserve">               6,235</t>
  </si>
  <si>
    <t xml:space="preserve">               3,913.2</t>
  </si>
  <si>
    <t xml:space="preserve">               8,528</t>
  </si>
  <si>
    <t xml:space="preserve">              -2,293</t>
  </si>
  <si>
    <t xml:space="preserve">               1,219.0</t>
  </si>
  <si>
    <t xml:space="preserve">              14,184</t>
  </si>
  <si>
    <t xml:space="preserve">                 709.6</t>
  </si>
  <si>
    <t xml:space="preserve">               5,954</t>
  </si>
  <si>
    <t xml:space="preserve">               8,230</t>
  </si>
  <si>
    <t xml:space="preserve">               8,264.5</t>
  </si>
  <si>
    <t xml:space="preserve">              84,895</t>
  </si>
  <si>
    <t xml:space="preserve">               6,009.1</t>
  </si>
  <si>
    <t xml:space="preserve">              35,233</t>
  </si>
  <si>
    <t xml:space="preserve">              49,663</t>
  </si>
  <si>
    <t xml:space="preserve">              14,663.9</t>
  </si>
  <si>
    <t xml:space="preserve">             110,973</t>
  </si>
  <si>
    <t xml:space="preserve">               1,568.4</t>
  </si>
  <si>
    <t xml:space="preserve">               8,132</t>
  </si>
  <si>
    <t xml:space="preserve">             102,841</t>
  </si>
  <si>
    <t xml:space="preserve">               2,374.9</t>
  </si>
  <si>
    <t xml:space="preserve">              56,447</t>
  </si>
  <si>
    <t xml:space="preserve">              21,973.4</t>
  </si>
  <si>
    <t xml:space="preserve">             429,283</t>
  </si>
  <si>
    <t xml:space="preserve">            -372,835</t>
  </si>
  <si>
    <t xml:space="preserve">               2,282.6</t>
  </si>
  <si>
    <t xml:space="preserve">              59,089</t>
  </si>
  <si>
    <t xml:space="preserve">              19,465.1</t>
  </si>
  <si>
    <t xml:space="preserve">             597,522</t>
  </si>
  <si>
    <t xml:space="preserve">            -538,433</t>
  </si>
  <si>
    <t xml:space="preserve">              24,479.1</t>
  </si>
  <si>
    <t xml:space="preserve">              45,391</t>
  </si>
  <si>
    <t xml:space="preserve">              23,934.0</t>
  </si>
  <si>
    <t xml:space="preserve">              97,922</t>
  </si>
  <si>
    <t xml:space="preserve">             -52,530</t>
  </si>
  <si>
    <t xml:space="preserve">               1,099.2</t>
  </si>
  <si>
    <t xml:space="preserve">              26,876</t>
  </si>
  <si>
    <t xml:space="preserve">              11,836.0</t>
  </si>
  <si>
    <t xml:space="preserve">             321,593</t>
  </si>
  <si>
    <t xml:space="preserve">            -294,717</t>
  </si>
  <si>
    <t xml:space="preserve">                 243.5</t>
  </si>
  <si>
    <t xml:space="preserve">               6,988</t>
  </si>
  <si>
    <t xml:space="preserve">                 804.0</t>
  </si>
  <si>
    <t xml:space="preserve">              23,324</t>
  </si>
  <si>
    <t xml:space="preserve">             -16,336</t>
  </si>
  <si>
    <t xml:space="preserve">                   7.1</t>
  </si>
  <si>
    <t xml:space="preserve">                  50</t>
  </si>
  <si>
    <t xml:space="preserve">                 974.2</t>
  </si>
  <si>
    <t xml:space="preserve">               6,487</t>
  </si>
  <si>
    <t xml:space="preserve">              -6,437</t>
  </si>
  <si>
    <t xml:space="preserve">               1,389</t>
  </si>
  <si>
    <t xml:space="preserve">                 596.5</t>
  </si>
  <si>
    <t xml:space="preserve">               8,501</t>
  </si>
  <si>
    <t xml:space="preserve">              -7,113</t>
  </si>
  <si>
    <t xml:space="preserve">               9,438.2</t>
  </si>
  <si>
    <t xml:space="preserve">              69,005</t>
  </si>
  <si>
    <t xml:space="preserve">             189,410.7</t>
  </si>
  <si>
    <t xml:space="preserve">             103,700</t>
  </si>
  <si>
    <t xml:space="preserve">             -34,695</t>
  </si>
  <si>
    <t xml:space="preserve">               1,978.9</t>
  </si>
  <si>
    <t xml:space="preserve">              25,796</t>
  </si>
  <si>
    <t xml:space="preserve">             122,858.5</t>
  </si>
  <si>
    <t xml:space="preserve">             128,803</t>
  </si>
  <si>
    <t xml:space="preserve">            -103,007</t>
  </si>
  <si>
    <t xml:space="preserve">              29,989.8</t>
  </si>
  <si>
    <t xml:space="preserve">             160,348</t>
  </si>
  <si>
    <t xml:space="preserve">              96,213.7</t>
  </si>
  <si>
    <t xml:space="preserve">             194,150</t>
  </si>
  <si>
    <t xml:space="preserve">             -33,801</t>
  </si>
  <si>
    <t xml:space="preserve">                 974.6</t>
  </si>
  <si>
    <t xml:space="preserve">             367,564</t>
  </si>
  <si>
    <t xml:space="preserve">               1,044.5</t>
  </si>
  <si>
    <t xml:space="preserve">             594,367</t>
  </si>
  <si>
    <t xml:space="preserve">            -226,804</t>
  </si>
  <si>
    <t xml:space="preserve">           2,289,964.8</t>
  </si>
  <si>
    <t xml:space="preserve">           1,929,700</t>
  </si>
  <si>
    <t xml:space="preserve">           1,200,379.3</t>
  </si>
  <si>
    <t xml:space="preserve">             932,362</t>
  </si>
  <si>
    <t xml:space="preserve">             997,338</t>
  </si>
  <si>
    <t xml:space="preserve">             279,252.0</t>
  </si>
  <si>
    <t xml:space="preserve">             799,882</t>
  </si>
  <si>
    <t xml:space="preserve">             268,304.9</t>
  </si>
  <si>
    <t xml:space="preserve">             769,413</t>
  </si>
  <si>
    <t xml:space="preserve">              30,469</t>
  </si>
  <si>
    <t xml:space="preserve">              48,087.0</t>
  </si>
  <si>
    <t xml:space="preserve">             422,977</t>
  </si>
  <si>
    <t xml:space="preserve">              53,568.7</t>
  </si>
  <si>
    <t xml:space="preserve">             496,111</t>
  </si>
  <si>
    <t xml:space="preserve">             -73,134</t>
  </si>
  <si>
    <t xml:space="preserve">               1,507.8</t>
  </si>
  <si>
    <t xml:space="preserve">              13,897</t>
  </si>
  <si>
    <t xml:space="preserve">               5,526.8</t>
  </si>
  <si>
    <t xml:space="preserve">             113,575</t>
  </si>
  <si>
    <t xml:space="preserve">             -99,678</t>
  </si>
  <si>
    <t xml:space="preserve">              98,291.8</t>
  </si>
  <si>
    <t xml:space="preserve">             392,994</t>
  </si>
  <si>
    <t xml:space="preserve">             238,330.4</t>
  </si>
  <si>
    <t xml:space="preserve">             715,108</t>
  </si>
  <si>
    <t xml:space="preserve">            -322,114</t>
  </si>
  <si>
    <t xml:space="preserve">              23,509.5</t>
  </si>
  <si>
    <t xml:space="preserve">              52,286</t>
  </si>
  <si>
    <t xml:space="preserve">              14,900.9</t>
  </si>
  <si>
    <t xml:space="preserve">              33,870</t>
  </si>
  <si>
    <t xml:space="preserve">              18,416</t>
  </si>
  <si>
    <t xml:space="preserve">              28,786.1</t>
  </si>
  <si>
    <t xml:space="preserve">              90,076</t>
  </si>
  <si>
    <t xml:space="preserve">               2,591.4</t>
  </si>
  <si>
    <t xml:space="preserve">               8,585</t>
  </si>
  <si>
    <t xml:space="preserve">              81,492</t>
  </si>
  <si>
    <t xml:space="preserve">                 187.6</t>
  </si>
  <si>
    <t xml:space="preserve">               5,592</t>
  </si>
  <si>
    <t xml:space="preserve">               1,349.9</t>
  </si>
  <si>
    <t xml:space="preserve">              43,666</t>
  </si>
  <si>
    <t xml:space="preserve">             -38,074</t>
  </si>
  <si>
    <t xml:space="preserve">               2,282.9</t>
  </si>
  <si>
    <t xml:space="preserve">              31,993</t>
  </si>
  <si>
    <t xml:space="preserve">              12,752.4</t>
  </si>
  <si>
    <t xml:space="preserve">              99,100</t>
  </si>
  <si>
    <t xml:space="preserve">             -67,106</t>
  </si>
  <si>
    <t xml:space="preserve">               6,054.0</t>
  </si>
  <si>
    <t xml:space="preserve">             132,347</t>
  </si>
  <si>
    <t xml:space="preserve">               5,251.3</t>
  </si>
  <si>
    <t xml:space="preserve">              77,631</t>
  </si>
  <si>
    <t xml:space="preserve">              54,716</t>
  </si>
  <si>
    <t xml:space="preserve">              21,861.9</t>
  </si>
  <si>
    <t xml:space="preserve">             121,902</t>
  </si>
  <si>
    <t xml:space="preserve">              12,617.4</t>
  </si>
  <si>
    <t xml:space="preserve">              79,844</t>
  </si>
  <si>
    <t xml:space="preserve">              42,058</t>
  </si>
  <si>
    <t xml:space="preserve">             322,110.2</t>
  </si>
  <si>
    <t xml:space="preserve">           5,702,602</t>
  </si>
  <si>
    <t xml:space="preserve">             192,812.5</t>
  </si>
  <si>
    <t xml:space="preserve">           5,592,162</t>
  </si>
  <si>
    <t xml:space="preserve">             110,440</t>
  </si>
  <si>
    <t xml:space="preserve">             187,901.8</t>
  </si>
  <si>
    <t xml:space="preserve">          14,503,290</t>
  </si>
  <si>
    <t xml:space="preserve">             195,196.0</t>
  </si>
  <si>
    <t xml:space="preserve">           9,761,366</t>
  </si>
  <si>
    <t xml:space="preserve">           4,741,923</t>
  </si>
  <si>
    <t xml:space="preserve">              10,153.3</t>
  </si>
  <si>
    <t xml:space="preserve">              41,332</t>
  </si>
  <si>
    <t xml:space="preserve">              10,731.5</t>
  </si>
  <si>
    <t xml:space="preserve">              29,130</t>
  </si>
  <si>
    <t xml:space="preserve">              12,202</t>
  </si>
  <si>
    <t xml:space="preserve">             610,420.5</t>
  </si>
  <si>
    <t xml:space="preserve">           6,545,132</t>
  </si>
  <si>
    <t xml:space="preserve">              85,906.2</t>
  </si>
  <si>
    <t xml:space="preserve">           1,221,744</t>
  </si>
  <si>
    <t xml:space="preserve">           5,323,388</t>
  </si>
  <si>
    <t xml:space="preserve">                 576.9</t>
  </si>
  <si>
    <t xml:space="preserve">             321,057</t>
  </si>
  <si>
    <t xml:space="preserve">                 319.1</t>
  </si>
  <si>
    <t xml:space="preserve">             257,265</t>
  </si>
  <si>
    <t xml:space="preserve">              63,792</t>
  </si>
  <si>
    <t xml:space="preserve">             711,468.3</t>
  </si>
  <si>
    <t xml:space="preserve">           2,356,716</t>
  </si>
  <si>
    <t xml:space="preserve">             132,747.4</t>
  </si>
  <si>
    <t xml:space="preserve">             261,339</t>
  </si>
  <si>
    <t xml:space="preserve">           2,095,377</t>
  </si>
  <si>
    <t xml:space="preserve">              15,345.6</t>
  </si>
  <si>
    <t xml:space="preserve">           1,133,879</t>
  </si>
  <si>
    <t xml:space="preserve">              17,266.6</t>
  </si>
  <si>
    <t xml:space="preserve">           1,747,222</t>
  </si>
  <si>
    <t xml:space="preserve">            -613,343</t>
  </si>
  <si>
    <t xml:space="preserve">              14,422</t>
  </si>
  <si>
    <t xml:space="preserve">                 409.2</t>
  </si>
  <si>
    <t xml:space="preserve">              66,332</t>
  </si>
  <si>
    <t xml:space="preserve">             -51,910</t>
  </si>
  <si>
    <t xml:space="preserve">                 244.3</t>
  </si>
  <si>
    <t xml:space="preserve">               7,712</t>
  </si>
  <si>
    <t xml:space="preserve">                 614.4</t>
  </si>
  <si>
    <t xml:space="preserve">              13,773</t>
  </si>
  <si>
    <t xml:space="preserve">              -6,061</t>
  </si>
  <si>
    <t xml:space="preserve">                 935.5</t>
  </si>
  <si>
    <t xml:space="preserve">             131,749</t>
  </si>
  <si>
    <t xml:space="preserve">                 190.8</t>
  </si>
  <si>
    <t xml:space="preserve">              36,972</t>
  </si>
  <si>
    <t xml:space="preserve">              94,776</t>
  </si>
  <si>
    <t xml:space="preserve">              13,808.4</t>
  </si>
  <si>
    <t xml:space="preserve">              94,556</t>
  </si>
  <si>
    <t xml:space="preserve">              81,894.5</t>
  </si>
  <si>
    <t xml:space="preserve">             326,575</t>
  </si>
  <si>
    <t xml:space="preserve">            -232,020</t>
  </si>
  <si>
    <t xml:space="preserve">               2,077.5</t>
  </si>
  <si>
    <t xml:space="preserve">              42,783</t>
  </si>
  <si>
    <t xml:space="preserve">              14,612.6</t>
  </si>
  <si>
    <t xml:space="preserve">             180,489</t>
  </si>
  <si>
    <t xml:space="preserve">            -137,705</t>
  </si>
  <si>
    <t xml:space="preserve">               1,911.2</t>
  </si>
  <si>
    <t xml:space="preserve">              31,615</t>
  </si>
  <si>
    <t xml:space="preserve">              11,354.7</t>
  </si>
  <si>
    <t xml:space="preserve">              93,112</t>
  </si>
  <si>
    <t xml:space="preserve">             -61,497</t>
  </si>
  <si>
    <t xml:space="preserve">                  13.9</t>
  </si>
  <si>
    <t xml:space="preserve">              19,833</t>
  </si>
  <si>
    <t xml:space="preserve">                  49.3</t>
  </si>
  <si>
    <t xml:space="preserve">              12,363</t>
  </si>
  <si>
    <t xml:space="preserve">               7,470</t>
  </si>
  <si>
    <t xml:space="preserve">                 443</t>
  </si>
  <si>
    <t xml:space="preserve">                  42.0</t>
  </si>
  <si>
    <t xml:space="preserve">               4,043</t>
  </si>
  <si>
    <t xml:space="preserve">              -3,600</t>
  </si>
  <si>
    <t xml:space="preserve">               5,787.9</t>
  </si>
  <si>
    <t xml:space="preserve">               8,080</t>
  </si>
  <si>
    <t xml:space="preserve">             110,435.5</t>
  </si>
  <si>
    <t xml:space="preserve">             548,202</t>
  </si>
  <si>
    <t xml:space="preserve">            -540,122</t>
  </si>
  <si>
    <t xml:space="preserve">              51,247.0</t>
  </si>
  <si>
    <t xml:space="preserve">             140,969</t>
  </si>
  <si>
    <t xml:space="preserve">              96,459.5</t>
  </si>
  <si>
    <t xml:space="preserve">             427,360</t>
  </si>
  <si>
    <t xml:space="preserve">            -286,390</t>
  </si>
  <si>
    <t xml:space="preserve">               2,688.4</t>
  </si>
  <si>
    <t xml:space="preserve">               6,784</t>
  </si>
  <si>
    <t xml:space="preserve">              29,963.6</t>
  </si>
  <si>
    <t xml:space="preserve">             131,211</t>
  </si>
  <si>
    <t xml:space="preserve">            -124,427</t>
  </si>
  <si>
    <t xml:space="preserve">               1,182.6</t>
  </si>
  <si>
    <t xml:space="preserve">               8,292</t>
  </si>
  <si>
    <t xml:space="preserve">               4,296.5</t>
  </si>
  <si>
    <t xml:space="preserve">              23,264</t>
  </si>
  <si>
    <t xml:space="preserve">             -14,972</t>
  </si>
  <si>
    <t xml:space="preserve">                 188.1</t>
  </si>
  <si>
    <t xml:space="preserve">                 305</t>
  </si>
  <si>
    <t xml:space="preserve">               7,268.6</t>
  </si>
  <si>
    <t xml:space="preserve">              16,111</t>
  </si>
  <si>
    <t xml:space="preserve">             -15,807</t>
  </si>
  <si>
    <t xml:space="preserve">               2,566.4</t>
  </si>
  <si>
    <t xml:space="preserve">              91,279.8</t>
  </si>
  <si>
    <t xml:space="preserve">              68,479</t>
  </si>
  <si>
    <t xml:space="preserve">             -60,944</t>
  </si>
  <si>
    <t xml:space="preserve">               2,161.0</t>
  </si>
  <si>
    <t xml:space="preserve">              20,385</t>
  </si>
  <si>
    <t xml:space="preserve">              74,049.7</t>
  </si>
  <si>
    <t xml:space="preserve">             162,167</t>
  </si>
  <si>
    <t xml:space="preserve">            -141,783</t>
  </si>
  <si>
    <t xml:space="preserve">                 446.3</t>
  </si>
  <si>
    <t xml:space="preserve">               3,441</t>
  </si>
  <si>
    <t xml:space="preserve">              20,212.9</t>
  </si>
  <si>
    <t xml:space="preserve">             139,655</t>
  </si>
  <si>
    <t xml:space="preserve">            -136,214</t>
  </si>
  <si>
    <t xml:space="preserve">               1,432.7</t>
  </si>
  <si>
    <t xml:space="preserve">               1,211</t>
  </si>
  <si>
    <t xml:space="preserve">           1,419,950.3</t>
  </si>
  <si>
    <t xml:space="preserve">             391,628</t>
  </si>
  <si>
    <t xml:space="preserve">            -390,417</t>
  </si>
  <si>
    <t xml:space="preserve">               5,286.5</t>
  </si>
  <si>
    <t xml:space="preserve">               3,611</t>
  </si>
  <si>
    <t xml:space="preserve">              31,340.0</t>
  </si>
  <si>
    <t xml:space="preserve">              26,043</t>
  </si>
  <si>
    <t xml:space="preserve">             -22,431</t>
  </si>
  <si>
    <t xml:space="preserve">               3,543.5</t>
  </si>
  <si>
    <t xml:space="preserve">              66,717</t>
  </si>
  <si>
    <t xml:space="preserve">             312,951.6</t>
  </si>
  <si>
    <t xml:space="preserve">             178,559</t>
  </si>
  <si>
    <t xml:space="preserve">            -111,842</t>
  </si>
  <si>
    <t xml:space="preserve">                 312.2</t>
  </si>
  <si>
    <t xml:space="preserve">               7,993</t>
  </si>
  <si>
    <t xml:space="preserve">               8,966.5</t>
  </si>
  <si>
    <t xml:space="preserve">              27,221</t>
  </si>
  <si>
    <t xml:space="preserve">             -19,228</t>
  </si>
  <si>
    <t xml:space="preserve">                  28.3</t>
  </si>
  <si>
    <t xml:space="preserve">              13,180.9</t>
  </si>
  <si>
    <t xml:space="preserve">               4,521</t>
  </si>
  <si>
    <t xml:space="preserve">              -4,485</t>
  </si>
  <si>
    <t xml:space="preserve">              17,616.6</t>
  </si>
  <si>
    <t xml:space="preserve">              21,126</t>
  </si>
  <si>
    <t xml:space="preserve">             130,255.5</t>
  </si>
  <si>
    <t xml:space="preserve">             188,031</t>
  </si>
  <si>
    <t xml:space="preserve">            -166,905</t>
  </si>
  <si>
    <t xml:space="preserve">               4,638.4</t>
  </si>
  <si>
    <t xml:space="preserve">              25,083</t>
  </si>
  <si>
    <t xml:space="preserve">              13,560.8</t>
  </si>
  <si>
    <t xml:space="preserve">              75,910</t>
  </si>
  <si>
    <t xml:space="preserve">             -50,828</t>
  </si>
  <si>
    <t xml:space="preserve">              20,186.5</t>
  </si>
  <si>
    <t xml:space="preserve">              22,146</t>
  </si>
  <si>
    <t xml:space="preserve">             150,980.9</t>
  </si>
  <si>
    <t xml:space="preserve">             104,388</t>
  </si>
  <si>
    <t xml:space="preserve">             -82,242</t>
  </si>
  <si>
    <t xml:space="preserve">               2,704.4</t>
  </si>
  <si>
    <t xml:space="preserve">               8,120</t>
  </si>
  <si>
    <t xml:space="preserve">               6,059.6</t>
  </si>
  <si>
    <t xml:space="preserve">              54,697</t>
  </si>
  <si>
    <t xml:space="preserve">             -46,577</t>
  </si>
  <si>
    <t xml:space="preserve">              55,422.4</t>
  </si>
  <si>
    <t xml:space="preserve">             218,456</t>
  </si>
  <si>
    <t xml:space="preserve">              26,383.2</t>
  </si>
  <si>
    <t xml:space="preserve">              87,391</t>
  </si>
  <si>
    <t xml:space="preserve">             131,066</t>
  </si>
  <si>
    <t xml:space="preserve">               9,868.2</t>
  </si>
  <si>
    <t xml:space="preserve">              83,282</t>
  </si>
  <si>
    <t xml:space="preserve">              88,278.5</t>
  </si>
  <si>
    <t xml:space="preserve">             128,617</t>
  </si>
  <si>
    <t xml:space="preserve">             -45,335</t>
  </si>
  <si>
    <t xml:space="preserve">              35,833.9</t>
  </si>
  <si>
    <t xml:space="preserve">             145,905</t>
  </si>
  <si>
    <t xml:space="preserve">              28,525.1</t>
  </si>
  <si>
    <t xml:space="preserve">             219,240</t>
  </si>
  <si>
    <t xml:space="preserve">             -73,335</t>
  </si>
  <si>
    <t xml:space="preserve">              77,465.4</t>
  </si>
  <si>
    <t xml:space="preserve">              88,886</t>
  </si>
  <si>
    <t xml:space="preserve">              61,528.5</t>
  </si>
  <si>
    <t xml:space="preserve">             103,801</t>
  </si>
  <si>
    <t xml:space="preserve">             -14,916</t>
  </si>
  <si>
    <t xml:space="preserve">              22,209.6</t>
  </si>
  <si>
    <t xml:space="preserve">              27,304</t>
  </si>
  <si>
    <t xml:space="preserve">             542,751.3</t>
  </si>
  <si>
    <t xml:space="preserve">             177,064</t>
  </si>
  <si>
    <t xml:space="preserve">            -149,759</t>
  </si>
  <si>
    <t xml:space="preserve">               9,526.9</t>
  </si>
  <si>
    <t xml:space="preserve">             102,512</t>
  </si>
  <si>
    <t xml:space="preserve">               6,612.1</t>
  </si>
  <si>
    <t xml:space="preserve">              52,166</t>
  </si>
  <si>
    <t xml:space="preserve">              50,347</t>
  </si>
  <si>
    <t xml:space="preserve">             522,645.7</t>
  </si>
  <si>
    <t xml:space="preserve">              33,160</t>
  </si>
  <si>
    <t xml:space="preserve">             849,523.0</t>
  </si>
  <si>
    <t xml:space="preserve">              66,016</t>
  </si>
  <si>
    <t xml:space="preserve">             -32,857</t>
  </si>
  <si>
    <t xml:space="preserve">             125,010.4</t>
  </si>
  <si>
    <t xml:space="preserve">              32,416</t>
  </si>
  <si>
    <t xml:space="preserve">           5,667,674.3</t>
  </si>
  <si>
    <t xml:space="preserve">           1,318,056</t>
  </si>
  <si>
    <t xml:space="preserve">          -1,285,640</t>
  </si>
  <si>
    <t xml:space="preserve">           5,648,813.3</t>
  </si>
  <si>
    <t xml:space="preserve">           4,072,937</t>
  </si>
  <si>
    <t xml:space="preserve">          25,643,239.5</t>
  </si>
  <si>
    <t xml:space="preserve">          11,387,996</t>
  </si>
  <si>
    <t xml:space="preserve">          -7,315,059</t>
  </si>
  <si>
    <t xml:space="preserve">             395,413.8</t>
  </si>
  <si>
    <t xml:space="preserve">             714,507</t>
  </si>
  <si>
    <t xml:space="preserve">             351,113.1</t>
  </si>
  <si>
    <t xml:space="preserve">             935,074</t>
  </si>
  <si>
    <t xml:space="preserve">            -220,567</t>
  </si>
  <si>
    <t xml:space="preserve">           1,645,560.3</t>
  </si>
  <si>
    <t xml:space="preserve">           1,720,428</t>
  </si>
  <si>
    <t xml:space="preserve">             782,621.8</t>
  </si>
  <si>
    <t xml:space="preserve">           1,246,525</t>
  </si>
  <si>
    <t xml:space="preserve">             473,904</t>
  </si>
  <si>
    <t xml:space="preserve">               2,482.8</t>
  </si>
  <si>
    <t xml:space="preserve">             660,431</t>
  </si>
  <si>
    <t xml:space="preserve">               7,670.9</t>
  </si>
  <si>
    <t xml:space="preserve">             712,049</t>
  </si>
  <si>
    <t xml:space="preserve">             -51,618</t>
  </si>
  <si>
    <t xml:space="preserve">              76,530.4</t>
  </si>
  <si>
    <t xml:space="preserve">              29,637</t>
  </si>
  <si>
    <t xml:space="preserve">             201,907.8</t>
  </si>
  <si>
    <t xml:space="preserve">              76,125</t>
  </si>
  <si>
    <t xml:space="preserve">             -46,488</t>
  </si>
  <si>
    <t xml:space="preserve">              32,305.1</t>
  </si>
  <si>
    <t xml:space="preserve">             227,754</t>
  </si>
  <si>
    <t xml:space="preserve">              23,756.0</t>
  </si>
  <si>
    <t xml:space="preserve">             186,774</t>
  </si>
  <si>
    <t xml:space="preserve">              40,980</t>
  </si>
  <si>
    <t xml:space="preserve">              37,447.6</t>
  </si>
  <si>
    <t xml:space="preserve">             855,686</t>
  </si>
  <si>
    <t xml:space="preserve">               9,248.7</t>
  </si>
  <si>
    <t xml:space="preserve">             169,519</t>
  </si>
  <si>
    <t xml:space="preserve">             686,167</t>
  </si>
  <si>
    <t xml:space="preserve">              49,467.6</t>
  </si>
  <si>
    <t xml:space="preserve">             154,662</t>
  </si>
  <si>
    <t xml:space="preserve">              23,617.0</t>
  </si>
  <si>
    <t xml:space="preserve">              86,307</t>
  </si>
  <si>
    <t xml:space="preserve">              68,354</t>
  </si>
  <si>
    <t xml:space="preserve">               7,006.4</t>
  </si>
  <si>
    <t xml:space="preserve">              96,028</t>
  </si>
  <si>
    <t xml:space="preserve">              13,859.5</t>
  </si>
  <si>
    <t xml:space="preserve">              76,690</t>
  </si>
  <si>
    <t xml:space="preserve">              19,338</t>
  </si>
  <si>
    <t xml:space="preserve">                 102.3</t>
  </si>
  <si>
    <t xml:space="preserve">               1,437</t>
  </si>
  <si>
    <t xml:space="preserve">                 255.0</t>
  </si>
  <si>
    <t xml:space="preserve">               6,811</t>
  </si>
  <si>
    <t xml:space="preserve">              -5,374</t>
  </si>
  <si>
    <t xml:space="preserve">               2,003.5</t>
  </si>
  <si>
    <t xml:space="preserve">             102,808</t>
  </si>
  <si>
    <t xml:space="preserve">               2,804.9</t>
  </si>
  <si>
    <t xml:space="preserve">              92,890</t>
  </si>
  <si>
    <t xml:space="preserve">               9,918</t>
  </si>
  <si>
    <t xml:space="preserve">              96,128.1</t>
  </si>
  <si>
    <t xml:space="preserve">             578,994</t>
  </si>
  <si>
    <t xml:space="preserve">             185,750.3</t>
  </si>
  <si>
    <t xml:space="preserve">             816,733</t>
  </si>
  <si>
    <t xml:space="preserve">            -237,739</t>
  </si>
  <si>
    <t xml:space="preserve">           1,546,432.9</t>
  </si>
  <si>
    <t xml:space="preserve">           2,993,339</t>
  </si>
  <si>
    <t xml:space="preserve">             240,326.4</t>
  </si>
  <si>
    <t xml:space="preserve">             991,625</t>
  </si>
  <si>
    <t xml:space="preserve">           2,001,713</t>
  </si>
  <si>
    <t xml:space="preserve">             252,109.3</t>
  </si>
  <si>
    <t xml:space="preserve">             664,391</t>
  </si>
  <si>
    <t xml:space="preserve">              87,749.9</t>
  </si>
  <si>
    <t xml:space="preserve">             275,544</t>
  </si>
  <si>
    <t xml:space="preserve">             388,847</t>
  </si>
  <si>
    <t xml:space="preserve">               2,380.5</t>
  </si>
  <si>
    <t xml:space="preserve">              18,247</t>
  </si>
  <si>
    <t xml:space="preserve">               7,322.9</t>
  </si>
  <si>
    <t xml:space="preserve">              17,924</t>
  </si>
  <si>
    <t xml:space="preserve">                 323</t>
  </si>
  <si>
    <t xml:space="preserve">                 696.6</t>
  </si>
  <si>
    <t xml:space="preserve">              35,429</t>
  </si>
  <si>
    <t xml:space="preserve">               5,767.8</t>
  </si>
  <si>
    <t xml:space="preserve">             278,937</t>
  </si>
  <si>
    <t xml:space="preserve">            -243,508</t>
  </si>
  <si>
    <t xml:space="preserve">                 790</t>
  </si>
  <si>
    <t xml:space="preserve">               2,134</t>
  </si>
  <si>
    <t xml:space="preserve">              -1,343</t>
  </si>
  <si>
    <t xml:space="preserve">               3,633.1</t>
  </si>
  <si>
    <t xml:space="preserve">               4,997</t>
  </si>
  <si>
    <t xml:space="preserve">             857,531.7</t>
  </si>
  <si>
    <t xml:space="preserve">             241,256</t>
  </si>
  <si>
    <t xml:space="preserve">            -236,259</t>
  </si>
  <si>
    <t xml:space="preserve">                  37</t>
  </si>
  <si>
    <t xml:space="preserve">                  58.2</t>
  </si>
  <si>
    <t xml:space="preserve">                -481</t>
  </si>
  <si>
    <t xml:space="preserve">                 152</t>
  </si>
  <si>
    <t xml:space="preserve">                 206.7</t>
  </si>
  <si>
    <t xml:space="preserve">               1,487</t>
  </si>
  <si>
    <t xml:space="preserve">              -1,335</t>
  </si>
  <si>
    <t xml:space="preserve">              49,084.5</t>
  </si>
  <si>
    <t xml:space="preserve">               8,689</t>
  </si>
  <si>
    <t xml:space="preserve">             207,986.6</t>
  </si>
  <si>
    <t xml:space="preserve">             109,785</t>
  </si>
  <si>
    <t xml:space="preserve">            -101,097</t>
  </si>
  <si>
    <t xml:space="preserve">             264,596.0</t>
  </si>
  <si>
    <t xml:space="preserve">             236,567</t>
  </si>
  <si>
    <t xml:space="preserve">             115,711.6</t>
  </si>
  <si>
    <t xml:space="preserve">             169,755</t>
  </si>
  <si>
    <t xml:space="preserve">              66,812</t>
  </si>
  <si>
    <t xml:space="preserve">               4,030.5</t>
  </si>
  <si>
    <t xml:space="preserve">              30,743</t>
  </si>
  <si>
    <t xml:space="preserve">               1,070.2</t>
  </si>
  <si>
    <t xml:space="preserve">              22,398</t>
  </si>
  <si>
    <t xml:space="preserve">               8,345</t>
  </si>
  <si>
    <t xml:space="preserve">                  18.6</t>
  </si>
  <si>
    <t xml:space="preserve">                 169</t>
  </si>
  <si>
    <t xml:space="preserve">                 118.1</t>
  </si>
  <si>
    <t xml:space="preserve">               1,243</t>
  </si>
  <si>
    <t xml:space="preserve">                 672.7</t>
  </si>
  <si>
    <t xml:space="preserve">              13,418</t>
  </si>
  <si>
    <t xml:space="preserve">             -12,175</t>
  </si>
  <si>
    <t xml:space="preserve">               2,623.8</t>
  </si>
  <si>
    <t xml:space="preserve">              20,926</t>
  </si>
  <si>
    <t xml:space="preserve">              21,761.0</t>
  </si>
  <si>
    <t xml:space="preserve">              62,935</t>
  </si>
  <si>
    <t xml:space="preserve">             -42,009</t>
  </si>
  <si>
    <t xml:space="preserve">                 502</t>
  </si>
  <si>
    <t xml:space="preserve">                 981.2</t>
  </si>
  <si>
    <t xml:space="preserve">               3,638</t>
  </si>
  <si>
    <t xml:space="preserve">              -3,135</t>
  </si>
  <si>
    <t xml:space="preserve">              24,132.6</t>
  </si>
  <si>
    <t xml:space="preserve">             150,196</t>
  </si>
  <si>
    <t xml:space="preserve">              40,412.1</t>
  </si>
  <si>
    <t xml:space="preserve">              86,565</t>
  </si>
  <si>
    <t xml:space="preserve">              63,631</t>
  </si>
  <si>
    <t xml:space="preserve">              62,336.3</t>
  </si>
  <si>
    <t xml:space="preserve">             104,033</t>
  </si>
  <si>
    <t xml:space="preserve">              11,633.0</t>
  </si>
  <si>
    <t xml:space="preserve">              43,604</t>
  </si>
  <si>
    <t xml:space="preserve">              60,429</t>
  </si>
  <si>
    <t xml:space="preserve">               9,694.8</t>
  </si>
  <si>
    <t xml:space="preserve">              63,923</t>
  </si>
  <si>
    <t xml:space="preserve">              16,437.3</t>
  </si>
  <si>
    <t xml:space="preserve">              49,138</t>
  </si>
  <si>
    <t xml:space="preserve">              14,785</t>
  </si>
  <si>
    <t xml:space="preserve">                 464.0</t>
  </si>
  <si>
    <t xml:space="preserve">               5,971</t>
  </si>
  <si>
    <t xml:space="preserve">               3,772.4</t>
  </si>
  <si>
    <t xml:space="preserve">               8,257</t>
  </si>
  <si>
    <t xml:space="preserve">              -2,286</t>
  </si>
  <si>
    <t xml:space="preserve">               1,202.0</t>
  </si>
  <si>
    <t xml:space="preserve">              16,628</t>
  </si>
  <si>
    <t xml:space="preserve">                 490.1</t>
  </si>
  <si>
    <t xml:space="preserve">               4,195</t>
  </si>
  <si>
    <t xml:space="preserve">              12,433</t>
  </si>
  <si>
    <t xml:space="preserve">               9,699.8</t>
  </si>
  <si>
    <t xml:space="preserve">              99,698</t>
  </si>
  <si>
    <t xml:space="preserve">               5,159.4</t>
  </si>
  <si>
    <t xml:space="preserve">              32,432</t>
  </si>
  <si>
    <t xml:space="preserve">              67,265</t>
  </si>
  <si>
    <t xml:space="preserve">              17,163.6</t>
  </si>
  <si>
    <t xml:space="preserve">             124,790</t>
  </si>
  <si>
    <t xml:space="preserve">               1,216.2</t>
  </si>
  <si>
    <t xml:space="preserve">               6,386</t>
  </si>
  <si>
    <t xml:space="preserve">             118,404</t>
  </si>
  <si>
    <t xml:space="preserve">               2,506.4</t>
  </si>
  <si>
    <t xml:space="preserve">              66,068</t>
  </si>
  <si>
    <t xml:space="preserve">              16,494.1</t>
  </si>
  <si>
    <t xml:space="preserve">             382,637</t>
  </si>
  <si>
    <t xml:space="preserve">            -316,569</t>
  </si>
  <si>
    <t xml:space="preserve">               2,292.9</t>
  </si>
  <si>
    <t xml:space="preserve">              63,688</t>
  </si>
  <si>
    <t xml:space="preserve">              15,385.4</t>
  </si>
  <si>
    <t xml:space="preserve">             537,809</t>
  </si>
  <si>
    <t xml:space="preserve">            -474,121</t>
  </si>
  <si>
    <t xml:space="preserve">              28,752.3</t>
  </si>
  <si>
    <t xml:space="preserve">              53,901</t>
  </si>
  <si>
    <t xml:space="preserve">              20,728.5</t>
  </si>
  <si>
    <t xml:space="preserve">              74,884</t>
  </si>
  <si>
    <t xml:space="preserve">             -20,983</t>
  </si>
  <si>
    <t xml:space="preserve">               1,250.3</t>
  </si>
  <si>
    <t xml:space="preserve">              31,464</t>
  </si>
  <si>
    <t xml:space="preserve">               8,552.5</t>
  </si>
  <si>
    <t xml:space="preserve">             274,686</t>
  </si>
  <si>
    <t xml:space="preserve">            -243,221</t>
  </si>
  <si>
    <t xml:space="preserve">                 243.2</t>
  </si>
  <si>
    <t xml:space="preserve">               7,543</t>
  </si>
  <si>
    <t xml:space="preserve">                 593.2</t>
  </si>
  <si>
    <t xml:space="preserve">              22,230</t>
  </si>
  <si>
    <t xml:space="preserve">             -14,688</t>
  </si>
  <si>
    <t xml:space="preserve">                 216</t>
  </si>
  <si>
    <t xml:space="preserve">                 932.0</t>
  </si>
  <si>
    <t xml:space="preserve">               6,966</t>
  </si>
  <si>
    <t xml:space="preserve">              -6,750</t>
  </si>
  <si>
    <t xml:space="preserve">                  24.4</t>
  </si>
  <si>
    <t xml:space="preserve">               1,653</t>
  </si>
  <si>
    <t xml:space="preserve">                 268.3</t>
  </si>
  <si>
    <t xml:space="preserve">               4,979</t>
  </si>
  <si>
    <t xml:space="preserve">              -3,326</t>
  </si>
  <si>
    <t xml:space="preserve">              10,417.7</t>
  </si>
  <si>
    <t xml:space="preserve">              69,284</t>
  </si>
  <si>
    <t xml:space="preserve">             100,527.9</t>
  </si>
  <si>
    <t xml:space="preserve">              84,554</t>
  </si>
  <si>
    <t xml:space="preserve">             -15,270</t>
  </si>
  <si>
    <t xml:space="preserve">               2,473.1</t>
  </si>
  <si>
    <t xml:space="preserve">              25,414</t>
  </si>
  <si>
    <t xml:space="preserve">              85,066.7</t>
  </si>
  <si>
    <t xml:space="preserve">             124,852</t>
  </si>
  <si>
    <t xml:space="preserve">             -99,438</t>
  </si>
  <si>
    <t xml:space="preserve">              31,443.7</t>
  </si>
  <si>
    <t xml:space="preserve">             167,145</t>
  </si>
  <si>
    <t xml:space="preserve">              88,891.4</t>
  </si>
  <si>
    <t xml:space="preserve">             201,144</t>
  </si>
  <si>
    <t xml:space="preserve">             -33,999</t>
  </si>
  <si>
    <t xml:space="preserve">                 728.3</t>
  </si>
  <si>
    <t xml:space="preserve">             523,284</t>
  </si>
  <si>
    <t xml:space="preserve">               1,111.7</t>
  </si>
  <si>
    <t xml:space="preserve">           1,152,867</t>
  </si>
  <si>
    <t xml:space="preserve">            -629,583</t>
  </si>
  <si>
    <t xml:space="preserve">           2,209,655.0</t>
  </si>
  <si>
    <t xml:space="preserve">           1,929,526</t>
  </si>
  <si>
    <t xml:space="preserve">           1,241,792.9</t>
  </si>
  <si>
    <t xml:space="preserve">             937,307</t>
  </si>
  <si>
    <t xml:space="preserve">             992,219</t>
  </si>
  <si>
    <t xml:space="preserve">             281,459.1</t>
  </si>
  <si>
    <t xml:space="preserve">             743,727</t>
  </si>
  <si>
    <t xml:space="preserve">             227,414.2</t>
  </si>
  <si>
    <t xml:space="preserve">             587,353</t>
  </si>
  <si>
    <t xml:space="preserve">             156,374</t>
  </si>
  <si>
    <t xml:space="preserve">              44,562.3</t>
  </si>
  <si>
    <t xml:space="preserve">             401,769</t>
  </si>
  <si>
    <t xml:space="preserve">              52,646.1</t>
  </si>
  <si>
    <t xml:space="preserve">             489,821</t>
  </si>
  <si>
    <t xml:space="preserve">             -88,052</t>
  </si>
  <si>
    <t xml:space="preserve">               2,500.5</t>
  </si>
  <si>
    <t xml:space="preserve">              21,670</t>
  </si>
  <si>
    <t xml:space="preserve">               5,088.9</t>
  </si>
  <si>
    <t xml:space="preserve">             110,270</t>
  </si>
  <si>
    <t xml:space="preserve">             -88,600</t>
  </si>
  <si>
    <t xml:space="preserve">             110,171.9</t>
  </si>
  <si>
    <t xml:space="preserve">             443,184</t>
  </si>
  <si>
    <t xml:space="preserve">             233,214.9</t>
  </si>
  <si>
    <t xml:space="preserve">             711,402</t>
  </si>
  <si>
    <t xml:space="preserve">            -268,218</t>
  </si>
  <si>
    <t xml:space="preserve">              22,134.1</t>
  </si>
  <si>
    <t xml:space="preserve">              48,512</t>
  </si>
  <si>
    <t xml:space="preserve">              14,152.2</t>
  </si>
  <si>
    <t xml:space="preserve">              29,724</t>
  </si>
  <si>
    <t xml:space="preserve">              18,788</t>
  </si>
  <si>
    <t xml:space="preserve">              30,108.8</t>
  </si>
  <si>
    <t xml:space="preserve">              90,535</t>
  </si>
  <si>
    <t xml:space="preserve">               2,655.3</t>
  </si>
  <si>
    <t xml:space="preserve">               8,382</t>
  </si>
  <si>
    <t xml:space="preserve">              82,153</t>
  </si>
  <si>
    <t xml:space="preserve">                 207.8</t>
  </si>
  <si>
    <t xml:space="preserve">               7,304</t>
  </si>
  <si>
    <t xml:space="preserve">               1,125.8</t>
  </si>
  <si>
    <t xml:space="preserve">              35,725</t>
  </si>
  <si>
    <t xml:space="preserve">             -28,421</t>
  </si>
  <si>
    <t xml:space="preserve">               2,477.9</t>
  </si>
  <si>
    <t xml:space="preserve">              37,362</t>
  </si>
  <si>
    <t xml:space="preserve">              12,071.8</t>
  </si>
  <si>
    <t xml:space="preserve">             100,847</t>
  </si>
  <si>
    <t xml:space="preserve">             -63,485</t>
  </si>
  <si>
    <t xml:space="preserve">               6,484.8</t>
  </si>
  <si>
    <t xml:space="preserve">             149,438</t>
  </si>
  <si>
    <t xml:space="preserve">               3,702.8</t>
  </si>
  <si>
    <t xml:space="preserve">              73,613</t>
  </si>
  <si>
    <t xml:space="preserve">              75,825</t>
  </si>
  <si>
    <t xml:space="preserve">              25,289.7</t>
  </si>
  <si>
    <t xml:space="preserve">             143,447</t>
  </si>
  <si>
    <t xml:space="preserve">               9,141.0</t>
  </si>
  <si>
    <t xml:space="preserve">              66,285</t>
  </si>
  <si>
    <t xml:space="preserve">              77,162</t>
  </si>
  <si>
    <t xml:space="preserve">             363,116.5</t>
  </si>
  <si>
    <t xml:space="preserve">           6,017,125</t>
  </si>
  <si>
    <t xml:space="preserve">             188,006.0</t>
  </si>
  <si>
    <t xml:space="preserve">           5,663,639</t>
  </si>
  <si>
    <t xml:space="preserve">             353,486</t>
  </si>
  <si>
    <t xml:space="preserve">             227,244.7</t>
  </si>
  <si>
    <t xml:space="preserve">          15,082,652</t>
  </si>
  <si>
    <t xml:space="preserve">             173,203.6</t>
  </si>
  <si>
    <t xml:space="preserve">           9,299,061</t>
  </si>
  <si>
    <t xml:space="preserve">           5,783,591</t>
  </si>
  <si>
    <t xml:space="preserve">              11,307.0</t>
  </si>
  <si>
    <t xml:space="preserve">              37,579</t>
  </si>
  <si>
    <t xml:space="preserve">              10,993.5</t>
  </si>
  <si>
    <t xml:space="preserve">              30,984</t>
  </si>
  <si>
    <t xml:space="preserve">               6,595</t>
  </si>
  <si>
    <t xml:space="preserve">             731,667.5</t>
  </si>
  <si>
    <t xml:space="preserve">           7,721,370</t>
  </si>
  <si>
    <t xml:space="preserve">              83,553.0</t>
  </si>
  <si>
    <t xml:space="preserve">           1,253,018</t>
  </si>
  <si>
    <t xml:space="preserve">           6,468,352</t>
  </si>
  <si>
    <t xml:space="preserve">                 375.5</t>
  </si>
  <si>
    <t xml:space="preserve">             121,420</t>
  </si>
  <si>
    <t xml:space="preserve">                 242.1</t>
  </si>
  <si>
    <t xml:space="preserve">             338,911</t>
  </si>
  <si>
    <t xml:space="preserve">            -217,491</t>
  </si>
  <si>
    <t xml:space="preserve">             709,470.4</t>
  </si>
  <si>
    <t xml:space="preserve">           1,435,746</t>
  </si>
  <si>
    <t xml:space="preserve">             108,164.7</t>
  </si>
  <si>
    <t xml:space="preserve">             152,931</t>
  </si>
  <si>
    <t xml:space="preserve">           1,282,816</t>
  </si>
  <si>
    <t xml:space="preserve">              17,659.7</t>
  </si>
  <si>
    <t xml:space="preserve">           1,402,880</t>
  </si>
  <si>
    <t xml:space="preserve">              14,871.2</t>
  </si>
  <si>
    <t xml:space="preserve">           1,930,376</t>
  </si>
  <si>
    <t xml:space="preserve">            -527,497</t>
  </si>
  <si>
    <t xml:space="preserve">                  14.9</t>
  </si>
  <si>
    <t xml:space="preserve">              17,790</t>
  </si>
  <si>
    <t xml:space="preserve">                 223.0</t>
  </si>
  <si>
    <t xml:space="preserve">              98,269</t>
  </si>
  <si>
    <t xml:space="preserve">             -80,479</t>
  </si>
  <si>
    <t xml:space="preserve">                 531.8</t>
  </si>
  <si>
    <t xml:space="preserve">               8,586</t>
  </si>
  <si>
    <t xml:space="preserve">                 616.6</t>
  </si>
  <si>
    <t xml:space="preserve">              15,778</t>
  </si>
  <si>
    <t xml:space="preserve">              -7,192</t>
  </si>
  <si>
    <t xml:space="preserve">               1,700.8</t>
  </si>
  <si>
    <t xml:space="preserve">             285,090</t>
  </si>
  <si>
    <t xml:space="preserve">                 151.6</t>
  </si>
  <si>
    <t xml:space="preserve">              25,813</t>
  </si>
  <si>
    <t xml:space="preserve">             259,277</t>
  </si>
  <si>
    <t xml:space="preserve">              15,878.1</t>
  </si>
  <si>
    <t xml:space="preserve">             116,709</t>
  </si>
  <si>
    <t xml:space="preserve">              63,632.1</t>
  </si>
  <si>
    <t xml:space="preserve">             273,704</t>
  </si>
  <si>
    <t xml:space="preserve">            -156,995</t>
  </si>
  <si>
    <t xml:space="preserve">               2,158.8</t>
  </si>
  <si>
    <t xml:space="preserve">              47,672</t>
  </si>
  <si>
    <t xml:space="preserve">              10,569.9</t>
  </si>
  <si>
    <t xml:space="preserve">             162,064</t>
  </si>
  <si>
    <t xml:space="preserve">            -114,391</t>
  </si>
  <si>
    <t xml:space="preserve">               2,247.3</t>
  </si>
  <si>
    <t xml:space="preserve">               8,701.3</t>
  </si>
  <si>
    <t xml:space="preserve">              78,911</t>
  </si>
  <si>
    <t xml:space="preserve">             -43,013</t>
  </si>
  <si>
    <t xml:space="preserve">              24,943</t>
  </si>
  <si>
    <t xml:space="preserve">                  56.2</t>
  </si>
  <si>
    <t xml:space="preserve">              28,371</t>
  </si>
  <si>
    <t xml:space="preserve">              -3,427</t>
  </si>
  <si>
    <t xml:space="preserve">                   3.8</t>
  </si>
  <si>
    <t xml:space="preserve">                 914</t>
  </si>
  <si>
    <t xml:space="preserve">                  76.2</t>
  </si>
  <si>
    <t xml:space="preserve">               7,722</t>
  </si>
  <si>
    <t xml:space="preserve">              -6,809</t>
  </si>
  <si>
    <t xml:space="preserve">               6,250.7</t>
  </si>
  <si>
    <t xml:space="preserve">               8,774</t>
  </si>
  <si>
    <t xml:space="preserve">             113,301.8</t>
  </si>
  <si>
    <t xml:space="preserve">             564,842</t>
  </si>
  <si>
    <t xml:space="preserve">            -556,068</t>
  </si>
  <si>
    <t xml:space="preserve">              42,857.8</t>
  </si>
  <si>
    <t xml:space="preserve">             141,976</t>
  </si>
  <si>
    <t xml:space="preserve">             107,980.3</t>
  </si>
  <si>
    <t xml:space="preserve">             420,426</t>
  </si>
  <si>
    <t xml:space="preserve">            -278,451</t>
  </si>
  <si>
    <t xml:space="preserve">               2,675.3</t>
  </si>
  <si>
    <t xml:space="preserve">               7,476</t>
  </si>
  <si>
    <t xml:space="preserve">              30,823.7</t>
  </si>
  <si>
    <t xml:space="preserve">             137,645</t>
  </si>
  <si>
    <t xml:space="preserve">            -130,168</t>
  </si>
  <si>
    <t xml:space="preserve">               1,073.2</t>
  </si>
  <si>
    <t xml:space="preserve">               3,438</t>
  </si>
  <si>
    <t xml:space="preserve">               4,037.1</t>
  </si>
  <si>
    <t xml:space="preserve">              21,351</t>
  </si>
  <si>
    <t xml:space="preserve">             -17,913</t>
  </si>
  <si>
    <t xml:space="preserve">                  93.5</t>
  </si>
  <si>
    <t xml:space="preserve">                 611</t>
  </si>
  <si>
    <t xml:space="preserve">               6,882.1</t>
  </si>
  <si>
    <t xml:space="preserve">              15,107</t>
  </si>
  <si>
    <t xml:space="preserve">             -14,496</t>
  </si>
  <si>
    <t xml:space="preserve">               2,645.1</t>
  </si>
  <si>
    <t xml:space="preserve">               8,265</t>
  </si>
  <si>
    <t xml:space="preserve">             111,397.5</t>
  </si>
  <si>
    <t xml:space="preserve">              75,233</t>
  </si>
  <si>
    <t xml:space="preserve">             -66,967</t>
  </si>
  <si>
    <t xml:space="preserve">               1,834.8</t>
  </si>
  <si>
    <t xml:space="preserve">              16,774</t>
  </si>
  <si>
    <t xml:space="preserve">             113,442.4</t>
  </si>
  <si>
    <t xml:space="preserve">             251,608</t>
  </si>
  <si>
    <t xml:space="preserve">            -234,834</t>
  </si>
  <si>
    <t xml:space="preserve">                 351.6</t>
  </si>
  <si>
    <t xml:space="preserve">               3,800</t>
  </si>
  <si>
    <t xml:space="preserve">              19,733.9</t>
  </si>
  <si>
    <t xml:space="preserve">             147,755</t>
  </si>
  <si>
    <t xml:space="preserve">            -143,955</t>
  </si>
  <si>
    <t xml:space="preserve">               1,648.3</t>
  </si>
  <si>
    <t xml:space="preserve">               1,418</t>
  </si>
  <si>
    <t xml:space="preserve">           1,157,699.8</t>
  </si>
  <si>
    <t xml:space="preserve">             320,739</t>
  </si>
  <si>
    <t xml:space="preserve">            -319,321</t>
  </si>
  <si>
    <t xml:space="preserve">               5,448.1</t>
  </si>
  <si>
    <t xml:space="preserve">               3,860</t>
  </si>
  <si>
    <t xml:space="preserve">              32,088.5</t>
  </si>
  <si>
    <t xml:space="preserve">              26,199</t>
  </si>
  <si>
    <t xml:space="preserve">             -22,340</t>
  </si>
  <si>
    <t xml:space="preserve">               4,605.5</t>
  </si>
  <si>
    <t xml:space="preserve">              65,893</t>
  </si>
  <si>
    <t xml:space="preserve">             246,851.3</t>
  </si>
  <si>
    <t xml:space="preserve">             140,298</t>
  </si>
  <si>
    <t xml:space="preserve">             -74,405</t>
  </si>
  <si>
    <t xml:space="preserve">                 382.8</t>
  </si>
  <si>
    <t xml:space="preserve">               9,338</t>
  </si>
  <si>
    <t xml:space="preserve">               6,642.4</t>
  </si>
  <si>
    <t xml:space="preserve">              25,612</t>
  </si>
  <si>
    <t xml:space="preserve">             -16,274</t>
  </si>
  <si>
    <t xml:space="preserve">                  10.5</t>
  </si>
  <si>
    <t xml:space="preserve">              21,084.8</t>
  </si>
  <si>
    <t xml:space="preserve">               6,285</t>
  </si>
  <si>
    <t xml:space="preserve">              -6,268</t>
  </si>
  <si>
    <t xml:space="preserve">              23,113.6</t>
  </si>
  <si>
    <t xml:space="preserve">              28,244</t>
  </si>
  <si>
    <t xml:space="preserve">             142,059.3</t>
  </si>
  <si>
    <t xml:space="preserve">             208,146</t>
  </si>
  <si>
    <t xml:space="preserve">            -179,902</t>
  </si>
  <si>
    <t xml:space="preserve">               4,630.0</t>
  </si>
  <si>
    <t xml:space="preserve">              24,969</t>
  </si>
  <si>
    <t xml:space="preserve">              15,321.8</t>
  </si>
  <si>
    <t xml:space="preserve">              82,796</t>
  </si>
  <si>
    <t xml:space="preserve">             -57,828</t>
  </si>
  <si>
    <t xml:space="preserve">              21,360.5</t>
  </si>
  <si>
    <t xml:space="preserve">              22,873</t>
  </si>
  <si>
    <t xml:space="preserve">             209,847.9</t>
  </si>
  <si>
    <t xml:space="preserve">             128,431</t>
  </si>
  <si>
    <t xml:space="preserve">            -105,558</t>
  </si>
  <si>
    <t xml:space="preserve">               2,610.3</t>
  </si>
  <si>
    <t xml:space="preserve">               9,156</t>
  </si>
  <si>
    <t xml:space="preserve">               5,138.4</t>
  </si>
  <si>
    <t xml:space="preserve">              47,315</t>
  </si>
  <si>
    <t xml:space="preserve">             -38,159</t>
  </si>
  <si>
    <t xml:space="preserve">              53,557.6</t>
  </si>
  <si>
    <t xml:space="preserve">             212,573</t>
  </si>
  <si>
    <t xml:space="preserve">              26,899.1</t>
  </si>
  <si>
    <t xml:space="preserve">              85,105</t>
  </si>
  <si>
    <t xml:space="preserve">             127,468</t>
  </si>
  <si>
    <t xml:space="preserve">               9,760.8</t>
  </si>
  <si>
    <t xml:space="preserve">              84,492</t>
  </si>
  <si>
    <t xml:space="preserve">              95,307.4</t>
  </si>
  <si>
    <t xml:space="preserve">             134,910</t>
  </si>
  <si>
    <t xml:space="preserve">             -50,418</t>
  </si>
  <si>
    <t xml:space="preserve">              37,656.8</t>
  </si>
  <si>
    <t xml:space="preserve">             160,598</t>
  </si>
  <si>
    <t xml:space="preserve">              32,817.9</t>
  </si>
  <si>
    <t xml:space="preserve">             241,800</t>
  </si>
  <si>
    <t xml:space="preserve">             -81,201</t>
  </si>
  <si>
    <t xml:space="preserve">              84,484.2</t>
  </si>
  <si>
    <t xml:space="preserve">             100,669</t>
  </si>
  <si>
    <t xml:space="preserve">              79,257.6</t>
  </si>
  <si>
    <t xml:space="preserve">             118,325</t>
  </si>
  <si>
    <t xml:space="preserve">             -17,656</t>
  </si>
  <si>
    <t xml:space="preserve">              30,512.9</t>
  </si>
  <si>
    <t xml:space="preserve">              28,607</t>
  </si>
  <si>
    <t xml:space="preserve">             550,392.1</t>
  </si>
  <si>
    <t xml:space="preserve">             178,139</t>
  </si>
  <si>
    <t xml:space="preserve">            -149,532</t>
  </si>
  <si>
    <t xml:space="preserve">               7,710.8</t>
  </si>
  <si>
    <t xml:space="preserve">              86,963</t>
  </si>
  <si>
    <t xml:space="preserve">               7,613.3</t>
  </si>
  <si>
    <t xml:space="preserve">              57,446</t>
  </si>
  <si>
    <t xml:space="preserve">              29,517</t>
  </si>
  <si>
    <t xml:space="preserve">             506,926.5</t>
  </si>
  <si>
    <t xml:space="preserve">              31,657</t>
  </si>
  <si>
    <t xml:space="preserve">           1,021,304.3</t>
  </si>
  <si>
    <t xml:space="preserve">              78,595</t>
  </si>
  <si>
    <t xml:space="preserve">             -46,938</t>
  </si>
  <si>
    <t xml:space="preserve">             147,970.0</t>
  </si>
  <si>
    <t xml:space="preserve">              70,445</t>
  </si>
  <si>
    <t xml:space="preserve">           6,251,373.6</t>
  </si>
  <si>
    <t xml:space="preserve">           1,610,001</t>
  </si>
  <si>
    <t xml:space="preserve">          -1,539,556</t>
  </si>
  <si>
    <t xml:space="preserve">           4,974,739.2</t>
  </si>
  <si>
    <t xml:space="preserve">           3,466,285</t>
  </si>
  <si>
    <t xml:space="preserve">          25,289,266.8</t>
  </si>
  <si>
    <t xml:space="preserve">          12,047,322</t>
  </si>
  <si>
    <t xml:space="preserve">          -8,581,037</t>
  </si>
  <si>
    <t xml:space="preserve">             377,588.8</t>
  </si>
  <si>
    <t xml:space="preserve">             735,683</t>
  </si>
  <si>
    <t xml:space="preserve">             300,974.7</t>
  </si>
  <si>
    <t xml:space="preserve">             733,934</t>
  </si>
  <si>
    <t xml:space="preserve">               1,749</t>
  </si>
  <si>
    <t xml:space="preserve">           1,568,127.1</t>
  </si>
  <si>
    <t xml:space="preserve">           1,611,319</t>
  </si>
  <si>
    <t xml:space="preserve">             646,749.3</t>
  </si>
  <si>
    <t xml:space="preserve">           1,138,042</t>
  </si>
  <si>
    <t xml:space="preserve">             473,276</t>
  </si>
  <si>
    <t xml:space="preserve">               2,682.6</t>
  </si>
  <si>
    <t xml:space="preserve">             766,350</t>
  </si>
  <si>
    <t xml:space="preserve">               6,432.2</t>
  </si>
  <si>
    <t xml:space="preserve">             787,884</t>
  </si>
  <si>
    <t xml:space="preserve">             -21,534</t>
  </si>
  <si>
    <t xml:space="preserve">             104,007.3</t>
  </si>
  <si>
    <t xml:space="preserve">              41,243</t>
  </si>
  <si>
    <t xml:space="preserve">             125,830.6</t>
  </si>
  <si>
    <t xml:space="preserve">              51,617</t>
  </si>
  <si>
    <t xml:space="preserve">             -10,374</t>
  </si>
  <si>
    <t xml:space="preserve">              30,764.5</t>
  </si>
  <si>
    <t xml:space="preserve">             223,829</t>
  </si>
  <si>
    <t xml:space="preserve">              24,679.9</t>
  </si>
  <si>
    <t xml:space="preserve">             187,802</t>
  </si>
  <si>
    <t xml:space="preserve">              36,027</t>
  </si>
  <si>
    <t xml:space="preserve">              39,683.4</t>
  </si>
  <si>
    <t xml:space="preserve">             912,081</t>
  </si>
  <si>
    <t xml:space="preserve">               9,679.2</t>
  </si>
  <si>
    <t xml:space="preserve">             185,790</t>
  </si>
  <si>
    <t xml:space="preserve">             726,292</t>
  </si>
  <si>
    <t xml:space="preserve">              47,885.9</t>
  </si>
  <si>
    <t xml:space="preserve">             149,258</t>
  </si>
  <si>
    <t xml:space="preserve">              25,296.0</t>
  </si>
  <si>
    <t xml:space="preserve">              95,835</t>
  </si>
  <si>
    <t xml:space="preserve">              53,423</t>
  </si>
  <si>
    <t xml:space="preserve">               7,119.5</t>
  </si>
  <si>
    <t xml:space="preserve">              92,038</t>
  </si>
  <si>
    <t xml:space="preserve">              19,474.6</t>
  </si>
  <si>
    <t xml:space="preserve">              84,538</t>
  </si>
  <si>
    <t xml:space="preserve">                 434.5</t>
  </si>
  <si>
    <t xml:space="preserve">               8,059</t>
  </si>
  <si>
    <t xml:space="preserve">                 136.4</t>
  </si>
  <si>
    <t xml:space="preserve">               1,897</t>
  </si>
  <si>
    <t xml:space="preserve">               6,162</t>
  </si>
  <si>
    <t xml:space="preserve">               1,674.5</t>
  </si>
  <si>
    <t xml:space="preserve">              93,809</t>
  </si>
  <si>
    <t xml:space="preserve">               2,985.3</t>
  </si>
  <si>
    <t xml:space="preserve">              88,634</t>
  </si>
  <si>
    <t xml:space="preserve">               5,175</t>
  </si>
  <si>
    <t xml:space="preserve">              93,184.7</t>
  </si>
  <si>
    <t xml:space="preserve">             670,164</t>
  </si>
  <si>
    <t xml:space="preserve">             162,607.0</t>
  </si>
  <si>
    <t xml:space="preserve">             793,402</t>
  </si>
  <si>
    <t xml:space="preserve">            -123,238</t>
  </si>
  <si>
    <t xml:space="preserve">           1,434,618.3</t>
  </si>
  <si>
    <t xml:space="preserve">           2,864,112</t>
  </si>
  <si>
    <t xml:space="preserve">             259,589.4</t>
  </si>
  <si>
    <t xml:space="preserve">           1,069,785</t>
  </si>
  <si>
    <t xml:space="preserve">           1,794,326</t>
  </si>
  <si>
    <t xml:space="preserve">             243,934.1</t>
  </si>
  <si>
    <t xml:space="preserve">             662,560</t>
  </si>
  <si>
    <t xml:space="preserve">              81,678.4</t>
  </si>
  <si>
    <t xml:space="preserve">             264,925</t>
  </si>
  <si>
    <t xml:space="preserve">             397,634</t>
  </si>
  <si>
    <t xml:space="preserve">               3,161.4</t>
  </si>
  <si>
    <t xml:space="preserve">              28,697</t>
  </si>
  <si>
    <t xml:space="preserve">               8,131.3</t>
  </si>
  <si>
    <t xml:space="preserve">              21,624</t>
  </si>
  <si>
    <t xml:space="preserve">               7,073</t>
  </si>
  <si>
    <t xml:space="preserve">                 893.0</t>
  </si>
  <si>
    <t xml:space="preserve">              38,578</t>
  </si>
  <si>
    <t xml:space="preserve">               8,465.1</t>
  </si>
  <si>
    <t xml:space="preserve">             305,509</t>
  </si>
  <si>
    <t xml:space="preserve">            -266,932</t>
  </si>
  <si>
    <t xml:space="preserve">                  14.8</t>
  </si>
  <si>
    <t xml:space="preserve">                 451</t>
  </si>
  <si>
    <t xml:space="preserve">                  22.3</t>
  </si>
  <si>
    <t xml:space="preserve">              -3,428</t>
  </si>
  <si>
    <t xml:space="preserve">               4,307.1</t>
  </si>
  <si>
    <t xml:space="preserve">               6,420</t>
  </si>
  <si>
    <t xml:space="preserve">             713,280.6</t>
  </si>
  <si>
    <t xml:space="preserve">             222,058</t>
  </si>
  <si>
    <t xml:space="preserve">            -215,638</t>
  </si>
  <si>
    <t xml:space="preserve">                  41.6</t>
  </si>
  <si>
    <t xml:space="preserve">                 196</t>
  </si>
  <si>
    <t xml:space="preserve">                -143</t>
  </si>
  <si>
    <t xml:space="preserve">                 112</t>
  </si>
  <si>
    <t xml:space="preserve">                 356.5</t>
  </si>
  <si>
    <t xml:space="preserve">               1,970</t>
  </si>
  <si>
    <t xml:space="preserve">              -1,859</t>
  </si>
  <si>
    <t xml:space="preserve">              52,612.6</t>
  </si>
  <si>
    <t xml:space="preserve">               8,312</t>
  </si>
  <si>
    <t xml:space="preserve">             228,478.2</t>
  </si>
  <si>
    <t xml:space="preserve">             119,190</t>
  </si>
  <si>
    <t xml:space="preserve">            -110,877</t>
  </si>
  <si>
    <t xml:space="preserve">             222,365.7</t>
  </si>
  <si>
    <t xml:space="preserve">             214,018</t>
  </si>
  <si>
    <t xml:space="preserve">             117,738.3</t>
  </si>
  <si>
    <t xml:space="preserve">             176,024</t>
  </si>
  <si>
    <t xml:space="preserve">              37,994</t>
  </si>
  <si>
    <t xml:space="preserve">               3,033.5</t>
  </si>
  <si>
    <t xml:space="preserve">              33,147</t>
  </si>
  <si>
    <t xml:space="preserve">               1,323.9</t>
  </si>
  <si>
    <t xml:space="preserve">              22,057</t>
  </si>
  <si>
    <t xml:space="preserve">               1,249</t>
  </si>
  <si>
    <t xml:space="preserve">                  20.6</t>
  </si>
  <si>
    <t xml:space="preserve">               2,067</t>
  </si>
  <si>
    <t xml:space="preserve">                -818</t>
  </si>
  <si>
    <t xml:space="preserve">                 116.8</t>
  </si>
  <si>
    <t xml:space="preserve">               2,115</t>
  </si>
  <si>
    <t xml:space="preserve">                 925.2</t>
  </si>
  <si>
    <t xml:space="preserve">              18,274</t>
  </si>
  <si>
    <t xml:space="preserve">             -16,158</t>
  </si>
  <si>
    <t xml:space="preserve">               3,081.0</t>
  </si>
  <si>
    <t xml:space="preserve">              22,837</t>
  </si>
  <si>
    <t xml:space="preserve">              21,109.0</t>
  </si>
  <si>
    <t xml:space="preserve">              64,695</t>
  </si>
  <si>
    <t xml:space="preserve">             -41,858</t>
  </si>
  <si>
    <t xml:space="preserve">                 971.8</t>
  </si>
  <si>
    <t xml:space="preserve">               4,766</t>
  </si>
  <si>
    <t xml:space="preserve">              -4,264</t>
  </si>
  <si>
    <t xml:space="preserve">              23,493.2</t>
  </si>
  <si>
    <t xml:space="preserve">             148,460</t>
  </si>
  <si>
    <t xml:space="preserve">              40,643.5</t>
  </si>
  <si>
    <t xml:space="preserve">              90,673</t>
  </si>
  <si>
    <t xml:space="preserve">              57,787</t>
  </si>
  <si>
    <t xml:space="preserve">              57,731.0</t>
  </si>
  <si>
    <t xml:space="preserve">              95,879</t>
  </si>
  <si>
    <t xml:space="preserve">              12,639.8</t>
  </si>
  <si>
    <t xml:space="preserve">              50,358</t>
  </si>
  <si>
    <t xml:space="preserve">              45,521</t>
  </si>
  <si>
    <t xml:space="preserve">              10,486.6</t>
  </si>
  <si>
    <t xml:space="preserve">              65,351</t>
  </si>
  <si>
    <t xml:space="preserve">              17,292.5</t>
  </si>
  <si>
    <t xml:space="preserve">              54,276</t>
  </si>
  <si>
    <t xml:space="preserve">              11,075</t>
  </si>
  <si>
    <t xml:space="preserve">                 563.8</t>
  </si>
  <si>
    <t xml:space="preserve">               6,048</t>
  </si>
  <si>
    <t xml:space="preserve">               4,766.2</t>
  </si>
  <si>
    <t xml:space="preserve">              10,707</t>
  </si>
  <si>
    <t xml:space="preserve">              -4,659</t>
  </si>
  <si>
    <t xml:space="preserve">               1,349.7</t>
  </si>
  <si>
    <t xml:space="preserve">              15,344</t>
  </si>
  <si>
    <t xml:space="preserve">                 699.5</t>
  </si>
  <si>
    <t xml:space="preserve">               5,918</t>
  </si>
  <si>
    <t xml:space="preserve">               9,427</t>
  </si>
  <si>
    <t xml:space="preserve">               9,971.6</t>
  </si>
  <si>
    <t xml:space="preserve">             100,144</t>
  </si>
  <si>
    <t xml:space="preserve">               6,868.7</t>
  </si>
  <si>
    <t xml:space="preserve">              41,147</t>
  </si>
  <si>
    <t xml:space="preserve">              17,228.4</t>
  </si>
  <si>
    <t xml:space="preserve">             127,346</t>
  </si>
  <si>
    <t xml:space="preserve">               1,547.7</t>
  </si>
  <si>
    <t xml:space="preserve">             119,469</t>
  </si>
  <si>
    <t xml:space="preserve">               2,571.8</t>
  </si>
  <si>
    <t xml:space="preserve">              72,600</t>
  </si>
  <si>
    <t xml:space="preserve">              23,307.8</t>
  </si>
  <si>
    <t xml:space="preserve">             481,958</t>
  </si>
  <si>
    <t xml:space="preserve">            -409,357</t>
  </si>
  <si>
    <t xml:space="preserve">               2,559.0</t>
  </si>
  <si>
    <t xml:space="preserve">              67,429</t>
  </si>
  <si>
    <t xml:space="preserve">              22,494.5</t>
  </si>
  <si>
    <t xml:space="preserve">             628,292</t>
  </si>
  <si>
    <t xml:space="preserve">            -560,863</t>
  </si>
  <si>
    <t xml:space="preserve">              29,965.5</t>
  </si>
  <si>
    <t xml:space="preserve">              57,488</t>
  </si>
  <si>
    <t xml:space="preserve">              24,124.2</t>
  </si>
  <si>
    <t xml:space="preserve">             100,960</t>
  </si>
  <si>
    <t xml:space="preserve">             -43,472</t>
  </si>
  <si>
    <t xml:space="preserve">               1,188.9</t>
  </si>
  <si>
    <t xml:space="preserve">              29,414</t>
  </si>
  <si>
    <t xml:space="preserve">              11,201.4</t>
  </si>
  <si>
    <t xml:space="preserve">             312,251</t>
  </si>
  <si>
    <t xml:space="preserve">            -282,838</t>
  </si>
  <si>
    <t xml:space="preserve">                 253.0</t>
  </si>
  <si>
    <t xml:space="preserve">               9,571</t>
  </si>
  <si>
    <t xml:space="preserve">                 892.0</t>
  </si>
  <si>
    <t xml:space="preserve">              26,516</t>
  </si>
  <si>
    <t xml:space="preserve">             -16,945</t>
  </si>
  <si>
    <t xml:space="preserve">                   4.4</t>
  </si>
  <si>
    <t xml:space="preserve">                  65</t>
  </si>
  <si>
    <t xml:space="preserve">               1,407.2</t>
  </si>
  <si>
    <t xml:space="preserve">              11,095</t>
  </si>
  <si>
    <t xml:space="preserve">             -11,030</t>
  </si>
  <si>
    <t xml:space="preserve">                  20.7</t>
  </si>
  <si>
    <t xml:space="preserve">               1,825</t>
  </si>
  <si>
    <t xml:space="preserve">                 466.5</t>
  </si>
  <si>
    <t xml:space="preserve">               7,673</t>
  </si>
  <si>
    <t xml:space="preserve">              -5,848</t>
  </si>
  <si>
    <t xml:space="preserve">              11,129.0</t>
  </si>
  <si>
    <t xml:space="preserve">              76,207</t>
  </si>
  <si>
    <t xml:space="preserve">             175,920.9</t>
  </si>
  <si>
    <t xml:space="preserve">             103,863</t>
  </si>
  <si>
    <t xml:space="preserve">             -27,656</t>
  </si>
  <si>
    <t xml:space="preserve">               2,317.4</t>
  </si>
  <si>
    <t xml:space="preserve">              31,928</t>
  </si>
  <si>
    <t xml:space="preserve">              88,497.5</t>
  </si>
  <si>
    <t xml:space="preserve">             121,765</t>
  </si>
  <si>
    <t xml:space="preserve">             -89,837</t>
  </si>
  <si>
    <t xml:space="preserve">              28,369.2</t>
  </si>
  <si>
    <t xml:space="preserve">             155,103</t>
  </si>
  <si>
    <t xml:space="preserve">             102,126.7</t>
  </si>
  <si>
    <t xml:space="preserve">             230,387</t>
  </si>
  <si>
    <t xml:space="preserve">             -75,285</t>
  </si>
  <si>
    <t xml:space="preserve">                 888.8</t>
  </si>
  <si>
    <t xml:space="preserve">             443,632</t>
  </si>
  <si>
    <t xml:space="preserve">                 934.7</t>
  </si>
  <si>
    <t xml:space="preserve">             988,434</t>
  </si>
  <si>
    <t xml:space="preserve">            -544,802</t>
  </si>
  <si>
    <t xml:space="preserve">           2,113,763.9</t>
  </si>
  <si>
    <t xml:space="preserve">           1,844,526</t>
  </si>
  <si>
    <t xml:space="preserve">           1,177,765.3</t>
  </si>
  <si>
    <t xml:space="preserve">             899,092</t>
  </si>
  <si>
    <t xml:space="preserve">             945,434</t>
  </si>
  <si>
    <t xml:space="preserve">             324,308.5</t>
  </si>
  <si>
    <t xml:space="preserve">             831,450</t>
  </si>
  <si>
    <t xml:space="preserve">             269,937.3</t>
  </si>
  <si>
    <t xml:space="preserve">             905,426</t>
  </si>
  <si>
    <t xml:space="preserve">             -73,976</t>
  </si>
  <si>
    <t xml:space="preserve">              43,148.5</t>
  </si>
  <si>
    <t xml:space="preserve">             440,642</t>
  </si>
  <si>
    <t xml:space="preserve">              72,939.3</t>
  </si>
  <si>
    <t xml:space="preserve">             686,482</t>
  </si>
  <si>
    <t xml:space="preserve">            -245,839</t>
  </si>
  <si>
    <t xml:space="preserve">                 996.0</t>
  </si>
  <si>
    <t xml:space="preserve">              16,683</t>
  </si>
  <si>
    <t xml:space="preserve">               3,700.6</t>
  </si>
  <si>
    <t xml:space="preserve">             101,289</t>
  </si>
  <si>
    <t xml:space="preserve">             -84,606</t>
  </si>
  <si>
    <t xml:space="preserve">             112,038.6</t>
  </si>
  <si>
    <t xml:space="preserve">             457,809</t>
  </si>
  <si>
    <t xml:space="preserve">             238,342.0</t>
  </si>
  <si>
    <t xml:space="preserve">             737,096</t>
  </si>
  <si>
    <t xml:space="preserve">            -279,288</t>
  </si>
  <si>
    <t xml:space="preserve">              43,631.7</t>
  </si>
  <si>
    <t xml:space="preserve">              94,284</t>
  </si>
  <si>
    <t xml:space="preserve">              12,097.1</t>
  </si>
  <si>
    <t xml:space="preserve">              26,630</t>
  </si>
  <si>
    <t xml:space="preserve">              67,654</t>
  </si>
  <si>
    <t xml:space="preserve">              30,182.0</t>
  </si>
  <si>
    <t xml:space="preserve">              90,205</t>
  </si>
  <si>
    <t xml:space="preserve">               1,938.7</t>
  </si>
  <si>
    <t xml:space="preserve">               6,761</t>
  </si>
  <si>
    <t xml:space="preserve">              83,444</t>
  </si>
  <si>
    <t xml:space="preserve">                 160.8</t>
  </si>
  <si>
    <t xml:space="preserve">               6,913</t>
  </si>
  <si>
    <t xml:space="preserve">               1,197.0</t>
  </si>
  <si>
    <t xml:space="preserve">              41,343</t>
  </si>
  <si>
    <t xml:space="preserve">             -34,429</t>
  </si>
  <si>
    <t xml:space="preserve">               2,664.3</t>
  </si>
  <si>
    <t xml:space="preserve">              38,917</t>
  </si>
  <si>
    <t xml:space="preserve">              13,420.9</t>
  </si>
  <si>
    <t xml:space="preserve">             118,237</t>
  </si>
  <si>
    <t xml:space="preserve">             -79,320</t>
  </si>
  <si>
    <t xml:space="preserve">               6,915.2</t>
  </si>
  <si>
    <t xml:space="preserve">             149,719</t>
  </si>
  <si>
    <t xml:space="preserve">               4,367.2</t>
  </si>
  <si>
    <t xml:space="preserve">              83,544</t>
  </si>
  <si>
    <t xml:space="preserve">              66,175</t>
  </si>
  <si>
    <t xml:space="preserve">              24,115.1</t>
  </si>
  <si>
    <t xml:space="preserve">             141,104</t>
  </si>
  <si>
    <t xml:space="preserve">              10,714.6</t>
  </si>
  <si>
    <t xml:space="preserve">              77,219</t>
  </si>
  <si>
    <t xml:space="preserve">              63,885</t>
  </si>
  <si>
    <t xml:space="preserve">             383,114.6</t>
  </si>
  <si>
    <t xml:space="preserve">           7,421,429</t>
  </si>
  <si>
    <t xml:space="preserve">             205,969.3</t>
  </si>
  <si>
    <t xml:space="preserve">           6,938,725</t>
  </si>
  <si>
    <t xml:space="preserve">             482,704</t>
  </si>
  <si>
    <t xml:space="preserve">             233,184.8</t>
  </si>
  <si>
    <t xml:space="preserve">          18,113,797</t>
  </si>
  <si>
    <t xml:space="preserve">             208,495.1</t>
  </si>
  <si>
    <t xml:space="preserve">          10,626,681</t>
  </si>
  <si>
    <t xml:space="preserve">           7,487,116</t>
  </si>
  <si>
    <t xml:space="preserve">              11,117.5</t>
  </si>
  <si>
    <t xml:space="preserve">              23,944</t>
  </si>
  <si>
    <t xml:space="preserve">              11,049.8</t>
  </si>
  <si>
    <t xml:space="preserve">              41,370</t>
  </si>
  <si>
    <t xml:space="preserve">             749,097.3</t>
  </si>
  <si>
    <t xml:space="preserve">           8,087,252</t>
  </si>
  <si>
    <t xml:space="preserve">             107,552.2</t>
  </si>
  <si>
    <t xml:space="preserve">           1,713,675</t>
  </si>
  <si>
    <t xml:space="preserve">           6,373,577</t>
  </si>
  <si>
    <t xml:space="preserve">                 330.1</t>
  </si>
  <si>
    <t xml:space="preserve">             215,441</t>
  </si>
  <si>
    <t xml:space="preserve">                 224.8</t>
  </si>
  <si>
    <t xml:space="preserve">             138,998</t>
  </si>
  <si>
    <t xml:space="preserve">              76,443</t>
  </si>
  <si>
    <t xml:space="preserve">           1,149,632.0</t>
  </si>
  <si>
    <t xml:space="preserve">           3,020,110</t>
  </si>
  <si>
    <t xml:space="preserve">             463,773.5</t>
  </si>
  <si>
    <t xml:space="preserve">             382,377</t>
  </si>
  <si>
    <t xml:space="preserve">           2,637,734</t>
  </si>
  <si>
    <t xml:space="preserve">              15,616.6</t>
  </si>
  <si>
    <t xml:space="preserve">           1,370,949</t>
  </si>
  <si>
    <t xml:space="preserve">              16,899.5</t>
  </si>
  <si>
    <t xml:space="preserve">           2,119,264</t>
  </si>
  <si>
    <t xml:space="preserve">            -748,315</t>
  </si>
  <si>
    <t xml:space="preserve">              21,558</t>
  </si>
  <si>
    <t xml:space="preserve">                 315.2</t>
  </si>
  <si>
    <t xml:space="preserve">              90,786</t>
  </si>
  <si>
    <t xml:space="preserve">             -69,228</t>
  </si>
  <si>
    <t xml:space="preserve">                 456.2</t>
  </si>
  <si>
    <t xml:space="preserve">               9,381</t>
  </si>
  <si>
    <t xml:space="preserve">                 705.9</t>
  </si>
  <si>
    <t xml:space="preserve">              16,670</t>
  </si>
  <si>
    <t xml:space="preserve">              -7,289</t>
  </si>
  <si>
    <t xml:space="preserve">               1,325.4</t>
  </si>
  <si>
    <t xml:space="preserve">             140,060</t>
  </si>
  <si>
    <t xml:space="preserve">                  56.4</t>
  </si>
  <si>
    <t xml:space="preserve">              17,344</t>
  </si>
  <si>
    <t xml:space="preserve">             122,716</t>
  </si>
  <si>
    <t xml:space="preserve">              16,570.9</t>
  </si>
  <si>
    <t xml:space="preserve">             116,963</t>
  </si>
  <si>
    <t xml:space="preserve">              74,837.3</t>
  </si>
  <si>
    <t xml:space="preserve">             312,813</t>
  </si>
  <si>
    <t xml:space="preserve">            -195,850</t>
  </si>
  <si>
    <t xml:space="preserve">               2,049.5</t>
  </si>
  <si>
    <t xml:space="preserve">              46,792</t>
  </si>
  <si>
    <t xml:space="preserve">              15,580.7</t>
  </si>
  <si>
    <t xml:space="preserve">             210,117</t>
  </si>
  <si>
    <t xml:space="preserve">            -163,325</t>
  </si>
  <si>
    <t xml:space="preserve">               2,124.4</t>
  </si>
  <si>
    <t xml:space="preserve">              37,900</t>
  </si>
  <si>
    <t xml:space="preserve">              10,454.1</t>
  </si>
  <si>
    <t xml:space="preserve">              92,614</t>
  </si>
  <si>
    <t xml:space="preserve">             -54,714</t>
  </si>
  <si>
    <t xml:space="preserve">                  20.5</t>
  </si>
  <si>
    <t xml:space="preserve">              17,557</t>
  </si>
  <si>
    <t xml:space="preserve">                  48.2</t>
  </si>
  <si>
    <t xml:space="preserve">              41,298</t>
  </si>
  <si>
    <t xml:space="preserve">             -23,741</t>
  </si>
  <si>
    <t xml:space="preserve">                  21.2</t>
  </si>
  <si>
    <t xml:space="preserve">                 595</t>
  </si>
  <si>
    <t xml:space="preserve">                  74.6</t>
  </si>
  <si>
    <t xml:space="preserve">               3,434</t>
  </si>
  <si>
    <t xml:space="preserve">              -2,839</t>
  </si>
  <si>
    <t xml:space="preserve">               4,607.2</t>
  </si>
  <si>
    <t xml:space="preserve">               6,196</t>
  </si>
  <si>
    <t xml:space="preserve">             117,127.3</t>
  </si>
  <si>
    <t xml:space="preserve">             584,291</t>
  </si>
  <si>
    <t xml:space="preserve">            -578,095</t>
  </si>
  <si>
    <t xml:space="preserve">              35,315.1</t>
  </si>
  <si>
    <t xml:space="preserve">             143,669</t>
  </si>
  <si>
    <t xml:space="preserve">             103,060.3</t>
  </si>
  <si>
    <t xml:space="preserve">             432,939</t>
  </si>
  <si>
    <t xml:space="preserve">            -289,270</t>
  </si>
  <si>
    <t xml:space="preserve">               3,102.5</t>
  </si>
  <si>
    <t xml:space="preserve">               8,234</t>
  </si>
  <si>
    <t xml:space="preserve">              33,653.5</t>
  </si>
  <si>
    <t xml:space="preserve">             146,884</t>
  </si>
  <si>
    <t xml:space="preserve">            -138,650</t>
  </si>
  <si>
    <t xml:space="preserve">               1,573.6</t>
  </si>
  <si>
    <t xml:space="preserve">               7,084</t>
  </si>
  <si>
    <t xml:space="preserve">               3,942.4</t>
  </si>
  <si>
    <t xml:space="preserve">              20,700</t>
  </si>
  <si>
    <t xml:space="preserve">             -13,616</t>
  </si>
  <si>
    <t xml:space="preserve">                  62.7</t>
  </si>
  <si>
    <t xml:space="preserve">                 779</t>
  </si>
  <si>
    <t xml:space="preserve">               8,472.8</t>
  </si>
  <si>
    <t xml:space="preserve">              19,065</t>
  </si>
  <si>
    <t xml:space="preserve">             -18,286</t>
  </si>
  <si>
    <t xml:space="preserve">               3,023.1</t>
  </si>
  <si>
    <t xml:space="preserve">               9,551</t>
  </si>
  <si>
    <t xml:space="preserve">             115,572.9</t>
  </si>
  <si>
    <t xml:space="preserve">              82,659</t>
  </si>
  <si>
    <t xml:space="preserve">             -73,107</t>
  </si>
  <si>
    <t xml:space="preserve">               1,238.2</t>
  </si>
  <si>
    <t xml:space="preserve">              11,474</t>
  </si>
  <si>
    <t xml:space="preserve">             116,586.3</t>
  </si>
  <si>
    <t xml:space="preserve">             259,564</t>
  </si>
  <si>
    <t xml:space="preserve">            -248,091</t>
  </si>
  <si>
    <t xml:space="preserve">                 406.0</t>
  </si>
  <si>
    <t xml:space="preserve">              23,978.9</t>
  </si>
  <si>
    <t xml:space="preserve">             186,127</t>
  </si>
  <si>
    <t xml:space="preserve">            -183,088</t>
  </si>
  <si>
    <t xml:space="preserve">              46,001.1</t>
  </si>
  <si>
    <t xml:space="preserve">              16,113</t>
  </si>
  <si>
    <t xml:space="preserve">           1,460,756.8</t>
  </si>
  <si>
    <t xml:space="preserve">             385,743</t>
  </si>
  <si>
    <t xml:space="preserve">            -369,630</t>
  </si>
  <si>
    <t xml:space="preserve">               5,088.0</t>
  </si>
  <si>
    <t xml:space="preserve">               3,788</t>
  </si>
  <si>
    <t xml:space="preserve">              36,469.4</t>
  </si>
  <si>
    <t xml:space="preserve">              33,148</t>
  </si>
  <si>
    <t xml:space="preserve">             -29,360</t>
  </si>
  <si>
    <t xml:space="preserve">               5,963.7</t>
  </si>
  <si>
    <t xml:space="preserve">              67,258</t>
  </si>
  <si>
    <t xml:space="preserve">             272,741.9</t>
  </si>
  <si>
    <t xml:space="preserve">             151,738</t>
  </si>
  <si>
    <t xml:space="preserve">             -84,480</t>
  </si>
  <si>
    <t xml:space="preserve">                 380.6</t>
  </si>
  <si>
    <t xml:space="preserve">              11,130</t>
  </si>
  <si>
    <t xml:space="preserve">               7,131.2</t>
  </si>
  <si>
    <t xml:space="preserve">              31,809</t>
  </si>
  <si>
    <t xml:space="preserve">             -20,679</t>
  </si>
  <si>
    <t xml:space="preserve">                  10</t>
  </si>
  <si>
    <t xml:space="preserve">              23,153.1</t>
  </si>
  <si>
    <t xml:space="preserve">               8,047</t>
  </si>
  <si>
    <t xml:space="preserve">              -8,037</t>
  </si>
  <si>
    <t xml:space="preserve">              32,558.0</t>
  </si>
  <si>
    <t xml:space="preserve">              37,230</t>
  </si>
  <si>
    <t xml:space="preserve">             179,834.7</t>
  </si>
  <si>
    <t xml:space="preserve">             257,718</t>
  </si>
  <si>
    <t xml:space="preserve">            -220,488</t>
  </si>
  <si>
    <t xml:space="preserve">               4,879.2</t>
  </si>
  <si>
    <t xml:space="preserve">              29,657</t>
  </si>
  <si>
    <t xml:space="preserve">              16,318.0</t>
  </si>
  <si>
    <t xml:space="preserve">              97,105</t>
  </si>
  <si>
    <t xml:space="preserve">             -67,448</t>
  </si>
  <si>
    <t xml:space="preserve">              24,239.0</t>
  </si>
  <si>
    <t xml:space="preserve">              25,733</t>
  </si>
  <si>
    <t xml:space="preserve">             205,001.0</t>
  </si>
  <si>
    <t xml:space="preserve">             127,801</t>
  </si>
  <si>
    <t xml:space="preserve">            -102,068</t>
  </si>
  <si>
    <t xml:space="preserve">               2,662.0</t>
  </si>
  <si>
    <t xml:space="preserve">               9,394</t>
  </si>
  <si>
    <t xml:space="preserve">               5,686.5</t>
  </si>
  <si>
    <t xml:space="preserve">              56,936</t>
  </si>
  <si>
    <t xml:space="preserve">             -47,541</t>
  </si>
  <si>
    <t xml:space="preserve">              60,343.2</t>
  </si>
  <si>
    <t xml:space="preserve">             247,516</t>
  </si>
  <si>
    <t xml:space="preserve">              29,865.3</t>
  </si>
  <si>
    <t xml:space="preserve">              92,867</t>
  </si>
  <si>
    <t xml:space="preserve">             154,650</t>
  </si>
  <si>
    <t xml:space="preserve">              10,953.8</t>
  </si>
  <si>
    <t xml:space="preserve">              99,730</t>
  </si>
  <si>
    <t xml:space="preserve">             101,393.1</t>
  </si>
  <si>
    <t xml:space="preserve">             148,012</t>
  </si>
  <si>
    <t xml:space="preserve">             -48,281</t>
  </si>
  <si>
    <t xml:space="preserve">              40,564.4</t>
  </si>
  <si>
    <t xml:space="preserve">              33,400.4</t>
  </si>
  <si>
    <t xml:space="preserve">             238,549</t>
  </si>
  <si>
    <t xml:space="preserve">             -66,834</t>
  </si>
  <si>
    <t xml:space="preserve">              87,917.4</t>
  </si>
  <si>
    <t xml:space="preserve">             103,572</t>
  </si>
  <si>
    <t xml:space="preserve">              80,256.6</t>
  </si>
  <si>
    <t xml:space="preserve">             121,257</t>
  </si>
  <si>
    <t xml:space="preserve">             -17,685</t>
  </si>
  <si>
    <t xml:space="preserve">              24,549.9</t>
  </si>
  <si>
    <t xml:space="preserve">              28,216</t>
  </si>
  <si>
    <t xml:space="preserve">             550,905.5</t>
  </si>
  <si>
    <t xml:space="preserve">             186,215</t>
  </si>
  <si>
    <t xml:space="preserve">            -157,999</t>
  </si>
  <si>
    <t xml:space="preserve">               8,357.0</t>
  </si>
  <si>
    <t xml:space="preserve">              98,980</t>
  </si>
  <si>
    <t xml:space="preserve">               7,181.2</t>
  </si>
  <si>
    <t xml:space="preserve">              61,151</t>
  </si>
  <si>
    <t xml:space="preserve">              37,828</t>
  </si>
  <si>
    <t xml:space="preserve">             771,556.8</t>
  </si>
  <si>
    <t xml:space="preserve">              50,509</t>
  </si>
  <si>
    <t xml:space="preserve">           1,032,071.4</t>
  </si>
  <si>
    <t xml:space="preserve">              97,809</t>
  </si>
  <si>
    <t xml:space="preserve">             -47,300</t>
  </si>
  <si>
    <t xml:space="preserve">             221,056.7</t>
  </si>
  <si>
    <t xml:space="preserve">              41,174</t>
  </si>
  <si>
    <t xml:space="preserve">           7,657,729.3</t>
  </si>
  <si>
    <t xml:space="preserve">           1,796,334</t>
  </si>
  <si>
    <t xml:space="preserve">          -1,755,159</t>
  </si>
  <si>
    <t xml:space="preserve">           5,831,940.7</t>
  </si>
  <si>
    <t xml:space="preserve">           3,842,945</t>
  </si>
  <si>
    <t xml:space="preserve">          25,906,655.9</t>
  </si>
  <si>
    <t xml:space="preserve">          11,849,093</t>
  </si>
  <si>
    <t xml:space="preserve">          -8,006,148</t>
  </si>
  <si>
    <t xml:space="preserve">             518,700.5</t>
  </si>
  <si>
    <t xml:space="preserve">             767,532</t>
  </si>
  <si>
    <t xml:space="preserve">             371,540.8</t>
  </si>
  <si>
    <t xml:space="preserve">             931,268</t>
  </si>
  <si>
    <t xml:space="preserve">            -163,735</t>
  </si>
  <si>
    <t xml:space="preserve">           1,553,625.9</t>
  </si>
  <si>
    <t xml:space="preserve">           1,554,189</t>
  </si>
  <si>
    <t xml:space="preserve">             766,069.0</t>
  </si>
  <si>
    <t xml:space="preserve">           1,241,713</t>
  </si>
  <si>
    <t xml:space="preserve">             312,476</t>
  </si>
  <si>
    <t xml:space="preserve">               2,659.3</t>
  </si>
  <si>
    <t xml:space="preserve">             763,728</t>
  </si>
  <si>
    <t xml:space="preserve">               8,038.8</t>
  </si>
  <si>
    <t xml:space="preserve">             778,419</t>
  </si>
  <si>
    <t xml:space="preserve">             -14,691</t>
  </si>
  <si>
    <t xml:space="preserve">             102,921.3</t>
  </si>
  <si>
    <t xml:space="preserve">              35,833</t>
  </si>
  <si>
    <t xml:space="preserve">             129,548.6</t>
  </si>
  <si>
    <t xml:space="preserve">              54,161</t>
  </si>
  <si>
    <t xml:space="preserve">             -18,329</t>
  </si>
  <si>
    <t xml:space="preserve">              31,926.2</t>
  </si>
  <si>
    <t xml:space="preserve">             233,233</t>
  </si>
  <si>
    <t xml:space="preserve">              27,692.2</t>
  </si>
  <si>
    <t xml:space="preserve">             216,194</t>
  </si>
  <si>
    <t xml:space="preserve">              17,039</t>
  </si>
  <si>
    <t xml:space="preserve">              47,524.1</t>
  </si>
  <si>
    <t xml:space="preserve">             992,867</t>
  </si>
  <si>
    <t xml:space="preserve">               9,858.1</t>
  </si>
  <si>
    <t xml:space="preserve">             181,211</t>
  </si>
  <si>
    <t xml:space="preserve">             811,655</t>
  </si>
  <si>
    <t xml:space="preserve">              53,131.7</t>
  </si>
  <si>
    <t xml:space="preserve">             169,033</t>
  </si>
  <si>
    <t xml:space="preserve">              23,058.7</t>
  </si>
  <si>
    <t xml:space="preserve">              97,036</t>
  </si>
  <si>
    <t xml:space="preserve">              71,997</t>
  </si>
  <si>
    <t xml:space="preserve">               7,467.6</t>
  </si>
  <si>
    <t xml:space="preserve">              85,864</t>
  </si>
  <si>
    <t xml:space="preserve">              20,175.9</t>
  </si>
  <si>
    <t xml:space="preserve">              93,251</t>
  </si>
  <si>
    <t xml:space="preserve">              -7,387</t>
  </si>
  <si>
    <t xml:space="preserve">                 112.6</t>
  </si>
  <si>
    <t xml:space="preserve">               2,317</t>
  </si>
  <si>
    <t xml:space="preserve">                 264.1</t>
  </si>
  <si>
    <t xml:space="preserve">               6,395</t>
  </si>
  <si>
    <t xml:space="preserve">              -4,078</t>
  </si>
  <si>
    <t xml:space="preserve">               1,970.3</t>
  </si>
  <si>
    <t xml:space="preserve">              97,568</t>
  </si>
  <si>
    <t xml:space="preserve">               3,054.5</t>
  </si>
  <si>
    <t xml:space="preserve">              92,549</t>
  </si>
  <si>
    <t xml:space="preserve">               5,019</t>
  </si>
  <si>
    <t xml:space="preserve">              92,709.4</t>
  </si>
  <si>
    <t xml:space="preserve">             687,376</t>
  </si>
  <si>
    <t xml:space="preserve">             220,039.1</t>
  </si>
  <si>
    <t xml:space="preserve">             841,775</t>
  </si>
  <si>
    <t xml:space="preserve">            -154,399</t>
  </si>
  <si>
    <t xml:space="preserve">           1,577,528.4</t>
  </si>
  <si>
    <t xml:space="preserve">           3,164,916</t>
  </si>
  <si>
    <t xml:space="preserve">             296,186.5</t>
  </si>
  <si>
    <t xml:space="preserve">           1,168,167</t>
  </si>
  <si>
    <t xml:space="preserve">           1,996,749</t>
  </si>
  <si>
    <t xml:space="preserve">             259,536.7</t>
  </si>
  <si>
    <t xml:space="preserve">             710,640</t>
  </si>
  <si>
    <t xml:space="preserve">              84,357.6</t>
  </si>
  <si>
    <t xml:space="preserve">             277,480</t>
  </si>
  <si>
    <t xml:space="preserve">             433,160</t>
  </si>
  <si>
    <t xml:space="preserve">               7,634.3</t>
  </si>
  <si>
    <t xml:space="preserve">              22,809</t>
  </si>
  <si>
    <t xml:space="preserve">               5,229</t>
  </si>
  <si>
    <t xml:space="preserve">                 852.2</t>
  </si>
  <si>
    <t xml:space="preserve">              41,742</t>
  </si>
  <si>
    <t xml:space="preserve">               9,755.0</t>
  </si>
  <si>
    <t xml:space="preserve">             300,487</t>
  </si>
  <si>
    <t xml:space="preserve">            -258,745</t>
  </si>
  <si>
    <t xml:space="preserve">                  15.5</t>
  </si>
  <si>
    <t xml:space="preserve">               1,848</t>
  </si>
  <si>
    <t xml:space="preserve">                  22.7</t>
  </si>
  <si>
    <t xml:space="preserve">               3,338</t>
  </si>
  <si>
    <t xml:space="preserve">              -1,489</t>
  </si>
  <si>
    <t xml:space="preserve">               4,299.3</t>
  </si>
  <si>
    <t xml:space="preserve">               6,804</t>
  </si>
  <si>
    <t xml:space="preserve">             835,097.4</t>
  </si>
  <si>
    <t xml:space="preserve">             248,422</t>
  </si>
  <si>
    <t xml:space="preserve">            -241,618</t>
  </si>
  <si>
    <t xml:space="preserve">                  33</t>
  </si>
  <si>
    <t xml:space="preserve">                  50.8</t>
  </si>
  <si>
    <t xml:space="preserve">                 320</t>
  </si>
  <si>
    <t xml:space="preserve">                -287</t>
  </si>
  <si>
    <t xml:space="preserve">                 119</t>
  </si>
  <si>
    <t xml:space="preserve">                 733.8</t>
  </si>
  <si>
    <t xml:space="preserve">               3,782</t>
  </si>
  <si>
    <t xml:space="preserve">              -3,663</t>
  </si>
  <si>
    <t xml:space="preserve">              68,279.1</t>
  </si>
  <si>
    <t xml:space="preserve">              10,759</t>
  </si>
  <si>
    <t xml:space="preserve">             233,265.7</t>
  </si>
  <si>
    <t xml:space="preserve">             126,059</t>
  </si>
  <si>
    <t xml:space="preserve">            -115,300</t>
  </si>
  <si>
    <t xml:space="preserve">             242,746.8</t>
  </si>
  <si>
    <t xml:space="preserve">             231,346</t>
  </si>
  <si>
    <t xml:space="preserve">             120,038.6</t>
  </si>
  <si>
    <t xml:space="preserve">             186,594</t>
  </si>
  <si>
    <t xml:space="preserve">              44,752</t>
  </si>
  <si>
    <t xml:space="preserve">               4,802.0</t>
  </si>
  <si>
    <t xml:space="preserve">              39,265</t>
  </si>
  <si>
    <t xml:space="preserve">               1,271.0</t>
  </si>
  <si>
    <t xml:space="preserve">              22,097</t>
  </si>
  <si>
    <t xml:space="preserve">              17,169</t>
  </si>
  <si>
    <t xml:space="preserve">               1,485</t>
  </si>
  <si>
    <t xml:space="preserve">                  40.0</t>
  </si>
  <si>
    <t xml:space="preserve">               2,563</t>
  </si>
  <si>
    <t xml:space="preserve">              -1,078</t>
  </si>
  <si>
    <t xml:space="preserve">                 197.5</t>
  </si>
  <si>
    <t xml:space="preserve">               3,987</t>
  </si>
  <si>
    <t xml:space="preserve">               1,066.5</t>
  </si>
  <si>
    <t xml:space="preserve">              20,829</t>
  </si>
  <si>
    <t xml:space="preserve">               2,841.1</t>
  </si>
  <si>
    <t xml:space="preserve">              24,505</t>
  </si>
  <si>
    <t xml:space="preserve">              24,021.6</t>
  </si>
  <si>
    <t xml:space="preserve">              73,247</t>
  </si>
  <si>
    <t xml:space="preserve">             -48,743</t>
  </si>
  <si>
    <t xml:space="preserve">                  38.2</t>
  </si>
  <si>
    <t xml:space="preserve">                 454</t>
  </si>
  <si>
    <t xml:space="preserve">               1,488.1</t>
  </si>
  <si>
    <t xml:space="preserve">               5,858</t>
  </si>
  <si>
    <t xml:space="preserve">              -5,403</t>
  </si>
  <si>
    <t xml:space="preserve">              26,088.3</t>
  </si>
  <si>
    <t xml:space="preserve">             173,282</t>
  </si>
  <si>
    <t xml:space="preserve">              46,402.2</t>
  </si>
  <si>
    <t xml:space="preserve">              95,653</t>
  </si>
  <si>
    <t xml:space="preserve">              77,629</t>
  </si>
  <si>
    <t xml:space="preserve">              63,305.3</t>
  </si>
  <si>
    <t xml:space="preserve">             111,178</t>
  </si>
  <si>
    <t xml:space="preserve">              13,256.1</t>
  </si>
  <si>
    <t xml:space="preserve">              49,445</t>
  </si>
  <si>
    <t xml:space="preserve">              61,733</t>
  </si>
  <si>
    <t xml:space="preserve">              11,568.8</t>
  </si>
  <si>
    <t xml:space="preserve">              76,024</t>
  </si>
  <si>
    <t xml:space="preserve">              21,602.9</t>
  </si>
  <si>
    <t xml:space="preserve">              65,195</t>
  </si>
  <si>
    <t xml:space="preserve">              10,829</t>
  </si>
  <si>
    <t xml:space="preserve">                 658.9</t>
  </si>
  <si>
    <t xml:space="preserve">               7,769</t>
  </si>
  <si>
    <t xml:space="preserve">               6,992.8</t>
  </si>
  <si>
    <t xml:space="preserve">              10,906</t>
  </si>
  <si>
    <t xml:space="preserve">              -3,137</t>
  </si>
  <si>
    <t xml:space="preserve">               1,351.6</t>
  </si>
  <si>
    <t xml:space="preserve">              17,499</t>
  </si>
  <si>
    <t xml:space="preserve">                 931.8</t>
  </si>
  <si>
    <t xml:space="preserve">               7,270</t>
  </si>
  <si>
    <t xml:space="preserve">              10,228</t>
  </si>
  <si>
    <t xml:space="preserve">               9,856.3</t>
  </si>
  <si>
    <t xml:space="preserve">             101,720</t>
  </si>
  <si>
    <t xml:space="preserve">               6,625.3</t>
  </si>
  <si>
    <t xml:space="preserve">              38,392</t>
  </si>
  <si>
    <t xml:space="preserve">              63,329</t>
  </si>
  <si>
    <t xml:space="preserve">              18,652.1</t>
  </si>
  <si>
    <t xml:space="preserve">             138,916</t>
  </si>
  <si>
    <t xml:space="preserve">               1,983.0</t>
  </si>
  <si>
    <t xml:space="preserve">              10,378</t>
  </si>
  <si>
    <t xml:space="preserve">             128,538</t>
  </si>
  <si>
    <t xml:space="preserve">               2,558.0</t>
  </si>
  <si>
    <t xml:space="preserve">              67,920</t>
  </si>
  <si>
    <t xml:space="preserve">              22,110.8</t>
  </si>
  <si>
    <t xml:space="preserve">             427,984</t>
  </si>
  <si>
    <t xml:space="preserve">            -360,064</t>
  </si>
  <si>
    <t xml:space="preserve">               3,291.9</t>
  </si>
  <si>
    <t xml:space="preserve">              82,495</t>
  </si>
  <si>
    <t xml:space="preserve">              21,552.6</t>
  </si>
  <si>
    <t xml:space="preserve">             558,759</t>
  </si>
  <si>
    <t xml:space="preserve">            -476,263</t>
  </si>
  <si>
    <t xml:space="preserve">              34,528.2</t>
  </si>
  <si>
    <t xml:space="preserve">              59,961</t>
  </si>
  <si>
    <t xml:space="preserve">              28,481.7</t>
  </si>
  <si>
    <t xml:space="preserve">             121,693</t>
  </si>
  <si>
    <t xml:space="preserve">             -61,732</t>
  </si>
  <si>
    <t xml:space="preserve">               1,509.6</t>
  </si>
  <si>
    <t xml:space="preserve">              37,039</t>
  </si>
  <si>
    <t xml:space="preserve">              11,772.6</t>
  </si>
  <si>
    <t xml:space="preserve">             286,272</t>
  </si>
  <si>
    <t xml:space="preserve">            -249,234</t>
  </si>
  <si>
    <t xml:space="preserve">                 316.5</t>
  </si>
  <si>
    <t xml:space="preserve">              10,454</t>
  </si>
  <si>
    <t xml:space="preserve">               1,129.3</t>
  </si>
  <si>
    <t xml:space="preserve">              30,047</t>
  </si>
  <si>
    <t xml:space="preserve">             -19,593</t>
  </si>
  <si>
    <t xml:space="preserve">                  13.6</t>
  </si>
  <si>
    <t xml:space="preserve">                 249</t>
  </si>
  <si>
    <t xml:space="preserve">               2,303.5</t>
  </si>
  <si>
    <t xml:space="preserve">              16,997</t>
  </si>
  <si>
    <t xml:space="preserve">             -16,748</t>
  </si>
  <si>
    <t xml:space="preserve">                  15.7</t>
  </si>
  <si>
    <t xml:space="preserve">               1,566</t>
  </si>
  <si>
    <t xml:space="preserve">                 610.6</t>
  </si>
  <si>
    <t xml:space="preserve">               7,956</t>
  </si>
  <si>
    <t xml:space="preserve">              -6,390</t>
  </si>
  <si>
    <t xml:space="preserve">              12,430.7</t>
  </si>
  <si>
    <t xml:space="preserve">              86,640</t>
  </si>
  <si>
    <t xml:space="preserve">             220,146.0</t>
  </si>
  <si>
    <t xml:space="preserve">             119,637</t>
  </si>
  <si>
    <t xml:space="preserve">             -32,997</t>
  </si>
  <si>
    <t xml:space="preserve">               4,074.9</t>
  </si>
  <si>
    <t xml:space="preserve">              36,029</t>
  </si>
  <si>
    <t xml:space="preserve">             154,617.4</t>
  </si>
  <si>
    <t xml:space="preserve">             146,682</t>
  </si>
  <si>
    <t xml:space="preserve">            -110,652</t>
  </si>
  <si>
    <t xml:space="preserve">              32,546.3</t>
  </si>
  <si>
    <t xml:space="preserve">             174,853</t>
  </si>
  <si>
    <t xml:space="preserve">              82,335.6</t>
  </si>
  <si>
    <t xml:space="preserve">             236,530</t>
  </si>
  <si>
    <t xml:space="preserve">             -61,677</t>
  </si>
  <si>
    <t xml:space="preserve">                 948.5</t>
  </si>
  <si>
    <t xml:space="preserve">             571,993</t>
  </si>
  <si>
    <t xml:space="preserve">             569,421</t>
  </si>
  <si>
    <t xml:space="preserve">               2,572</t>
  </si>
  <si>
    <t xml:space="preserve">           2,524,546.5</t>
  </si>
  <si>
    <t xml:space="preserve">           2,164,233</t>
  </si>
  <si>
    <t xml:space="preserve">           1,397,514.1</t>
  </si>
  <si>
    <t xml:space="preserve">           1,072,336</t>
  </si>
  <si>
    <t xml:space="preserve">           1,091,897</t>
  </si>
  <si>
    <t xml:space="preserve">             336,574.2</t>
  </si>
  <si>
    <t xml:space="preserve">             914,515</t>
  </si>
  <si>
    <t xml:space="preserve">             262,250.7</t>
  </si>
  <si>
    <t xml:space="preserve">             699,588</t>
  </si>
  <si>
    <t xml:space="preserve">             214,927</t>
  </si>
  <si>
    <t xml:space="preserve">              53,867.4</t>
  </si>
  <si>
    <t xml:space="preserve">             522,537</t>
  </si>
  <si>
    <t xml:space="preserve">              69,767.4</t>
  </si>
  <si>
    <t xml:space="preserve">             674,214</t>
  </si>
  <si>
    <t xml:space="preserve">            -151,677</t>
  </si>
  <si>
    <t xml:space="preserve">               1,341.2</t>
  </si>
  <si>
    <t xml:space="preserve">              21,733</t>
  </si>
  <si>
    <t xml:space="preserve">               6,976.9</t>
  </si>
  <si>
    <t xml:space="preserve">             126,559</t>
  </si>
  <si>
    <t xml:space="preserve">            -104,826</t>
  </si>
  <si>
    <t xml:space="preserve">             126,094.0</t>
  </si>
  <si>
    <t xml:space="preserve">             504,295</t>
  </si>
  <si>
    <t xml:space="preserve">             295,593.1</t>
  </si>
  <si>
    <t xml:space="preserve">             894,860</t>
  </si>
  <si>
    <t xml:space="preserve">            -390,565</t>
  </si>
  <si>
    <t xml:space="preserve">              19,258.9</t>
  </si>
  <si>
    <t xml:space="preserve">              43,568</t>
  </si>
  <si>
    <t xml:space="preserve">              15,982.5</t>
  </si>
  <si>
    <t xml:space="preserve">              34,357</t>
  </si>
  <si>
    <t xml:space="preserve">               9,210</t>
  </si>
  <si>
    <t xml:space="preserve">              34,607.9</t>
  </si>
  <si>
    <t xml:space="preserve">             101,886</t>
  </si>
  <si>
    <t xml:space="preserve">               3,905.1</t>
  </si>
  <si>
    <t xml:space="preserve">              12,893</t>
  </si>
  <si>
    <t xml:space="preserve">              88,994</t>
  </si>
  <si>
    <t xml:space="preserve">                 207.1</t>
  </si>
  <si>
    <t xml:space="preserve">               6,422</t>
  </si>
  <si>
    <t xml:space="preserve">               1,378.1</t>
  </si>
  <si>
    <t xml:space="preserve">              47,696</t>
  </si>
  <si>
    <t xml:space="preserve">             -41,274</t>
  </si>
  <si>
    <t xml:space="preserve">               8,100.1</t>
  </si>
  <si>
    <t xml:space="preserve">              48,173</t>
  </si>
  <si>
    <t xml:space="preserve">              15,459.8</t>
  </si>
  <si>
    <t xml:space="preserve">             137,914</t>
  </si>
  <si>
    <t xml:space="preserve">             -89,740</t>
  </si>
  <si>
    <t xml:space="preserve">               9,221.6</t>
  </si>
  <si>
    <t xml:space="preserve">             184,275</t>
  </si>
  <si>
    <t xml:space="preserve">               5,550.1</t>
  </si>
  <si>
    <t xml:space="preserve">              94,319</t>
  </si>
  <si>
    <t xml:space="preserve">              89,956</t>
  </si>
  <si>
    <t xml:space="preserve">              26,328.8</t>
  </si>
  <si>
    <t xml:space="preserve">             149,694</t>
  </si>
  <si>
    <t xml:space="preserve">              12,430.5</t>
  </si>
  <si>
    <t xml:space="preserve">              85,471</t>
  </si>
  <si>
    <t xml:space="preserve">              64,223</t>
  </si>
  <si>
    <t xml:space="preserve">             423,129.3</t>
  </si>
  <si>
    <t xml:space="preserve">           7,038,785</t>
  </si>
  <si>
    <t xml:space="preserve">             243,688.4</t>
  </si>
  <si>
    <t xml:space="preserve">           6,158,362</t>
  </si>
  <si>
    <t xml:space="preserve">             880,423</t>
  </si>
  <si>
    <t xml:space="preserve">             248,546.8</t>
  </si>
  <si>
    <t xml:space="preserve">          17,098,985</t>
  </si>
  <si>
    <t xml:space="preserve">             224,532.1</t>
  </si>
  <si>
    <t xml:space="preserve">          10,248,318</t>
  </si>
  <si>
    <t xml:space="preserve">           6,850,666</t>
  </si>
  <si>
    <t xml:space="preserve">              11,649.4</t>
  </si>
  <si>
    <t xml:space="preserve">              38,635</t>
  </si>
  <si>
    <t xml:space="preserve">              12,193.0</t>
  </si>
  <si>
    <t xml:space="preserve">              36,023</t>
  </si>
  <si>
    <t xml:space="preserve">               2,612</t>
  </si>
  <si>
    <t xml:space="preserve">             788,451.8</t>
  </si>
  <si>
    <t xml:space="preserve">           8,497,645</t>
  </si>
  <si>
    <t xml:space="preserve">             123,579.6</t>
  </si>
  <si>
    <t xml:space="preserve">           1,891,419</t>
  </si>
  <si>
    <t xml:space="preserve">           6,606,226</t>
  </si>
  <si>
    <t xml:space="preserve">                 610.2</t>
  </si>
  <si>
    <t xml:space="preserve">             264,332</t>
  </si>
  <si>
    <t xml:space="preserve">                 325.1</t>
  </si>
  <si>
    <t xml:space="preserve">             288,730</t>
  </si>
  <si>
    <t xml:space="preserve">             -24,397</t>
  </si>
  <si>
    <t xml:space="preserve">             813,819.0</t>
  </si>
  <si>
    <t xml:space="preserve">           1,806,786</t>
  </si>
  <si>
    <t xml:space="preserve">             341,173.6</t>
  </si>
  <si>
    <t xml:space="preserve">             428,747</t>
  </si>
  <si>
    <t xml:space="preserve">           1,378,038</t>
  </si>
  <si>
    <t xml:space="preserve">              16,261.0</t>
  </si>
  <si>
    <t xml:space="preserve">           1,496,708</t>
  </si>
  <si>
    <t xml:space="preserve">              17,749.0</t>
  </si>
  <si>
    <t xml:space="preserve">           2,102,459</t>
  </si>
  <si>
    <t xml:space="preserve">            -605,750</t>
  </si>
  <si>
    <t xml:space="preserve">                  16.2</t>
  </si>
  <si>
    <t xml:space="preserve">              20,035</t>
  </si>
  <si>
    <t xml:space="preserve">                 311.9</t>
  </si>
  <si>
    <t xml:space="preserve">              91,829</t>
  </si>
  <si>
    <t xml:space="preserve">             -71,795</t>
  </si>
  <si>
    <t xml:space="preserve">                 426.4</t>
  </si>
  <si>
    <t xml:space="preserve">               8,950</t>
  </si>
  <si>
    <t xml:space="preserve">                 731.7</t>
  </si>
  <si>
    <t xml:space="preserve">              15,803</t>
  </si>
  <si>
    <t xml:space="preserve">              -6,853</t>
  </si>
  <si>
    <t xml:space="preserve">               2,914.5</t>
  </si>
  <si>
    <t xml:space="preserve">             328,186</t>
  </si>
  <si>
    <t xml:space="preserve">                  48.0</t>
  </si>
  <si>
    <t xml:space="preserve">              13,503</t>
  </si>
  <si>
    <t xml:space="preserve">             314,683</t>
  </si>
  <si>
    <t xml:space="preserve">              17,138.8</t>
  </si>
  <si>
    <t xml:space="preserve">             119,598</t>
  </si>
  <si>
    <t xml:space="preserve">              85,009.5</t>
  </si>
  <si>
    <t xml:space="preserve">             354,005</t>
  </si>
  <si>
    <t xml:space="preserve">            -234,408</t>
  </si>
  <si>
    <t xml:space="preserve">               2,234.0</t>
  </si>
  <si>
    <t xml:space="preserve">              51,502</t>
  </si>
  <si>
    <t xml:space="preserve">              20,089.5</t>
  </si>
  <si>
    <t xml:space="preserve">             291,229</t>
  </si>
  <si>
    <t xml:space="preserve">            -239,727</t>
  </si>
  <si>
    <t xml:space="preserve">               2,975.7</t>
  </si>
  <si>
    <t xml:space="preserve">              44,344</t>
  </si>
  <si>
    <t xml:space="preserve">              12,103.7</t>
  </si>
  <si>
    <t xml:space="preserve">             104,286</t>
  </si>
  <si>
    <t xml:space="preserve">             -59,942</t>
  </si>
  <si>
    <t xml:space="preserve">                  22.1</t>
  </si>
  <si>
    <t xml:space="preserve">              44,654</t>
  </si>
  <si>
    <t xml:space="preserve">                  85.6</t>
  </si>
  <si>
    <t xml:space="preserve">              30,824</t>
  </si>
  <si>
    <t xml:space="preserve">              13,830</t>
  </si>
  <si>
    <t xml:space="preserve">                 535</t>
  </si>
  <si>
    <t xml:space="preserve">                  93.1</t>
  </si>
  <si>
    <t xml:space="preserve">               4,672</t>
  </si>
  <si>
    <t xml:space="preserve">              -4,137</t>
  </si>
  <si>
    <t xml:space="preserve">               4,020.0</t>
  </si>
  <si>
    <t xml:space="preserve">               5,237</t>
  </si>
  <si>
    <t xml:space="preserve">             124,173.3</t>
  </si>
  <si>
    <t xml:space="preserve">             621,611</t>
  </si>
  <si>
    <t xml:space="preserve">            -616,373</t>
  </si>
  <si>
    <t xml:space="preserve">              37,592.8</t>
  </si>
  <si>
    <t xml:space="preserve">             133,471</t>
  </si>
  <si>
    <t xml:space="preserve">              90,669.5</t>
  </si>
  <si>
    <t xml:space="preserve">             392,011</t>
  </si>
  <si>
    <t xml:space="preserve">            -258,539</t>
  </si>
  <si>
    <t xml:space="preserve">               2,939.5</t>
  </si>
  <si>
    <t xml:space="preserve">               8,088</t>
  </si>
  <si>
    <t xml:space="preserve">              32,496.4</t>
  </si>
  <si>
    <t xml:space="preserve">             139,880</t>
  </si>
  <si>
    <t xml:space="preserve">            -131,792</t>
  </si>
  <si>
    <t xml:space="preserve">               2,983.3</t>
  </si>
  <si>
    <t xml:space="preserve">               8,819</t>
  </si>
  <si>
    <t xml:space="preserve">               4,692.4</t>
  </si>
  <si>
    <t xml:space="preserve">              19,528</t>
  </si>
  <si>
    <t xml:space="preserve">             -10,709</t>
  </si>
  <si>
    <t xml:space="preserve">                  38.3</t>
  </si>
  <si>
    <t xml:space="preserve">                 488</t>
  </si>
  <si>
    <t xml:space="preserve">               6,394.0</t>
  </si>
  <si>
    <t xml:space="preserve">              12,528</t>
  </si>
  <si>
    <t xml:space="preserve">             -12,040</t>
  </si>
  <si>
    <t xml:space="preserve">               5,293.9</t>
  </si>
  <si>
    <t xml:space="preserve">               9,453</t>
  </si>
  <si>
    <t xml:space="preserve">              76,296.4</t>
  </si>
  <si>
    <t xml:space="preserve">              59,626</t>
  </si>
  <si>
    <t xml:space="preserve">             -50,173</t>
  </si>
  <si>
    <t xml:space="preserve">                 577.9</t>
  </si>
  <si>
    <t xml:space="preserve">               4,473</t>
  </si>
  <si>
    <t xml:space="preserve">              92,990.3</t>
  </si>
  <si>
    <t xml:space="preserve">             216,094</t>
  </si>
  <si>
    <t xml:space="preserve">            -211,621</t>
  </si>
  <si>
    <t xml:space="preserve">                 379.7</t>
  </si>
  <si>
    <t xml:space="preserve">               2,987</t>
  </si>
  <si>
    <t xml:space="preserve">              20,857.1</t>
  </si>
  <si>
    <t xml:space="preserve">             176,319</t>
  </si>
  <si>
    <t xml:space="preserve">            -173,332</t>
  </si>
  <si>
    <t xml:space="preserve">              27,894.8</t>
  </si>
  <si>
    <t xml:space="preserve">              10,296</t>
  </si>
  <si>
    <t xml:space="preserve">           1,385,986.6</t>
  </si>
  <si>
    <t xml:space="preserve">             376,294</t>
  </si>
  <si>
    <t xml:space="preserve">            -365,999</t>
  </si>
  <si>
    <t xml:space="preserve">               4,683.8</t>
  </si>
  <si>
    <t xml:space="preserve">               3,390</t>
  </si>
  <si>
    <t xml:space="preserve">              34,741.0</t>
  </si>
  <si>
    <t xml:space="preserve">              30,269</t>
  </si>
  <si>
    <t xml:space="preserve">             -26,879</t>
  </si>
  <si>
    <t xml:space="preserve">               3,258.2</t>
  </si>
  <si>
    <t xml:space="preserve">              62,557</t>
  </si>
  <si>
    <t xml:space="preserve">             261,060.3</t>
  </si>
  <si>
    <t xml:space="preserve">             142,376</t>
  </si>
  <si>
    <t xml:space="preserve">             -79,819</t>
  </si>
  <si>
    <t xml:space="preserve">                 262.1</t>
  </si>
  <si>
    <t xml:space="preserve">               7,373</t>
  </si>
  <si>
    <t xml:space="preserve">               7,070.3</t>
  </si>
  <si>
    <t xml:space="preserve">              24,772</t>
  </si>
  <si>
    <t xml:space="preserve">             -17,399</t>
  </si>
  <si>
    <t xml:space="preserve">                  11.8</t>
  </si>
  <si>
    <t xml:space="preserve">              17,724.8</t>
  </si>
  <si>
    <t xml:space="preserve">               5,781</t>
  </si>
  <si>
    <t xml:space="preserve">              -5,753</t>
  </si>
  <si>
    <t xml:space="preserve">              34,224.6</t>
  </si>
  <si>
    <t xml:space="preserve">              38,282</t>
  </si>
  <si>
    <t xml:space="preserve">             163,538.5</t>
  </si>
  <si>
    <t xml:space="preserve">             230,860</t>
  </si>
  <si>
    <t xml:space="preserve">            -192,578</t>
  </si>
  <si>
    <t xml:space="preserve">               4,264.7</t>
  </si>
  <si>
    <t xml:space="preserve">              27,367</t>
  </si>
  <si>
    <t xml:space="preserve">              16,116.1</t>
  </si>
  <si>
    <t xml:space="preserve">              96,667</t>
  </si>
  <si>
    <t xml:space="preserve">             -69,300</t>
  </si>
  <si>
    <t xml:space="preserve">              22,514.7</t>
  </si>
  <si>
    <t xml:space="preserve">              23,976</t>
  </si>
  <si>
    <t xml:space="preserve">             196,387.7</t>
  </si>
  <si>
    <t xml:space="preserve">             121,643</t>
  </si>
  <si>
    <t xml:space="preserve">             -97,667</t>
  </si>
  <si>
    <t xml:space="preserve">               2,365.9</t>
  </si>
  <si>
    <t xml:space="preserve">               8,930</t>
  </si>
  <si>
    <t xml:space="preserve">               4,843.7</t>
  </si>
  <si>
    <t xml:space="preserve">              46,202</t>
  </si>
  <si>
    <t xml:space="preserve">             -37,272</t>
  </si>
  <si>
    <t xml:space="preserve">              55,250.4</t>
  </si>
  <si>
    <t xml:space="preserve">             221,804</t>
  </si>
  <si>
    <t xml:space="preserve">              27,799.9</t>
  </si>
  <si>
    <t xml:space="preserve">              89,516</t>
  </si>
  <si>
    <t xml:space="preserve">             132,288</t>
  </si>
  <si>
    <t xml:space="preserve">               9,851.4</t>
  </si>
  <si>
    <t xml:space="preserve">              83,964</t>
  </si>
  <si>
    <t xml:space="preserve">              94,939.1</t>
  </si>
  <si>
    <t xml:space="preserve">             136,521</t>
  </si>
  <si>
    <t xml:space="preserve">             -52,557</t>
  </si>
  <si>
    <t xml:space="preserve">              37,499.4</t>
  </si>
  <si>
    <t xml:space="preserve">             166,386</t>
  </si>
  <si>
    <t xml:space="preserve">              33,630.4</t>
  </si>
  <si>
    <t xml:space="preserve">             245,695</t>
  </si>
  <si>
    <t xml:space="preserve">             -79,310</t>
  </si>
  <si>
    <t xml:space="preserve">              79,996.7</t>
  </si>
  <si>
    <t xml:space="preserve">              98,894</t>
  </si>
  <si>
    <t xml:space="preserve">              87,870.1</t>
  </si>
  <si>
    <t xml:space="preserve">             129,693</t>
  </si>
  <si>
    <t xml:space="preserve">             -30,799</t>
  </si>
  <si>
    <t xml:space="preserve">              28,760.0</t>
  </si>
  <si>
    <t xml:space="preserve">              26,753</t>
  </si>
  <si>
    <t xml:space="preserve">             595,654.4</t>
  </si>
  <si>
    <t xml:space="preserve">             193,389</t>
  </si>
  <si>
    <t xml:space="preserve">            -166,636</t>
  </si>
  <si>
    <t xml:space="preserve">               8,492.5</t>
  </si>
  <si>
    <t xml:space="preserve">              96,432</t>
  </si>
  <si>
    <t xml:space="preserve">               4,609.7</t>
  </si>
  <si>
    <t xml:space="preserve">              43,849</t>
  </si>
  <si>
    <t xml:space="preserve">              52,584</t>
  </si>
  <si>
    <t xml:space="preserve">             552,970.8</t>
  </si>
  <si>
    <t xml:space="preserve">              40,180</t>
  </si>
  <si>
    <t xml:space="preserve">           1,057,997.6</t>
  </si>
  <si>
    <t xml:space="preserve">              84,353</t>
  </si>
  <si>
    <t xml:space="preserve">             -44,173</t>
  </si>
  <si>
    <t xml:space="preserve">             226,594.2</t>
  </si>
  <si>
    <t xml:space="preserve">              42,347</t>
  </si>
  <si>
    <t xml:space="preserve">           5,257,271.8</t>
  </si>
  <si>
    <t xml:space="preserve">           1,448,295</t>
  </si>
  <si>
    <t xml:space="preserve">          -1,405,948</t>
  </si>
  <si>
    <t xml:space="preserve">           5,922,418.7</t>
  </si>
  <si>
    <t xml:space="preserve">           3,755,662</t>
  </si>
  <si>
    <t xml:space="preserve">          26,730,321.3</t>
  </si>
  <si>
    <t xml:space="preserve">          11,684,063</t>
  </si>
  <si>
    <t xml:space="preserve">          -7,928,401</t>
  </si>
  <si>
    <t xml:space="preserve">             425,099.3</t>
  </si>
  <si>
    <t xml:space="preserve">             766,628</t>
  </si>
  <si>
    <t xml:space="preserve">             404,916.4</t>
  </si>
  <si>
    <t xml:space="preserve">             782,537</t>
  </si>
  <si>
    <t xml:space="preserve">             -15,910</t>
  </si>
  <si>
    <t xml:space="preserve">           1,510,944.4</t>
  </si>
  <si>
    <t xml:space="preserve">           1,474,854</t>
  </si>
  <si>
    <t xml:space="preserve">             700,835.2</t>
  </si>
  <si>
    <t xml:space="preserve">           1,106,904</t>
  </si>
  <si>
    <t xml:space="preserve">             367,951</t>
  </si>
  <si>
    <t xml:space="preserve">               2,296.9</t>
  </si>
  <si>
    <t xml:space="preserve">             766,771</t>
  </si>
  <si>
    <t xml:space="preserve">               7,686.5</t>
  </si>
  <si>
    <t xml:space="preserve">             722,334</t>
  </si>
  <si>
    <t xml:space="preserve">              44,436</t>
  </si>
  <si>
    <t xml:space="preserve">              92,269.7</t>
  </si>
  <si>
    <t xml:space="preserve">              32,628</t>
  </si>
  <si>
    <t xml:space="preserve">             184,566.2</t>
  </si>
  <si>
    <t xml:space="preserve">             -41,034</t>
  </si>
  <si>
    <t xml:space="preserve">              27,305.7</t>
  </si>
  <si>
    <t xml:space="preserve">             208,300</t>
  </si>
  <si>
    <t xml:space="preserve">              26,114.1</t>
  </si>
  <si>
    <t xml:space="preserve">             187,636</t>
  </si>
  <si>
    <t xml:space="preserve">              20,664</t>
  </si>
  <si>
    <t xml:space="preserve">              44,484.4</t>
  </si>
  <si>
    <t xml:space="preserve">             924,692</t>
  </si>
  <si>
    <t xml:space="preserve">               9,259.6</t>
  </si>
  <si>
    <t xml:space="preserve">             170,951</t>
  </si>
  <si>
    <t xml:space="preserve">             753,741</t>
  </si>
  <si>
    <t xml:space="preserve">              49,384.7</t>
  </si>
  <si>
    <t xml:space="preserve">             146,838</t>
  </si>
  <si>
    <t xml:space="preserve">              25,783.0</t>
  </si>
  <si>
    <t xml:space="preserve">             102,303</t>
  </si>
  <si>
    <t xml:space="preserve">              44,535</t>
  </si>
  <si>
    <t xml:space="preserve">               6,742.4</t>
  </si>
  <si>
    <t xml:space="preserve">              81,469</t>
  </si>
  <si>
    <t xml:space="preserve">              19,149.6</t>
  </si>
  <si>
    <t xml:space="preserve">              81,999</t>
  </si>
  <si>
    <t xml:space="preserve">                -530</t>
  </si>
  <si>
    <t xml:space="preserve">                 120.8</t>
  </si>
  <si>
    <t xml:space="preserve">               2,617</t>
  </si>
  <si>
    <t xml:space="preserve">                 182.7</t>
  </si>
  <si>
    <t xml:space="preserve">               1,570</t>
  </si>
  <si>
    <t xml:space="preserve">               1,047</t>
  </si>
  <si>
    <t xml:space="preserve">               1,738.4</t>
  </si>
  <si>
    <t xml:space="preserve">              90,100</t>
  </si>
  <si>
    <t xml:space="preserve">               2,873.4</t>
  </si>
  <si>
    <t xml:space="preserve">              91,796</t>
  </si>
  <si>
    <t xml:space="preserve">              -1,696</t>
  </si>
  <si>
    <t xml:space="preserve">              85,247.0</t>
  </si>
  <si>
    <t xml:space="preserve">             569,962</t>
  </si>
  <si>
    <t xml:space="preserve">             269,029.0</t>
  </si>
  <si>
    <t xml:space="preserve">             754,066</t>
  </si>
  <si>
    <t xml:space="preserve">            -184,104</t>
  </si>
  <si>
    <t xml:space="preserve">           1,362,953.5</t>
  </si>
  <si>
    <t xml:space="preserve">           2,749,744</t>
  </si>
  <si>
    <t xml:space="preserve">             285,029.1</t>
  </si>
  <si>
    <t xml:space="preserve">           1,115,915</t>
  </si>
  <si>
    <t xml:space="preserve">           1,633,829</t>
  </si>
  <si>
    <t xml:space="preserve">             249,442.0</t>
  </si>
  <si>
    <t xml:space="preserve">             675,860</t>
  </si>
  <si>
    <t xml:space="preserve">              76,958.8</t>
  </si>
  <si>
    <t xml:space="preserve">             255,880</t>
  </si>
  <si>
    <t xml:space="preserve">             419,980</t>
  </si>
  <si>
    <t xml:space="preserve">               2,386.3</t>
  </si>
  <si>
    <t xml:space="preserve">              19,718</t>
  </si>
  <si>
    <t xml:space="preserve">               7,096.6</t>
  </si>
  <si>
    <t xml:space="preserve">              19,185</t>
  </si>
  <si>
    <t xml:space="preserve">                 533</t>
  </si>
  <si>
    <t xml:space="preserve">                 845.8</t>
  </si>
  <si>
    <t xml:space="preserve">              38,063</t>
  </si>
  <si>
    <t xml:space="preserve">               9,045.8</t>
  </si>
  <si>
    <t xml:space="preserve">             291,477</t>
  </si>
  <si>
    <t xml:space="preserve">            -253,414</t>
  </si>
  <si>
    <t xml:space="preserve">                 936</t>
  </si>
  <si>
    <t xml:space="preserve">                  51.9</t>
  </si>
  <si>
    <t xml:space="preserve">              10,280</t>
  </si>
  <si>
    <t xml:space="preserve">              -9,345</t>
  </si>
  <si>
    <t xml:space="preserve">               3,935.4</t>
  </si>
  <si>
    <t xml:space="preserve">               4,882</t>
  </si>
  <si>
    <t xml:space="preserve">             759,017.7</t>
  </si>
  <si>
    <t xml:space="preserve">             232,044</t>
  </si>
  <si>
    <t xml:space="preserve">            -227,161</t>
  </si>
  <si>
    <t xml:space="preserve">                  71</t>
  </si>
  <si>
    <t xml:space="preserve">                  92.9</t>
  </si>
  <si>
    <t xml:space="preserve">                 377</t>
  </si>
  <si>
    <t xml:space="preserve">                -306</t>
  </si>
  <si>
    <t xml:space="preserve">                 613.8</t>
  </si>
  <si>
    <t xml:space="preserve">               3,224</t>
  </si>
  <si>
    <t xml:space="preserve">              -3,062</t>
  </si>
  <si>
    <t xml:space="preserve">              46,267.6</t>
  </si>
  <si>
    <t xml:space="preserve">               7,752</t>
  </si>
  <si>
    <t xml:space="preserve">             223,499.6</t>
  </si>
  <si>
    <t xml:space="preserve">             119,422</t>
  </si>
  <si>
    <t xml:space="preserve">            -111,671</t>
  </si>
  <si>
    <t xml:space="preserve">             229,147.3</t>
  </si>
  <si>
    <t xml:space="preserve">             211,153</t>
  </si>
  <si>
    <t xml:space="preserve">             129,781.8</t>
  </si>
  <si>
    <t xml:space="preserve">             190,379</t>
  </si>
  <si>
    <t xml:space="preserve">              20,774</t>
  </si>
  <si>
    <t xml:space="preserve">               5,063.9</t>
  </si>
  <si>
    <t xml:space="preserve">              40,435</t>
  </si>
  <si>
    <t xml:space="preserve">               1,361.0</t>
  </si>
  <si>
    <t xml:space="preserve">              23,432</t>
  </si>
  <si>
    <t xml:space="preserve">              17,004</t>
  </si>
  <si>
    <t xml:space="preserve">                  20.3</t>
  </si>
  <si>
    <t xml:space="preserve">               2,023</t>
  </si>
  <si>
    <t xml:space="preserve">                -930</t>
  </si>
  <si>
    <t xml:space="preserve">                 295.7</t>
  </si>
  <si>
    <t xml:space="preserve">               6,844</t>
  </si>
  <si>
    <t xml:space="preserve">                 894.1</t>
  </si>
  <si>
    <t xml:space="preserve">              22,566</t>
  </si>
  <si>
    <t xml:space="preserve">             -15,722</t>
  </si>
  <si>
    <t xml:space="preserve">               3,586.0</t>
  </si>
  <si>
    <t xml:space="preserve">              26,928</t>
  </si>
  <si>
    <t xml:space="preserve">              19,527.3</t>
  </si>
  <si>
    <t xml:space="preserve">              60,121</t>
  </si>
  <si>
    <t xml:space="preserve">             -33,193</t>
  </si>
  <si>
    <t xml:space="preserve">                 397</t>
  </si>
  <si>
    <t xml:space="preserve">                 942.0</t>
  </si>
  <si>
    <t xml:space="preserve">               4,062</t>
  </si>
  <si>
    <t xml:space="preserve">              -3,664</t>
  </si>
  <si>
    <t xml:space="preserve">              23,003.2</t>
  </si>
  <si>
    <t xml:space="preserve">             150,468</t>
  </si>
  <si>
    <t xml:space="preserve">              40,482.3</t>
  </si>
  <si>
    <t xml:space="preserve">              83,583</t>
  </si>
  <si>
    <t xml:space="preserve">              66,885</t>
  </si>
  <si>
    <t xml:space="preserve">              52,935.5</t>
  </si>
  <si>
    <t xml:space="preserve">              99,608</t>
  </si>
  <si>
    <t xml:space="preserve">              13,128.1</t>
  </si>
  <si>
    <t xml:space="preserve">              49,057</t>
  </si>
  <si>
    <t xml:space="preserve">               9,842.3</t>
  </si>
  <si>
    <t xml:space="preserve">              61,922</t>
  </si>
  <si>
    <t xml:space="preserve">              19,315.2</t>
  </si>
  <si>
    <t xml:space="preserve">              58,031</t>
  </si>
  <si>
    <t xml:space="preserve">               3,891</t>
  </si>
  <si>
    <t xml:space="preserve">                 552.4</t>
  </si>
  <si>
    <t xml:space="preserve">               6,131</t>
  </si>
  <si>
    <t xml:space="preserve">               5,541.5</t>
  </si>
  <si>
    <t xml:space="preserve">               9,095</t>
  </si>
  <si>
    <t xml:space="preserve">              -2,964</t>
  </si>
  <si>
    <t xml:space="preserve">               1,273.4</t>
  </si>
  <si>
    <t xml:space="preserve">              15,258</t>
  </si>
  <si>
    <t xml:space="preserve">                 880.5</t>
  </si>
  <si>
    <t xml:space="preserve">               7,748</t>
  </si>
  <si>
    <t xml:space="preserve">               7,511</t>
  </si>
  <si>
    <t xml:space="preserve">               8,536.7</t>
  </si>
  <si>
    <t xml:space="preserve">              88,395</t>
  </si>
  <si>
    <t xml:space="preserve">               6,249.4</t>
  </si>
  <si>
    <t xml:space="preserve">              36,898</t>
  </si>
  <si>
    <t xml:space="preserve">              51,497</t>
  </si>
  <si>
    <t xml:space="preserve">              16,897.9</t>
  </si>
  <si>
    <t xml:space="preserve">             137,237</t>
  </si>
  <si>
    <t xml:space="preserve">               2,020.7</t>
  </si>
  <si>
    <t xml:space="preserve">               9,879</t>
  </si>
  <si>
    <t xml:space="preserve">             127,358</t>
  </si>
  <si>
    <t xml:space="preserve">               2,569.0</t>
  </si>
  <si>
    <t xml:space="preserve">              73,379</t>
  </si>
  <si>
    <t xml:space="preserve">              16,423.5</t>
  </si>
  <si>
    <t xml:space="preserve">             314,900</t>
  </si>
  <si>
    <t xml:space="preserve">            -241,520</t>
  </si>
  <si>
    <t xml:space="preserve">               3,152.2</t>
  </si>
  <si>
    <t xml:space="preserve">              82,230</t>
  </si>
  <si>
    <t xml:space="preserve">              15,007.5</t>
  </si>
  <si>
    <t xml:space="preserve">             399,066</t>
  </si>
  <si>
    <t xml:space="preserve">            -316,836</t>
  </si>
  <si>
    <t xml:space="preserve">              29,275.2</t>
  </si>
  <si>
    <t xml:space="preserve">              56,186</t>
  </si>
  <si>
    <t xml:space="preserve">              25,524.5</t>
  </si>
  <si>
    <t xml:space="preserve">             116,465</t>
  </si>
  <si>
    <t xml:space="preserve">             -60,279</t>
  </si>
  <si>
    <t xml:space="preserve">               1,127.6</t>
  </si>
  <si>
    <t xml:space="preserve">              29,619</t>
  </si>
  <si>
    <t xml:space="preserve">              10,825.5</t>
  </si>
  <si>
    <t xml:space="preserve">             272,904</t>
  </si>
  <si>
    <t xml:space="preserve">            -243,285</t>
  </si>
  <si>
    <t xml:space="preserve">                 258.1</t>
  </si>
  <si>
    <t xml:space="preserve">              10,051</t>
  </si>
  <si>
    <t xml:space="preserve">                 920.2</t>
  </si>
  <si>
    <t xml:space="preserve">              23,947</t>
  </si>
  <si>
    <t xml:space="preserve">             -13,897</t>
  </si>
  <si>
    <t xml:space="preserve">               2,307.4</t>
  </si>
  <si>
    <t xml:space="preserve">              16,126</t>
  </si>
  <si>
    <t xml:space="preserve">             -15,916</t>
  </si>
  <si>
    <t xml:space="preserve">               1,847</t>
  </si>
  <si>
    <t xml:space="preserve">                 343.2</t>
  </si>
  <si>
    <t xml:space="preserve">               7,026</t>
  </si>
  <si>
    <t xml:space="preserve">              -5,179</t>
  </si>
  <si>
    <t xml:space="preserve">              11,816.3</t>
  </si>
  <si>
    <t xml:space="preserve">              74,339</t>
  </si>
  <si>
    <t xml:space="preserve">             189,847.9</t>
  </si>
  <si>
    <t xml:space="preserve">             107,993</t>
  </si>
  <si>
    <t xml:space="preserve">             -33,654</t>
  </si>
  <si>
    <t xml:space="preserve">               2,414.3</t>
  </si>
  <si>
    <t xml:space="preserve">              29,043</t>
  </si>
  <si>
    <t xml:space="preserve">             141,083.9</t>
  </si>
  <si>
    <t xml:space="preserve">             129,874</t>
  </si>
  <si>
    <t xml:space="preserve">            -100,830</t>
  </si>
  <si>
    <t xml:space="preserve">              29,000.7</t>
  </si>
  <si>
    <t xml:space="preserve">             165,451</t>
  </si>
  <si>
    <t xml:space="preserve">              79,214.1</t>
  </si>
  <si>
    <t xml:space="preserve">             211,390</t>
  </si>
  <si>
    <t xml:space="preserve">             -45,940</t>
  </si>
  <si>
    <t xml:space="preserve">                 672.6</t>
  </si>
  <si>
    <t xml:space="preserve">             627,794</t>
  </si>
  <si>
    <t xml:space="preserve">               1,290.8</t>
  </si>
  <si>
    <t xml:space="preserve">             681,186</t>
  </si>
  <si>
    <t xml:space="preserve">             -53,392</t>
  </si>
  <si>
    <t xml:space="preserve">           2,220,896.5</t>
  </si>
  <si>
    <t xml:space="preserve">           1,927,363</t>
  </si>
  <si>
    <t xml:space="preserve">           1,248,355.4</t>
  </si>
  <si>
    <t xml:space="preserve">             988,661</t>
  </si>
  <si>
    <t xml:space="preserve">             938,702</t>
  </si>
  <si>
    <t xml:space="preserve">             273,035.7</t>
  </si>
  <si>
    <t xml:space="preserve">             738,713</t>
  </si>
  <si>
    <t xml:space="preserve">             246,500.2</t>
  </si>
  <si>
    <t xml:space="preserve">             637,777</t>
  </si>
  <si>
    <t xml:space="preserve">             100,936</t>
  </si>
  <si>
    <t xml:space="preserve">              57,348.5</t>
  </si>
  <si>
    <t xml:space="preserve">             574,017</t>
  </si>
  <si>
    <t xml:space="preserve">              65,279.2</t>
  </si>
  <si>
    <t xml:space="preserve">             643,459</t>
  </si>
  <si>
    <t xml:space="preserve">             -69,442</t>
  </si>
  <si>
    <t xml:space="preserve">               1,064.0</t>
  </si>
  <si>
    <t xml:space="preserve">              19,365</t>
  </si>
  <si>
    <t xml:space="preserve">               5,086.5</t>
  </si>
  <si>
    <t xml:space="preserve">             107,626</t>
  </si>
  <si>
    <t xml:space="preserve">             -88,261</t>
  </si>
  <si>
    <t xml:space="preserve">             107,220.9</t>
  </si>
  <si>
    <t xml:space="preserve">             420,446</t>
  </si>
  <si>
    <t xml:space="preserve">             274,127.0</t>
  </si>
  <si>
    <t xml:space="preserve">             823,395</t>
  </si>
  <si>
    <t xml:space="preserve">            -402,949</t>
  </si>
  <si>
    <t xml:space="preserve">              20,900.8</t>
  </si>
  <si>
    <t xml:space="preserve">              46,441</t>
  </si>
  <si>
    <t xml:space="preserve">              15,911.6</t>
  </si>
  <si>
    <t xml:space="preserve">              36,137</t>
  </si>
  <si>
    <t xml:space="preserve">              10,304</t>
  </si>
  <si>
    <t xml:space="preserve">              26,175.9</t>
  </si>
  <si>
    <t xml:space="preserve">              74,307</t>
  </si>
  <si>
    <t xml:space="preserve">               2,072.1</t>
  </si>
  <si>
    <t xml:space="preserve">              67,282</t>
  </si>
  <si>
    <t xml:space="preserve">                 229.5</t>
  </si>
  <si>
    <t xml:space="preserve">               1,185.0</t>
  </si>
  <si>
    <t xml:space="preserve">              41,207</t>
  </si>
  <si>
    <t xml:space="preserve">             -33,696</t>
  </si>
  <si>
    <t xml:space="preserve">               2,441.9</t>
  </si>
  <si>
    <t xml:space="preserve">              43,598</t>
  </si>
  <si>
    <t xml:space="preserve">              14,209.1</t>
  </si>
  <si>
    <t xml:space="preserve">             129,378</t>
  </si>
  <si>
    <t xml:space="preserve">             -85,780</t>
  </si>
  <si>
    <t xml:space="preserve">               5,125.8</t>
  </si>
  <si>
    <t xml:space="preserve">             132,859</t>
  </si>
  <si>
    <t xml:space="preserve">               5,918.8</t>
  </si>
  <si>
    <t xml:space="preserve">              90,286</t>
  </si>
  <si>
    <t xml:space="preserve">              42,573</t>
  </si>
  <si>
    <t xml:space="preserve">              23,526.4</t>
  </si>
  <si>
    <t xml:space="preserve">             135,520</t>
  </si>
  <si>
    <t xml:space="preserve">              11,376.2</t>
  </si>
  <si>
    <t xml:space="preserve">              79,120</t>
  </si>
  <si>
    <t xml:space="preserve">              56,400</t>
  </si>
  <si>
    <t xml:space="preserve">             369,026.7</t>
  </si>
  <si>
    <t xml:space="preserve">           6,838,785</t>
  </si>
  <si>
    <t xml:space="preserve">             222,620.4</t>
  </si>
  <si>
    <t xml:space="preserve">           5,743,960</t>
  </si>
  <si>
    <t xml:space="preserve">           1,094,825</t>
  </si>
  <si>
    <t xml:space="preserve">             212,837.0</t>
  </si>
  <si>
    <t xml:space="preserve">          18,809,466</t>
  </si>
  <si>
    <t xml:space="preserve">             198,226.7</t>
  </si>
  <si>
    <t xml:space="preserve">           9,757,326</t>
  </si>
  <si>
    <t xml:space="preserve">           9,052,141</t>
  </si>
  <si>
    <t xml:space="preserve">              10,327.0</t>
  </si>
  <si>
    <t xml:space="preserve">              33,215</t>
  </si>
  <si>
    <t xml:space="preserve">               9,947.9</t>
  </si>
  <si>
    <t xml:space="preserve">              39,931</t>
  </si>
  <si>
    <t xml:space="preserve">              -6,716</t>
  </si>
  <si>
    <t xml:space="preserve">             729,904.8</t>
  </si>
  <si>
    <t xml:space="preserve">           7,679,192</t>
  </si>
  <si>
    <t xml:space="preserve">             125,800.7</t>
  </si>
  <si>
    <t xml:space="preserve">           2,000,385</t>
  </si>
  <si>
    <t xml:space="preserve">           5,678,808</t>
  </si>
  <si>
    <t xml:space="preserve">                 653.6</t>
  </si>
  <si>
    <t xml:space="preserve">             316,673</t>
  </si>
  <si>
    <t xml:space="preserve">                 398.1</t>
  </si>
  <si>
    <t xml:space="preserve">             395,629</t>
  </si>
  <si>
    <t xml:space="preserve">             -78,956</t>
  </si>
  <si>
    <t xml:space="preserve">           1,022,087.1</t>
  </si>
  <si>
    <t xml:space="preserve">           2,123,018</t>
  </si>
  <si>
    <t xml:space="preserve">             303,900.7</t>
  </si>
  <si>
    <t xml:space="preserve">             367,781</t>
  </si>
  <si>
    <t xml:space="preserve">           1,755,237</t>
  </si>
  <si>
    <t xml:space="preserve">              15,388.6</t>
  </si>
  <si>
    <t xml:space="preserve">           1,327,302</t>
  </si>
  <si>
    <t xml:space="preserve">              15,210.3</t>
  </si>
  <si>
    <t xml:space="preserve">           1,913,000</t>
  </si>
  <si>
    <t xml:space="preserve">            -585,698</t>
  </si>
  <si>
    <t xml:space="preserve">                  22.5</t>
  </si>
  <si>
    <t xml:space="preserve">              18,605</t>
  </si>
  <si>
    <t xml:space="preserve">                 286.9</t>
  </si>
  <si>
    <t xml:space="preserve">              90,183</t>
  </si>
  <si>
    <t xml:space="preserve">             -71,578</t>
  </si>
  <si>
    <t xml:space="preserve">                 397.8</t>
  </si>
  <si>
    <t xml:space="preserve">              10,243</t>
  </si>
  <si>
    <t xml:space="preserve">                 772.6</t>
  </si>
  <si>
    <t xml:space="preserve">              17,481</t>
  </si>
  <si>
    <t xml:space="preserve">              -7,238</t>
  </si>
  <si>
    <t xml:space="preserve">               3,140.3</t>
  </si>
  <si>
    <t xml:space="preserve">             279,281</t>
  </si>
  <si>
    <t xml:space="preserve">                 128.9</t>
  </si>
  <si>
    <t xml:space="preserve">              32,512</t>
  </si>
  <si>
    <t xml:space="preserve">             246,769</t>
  </si>
  <si>
    <t xml:space="preserve">              15,218.7</t>
  </si>
  <si>
    <t xml:space="preserve">             113,605</t>
  </si>
  <si>
    <t xml:space="preserve">              74,428.6</t>
  </si>
  <si>
    <t xml:space="preserve">             316,100</t>
  </si>
  <si>
    <t xml:space="preserve">            -202,496</t>
  </si>
  <si>
    <t xml:space="preserve">               2,176.7</t>
  </si>
  <si>
    <t xml:space="preserve">              47,558</t>
  </si>
  <si>
    <t xml:space="preserve">              16,156.3</t>
  </si>
  <si>
    <t xml:space="preserve">             202,838</t>
  </si>
  <si>
    <t xml:space="preserve">            -155,280</t>
  </si>
  <si>
    <t xml:space="preserve">               2,284.7</t>
  </si>
  <si>
    <t xml:space="preserve">              39,476</t>
  </si>
  <si>
    <t xml:space="preserve">              10,935.4</t>
  </si>
  <si>
    <t xml:space="preserve">              92,766</t>
  </si>
  <si>
    <t xml:space="preserve">             -53,289</t>
  </si>
  <si>
    <t xml:space="preserve">                  13.5</t>
  </si>
  <si>
    <t xml:space="preserve">              27,479</t>
  </si>
  <si>
    <t xml:space="preserve">                  50.9</t>
  </si>
  <si>
    <t xml:space="preserve">              53,318</t>
  </si>
  <si>
    <t xml:space="preserve">             -25,838</t>
  </si>
  <si>
    <t xml:space="preserve">                 594</t>
  </si>
  <si>
    <t xml:space="preserve">                  88.3</t>
  </si>
  <si>
    <t xml:space="preserve">               4,854</t>
  </si>
  <si>
    <t xml:space="preserve">              -4,260</t>
  </si>
  <si>
    <t xml:space="preserve">               2,520.9</t>
  </si>
  <si>
    <t xml:space="preserve">               3,762</t>
  </si>
  <si>
    <t xml:space="preserve">             116,211.8</t>
  </si>
  <si>
    <t xml:space="preserve">             593,995</t>
  </si>
  <si>
    <t xml:space="preserve">            -590,232</t>
  </si>
  <si>
    <t xml:space="preserve">              43,363.3</t>
  </si>
  <si>
    <t xml:space="preserve">             128,775</t>
  </si>
  <si>
    <t xml:space="preserve">              91,867.2</t>
  </si>
  <si>
    <t xml:space="preserve">             403,815</t>
  </si>
  <si>
    <t xml:space="preserve">            -275,040</t>
  </si>
  <si>
    <t xml:space="preserve">               1,953.9</t>
  </si>
  <si>
    <t xml:space="preserve">               4,489</t>
  </si>
  <si>
    <t xml:space="preserve">              30,863.2</t>
  </si>
  <si>
    <t xml:space="preserve">             133,473</t>
  </si>
  <si>
    <t xml:space="preserve">            -128,984</t>
  </si>
  <si>
    <t xml:space="preserve">               2,493.2</t>
  </si>
  <si>
    <t xml:space="preserve">               8,722</t>
  </si>
  <si>
    <t xml:space="preserve">               3,709.5</t>
  </si>
  <si>
    <t xml:space="preserve">              14,557</t>
  </si>
  <si>
    <t xml:space="preserve">              -5,834</t>
  </si>
  <si>
    <t xml:space="preserve">                 355</t>
  </si>
  <si>
    <t xml:space="preserve">               6,030.0</t>
  </si>
  <si>
    <t xml:space="preserve">               9,904</t>
  </si>
  <si>
    <t xml:space="preserve">              -9,549</t>
  </si>
  <si>
    <t xml:space="preserve">               6,497.4</t>
  </si>
  <si>
    <t xml:space="preserve">              10,849</t>
  </si>
  <si>
    <t xml:space="preserve">              72,970.3</t>
  </si>
  <si>
    <t xml:space="preserve">              54,708</t>
  </si>
  <si>
    <t xml:space="preserve">             -43,859</t>
  </si>
  <si>
    <t xml:space="preserve">                 245.6</t>
  </si>
  <si>
    <t xml:space="preserve">               1,573</t>
  </si>
  <si>
    <t xml:space="preserve">              77,193.2</t>
  </si>
  <si>
    <t xml:space="preserve">             189,791</t>
  </si>
  <si>
    <t xml:space="preserve">            -188,219</t>
  </si>
  <si>
    <t xml:space="preserve">                 447.0</t>
  </si>
  <si>
    <t xml:space="preserve">               4,653</t>
  </si>
  <si>
    <t xml:space="preserve">              20,813.1</t>
  </si>
  <si>
    <t xml:space="preserve">             175,426</t>
  </si>
  <si>
    <t xml:space="preserve">            -170,773</t>
  </si>
  <si>
    <t xml:space="preserve">                 406.1</t>
  </si>
  <si>
    <t xml:space="preserve">                 895</t>
  </si>
  <si>
    <t xml:space="preserve">           1,404,728.8</t>
  </si>
  <si>
    <t xml:space="preserve">             393,516</t>
  </si>
  <si>
    <t xml:space="preserve">            -392,621</t>
  </si>
  <si>
    <t xml:space="preserve">               4,251.2</t>
  </si>
  <si>
    <t xml:space="preserve">               3,253</t>
  </si>
  <si>
    <t xml:space="preserve">              34,108.8</t>
  </si>
  <si>
    <t xml:space="preserve">              29,037</t>
  </si>
  <si>
    <t xml:space="preserve">             -25,784</t>
  </si>
  <si>
    <t xml:space="preserve">               2,472.6</t>
  </si>
  <si>
    <t xml:space="preserve">              67,749</t>
  </si>
  <si>
    <t xml:space="preserve">             260,386.4</t>
  </si>
  <si>
    <t xml:space="preserve">             147,623</t>
  </si>
  <si>
    <t xml:space="preserve">             -79,874</t>
  </si>
  <si>
    <t xml:space="preserve">                 302.7</t>
  </si>
  <si>
    <t xml:space="preserve">               6,657</t>
  </si>
  <si>
    <t xml:space="preserve">               7,222.6</t>
  </si>
  <si>
    <t xml:space="preserve">              25,671</t>
  </si>
  <si>
    <t xml:space="preserve">             -19,014</t>
  </si>
  <si>
    <t xml:space="preserve">              15,024.6</t>
  </si>
  <si>
    <t xml:space="preserve">               4,932</t>
  </si>
  <si>
    <t xml:space="preserve">              -4,913</t>
  </si>
  <si>
    <t xml:space="preserve">              35,093.6</t>
  </si>
  <si>
    <t xml:space="preserve">              39,548</t>
  </si>
  <si>
    <t xml:space="preserve">             166,588.9</t>
  </si>
  <si>
    <t xml:space="preserve">             232,337</t>
  </si>
  <si>
    <t xml:space="preserve">            -192,789</t>
  </si>
  <si>
    <t xml:space="preserve">               4,227.8</t>
  </si>
  <si>
    <t xml:space="preserve">              27,363</t>
  </si>
  <si>
    <t xml:space="preserve">              17,402.3</t>
  </si>
  <si>
    <t xml:space="preserve">             103,444</t>
  </si>
  <si>
    <t xml:space="preserve">             -76,081</t>
  </si>
  <si>
    <t xml:space="preserve">              29,080.5</t>
  </si>
  <si>
    <t xml:space="preserve">              26,243</t>
  </si>
  <si>
    <t xml:space="preserve">             191,894.9</t>
  </si>
  <si>
    <t xml:space="preserve">             117,415</t>
  </si>
  <si>
    <t xml:space="preserve">             -91,172</t>
  </si>
  <si>
    <t xml:space="preserve">               2,003.2</t>
  </si>
  <si>
    <t xml:space="preserve">               6,254</t>
  </si>
  <si>
    <t xml:space="preserve">               5,429.5</t>
  </si>
  <si>
    <t xml:space="preserve">              50,709</t>
  </si>
  <si>
    <t xml:space="preserve">             -44,454</t>
  </si>
  <si>
    <t xml:space="preserve">              53,804.3</t>
  </si>
  <si>
    <t xml:space="preserve">             221,837</t>
  </si>
  <si>
    <t xml:space="preserve">              28,171.7</t>
  </si>
  <si>
    <t xml:space="preserve">              91,607</t>
  </si>
  <si>
    <t xml:space="preserve">             130,230</t>
  </si>
  <si>
    <t xml:space="preserve">               9,845.4</t>
  </si>
  <si>
    <t xml:space="preserve">              79,820</t>
  </si>
  <si>
    <t xml:space="preserve">              98,291.6</t>
  </si>
  <si>
    <t xml:space="preserve">             145,846</t>
  </si>
  <si>
    <t xml:space="preserve">             -66,026</t>
  </si>
  <si>
    <t xml:space="preserve">              36,139.5</t>
  </si>
  <si>
    <t xml:space="preserve">             157,189</t>
  </si>
  <si>
    <t xml:space="preserve">              31,042.3</t>
  </si>
  <si>
    <t xml:space="preserve">             237,844</t>
  </si>
  <si>
    <t xml:space="preserve">             -80,655</t>
  </si>
  <si>
    <t xml:space="preserve">              76,987.8</t>
  </si>
  <si>
    <t xml:space="preserve">              93,992</t>
  </si>
  <si>
    <t xml:space="preserve">              92,260.6</t>
  </si>
  <si>
    <t xml:space="preserve">             132,019</t>
  </si>
  <si>
    <t xml:space="preserve">             -38,028</t>
  </si>
  <si>
    <t xml:space="preserve">              22,965.0</t>
  </si>
  <si>
    <t xml:space="preserve">              25,701</t>
  </si>
  <si>
    <t xml:space="preserve">             578,859.0</t>
  </si>
  <si>
    <t xml:space="preserve">             189,850</t>
  </si>
  <si>
    <t xml:space="preserve">            -164,149</t>
  </si>
  <si>
    <t xml:space="preserve">               8,797.4</t>
  </si>
  <si>
    <t xml:space="preserve">              95,341</t>
  </si>
  <si>
    <t xml:space="preserve">               4,905.5</t>
  </si>
  <si>
    <t xml:space="preserve">              41,935</t>
  </si>
  <si>
    <t xml:space="preserve">              53,406</t>
  </si>
  <si>
    <t xml:space="preserve">             535,360.8</t>
  </si>
  <si>
    <t xml:space="preserve">              39,996</t>
  </si>
  <si>
    <t xml:space="preserve">             923,546.7</t>
  </si>
  <si>
    <t xml:space="preserve">              79,317</t>
  </si>
  <si>
    <t xml:space="preserve">             -39,321</t>
  </si>
  <si>
    <t xml:space="preserve">             172,345.2</t>
  </si>
  <si>
    <t xml:space="preserve">              54,902</t>
  </si>
  <si>
    <t xml:space="preserve">           6,732,991.4</t>
  </si>
  <si>
    <t xml:space="preserve">           2,043,230</t>
  </si>
  <si>
    <t xml:space="preserve">          -1,988,328</t>
  </si>
  <si>
    <t xml:space="preserve">           5,786,724.2</t>
  </si>
  <si>
    <t xml:space="preserve">           3,907,126</t>
  </si>
  <si>
    <t xml:space="preserve">          25,129,584.9</t>
  </si>
  <si>
    <t xml:space="preserve">          10,139,369</t>
  </si>
  <si>
    <t xml:space="preserve">          -6,232,243</t>
  </si>
  <si>
    <t xml:space="preserve">             457,121.2</t>
  </si>
  <si>
    <t xml:space="preserve">             775,086</t>
  </si>
  <si>
    <t xml:space="preserve">             321,394.1</t>
  </si>
  <si>
    <t xml:space="preserve">             873,310</t>
  </si>
  <si>
    <t xml:space="preserve">             -98,223</t>
  </si>
  <si>
    <t xml:space="preserve">           1,639,968.6</t>
  </si>
  <si>
    <t xml:space="preserve">           1,572,396</t>
  </si>
  <si>
    <t xml:space="preserve">             663,487.2</t>
  </si>
  <si>
    <t xml:space="preserve">           1,096,541</t>
  </si>
  <si>
    <t xml:space="preserve">             475,855</t>
  </si>
  <si>
    <t xml:space="preserve">               2,714.6</t>
  </si>
  <si>
    <t xml:space="preserve">             969,786</t>
  </si>
  <si>
    <t xml:space="preserve">               8,120.0</t>
  </si>
  <si>
    <t xml:space="preserve">             789,665</t>
  </si>
  <si>
    <t xml:space="preserve">             180,121</t>
  </si>
  <si>
    <t xml:space="preserve">             107,709.5</t>
  </si>
  <si>
    <t xml:space="preserve">              40,518</t>
  </si>
  <si>
    <t xml:space="preserve">             166,227.1</t>
  </si>
  <si>
    <t xml:space="preserve">              64,087</t>
  </si>
  <si>
    <t xml:space="preserve">             -23,569</t>
  </si>
  <si>
    <t xml:space="preserve">              28,621.4</t>
  </si>
  <si>
    <t xml:space="preserve">             223,739</t>
  </si>
  <si>
    <t xml:space="preserve">              24,696.2</t>
  </si>
  <si>
    <t xml:space="preserve">             190,624</t>
  </si>
  <si>
    <t xml:space="preserve">              33,115</t>
  </si>
  <si>
    <t xml:space="preserve">              40,082.3</t>
  </si>
  <si>
    <t xml:space="preserve">             907,377</t>
  </si>
  <si>
    <t xml:space="preserve">               9,762.5</t>
  </si>
  <si>
    <t xml:space="preserve">             186,256</t>
  </si>
  <si>
    <t xml:space="preserve">             721,120</t>
  </si>
  <si>
    <t xml:space="preserve">              50,086.9</t>
  </si>
  <si>
    <t xml:space="preserve">             156,708</t>
  </si>
  <si>
    <t xml:space="preserve">              24,002.9</t>
  </si>
  <si>
    <t xml:space="preserve">              99,390</t>
  </si>
  <si>
    <t xml:space="preserve">              57,318</t>
  </si>
  <si>
    <t xml:space="preserve">               6,084.6</t>
  </si>
  <si>
    <t xml:space="preserve">              77,644</t>
  </si>
  <si>
    <t xml:space="preserve">              19,419.9</t>
  </si>
  <si>
    <t xml:space="preserve">              83,886</t>
  </si>
  <si>
    <t xml:space="preserve">              -6,241</t>
  </si>
  <si>
    <t xml:space="preserve">                 282.0</t>
  </si>
  <si>
    <t xml:space="preserve">               3,992</t>
  </si>
  <si>
    <t xml:space="preserve">                 242.7</t>
  </si>
  <si>
    <t xml:space="preserve">               8,178</t>
  </si>
  <si>
    <t xml:space="preserve">              -4,186</t>
  </si>
  <si>
    <t xml:space="preserve">               1,723.3</t>
  </si>
  <si>
    <t xml:space="preserve">              89,265</t>
  </si>
  <si>
    <t xml:space="preserve">               2,740.5</t>
  </si>
  <si>
    <t xml:space="preserve">              93,292</t>
  </si>
  <si>
    <t xml:space="preserve">              -4,027</t>
  </si>
  <si>
    <t xml:space="preserve">              89,468.8</t>
  </si>
  <si>
    <t xml:space="preserve">             617,744</t>
  </si>
  <si>
    <t xml:space="preserve">             231,475.3</t>
  </si>
  <si>
    <t xml:space="preserve">             798,572</t>
  </si>
  <si>
    <t xml:space="preserve">            -180,828</t>
  </si>
  <si>
    <t xml:space="preserve">           1,366,116.9</t>
  </si>
  <si>
    <t xml:space="preserve">           2,722,389</t>
  </si>
  <si>
    <t xml:space="preserve">             294,254.0</t>
  </si>
  <si>
    <t xml:space="preserve">           1,130,373</t>
  </si>
  <si>
    <t xml:space="preserve">           1,592,016</t>
  </si>
  <si>
    <t xml:space="preserve">             240,386.2</t>
  </si>
  <si>
    <t xml:space="preserve">             628,525</t>
  </si>
  <si>
    <t xml:space="preserve">              79,343.8</t>
  </si>
  <si>
    <t xml:space="preserve">             272,115</t>
  </si>
  <si>
    <t xml:space="preserve">             356,410</t>
  </si>
  <si>
    <t xml:space="preserve">               2,853.1</t>
  </si>
  <si>
    <t xml:space="preserve">              24,065</t>
  </si>
  <si>
    <t xml:space="preserve">               9,096.6</t>
  </si>
  <si>
    <t xml:space="preserve">              23,401</t>
  </si>
  <si>
    <t xml:space="preserve">                 664</t>
  </si>
  <si>
    <t xml:space="preserve">                 791.0</t>
  </si>
  <si>
    <t xml:space="preserve">              49,177</t>
  </si>
  <si>
    <t xml:space="preserve">               8,995.2</t>
  </si>
  <si>
    <t xml:space="preserve">             291,501</t>
  </si>
  <si>
    <t xml:space="preserve">            -242,325</t>
  </si>
  <si>
    <t xml:space="preserve">                   8.6</t>
  </si>
  <si>
    <t xml:space="preserve">                 952</t>
  </si>
  <si>
    <t xml:space="preserve">              12,131</t>
  </si>
  <si>
    <t xml:space="preserve">             -11,180</t>
  </si>
  <si>
    <t xml:space="preserve">               4,145.5</t>
  </si>
  <si>
    <t xml:space="preserve">               6,909</t>
  </si>
  <si>
    <t xml:space="preserve">             794,520.9</t>
  </si>
  <si>
    <t xml:space="preserve">             242,264</t>
  </si>
  <si>
    <t xml:space="preserve">            -235,354</t>
  </si>
  <si>
    <t xml:space="preserve">                  80.9</t>
  </si>
  <si>
    <t xml:space="preserve">                 373</t>
  </si>
  <si>
    <t xml:space="preserve">                -356</t>
  </si>
  <si>
    <t xml:space="preserve">                 121</t>
  </si>
  <si>
    <t xml:space="preserve">                 388.9</t>
  </si>
  <si>
    <t xml:space="preserve">               2,231</t>
  </si>
  <si>
    <t xml:space="preserve">              -2,110</t>
  </si>
  <si>
    <t xml:space="preserve">              36,438.6</t>
  </si>
  <si>
    <t xml:space="preserve">               6,556</t>
  </si>
  <si>
    <t xml:space="preserve">             222,759.6</t>
  </si>
  <si>
    <t xml:space="preserve">             116,917</t>
  </si>
  <si>
    <t xml:space="preserve">            -110,361</t>
  </si>
  <si>
    <t xml:space="preserve">             217,449.0</t>
  </si>
  <si>
    <t xml:space="preserve">             209,379</t>
  </si>
  <si>
    <t xml:space="preserve">             124,414.9</t>
  </si>
  <si>
    <t xml:space="preserve">             188,409</t>
  </si>
  <si>
    <t xml:space="preserve">              20,970</t>
  </si>
  <si>
    <t xml:space="preserve">               5,628.4</t>
  </si>
  <si>
    <t xml:space="preserve">              41,597</t>
  </si>
  <si>
    <t xml:space="preserve">               1,317.8</t>
  </si>
  <si>
    <t xml:space="preserve">              20,978</t>
  </si>
  <si>
    <t xml:space="preserve">              20,619</t>
  </si>
  <si>
    <t xml:space="preserve">                   9.3</t>
  </si>
  <si>
    <t xml:space="preserve">                  33.5</t>
  </si>
  <si>
    <t xml:space="preserve">               2,161</t>
  </si>
  <si>
    <t xml:space="preserve">                -631</t>
  </si>
  <si>
    <t xml:space="preserve">                 311.7</t>
  </si>
  <si>
    <t xml:space="preserve">               5,585</t>
  </si>
  <si>
    <t xml:space="preserve">                 837.6</t>
  </si>
  <si>
    <t xml:space="preserve">              23,109</t>
  </si>
  <si>
    <t xml:space="preserve">             -17,523</t>
  </si>
  <si>
    <t xml:space="preserve">               3,166.6</t>
  </si>
  <si>
    <t xml:space="preserve">              25,149</t>
  </si>
  <si>
    <t xml:space="preserve">              17,372.0</t>
  </si>
  <si>
    <t xml:space="preserve">              51,709</t>
  </si>
  <si>
    <t xml:space="preserve">             -26,561</t>
  </si>
  <si>
    <t xml:space="preserve">                  32.0</t>
  </si>
  <si>
    <t xml:space="preserve">                 332</t>
  </si>
  <si>
    <t xml:space="preserve">               1,477.3</t>
  </si>
  <si>
    <t xml:space="preserve">               4,588</t>
  </si>
  <si>
    <t xml:space="preserve">              -4,256</t>
  </si>
  <si>
    <t xml:space="preserve">              20,406.5</t>
  </si>
  <si>
    <t xml:space="preserve">             134,567</t>
  </si>
  <si>
    <t xml:space="preserve">              39,408.7</t>
  </si>
  <si>
    <t xml:space="preserve">              81,639</t>
  </si>
  <si>
    <t xml:space="preserve">              52,929</t>
  </si>
  <si>
    <t xml:space="preserve">              44,393.9</t>
  </si>
  <si>
    <t xml:space="preserve">              85,626</t>
  </si>
  <si>
    <t xml:space="preserve">              13,124.9</t>
  </si>
  <si>
    <t xml:space="preserve">              49,765</t>
  </si>
  <si>
    <t xml:space="preserve">              35,861</t>
  </si>
  <si>
    <t xml:space="preserve">              10,084.3</t>
  </si>
  <si>
    <t xml:space="preserve">              65,094</t>
  </si>
  <si>
    <t xml:space="preserve">              18,959.4</t>
  </si>
  <si>
    <t xml:space="preserve">              56,423</t>
  </si>
  <si>
    <t xml:space="preserve">               8,671</t>
  </si>
  <si>
    <t xml:space="preserve">                 628.3</t>
  </si>
  <si>
    <t xml:space="preserve">               6,660</t>
  </si>
  <si>
    <t xml:space="preserve">               5,418.0</t>
  </si>
  <si>
    <t xml:space="preserve">               9,209</t>
  </si>
  <si>
    <t xml:space="preserve">              -2,550</t>
  </si>
  <si>
    <t xml:space="preserve">               1,312.6</t>
  </si>
  <si>
    <t xml:space="preserve">              15,653</t>
  </si>
  <si>
    <t xml:space="preserve">                 744.6</t>
  </si>
  <si>
    <t xml:space="preserve">               6,485</t>
  </si>
  <si>
    <t xml:space="preserve">               9,167</t>
  </si>
  <si>
    <t xml:space="preserve">               8,310.9</t>
  </si>
  <si>
    <t xml:space="preserve">              87,070</t>
  </si>
  <si>
    <t xml:space="preserve">               5,202.0</t>
  </si>
  <si>
    <t xml:space="preserve">              37,650</t>
  </si>
  <si>
    <t xml:space="preserve">              49,420</t>
  </si>
  <si>
    <t xml:space="preserve">              16,455.5</t>
  </si>
  <si>
    <t xml:space="preserve">             130,373</t>
  </si>
  <si>
    <t xml:space="preserve">               1,755.7</t>
  </si>
  <si>
    <t xml:space="preserve">               8,978</t>
  </si>
  <si>
    <t xml:space="preserve">             121,395</t>
  </si>
  <si>
    <t xml:space="preserve">               2,375.3</t>
  </si>
  <si>
    <t xml:space="preserve">              72,488</t>
  </si>
  <si>
    <t xml:space="preserve">              16,897.8</t>
  </si>
  <si>
    <t xml:space="preserve">             338,473</t>
  </si>
  <si>
    <t xml:space="preserve">            -265,985</t>
  </si>
  <si>
    <t xml:space="preserve">               2,937.7</t>
  </si>
  <si>
    <t xml:space="preserve">              71,992</t>
  </si>
  <si>
    <t xml:space="preserve">              15,319.2</t>
  </si>
  <si>
    <t xml:space="preserve">             435,277</t>
  </si>
  <si>
    <t xml:space="preserve">            -363,285</t>
  </si>
  <si>
    <t xml:space="preserve">              26,289.1</t>
  </si>
  <si>
    <t xml:space="preserve">              48,398</t>
  </si>
  <si>
    <t xml:space="preserve">              27,123.9</t>
  </si>
  <si>
    <t xml:space="preserve">             115,791</t>
  </si>
  <si>
    <t xml:space="preserve">             -67,393</t>
  </si>
  <si>
    <t xml:space="preserve">               1,261.3</t>
  </si>
  <si>
    <t xml:space="preserve">              32,434</t>
  </si>
  <si>
    <t xml:space="preserve">              11,371.1</t>
  </si>
  <si>
    <t xml:space="preserve">             316,926</t>
  </si>
  <si>
    <t xml:space="preserve">            -284,492</t>
  </si>
  <si>
    <t xml:space="preserve">                 277.5</t>
  </si>
  <si>
    <t xml:space="preserve">              10,250</t>
  </si>
  <si>
    <t xml:space="preserve">                 962.0</t>
  </si>
  <si>
    <t xml:space="preserve">              27,315</t>
  </si>
  <si>
    <t xml:space="preserve">             -17,066</t>
  </si>
  <si>
    <t xml:space="preserve">                  11.6</t>
  </si>
  <si>
    <t xml:space="preserve">              16,653</t>
  </si>
  <si>
    <t xml:space="preserve">                  25.2</t>
  </si>
  <si>
    <t xml:space="preserve">               1,748</t>
  </si>
  <si>
    <t xml:space="preserve">                 363.7</t>
  </si>
  <si>
    <t xml:space="preserve">               6,369</t>
  </si>
  <si>
    <t xml:space="preserve">              -4,621</t>
  </si>
  <si>
    <t xml:space="preserve">              10,125.6</t>
  </si>
  <si>
    <t xml:space="preserve">              76,468</t>
  </si>
  <si>
    <t xml:space="preserve">             191,980.0</t>
  </si>
  <si>
    <t xml:space="preserve">             104,671</t>
  </si>
  <si>
    <t xml:space="preserve">             -28,203</t>
  </si>
  <si>
    <t xml:space="preserve">               2,573.6</t>
  </si>
  <si>
    <t xml:space="preserve">             134,720.5</t>
  </si>
  <si>
    <t xml:space="preserve">             134,282</t>
  </si>
  <si>
    <t xml:space="preserve">            -104,869</t>
  </si>
  <si>
    <t xml:space="preserve">              27,611.5</t>
  </si>
  <si>
    <t xml:space="preserve">             166,472</t>
  </si>
  <si>
    <t xml:space="preserve">              79,013.1</t>
  </si>
  <si>
    <t xml:space="preserve">             224,425</t>
  </si>
  <si>
    <t xml:space="preserve">             -57,953</t>
  </si>
  <si>
    <t xml:space="preserve">                 752.6</t>
  </si>
  <si>
    <t xml:space="preserve">             721,336</t>
  </si>
  <si>
    <t xml:space="preserve">               1,264.6</t>
  </si>
  <si>
    <t xml:space="preserve">             658,389</t>
  </si>
  <si>
    <t xml:space="preserve">              62,947</t>
  </si>
  <si>
    <t xml:space="preserve">           1,980,575.8</t>
  </si>
  <si>
    <t xml:space="preserve">           1,757,624</t>
  </si>
  <si>
    <t xml:space="preserve">           1,216,954.7</t>
  </si>
  <si>
    <t xml:space="preserve">             957,763</t>
  </si>
  <si>
    <t xml:space="preserve">             799,862</t>
  </si>
  <si>
    <t xml:space="preserve">             260,399.6</t>
  </si>
  <si>
    <t xml:space="preserve">             696,345</t>
  </si>
  <si>
    <t xml:space="preserve">             225,028.0</t>
  </si>
  <si>
    <t xml:space="preserve">             630,498</t>
  </si>
  <si>
    <t xml:space="preserve">              65,847</t>
  </si>
  <si>
    <t xml:space="preserve">              57,343.9</t>
  </si>
  <si>
    <t xml:space="preserve">             571,897</t>
  </si>
  <si>
    <t xml:space="preserve">              70,374.2</t>
  </si>
  <si>
    <t xml:space="preserve">             722,164</t>
  </si>
  <si>
    <t xml:space="preserve">            -150,266</t>
  </si>
  <si>
    <t xml:space="preserve">                 652.4</t>
  </si>
  <si>
    <t xml:space="preserve">              13,594</t>
  </si>
  <si>
    <t xml:space="preserve">              11,017.8</t>
  </si>
  <si>
    <t xml:space="preserve">             137,935</t>
  </si>
  <si>
    <t xml:space="preserve">            -124,342</t>
  </si>
  <si>
    <t xml:space="preserve">             111,824.6</t>
  </si>
  <si>
    <t xml:space="preserve">             435,321</t>
  </si>
  <si>
    <t xml:space="preserve">             244,484.3</t>
  </si>
  <si>
    <t xml:space="preserve">             739,359</t>
  </si>
  <si>
    <t xml:space="preserve">            -304,039</t>
  </si>
  <si>
    <t xml:space="preserve">              27,004.9</t>
  </si>
  <si>
    <t xml:space="preserve">              58,745</t>
  </si>
  <si>
    <t xml:space="preserve">              14,427.8</t>
  </si>
  <si>
    <t xml:space="preserve">              32,732</t>
  </si>
  <si>
    <t xml:space="preserve">              26,013</t>
  </si>
  <si>
    <t xml:space="preserve">              39,956.6</t>
  </si>
  <si>
    <t xml:space="preserve">             113,767</t>
  </si>
  <si>
    <t xml:space="preserve">               1,603.0</t>
  </si>
  <si>
    <t xml:space="preserve">               5,500</t>
  </si>
  <si>
    <t xml:space="preserve">             108,267</t>
  </si>
  <si>
    <t xml:space="preserve">                 118.0</t>
  </si>
  <si>
    <t xml:space="preserve">               1,413.1</t>
  </si>
  <si>
    <t xml:space="preserve">              49,021</t>
  </si>
  <si>
    <t xml:space="preserve">             -41,390</t>
  </si>
  <si>
    <t xml:space="preserve">               2,659.0</t>
  </si>
  <si>
    <t xml:space="preserve">              16,158.6</t>
  </si>
  <si>
    <t xml:space="preserve">             127,269</t>
  </si>
  <si>
    <t xml:space="preserve">             -73,950</t>
  </si>
  <si>
    <t xml:space="preserve">               8,325.3</t>
  </si>
  <si>
    <t xml:space="preserve">             165,613</t>
  </si>
  <si>
    <t xml:space="preserve">               4,765.1</t>
  </si>
  <si>
    <t xml:space="preserve">              82,775</t>
  </si>
  <si>
    <t xml:space="preserve">              23,266.7</t>
  </si>
  <si>
    <t xml:space="preserve">             137,469</t>
  </si>
  <si>
    <t xml:space="preserve">              11,001.0</t>
  </si>
  <si>
    <t xml:space="preserve">              77,959</t>
  </si>
  <si>
    <t xml:space="preserve">              59,510</t>
  </si>
  <si>
    <t xml:space="preserve">             360,555.9</t>
  </si>
  <si>
    <t xml:space="preserve">           7,429,562</t>
  </si>
  <si>
    <t xml:space="preserve">             228,569.6</t>
  </si>
  <si>
    <t xml:space="preserve">           6,368,004</t>
  </si>
  <si>
    <t xml:space="preserve">           1,061,558</t>
  </si>
  <si>
    <t xml:space="preserve">             226,543.6</t>
  </si>
  <si>
    <t xml:space="preserve">          19,535,265</t>
  </si>
  <si>
    <t xml:space="preserve">             205,183.5</t>
  </si>
  <si>
    <t xml:space="preserve">          10,470,324</t>
  </si>
  <si>
    <t xml:space="preserve">           9,064,941</t>
  </si>
  <si>
    <t xml:space="preserve">              10,401.4</t>
  </si>
  <si>
    <t xml:space="preserve">              35,191</t>
  </si>
  <si>
    <t xml:space="preserve">               9,648.6</t>
  </si>
  <si>
    <t xml:space="preserve">              42,157</t>
  </si>
  <si>
    <t xml:space="preserve">              -6,965</t>
  </si>
  <si>
    <t xml:space="preserve">             739,807.6</t>
  </si>
  <si>
    <t xml:space="preserve">           8,230,226</t>
  </si>
  <si>
    <t xml:space="preserve">             110,477.2</t>
  </si>
  <si>
    <t xml:space="preserve">           1,758,477</t>
  </si>
  <si>
    <t xml:space="preserve">           6,471,749</t>
  </si>
  <si>
    <t xml:space="preserve">                 633.1</t>
  </si>
  <si>
    <t xml:space="preserve">             203,592</t>
  </si>
  <si>
    <t xml:space="preserve">                 357.7</t>
  </si>
  <si>
    <t xml:space="preserve">             281,174</t>
  </si>
  <si>
    <t xml:space="preserve">             -77,581</t>
  </si>
  <si>
    <t xml:space="preserve">             989,172.2</t>
  </si>
  <si>
    <t xml:space="preserve">           2,293,326</t>
  </si>
  <si>
    <t xml:space="preserve">             455,353.7</t>
  </si>
  <si>
    <t xml:space="preserve">             375,132</t>
  </si>
  <si>
    <t xml:space="preserve">           1,918,194</t>
  </si>
  <si>
    <t xml:space="preserve">              15,294.5</t>
  </si>
  <si>
    <t xml:space="preserve">           1,419,577</t>
  </si>
  <si>
    <t xml:space="preserve">              15,507.2</t>
  </si>
  <si>
    <t xml:space="preserve">           2,081,593</t>
  </si>
  <si>
    <t xml:space="preserve">            -662,016</t>
  </si>
  <si>
    <t xml:space="preserve">             103,555</t>
  </si>
  <si>
    <t xml:space="preserve">                 266.8</t>
  </si>
  <si>
    <t xml:space="preserve">              90,672</t>
  </si>
  <si>
    <t xml:space="preserve">              12,883</t>
  </si>
  <si>
    <t xml:space="preserve">                 354.8</t>
  </si>
  <si>
    <t xml:space="preserve">               9,742</t>
  </si>
  <si>
    <t xml:space="preserve">                 606.7</t>
  </si>
  <si>
    <t xml:space="preserve">              15,630</t>
  </si>
  <si>
    <t xml:space="preserve">              -5,889</t>
  </si>
  <si>
    <t xml:space="preserve">               3,568.2</t>
  </si>
  <si>
    <t xml:space="preserve">             400,342</t>
  </si>
  <si>
    <t xml:space="preserve">                  91.5</t>
  </si>
  <si>
    <t xml:space="preserve">              29,226</t>
  </si>
  <si>
    <t xml:space="preserve">             371,116</t>
  </si>
  <si>
    <t xml:space="preserve">              14,844.9</t>
  </si>
  <si>
    <t xml:space="preserve">             105,943</t>
  </si>
  <si>
    <t xml:space="preserve">              70,682.2</t>
  </si>
  <si>
    <t xml:space="preserve">             317,959</t>
  </si>
  <si>
    <t xml:space="preserve">            -212,016</t>
  </si>
  <si>
    <t xml:space="preserve">               2,383.8</t>
  </si>
  <si>
    <t xml:space="preserve">              54,169</t>
  </si>
  <si>
    <t xml:space="preserve">              14,782.0</t>
  </si>
  <si>
    <t xml:space="preserve">             214,766</t>
  </si>
  <si>
    <t xml:space="preserve">            -160,597</t>
  </si>
  <si>
    <t xml:space="preserve">               2,171.7</t>
  </si>
  <si>
    <t xml:space="preserve">              36,953</t>
  </si>
  <si>
    <t xml:space="preserve">              11,757.4</t>
  </si>
  <si>
    <t xml:space="preserve">              95,658</t>
  </si>
  <si>
    <t xml:space="preserve">             -58,705</t>
  </si>
  <si>
    <t xml:space="preserve">               8,750</t>
  </si>
  <si>
    <t xml:space="preserve">                  49.5</t>
  </si>
  <si>
    <t xml:space="preserve">              24,777</t>
  </si>
  <si>
    <t xml:space="preserve">             -16,026</t>
  </si>
  <si>
    <t xml:space="preserve">                 468</t>
  </si>
  <si>
    <t xml:space="preserve">                  80.2</t>
  </si>
  <si>
    <t xml:space="preserve">               8,406</t>
  </si>
  <si>
    <t xml:space="preserve">              -7,938</t>
  </si>
  <si>
    <t xml:space="preserve">               4,207.9</t>
  </si>
  <si>
    <t xml:space="preserve">               5,982</t>
  </si>
  <si>
    <t xml:space="preserve">             111,235.3</t>
  </si>
  <si>
    <t xml:space="preserve">             611,387</t>
  </si>
  <si>
    <t xml:space="preserve">            -605,404</t>
  </si>
  <si>
    <t xml:space="preserve">              55,128.3</t>
  </si>
  <si>
    <t xml:space="preserve">             156,545</t>
  </si>
  <si>
    <t xml:space="preserve">             114,356.2</t>
  </si>
  <si>
    <t xml:space="preserve">             426,131</t>
  </si>
  <si>
    <t xml:space="preserve">            -269,586</t>
  </si>
  <si>
    <t xml:space="preserve">               2,573.3</t>
  </si>
  <si>
    <t xml:space="preserve">               7,894</t>
  </si>
  <si>
    <t xml:space="preserve">              40,398.6</t>
  </si>
  <si>
    <t xml:space="preserve">             177,681</t>
  </si>
  <si>
    <t xml:space="preserve">            -169,787</t>
  </si>
  <si>
    <t xml:space="preserve">               3,920.4</t>
  </si>
  <si>
    <t xml:space="preserve">               6,637</t>
  </si>
  <si>
    <t xml:space="preserve">               4,492.7</t>
  </si>
  <si>
    <t xml:space="preserve">              20,621</t>
  </si>
  <si>
    <t xml:space="preserve">             -13,984</t>
  </si>
  <si>
    <t xml:space="preserve">                  29.1</t>
  </si>
  <si>
    <t xml:space="preserve">                 198</t>
  </si>
  <si>
    <t xml:space="preserve">               5,721.5</t>
  </si>
  <si>
    <t xml:space="preserve">               9,073</t>
  </si>
  <si>
    <t xml:space="preserve">              -8,875</t>
  </si>
  <si>
    <t xml:space="preserve">               4,896.4</t>
  </si>
  <si>
    <t xml:space="preserve">               9,864</t>
  </si>
  <si>
    <t xml:space="preserve">              87,068.4</t>
  </si>
  <si>
    <t xml:space="preserve">              71,878</t>
  </si>
  <si>
    <t xml:space="preserve">             -62,014</t>
  </si>
  <si>
    <t xml:space="preserve">                 627.9</t>
  </si>
  <si>
    <t xml:space="preserve">               5,700</t>
  </si>
  <si>
    <t xml:space="preserve">              71,584.5</t>
  </si>
  <si>
    <t xml:space="preserve">             182,282</t>
  </si>
  <si>
    <t xml:space="preserve">            -176,581</t>
  </si>
  <si>
    <t xml:space="preserve">                 410.0</t>
  </si>
  <si>
    <t xml:space="preserve">               3,774</t>
  </si>
  <si>
    <t xml:space="preserve">              20,508.3</t>
  </si>
  <si>
    <t xml:space="preserve">             175,496</t>
  </si>
  <si>
    <t xml:space="preserve">            -171,721</t>
  </si>
  <si>
    <t xml:space="preserve">                 334.3</t>
  </si>
  <si>
    <t xml:space="preserve">                 816</t>
  </si>
  <si>
    <t xml:space="preserve">           1,259,025.6</t>
  </si>
  <si>
    <t xml:space="preserve">             336,908</t>
  </si>
  <si>
    <t xml:space="preserve">            -336,092</t>
  </si>
  <si>
    <t xml:space="preserve">               4,532.2</t>
  </si>
  <si>
    <t xml:space="preserve">               3,183</t>
  </si>
  <si>
    <t xml:space="preserve">              41,197.2</t>
  </si>
  <si>
    <t xml:space="preserve">              35,693</t>
  </si>
  <si>
    <t xml:space="preserve">             -32,511</t>
  </si>
  <si>
    <t xml:space="preserve">               2,819.4</t>
  </si>
  <si>
    <t xml:space="preserve">              80,340</t>
  </si>
  <si>
    <t xml:space="preserve">             266,199.0</t>
  </si>
  <si>
    <t xml:space="preserve">             145,039</t>
  </si>
  <si>
    <t xml:space="preserve">             -64,699</t>
  </si>
  <si>
    <t xml:space="preserve">                 384.1</t>
  </si>
  <si>
    <t xml:space="preserve">               7,852</t>
  </si>
  <si>
    <t xml:space="preserve">               7,799.5</t>
  </si>
  <si>
    <t xml:space="preserve">              33,978</t>
  </si>
  <si>
    <t xml:space="preserve">             -26,126</t>
  </si>
  <si>
    <t xml:space="preserve">                  44</t>
  </si>
  <si>
    <t xml:space="preserve">              15,947.7</t>
  </si>
  <si>
    <t xml:space="preserve">              -6,059</t>
  </si>
  <si>
    <t xml:space="preserve">              25,914.9</t>
  </si>
  <si>
    <t xml:space="preserve">              31,028</t>
  </si>
  <si>
    <t xml:space="preserve">             143,183.2</t>
  </si>
  <si>
    <t xml:space="preserve">             210,552</t>
  </si>
  <si>
    <t xml:space="preserve">            -179,524</t>
  </si>
  <si>
    <t xml:space="preserve">               4,520.2</t>
  </si>
  <si>
    <t xml:space="preserve">              29,198</t>
  </si>
  <si>
    <t xml:space="preserve">              17,783.4</t>
  </si>
  <si>
    <t xml:space="preserve">             104,017</t>
  </si>
  <si>
    <t xml:space="preserve">             -74,820</t>
  </si>
  <si>
    <t xml:space="preserve">              30,953.7</t>
  </si>
  <si>
    <t xml:space="preserve">              28,492</t>
  </si>
  <si>
    <t xml:space="preserve">             224,556.9</t>
  </si>
  <si>
    <t xml:space="preserve">             130,580</t>
  </si>
  <si>
    <t xml:space="preserve">            -102,087</t>
  </si>
  <si>
    <t xml:space="preserve">               2,271.1</t>
  </si>
  <si>
    <t xml:space="preserve">               7,853</t>
  </si>
  <si>
    <t xml:space="preserve">               5,069.1</t>
  </si>
  <si>
    <t xml:space="preserve">              46,928</t>
  </si>
  <si>
    <t xml:space="preserve">             -39,075</t>
  </si>
  <si>
    <t xml:space="preserve">              57,550.4</t>
  </si>
  <si>
    <t xml:space="preserve">             228,953</t>
  </si>
  <si>
    <t xml:space="preserve">              31,533.8</t>
  </si>
  <si>
    <t xml:space="preserve">             101,798</t>
  </si>
  <si>
    <t xml:space="preserve">             127,155</t>
  </si>
  <si>
    <t xml:space="preserve">               9,794.7</t>
  </si>
  <si>
    <t xml:space="preserve">              85,119</t>
  </si>
  <si>
    <t xml:space="preserve">             101,875.1</t>
  </si>
  <si>
    <t xml:space="preserve">             152,692</t>
  </si>
  <si>
    <t xml:space="preserve">             -67,574</t>
  </si>
  <si>
    <t xml:space="preserve">              38,934.7</t>
  </si>
  <si>
    <t xml:space="preserve">             167,042</t>
  </si>
  <si>
    <t xml:space="preserve">              37,439.5</t>
  </si>
  <si>
    <t xml:space="preserve">             264,325</t>
  </si>
  <si>
    <t xml:space="preserve">             -97,283</t>
  </si>
  <si>
    <t xml:space="preserve">              81,812.4</t>
  </si>
  <si>
    <t xml:space="preserve">              99,219</t>
  </si>
  <si>
    <t xml:space="preserve">              88,392.6</t>
  </si>
  <si>
    <t xml:space="preserve">             142,154</t>
  </si>
  <si>
    <t xml:space="preserve">             -42,934</t>
  </si>
  <si>
    <t xml:space="preserve">              26,928.6</t>
  </si>
  <si>
    <t xml:space="preserve">              30,661</t>
  </si>
  <si>
    <t xml:space="preserve">             511,707.3</t>
  </si>
  <si>
    <t xml:space="preserve">             177,479</t>
  </si>
  <si>
    <t xml:space="preserve">            -146,818</t>
  </si>
  <si>
    <t xml:space="preserve">               9,366.6</t>
  </si>
  <si>
    <t xml:space="preserve">              76,429</t>
  </si>
  <si>
    <t xml:space="preserve">               4,979.5</t>
  </si>
  <si>
    <t xml:space="preserve">              49,237</t>
  </si>
  <si>
    <t xml:space="preserve">              27,192</t>
  </si>
  <si>
    <t xml:space="preserve">             581,055.5</t>
  </si>
  <si>
    <t xml:space="preserve">              46,733</t>
  </si>
  <si>
    <t xml:space="preserve">             775,583.2</t>
  </si>
  <si>
    <t xml:space="preserve">              75,177</t>
  </si>
  <si>
    <t xml:space="preserve">             -28,444</t>
  </si>
  <si>
    <t xml:space="preserve">             185,248.7</t>
  </si>
  <si>
    <t xml:space="preserve">              46,145</t>
  </si>
  <si>
    <t xml:space="preserve">           5,974,797.2</t>
  </si>
  <si>
    <t xml:space="preserve">           1,745,268</t>
  </si>
  <si>
    <t xml:space="preserve">          -1,699,123</t>
  </si>
  <si>
    <t xml:space="preserve">           6,380,976.2</t>
  </si>
  <si>
    <t xml:space="preserve">           4,407,315</t>
  </si>
  <si>
    <t xml:space="preserve">          30,557,087.9</t>
  </si>
  <si>
    <t xml:space="preserve">          11,667,589</t>
  </si>
  <si>
    <t xml:space="preserve">          -7,260,274</t>
  </si>
  <si>
    <t xml:space="preserve">             473,648.7</t>
  </si>
  <si>
    <t xml:space="preserve">             783,831</t>
  </si>
  <si>
    <t xml:space="preserve">             399,872.8</t>
  </si>
  <si>
    <t xml:space="preserve">             916,311</t>
  </si>
  <si>
    <t xml:space="preserve">            -132,480</t>
  </si>
  <si>
    <t xml:space="preserve">           1,695,342.7</t>
  </si>
  <si>
    <t xml:space="preserve">           1,626,140</t>
  </si>
  <si>
    <t xml:space="preserve">             724,668.7</t>
  </si>
  <si>
    <t xml:space="preserve">           1,163,324</t>
  </si>
  <si>
    <t xml:space="preserve">             462,815</t>
  </si>
  <si>
    <t xml:space="preserve">               2,884.6</t>
  </si>
  <si>
    <t xml:space="preserve">             584,318</t>
  </si>
  <si>
    <t xml:space="preserve">               7,337.7</t>
  </si>
  <si>
    <t xml:space="preserve">             933,618</t>
  </si>
  <si>
    <t xml:space="preserve">            -349,300</t>
  </si>
  <si>
    <t xml:space="preserve">             102,541.1</t>
  </si>
  <si>
    <t xml:space="preserve">              38,686</t>
  </si>
  <si>
    <t xml:space="preserve">             151,941.8</t>
  </si>
  <si>
    <t xml:space="preserve">              65,381</t>
  </si>
  <si>
    <t xml:space="preserve">             -26,695</t>
  </si>
  <si>
    <t xml:space="preserve">              29,765.5</t>
  </si>
  <si>
    <t xml:space="preserve">             227,752</t>
  </si>
  <si>
    <t xml:space="preserve">              26,190.0</t>
  </si>
  <si>
    <t xml:space="preserve">             207,945</t>
  </si>
  <si>
    <t xml:space="preserve">              19,807</t>
  </si>
  <si>
    <t xml:space="preserve">              42,939.7</t>
  </si>
  <si>
    <t xml:space="preserve">             949,010</t>
  </si>
  <si>
    <t xml:space="preserve">               9,430.5</t>
  </si>
  <si>
    <t xml:space="preserve">             178,331</t>
  </si>
  <si>
    <t xml:space="preserve">             770,679</t>
  </si>
  <si>
    <t xml:space="preserve">              59,111.0</t>
  </si>
  <si>
    <t xml:space="preserve">             171,202</t>
  </si>
  <si>
    <t xml:space="preserve">             104,678</t>
  </si>
  <si>
    <t xml:space="preserve">              66,524</t>
  </si>
  <si>
    <t xml:space="preserve">               6,671.9</t>
  </si>
  <si>
    <t xml:space="preserve">              84,694</t>
  </si>
  <si>
    <t xml:space="preserve">              27,327.8</t>
  </si>
  <si>
    <t xml:space="preserve">             -18,799</t>
  </si>
  <si>
    <t xml:space="preserve">                 291.4</t>
  </si>
  <si>
    <t xml:space="preserve">               4,511</t>
  </si>
  <si>
    <t xml:space="preserve">                 496.1</t>
  </si>
  <si>
    <t xml:space="preserve">               6,957</t>
  </si>
  <si>
    <t xml:space="preserve">              -2,447</t>
  </si>
  <si>
    <t xml:space="preserve">               2,130.3</t>
  </si>
  <si>
    <t xml:space="preserve">              99,456</t>
  </si>
  <si>
    <t xml:space="preserve">               2,847.4</t>
  </si>
  <si>
    <t xml:space="preserve">              99,668</t>
  </si>
  <si>
    <t xml:space="preserve">                -212</t>
  </si>
  <si>
    <t xml:space="preserve">             128,005.4</t>
  </si>
  <si>
    <t xml:space="preserve">             651,006</t>
  </si>
  <si>
    <t xml:space="preserve">             185,565.8</t>
  </si>
  <si>
    <t xml:space="preserve">             841,837</t>
  </si>
  <si>
    <t xml:space="preserve">            -190,831</t>
  </si>
  <si>
    <t xml:space="preserve">           1,576,020.4</t>
  </si>
  <si>
    <t xml:space="preserve">           3,063,537</t>
  </si>
  <si>
    <t xml:space="preserve">             314,327.4</t>
  </si>
  <si>
    <t xml:space="preserve">           1,195,741</t>
  </si>
  <si>
    <t xml:space="preserve">           1,867,796</t>
  </si>
  <si>
    <t xml:space="preserve">             257,122.8</t>
  </si>
  <si>
    <t xml:space="preserve">             667,898</t>
  </si>
  <si>
    <t xml:space="preserve">              82,686.8</t>
  </si>
  <si>
    <t xml:space="preserve">             270,509</t>
  </si>
  <si>
    <t xml:space="preserve">             397,389</t>
  </si>
  <si>
    <t xml:space="preserve">               2,883.3</t>
  </si>
  <si>
    <t xml:space="preserve">              21,345</t>
  </si>
  <si>
    <t xml:space="preserve">               7,269.3</t>
  </si>
  <si>
    <t xml:space="preserve">              22,147</t>
  </si>
  <si>
    <t xml:space="preserve">                -803</t>
  </si>
  <si>
    <t xml:space="preserve">               1,156.5</t>
  </si>
  <si>
    <t xml:space="preserve">              43,808</t>
  </si>
  <si>
    <t xml:space="preserve">               9,609.9</t>
  </si>
  <si>
    <t xml:space="preserve">             319,505</t>
  </si>
  <si>
    <t xml:space="preserve">            -275,697</t>
  </si>
  <si>
    <t xml:space="preserve">                   7.9</t>
  </si>
  <si>
    <t xml:space="preserve">               1,247</t>
  </si>
  <si>
    <t xml:space="preserve">                  76.1</t>
  </si>
  <si>
    <t xml:space="preserve">              15,878</t>
  </si>
  <si>
    <t xml:space="preserve">             -14,631</t>
  </si>
  <si>
    <t xml:space="preserve">               4,103.8</t>
  </si>
  <si>
    <t xml:space="preserve">               7,140</t>
  </si>
  <si>
    <t xml:space="preserve">             756,785.8</t>
  </si>
  <si>
    <t xml:space="preserve">             234,216</t>
  </si>
  <si>
    <t xml:space="preserve">            -227,076</t>
  </si>
  <si>
    <t xml:space="preserve">                 137.1</t>
  </si>
  <si>
    <t xml:space="preserve">                 573</t>
  </si>
  <si>
    <t xml:space="preserve">                -507</t>
  </si>
  <si>
    <t xml:space="preserve">                   2.4</t>
  </si>
  <si>
    <t xml:space="preserve">                 125</t>
  </si>
  <si>
    <t xml:space="preserve">                 503.8</t>
  </si>
  <si>
    <t xml:space="preserve">               2,323</t>
  </si>
  <si>
    <t xml:space="preserve">              -2,198</t>
  </si>
  <si>
    <t xml:space="preserve">              37,785.8</t>
  </si>
  <si>
    <t xml:space="preserve">               8,480</t>
  </si>
  <si>
    <t xml:space="preserve">             250,386.9</t>
  </si>
  <si>
    <t xml:space="preserve">             129,270</t>
  </si>
  <si>
    <t xml:space="preserve">            -120,790</t>
  </si>
  <si>
    <t xml:space="preserve">             244,766.3</t>
  </si>
  <si>
    <t xml:space="preserve">             232,353</t>
  </si>
  <si>
    <t xml:space="preserve">             129,814.7</t>
  </si>
  <si>
    <t xml:space="preserve">             195,507</t>
  </si>
  <si>
    <t xml:space="preserve">              36,846</t>
  </si>
  <si>
    <t xml:space="preserve">               4,953.8</t>
  </si>
  <si>
    <t xml:space="preserve">              42,815</t>
  </si>
  <si>
    <t xml:space="preserve">               1,301.6</t>
  </si>
  <si>
    <t xml:space="preserve">              23,750</t>
  </si>
  <si>
    <t xml:space="preserve">               2,490</t>
  </si>
  <si>
    <t xml:space="preserve">                  30.3</t>
  </si>
  <si>
    <t xml:space="preserve">                 -32</t>
  </si>
  <si>
    <t xml:space="preserve">                 369.8</t>
  </si>
  <si>
    <t xml:space="preserve">               5,836</t>
  </si>
  <si>
    <t xml:space="preserve">                 823.7</t>
  </si>
  <si>
    <t xml:space="preserve">              22,329</t>
  </si>
  <si>
    <t xml:space="preserve">             -16,493</t>
  </si>
  <si>
    <t xml:space="preserve">               3,220.2</t>
  </si>
  <si>
    <t xml:space="preserve">              23,214</t>
  </si>
  <si>
    <t xml:space="preserve">              20,312.9</t>
  </si>
  <si>
    <t xml:space="preserve">              60,170</t>
  </si>
  <si>
    <t xml:space="preserve">             -36,957</t>
  </si>
  <si>
    <t xml:space="preserve">                 338</t>
  </si>
  <si>
    <t xml:space="preserve">               1,000.5</t>
  </si>
  <si>
    <t xml:space="preserve">               3,056</t>
  </si>
  <si>
    <t xml:space="preserve">              -2,719</t>
  </si>
  <si>
    <t xml:space="preserve">              22,817.6</t>
  </si>
  <si>
    <t xml:space="preserve">             147,159</t>
  </si>
  <si>
    <t xml:space="preserve">              39,266.8</t>
  </si>
  <si>
    <t xml:space="preserve">              82,552</t>
  </si>
  <si>
    <t xml:space="preserve">              64,606</t>
  </si>
  <si>
    <t xml:space="preserve">              51,018.1</t>
  </si>
  <si>
    <t xml:space="preserve">              92,716</t>
  </si>
  <si>
    <t xml:space="preserve">              12,533.6</t>
  </si>
  <si>
    <t xml:space="preserve">              46,264</t>
  </si>
  <si>
    <t xml:space="preserve">              46,452</t>
  </si>
  <si>
    <t xml:space="preserve">              10,954.6</t>
  </si>
  <si>
    <t xml:space="preserve">              69,122</t>
  </si>
  <si>
    <t xml:space="preserve">              20,868.1</t>
  </si>
  <si>
    <t xml:space="preserve">               7,389</t>
  </si>
  <si>
    <t xml:space="preserve">                 680.7</t>
  </si>
  <si>
    <t xml:space="preserve">               5,734</t>
  </si>
  <si>
    <t xml:space="preserve">               5,003.1</t>
  </si>
  <si>
    <t xml:space="preserve">              10,440</t>
  </si>
  <si>
    <t xml:space="preserve">              -4,706</t>
  </si>
  <si>
    <t xml:space="preserve">               1,153.8</t>
  </si>
  <si>
    <t xml:space="preserve">              13,882</t>
  </si>
  <si>
    <t xml:space="preserve">                 893.5</t>
  </si>
  <si>
    <t xml:space="preserve">               6,979</t>
  </si>
  <si>
    <t xml:space="preserve">               6,903</t>
  </si>
  <si>
    <t xml:space="preserve">               9,412.7</t>
  </si>
  <si>
    <t xml:space="preserve">             103,472</t>
  </si>
  <si>
    <t xml:space="preserve">               6,584.7</t>
  </si>
  <si>
    <t xml:space="preserve">              38,347</t>
  </si>
  <si>
    <t xml:space="preserve">              65,125</t>
  </si>
  <si>
    <t xml:space="preserve">              16,662.3</t>
  </si>
  <si>
    <t xml:space="preserve">             124,239</t>
  </si>
  <si>
    <t xml:space="preserve">               1,958.3</t>
  </si>
  <si>
    <t xml:space="preserve">               9,924</t>
  </si>
  <si>
    <t xml:space="preserve">             114,315</t>
  </si>
  <si>
    <t xml:space="preserve">               2,480.9</t>
  </si>
  <si>
    <t xml:space="preserve">              77,746</t>
  </si>
  <si>
    <t xml:space="preserve">              19,430.8</t>
  </si>
  <si>
    <t xml:space="preserve">             409,205</t>
  </si>
  <si>
    <t xml:space="preserve">            -331,459</t>
  </si>
  <si>
    <t xml:space="preserve">               2,534.1</t>
  </si>
  <si>
    <t xml:space="preserve">              65,402</t>
  </si>
  <si>
    <t xml:space="preserve">              18,695.8</t>
  </si>
  <si>
    <t xml:space="preserve">             588,070</t>
  </si>
  <si>
    <t xml:space="preserve">            -522,668</t>
  </si>
  <si>
    <t xml:space="preserve">              31,781.6</t>
  </si>
  <si>
    <t xml:space="preserve">              57,568</t>
  </si>
  <si>
    <t xml:space="preserve">              28,356.5</t>
  </si>
  <si>
    <t xml:space="preserve">             125,530</t>
  </si>
  <si>
    <t xml:space="preserve">             -67,962</t>
  </si>
  <si>
    <t xml:space="preserve">               1,302.9</t>
  </si>
  <si>
    <t xml:space="preserve">              29,703</t>
  </si>
  <si>
    <t xml:space="preserve">              10,960.8</t>
  </si>
  <si>
    <t xml:space="preserve">             317,861</t>
  </si>
  <si>
    <t xml:space="preserve">            -288,158</t>
  </si>
  <si>
    <t xml:space="preserve">                 249.3</t>
  </si>
  <si>
    <t xml:space="preserve">              10,452</t>
  </si>
  <si>
    <t xml:space="preserve">                 954.3</t>
  </si>
  <si>
    <t xml:space="preserve">              27,099</t>
  </si>
  <si>
    <t xml:space="preserve">             -16,647</t>
  </si>
  <si>
    <t xml:space="preserve">                 358</t>
  </si>
  <si>
    <t xml:space="preserve">               2,507.7</t>
  </si>
  <si>
    <t xml:space="preserve">              17,205</t>
  </si>
  <si>
    <t xml:space="preserve">             -16,847</t>
  </si>
  <si>
    <t xml:space="preserve">                  14.4</t>
  </si>
  <si>
    <t xml:space="preserve">               1,670</t>
  </si>
  <si>
    <t xml:space="preserve">                 428.4</t>
  </si>
  <si>
    <t xml:space="preserve">               7,572</t>
  </si>
  <si>
    <t xml:space="preserve">              -5,902</t>
  </si>
  <si>
    <t xml:space="preserve">              10,284.1</t>
  </si>
  <si>
    <t xml:space="preserve">              76,083</t>
  </si>
  <si>
    <t xml:space="preserve">             187,095.0</t>
  </si>
  <si>
    <t xml:space="preserve">             110,462</t>
  </si>
  <si>
    <t xml:space="preserve">             -34,379</t>
  </si>
  <si>
    <t xml:space="preserve">               3,277.3</t>
  </si>
  <si>
    <t xml:space="preserve">              33,421</t>
  </si>
  <si>
    <t xml:space="preserve">             135,160.6</t>
  </si>
  <si>
    <t xml:space="preserve">             139,047</t>
  </si>
  <si>
    <t xml:space="preserve">            -105,627</t>
  </si>
  <si>
    <t xml:space="preserve">              30,683.6</t>
  </si>
  <si>
    <t xml:space="preserve">             176,588</t>
  </si>
  <si>
    <t xml:space="preserve">              91,645.8</t>
  </si>
  <si>
    <t xml:space="preserve">             240,563</t>
  </si>
  <si>
    <t xml:space="preserve">             -63,976</t>
  </si>
  <si>
    <t xml:space="preserve">                 926.7</t>
  </si>
  <si>
    <t xml:space="preserve">             649,964</t>
  </si>
  <si>
    <t xml:space="preserve">               1,465.3</t>
  </si>
  <si>
    <t xml:space="preserve">             696,269</t>
  </si>
  <si>
    <t xml:space="preserve">             -46,306</t>
  </si>
  <si>
    <t xml:space="preserve">           2,341,344.6</t>
  </si>
  <si>
    <t xml:space="preserve">           2,076,452</t>
  </si>
  <si>
    <t xml:space="preserve">           1,564,144.1</t>
  </si>
  <si>
    <t xml:space="preserve">           1,132,563</t>
  </si>
  <si>
    <t xml:space="preserve">             943,890</t>
  </si>
  <si>
    <t xml:space="preserve">             264,213.0</t>
  </si>
  <si>
    <t xml:space="preserve">             771,359</t>
  </si>
  <si>
    <t xml:space="preserve">             232,326.7</t>
  </si>
  <si>
    <t xml:space="preserve">             651,279</t>
  </si>
  <si>
    <t xml:space="preserve">             120,080</t>
  </si>
  <si>
    <t xml:space="preserve">              64,526.0</t>
  </si>
  <si>
    <t xml:space="preserve">             656,623</t>
  </si>
  <si>
    <t xml:space="preserve">              79,162.8</t>
  </si>
  <si>
    <t xml:space="preserve">             806,953</t>
  </si>
  <si>
    <t xml:space="preserve">            -150,330</t>
  </si>
  <si>
    <t xml:space="preserve">               1,185.6</t>
  </si>
  <si>
    <t xml:space="preserve">              20,973</t>
  </si>
  <si>
    <t xml:space="preserve">               6,010.0</t>
  </si>
  <si>
    <t xml:space="preserve">             133,997</t>
  </si>
  <si>
    <t xml:space="preserve">            -113,024</t>
  </si>
  <si>
    <t xml:space="preserve">             115,330.6</t>
  </si>
  <si>
    <t xml:space="preserve">             473,777</t>
  </si>
  <si>
    <t xml:space="preserve">             254,077.6</t>
  </si>
  <si>
    <t xml:space="preserve">             771,743</t>
  </si>
  <si>
    <t xml:space="preserve">            -297,966</t>
  </si>
  <si>
    <t xml:space="preserve">              28,091.7</t>
  </si>
  <si>
    <t xml:space="preserve">              63,075</t>
  </si>
  <si>
    <t xml:space="preserve">              14,701.9</t>
  </si>
  <si>
    <t xml:space="preserve">              33,076</t>
  </si>
  <si>
    <t xml:space="preserve">              29,999</t>
  </si>
  <si>
    <t xml:space="preserve">              47,053.2</t>
  </si>
  <si>
    <t xml:space="preserve">             136,441</t>
  </si>
  <si>
    <t xml:space="preserve">               2,344.0</t>
  </si>
  <si>
    <t xml:space="preserve">               8,201</t>
  </si>
  <si>
    <t xml:space="preserve">             128,240</t>
  </si>
  <si>
    <t xml:space="preserve">                 188.7</t>
  </si>
  <si>
    <t xml:space="preserve">               9,374</t>
  </si>
  <si>
    <t xml:space="preserve">               1,408.3</t>
  </si>
  <si>
    <t xml:space="preserve">              51,710</t>
  </si>
  <si>
    <t xml:space="preserve">             -42,337</t>
  </si>
  <si>
    <t xml:space="preserve">               2,515.0</t>
  </si>
  <si>
    <t xml:space="preserve">              42,910</t>
  </si>
  <si>
    <t xml:space="preserve">              18,681.1</t>
  </si>
  <si>
    <t xml:space="preserve">             144,520</t>
  </si>
  <si>
    <t xml:space="preserve">            -101,610</t>
  </si>
  <si>
    <t xml:space="preserve">               9,494.3</t>
  </si>
  <si>
    <t xml:space="preserve">             195,870</t>
  </si>
  <si>
    <t xml:space="preserve">               4,652.6</t>
  </si>
  <si>
    <t xml:space="preserve">              85,208</t>
  </si>
  <si>
    <t xml:space="preserve">             110,662</t>
  </si>
  <si>
    <t xml:space="preserve">              26,226.9</t>
  </si>
  <si>
    <t xml:space="preserve">             156,457</t>
  </si>
  <si>
    <t xml:space="preserve">              10,789.1</t>
  </si>
  <si>
    <t xml:space="preserve">              82,305</t>
  </si>
  <si>
    <t xml:space="preserve">              74,152</t>
  </si>
  <si>
    <t xml:space="preserve">             396,924.2</t>
  </si>
  <si>
    <t xml:space="preserve">           7,485,072</t>
  </si>
  <si>
    <t xml:space="preserve">             240,703.4</t>
  </si>
  <si>
    <t xml:space="preserve">           6,156,235</t>
  </si>
  <si>
    <t xml:space="preserve">           1,328,837</t>
  </si>
  <si>
    <t xml:space="preserve">             241,668.0</t>
  </si>
  <si>
    <t xml:space="preserve">          19,989,877</t>
  </si>
  <si>
    <t xml:space="preserve">             209,539.3</t>
  </si>
  <si>
    <t xml:space="preserve">          11,337,591</t>
  </si>
  <si>
    <t xml:space="preserve">           8,652,286</t>
  </si>
  <si>
    <t xml:space="preserve">              11,388.0</t>
  </si>
  <si>
    <t xml:space="preserve">              21,632</t>
  </si>
  <si>
    <t xml:space="preserve">              10,962.6</t>
  </si>
  <si>
    <t xml:space="preserve">              53,706</t>
  </si>
  <si>
    <t xml:space="preserve">             -32,075</t>
  </si>
  <si>
    <t xml:space="preserve">             758,026.6</t>
  </si>
  <si>
    <t xml:space="preserve">           7,697,863</t>
  </si>
  <si>
    <t xml:space="preserve">             117,317.7</t>
  </si>
  <si>
    <t xml:space="preserve">           1,923,188</t>
  </si>
  <si>
    <t xml:space="preserve">           5,774,675</t>
  </si>
  <si>
    <t xml:space="preserve">                 582.6</t>
  </si>
  <si>
    <t xml:space="preserve">             205,007</t>
  </si>
  <si>
    <t xml:space="preserve">                 417.6</t>
  </si>
  <si>
    <t xml:space="preserve">             406,930</t>
  </si>
  <si>
    <t xml:space="preserve">            -201,923</t>
  </si>
  <si>
    <t xml:space="preserve">             813,917.7</t>
  </si>
  <si>
    <t xml:space="preserve">           2,062,824</t>
  </si>
  <si>
    <t xml:space="preserve">             356,512.4</t>
  </si>
  <si>
    <t xml:space="preserve">             323,186</t>
  </si>
  <si>
    <t xml:space="preserve">           1,739,638</t>
  </si>
  <si>
    <t xml:space="preserve">              16,675.0</t>
  </si>
  <si>
    <t xml:space="preserve">           1,466,284</t>
  </si>
  <si>
    <t xml:space="preserve">              16,231.8</t>
  </si>
  <si>
    <t xml:space="preserve">           2,101,728</t>
  </si>
  <si>
    <t xml:space="preserve">            -635,444</t>
  </si>
  <si>
    <t xml:space="preserve">                  22.2</t>
  </si>
  <si>
    <t xml:space="preserve">              20,399</t>
  </si>
  <si>
    <t xml:space="preserve">                 267.4</t>
  </si>
  <si>
    <t xml:space="preserve">             109,858</t>
  </si>
  <si>
    <t xml:space="preserve">             -89,459</t>
  </si>
  <si>
    <t xml:space="preserve">                 436.2</t>
  </si>
  <si>
    <t xml:space="preserve">              10,207</t>
  </si>
  <si>
    <t xml:space="preserve">                 611.4</t>
  </si>
  <si>
    <t xml:space="preserve">              15,727</t>
  </si>
  <si>
    <t xml:space="preserve">              -5,519</t>
  </si>
  <si>
    <t xml:space="preserve">               2,093.6</t>
  </si>
  <si>
    <t xml:space="preserve">             226,702</t>
  </si>
  <si>
    <t xml:space="preserve">                  79.7</t>
  </si>
  <si>
    <t xml:space="preserve">              19,659</t>
  </si>
  <si>
    <t xml:space="preserve">             207,043</t>
  </si>
  <si>
    <t xml:space="preserve">              16,551.5</t>
  </si>
  <si>
    <t xml:space="preserve">             122,496</t>
  </si>
  <si>
    <t xml:space="preserve">              76,371.6</t>
  </si>
  <si>
    <t xml:space="preserve">             336,882</t>
  </si>
  <si>
    <t xml:space="preserve">            -214,386</t>
  </si>
  <si>
    <t xml:space="preserve">               2,357.1</t>
  </si>
  <si>
    <t xml:space="preserve">              56,166</t>
  </si>
  <si>
    <t xml:space="preserve">              16,803.0</t>
  </si>
  <si>
    <t xml:space="preserve">             224,436</t>
  </si>
  <si>
    <t xml:space="preserve">            -168,270</t>
  </si>
  <si>
    <t xml:space="preserve">               2,627.6</t>
  </si>
  <si>
    <t xml:space="preserve">              42,220</t>
  </si>
  <si>
    <t xml:space="preserve">              11,317.8</t>
  </si>
  <si>
    <t xml:space="preserve">              92,588</t>
  </si>
  <si>
    <t xml:space="preserve">             -50,368</t>
  </si>
  <si>
    <t xml:space="preserve">              36,161</t>
  </si>
  <si>
    <t xml:space="preserve">                  28.5</t>
  </si>
  <si>
    <t xml:space="preserve">              22,456</t>
  </si>
  <si>
    <t xml:space="preserve">              13,705</t>
  </si>
  <si>
    <t xml:space="preserve">                 774</t>
  </si>
  <si>
    <t xml:space="preserve">              -5,180</t>
  </si>
  <si>
    <t xml:space="preserve">               4,313.9</t>
  </si>
  <si>
    <t xml:space="preserve">               5,772</t>
  </si>
  <si>
    <t xml:space="preserve">             111,368.4</t>
  </si>
  <si>
    <t xml:space="preserve">             625,686</t>
  </si>
  <si>
    <t xml:space="preserve">            -619,913</t>
  </si>
  <si>
    <t xml:space="preserve">              46,029.4</t>
  </si>
  <si>
    <t xml:space="preserve">             133,294</t>
  </si>
  <si>
    <t xml:space="preserve">              91,555.5</t>
  </si>
  <si>
    <t xml:space="preserve">             375,269</t>
  </si>
  <si>
    <t xml:space="preserve">            -241,975</t>
  </si>
  <si>
    <t xml:space="preserve">               1,992.7</t>
  </si>
  <si>
    <t xml:space="preserve">               5,207</t>
  </si>
  <si>
    <t xml:space="preserve">              36,365.6</t>
  </si>
  <si>
    <t xml:space="preserve">             153,760</t>
  </si>
  <si>
    <t xml:space="preserve">            -148,553</t>
  </si>
  <si>
    <t xml:space="preserve">               3,008.1</t>
  </si>
  <si>
    <t xml:space="preserve">               7,325</t>
  </si>
  <si>
    <t xml:space="preserve">               3,618.8</t>
  </si>
  <si>
    <t xml:space="preserve">              17,734</t>
  </si>
  <si>
    <t xml:space="preserve">             -10,409</t>
  </si>
  <si>
    <t xml:space="preserve">                 367</t>
  </si>
  <si>
    <t xml:space="preserve">               6,686.6</t>
  </si>
  <si>
    <t xml:space="preserve">             -10,028</t>
  </si>
  <si>
    <t xml:space="preserve">               2,826.3</t>
  </si>
  <si>
    <t xml:space="preserve">               8,093</t>
  </si>
  <si>
    <t xml:space="preserve">              82,428.5</t>
  </si>
  <si>
    <t xml:space="preserve">              59,768</t>
  </si>
  <si>
    <t xml:space="preserve">             -51,675</t>
  </si>
  <si>
    <t xml:space="preserve">               3,171.5</t>
  </si>
  <si>
    <t xml:space="preserve">              16,433</t>
  </si>
  <si>
    <t xml:space="preserve">              63,084.7</t>
  </si>
  <si>
    <t xml:space="preserve">             133,391</t>
  </si>
  <si>
    <t xml:space="preserve">            -116,958</t>
  </si>
  <si>
    <t xml:space="preserve">                 322.6</t>
  </si>
  <si>
    <t xml:space="preserve">               2,742</t>
  </si>
  <si>
    <t xml:space="preserve">              18,967.5</t>
  </si>
  <si>
    <t xml:space="preserve">             155,534</t>
  </si>
  <si>
    <t xml:space="preserve">            -152,793</t>
  </si>
  <si>
    <t xml:space="preserve">              25,333.8</t>
  </si>
  <si>
    <t xml:space="preserve">              11,882</t>
  </si>
  <si>
    <t xml:space="preserve">           1,278,177.2</t>
  </si>
  <si>
    <t xml:space="preserve">             346,291</t>
  </si>
  <si>
    <t xml:space="preserve">            -334,408</t>
  </si>
  <si>
    <t xml:space="preserve">               5,503.2</t>
  </si>
  <si>
    <t xml:space="preserve">               3,356</t>
  </si>
  <si>
    <t xml:space="preserve">              31,288.2</t>
  </si>
  <si>
    <t xml:space="preserve">              26,843</t>
  </si>
  <si>
    <t xml:space="preserve">             -23,487</t>
  </si>
  <si>
    <t xml:space="preserve">               1,885.0</t>
  </si>
  <si>
    <t xml:space="preserve">              53,404</t>
  </si>
  <si>
    <t xml:space="preserve">             210,100.0</t>
  </si>
  <si>
    <t xml:space="preserve">             130,130</t>
  </si>
  <si>
    <t xml:space="preserve">             -76,726</t>
  </si>
  <si>
    <t xml:space="preserve">                 299.7</t>
  </si>
  <si>
    <t xml:space="preserve">               6,351</t>
  </si>
  <si>
    <t xml:space="preserve">               8,722.7</t>
  </si>
  <si>
    <t xml:space="preserve">              28,690</t>
  </si>
  <si>
    <t xml:space="preserve">             -22,339</t>
  </si>
  <si>
    <t xml:space="preserve">                  36</t>
  </si>
  <si>
    <t xml:space="preserve">              15,405.1</t>
  </si>
  <si>
    <t xml:space="preserve">              -5,544</t>
  </si>
  <si>
    <t xml:space="preserve">              26,801.8</t>
  </si>
  <si>
    <t xml:space="preserve">              30,037</t>
  </si>
  <si>
    <t xml:space="preserve">             165,310.9</t>
  </si>
  <si>
    <t xml:space="preserve">             234,391</t>
  </si>
  <si>
    <t xml:space="preserve">            -204,354</t>
  </si>
  <si>
    <t xml:space="preserve">               4,184.2</t>
  </si>
  <si>
    <t xml:space="preserve">              23,685</t>
  </si>
  <si>
    <t xml:space="preserve">              16,340.1</t>
  </si>
  <si>
    <t xml:space="preserve">              91,097</t>
  </si>
  <si>
    <t xml:space="preserve">             -67,412</t>
  </si>
  <si>
    <t xml:space="preserve">              24,925.5</t>
  </si>
  <si>
    <t xml:space="preserve">              24,279</t>
  </si>
  <si>
    <t xml:space="preserve">             203,124.3</t>
  </si>
  <si>
    <t xml:space="preserve">             123,300</t>
  </si>
  <si>
    <t xml:space="preserve">             -99,021</t>
  </si>
  <si>
    <t xml:space="preserve">               1,685.7</t>
  </si>
  <si>
    <t xml:space="preserve">               6,490</t>
  </si>
  <si>
    <t xml:space="preserve">               4,782.7</t>
  </si>
  <si>
    <t xml:space="preserve">              48,844</t>
  </si>
  <si>
    <t xml:space="preserve">             -42,354</t>
  </si>
  <si>
    <t xml:space="preserve">              51,076.7</t>
  </si>
  <si>
    <t xml:space="preserve">             204,309</t>
  </si>
  <si>
    <t xml:space="preserve">              27,551.7</t>
  </si>
  <si>
    <t xml:space="preserve">              93,468</t>
  </si>
  <si>
    <t xml:space="preserve">             110,841</t>
  </si>
  <si>
    <t xml:space="preserve">               8,679.7</t>
  </si>
  <si>
    <t xml:space="preserve">              75,874</t>
  </si>
  <si>
    <t xml:space="preserve">              91,311.4</t>
  </si>
  <si>
    <t xml:space="preserve">             133,000</t>
  </si>
  <si>
    <t xml:space="preserve">             -57,125</t>
  </si>
  <si>
    <t xml:space="preserve">              34,811.7</t>
  </si>
  <si>
    <t xml:space="preserve">             144,782</t>
  </si>
  <si>
    <t xml:space="preserve">              32,588.2</t>
  </si>
  <si>
    <t xml:space="preserve">             246,682</t>
  </si>
  <si>
    <t xml:space="preserve">            -101,900</t>
  </si>
  <si>
    <t xml:space="preserve">              70,697.1</t>
  </si>
  <si>
    <t xml:space="preserve">              87,413</t>
  </si>
  <si>
    <t xml:space="preserve">              87,897.8</t>
  </si>
  <si>
    <t xml:space="preserve">             122,246</t>
  </si>
  <si>
    <t xml:space="preserve">             -34,833</t>
  </si>
  <si>
    <t xml:space="preserve">              29,944.1</t>
  </si>
  <si>
    <t xml:space="preserve">              27,593</t>
  </si>
  <si>
    <t xml:space="preserve">             618,339.5</t>
  </si>
  <si>
    <t xml:space="preserve">             195,749</t>
  </si>
  <si>
    <t xml:space="preserve">            -168,156</t>
  </si>
  <si>
    <t xml:space="preserve">               8,451.9</t>
  </si>
  <si>
    <t xml:space="preserve">              94,228</t>
  </si>
  <si>
    <t xml:space="preserve">               3,919.7</t>
  </si>
  <si>
    <t xml:space="preserve">              39,858</t>
  </si>
  <si>
    <t xml:space="preserve">              54,370</t>
  </si>
  <si>
    <t xml:space="preserve">             705,519.2</t>
  </si>
  <si>
    <t xml:space="preserve">              47,632</t>
  </si>
  <si>
    <t xml:space="preserve">             720,224.9</t>
  </si>
  <si>
    <t xml:space="preserve">              79,321</t>
  </si>
  <si>
    <t xml:space="preserve">             -31,689</t>
  </si>
  <si>
    <t xml:space="preserve">             195,421.7</t>
  </si>
  <si>
    <t xml:space="preserve">              55,932</t>
  </si>
  <si>
    <t xml:space="preserve">           5,952,597.0</t>
  </si>
  <si>
    <t xml:space="preserve">           1,592,594</t>
  </si>
  <si>
    <t xml:space="preserve">          -1,536,662</t>
  </si>
  <si>
    <t xml:space="preserve">           6,285,609.6</t>
  </si>
  <si>
    <t xml:space="preserve">           4,260,591</t>
  </si>
  <si>
    <t xml:space="preserve">          32,739,691.0</t>
  </si>
  <si>
    <t xml:space="preserve">          12,791,214</t>
  </si>
  <si>
    <t xml:space="preserve">          -8,530,623</t>
  </si>
  <si>
    <t xml:space="preserve">             477,450.6</t>
  </si>
  <si>
    <t xml:space="preserve">             679,887</t>
  </si>
  <si>
    <t xml:space="preserve">             347,770.2</t>
  </si>
  <si>
    <t xml:space="preserve">             764,003</t>
  </si>
  <si>
    <t xml:space="preserve">             -84,115</t>
  </si>
  <si>
    <t xml:space="preserve">           1,628,531.7</t>
  </si>
  <si>
    <t xml:space="preserve">           1,554,893</t>
  </si>
  <si>
    <t xml:space="preserve">             733,979.1</t>
  </si>
  <si>
    <t xml:space="preserve">           1,040,155</t>
  </si>
  <si>
    <t xml:space="preserve">             514,738</t>
  </si>
  <si>
    <t xml:space="preserve">               2,319.0</t>
  </si>
  <si>
    <t xml:space="preserve">             649,797</t>
  </si>
  <si>
    <t xml:space="preserve">               6,458.0</t>
  </si>
  <si>
    <t xml:space="preserve">             822,447</t>
  </si>
  <si>
    <t xml:space="preserve">            -172,649</t>
  </si>
  <si>
    <t xml:space="preserve">             131,489.8</t>
  </si>
  <si>
    <t xml:space="preserve">              50,044</t>
  </si>
  <si>
    <t xml:space="preserve">             129,362.3</t>
  </si>
  <si>
    <t xml:space="preserve">              63,447</t>
  </si>
  <si>
    <t xml:space="preserve">             -13,402</t>
  </si>
  <si>
    <t xml:space="preserve">              25,562.8</t>
  </si>
  <si>
    <t xml:space="preserve">             215,634</t>
  </si>
  <si>
    <t xml:space="preserve">              23,251.2</t>
  </si>
  <si>
    <t xml:space="preserve">             167,050</t>
  </si>
  <si>
    <t xml:space="preserve">              48,584</t>
  </si>
  <si>
    <t xml:space="preserve">              37,827.9</t>
  </si>
  <si>
    <t xml:space="preserve">             833,141</t>
  </si>
  <si>
    <t xml:space="preserve">               9,070.4</t>
  </si>
  <si>
    <t xml:space="preserve">             178,189</t>
  </si>
  <si>
    <t xml:space="preserve">             654,952</t>
  </si>
  <si>
    <t xml:space="preserve">              52,856.1</t>
  </si>
  <si>
    <t xml:space="preserve">             149,230</t>
  </si>
  <si>
    <t xml:space="preserve">              23,767.4</t>
  </si>
  <si>
    <t xml:space="preserve">              91,341</t>
  </si>
  <si>
    <t xml:space="preserve">              57,890</t>
  </si>
  <si>
    <t xml:space="preserve">               6,026.8</t>
  </si>
  <si>
    <t xml:space="preserve">              78,499</t>
  </si>
  <si>
    <t xml:space="preserve">              21,782.7</t>
  </si>
  <si>
    <t xml:space="preserve">              90,950</t>
  </si>
  <si>
    <t xml:space="preserve">             -12,450</t>
  </si>
  <si>
    <t xml:space="preserve">                  91.1</t>
  </si>
  <si>
    <t xml:space="preserve">               1,323</t>
  </si>
  <si>
    <t xml:space="preserve">                 191.6</t>
  </si>
  <si>
    <t xml:space="preserve">               6,446</t>
  </si>
  <si>
    <t xml:space="preserve">              -5,124</t>
  </si>
  <si>
    <t xml:space="preserve">               1,750.5</t>
  </si>
  <si>
    <t xml:space="preserve">              94,362</t>
  </si>
  <si>
    <t xml:space="preserve">               2,765.1</t>
  </si>
  <si>
    <t xml:space="preserve">              96,477</t>
  </si>
  <si>
    <t xml:space="preserve">              -2,115</t>
  </si>
  <si>
    <t xml:space="preserve">             111,498.3</t>
  </si>
  <si>
    <t xml:space="preserve">             691,406</t>
  </si>
  <si>
    <t xml:space="preserve">             189,433.0</t>
  </si>
  <si>
    <t xml:space="preserve">             783,538</t>
  </si>
  <si>
    <t xml:space="preserve">             -92,132</t>
  </si>
  <si>
    <t xml:space="preserve">           1,388,924.9</t>
  </si>
  <si>
    <t xml:space="preserve">           2,708,020</t>
  </si>
  <si>
    <t xml:space="preserve">             264,867.8</t>
  </si>
  <si>
    <t xml:space="preserve">           1,058,085</t>
  </si>
  <si>
    <t xml:space="preserve">           1,649,935</t>
  </si>
  <si>
    <t xml:space="preserve">             231,153.2</t>
  </si>
  <si>
    <t xml:space="preserve">             546,986</t>
  </si>
  <si>
    <t xml:space="preserve">              72,552.4</t>
  </si>
  <si>
    <t xml:space="preserve">             243,886</t>
  </si>
  <si>
    <t xml:space="preserve">             303,099</t>
  </si>
  <si>
    <t xml:space="preserve">               2,340.0</t>
  </si>
  <si>
    <t xml:space="preserve">              17,443</t>
  </si>
  <si>
    <t xml:space="preserve">               7,582.6</t>
  </si>
  <si>
    <t xml:space="preserve">              21,015</t>
  </si>
  <si>
    <t xml:space="preserve">              -3,573</t>
  </si>
  <si>
    <t xml:space="preserve">                 866.3</t>
  </si>
  <si>
    <t xml:space="preserve">              39,428</t>
  </si>
  <si>
    <t xml:space="preserve">               8,860.1</t>
  </si>
  <si>
    <t xml:space="preserve">             276,825</t>
  </si>
  <si>
    <t xml:space="preserve">            -237,397</t>
  </si>
  <si>
    <t xml:space="preserve">                 700</t>
  </si>
  <si>
    <t xml:space="preserve">                  81.1</t>
  </si>
  <si>
    <t xml:space="preserve">              13,856</t>
  </si>
  <si>
    <t xml:space="preserve">             -13,156</t>
  </si>
  <si>
    <t xml:space="preserve">               4,594.7</t>
  </si>
  <si>
    <t xml:space="preserve">               6,856</t>
  </si>
  <si>
    <t xml:space="preserve">             746,893.7</t>
  </si>
  <si>
    <t xml:space="preserve">             222,713</t>
  </si>
  <si>
    <t xml:space="preserve">            -215,857</t>
  </si>
  <si>
    <t xml:space="preserve">                  15</t>
  </si>
  <si>
    <t xml:space="preserve">                 110.8</t>
  </si>
  <si>
    <t xml:space="preserve">                 496</t>
  </si>
  <si>
    <t xml:space="preserve">                   6.3</t>
  </si>
  <si>
    <t xml:space="preserve">                 182</t>
  </si>
  <si>
    <t xml:space="preserve">                 348.2</t>
  </si>
  <si>
    <t xml:space="preserve">               1,503</t>
  </si>
  <si>
    <t xml:space="preserve">              -1,321</t>
  </si>
  <si>
    <t xml:space="preserve">              44,518.2</t>
  </si>
  <si>
    <t xml:space="preserve">               9,228</t>
  </si>
  <si>
    <t xml:space="preserve">             199,315.5</t>
  </si>
  <si>
    <t xml:space="preserve">             102,620</t>
  </si>
  <si>
    <t xml:space="preserve">             -93,393</t>
  </si>
  <si>
    <t xml:space="preserve">             218,893.0</t>
  </si>
  <si>
    <t xml:space="preserve">             195,760</t>
  </si>
  <si>
    <t xml:space="preserve">             118,629.6</t>
  </si>
  <si>
    <t xml:space="preserve">             178,455</t>
  </si>
  <si>
    <t xml:space="preserve">              17,305</t>
  </si>
  <si>
    <t xml:space="preserve">               2,813.1</t>
  </si>
  <si>
    <t xml:space="preserve">              19,754</t>
  </si>
  <si>
    <t xml:space="preserve">              24,951</t>
  </si>
  <si>
    <t xml:space="preserve">              -5,197</t>
  </si>
  <si>
    <t xml:space="preserve">                 852</t>
  </si>
  <si>
    <t xml:space="preserve">                  34.8</t>
  </si>
  <si>
    <t xml:space="preserve">               2,562</t>
  </si>
  <si>
    <t xml:space="preserve">              -1,710</t>
  </si>
  <si>
    <t xml:space="preserve">                 226.1</t>
  </si>
  <si>
    <t xml:space="preserve">               2,539</t>
  </si>
  <si>
    <t xml:space="preserve">                 715.5</t>
  </si>
  <si>
    <t xml:space="preserve">              14,006</t>
  </si>
  <si>
    <t xml:space="preserve">             -11,467</t>
  </si>
  <si>
    <t xml:space="preserve">               2,670.4</t>
  </si>
  <si>
    <t xml:space="preserve">              17,992</t>
  </si>
  <si>
    <t xml:space="preserve">              17,448.8</t>
  </si>
  <si>
    <t xml:space="preserve">              52,045</t>
  </si>
  <si>
    <t xml:space="preserve">             -34,053</t>
  </si>
  <si>
    <t xml:space="preserve">                 161</t>
  </si>
  <si>
    <t xml:space="preserve">                 607.4</t>
  </si>
  <si>
    <t xml:space="preserve">               2,537</t>
  </si>
  <si>
    <t xml:space="preserve">              -2,376</t>
  </si>
  <si>
    <t xml:space="preserve">              19,024.7</t>
  </si>
  <si>
    <t xml:space="preserve">             116,184</t>
  </si>
  <si>
    <t xml:space="preserve">              33,933.6</t>
  </si>
  <si>
    <t xml:space="preserve">              71,820</t>
  </si>
  <si>
    <t xml:space="preserve">              44,364</t>
  </si>
  <si>
    <t xml:space="preserve">              46,798.5</t>
  </si>
  <si>
    <t xml:space="preserve">              83,388</t>
  </si>
  <si>
    <t xml:space="preserve">              10,993.0</t>
  </si>
  <si>
    <t xml:space="preserve">              38,864</t>
  </si>
  <si>
    <t xml:space="preserve">               9,201.0</t>
  </si>
  <si>
    <t xml:space="preserve">              57,858</t>
  </si>
  <si>
    <t xml:space="preserve">              19,116.5</t>
  </si>
  <si>
    <t xml:space="preserve">              55,726</t>
  </si>
  <si>
    <t xml:space="preserve">               2,132</t>
  </si>
  <si>
    <t xml:space="preserve">                 586.3</t>
  </si>
  <si>
    <t xml:space="preserve">               5,723</t>
  </si>
  <si>
    <t xml:space="preserve">               4,958.2</t>
  </si>
  <si>
    <t xml:space="preserve">               9,845</t>
  </si>
  <si>
    <t xml:space="preserve">              -4,122</t>
  </si>
  <si>
    <t xml:space="preserve">              14,034</t>
  </si>
  <si>
    <t xml:space="preserve">                 814.9</t>
  </si>
  <si>
    <t xml:space="preserve">               5,740</t>
  </si>
  <si>
    <t xml:space="preserve">               8,294</t>
  </si>
  <si>
    <t xml:space="preserve">               8,286.9</t>
  </si>
  <si>
    <t xml:space="preserve">              89,693</t>
  </si>
  <si>
    <t xml:space="preserve">               5,319.6</t>
  </si>
  <si>
    <t xml:space="preserve">              33,331</t>
  </si>
  <si>
    <t xml:space="preserve">              56,362</t>
  </si>
  <si>
    <t xml:space="preserve">              12,534.1</t>
  </si>
  <si>
    <t xml:space="preserve">              96,066</t>
  </si>
  <si>
    <t xml:space="preserve">               1,830.9</t>
  </si>
  <si>
    <t xml:space="preserve">               8,692</t>
  </si>
  <si>
    <t xml:space="preserve">              87,374</t>
  </si>
  <si>
    <t xml:space="preserve">               2,229.9</t>
  </si>
  <si>
    <t xml:space="preserve">              66,631</t>
  </si>
  <si>
    <t xml:space="preserve">              23,268.0</t>
  </si>
  <si>
    <t xml:space="preserve">             487,318</t>
  </si>
  <si>
    <t xml:space="preserve">            -420,687</t>
  </si>
  <si>
    <t xml:space="preserve">               2,508.5</t>
  </si>
  <si>
    <t xml:space="preserve">              58,766</t>
  </si>
  <si>
    <t xml:space="preserve">              20,365.8</t>
  </si>
  <si>
    <t xml:space="preserve">             669,158</t>
  </si>
  <si>
    <t xml:space="preserve">            -610,392</t>
  </si>
  <si>
    <t xml:space="preserve">              24,179.9</t>
  </si>
  <si>
    <t xml:space="preserve">              43,540</t>
  </si>
  <si>
    <t xml:space="preserve">              26,920.0</t>
  </si>
  <si>
    <t xml:space="preserve">             114,711</t>
  </si>
  <si>
    <t xml:space="preserve">             -71,172</t>
  </si>
  <si>
    <t xml:space="preserve">                 977.8</t>
  </si>
  <si>
    <t xml:space="preserve">              23,322</t>
  </si>
  <si>
    <t xml:space="preserve">               9,412.8</t>
  </si>
  <si>
    <t xml:space="preserve">             280,449</t>
  </si>
  <si>
    <t xml:space="preserve">            -257,127</t>
  </si>
  <si>
    <t xml:space="preserve">                 254.4</t>
  </si>
  <si>
    <t xml:space="preserve">               8,957</t>
  </si>
  <si>
    <t xml:space="preserve">                 768.8</t>
  </si>
  <si>
    <t xml:space="preserve">              23,269</t>
  </si>
  <si>
    <t xml:space="preserve">             -14,312</t>
  </si>
  <si>
    <t xml:space="preserve">                 509</t>
  </si>
  <si>
    <t xml:space="preserve">               1,667.5</t>
  </si>
  <si>
    <t xml:space="preserve">              12,606</t>
  </si>
  <si>
    <t xml:space="preserve">             -12,098</t>
  </si>
  <si>
    <t xml:space="preserve">               1,283</t>
  </si>
  <si>
    <t xml:space="preserve">                 411.5</t>
  </si>
  <si>
    <t xml:space="preserve">               6,874</t>
  </si>
  <si>
    <t xml:space="preserve">              -5,590</t>
  </si>
  <si>
    <t xml:space="preserve">               9,933.3</t>
  </si>
  <si>
    <t xml:space="preserve">              67,136</t>
  </si>
  <si>
    <t xml:space="preserve">             166,637.8</t>
  </si>
  <si>
    <t xml:space="preserve">             111,611</t>
  </si>
  <si>
    <t xml:space="preserve">             -44,475</t>
  </si>
  <si>
    <t xml:space="preserve">               2,556.6</t>
  </si>
  <si>
    <t xml:space="preserve">              27,463</t>
  </si>
  <si>
    <t xml:space="preserve">             121,915.8</t>
  </si>
  <si>
    <t xml:space="preserve">             120,263</t>
  </si>
  <si>
    <t xml:space="preserve">             -92,800</t>
  </si>
  <si>
    <t xml:space="preserve">              26,166.9</t>
  </si>
  <si>
    <t xml:space="preserve">             160,070</t>
  </si>
  <si>
    <t xml:space="preserve">              84,008.1</t>
  </si>
  <si>
    <t xml:space="preserve">             209,450</t>
  </si>
  <si>
    <t xml:space="preserve">             -49,380</t>
  </si>
  <si>
    <t xml:space="preserve">                 807.7</t>
  </si>
  <si>
    <t xml:space="preserve">             670,346</t>
  </si>
  <si>
    <t xml:space="preserve">               1,420.4</t>
  </si>
  <si>
    <t xml:space="preserve">             575,539</t>
  </si>
  <si>
    <t xml:space="preserve">              94,807</t>
  </si>
  <si>
    <t xml:space="preserve">           2,153,197.3</t>
  </si>
  <si>
    <t xml:space="preserve">           1,840,464</t>
  </si>
  <si>
    <t xml:space="preserve">           1,185,017.9</t>
  </si>
  <si>
    <t xml:space="preserve">             958,481</t>
  </si>
  <si>
    <t xml:space="preserve">             881,983</t>
  </si>
  <si>
    <t xml:space="preserve">             210,078.0</t>
  </si>
  <si>
    <t xml:space="preserve">             634,885</t>
  </si>
  <si>
    <t xml:space="preserve">             222,491.2</t>
  </si>
  <si>
    <t xml:space="preserve">             619,007</t>
  </si>
  <si>
    <t xml:space="preserve">              15,877</t>
  </si>
  <si>
    <t xml:space="preserve">              56,983.1</t>
  </si>
  <si>
    <t xml:space="preserve">             559,197</t>
  </si>
  <si>
    <t xml:space="preserve">              70,527.3</t>
  </si>
  <si>
    <t xml:space="preserve">             705,165</t>
  </si>
  <si>
    <t xml:space="preserve">            -145,968</t>
  </si>
  <si>
    <t xml:space="preserve">               1,148.1</t>
  </si>
  <si>
    <t xml:space="preserve">              18,111</t>
  </si>
  <si>
    <t xml:space="preserve">               3,296.3</t>
  </si>
  <si>
    <t xml:space="preserve">              79,171</t>
  </si>
  <si>
    <t xml:space="preserve">             -61,059</t>
  </si>
  <si>
    <t xml:space="preserve">             107,509.5</t>
  </si>
  <si>
    <t xml:space="preserve">             422,397</t>
  </si>
  <si>
    <t xml:space="preserve">             249,321.4</t>
  </si>
  <si>
    <t xml:space="preserve">             741,493</t>
  </si>
  <si>
    <t xml:space="preserve">            -319,096</t>
  </si>
  <si>
    <t xml:space="preserve">              20,541.7</t>
  </si>
  <si>
    <t xml:space="preserve">              45,682</t>
  </si>
  <si>
    <t xml:space="preserve">              11,983.9</t>
  </si>
  <si>
    <t xml:space="preserve">              27,251</t>
  </si>
  <si>
    <t xml:space="preserve">              18,431</t>
  </si>
  <si>
    <t xml:space="preserve">              37,423.1</t>
  </si>
  <si>
    <t xml:space="preserve">             110,185</t>
  </si>
  <si>
    <t xml:space="preserve">               2,116.1</t>
  </si>
  <si>
    <t xml:space="preserve">               9,776</t>
  </si>
  <si>
    <t xml:space="preserve">             100,409</t>
  </si>
  <si>
    <t xml:space="preserve">                 179.4</t>
  </si>
  <si>
    <t xml:space="preserve">              11,237</t>
  </si>
  <si>
    <t xml:space="preserve">               1,321.2</t>
  </si>
  <si>
    <t xml:space="preserve">              48,262</t>
  </si>
  <si>
    <t xml:space="preserve">             -37,025</t>
  </si>
  <si>
    <t xml:space="preserve">              25,352.0</t>
  </si>
  <si>
    <t xml:space="preserve">              35,280</t>
  </si>
  <si>
    <t xml:space="preserve">              12,283.4</t>
  </si>
  <si>
    <t xml:space="preserve">             111,058</t>
  </si>
  <si>
    <t xml:space="preserve">             -75,778</t>
  </si>
  <si>
    <t xml:space="preserve">               5,436.0</t>
  </si>
  <si>
    <t xml:space="preserve">             127,143</t>
  </si>
  <si>
    <t xml:space="preserve">               4,546.5</t>
  </si>
  <si>
    <t xml:space="preserve">              78,058</t>
  </si>
  <si>
    <t xml:space="preserve">              49,084</t>
  </si>
  <si>
    <t xml:space="preserve">              22,026.6</t>
  </si>
  <si>
    <t xml:space="preserve">             129,924</t>
  </si>
  <si>
    <t xml:space="preserve">              10,955.7</t>
  </si>
  <si>
    <t xml:space="preserve">              75,205</t>
  </si>
  <si>
    <t xml:space="preserve">              54,719</t>
  </si>
  <si>
    <t xml:space="preserve">             326,172.9</t>
  </si>
  <si>
    <t xml:space="preserve">           6,462,986</t>
  </si>
  <si>
    <t xml:space="preserve">             219,839.1</t>
  </si>
  <si>
    <t xml:space="preserve">           5,593,976</t>
  </si>
  <si>
    <t xml:space="preserve">             869,010</t>
  </si>
  <si>
    <t xml:space="preserve">             197,491.3</t>
  </si>
  <si>
    <t xml:space="preserve">          20,463,780</t>
  </si>
  <si>
    <t xml:space="preserve">             191,316.7</t>
  </si>
  <si>
    <t xml:space="preserve">          10,611,006</t>
  </si>
  <si>
    <t xml:space="preserve">           9,852,773</t>
  </si>
  <si>
    <t xml:space="preserve">               9,923.2</t>
  </si>
  <si>
    <t xml:space="preserve">              41,011</t>
  </si>
  <si>
    <t xml:space="preserve">              11,117.6</t>
  </si>
  <si>
    <t xml:space="preserve">              54,008</t>
  </si>
  <si>
    <t xml:space="preserve">             -12,997</t>
  </si>
  <si>
    <t xml:space="preserve">             665,522.2</t>
  </si>
  <si>
    <t xml:space="preserve">           7,000,138</t>
  </si>
  <si>
    <t xml:space="preserve">             123,867.9</t>
  </si>
  <si>
    <t xml:space="preserve">           1,990,738</t>
  </si>
  <si>
    <t xml:space="preserve">           5,009,400</t>
  </si>
  <si>
    <t xml:space="preserve">                 483.7</t>
  </si>
  <si>
    <t xml:space="preserve">             230,879</t>
  </si>
  <si>
    <t xml:space="preserve">                 201.7</t>
  </si>
  <si>
    <t xml:space="preserve">             145,331</t>
  </si>
  <si>
    <t xml:space="preserve">              85,548</t>
  </si>
  <si>
    <t xml:space="preserve">           1,139,797.0</t>
  </si>
  <si>
    <t xml:space="preserve">           2,941,546</t>
  </si>
  <si>
    <t xml:space="preserve">              55,713.1</t>
  </si>
  <si>
    <t xml:space="preserve">             138,725</t>
  </si>
  <si>
    <t xml:space="preserve">           2,802,821</t>
  </si>
  <si>
    <t xml:space="preserve">              14,839.0</t>
  </si>
  <si>
    <t xml:space="preserve">           1,326,909</t>
  </si>
  <si>
    <t xml:space="preserve">              15,089.6</t>
  </si>
  <si>
    <t xml:space="preserve">           1,996,731</t>
  </si>
  <si>
    <t xml:space="preserve">            -669,822</t>
  </si>
  <si>
    <t xml:space="preserve">              20,403</t>
  </si>
  <si>
    <t xml:space="preserve">                 240.1</t>
  </si>
  <si>
    <t xml:space="preserve">              88,433</t>
  </si>
  <si>
    <t xml:space="preserve">             -68,030</t>
  </si>
  <si>
    <t xml:space="preserve">                 362.0</t>
  </si>
  <si>
    <t xml:space="preserve">               8,245</t>
  </si>
  <si>
    <t xml:space="preserve">                 635.0</t>
  </si>
  <si>
    <t xml:space="preserve">              13,795</t>
  </si>
  <si>
    <t xml:space="preserve">              -5,550</t>
  </si>
  <si>
    <t xml:space="preserve">               1,748.5</t>
  </si>
  <si>
    <t xml:space="preserve">             116,196</t>
  </si>
  <si>
    <t xml:space="preserve">                 354.7</t>
  </si>
  <si>
    <t xml:space="preserve">              43,564</t>
  </si>
  <si>
    <t xml:space="preserve">              72,632</t>
  </si>
  <si>
    <t xml:space="preserve">              14,647.7</t>
  </si>
  <si>
    <t xml:space="preserve">             108,180</t>
  </si>
  <si>
    <t xml:space="preserve">              69,115.2</t>
  </si>
  <si>
    <t xml:space="preserve">             298,894</t>
  </si>
  <si>
    <t xml:space="preserve">            -190,714</t>
  </si>
  <si>
    <t xml:space="preserve">               2,285.4</t>
  </si>
  <si>
    <t xml:space="preserve">              46,656</t>
  </si>
  <si>
    <t xml:space="preserve">              14,467.1</t>
  </si>
  <si>
    <t xml:space="preserve">             217,442</t>
  </si>
  <si>
    <t xml:space="preserve">            -170,786</t>
  </si>
  <si>
    <t xml:space="preserve">               1,924.5</t>
  </si>
  <si>
    <t xml:space="preserve">              31,005</t>
  </si>
  <si>
    <t xml:space="preserve">              10,277.2</t>
  </si>
  <si>
    <t xml:space="preserve">              86,247</t>
  </si>
  <si>
    <t xml:space="preserve">             -55,242</t>
  </si>
  <si>
    <t xml:space="preserve">                   9.6</t>
  </si>
  <si>
    <t xml:space="preserve">              14,438</t>
  </si>
  <si>
    <t xml:space="preserve">                  41.2</t>
  </si>
  <si>
    <t xml:space="preserve">              83,888</t>
  </si>
  <si>
    <t xml:space="preserve">             -69,449</t>
  </si>
  <si>
    <t xml:space="preserve">                 689</t>
  </si>
  <si>
    <t xml:space="preserve">                  62.2</t>
  </si>
  <si>
    <t xml:space="preserve">               5,245</t>
  </si>
  <si>
    <t xml:space="preserve">              -4,556</t>
  </si>
  <si>
    <t xml:space="preserve">               4,638.6</t>
  </si>
  <si>
    <t xml:space="preserve">             113,555.7</t>
  </si>
  <si>
    <t xml:space="preserve">             617,386</t>
  </si>
  <si>
    <t xml:space="preserve">            -610,963</t>
  </si>
  <si>
    <t xml:space="preserve">              62,157.6</t>
  </si>
  <si>
    <t xml:space="preserve">             177,718</t>
  </si>
  <si>
    <t xml:space="preserve">             113,617.0</t>
  </si>
  <si>
    <t xml:space="preserve">             479,689</t>
  </si>
  <si>
    <t xml:space="preserve">            -301,971</t>
  </si>
  <si>
    <t xml:space="preserve">               2,647.6</t>
  </si>
  <si>
    <t xml:space="preserve">              42,335.5</t>
  </si>
  <si>
    <t xml:space="preserve">             171,734</t>
  </si>
  <si>
    <t xml:space="preserve">            -164,234</t>
  </si>
  <si>
    <t xml:space="preserve">               1,732.0</t>
  </si>
  <si>
    <t xml:space="preserve">               4,353</t>
  </si>
  <si>
    <t xml:space="preserve">               4,228.1</t>
  </si>
  <si>
    <t xml:space="preserve">              19,788</t>
  </si>
  <si>
    <t xml:space="preserve">             -15,435</t>
  </si>
  <si>
    <t xml:space="preserve">                  43.5</t>
  </si>
  <si>
    <t xml:space="preserve">                 453</t>
  </si>
  <si>
    <t xml:space="preserve">              11,325.9</t>
  </si>
  <si>
    <t xml:space="preserve">              15,944</t>
  </si>
  <si>
    <t xml:space="preserve">             -15,491</t>
  </si>
  <si>
    <t xml:space="preserve">               3,178.0</t>
  </si>
  <si>
    <t xml:space="preserve">               9,147</t>
  </si>
  <si>
    <t xml:space="preserve">             113,859.7</t>
  </si>
  <si>
    <t xml:space="preserve">              80,782</t>
  </si>
  <si>
    <t xml:space="preserve">             -71,635</t>
  </si>
  <si>
    <t xml:space="preserve">               5,858.6</t>
  </si>
  <si>
    <t xml:space="preserve">              26,167</t>
  </si>
  <si>
    <t xml:space="preserve">              70,424.0</t>
  </si>
  <si>
    <t xml:space="preserve">             141,382</t>
  </si>
  <si>
    <t xml:space="preserve">            -115,215</t>
  </si>
  <si>
    <t xml:space="preserve">                 521.9</t>
  </si>
  <si>
    <t xml:space="preserve">               5,367</t>
  </si>
  <si>
    <t xml:space="preserve">              19,390.0</t>
  </si>
  <si>
    <t xml:space="preserve">             162,839</t>
  </si>
  <si>
    <t xml:space="preserve">            -157,472</t>
  </si>
  <si>
    <t xml:space="preserve">              72,653.3</t>
  </si>
  <si>
    <t xml:space="preserve">              26,421</t>
  </si>
  <si>
    <t xml:space="preserve">           1,434,184.3</t>
  </si>
  <si>
    <t xml:space="preserve">             383,425</t>
  </si>
  <si>
    <t xml:space="preserve">            -357,004</t>
  </si>
  <si>
    <t xml:space="preserve">               5,983.7</t>
  </si>
  <si>
    <t xml:space="preserve">               3,988</t>
  </si>
  <si>
    <t xml:space="preserve">              40,970.1</t>
  </si>
  <si>
    <t xml:space="preserve">              32,839</t>
  </si>
  <si>
    <t xml:space="preserve">             -28,851</t>
  </si>
  <si>
    <t xml:space="preserve">               2,228.4</t>
  </si>
  <si>
    <t xml:space="preserve">              51,340</t>
  </si>
  <si>
    <t xml:space="preserve">             226,209.6</t>
  </si>
  <si>
    <t xml:space="preserve">             133,091</t>
  </si>
  <si>
    <t xml:space="preserve">             -81,751</t>
  </si>
  <si>
    <t xml:space="preserve">               6,981</t>
  </si>
  <si>
    <t xml:space="preserve">               7,813.7</t>
  </si>
  <si>
    <t xml:space="preserve">              22,998</t>
  </si>
  <si>
    <t xml:space="preserve">             -16,017</t>
  </si>
  <si>
    <t xml:space="preserve">                  23.6</t>
  </si>
  <si>
    <t xml:space="preserve">              15,612.3</t>
  </si>
  <si>
    <t xml:space="preserve">               5,653</t>
  </si>
  <si>
    <t xml:space="preserve">              -5,636</t>
  </si>
  <si>
    <t xml:space="preserve">              16,689.5</t>
  </si>
  <si>
    <t xml:space="preserve">              21,190</t>
  </si>
  <si>
    <t xml:space="preserve">             128,192.6</t>
  </si>
  <si>
    <t xml:space="preserve">             213,787</t>
  </si>
  <si>
    <t xml:space="preserve">            -192,597</t>
  </si>
  <si>
    <t xml:space="preserve">               4,886.3</t>
  </si>
  <si>
    <t xml:space="preserve">              29,295</t>
  </si>
  <si>
    <t xml:space="preserve">              18,615.4</t>
  </si>
  <si>
    <t xml:space="preserve">             104,847</t>
  </si>
  <si>
    <t xml:space="preserve">             -75,551</t>
  </si>
  <si>
    <t xml:space="preserve">              31,101.9</t>
  </si>
  <si>
    <t xml:space="preserve">              29,459</t>
  </si>
  <si>
    <t xml:space="preserve">             176,350.4</t>
  </si>
  <si>
    <t xml:space="preserve">             106,778</t>
  </si>
  <si>
    <t xml:space="preserve">             -77,318</t>
  </si>
  <si>
    <t xml:space="preserve">               2,481.8</t>
  </si>
  <si>
    <t xml:space="preserve">               8,177</t>
  </si>
  <si>
    <t xml:space="preserve">               6,148.8</t>
  </si>
  <si>
    <t xml:space="preserve">              58,436</t>
  </si>
  <si>
    <t xml:space="preserve">             -50,260</t>
  </si>
  <si>
    <t xml:space="preserve">              63,799.7</t>
  </si>
  <si>
    <t xml:space="preserve">             257,181</t>
  </si>
  <si>
    <t xml:space="preserve">              35,239.3</t>
  </si>
  <si>
    <t xml:space="preserve">             113,643</t>
  </si>
  <si>
    <t xml:space="preserve">             143,538</t>
  </si>
  <si>
    <t xml:space="preserve">              10,759.2</t>
  </si>
  <si>
    <t xml:space="preserve">              91,569</t>
  </si>
  <si>
    <t xml:space="preserve">             108,366.3</t>
  </si>
  <si>
    <t xml:space="preserve">             149,348</t>
  </si>
  <si>
    <t xml:space="preserve">             -57,779</t>
  </si>
  <si>
    <t xml:space="preserve">              40,474.3</t>
  </si>
  <si>
    <t xml:space="preserve">             172,857</t>
  </si>
  <si>
    <t xml:space="preserve">              35,373.3</t>
  </si>
  <si>
    <t xml:space="preserve">             256,823</t>
  </si>
  <si>
    <t xml:space="preserve">             -83,966</t>
  </si>
  <si>
    <t xml:space="preserve">              90,736.7</t>
  </si>
  <si>
    <t xml:space="preserve">             108,469</t>
  </si>
  <si>
    <t xml:space="preserve">              81,678.5</t>
  </si>
  <si>
    <t xml:space="preserve">             132,714</t>
  </si>
  <si>
    <t xml:space="preserve">             -24,245</t>
  </si>
  <si>
    <t xml:space="preserve">              26,983.1</t>
  </si>
  <si>
    <t xml:space="preserve">              31,844</t>
  </si>
  <si>
    <t xml:space="preserve">             613,191.1</t>
  </si>
  <si>
    <t xml:space="preserve">             206,476</t>
  </si>
  <si>
    <t xml:space="preserve">            -174,631</t>
  </si>
  <si>
    <t xml:space="preserve">               8,169.4</t>
  </si>
  <si>
    <t xml:space="preserve">             102,244</t>
  </si>
  <si>
    <t xml:space="preserve">               5,754.1</t>
  </si>
  <si>
    <t xml:space="preserve">              60,324</t>
  </si>
  <si>
    <t xml:space="preserve">              41,920</t>
  </si>
  <si>
    <t xml:space="preserve">             639,071.0</t>
  </si>
  <si>
    <t xml:space="preserve">              48,301</t>
  </si>
  <si>
    <t xml:space="preserve">           1,108,662.2</t>
  </si>
  <si>
    <t xml:space="preserve">              85,661</t>
  </si>
  <si>
    <t xml:space="preserve">             -37,360</t>
  </si>
  <si>
    <t xml:space="preserve">             235,180.2</t>
  </si>
  <si>
    <t xml:space="preserve">              59,863</t>
  </si>
  <si>
    <t xml:space="preserve">           6,182,555.1</t>
  </si>
  <si>
    <t xml:space="preserve">           1,881,240</t>
  </si>
  <si>
    <t xml:space="preserve">          -1,821,377</t>
  </si>
  <si>
    <t xml:space="preserve">           6,281,083.0</t>
  </si>
  <si>
    <t xml:space="preserve">           4,322,838</t>
  </si>
  <si>
    <t xml:space="preserve">          29,788,739.0</t>
  </si>
  <si>
    <t xml:space="preserve">          11,304,137</t>
  </si>
  <si>
    <t xml:space="preserve">          -6,981,299</t>
  </si>
  <si>
    <t xml:space="preserve">             475,126.5</t>
  </si>
  <si>
    <t xml:space="preserve">             757,809</t>
  </si>
  <si>
    <t xml:space="preserve">             395,402.4</t>
  </si>
  <si>
    <t xml:space="preserve">             860,386</t>
  </si>
  <si>
    <t xml:space="preserve">            -102,577</t>
  </si>
  <si>
    <t xml:space="preserve">           1,769,837.4</t>
  </si>
  <si>
    <t xml:space="preserve">           1,702,423</t>
  </si>
  <si>
    <t xml:space="preserve">             767,850.9</t>
  </si>
  <si>
    <t xml:space="preserve">           1,206,489</t>
  </si>
  <si>
    <t xml:space="preserve">             495,934</t>
  </si>
  <si>
    <t xml:space="preserve">               3,215.0</t>
  </si>
  <si>
    <t xml:space="preserve">             933,388</t>
  </si>
  <si>
    <t xml:space="preserve">               8,195.4</t>
  </si>
  <si>
    <t xml:space="preserve">           1,007,540</t>
  </si>
  <si>
    <t xml:space="preserve">             -74,152</t>
  </si>
  <si>
    <t xml:space="preserve">              83,414.4</t>
  </si>
  <si>
    <t xml:space="preserve">              36,528</t>
  </si>
  <si>
    <t xml:space="preserve">             150,408.1</t>
  </si>
  <si>
    <t xml:space="preserve">              60,825</t>
  </si>
  <si>
    <t xml:space="preserve">             -24,297</t>
  </si>
  <si>
    <t xml:space="preserve">              33,494.8</t>
  </si>
  <si>
    <t xml:space="preserve">             258,810</t>
  </si>
  <si>
    <t xml:space="preserve">              26,749.6</t>
  </si>
  <si>
    <t xml:space="preserve">             225,143</t>
  </si>
  <si>
    <t xml:space="preserve">              33,667</t>
  </si>
  <si>
    <t xml:space="preserve">              48,857.0</t>
  </si>
  <si>
    <t xml:space="preserve">           1,100,924</t>
  </si>
  <si>
    <t xml:space="preserve">             198,099</t>
  </si>
  <si>
    <t xml:space="preserve">             902,825</t>
  </si>
  <si>
    <t xml:space="preserve">              61,684.6</t>
  </si>
  <si>
    <t xml:space="preserve">             185,238</t>
  </si>
  <si>
    <t xml:space="preserve">              27,260.0</t>
  </si>
  <si>
    <t xml:space="preserve">             107,491</t>
  </si>
  <si>
    <t xml:space="preserve">              77,747</t>
  </si>
  <si>
    <t xml:space="preserve">               6,956.4</t>
  </si>
  <si>
    <t xml:space="preserve">              91,869</t>
  </si>
  <si>
    <t xml:space="preserve">              22,002.0</t>
  </si>
  <si>
    <t xml:space="preserve">              98,196</t>
  </si>
  <si>
    <t xml:space="preserve">              -6,327</t>
  </si>
  <si>
    <t xml:space="preserve">                 168.2</t>
  </si>
  <si>
    <t xml:space="preserve">               5,474</t>
  </si>
  <si>
    <t xml:space="preserve">                 173.3</t>
  </si>
  <si>
    <t xml:space="preserve">               3,896</t>
  </si>
  <si>
    <t xml:space="preserve">               1,577</t>
  </si>
  <si>
    <t xml:space="preserve">               1,888.1</t>
  </si>
  <si>
    <t xml:space="preserve">              99,169</t>
  </si>
  <si>
    <t xml:space="preserve">               3,138.6</t>
  </si>
  <si>
    <t xml:space="preserve">             102,763</t>
  </si>
  <si>
    <t xml:space="preserve">              -3,594</t>
  </si>
  <si>
    <t xml:space="preserve">             100,241.7</t>
  </si>
  <si>
    <t xml:space="preserve">             717,659</t>
  </si>
  <si>
    <t xml:space="preserve">             177,935.7</t>
  </si>
  <si>
    <t xml:space="preserve">             958,360</t>
  </si>
  <si>
    <t xml:space="preserve">            -240,701</t>
  </si>
  <si>
    <t xml:space="preserve">           1,585,251.3</t>
  </si>
  <si>
    <t xml:space="preserve">           3,099,678</t>
  </si>
  <si>
    <t xml:space="preserve">             315,503.4</t>
  </si>
  <si>
    <t xml:space="preserve">           1,268,171</t>
  </si>
  <si>
    <t xml:space="preserve">           1,831,507</t>
  </si>
  <si>
    <t xml:space="preserve">             251,990.9</t>
  </si>
  <si>
    <t xml:space="preserve">             597,747</t>
  </si>
  <si>
    <t xml:space="preserve">              86,060.2</t>
  </si>
  <si>
    <t xml:space="preserve">             275,955</t>
  </si>
  <si>
    <t xml:space="preserve">             321,791</t>
  </si>
  <si>
    <t xml:space="preserve">               3,315.3</t>
  </si>
  <si>
    <t xml:space="preserve">              25,116</t>
  </si>
  <si>
    <t xml:space="preserve">               6,699.4</t>
  </si>
  <si>
    <t xml:space="preserve">              22,185</t>
  </si>
  <si>
    <t xml:space="preserve">               2,931</t>
  </si>
  <si>
    <t xml:space="preserve">               1,130.1</t>
  </si>
  <si>
    <t xml:space="preserve">              44,333</t>
  </si>
  <si>
    <t xml:space="preserve">              10,574.4</t>
  </si>
  <si>
    <t xml:space="preserve">             308,544</t>
  </si>
  <si>
    <t xml:space="preserve">            -264,211</t>
  </si>
  <si>
    <t xml:space="preserve">                 715</t>
  </si>
  <si>
    <t xml:space="preserve">                  62.0</t>
  </si>
  <si>
    <t xml:space="preserve">              11,300</t>
  </si>
  <si>
    <t xml:space="preserve">             -10,585</t>
  </si>
  <si>
    <t xml:space="preserve">               4,127.7</t>
  </si>
  <si>
    <t xml:space="preserve">               6,138</t>
  </si>
  <si>
    <t xml:space="preserve">             831,202.9</t>
  </si>
  <si>
    <t xml:space="preserve">             246,309</t>
  </si>
  <si>
    <t xml:space="preserve">            -240,172</t>
  </si>
  <si>
    <t xml:space="preserve">                  40</t>
  </si>
  <si>
    <t xml:space="preserve">                  71.6</t>
  </si>
  <si>
    <t xml:space="preserve">                -308</t>
  </si>
  <si>
    <t xml:space="preserve">                  77</t>
  </si>
  <si>
    <t xml:space="preserve">               1,152</t>
  </si>
  <si>
    <t xml:space="preserve">              -1,075</t>
  </si>
  <si>
    <t xml:space="preserve">              49,730.9</t>
  </si>
  <si>
    <t xml:space="preserve">              10,423</t>
  </si>
  <si>
    <t xml:space="preserve">             204,010.4</t>
  </si>
  <si>
    <t xml:space="preserve">             101,494</t>
  </si>
  <si>
    <t xml:space="preserve">             -91,071</t>
  </si>
  <si>
    <t xml:space="preserve">             239,372.8</t>
  </si>
  <si>
    <t xml:space="preserve">             221,425</t>
  </si>
  <si>
    <t xml:space="preserve">             135,370.6</t>
  </si>
  <si>
    <t xml:space="preserve">             202,159</t>
  </si>
  <si>
    <t xml:space="preserve">              19,266</t>
  </si>
  <si>
    <t xml:space="preserve">               3,124.8</t>
  </si>
  <si>
    <t xml:space="preserve">              33,884</t>
  </si>
  <si>
    <t xml:space="preserve">               1,133.1</t>
  </si>
  <si>
    <t xml:space="preserve">               6,037</t>
  </si>
  <si>
    <t xml:space="preserve">                   9.8</t>
  </si>
  <si>
    <t xml:space="preserve">               1,589</t>
  </si>
  <si>
    <t xml:space="preserve">               1,741</t>
  </si>
  <si>
    <t xml:space="preserve">                -152</t>
  </si>
  <si>
    <t xml:space="preserve">                 179.3</t>
  </si>
  <si>
    <t xml:space="preserve">               1,811</t>
  </si>
  <si>
    <t xml:space="preserve">                 715.6</t>
  </si>
  <si>
    <t xml:space="preserve">              15,223</t>
  </si>
  <si>
    <t xml:space="preserve">             -13,412</t>
  </si>
  <si>
    <t xml:space="preserve">               3,453.2</t>
  </si>
  <si>
    <t xml:space="preserve">              25,972</t>
  </si>
  <si>
    <t xml:space="preserve">              17,164.7</t>
  </si>
  <si>
    <t xml:space="preserve">              53,800</t>
  </si>
  <si>
    <t xml:space="preserve">             -27,827</t>
  </si>
  <si>
    <t xml:space="preserve">                  41.3</t>
  </si>
  <si>
    <t xml:space="preserve">                 654</t>
  </si>
  <si>
    <t xml:space="preserve">               1,021.9</t>
  </si>
  <si>
    <t xml:space="preserve">               3,844</t>
  </si>
  <si>
    <t xml:space="preserve">              -3,190</t>
  </si>
  <si>
    <t xml:space="preserve">              23,751.3</t>
  </si>
  <si>
    <t xml:space="preserve">             150,308</t>
  </si>
  <si>
    <t xml:space="preserve">              41,766.1</t>
  </si>
  <si>
    <t xml:space="preserve">              88,139</t>
  </si>
  <si>
    <t xml:space="preserve">              62,169</t>
  </si>
  <si>
    <t xml:space="preserve">              55,978.0</t>
  </si>
  <si>
    <t xml:space="preserve">             100,003</t>
  </si>
  <si>
    <t xml:space="preserve">              13,682.6</t>
  </si>
  <si>
    <t xml:space="preserve">              48,604</t>
  </si>
  <si>
    <t xml:space="preserve">              51,399</t>
  </si>
  <si>
    <t xml:space="preserve">              12,777.7</t>
  </si>
  <si>
    <t xml:space="preserve">              73,202</t>
  </si>
  <si>
    <t xml:space="preserve">              22,299.1</t>
  </si>
  <si>
    <t xml:space="preserve">              65,598</t>
  </si>
  <si>
    <t xml:space="preserve">               7,604</t>
  </si>
  <si>
    <t xml:space="preserve">                 572.3</t>
  </si>
  <si>
    <t xml:space="preserve">               4,377</t>
  </si>
  <si>
    <t xml:space="preserve">               5,248.8</t>
  </si>
  <si>
    <t xml:space="preserve">              11,005</t>
  </si>
  <si>
    <t xml:space="preserve">              -6,628</t>
  </si>
  <si>
    <t xml:space="preserve">               1,410.1</t>
  </si>
  <si>
    <t xml:space="preserve">              18,316</t>
  </si>
  <si>
    <t xml:space="preserve">               1,148.2</t>
  </si>
  <si>
    <t xml:space="preserve">               7,937</t>
  </si>
  <si>
    <t xml:space="preserve">              10,379</t>
  </si>
  <si>
    <t xml:space="preserve">               9,739.9</t>
  </si>
  <si>
    <t xml:space="preserve">             106,891</t>
  </si>
  <si>
    <t xml:space="preserve">               6,259.8</t>
  </si>
  <si>
    <t xml:space="preserve">              37,657</t>
  </si>
  <si>
    <t xml:space="preserve">              69,234</t>
  </si>
  <si>
    <t xml:space="preserve">              16,712.2</t>
  </si>
  <si>
    <t xml:space="preserve">             128,333</t>
  </si>
  <si>
    <t xml:space="preserve">               2,376.6</t>
  </si>
  <si>
    <t xml:space="preserve">              11,631</t>
  </si>
  <si>
    <t xml:space="preserve">             116,702</t>
  </si>
  <si>
    <t xml:space="preserve">               2,748.0</t>
  </si>
  <si>
    <t xml:space="preserve">              80,414</t>
  </si>
  <si>
    <t xml:space="preserve">              30,601.7</t>
  </si>
  <si>
    <t xml:space="preserve">             564,006</t>
  </si>
  <si>
    <t xml:space="preserve">            -483,592</t>
  </si>
  <si>
    <t xml:space="preserve">               2,894.1</t>
  </si>
  <si>
    <t xml:space="preserve">              80,441</t>
  </si>
  <si>
    <t xml:space="preserve">              28,242.4</t>
  </si>
  <si>
    <t xml:space="preserve">             847,107</t>
  </si>
  <si>
    <t xml:space="preserve">            -766,666</t>
  </si>
  <si>
    <t xml:space="preserve">              28,269.3</t>
  </si>
  <si>
    <t xml:space="preserve">              51,848</t>
  </si>
  <si>
    <t xml:space="preserve">              28,779.9</t>
  </si>
  <si>
    <t xml:space="preserve">             129,016</t>
  </si>
  <si>
    <t xml:space="preserve">               1,438.7</t>
  </si>
  <si>
    <t xml:space="preserve">              33,714</t>
  </si>
  <si>
    <t xml:space="preserve">              10,797.5</t>
  </si>
  <si>
    <t xml:space="preserve">             283,530</t>
  </si>
  <si>
    <t xml:space="preserve">            -249,816</t>
  </si>
  <si>
    <t xml:space="preserve">                 271.0</t>
  </si>
  <si>
    <t xml:space="preserve">              10,991</t>
  </si>
  <si>
    <t xml:space="preserve">                 953.3</t>
  </si>
  <si>
    <t xml:space="preserve">              28,904</t>
  </si>
  <si>
    <t xml:space="preserve">                 276</t>
  </si>
  <si>
    <t xml:space="preserve">               1,494.6</t>
  </si>
  <si>
    <t xml:space="preserve">              10,068</t>
  </si>
  <si>
    <t xml:space="preserve">              -9,792</t>
  </si>
  <si>
    <t xml:space="preserve">                 499.5</t>
  </si>
  <si>
    <t xml:space="preserve">               8,207</t>
  </si>
  <si>
    <t xml:space="preserve">              -6,720</t>
  </si>
  <si>
    <t xml:space="preserve">              11,925.3</t>
  </si>
  <si>
    <t xml:space="preserve">              83,194</t>
  </si>
  <si>
    <t xml:space="preserve">             178,939.1</t>
  </si>
  <si>
    <t xml:space="preserve">             124,757</t>
  </si>
  <si>
    <t xml:space="preserve">             -41,563</t>
  </si>
  <si>
    <t xml:space="preserve">               2,472.0</t>
  </si>
  <si>
    <t xml:space="preserve">              31,758</t>
  </si>
  <si>
    <t xml:space="preserve">             126,099.7</t>
  </si>
  <si>
    <t xml:space="preserve">             132,495</t>
  </si>
  <si>
    <t xml:space="preserve">            -100,737</t>
  </si>
  <si>
    <t xml:space="preserve">              29,675.5</t>
  </si>
  <si>
    <t xml:space="preserve">             174,736</t>
  </si>
  <si>
    <t xml:space="preserve">              91,670.7</t>
  </si>
  <si>
    <t xml:space="preserve">             235,725</t>
  </si>
  <si>
    <t xml:space="preserve">             -60,989</t>
  </si>
  <si>
    <t xml:space="preserve">                 686.0</t>
  </si>
  <si>
    <t xml:space="preserve">             557,555</t>
  </si>
  <si>
    <t xml:space="preserve">               1,440.0</t>
  </si>
  <si>
    <t xml:space="preserve">           1,273,753</t>
  </si>
  <si>
    <t xml:space="preserve">            -716,198</t>
  </si>
  <si>
    <t xml:space="preserve">           2,437,247.3</t>
  </si>
  <si>
    <t xml:space="preserve">           2,014,850</t>
  </si>
  <si>
    <t xml:space="preserve">           1,406,163.7</t>
  </si>
  <si>
    <t xml:space="preserve">           1,101,625</t>
  </si>
  <si>
    <t xml:space="preserve">             913,225</t>
  </si>
  <si>
    <t xml:space="preserve">             255,191.7</t>
  </si>
  <si>
    <t xml:space="preserve">             736,487</t>
  </si>
  <si>
    <t xml:space="preserve">             234,845.8</t>
  </si>
  <si>
    <t xml:space="preserve">             667,808</t>
  </si>
  <si>
    <t xml:space="preserve">              68,679</t>
  </si>
  <si>
    <t xml:space="preserve">              60,550.0</t>
  </si>
  <si>
    <t xml:space="preserve">             601,978</t>
  </si>
  <si>
    <t xml:space="preserve">              78,075.0</t>
  </si>
  <si>
    <t xml:space="preserve">             776,899</t>
  </si>
  <si>
    <t xml:space="preserve">            -174,921</t>
  </si>
  <si>
    <t xml:space="preserve">               1,052.9</t>
  </si>
  <si>
    <t xml:space="preserve">              18,789</t>
  </si>
  <si>
    <t xml:space="preserve">               7,100.9</t>
  </si>
  <si>
    <t xml:space="preserve">             130,079</t>
  </si>
  <si>
    <t xml:space="preserve">            -111,289</t>
  </si>
  <si>
    <t xml:space="preserve">             118,207.4</t>
  </si>
  <si>
    <t xml:space="preserve">             477,281</t>
  </si>
  <si>
    <t xml:space="preserve">             261,817.3</t>
  </si>
  <si>
    <t xml:space="preserve">             800,578</t>
  </si>
  <si>
    <t xml:space="preserve">            -323,297</t>
  </si>
  <si>
    <t xml:space="preserve">              28,807.5</t>
  </si>
  <si>
    <t xml:space="preserve">              63,388</t>
  </si>
  <si>
    <t xml:space="preserve">              18,653.8</t>
  </si>
  <si>
    <t xml:space="preserve">              42,666</t>
  </si>
  <si>
    <t xml:space="preserve">              20,722</t>
  </si>
  <si>
    <t xml:space="preserve">              33,322.4</t>
  </si>
  <si>
    <t xml:space="preserve">             100,540</t>
  </si>
  <si>
    <t xml:space="preserve">               2,248.1</t>
  </si>
  <si>
    <t xml:space="preserve">              13,934</t>
  </si>
  <si>
    <t xml:space="preserve">              86,606</t>
  </si>
  <si>
    <t xml:space="preserve">                 163.2</t>
  </si>
  <si>
    <t xml:space="preserve">               7,141</t>
  </si>
  <si>
    <t xml:space="preserve">               1,043.8</t>
  </si>
  <si>
    <t xml:space="preserve">              37,589</t>
  </si>
  <si>
    <t xml:space="preserve">             -30,448</t>
  </si>
  <si>
    <t xml:space="preserve">               2,311.7</t>
  </si>
  <si>
    <t xml:space="preserve">              41,523</t>
  </si>
  <si>
    <t xml:space="preserve">              12,911.0</t>
  </si>
  <si>
    <t xml:space="preserve">             120,061</t>
  </si>
  <si>
    <t xml:space="preserve">             -78,538</t>
  </si>
  <si>
    <t xml:space="preserve">               7,359.1</t>
  </si>
  <si>
    <t xml:space="preserve">             144,874</t>
  </si>
  <si>
    <t xml:space="preserve">               5,254.1</t>
  </si>
  <si>
    <t xml:space="preserve">              92,630</t>
  </si>
  <si>
    <t xml:space="preserve">              52,244</t>
  </si>
  <si>
    <t xml:space="preserve">              24,737.6</t>
  </si>
  <si>
    <t xml:space="preserve">             150,192</t>
  </si>
  <si>
    <t xml:space="preserve">              11,363.2</t>
  </si>
  <si>
    <t xml:space="preserve">              84,717</t>
  </si>
  <si>
    <t xml:space="preserve">              65,475</t>
  </si>
  <si>
    <t xml:space="preserve">             409,751.5</t>
  </si>
  <si>
    <t xml:space="preserve">           7,805,028</t>
  </si>
  <si>
    <t xml:space="preserve">             224,738.2</t>
  </si>
  <si>
    <t xml:space="preserve">           7,176,274</t>
  </si>
  <si>
    <t xml:space="preserve">             628,755</t>
  </si>
  <si>
    <t xml:space="preserve">             240,501.7</t>
  </si>
  <si>
    <t xml:space="preserve">          22,344,339</t>
  </si>
  <si>
    <t xml:space="preserve">             213,651.8</t>
  </si>
  <si>
    <t xml:space="preserve">          11,447,018</t>
  </si>
  <si>
    <t xml:space="preserve">          10,897,321</t>
  </si>
  <si>
    <t xml:space="preserve">              12,472.6</t>
  </si>
  <si>
    <t xml:space="preserve">              65,194</t>
  </si>
  <si>
    <t xml:space="preserve">              12,012.6</t>
  </si>
  <si>
    <t xml:space="preserve">              47,180</t>
  </si>
  <si>
    <t xml:space="preserve">              18,014</t>
  </si>
  <si>
    <t xml:space="preserve">             773,158.8</t>
  </si>
  <si>
    <t xml:space="preserve">           8,461,889</t>
  </si>
  <si>
    <t xml:space="preserve">             116,161.5</t>
  </si>
  <si>
    <t xml:space="preserve">           1,864,841</t>
  </si>
  <si>
    <t xml:space="preserve">           6,597,048</t>
  </si>
  <si>
    <t xml:space="preserve">                 530.1</t>
  </si>
  <si>
    <t xml:space="preserve">             270,248</t>
  </si>
  <si>
    <t xml:space="preserve">                 319.8</t>
  </si>
  <si>
    <t xml:space="preserve">             233,264</t>
  </si>
  <si>
    <t xml:space="preserve">              36,985</t>
  </si>
  <si>
    <t xml:space="preserve">           1,048,848.3</t>
  </si>
  <si>
    <t xml:space="preserve">           2,724,561</t>
  </si>
  <si>
    <t xml:space="preserve">             197,357.1</t>
  </si>
  <si>
    <t xml:space="preserve">             342,447</t>
  </si>
  <si>
    <t xml:space="preserve">           2,382,114</t>
  </si>
  <si>
    <t xml:space="preserve">              16,433.2</t>
  </si>
  <si>
    <t xml:space="preserve">           1,600,350</t>
  </si>
  <si>
    <t xml:space="preserve">              18,332.4</t>
  </si>
  <si>
    <t xml:space="preserve">           2,311,106</t>
  </si>
  <si>
    <t xml:space="preserve">            -710,755</t>
  </si>
  <si>
    <t xml:space="preserve">              25,801</t>
  </si>
  <si>
    <t xml:space="preserve">                 362.8</t>
  </si>
  <si>
    <t xml:space="preserve">             107,182</t>
  </si>
  <si>
    <t xml:space="preserve">             -81,381</t>
  </si>
  <si>
    <t xml:space="preserve">                 298.9</t>
  </si>
  <si>
    <t xml:space="preserve">                 662.4</t>
  </si>
  <si>
    <t xml:space="preserve">              16,517</t>
  </si>
  <si>
    <t xml:space="preserve">              -7,136</t>
  </si>
  <si>
    <t xml:space="preserve">               6,501.8</t>
  </si>
  <si>
    <t xml:space="preserve">             624,944</t>
  </si>
  <si>
    <t xml:space="preserve">                 141.5</t>
  </si>
  <si>
    <t xml:space="preserve">              23,645</t>
  </si>
  <si>
    <t xml:space="preserve">             601,299</t>
  </si>
  <si>
    <t xml:space="preserve">              17,412.5</t>
  </si>
  <si>
    <t xml:space="preserve">             122,072</t>
  </si>
  <si>
    <t xml:space="preserve">              81,824.9</t>
  </si>
  <si>
    <t xml:space="preserve">             359,071</t>
  </si>
  <si>
    <t xml:space="preserve">            -236,999</t>
  </si>
  <si>
    <t xml:space="preserve">               2,976.5</t>
  </si>
  <si>
    <t xml:space="preserve">              67,583</t>
  </si>
  <si>
    <t xml:space="preserve">              17,639.2</t>
  </si>
  <si>
    <t xml:space="preserve">             256,661</t>
  </si>
  <si>
    <t xml:space="preserve">            -189,078</t>
  </si>
  <si>
    <t xml:space="preserve">               2,661.8</t>
  </si>
  <si>
    <t xml:space="preserve">              42,514</t>
  </si>
  <si>
    <t xml:space="preserve">              11,044.9</t>
  </si>
  <si>
    <t xml:space="preserve">              91,262</t>
  </si>
  <si>
    <t xml:space="preserve">             -48,748</t>
  </si>
  <si>
    <t xml:space="preserve">                  24.3</t>
  </si>
  <si>
    <t xml:space="preserve">              95,394</t>
  </si>
  <si>
    <t xml:space="preserve">                  45.2</t>
  </si>
  <si>
    <t xml:space="preserve">              32,486</t>
  </si>
  <si>
    <t xml:space="preserve">              62,908</t>
  </si>
  <si>
    <t xml:space="preserve">                 543</t>
  </si>
  <si>
    <t xml:space="preserve">                  94.7</t>
  </si>
  <si>
    <t xml:space="preserve">               5,990</t>
  </si>
  <si>
    <t xml:space="preserve">              -5,447</t>
  </si>
  <si>
    <t xml:space="preserve">               6,031.7</t>
  </si>
  <si>
    <t xml:space="preserve">               8,329</t>
  </si>
  <si>
    <t xml:space="preserve">              99,160.9</t>
  </si>
  <si>
    <t xml:space="preserve">             512,679</t>
  </si>
  <si>
    <t xml:space="preserve">            -504,350</t>
  </si>
  <si>
    <t xml:space="preserve">              45,469.8</t>
  </si>
  <si>
    <t xml:space="preserve">             162,099</t>
  </si>
  <si>
    <t xml:space="preserve">              94,239.5</t>
  </si>
  <si>
    <t xml:space="preserve">             407,802</t>
  </si>
  <si>
    <t xml:space="preserve">            -245,703</t>
  </si>
  <si>
    <t xml:space="preserve">               2,105.5</t>
  </si>
  <si>
    <t xml:space="preserve">              27,390.3</t>
  </si>
  <si>
    <t xml:space="preserve">             129,786</t>
  </si>
  <si>
    <t xml:space="preserve">            -124,126</t>
  </si>
  <si>
    <t xml:space="preserve">               1,422.3</t>
  </si>
  <si>
    <t xml:space="preserve">               3,821</t>
  </si>
  <si>
    <t xml:space="preserve">               2,889.3</t>
  </si>
  <si>
    <t xml:space="preserve">              14,455</t>
  </si>
  <si>
    <t xml:space="preserve">             -10,634</t>
  </si>
  <si>
    <t xml:space="preserve">                  41.8</t>
  </si>
  <si>
    <t xml:space="preserve">                 567</t>
  </si>
  <si>
    <t xml:space="preserve">               7,755.4</t>
  </si>
  <si>
    <t xml:space="preserve">              15,732</t>
  </si>
  <si>
    <t xml:space="preserve">             -15,165</t>
  </si>
  <si>
    <t xml:space="preserve">               2,901.6</t>
  </si>
  <si>
    <t xml:space="preserve">               8,318</t>
  </si>
  <si>
    <t xml:space="preserve">              96,201.5</t>
  </si>
  <si>
    <t xml:space="preserve">              65,984</t>
  </si>
  <si>
    <t xml:space="preserve">             -57,666</t>
  </si>
  <si>
    <t xml:space="preserve">               7,827.1</t>
  </si>
  <si>
    <t xml:space="preserve">              31,335</t>
  </si>
  <si>
    <t xml:space="preserve">              54,615.5</t>
  </si>
  <si>
    <t xml:space="preserve">             109,319</t>
  </si>
  <si>
    <t xml:space="preserve">             -77,984</t>
  </si>
  <si>
    <t xml:space="preserve">                 392.1</t>
  </si>
  <si>
    <t xml:space="preserve">               7,608</t>
  </si>
  <si>
    <t xml:space="preserve">              16,556.0</t>
  </si>
  <si>
    <t xml:space="preserve">             140,004</t>
  </si>
  <si>
    <t xml:space="preserve">            -132,396</t>
  </si>
  <si>
    <t xml:space="preserve">               2,195.5</t>
  </si>
  <si>
    <t xml:space="preserve">               1,287</t>
  </si>
  <si>
    <t xml:space="preserve">           1,401,441.1</t>
  </si>
  <si>
    <t xml:space="preserve">             370,914</t>
  </si>
  <si>
    <t xml:space="preserve">            -369,626</t>
  </si>
  <si>
    <t xml:space="preserve">               4,671.6</t>
  </si>
  <si>
    <t xml:space="preserve">               3,118</t>
  </si>
  <si>
    <t xml:space="preserve">              32,268.9</t>
  </si>
  <si>
    <t xml:space="preserve">              26,760</t>
  </si>
  <si>
    <t xml:space="preserve">             -23,642</t>
  </si>
  <si>
    <t xml:space="preserve">               2,041.6</t>
  </si>
  <si>
    <t xml:space="preserve">              45,710</t>
  </si>
  <si>
    <t xml:space="preserve">             253,241.0</t>
  </si>
  <si>
    <t xml:space="preserve">             133,591</t>
  </si>
  <si>
    <t xml:space="preserve">             -87,881</t>
  </si>
  <si>
    <t xml:space="preserve">                 332.1</t>
  </si>
  <si>
    <t xml:space="preserve">               6,921</t>
  </si>
  <si>
    <t xml:space="preserve">               4,800.2</t>
  </si>
  <si>
    <t xml:space="preserve">              24,626</t>
  </si>
  <si>
    <t xml:space="preserve">             -17,704</t>
  </si>
  <si>
    <t xml:space="preserve">                   8</t>
  </si>
  <si>
    <t xml:space="preserve">              12,895.2</t>
  </si>
  <si>
    <t xml:space="preserve">               5,479</t>
  </si>
  <si>
    <t xml:space="preserve">              -5,472</t>
  </si>
  <si>
    <t xml:space="preserve">              44,406.7</t>
  </si>
  <si>
    <t xml:space="preserve">              52,534</t>
  </si>
  <si>
    <t xml:space="preserve">             128,308.3</t>
  </si>
  <si>
    <t xml:space="preserve">             202,464</t>
  </si>
  <si>
    <t xml:space="preserve">            -149,930</t>
  </si>
  <si>
    <t xml:space="preserve">               4,820.5</t>
  </si>
  <si>
    <t xml:space="preserve">              27,705</t>
  </si>
  <si>
    <t xml:space="preserve">              15,038.9</t>
  </si>
  <si>
    <t xml:space="preserve">              83,154</t>
  </si>
  <si>
    <t xml:space="preserve">             -55,449</t>
  </si>
  <si>
    <t xml:space="preserve">              31,154.6</t>
  </si>
  <si>
    <t xml:space="preserve">              27,166</t>
  </si>
  <si>
    <t xml:space="preserve">             179,655.4</t>
  </si>
  <si>
    <t xml:space="preserve">             103,018</t>
  </si>
  <si>
    <t xml:space="preserve">             -75,852</t>
  </si>
  <si>
    <t xml:space="preserve">               1,991.2</t>
  </si>
  <si>
    <t xml:space="preserve">               7,760</t>
  </si>
  <si>
    <t xml:space="preserve">               5,482.5</t>
  </si>
  <si>
    <t xml:space="preserve">              52,161</t>
  </si>
  <si>
    <t xml:space="preserve">             -44,401</t>
  </si>
  <si>
    <t xml:space="preserve">              54,049.0</t>
  </si>
  <si>
    <t xml:space="preserve">             212,787</t>
  </si>
  <si>
    <t xml:space="preserve">              28,998.5</t>
  </si>
  <si>
    <t xml:space="preserve">              94,436</t>
  </si>
  <si>
    <t xml:space="preserve">             118,351</t>
  </si>
  <si>
    <t xml:space="preserve">               8,056.3</t>
  </si>
  <si>
    <t xml:space="preserve">              73,401</t>
  </si>
  <si>
    <t xml:space="preserve">              92,574.3</t>
  </si>
  <si>
    <t xml:space="preserve">             132,441</t>
  </si>
  <si>
    <t xml:space="preserve">             -59,041</t>
  </si>
  <si>
    <t xml:space="preserve">              31,109.4</t>
  </si>
  <si>
    <t xml:space="preserve">             139,915</t>
  </si>
  <si>
    <t xml:space="preserve">              30,725.7</t>
  </si>
  <si>
    <t xml:space="preserve">             223,287</t>
  </si>
  <si>
    <t xml:space="preserve">             -83,373</t>
  </si>
  <si>
    <t xml:space="preserve">              65,401.5</t>
  </si>
  <si>
    <t xml:space="preserve">              81,967</t>
  </si>
  <si>
    <t xml:space="preserve">              79,814.2</t>
  </si>
  <si>
    <t xml:space="preserve">             126,349</t>
  </si>
  <si>
    <t xml:space="preserve">             -44,383</t>
  </si>
  <si>
    <t xml:space="preserve">              26,361.1</t>
  </si>
  <si>
    <t xml:space="preserve">              23,553</t>
  </si>
  <si>
    <t xml:space="preserve">             591,177.7</t>
  </si>
  <si>
    <t xml:space="preserve">             188,970</t>
  </si>
  <si>
    <t xml:space="preserve">            -165,417</t>
  </si>
  <si>
    <t xml:space="preserve">               5,277.8</t>
  </si>
  <si>
    <t xml:space="preserve">              73,309</t>
  </si>
  <si>
    <t xml:space="preserve">               6,523.8</t>
  </si>
  <si>
    <t xml:space="preserve">              58,873</t>
  </si>
  <si>
    <t xml:space="preserve">              14,437</t>
  </si>
  <si>
    <t xml:space="preserve">             632,522.2</t>
  </si>
  <si>
    <t xml:space="preserve">              49,178</t>
  </si>
  <si>
    <t xml:space="preserve">             944,191.0</t>
  </si>
  <si>
    <t xml:space="preserve">              66,077</t>
  </si>
  <si>
    <t xml:space="preserve">             -16,899</t>
  </si>
  <si>
    <t xml:space="preserve">             196,808.4</t>
  </si>
  <si>
    <t xml:space="preserve">              45,755</t>
  </si>
  <si>
    <t xml:space="preserve">           7,659,931.6</t>
  </si>
  <si>
    <t xml:space="preserve">           1,936,338</t>
  </si>
  <si>
    <t xml:space="preserve">          -1,890,583</t>
  </si>
  <si>
    <t xml:space="preserve">           5,771,684.2</t>
  </si>
  <si>
    <t xml:space="preserve">           3,933,652</t>
  </si>
  <si>
    <t xml:space="preserve">          29,898,879.2</t>
  </si>
  <si>
    <t xml:space="preserve">          11,864,276</t>
  </si>
  <si>
    <t xml:space="preserve">          -7,930,624</t>
  </si>
  <si>
    <t xml:space="preserve">             540,886.5</t>
  </si>
  <si>
    <t xml:space="preserve">             653,260</t>
  </si>
  <si>
    <t xml:space="preserve">             335,268.7</t>
  </si>
  <si>
    <t xml:space="preserve">             896,049</t>
  </si>
  <si>
    <t xml:space="preserve">            -242,789</t>
  </si>
  <si>
    <t xml:space="preserve">           1,560,834.7</t>
  </si>
  <si>
    <t xml:space="preserve">           1,429,506</t>
  </si>
  <si>
    <t xml:space="preserve">             643,800.6</t>
  </si>
  <si>
    <t xml:space="preserve">             978,532</t>
  </si>
  <si>
    <t xml:space="preserve">             450,974</t>
  </si>
  <si>
    <t xml:space="preserve">               2,157.5</t>
  </si>
  <si>
    <t xml:space="preserve">             649,257</t>
  </si>
  <si>
    <t xml:space="preserve">               8,042.9</t>
  </si>
  <si>
    <t xml:space="preserve">             832,676</t>
  </si>
  <si>
    <t xml:space="preserve">            -183,419</t>
  </si>
  <si>
    <t xml:space="preserve">              65,499.0</t>
  </si>
  <si>
    <t xml:space="preserve">              30,660</t>
  </si>
  <si>
    <t xml:space="preserve">             135,309.3</t>
  </si>
  <si>
    <t xml:space="preserve">              60,038</t>
  </si>
  <si>
    <t xml:space="preserve">             -29,378</t>
  </si>
  <si>
    <t xml:space="preserve">              27,281.3</t>
  </si>
  <si>
    <t xml:space="preserve">             211,007</t>
  </si>
  <si>
    <t xml:space="preserve">              20,693.7</t>
  </si>
  <si>
    <t xml:space="preserve">             182,113</t>
  </si>
  <si>
    <t xml:space="preserve">              28,894</t>
  </si>
  <si>
    <t xml:space="preserve">              37,487.7</t>
  </si>
  <si>
    <t xml:space="preserve">             878,817</t>
  </si>
  <si>
    <t xml:space="preserve">               9,771.7</t>
  </si>
  <si>
    <t xml:space="preserve">             172,899</t>
  </si>
  <si>
    <t xml:space="preserve">             705,917</t>
  </si>
  <si>
    <t xml:space="preserve">              52,456.9</t>
  </si>
  <si>
    <t xml:space="preserve">             171,740</t>
  </si>
  <si>
    <t xml:space="preserve">              21,800.2</t>
  </si>
  <si>
    <t xml:space="preserve">              88,610</t>
  </si>
  <si>
    <t xml:space="preserve">              83,130</t>
  </si>
  <si>
    <t xml:space="preserve">               5,563.4</t>
  </si>
  <si>
    <t xml:space="preserve">              72,381</t>
  </si>
  <si>
    <t xml:space="preserve">              22,706.0</t>
  </si>
  <si>
    <t xml:space="preserve">              87,113</t>
  </si>
  <si>
    <t xml:space="preserve">             -14,732</t>
  </si>
  <si>
    <t xml:space="preserve">                 195.4</t>
  </si>
  <si>
    <t xml:space="preserve">               6,801</t>
  </si>
  <si>
    <t xml:space="preserve">               7,882</t>
  </si>
  <si>
    <t xml:space="preserve">              -1,081</t>
  </si>
  <si>
    <t xml:space="preserve">               1,664.8</t>
  </si>
  <si>
    <t xml:space="preserve">              91,405</t>
  </si>
  <si>
    <t xml:space="preserve">               2,326.1</t>
  </si>
  <si>
    <t xml:space="preserve">             102,855</t>
  </si>
  <si>
    <t xml:space="preserve">             -11,450</t>
  </si>
  <si>
    <t xml:space="preserve">              92,247.1</t>
  </si>
  <si>
    <t xml:space="preserve">             599,068</t>
  </si>
  <si>
    <t xml:space="preserve">             148,141.6</t>
  </si>
  <si>
    <t xml:space="preserve">             839,901</t>
  </si>
  <si>
    <t xml:space="preserve">            -240,834</t>
  </si>
  <si>
    <t xml:space="preserve">           1,290,897.2</t>
  </si>
  <si>
    <t xml:space="preserve">           2,501,159</t>
  </si>
  <si>
    <t xml:space="preserve">             271,375.7</t>
  </si>
  <si>
    <t xml:space="preserve">           1,026,395</t>
  </si>
  <si>
    <t xml:space="preserve">           1,474,764</t>
  </si>
  <si>
    <t xml:space="preserve">             213,455.3</t>
  </si>
  <si>
    <t xml:space="preserve">             514,798</t>
  </si>
  <si>
    <t xml:space="preserve">              80,500.2</t>
  </si>
  <si>
    <t xml:space="preserve">             242,503</t>
  </si>
  <si>
    <t xml:space="preserve">             272,295</t>
  </si>
  <si>
    <t xml:space="preserve">               2,704.8</t>
  </si>
  <si>
    <t xml:space="preserve">              20,272</t>
  </si>
  <si>
    <t xml:space="preserve">               6,209.5</t>
  </si>
  <si>
    <t xml:space="preserve">              20,141</t>
  </si>
  <si>
    <t xml:space="preserve">                 131</t>
  </si>
  <si>
    <t xml:space="preserve">                 771.2</t>
  </si>
  <si>
    <t xml:space="preserve">              35,168</t>
  </si>
  <si>
    <t xml:space="preserve">               8,265.1</t>
  </si>
  <si>
    <t xml:space="preserve">             303,246</t>
  </si>
  <si>
    <t xml:space="preserve">            -268,078</t>
  </si>
  <si>
    <t xml:space="preserve">                  14.0</t>
  </si>
  <si>
    <t xml:space="preserve">                 405</t>
  </si>
  <si>
    <t xml:space="preserve">                  65.0</t>
  </si>
  <si>
    <t xml:space="preserve">              13,220</t>
  </si>
  <si>
    <t xml:space="preserve">             -12,815</t>
  </si>
  <si>
    <t xml:space="preserve">               3,082.6</t>
  </si>
  <si>
    <t xml:space="preserve">               5,025</t>
  </si>
  <si>
    <t xml:space="preserve">             731,254.0</t>
  </si>
  <si>
    <t xml:space="preserve">             210,084</t>
  </si>
  <si>
    <t xml:space="preserve">            -205,059</t>
  </si>
  <si>
    <t xml:space="preserve">                  89.1</t>
  </si>
  <si>
    <t xml:space="preserve">                 447</t>
  </si>
  <si>
    <t xml:space="preserve">                -422</t>
  </si>
  <si>
    <t xml:space="preserve">                  54</t>
  </si>
  <si>
    <t xml:space="preserve">                 254.9</t>
  </si>
  <si>
    <t xml:space="preserve">              -1,609</t>
  </si>
  <si>
    <t xml:space="preserve">              44,281.0</t>
  </si>
  <si>
    <t xml:space="preserve">               8,771</t>
  </si>
  <si>
    <t xml:space="preserve">             228,303.3</t>
  </si>
  <si>
    <t xml:space="preserve">             116,053</t>
  </si>
  <si>
    <t xml:space="preserve">            -107,282</t>
  </si>
  <si>
    <t xml:space="preserve">             217,180.7</t>
  </si>
  <si>
    <t xml:space="preserve">             192,923</t>
  </si>
  <si>
    <t xml:space="preserve">             115,593.9</t>
  </si>
  <si>
    <t xml:space="preserve">             175,564</t>
  </si>
  <si>
    <t xml:space="preserve">              17,359</t>
  </si>
  <si>
    <t xml:space="preserve">               3,076.0</t>
  </si>
  <si>
    <t xml:space="preserve">              33,055</t>
  </si>
  <si>
    <t xml:space="preserve">               1,184.2</t>
  </si>
  <si>
    <t xml:space="preserve">              21,751</t>
  </si>
  <si>
    <t xml:space="preserve">              11,304</t>
  </si>
  <si>
    <t xml:space="preserve">                   7.6</t>
  </si>
  <si>
    <t xml:space="preserve">               1,336</t>
  </si>
  <si>
    <t xml:space="preserve">                  18.1</t>
  </si>
  <si>
    <t xml:space="preserve">               1,855</t>
  </si>
  <si>
    <t xml:space="preserve">                -519</t>
  </si>
  <si>
    <t xml:space="preserve">                 120.2</t>
  </si>
  <si>
    <t xml:space="preserve">               1,608</t>
  </si>
  <si>
    <t xml:space="preserve">              14,005</t>
  </si>
  <si>
    <t xml:space="preserve">             -12,398</t>
  </si>
  <si>
    <t xml:space="preserve">               3,142.2</t>
  </si>
  <si>
    <t xml:space="preserve">              21,655</t>
  </si>
  <si>
    <t xml:space="preserve">              15,905.4</t>
  </si>
  <si>
    <t xml:space="preserve">              49,551</t>
  </si>
  <si>
    <t xml:space="preserve">             -27,895</t>
  </si>
  <si>
    <t xml:space="preserve">                  11.9</t>
  </si>
  <si>
    <t xml:space="preserve">                 339</t>
  </si>
  <si>
    <t xml:space="preserve">                 937.1</t>
  </si>
  <si>
    <t xml:space="preserve">               4,015</t>
  </si>
  <si>
    <t xml:space="preserve">              -3,676</t>
  </si>
  <si>
    <t xml:space="preserve">              19,755.1</t>
  </si>
  <si>
    <t xml:space="preserve">             131,873</t>
  </si>
  <si>
    <t xml:space="preserve">              34,417.2</t>
  </si>
  <si>
    <t xml:space="preserve">              77,133</t>
  </si>
  <si>
    <t xml:space="preserve">              54,740</t>
  </si>
  <si>
    <t xml:space="preserve">              48,252.3</t>
  </si>
  <si>
    <t xml:space="preserve">              83,203</t>
  </si>
  <si>
    <t xml:space="preserve">              12,620.0</t>
  </si>
  <si>
    <t xml:space="preserve">              43,140</t>
  </si>
  <si>
    <t xml:space="preserve">              40,063</t>
  </si>
  <si>
    <t xml:space="preserve">               9,105.8</t>
  </si>
  <si>
    <t xml:space="preserve">              55,218</t>
  </si>
  <si>
    <t xml:space="preserve">              17,135.0</t>
  </si>
  <si>
    <t xml:space="preserve">              52,153</t>
  </si>
  <si>
    <t xml:space="preserve">                 395.2</t>
  </si>
  <si>
    <t xml:space="preserve">               4,627</t>
  </si>
  <si>
    <t xml:space="preserve">               4,541.4</t>
  </si>
  <si>
    <t xml:space="preserve">               9,081</t>
  </si>
  <si>
    <t xml:space="preserve">              -4,454</t>
  </si>
  <si>
    <t xml:space="preserve">               1,129.6</t>
  </si>
  <si>
    <t xml:space="preserve">              13,723</t>
  </si>
  <si>
    <t xml:space="preserve">               1,057.9</t>
  </si>
  <si>
    <t xml:space="preserve">               7,156</t>
  </si>
  <si>
    <t xml:space="preserve">               6,567</t>
  </si>
  <si>
    <t xml:space="preserve">               7,595.0</t>
  </si>
  <si>
    <t xml:space="preserve">              79,963</t>
  </si>
  <si>
    <t xml:space="preserve">               5,819.3</t>
  </si>
  <si>
    <t xml:space="preserve">              31,141</t>
  </si>
  <si>
    <t xml:space="preserve">              48,822</t>
  </si>
  <si>
    <t xml:space="preserve">              13,469.7</t>
  </si>
  <si>
    <t xml:space="preserve">             103,972</t>
  </si>
  <si>
    <t xml:space="preserve">               2,203.9</t>
  </si>
  <si>
    <t xml:space="preserve">               9,934</t>
  </si>
  <si>
    <t xml:space="preserve">              94,039</t>
  </si>
  <si>
    <t xml:space="preserve">               2,440.5</t>
  </si>
  <si>
    <t xml:space="preserve">              65,494</t>
  </si>
  <si>
    <t xml:space="preserve">              27,951.9</t>
  </si>
  <si>
    <t xml:space="preserve">             460,907</t>
  </si>
  <si>
    <t xml:space="preserve">            -395,413</t>
  </si>
  <si>
    <t xml:space="preserve">               2,797.7</t>
  </si>
  <si>
    <t xml:space="preserve">              76,117</t>
  </si>
  <si>
    <t xml:space="preserve">              27,570.1</t>
  </si>
  <si>
    <t xml:space="preserve">             724,286</t>
  </si>
  <si>
    <t xml:space="preserve">            -648,169</t>
  </si>
  <si>
    <t xml:space="preserve">              21,226.0</t>
  </si>
  <si>
    <t xml:space="preserve">              40,735</t>
  </si>
  <si>
    <t xml:space="preserve">              26,596.0</t>
  </si>
  <si>
    <t xml:space="preserve">             112,059</t>
  </si>
  <si>
    <t xml:space="preserve">             -71,324</t>
  </si>
  <si>
    <t xml:space="preserve">               1,150.0</t>
  </si>
  <si>
    <t xml:space="preserve">              27,385</t>
  </si>
  <si>
    <t xml:space="preserve">               9,878.9</t>
  </si>
  <si>
    <t xml:space="preserve">             244,105</t>
  </si>
  <si>
    <t xml:space="preserve">            -216,721</t>
  </si>
  <si>
    <t xml:space="preserve">                 272.3</t>
  </si>
  <si>
    <t xml:space="preserve">               9,074</t>
  </si>
  <si>
    <t xml:space="preserve">                 913.0</t>
  </si>
  <si>
    <t xml:space="preserve">              24,434</t>
  </si>
  <si>
    <t xml:space="preserve">             -15,359</t>
  </si>
  <si>
    <t xml:space="preserve">                 141</t>
  </si>
  <si>
    <t xml:space="preserve">               1,219.9</t>
  </si>
  <si>
    <t xml:space="preserve">               7,755</t>
  </si>
  <si>
    <t xml:space="preserve">              -7,614</t>
  </si>
  <si>
    <t xml:space="preserve">                  37.3</t>
  </si>
  <si>
    <t xml:space="preserve">               1,590</t>
  </si>
  <si>
    <t xml:space="preserve">                 378.6</t>
  </si>
  <si>
    <t xml:space="preserve">               6,866</t>
  </si>
  <si>
    <t xml:space="preserve">              -5,276</t>
  </si>
  <si>
    <t xml:space="preserve">              10,028.5</t>
  </si>
  <si>
    <t xml:space="preserve">              65,318</t>
  </si>
  <si>
    <t xml:space="preserve">             166,438.9</t>
  </si>
  <si>
    <t xml:space="preserve">             105,096</t>
  </si>
  <si>
    <t xml:space="preserve">             -39,778</t>
  </si>
  <si>
    <t xml:space="preserve">               2,397.4</t>
  </si>
  <si>
    <t xml:space="preserve">              29,549</t>
  </si>
  <si>
    <t xml:space="preserve">             107,345.1</t>
  </si>
  <si>
    <t xml:space="preserve">             115,812</t>
  </si>
  <si>
    <t xml:space="preserve">             -86,263</t>
  </si>
  <si>
    <t xml:space="preserve">              27,263.1</t>
  </si>
  <si>
    <t xml:space="preserve">             158,788</t>
  </si>
  <si>
    <t xml:space="preserve">              76,274.2</t>
  </si>
  <si>
    <t xml:space="preserve">             206,466</t>
  </si>
  <si>
    <t xml:space="preserve">             -47,678</t>
  </si>
  <si>
    <t xml:space="preserve">                 943.5</t>
  </si>
  <si>
    <t xml:space="preserve">             954,140</t>
  </si>
  <si>
    <t xml:space="preserve">               1,619.8</t>
  </si>
  <si>
    <t xml:space="preserve">           2,610,620</t>
  </si>
  <si>
    <t xml:space="preserve">          -1,656,480</t>
  </si>
  <si>
    <t xml:space="preserve">           2,081,853.8</t>
  </si>
  <si>
    <t xml:space="preserve">           1,772,436</t>
  </si>
  <si>
    <t xml:space="preserve">           1,120,654.9</t>
  </si>
  <si>
    <t xml:space="preserve">             898,308</t>
  </si>
  <si>
    <t xml:space="preserve">             874,129</t>
  </si>
  <si>
    <t xml:space="preserve">             201,663.5</t>
  </si>
  <si>
    <t xml:space="preserve">             563,270</t>
  </si>
  <si>
    <t xml:space="preserve">             196,362.8</t>
  </si>
  <si>
    <t xml:space="preserve">             577,826</t>
  </si>
  <si>
    <t xml:space="preserve">             -14,556</t>
  </si>
  <si>
    <t xml:space="preserve">              58,043.9</t>
  </si>
  <si>
    <t xml:space="preserve">             570,357</t>
  </si>
  <si>
    <t xml:space="preserve">              64,607.1</t>
  </si>
  <si>
    <t xml:space="preserve">             656,789</t>
  </si>
  <si>
    <t xml:space="preserve">             -86,432</t>
  </si>
  <si>
    <t xml:space="preserve">               1,312.7</t>
  </si>
  <si>
    <t xml:space="preserve">              17,879</t>
  </si>
  <si>
    <t xml:space="preserve">               4,945.1</t>
  </si>
  <si>
    <t xml:space="preserve">              82,717</t>
  </si>
  <si>
    <t xml:space="preserve">             -64,838</t>
  </si>
  <si>
    <t xml:space="preserve">              98,237.6</t>
  </si>
  <si>
    <t xml:space="preserve">             395,447</t>
  </si>
  <si>
    <t xml:space="preserve">             234,538.1</t>
  </si>
  <si>
    <t xml:space="preserve">             719,535</t>
  </si>
  <si>
    <t xml:space="preserve">            -324,089</t>
  </si>
  <si>
    <t xml:space="preserve">              26,724.9</t>
  </si>
  <si>
    <t xml:space="preserve">              13,309.0</t>
  </si>
  <si>
    <t xml:space="preserve">              29,616</t>
  </si>
  <si>
    <t xml:space="preserve">              29,150</t>
  </si>
  <si>
    <t xml:space="preserve">              44,811.4</t>
  </si>
  <si>
    <t xml:space="preserve">               4,881.6</t>
  </si>
  <si>
    <t xml:space="preserve">              21,627</t>
  </si>
  <si>
    <t xml:space="preserve">             121,205</t>
  </si>
  <si>
    <t xml:space="preserve">                  79.4</t>
  </si>
  <si>
    <t xml:space="preserve">               4,994</t>
  </si>
  <si>
    <t xml:space="preserve">               1,471.0</t>
  </si>
  <si>
    <t xml:space="preserve">              53,993</t>
  </si>
  <si>
    <t xml:space="preserve">             -48,999</t>
  </si>
  <si>
    <t xml:space="preserve">               1,931.1</t>
  </si>
  <si>
    <t xml:space="preserve">              32,423</t>
  </si>
  <si>
    <t xml:space="preserve">              11,374.7</t>
  </si>
  <si>
    <t xml:space="preserve">             117,022</t>
  </si>
  <si>
    <t xml:space="preserve">             -84,600</t>
  </si>
  <si>
    <t xml:space="preserve">               7,520.1</t>
  </si>
  <si>
    <t xml:space="preserve">             154,389</t>
  </si>
  <si>
    <t xml:space="preserve">               5,119.6</t>
  </si>
  <si>
    <t xml:space="preserve">              88,380</t>
  </si>
  <si>
    <t xml:space="preserve">              66,009</t>
  </si>
  <si>
    <t xml:space="preserve">              19,327.8</t>
  </si>
  <si>
    <t xml:space="preserve">             112,775</t>
  </si>
  <si>
    <t xml:space="preserve">               9,797.6</t>
  </si>
  <si>
    <t xml:space="preserve">              71,954</t>
  </si>
  <si>
    <t xml:space="preserve">              40,821</t>
  </si>
  <si>
    <t xml:space="preserve">             310,579.2</t>
  </si>
  <si>
    <t xml:space="preserve">           6,307,730</t>
  </si>
  <si>
    <t xml:space="preserve">             188,674.2</t>
  </si>
  <si>
    <t xml:space="preserve">           6,029,558</t>
  </si>
  <si>
    <t xml:space="preserve">             278,173</t>
  </si>
  <si>
    <t xml:space="preserve">             186,701.6</t>
  </si>
  <si>
    <t xml:space="preserve">          20,790,549</t>
  </si>
  <si>
    <t xml:space="preserve">             197,182.4</t>
  </si>
  <si>
    <t xml:space="preserve">          10,728,774</t>
  </si>
  <si>
    <t xml:space="preserve">          10,061,775</t>
  </si>
  <si>
    <t xml:space="preserve">              10,805.1</t>
  </si>
  <si>
    <t xml:space="preserve">              42,389</t>
  </si>
  <si>
    <t xml:space="preserve">               9,882.0</t>
  </si>
  <si>
    <t xml:space="preserve">              34,008</t>
  </si>
  <si>
    <t xml:space="preserve">             653,268.2</t>
  </si>
  <si>
    <t xml:space="preserve">           6,909,678</t>
  </si>
  <si>
    <t xml:space="preserve">              97,405.3</t>
  </si>
  <si>
    <t xml:space="preserve">           1,533,768</t>
  </si>
  <si>
    <t xml:space="preserve">           5,375,910</t>
  </si>
  <si>
    <t xml:space="preserve">                 501.9</t>
  </si>
  <si>
    <t xml:space="preserve">             284,003</t>
  </si>
  <si>
    <t xml:space="preserve">                 430.1</t>
  </si>
  <si>
    <t xml:space="preserve">             432,623</t>
  </si>
  <si>
    <t xml:space="preserve">            -148,620</t>
  </si>
  <si>
    <t xml:space="preserve">             977,383.1</t>
  </si>
  <si>
    <t xml:space="preserve">           4,582,113</t>
  </si>
  <si>
    <t xml:space="preserve">             201,525.9</t>
  </si>
  <si>
    <t xml:space="preserve">             343,283</t>
  </si>
  <si>
    <t xml:space="preserve">           4,238,830</t>
  </si>
  <si>
    <t xml:space="preserve">              13,469.2</t>
  </si>
  <si>
    <t xml:space="preserve">           1,269,606</t>
  </si>
  <si>
    <t xml:space="preserve">              14,705.3</t>
  </si>
  <si>
    <t xml:space="preserve">           1,908,667</t>
  </si>
  <si>
    <t xml:space="preserve">            -639,061</t>
  </si>
  <si>
    <t xml:space="preserve">                  23.5</t>
  </si>
  <si>
    <t xml:space="preserve">              20,734</t>
  </si>
  <si>
    <t xml:space="preserve">                 335.1</t>
  </si>
  <si>
    <t xml:space="preserve">             103,559</t>
  </si>
  <si>
    <t xml:space="preserve">             -82,825</t>
  </si>
  <si>
    <t xml:space="preserve">                 277.1</t>
  </si>
  <si>
    <t xml:space="preserve">               5,637</t>
  </si>
  <si>
    <t xml:space="preserve">                 587.4</t>
  </si>
  <si>
    <t xml:space="preserve">              14,573</t>
  </si>
  <si>
    <t xml:space="preserve">              -8,936</t>
  </si>
  <si>
    <t xml:space="preserve">               1,332.9</t>
  </si>
  <si>
    <t xml:space="preserve">             170,669</t>
  </si>
  <si>
    <t xml:space="preserve">                 133.1</t>
  </si>
  <si>
    <t xml:space="preserve">              13,884</t>
  </si>
  <si>
    <t xml:space="preserve">             156,784</t>
  </si>
  <si>
    <t xml:space="preserve">              13,886.3</t>
  </si>
  <si>
    <t xml:space="preserve">              98,626</t>
  </si>
  <si>
    <t xml:space="preserve">              73,297.1</t>
  </si>
  <si>
    <t xml:space="preserve">             313,457</t>
  </si>
  <si>
    <t xml:space="preserve">            -214,831</t>
  </si>
  <si>
    <t xml:space="preserve">               2,075.5</t>
  </si>
  <si>
    <t xml:space="preserve">              49,342</t>
  </si>
  <si>
    <t xml:space="preserve">              15,934.4</t>
  </si>
  <si>
    <t xml:space="preserve">             225,187</t>
  </si>
  <si>
    <t xml:space="preserve">            -175,845</t>
  </si>
  <si>
    <t xml:space="preserve">               2,157.4</t>
  </si>
  <si>
    <t xml:space="preserve">              37,300</t>
  </si>
  <si>
    <t xml:space="preserve">               9,529.3</t>
  </si>
  <si>
    <t xml:space="preserve">              81,568</t>
  </si>
  <si>
    <t xml:space="preserve">             -44,268</t>
  </si>
  <si>
    <t xml:space="preserve">                  16.6</t>
  </si>
  <si>
    <t xml:space="preserve">              33,834</t>
  </si>
  <si>
    <t xml:space="preserve">                  97.9</t>
  </si>
  <si>
    <t xml:space="preserve">              23,085</t>
  </si>
  <si>
    <t xml:space="preserve">              10,749</t>
  </si>
  <si>
    <t xml:space="preserve">                   1.3</t>
  </si>
  <si>
    <t xml:space="preserve">                 116.1</t>
  </si>
  <si>
    <t xml:space="preserve">               7,946</t>
  </si>
  <si>
    <t xml:space="preserve">              -7,500</t>
  </si>
  <si>
    <t xml:space="preserve">               5,592.7</t>
  </si>
  <si>
    <t xml:space="preserve">               8,044</t>
  </si>
  <si>
    <t xml:space="preserve">              94,918.0</t>
  </si>
  <si>
    <t xml:space="preserve">             476,406</t>
  </si>
  <si>
    <t xml:space="preserve">            -468,362</t>
  </si>
  <si>
    <t xml:space="preserve">              54,220.2</t>
  </si>
  <si>
    <t xml:space="preserve">             159,869</t>
  </si>
  <si>
    <t xml:space="preserve">             109,386.5</t>
  </si>
  <si>
    <t xml:space="preserve">             438,588</t>
  </si>
  <si>
    <t xml:space="preserve">            -278,719</t>
  </si>
  <si>
    <t xml:space="preserve">               2,458.5</t>
  </si>
  <si>
    <t xml:space="preserve">               6,208</t>
  </si>
  <si>
    <t xml:space="preserve">              30,349.9</t>
  </si>
  <si>
    <t xml:space="preserve">             124,131</t>
  </si>
  <si>
    <t xml:space="preserve">            -117,922</t>
  </si>
  <si>
    <t xml:space="preserve">               1,742.5</t>
  </si>
  <si>
    <t xml:space="preserve">               4,666</t>
  </si>
  <si>
    <t xml:space="preserve">               3,119.5</t>
  </si>
  <si>
    <t xml:space="preserve">              16,274</t>
  </si>
  <si>
    <t xml:space="preserve">             -11,608</t>
  </si>
  <si>
    <t xml:space="preserve">                 262</t>
  </si>
  <si>
    <t xml:space="preserve">               9,515.6</t>
  </si>
  <si>
    <t xml:space="preserve">              18,510</t>
  </si>
  <si>
    <t xml:space="preserve">             -18,248</t>
  </si>
  <si>
    <t xml:space="preserve">               5,106.8</t>
  </si>
  <si>
    <t xml:space="preserve">              10,784</t>
  </si>
  <si>
    <t xml:space="preserve">              86,510.8</t>
  </si>
  <si>
    <t xml:space="preserve">              68,332</t>
  </si>
  <si>
    <t xml:space="preserve">             -57,548</t>
  </si>
  <si>
    <t xml:space="preserve">              10,023.3</t>
  </si>
  <si>
    <t xml:space="preserve">              39,022</t>
  </si>
  <si>
    <t xml:space="preserve">              48,057.7</t>
  </si>
  <si>
    <t xml:space="preserve">             108,175</t>
  </si>
  <si>
    <t xml:space="preserve">             -69,153</t>
  </si>
  <si>
    <t xml:space="preserve">                 458.8</t>
  </si>
  <si>
    <t xml:space="preserve">              16,272.7</t>
  </si>
  <si>
    <t xml:space="preserve">             133,356</t>
  </si>
  <si>
    <t xml:space="preserve">            -129,568</t>
  </si>
  <si>
    <t xml:space="preserve">               5,134.3</t>
  </si>
  <si>
    <t xml:space="preserve">               4,092</t>
  </si>
  <si>
    <t xml:space="preserve">           1,369,174.6</t>
  </si>
  <si>
    <t xml:space="preserve">             364,532</t>
  </si>
  <si>
    <t xml:space="preserve">            -360,440</t>
  </si>
  <si>
    <t xml:space="preserve">               5,888.1</t>
  </si>
  <si>
    <t xml:space="preserve">               3,830</t>
  </si>
  <si>
    <t xml:space="preserve">              27,363.7</t>
  </si>
  <si>
    <t xml:space="preserve">              22,273</t>
  </si>
  <si>
    <t xml:space="preserve">             -18,444</t>
  </si>
  <si>
    <t xml:space="preserve">               1,753.7</t>
  </si>
  <si>
    <t xml:space="preserve">              39,225</t>
  </si>
  <si>
    <t xml:space="preserve">             234,429.9</t>
  </si>
  <si>
    <t xml:space="preserve">             137,447</t>
  </si>
  <si>
    <t xml:space="preserve">             -98,222</t>
  </si>
  <si>
    <t xml:space="preserve">               8,443</t>
  </si>
  <si>
    <t xml:space="preserve">               7,279.4</t>
  </si>
  <si>
    <t xml:space="preserve">              24,368</t>
  </si>
  <si>
    <t xml:space="preserve">             -15,925</t>
  </si>
  <si>
    <t xml:space="preserve">              16,986.6</t>
  </si>
  <si>
    <t xml:space="preserve">              -6,361</t>
  </si>
  <si>
    <t xml:space="preserve">              11,911.1</t>
  </si>
  <si>
    <t xml:space="preserve">              17,414</t>
  </si>
  <si>
    <t xml:space="preserve">             155,815.4</t>
  </si>
  <si>
    <t xml:space="preserve">             228,708</t>
  </si>
  <si>
    <t xml:space="preserve">            -211,293</t>
  </si>
  <si>
    <t xml:space="preserve">               4,836.8</t>
  </si>
  <si>
    <t xml:space="preserve">              29,243</t>
  </si>
  <si>
    <t xml:space="preserve">              17,215.4</t>
  </si>
  <si>
    <t xml:space="preserve">             -64,049</t>
  </si>
  <si>
    <t xml:space="preserve">              31,586.8</t>
  </si>
  <si>
    <t xml:space="preserve">              27,148</t>
  </si>
  <si>
    <t xml:space="preserve">             170,548.1</t>
  </si>
  <si>
    <t xml:space="preserve">              99,953</t>
  </si>
  <si>
    <t xml:space="preserve">             -72,805</t>
  </si>
  <si>
    <t xml:space="preserve">               2,113.1</t>
  </si>
  <si>
    <t xml:space="preserve">               4,619.2</t>
  </si>
  <si>
    <t xml:space="preserve">              48,137</t>
  </si>
  <si>
    <t xml:space="preserve">             -40,534</t>
  </si>
  <si>
    <t xml:space="preserve">              57,701.9</t>
  </si>
  <si>
    <t xml:space="preserve">             225,443</t>
  </si>
  <si>
    <t xml:space="preserve">              26,892.0</t>
  </si>
  <si>
    <t xml:space="preserve">              91,358</t>
  </si>
  <si>
    <t xml:space="preserve">             134,085</t>
  </si>
  <si>
    <t xml:space="preserve">              10,051.8</t>
  </si>
  <si>
    <t xml:space="preserve">              94,981</t>
  </si>
  <si>
    <t xml:space="preserve">              93,519.2</t>
  </si>
  <si>
    <t xml:space="preserve">             126,788</t>
  </si>
  <si>
    <t xml:space="preserve">             -31,808</t>
  </si>
  <si>
    <t xml:space="preserve">              36,217.8</t>
  </si>
  <si>
    <t xml:space="preserve">             154,517</t>
  </si>
  <si>
    <t xml:space="preserve">              32,488.3</t>
  </si>
  <si>
    <t xml:space="preserve">             226,219</t>
  </si>
  <si>
    <t xml:space="preserve">             -71,702</t>
  </si>
  <si>
    <t xml:space="preserve">              70,752.7</t>
  </si>
  <si>
    <t xml:space="preserve">              88,038</t>
  </si>
  <si>
    <t xml:space="preserve">              71,498.8</t>
  </si>
  <si>
    <t xml:space="preserve">             116,799</t>
  </si>
  <si>
    <t xml:space="preserve">             -28,762</t>
  </si>
  <si>
    <t xml:space="preserve">              33,668.7</t>
  </si>
  <si>
    <t xml:space="preserve">              28,219</t>
  </si>
  <si>
    <t xml:space="preserve">             484,037.7</t>
  </si>
  <si>
    <t xml:space="preserve">             164,791</t>
  </si>
  <si>
    <t xml:space="preserve">            -136,572</t>
  </si>
  <si>
    <t xml:space="preserve">               7,682.6</t>
  </si>
  <si>
    <t xml:space="preserve">              92,708</t>
  </si>
  <si>
    <t xml:space="preserve">               6,163.1</t>
  </si>
  <si>
    <t xml:space="preserve">              56,491</t>
  </si>
  <si>
    <t xml:space="preserve">              36,216</t>
  </si>
  <si>
    <t xml:space="preserve">             500,802.7</t>
  </si>
  <si>
    <t xml:space="preserve">              42,841</t>
  </si>
  <si>
    <t xml:space="preserve">             930,715.0</t>
  </si>
  <si>
    <t xml:space="preserve">              66,072</t>
  </si>
  <si>
    <t xml:space="preserve">             -23,231</t>
  </si>
  <si>
    <t xml:space="preserve">             302,152.3</t>
  </si>
  <si>
    <t xml:space="preserve">           6,239,470.2</t>
  </si>
  <si>
    <t xml:space="preserve">           1,690,152</t>
  </si>
  <si>
    <t xml:space="preserve">          -1,611,556</t>
  </si>
  <si>
    <t xml:space="preserve">           4,805,995.2</t>
  </si>
  <si>
    <t xml:space="preserve">           3,380,154</t>
  </si>
  <si>
    <t xml:space="preserve">          27,246,650.9</t>
  </si>
  <si>
    <t xml:space="preserve">          10,256,127</t>
  </si>
  <si>
    <t xml:space="preserve">          -6,875,973</t>
  </si>
  <si>
    <t xml:space="preserve">             528,497.1</t>
  </si>
  <si>
    <t xml:space="preserve">             683,643</t>
  </si>
  <si>
    <t xml:space="preserve">             428,199.8</t>
  </si>
  <si>
    <t xml:space="preserve">             900,337</t>
  </si>
  <si>
    <t xml:space="preserve">            -216,694</t>
  </si>
  <si>
    <t xml:space="preserve">           1,610,088.0</t>
  </si>
  <si>
    <t xml:space="preserve">           1,436,329</t>
  </si>
  <si>
    <t xml:space="preserve">             649,348.3</t>
  </si>
  <si>
    <t xml:space="preserve">             997,049</t>
  </si>
  <si>
    <t xml:space="preserve">             439,281</t>
  </si>
  <si>
    <t xml:space="preserve">               3,025.4</t>
  </si>
  <si>
    <t xml:space="preserve">             860,140</t>
  </si>
  <si>
    <t xml:space="preserve">               6,871.6</t>
  </si>
  <si>
    <t xml:space="preserve">             829,872</t>
  </si>
  <si>
    <t xml:space="preserve">              30,268</t>
  </si>
  <si>
    <t xml:space="preserve">              46,279.2</t>
  </si>
  <si>
    <t xml:space="preserve">              17,477</t>
  </si>
  <si>
    <t xml:space="preserve">              99,419.3</t>
  </si>
  <si>
    <t xml:space="preserve">              39,792</t>
  </si>
  <si>
    <t xml:space="preserve">             -22,316</t>
  </si>
  <si>
    <t xml:space="preserve">              28,425.0</t>
  </si>
  <si>
    <t xml:space="preserve">             203,725</t>
  </si>
  <si>
    <t xml:space="preserve">              21,793.8</t>
  </si>
  <si>
    <t xml:space="preserve">             170,331</t>
  </si>
  <si>
    <t xml:space="preserve">              33,394</t>
  </si>
  <si>
    <t xml:space="preserve">              39,816.6</t>
  </si>
  <si>
    <t xml:space="preserve">             906,407</t>
  </si>
  <si>
    <t xml:space="preserve">               8,490.2</t>
  </si>
  <si>
    <t xml:space="preserve">             160,706</t>
  </si>
  <si>
    <t xml:space="preserve">             745,702</t>
  </si>
  <si>
    <t xml:space="preserve">              55,670.0</t>
  </si>
  <si>
    <t xml:space="preserve">             169,474</t>
  </si>
  <si>
    <t xml:space="preserve">              22,725.4</t>
  </si>
  <si>
    <t xml:space="preserve">              86,641</t>
  </si>
  <si>
    <t xml:space="preserve">              82,833</t>
  </si>
  <si>
    <t xml:space="preserve">               6,127.1</t>
  </si>
  <si>
    <t xml:space="preserve">              78,852</t>
  </si>
  <si>
    <t xml:space="preserve">              21,481.1</t>
  </si>
  <si>
    <t xml:space="preserve">              81,422</t>
  </si>
  <si>
    <t xml:space="preserve">              -2,570</t>
  </si>
  <si>
    <t xml:space="preserve">               9,284</t>
  </si>
  <si>
    <t xml:space="preserve">               3,500</t>
  </si>
  <si>
    <t xml:space="preserve">               5,784</t>
  </si>
  <si>
    <t xml:space="preserve">               1,754.0</t>
  </si>
  <si>
    <t xml:space="preserve">              87,264</t>
  </si>
  <si>
    <t xml:space="preserve">               3,486.7</t>
  </si>
  <si>
    <t xml:space="preserve">             102,066</t>
  </si>
  <si>
    <t xml:space="preserve">             -14,802</t>
  </si>
  <si>
    <t xml:space="preserve">             103,006.1</t>
  </si>
  <si>
    <t xml:space="preserve">             650,620</t>
  </si>
  <si>
    <t xml:space="preserve">             192,535.1</t>
  </si>
  <si>
    <t xml:space="preserve">             829,707</t>
  </si>
  <si>
    <t xml:space="preserve">            -179,087</t>
  </si>
  <si>
    <t xml:space="preserve">           1,264,155.3</t>
  </si>
  <si>
    <t xml:space="preserve">           2,489,906</t>
  </si>
  <si>
    <t xml:space="preserve">             267,032.5</t>
  </si>
  <si>
    <t xml:space="preserve">           1,046,171</t>
  </si>
  <si>
    <t xml:space="preserve">           1,443,735</t>
  </si>
  <si>
    <t xml:space="preserve">             232,324.5</t>
  </si>
  <si>
    <t xml:space="preserve">             534,993</t>
  </si>
  <si>
    <t xml:space="preserve">              79,756.6</t>
  </si>
  <si>
    <t xml:space="preserve">             249,453</t>
  </si>
  <si>
    <t xml:space="preserve">             285,539</t>
  </si>
  <si>
    <t xml:space="preserve">               2,626.8</t>
  </si>
  <si>
    <t xml:space="preserve">              20,174</t>
  </si>
  <si>
    <t xml:space="preserve">               5,694.9</t>
  </si>
  <si>
    <t xml:space="preserve">              15,810</t>
  </si>
  <si>
    <t xml:space="preserve">               4,363</t>
  </si>
  <si>
    <t xml:space="preserve">                 898.7</t>
  </si>
  <si>
    <t xml:space="preserve">              54,618</t>
  </si>
  <si>
    <t xml:space="preserve">               8,726.7</t>
  </si>
  <si>
    <t xml:space="preserve">             287,910</t>
  </si>
  <si>
    <t xml:space="preserve">            -233,292</t>
  </si>
  <si>
    <t xml:space="preserve">                 645</t>
  </si>
  <si>
    <t xml:space="preserve">                  84.2</t>
  </si>
  <si>
    <t xml:space="preserve">              10,740</t>
  </si>
  <si>
    <t xml:space="preserve">             -10,095</t>
  </si>
  <si>
    <t xml:space="preserve">               4,800</t>
  </si>
  <si>
    <t xml:space="preserve">             677,180.8</t>
  </si>
  <si>
    <t xml:space="preserve">             208,993</t>
  </si>
  <si>
    <t xml:space="preserve">            -204,193</t>
  </si>
  <si>
    <t xml:space="preserve">                 108.9</t>
  </si>
  <si>
    <t xml:space="preserve">                 386</t>
  </si>
  <si>
    <t xml:space="preserve">                -369</t>
  </si>
  <si>
    <t xml:space="preserve">                  68</t>
  </si>
  <si>
    <t xml:space="preserve">                 272.2</t>
  </si>
  <si>
    <t xml:space="preserve">               1,477</t>
  </si>
  <si>
    <t xml:space="preserve">              -1,409</t>
  </si>
  <si>
    <t xml:space="preserve">              39,233.9</t>
  </si>
  <si>
    <t xml:space="preserve">               8,651</t>
  </si>
  <si>
    <t xml:space="preserve">             195,994.6</t>
  </si>
  <si>
    <t xml:space="preserve">              97,252</t>
  </si>
  <si>
    <t xml:space="preserve">             -88,601</t>
  </si>
  <si>
    <t xml:space="preserve">             215,817.9</t>
  </si>
  <si>
    <t xml:space="preserve">             205,343</t>
  </si>
  <si>
    <t xml:space="preserve">             120,582.4</t>
  </si>
  <si>
    <t xml:space="preserve">             178,773</t>
  </si>
  <si>
    <t xml:space="preserve">              26,571</t>
  </si>
  <si>
    <t xml:space="preserve">               2,377.3</t>
  </si>
  <si>
    <t xml:space="preserve">              25,234</t>
  </si>
  <si>
    <t xml:space="preserve">               1,171.1</t>
  </si>
  <si>
    <t xml:space="preserve">              20,707</t>
  </si>
  <si>
    <t xml:space="preserve">               4,527</t>
  </si>
  <si>
    <t xml:space="preserve">                  25.7</t>
  </si>
  <si>
    <t xml:space="preserve">               2,328</t>
  </si>
  <si>
    <t xml:space="preserve">                -739</t>
  </si>
  <si>
    <t xml:space="preserve">                 720.4</t>
  </si>
  <si>
    <t xml:space="preserve">              14,897</t>
  </si>
  <si>
    <t xml:space="preserve">             -12,584</t>
  </si>
  <si>
    <t xml:space="preserve">               2,886.5</t>
  </si>
  <si>
    <t xml:space="preserve">              22,927</t>
  </si>
  <si>
    <t xml:space="preserve">              17,247.4</t>
  </si>
  <si>
    <t xml:space="preserve">              51,437</t>
  </si>
  <si>
    <t xml:space="preserve">             -28,510</t>
  </si>
  <si>
    <t xml:space="preserve">                  36.6</t>
  </si>
  <si>
    <t xml:space="preserve">                 766</t>
  </si>
  <si>
    <t xml:space="preserve">                 698.3</t>
  </si>
  <si>
    <t xml:space="preserve">               3,687</t>
  </si>
  <si>
    <t xml:space="preserve">              -2,921</t>
  </si>
  <si>
    <t xml:space="preserve">              22,359.8</t>
  </si>
  <si>
    <t xml:space="preserve">             150,650</t>
  </si>
  <si>
    <t xml:space="preserve">              34,916.7</t>
  </si>
  <si>
    <t xml:space="preserve">              77,524</t>
  </si>
  <si>
    <t xml:space="preserve">              73,126</t>
  </si>
  <si>
    <t xml:space="preserve">              52,125.5</t>
  </si>
  <si>
    <t xml:space="preserve">              93,801</t>
  </si>
  <si>
    <t xml:space="preserve">              13,891.8</t>
  </si>
  <si>
    <t xml:space="preserve">              47,040</t>
  </si>
  <si>
    <t xml:space="preserve">              46,761</t>
  </si>
  <si>
    <t xml:space="preserve">              10,090.6</t>
  </si>
  <si>
    <t xml:space="preserve">              59,769</t>
  </si>
  <si>
    <t xml:space="preserve">              17,560.6</t>
  </si>
  <si>
    <t xml:space="preserve">              54,893</t>
  </si>
  <si>
    <t xml:space="preserve">               4,876</t>
  </si>
  <si>
    <t xml:space="preserve">                 499.8</t>
  </si>
  <si>
    <t xml:space="preserve">               4,549</t>
  </si>
  <si>
    <t xml:space="preserve">               5,725.6</t>
  </si>
  <si>
    <t xml:space="preserve">               9,908</t>
  </si>
  <si>
    <t xml:space="preserve">              -5,358</t>
  </si>
  <si>
    <t xml:space="preserve">               1,116.4</t>
  </si>
  <si>
    <t xml:space="preserve">              15,784</t>
  </si>
  <si>
    <t xml:space="preserve">               1,328.4</t>
  </si>
  <si>
    <t xml:space="preserve">               8,652</t>
  </si>
  <si>
    <t xml:space="preserve">               7,133</t>
  </si>
  <si>
    <t xml:space="preserve">               8,072.2</t>
  </si>
  <si>
    <t xml:space="preserve">              86,040</t>
  </si>
  <si>
    <t xml:space="preserve">               5,530.1</t>
  </si>
  <si>
    <t xml:space="preserve">              30,843</t>
  </si>
  <si>
    <t xml:space="preserve">              55,197</t>
  </si>
  <si>
    <t xml:space="preserve">              14,680.5</t>
  </si>
  <si>
    <t xml:space="preserve">             114,830</t>
  </si>
  <si>
    <t xml:space="preserve">               2,241.5</t>
  </si>
  <si>
    <t xml:space="preserve">               9,841</t>
  </si>
  <si>
    <t xml:space="preserve">             104,988</t>
  </si>
  <si>
    <t xml:space="preserve">               2,800.6</t>
  </si>
  <si>
    <t xml:space="preserve">              73,679</t>
  </si>
  <si>
    <t xml:space="preserve">              25,597.3</t>
  </si>
  <si>
    <t xml:space="preserve">             402,630</t>
  </si>
  <si>
    <t xml:space="preserve">            -328,951</t>
  </si>
  <si>
    <t xml:space="preserve">               4,005.8</t>
  </si>
  <si>
    <t xml:space="preserve">             108,877</t>
  </si>
  <si>
    <t xml:space="preserve">              23,063.7</t>
  </si>
  <si>
    <t xml:space="preserve">             521,433</t>
  </si>
  <si>
    <t xml:space="preserve">            -412,556</t>
  </si>
  <si>
    <t xml:space="preserve">              24,824.8</t>
  </si>
  <si>
    <t xml:space="preserve">              43,988</t>
  </si>
  <si>
    <t xml:space="preserve">              26,518.2</t>
  </si>
  <si>
    <t xml:space="preserve">             117,278</t>
  </si>
  <si>
    <t xml:space="preserve">             -73,291</t>
  </si>
  <si>
    <t xml:space="preserve">               1,306.4</t>
  </si>
  <si>
    <t xml:space="preserve">              27,306</t>
  </si>
  <si>
    <t xml:space="preserve">              10,313.9</t>
  </si>
  <si>
    <t xml:space="preserve">             249,879</t>
  </si>
  <si>
    <t xml:space="preserve">            -222,573</t>
  </si>
  <si>
    <t xml:space="preserve">                 267.8</t>
  </si>
  <si>
    <t xml:space="preserve">               9,368</t>
  </si>
  <si>
    <t xml:space="preserve">                 959.4</t>
  </si>
  <si>
    <t xml:space="preserve">              23,747</t>
  </si>
  <si>
    <t xml:space="preserve">             -14,379</t>
  </si>
  <si>
    <t xml:space="preserve">                   5.9</t>
  </si>
  <si>
    <t xml:space="preserve">                 151</t>
  </si>
  <si>
    <t xml:space="preserve">                 883.4</t>
  </si>
  <si>
    <t xml:space="preserve">              -6,188</t>
  </si>
  <si>
    <t xml:space="preserve">                  24.9</t>
  </si>
  <si>
    <t xml:space="preserve">               1,729</t>
  </si>
  <si>
    <t xml:space="preserve">                 429.2</t>
  </si>
  <si>
    <t xml:space="preserve">               7,501</t>
  </si>
  <si>
    <t xml:space="preserve">              -5,772</t>
  </si>
  <si>
    <t xml:space="preserve">              11,140.2</t>
  </si>
  <si>
    <t xml:space="preserve">              77,557</t>
  </si>
  <si>
    <t xml:space="preserve">             180,027.9</t>
  </si>
  <si>
    <t xml:space="preserve">             103,074</t>
  </si>
  <si>
    <t xml:space="preserve">             -25,517</t>
  </si>
  <si>
    <t xml:space="preserve">               2,560.4</t>
  </si>
  <si>
    <t xml:space="preserve">              34,029</t>
  </si>
  <si>
    <t xml:space="preserve">             106,308.8</t>
  </si>
  <si>
    <t xml:space="preserve">             112,887</t>
  </si>
  <si>
    <t xml:space="preserve">             -78,858</t>
  </si>
  <si>
    <t xml:space="preserve">              26,406.3</t>
  </si>
  <si>
    <t xml:space="preserve">             151,193</t>
  </si>
  <si>
    <t xml:space="preserve">              73,340.7</t>
  </si>
  <si>
    <t xml:space="preserve">             215,200</t>
  </si>
  <si>
    <t xml:space="preserve">             -64,007</t>
  </si>
  <si>
    <t xml:space="preserve">                 825.1</t>
  </si>
  <si>
    <t xml:space="preserve">           1,043,507</t>
  </si>
  <si>
    <t xml:space="preserve">               1,564.3</t>
  </si>
  <si>
    <t xml:space="preserve">           2,063,873</t>
  </si>
  <si>
    <t xml:space="preserve">          -1,020,366</t>
  </si>
  <si>
    <t xml:space="preserve">           1,964,129.5</t>
  </si>
  <si>
    <t xml:space="preserve">           1,670,397</t>
  </si>
  <si>
    <t xml:space="preserve">           1,100,096.8</t>
  </si>
  <si>
    <t xml:space="preserve">             899,878</t>
  </si>
  <si>
    <t xml:space="preserve">             770,519</t>
  </si>
  <si>
    <t xml:space="preserve">             239,833.1</t>
  </si>
  <si>
    <t xml:space="preserve">             672,462</t>
  </si>
  <si>
    <t xml:space="preserve">             203,774.0</t>
  </si>
  <si>
    <t xml:space="preserve">             565,396</t>
  </si>
  <si>
    <t xml:space="preserve">             107,066</t>
  </si>
  <si>
    <t xml:space="preserve">              65,441.8</t>
  </si>
  <si>
    <t xml:space="preserve">             633,637</t>
  </si>
  <si>
    <t xml:space="preserve">              67,925.7</t>
  </si>
  <si>
    <t xml:space="preserve">             718,643</t>
  </si>
  <si>
    <t xml:space="preserve">             -85,006</t>
  </si>
  <si>
    <t xml:space="preserve">                 946.4</t>
  </si>
  <si>
    <t xml:space="preserve">              18,506</t>
  </si>
  <si>
    <t xml:space="preserve">               3,964.0</t>
  </si>
  <si>
    <t xml:space="preserve">              89,469</t>
  </si>
  <si>
    <t xml:space="preserve">             -70,963</t>
  </si>
  <si>
    <t xml:space="preserve">              93,692.6</t>
  </si>
  <si>
    <t xml:space="preserve">             392,581</t>
  </si>
  <si>
    <t xml:space="preserve">             223,190.8</t>
  </si>
  <si>
    <t xml:space="preserve">             699,462</t>
  </si>
  <si>
    <t xml:space="preserve">            -306,881</t>
  </si>
  <si>
    <t xml:space="preserve">              21,124.1</t>
  </si>
  <si>
    <t xml:space="preserve">              46,204</t>
  </si>
  <si>
    <t xml:space="preserve">              12,493.0</t>
  </si>
  <si>
    <t xml:space="preserve">              27,965</t>
  </si>
  <si>
    <t xml:space="preserve">              18,239</t>
  </si>
  <si>
    <t xml:space="preserve">              37,937.0</t>
  </si>
  <si>
    <t xml:space="preserve">             126,404</t>
  </si>
  <si>
    <t xml:space="preserve">               2,005.9</t>
  </si>
  <si>
    <t xml:space="preserve">              13,486</t>
  </si>
  <si>
    <t xml:space="preserve">             112,919</t>
  </si>
  <si>
    <t xml:space="preserve">                 134.3</t>
  </si>
  <si>
    <t xml:space="preserve">               5,441</t>
  </si>
  <si>
    <t xml:space="preserve">              45,397</t>
  </si>
  <si>
    <t xml:space="preserve">             -39,955</t>
  </si>
  <si>
    <t xml:space="preserve">               2,556.2</t>
  </si>
  <si>
    <t xml:space="preserve">              44,326</t>
  </si>
  <si>
    <t xml:space="preserve">              14,537.7</t>
  </si>
  <si>
    <t xml:space="preserve">             127,212</t>
  </si>
  <si>
    <t xml:space="preserve">             -82,886</t>
  </si>
  <si>
    <t xml:space="preserve">               6,989.0</t>
  </si>
  <si>
    <t xml:space="preserve">             156,007</t>
  </si>
  <si>
    <t xml:space="preserve">               4,903.0</t>
  </si>
  <si>
    <t xml:space="preserve">              81,255</t>
  </si>
  <si>
    <t xml:space="preserve">              74,752</t>
  </si>
  <si>
    <t xml:space="preserve">              20,754.9</t>
  </si>
  <si>
    <t xml:space="preserve">             120,175</t>
  </si>
  <si>
    <t xml:space="preserve">              10,766.2</t>
  </si>
  <si>
    <t xml:space="preserve">              73,905</t>
  </si>
  <si>
    <t xml:space="preserve">              46,269</t>
  </si>
  <si>
    <t xml:space="preserve">             366,789.0</t>
  </si>
  <si>
    <t xml:space="preserve">           7,692,368</t>
  </si>
  <si>
    <t xml:space="preserve">             199,772.1</t>
  </si>
  <si>
    <t xml:space="preserve">           6,155,497</t>
  </si>
  <si>
    <t xml:space="preserve">           1,536,871</t>
  </si>
  <si>
    <t xml:space="preserve">             211,940.5</t>
  </si>
  <si>
    <t xml:space="preserve">          22,241,662</t>
  </si>
  <si>
    <t xml:space="preserve">             205,447.7</t>
  </si>
  <si>
    <t xml:space="preserve">          10,846,411</t>
  </si>
  <si>
    <t xml:space="preserve">          11,395,251</t>
  </si>
  <si>
    <t xml:space="preserve">              11,415.0</t>
  </si>
  <si>
    <t xml:space="preserve">              73,832</t>
  </si>
  <si>
    <t xml:space="preserve">               9,760.7</t>
  </si>
  <si>
    <t xml:space="preserve">              46,953</t>
  </si>
  <si>
    <t xml:space="preserve">              26,879</t>
  </si>
  <si>
    <t xml:space="preserve">             712,787.4</t>
  </si>
  <si>
    <t xml:space="preserve">           7,861,930</t>
  </si>
  <si>
    <t xml:space="preserve">             101,090.8</t>
  </si>
  <si>
    <t xml:space="preserve">           1,602,851</t>
  </si>
  <si>
    <t xml:space="preserve">           6,259,079</t>
  </si>
  <si>
    <t xml:space="preserve">                 520.4</t>
  </si>
  <si>
    <t xml:space="preserve">             203,591</t>
  </si>
  <si>
    <t xml:space="preserve">                 456.8</t>
  </si>
  <si>
    <t xml:space="preserve">             371,354</t>
  </si>
  <si>
    <t xml:space="preserve">            -167,763</t>
  </si>
  <si>
    <t xml:space="preserve">             448,408.4</t>
  </si>
  <si>
    <t xml:space="preserve">           1,682,410</t>
  </si>
  <si>
    <t xml:space="preserve">             377,716.3</t>
  </si>
  <si>
    <t xml:space="preserve">             419,918</t>
  </si>
  <si>
    <t xml:space="preserve">           1,262,492</t>
  </si>
  <si>
    <t xml:space="preserve">              15,008.1</t>
  </si>
  <si>
    <t xml:space="preserve">           1,368,222</t>
  </si>
  <si>
    <t xml:space="preserve">              15,039.2</t>
  </si>
  <si>
    <t xml:space="preserve">           1,962,873</t>
  </si>
  <si>
    <t xml:space="preserve">            -594,651</t>
  </si>
  <si>
    <t xml:space="preserve">                  11.7</t>
  </si>
  <si>
    <t xml:space="preserve">              23,712</t>
  </si>
  <si>
    <t xml:space="preserve">             111,863</t>
  </si>
  <si>
    <t xml:space="preserve">             -88,151</t>
  </si>
  <si>
    <t xml:space="preserve">                 383.0</t>
  </si>
  <si>
    <t xml:space="preserve">               7,915</t>
  </si>
  <si>
    <t xml:space="preserve">                 761.2</t>
  </si>
  <si>
    <t xml:space="preserve">              15,664</t>
  </si>
  <si>
    <t xml:space="preserve">              -7,748</t>
  </si>
  <si>
    <t xml:space="preserve">               3,768.3</t>
  </si>
  <si>
    <t xml:space="preserve">             344,118</t>
  </si>
  <si>
    <t xml:space="preserve">                 179.6</t>
  </si>
  <si>
    <t xml:space="preserve">              47,113</t>
  </si>
  <si>
    <t xml:space="preserve">             297,004</t>
  </si>
  <si>
    <t xml:space="preserve">              14,766.6</t>
  </si>
  <si>
    <t xml:space="preserve">             108,427</t>
  </si>
  <si>
    <t xml:space="preserve">              77,726.3</t>
  </si>
  <si>
    <t xml:space="preserve">             323,023</t>
  </si>
  <si>
    <t xml:space="preserve">            -214,596</t>
  </si>
  <si>
    <t xml:space="preserve">               2,466.1</t>
  </si>
  <si>
    <t xml:space="preserve">              58,095</t>
  </si>
  <si>
    <t xml:space="preserve">              15,622.9</t>
  </si>
  <si>
    <t xml:space="preserve">             241,512</t>
  </si>
  <si>
    <t xml:space="preserve">            -183,417</t>
  </si>
  <si>
    <t xml:space="preserve">               2,357.7</t>
  </si>
  <si>
    <t xml:space="preserve">              37,757</t>
  </si>
  <si>
    <t xml:space="preserve">              10,548.5</t>
  </si>
  <si>
    <t xml:space="preserve">              84,149</t>
  </si>
  <si>
    <t xml:space="preserve">             -46,393</t>
  </si>
  <si>
    <t xml:space="preserve">              14,417</t>
  </si>
  <si>
    <t xml:space="preserve">                  81.5</t>
  </si>
  <si>
    <t xml:space="preserve">              44,623</t>
  </si>
  <si>
    <t xml:space="preserve">             -30,206</t>
  </si>
  <si>
    <t xml:space="preserve">                 986</t>
  </si>
  <si>
    <t xml:space="preserve">                 150.6</t>
  </si>
  <si>
    <t xml:space="preserve">               7,127</t>
  </si>
  <si>
    <t xml:space="preserve">              -6,142</t>
  </si>
  <si>
    <t xml:space="preserve">               5,325.6</t>
  </si>
  <si>
    <t xml:space="preserve">               8,391</t>
  </si>
  <si>
    <t xml:space="preserve">              96,650.0</t>
  </si>
  <si>
    <t xml:space="preserve">             454,120</t>
  </si>
  <si>
    <t xml:space="preserve">            -445,729</t>
  </si>
  <si>
    <t xml:space="preserve">              72,264.3</t>
  </si>
  <si>
    <t xml:space="preserve">             203,518</t>
  </si>
  <si>
    <t xml:space="preserve">             124,589.6</t>
  </si>
  <si>
    <t xml:space="preserve">             551,878</t>
  </si>
  <si>
    <t xml:space="preserve">            -348,360</t>
  </si>
  <si>
    <t xml:space="preserve">               3,233.9</t>
  </si>
  <si>
    <t xml:space="preserve">               8,647</t>
  </si>
  <si>
    <t xml:space="preserve">              32,271.6</t>
  </si>
  <si>
    <t xml:space="preserve">             143,192</t>
  </si>
  <si>
    <t xml:space="preserve">            -134,545</t>
  </si>
  <si>
    <t xml:space="preserve">               1,281.1</t>
  </si>
  <si>
    <t xml:space="preserve">               4,392</t>
  </si>
  <si>
    <t xml:space="preserve">               4,108.1</t>
  </si>
  <si>
    <t xml:space="preserve">              20,489</t>
  </si>
  <si>
    <t xml:space="preserve">             -16,097</t>
  </si>
  <si>
    <t xml:space="preserve">                  40.7</t>
  </si>
  <si>
    <t xml:space="preserve">                 593</t>
  </si>
  <si>
    <t xml:space="preserve">              11,040.2</t>
  </si>
  <si>
    <t xml:space="preserve">              19,085</t>
  </si>
  <si>
    <t xml:space="preserve">             -18,492</t>
  </si>
  <si>
    <t xml:space="preserve">               5,400.7</t>
  </si>
  <si>
    <t xml:space="preserve">              11,424</t>
  </si>
  <si>
    <t xml:space="preserve">             101,326.4</t>
  </si>
  <si>
    <t xml:space="preserve">              78,714</t>
  </si>
  <si>
    <t xml:space="preserve">             -67,290</t>
  </si>
  <si>
    <t xml:space="preserve">               9,261.3</t>
  </si>
  <si>
    <t xml:space="preserve">              52,188</t>
  </si>
  <si>
    <t xml:space="preserve">              55,106.0</t>
  </si>
  <si>
    <t xml:space="preserve">             144,864</t>
  </si>
  <si>
    <t xml:space="preserve">             -92,677</t>
  </si>
  <si>
    <t xml:space="preserve">                 508.2</t>
  </si>
  <si>
    <t xml:space="preserve">               4,454</t>
  </si>
  <si>
    <t xml:space="preserve">              16,019.1</t>
  </si>
  <si>
    <t xml:space="preserve">             133,584</t>
  </si>
  <si>
    <t xml:space="preserve">            -129,131</t>
  </si>
  <si>
    <t xml:space="preserve">               6,272.2</t>
  </si>
  <si>
    <t xml:space="preserve">               9,768</t>
  </si>
  <si>
    <t xml:space="preserve">           1,505,644.3</t>
  </si>
  <si>
    <t xml:space="preserve">             410,763</t>
  </si>
  <si>
    <t xml:space="preserve">            -400,995</t>
  </si>
  <si>
    <t xml:space="preserve">               5,455.9</t>
  </si>
  <si>
    <t xml:space="preserve">               3,658</t>
  </si>
  <si>
    <t xml:space="preserve">              44,517.8</t>
  </si>
  <si>
    <t xml:space="preserve">              34,872</t>
  </si>
  <si>
    <t xml:space="preserve">             -31,214</t>
  </si>
  <si>
    <t xml:space="preserve">               1,874.7</t>
  </si>
  <si>
    <t xml:space="preserve">              51,279</t>
  </si>
  <si>
    <t xml:space="preserve">             298,970.3</t>
  </si>
  <si>
    <t xml:space="preserve">             170,430</t>
  </si>
  <si>
    <t xml:space="preserve">            -119,151</t>
  </si>
  <si>
    <t xml:space="preserve">                 338.0</t>
  </si>
  <si>
    <t xml:space="preserve">               7,785</t>
  </si>
  <si>
    <t xml:space="preserve">               8,678.6</t>
  </si>
  <si>
    <t xml:space="preserve">              30,499</t>
  </si>
  <si>
    <t xml:space="preserve">             -22,714</t>
  </si>
  <si>
    <t xml:space="preserve">                  63</t>
  </si>
  <si>
    <t xml:space="preserve">              47,190.3</t>
  </si>
  <si>
    <t xml:space="preserve">               9,329</t>
  </si>
  <si>
    <t xml:space="preserve">              -9,266</t>
  </si>
  <si>
    <t xml:space="preserve">              18,220.4</t>
  </si>
  <si>
    <t xml:space="preserve">              24,038</t>
  </si>
  <si>
    <t xml:space="preserve">             145,086.8</t>
  </si>
  <si>
    <t xml:space="preserve">             235,961</t>
  </si>
  <si>
    <t xml:space="preserve">            -211,923</t>
  </si>
  <si>
    <t xml:space="preserve">               4,244.4</t>
  </si>
  <si>
    <t xml:space="preserve">              28,030</t>
  </si>
  <si>
    <t xml:space="preserve">              15,341.1</t>
  </si>
  <si>
    <t xml:space="preserve">              83,939</t>
  </si>
  <si>
    <t xml:space="preserve">             -55,908</t>
  </si>
  <si>
    <t xml:space="preserve">              26,551.9</t>
  </si>
  <si>
    <t xml:space="preserve">              25,088</t>
  </si>
  <si>
    <t xml:space="preserve">             175,901.8</t>
  </si>
  <si>
    <t xml:space="preserve">             116,123</t>
  </si>
  <si>
    <t xml:space="preserve">             -91,035</t>
  </si>
  <si>
    <t xml:space="preserve">               2,240.5</t>
  </si>
  <si>
    <t xml:space="preserve">               8,460</t>
  </si>
  <si>
    <t xml:space="preserve">               5,780.8</t>
  </si>
  <si>
    <t xml:space="preserve">              57,345</t>
  </si>
  <si>
    <t xml:space="preserve">             -48,884</t>
  </si>
  <si>
    <t xml:space="preserve">              59,857.0</t>
  </si>
  <si>
    <t xml:space="preserve">             242,221</t>
  </si>
  <si>
    <t xml:space="preserve">              34,436.0</t>
  </si>
  <si>
    <t xml:space="preserve">             113,648</t>
  </si>
  <si>
    <t xml:space="preserve">             128,573</t>
  </si>
  <si>
    <t xml:space="preserve">              10,806.1</t>
  </si>
  <si>
    <t xml:space="preserve">             104,969</t>
  </si>
  <si>
    <t xml:space="preserve">             104,187.2</t>
  </si>
  <si>
    <t xml:space="preserve">             147,100</t>
  </si>
  <si>
    <t xml:space="preserve">             -42,131</t>
  </si>
  <si>
    <t xml:space="preserve">              36,174.2</t>
  </si>
  <si>
    <t xml:space="preserve">             167,692</t>
  </si>
  <si>
    <t xml:space="preserve">              35,298.8</t>
  </si>
  <si>
    <t xml:space="preserve">             258,948</t>
  </si>
  <si>
    <t xml:space="preserve">             -91,256</t>
  </si>
  <si>
    <t xml:space="preserve">              77,606.4</t>
  </si>
  <si>
    <t xml:space="preserve">              92,818</t>
  </si>
  <si>
    <t xml:space="preserve">              88,783.9</t>
  </si>
  <si>
    <t xml:space="preserve">             142,415</t>
  </si>
  <si>
    <t xml:space="preserve">             -49,597</t>
  </si>
  <si>
    <t xml:space="preserve">              36,102.2</t>
  </si>
  <si>
    <t xml:space="preserve">              29,874</t>
  </si>
  <si>
    <t xml:space="preserve">             618,836.8</t>
  </si>
  <si>
    <t xml:space="preserve">             202,832</t>
  </si>
  <si>
    <t xml:space="preserve">            -172,958</t>
  </si>
  <si>
    <t xml:space="preserve">               6,973.4</t>
  </si>
  <si>
    <t xml:space="preserve">              60,593</t>
  </si>
  <si>
    <t xml:space="preserve">               8,735.0</t>
  </si>
  <si>
    <t xml:space="preserve">              72,695</t>
  </si>
  <si>
    <t xml:space="preserve">             -12,102</t>
  </si>
  <si>
    <t xml:space="preserve">             639,160.0</t>
  </si>
  <si>
    <t xml:space="preserve">              67,065</t>
  </si>
  <si>
    <t xml:space="preserve">           1,106,499.3</t>
  </si>
  <si>
    <t xml:space="preserve">              75,735</t>
  </si>
  <si>
    <t xml:space="preserve">             192,123.9</t>
  </si>
  <si>
    <t xml:space="preserve">              73,494</t>
  </si>
  <si>
    <t xml:space="preserve">           6,759,360.5</t>
  </si>
  <si>
    <t xml:space="preserve">           1,849,101</t>
  </si>
  <si>
    <t xml:space="preserve">          -1,775,607</t>
  </si>
  <si>
    <t xml:space="preserve">           6,503,274.5</t>
  </si>
  <si>
    <t xml:space="preserve">           4,279,615</t>
  </si>
  <si>
    <t xml:space="preserve">          29,238,340.4</t>
  </si>
  <si>
    <t xml:space="preserve">          11,246,980</t>
  </si>
  <si>
    <t xml:space="preserve">          -6,967,365</t>
  </si>
  <si>
    <t xml:space="preserve">             534,538.0</t>
  </si>
  <si>
    <t xml:space="preserve">             786,439</t>
  </si>
  <si>
    <t xml:space="preserve">             474,652.2</t>
  </si>
  <si>
    <t xml:space="preserve">             913,452</t>
  </si>
  <si>
    <t xml:space="preserve">            -127,013</t>
  </si>
  <si>
    <t xml:space="preserve">           1,787,899.4</t>
  </si>
  <si>
    <t xml:space="preserve">           1,667,103</t>
  </si>
  <si>
    <t xml:space="preserve">             758,467.3</t>
  </si>
  <si>
    <t xml:space="preserve">           1,239,745</t>
  </si>
  <si>
    <t xml:space="preserve">             427,358</t>
  </si>
  <si>
    <t xml:space="preserve">               3,444.4</t>
  </si>
  <si>
    <t xml:space="preserve">             803,942</t>
  </si>
  <si>
    <t xml:space="preserve">               8,656.3</t>
  </si>
  <si>
    <t xml:space="preserve">             870,827</t>
  </si>
  <si>
    <t xml:space="preserve">             -66,885</t>
  </si>
  <si>
    <t xml:space="preserve">             137,544.8</t>
  </si>
  <si>
    <t xml:space="preserve">              51,873</t>
  </si>
  <si>
    <t xml:space="preserve">             108,705.5</t>
  </si>
  <si>
    <t xml:space="preserve">              49,990</t>
  </si>
  <si>
    <t xml:space="preserve">               1,883</t>
  </si>
  <si>
    <t xml:space="preserve">              29,773.6</t>
  </si>
  <si>
    <t xml:space="preserve">             224,733</t>
  </si>
  <si>
    <t xml:space="preserve">              24,848.5</t>
  </si>
  <si>
    <t xml:space="preserve">             194,813</t>
  </si>
  <si>
    <t xml:space="preserve">              29,920</t>
  </si>
  <si>
    <t xml:space="preserve">              43,355.8</t>
  </si>
  <si>
    <t xml:space="preserve">           1,033,401</t>
  </si>
  <si>
    <t xml:space="preserve">              10,840.9</t>
  </si>
  <si>
    <t xml:space="preserve">             195,995</t>
  </si>
  <si>
    <t xml:space="preserve">             837,405</t>
  </si>
  <si>
    <t xml:space="preserve">              58,081.5</t>
  </si>
  <si>
    <t xml:space="preserve">             169,659</t>
  </si>
  <si>
    <t xml:space="preserve">              25,994.4</t>
  </si>
  <si>
    <t xml:space="preserve">              99,467</t>
  </si>
  <si>
    <t xml:space="preserve">              70,192</t>
  </si>
  <si>
    <t xml:space="preserve">               6,905.8</t>
  </si>
  <si>
    <t xml:space="preserve">              81,503</t>
  </si>
  <si>
    <t xml:space="preserve">              29,336.1</t>
  </si>
  <si>
    <t xml:space="preserve">             102,380</t>
  </si>
  <si>
    <t xml:space="preserve">             -20,877</t>
  </si>
  <si>
    <t xml:space="preserve">                 318.5</t>
  </si>
  <si>
    <t xml:space="preserve">              17,296</t>
  </si>
  <si>
    <t xml:space="preserve">                 434.7</t>
  </si>
  <si>
    <t xml:space="preserve">              13,518</t>
  </si>
  <si>
    <t xml:space="preserve">               3,778</t>
  </si>
  <si>
    <t xml:space="preserve">               1,936.7</t>
  </si>
  <si>
    <t xml:space="preserve">              95,512</t>
  </si>
  <si>
    <t xml:space="preserve">               3,730.8</t>
  </si>
  <si>
    <t xml:space="preserve">             113,436</t>
  </si>
  <si>
    <t xml:space="preserve">             -17,924</t>
  </si>
  <si>
    <t xml:space="preserve">             110,211.0</t>
  </si>
  <si>
    <t xml:space="preserve">             667,452</t>
  </si>
  <si>
    <t xml:space="preserve">             310,397.6</t>
  </si>
  <si>
    <t xml:space="preserve">             938,448</t>
  </si>
  <si>
    <t xml:space="preserve">            -270,997</t>
  </si>
  <si>
    <t xml:space="preserve">           1,523,511.5</t>
  </si>
  <si>
    <t xml:space="preserve">           2,849,819</t>
  </si>
  <si>
    <t xml:space="preserve">             304,825.7</t>
  </si>
  <si>
    <t xml:space="preserve">           1,262,595</t>
  </si>
  <si>
    <t xml:space="preserve">           1,587,224</t>
  </si>
  <si>
    <t xml:space="preserve">             267,272.3</t>
  </si>
  <si>
    <t xml:space="preserve">             620,681</t>
  </si>
  <si>
    <t xml:space="preserve">              94,458.1</t>
  </si>
  <si>
    <t xml:space="preserve">             293,196</t>
  </si>
  <si>
    <t xml:space="preserve">             327,485</t>
  </si>
  <si>
    <t xml:space="preserve">               2,449.2</t>
  </si>
  <si>
    <t xml:space="preserve">              21,524</t>
  </si>
  <si>
    <t xml:space="preserve">               6,481.1</t>
  </si>
  <si>
    <t xml:space="preserve">              23,412</t>
  </si>
  <si>
    <t xml:space="preserve">              -1,888</t>
  </si>
  <si>
    <t xml:space="preserve">                 844.0</t>
  </si>
  <si>
    <t xml:space="preserve">              47,897</t>
  </si>
  <si>
    <t xml:space="preserve">               9,970.1</t>
  </si>
  <si>
    <t xml:space="preserve">             350,666</t>
  </si>
  <si>
    <t xml:space="preserve">            -302,769</t>
  </si>
  <si>
    <t xml:space="preserve">                 517</t>
  </si>
  <si>
    <t xml:space="preserve">                  92.1</t>
  </si>
  <si>
    <t xml:space="preserve">              10,017</t>
  </si>
  <si>
    <t xml:space="preserve">              -9,499</t>
  </si>
  <si>
    <t xml:space="preserve">               3,656.1</t>
  </si>
  <si>
    <t xml:space="preserve">               6,284</t>
  </si>
  <si>
    <t xml:space="preserve">             798,067.0</t>
  </si>
  <si>
    <t xml:space="preserve">             243,333</t>
  </si>
  <si>
    <t xml:space="preserve">            -237,049</t>
  </si>
  <si>
    <t xml:space="preserve">                 120.3</t>
  </si>
  <si>
    <t xml:space="preserve">               1,062</t>
  </si>
  <si>
    <t xml:space="preserve">              -1,023</t>
  </si>
  <si>
    <t xml:space="preserve">                   4.6</t>
  </si>
  <si>
    <t xml:space="preserve">                 185</t>
  </si>
  <si>
    <t xml:space="preserve">               1,691</t>
  </si>
  <si>
    <t xml:space="preserve">              -1,506</t>
  </si>
  <si>
    <t xml:space="preserve">              44,268.8</t>
  </si>
  <si>
    <t xml:space="preserve">             211,497.9</t>
  </si>
  <si>
    <t xml:space="preserve">             105,614</t>
  </si>
  <si>
    <t xml:space="preserve">             -94,994</t>
  </si>
  <si>
    <t xml:space="preserve">             245,414.1</t>
  </si>
  <si>
    <t xml:space="preserve">             227,466</t>
  </si>
  <si>
    <t xml:space="preserve">             142,850.8</t>
  </si>
  <si>
    <t xml:space="preserve">             210,253</t>
  </si>
  <si>
    <t xml:space="preserve">              17,213</t>
  </si>
  <si>
    <t xml:space="preserve">               2,607.7</t>
  </si>
  <si>
    <t xml:space="preserve">              27,117</t>
  </si>
  <si>
    <t xml:space="preserve">               1,416.8</t>
  </si>
  <si>
    <t xml:space="preserve">              32,648</t>
  </si>
  <si>
    <t xml:space="preserve">              -5,531</t>
  </si>
  <si>
    <t xml:space="preserve">                   8.9</t>
  </si>
  <si>
    <t xml:space="preserve">               1,541</t>
  </si>
  <si>
    <t xml:space="preserve">               2,884</t>
  </si>
  <si>
    <t xml:space="preserve">              -1,344</t>
  </si>
  <si>
    <t xml:space="preserve">                  72.6</t>
  </si>
  <si>
    <t xml:space="preserve">               1,324</t>
  </si>
  <si>
    <t xml:space="preserve">              16,688</t>
  </si>
  <si>
    <t xml:space="preserve">             -15,363</t>
  </si>
  <si>
    <t xml:space="preserve">               3,334.9</t>
  </si>
  <si>
    <t xml:space="preserve">              26,699</t>
  </si>
  <si>
    <t xml:space="preserve">              19,983.5</t>
  </si>
  <si>
    <t xml:space="preserve">              59,075</t>
  </si>
  <si>
    <t xml:space="preserve">             -32,376</t>
  </si>
  <si>
    <t xml:space="preserve">                 880</t>
  </si>
  <si>
    <t xml:space="preserve">               1,128.3</t>
  </si>
  <si>
    <t xml:space="preserve">               4,900</t>
  </si>
  <si>
    <t xml:space="preserve">              -4,019</t>
  </si>
  <si>
    <t xml:space="preserve">              25,077.4</t>
  </si>
  <si>
    <t xml:space="preserve">             168,488</t>
  </si>
  <si>
    <t xml:space="preserve">              45,363.8</t>
  </si>
  <si>
    <t xml:space="preserve">              90,053</t>
  </si>
  <si>
    <t xml:space="preserve">              78,435</t>
  </si>
  <si>
    <t xml:space="preserve">              54,480.9</t>
  </si>
  <si>
    <t xml:space="preserve">             103,834</t>
  </si>
  <si>
    <t xml:space="preserve">              14,857.8</t>
  </si>
  <si>
    <t xml:space="preserve">              49,475</t>
  </si>
  <si>
    <t xml:space="preserve">              54,359</t>
  </si>
  <si>
    <t xml:space="preserve">              11,003.2</t>
  </si>
  <si>
    <t xml:space="preserve">              65,123</t>
  </si>
  <si>
    <t xml:space="preserve">              20,531.9</t>
  </si>
  <si>
    <t xml:space="preserve">              62,850</t>
  </si>
  <si>
    <t xml:space="preserve">               2,273</t>
  </si>
  <si>
    <t xml:space="preserve">                 571.7</t>
  </si>
  <si>
    <t xml:space="preserve">               7,159</t>
  </si>
  <si>
    <t xml:space="preserve">               5,730.0</t>
  </si>
  <si>
    <t xml:space="preserve">              10,210</t>
  </si>
  <si>
    <t xml:space="preserve">              -3,051</t>
  </si>
  <si>
    <t xml:space="preserve">               1,245.1</t>
  </si>
  <si>
    <t xml:space="preserve">              16,358</t>
  </si>
  <si>
    <t xml:space="preserve">                 930.3</t>
  </si>
  <si>
    <t xml:space="preserve">               7,972</t>
  </si>
  <si>
    <t xml:space="preserve">               9,148.5</t>
  </si>
  <si>
    <t xml:space="preserve">              91,677</t>
  </si>
  <si>
    <t xml:space="preserve">               5,850.7</t>
  </si>
  <si>
    <t xml:space="preserve">              37,253</t>
  </si>
  <si>
    <t xml:space="preserve">              54,424</t>
  </si>
  <si>
    <t xml:space="preserve">              17,198.0</t>
  </si>
  <si>
    <t xml:space="preserve">             132,486</t>
  </si>
  <si>
    <t xml:space="preserve">               2,380.4</t>
  </si>
  <si>
    <t xml:space="preserve">              11,121</t>
  </si>
  <si>
    <t xml:space="preserve">             121,365</t>
  </si>
  <si>
    <t xml:space="preserve">               3,054.4</t>
  </si>
  <si>
    <t xml:space="preserve">              86,428</t>
  </si>
  <si>
    <t xml:space="preserve">              25,757.4</t>
  </si>
  <si>
    <t xml:space="preserve">             442,831</t>
  </si>
  <si>
    <t xml:space="preserve">            -356,402</t>
  </si>
  <si>
    <t xml:space="preserve">               3,392.4</t>
  </si>
  <si>
    <t xml:space="preserve">              93,509</t>
  </si>
  <si>
    <t xml:space="preserve">              21,815.5</t>
  </si>
  <si>
    <t xml:space="preserve">             541,506</t>
  </si>
  <si>
    <t xml:space="preserve">            -447,997</t>
  </si>
  <si>
    <t xml:space="preserve">              25,333.3</t>
  </si>
  <si>
    <t xml:space="preserve">              47,566</t>
  </si>
  <si>
    <t xml:space="preserve">              28,799.0</t>
  </si>
  <si>
    <t xml:space="preserve">             129,696</t>
  </si>
  <si>
    <t xml:space="preserve">               1,303.4</t>
  </si>
  <si>
    <t xml:space="preserve">              37,175</t>
  </si>
  <si>
    <t xml:space="preserve">              12,616.1</t>
  </si>
  <si>
    <t xml:space="preserve">             346,743</t>
  </si>
  <si>
    <t xml:space="preserve">            -309,568</t>
  </si>
  <si>
    <t xml:space="preserve">                 283.4</t>
  </si>
  <si>
    <t xml:space="preserve">              11,215</t>
  </si>
  <si>
    <t xml:space="preserve">               1,055.6</t>
  </si>
  <si>
    <t xml:space="preserve">              27,468</t>
  </si>
  <si>
    <t xml:space="preserve">             -16,253</t>
  </si>
  <si>
    <t xml:space="preserve">                  13.2</t>
  </si>
  <si>
    <t xml:space="preserve">                 504</t>
  </si>
  <si>
    <t xml:space="preserve">                 967.4</t>
  </si>
  <si>
    <t xml:space="preserve">               8,388</t>
  </si>
  <si>
    <t xml:space="preserve">              -7,884</t>
  </si>
  <si>
    <t xml:space="preserve">                  24.6</t>
  </si>
  <si>
    <t xml:space="preserve">               1,532</t>
  </si>
  <si>
    <t xml:space="preserve">                 537.2</t>
  </si>
  <si>
    <t xml:space="preserve">              10,112</t>
  </si>
  <si>
    <t xml:space="preserve">              -8,579</t>
  </si>
  <si>
    <t xml:space="preserve">              10,425.9</t>
  </si>
  <si>
    <t xml:space="preserve">              78,218</t>
  </si>
  <si>
    <t xml:space="preserve">             192,212.1</t>
  </si>
  <si>
    <t xml:space="preserve">             114,432</t>
  </si>
  <si>
    <t xml:space="preserve">             -36,213</t>
  </si>
  <si>
    <t xml:space="preserve">               2,904.5</t>
  </si>
  <si>
    <t xml:space="preserve">              38,841</t>
  </si>
  <si>
    <t xml:space="preserve">             138,275.6</t>
  </si>
  <si>
    <t xml:space="preserve">             141,269</t>
  </si>
  <si>
    <t xml:space="preserve">            -102,428</t>
  </si>
  <si>
    <t xml:space="preserve">              28,514.0</t>
  </si>
  <si>
    <t xml:space="preserve">             163,070</t>
  </si>
  <si>
    <t xml:space="preserve">              88,304.6</t>
  </si>
  <si>
    <t xml:space="preserve">             249,946</t>
  </si>
  <si>
    <t xml:space="preserve">             -86,877</t>
  </si>
  <si>
    <t xml:space="preserve">                 784.9</t>
  </si>
  <si>
    <t xml:space="preserve">             814,015</t>
  </si>
  <si>
    <t xml:space="preserve">               1,835.2</t>
  </si>
  <si>
    <t xml:space="preserve">           1,484,187</t>
  </si>
  <si>
    <t xml:space="preserve">            -670,172</t>
  </si>
  <si>
    <t xml:space="preserve">           2,244,085.1</t>
  </si>
  <si>
    <t xml:space="preserve">           1,863,783</t>
  </si>
  <si>
    <t xml:space="preserve">           1,339,040.4</t>
  </si>
  <si>
    <t xml:space="preserve">           1,056,289</t>
  </si>
  <si>
    <t xml:space="preserve">             807,494</t>
  </si>
  <si>
    <t xml:space="preserve">             301,505.6</t>
  </si>
  <si>
    <t xml:space="preserve">             718,328</t>
  </si>
  <si>
    <t xml:space="preserve">             269,598.9</t>
  </si>
  <si>
    <t xml:space="preserve">             725,101</t>
  </si>
  <si>
    <t xml:space="preserve">              -6,774</t>
  </si>
  <si>
    <t xml:space="preserve">              63,225.7</t>
  </si>
  <si>
    <t xml:space="preserve">             697,401</t>
  </si>
  <si>
    <t xml:space="preserve">              77,785.6</t>
  </si>
  <si>
    <t xml:space="preserve">             841,923</t>
  </si>
  <si>
    <t xml:space="preserve">            -144,522</t>
  </si>
  <si>
    <t xml:space="preserve">                 776.9</t>
  </si>
  <si>
    <t xml:space="preserve">              18,762</t>
  </si>
  <si>
    <t xml:space="preserve">               3,916.7</t>
  </si>
  <si>
    <t xml:space="preserve">              93,043</t>
  </si>
  <si>
    <t xml:space="preserve">             -74,281</t>
  </si>
  <si>
    <t xml:space="preserve">             119,340.8</t>
  </si>
  <si>
    <t xml:space="preserve">             490,487</t>
  </si>
  <si>
    <t xml:space="preserve">             240,674.3</t>
  </si>
  <si>
    <t xml:space="preserve">             780,189</t>
  </si>
  <si>
    <t xml:space="preserve">            -289,702</t>
  </si>
  <si>
    <t xml:space="preserve">              31,655.6</t>
  </si>
  <si>
    <t xml:space="preserve">              69,496</t>
  </si>
  <si>
    <t xml:space="preserve">              14,401.3</t>
  </si>
  <si>
    <t xml:space="preserve">              34,692</t>
  </si>
  <si>
    <t xml:space="preserve">              34,804</t>
  </si>
  <si>
    <t xml:space="preserve">              53,573.0</t>
  </si>
  <si>
    <t xml:space="preserve">             178,798</t>
  </si>
  <si>
    <t xml:space="preserve">               2,969.6</t>
  </si>
  <si>
    <t xml:space="preserve">              14,324</t>
  </si>
  <si>
    <t xml:space="preserve">             164,474</t>
  </si>
  <si>
    <t xml:space="preserve">                 183.3</t>
  </si>
  <si>
    <t xml:space="preserve">              10,912</t>
  </si>
  <si>
    <t xml:space="preserve">               1,114.5</t>
  </si>
  <si>
    <t xml:space="preserve">              47,146</t>
  </si>
  <si>
    <t xml:space="preserve">             -36,234</t>
  </si>
  <si>
    <t xml:space="preserve">               3,628.8</t>
  </si>
  <si>
    <t xml:space="preserve">              54,706</t>
  </si>
  <si>
    <t xml:space="preserve">              12,127.7</t>
  </si>
  <si>
    <t xml:space="preserve">             122,862</t>
  </si>
  <si>
    <t xml:space="preserve">             -68,156</t>
  </si>
  <si>
    <t xml:space="preserve">              12,235.1</t>
  </si>
  <si>
    <t xml:space="preserve">             202,543</t>
  </si>
  <si>
    <t xml:space="preserve">               5,943.2</t>
  </si>
  <si>
    <t xml:space="preserve">             101,419</t>
  </si>
  <si>
    <t xml:space="preserve">             101,124</t>
  </si>
  <si>
    <t xml:space="preserve">              23,919.2</t>
  </si>
  <si>
    <t xml:space="preserve">             143,847</t>
  </si>
  <si>
    <t xml:space="preserve">              12,745.4</t>
  </si>
  <si>
    <t xml:space="preserve">              82,503</t>
  </si>
  <si>
    <t xml:space="preserve">              61,344</t>
  </si>
  <si>
    <t xml:space="preserve">             396,259.0</t>
  </si>
  <si>
    <t xml:space="preserve">           8,929,338</t>
  </si>
  <si>
    <t xml:space="preserve">             220,878.6</t>
  </si>
  <si>
    <t xml:space="preserve">           7,135,244</t>
  </si>
  <si>
    <t xml:space="preserve">           1,794,094</t>
  </si>
  <si>
    <t xml:space="preserve">             234,535.6</t>
  </si>
  <si>
    <t xml:space="preserve">          25,992,347</t>
  </si>
  <si>
    <t xml:space="preserve">             246,870.9</t>
  </si>
  <si>
    <t xml:space="preserve">          12,400,968</t>
  </si>
  <si>
    <t xml:space="preserve">          13,591,379</t>
  </si>
  <si>
    <t xml:space="preserve">              12,854.8</t>
  </si>
  <si>
    <t xml:space="preserve">              49,430</t>
  </si>
  <si>
    <t xml:space="preserve">              15,866.9</t>
  </si>
  <si>
    <t xml:space="preserve">              55,790</t>
  </si>
  <si>
    <t xml:space="preserve">             731,323.5</t>
  </si>
  <si>
    <t xml:space="preserve">           7,644,009</t>
  </si>
  <si>
    <t xml:space="preserve">             112,775.2</t>
  </si>
  <si>
    <t xml:space="preserve">           1,851,459</t>
  </si>
  <si>
    <t xml:space="preserve">           5,792,550</t>
  </si>
  <si>
    <t xml:space="preserve">               1,004.5</t>
  </si>
  <si>
    <t xml:space="preserve">             364,882</t>
  </si>
  <si>
    <t xml:space="preserve">             426,690</t>
  </si>
  <si>
    <t xml:space="preserve">             -61,808</t>
  </si>
  <si>
    <t xml:space="preserve">             950,083.8</t>
  </si>
  <si>
    <t xml:space="preserve">           2,838,894</t>
  </si>
  <si>
    <t xml:space="preserve">             105,750.2</t>
  </si>
  <si>
    <t xml:space="preserve">             185,690</t>
  </si>
  <si>
    <t xml:space="preserve">           2,653,204</t>
  </si>
  <si>
    <t xml:space="preserve">              19,821.2</t>
  </si>
  <si>
    <t xml:space="preserve">           1,688,416</t>
  </si>
  <si>
    <t xml:space="preserve">              17,657.7</t>
  </si>
  <si>
    <t xml:space="preserve">           2,581,680</t>
  </si>
  <si>
    <t xml:space="preserve">            -893,265</t>
  </si>
  <si>
    <t xml:space="preserve">                  22.9</t>
  </si>
  <si>
    <t xml:space="preserve">              27,052</t>
  </si>
  <si>
    <t xml:space="preserve">                 385.7</t>
  </si>
  <si>
    <t xml:space="preserve">              92,377</t>
  </si>
  <si>
    <t xml:space="preserve">             -65,325</t>
  </si>
  <si>
    <t xml:space="preserve">                 364.3</t>
  </si>
  <si>
    <t xml:space="preserve">               8,966</t>
  </si>
  <si>
    <t xml:space="preserve">                 673.1</t>
  </si>
  <si>
    <t xml:space="preserve">              16,093</t>
  </si>
  <si>
    <t xml:space="preserve">              -7,127</t>
  </si>
  <si>
    <t xml:space="preserve">               2,036.3</t>
  </si>
  <si>
    <t xml:space="preserve">             282,967</t>
  </si>
  <si>
    <t xml:space="preserve">                 338.6</t>
  </si>
  <si>
    <t xml:space="preserve">              31,310</t>
  </si>
  <si>
    <t xml:space="preserve">             251,657</t>
  </si>
  <si>
    <t xml:space="preserve">              16,580.7</t>
  </si>
  <si>
    <t xml:space="preserve">             122,830</t>
  </si>
  <si>
    <t xml:space="preserve">              85,787.0</t>
  </si>
  <si>
    <t xml:space="preserve">             356,962</t>
  </si>
  <si>
    <t xml:space="preserve">            -234,132</t>
  </si>
  <si>
    <t xml:space="preserve">               2,765.7</t>
  </si>
  <si>
    <t xml:space="preserve">              63,378</t>
  </si>
  <si>
    <t xml:space="preserve">              17,980.4</t>
  </si>
  <si>
    <t xml:space="preserve">             267,603</t>
  </si>
  <si>
    <t xml:space="preserve">            -204,225</t>
  </si>
  <si>
    <t xml:space="preserve">               2,280.0</t>
  </si>
  <si>
    <t xml:space="preserve">              37,218</t>
  </si>
  <si>
    <t xml:space="preserve">              12,607.3</t>
  </si>
  <si>
    <t xml:space="preserve">             104,780</t>
  </si>
  <si>
    <t xml:space="preserve">             -67,562</t>
  </si>
  <si>
    <t xml:space="preserve">                  19.0</t>
  </si>
  <si>
    <t xml:space="preserve">              22,587</t>
  </si>
  <si>
    <t xml:space="preserve">                  70.1</t>
  </si>
  <si>
    <t xml:space="preserve">              15,865</t>
  </si>
  <si>
    <t xml:space="preserve">               6,723</t>
  </si>
  <si>
    <t xml:space="preserve">                  48.1</t>
  </si>
  <si>
    <t xml:space="preserve">               9,604</t>
  </si>
  <si>
    <t xml:space="preserve">              -9,200</t>
  </si>
  <si>
    <t xml:space="preserve">               6,190.7</t>
  </si>
  <si>
    <t xml:space="preserve">               8,807</t>
  </si>
  <si>
    <t xml:space="preserve">             178,935.2</t>
  </si>
  <si>
    <t xml:space="preserve">           1,058,452</t>
  </si>
  <si>
    <t xml:space="preserve">          -1,049,646</t>
  </si>
  <si>
    <t xml:space="preserve">              46,832.6</t>
  </si>
  <si>
    <t xml:space="preserve">             154,459</t>
  </si>
  <si>
    <t xml:space="preserve">             108,184.9</t>
  </si>
  <si>
    <t xml:space="preserve">             446,128</t>
  </si>
  <si>
    <t xml:space="preserve">            -291,669</t>
  </si>
  <si>
    <t xml:space="preserve">               2,950.4</t>
  </si>
  <si>
    <t xml:space="preserve">               7,077</t>
  </si>
  <si>
    <t xml:space="preserve">              37,014.6</t>
  </si>
  <si>
    <t xml:space="preserve">             172,090</t>
  </si>
  <si>
    <t xml:space="preserve">            -165,013</t>
  </si>
  <si>
    <t xml:space="preserve">               1,658.3</t>
  </si>
  <si>
    <t xml:space="preserve">               4,241</t>
  </si>
  <si>
    <t xml:space="preserve">               5,869.1</t>
  </si>
  <si>
    <t xml:space="preserve">             -20,728</t>
  </si>
  <si>
    <t xml:space="preserve">                 186.0</t>
  </si>
  <si>
    <t xml:space="preserve">                 350</t>
  </si>
  <si>
    <t xml:space="preserve">               9,842.4</t>
  </si>
  <si>
    <t xml:space="preserve">              15,735</t>
  </si>
  <si>
    <t xml:space="preserve">             -15,385</t>
  </si>
  <si>
    <t xml:space="preserve">               3,691.4</t>
  </si>
  <si>
    <t xml:space="preserve">               8,479</t>
  </si>
  <si>
    <t xml:space="preserve">              61,735</t>
  </si>
  <si>
    <t xml:space="preserve">             -53,257</t>
  </si>
  <si>
    <t xml:space="preserve">               5,131.2</t>
  </si>
  <si>
    <t xml:space="preserve">              35,911</t>
  </si>
  <si>
    <t xml:space="preserve">              57,879.6</t>
  </si>
  <si>
    <t xml:space="preserve">             163,341</t>
  </si>
  <si>
    <t xml:space="preserve">            -127,430</t>
  </si>
  <si>
    <t xml:space="preserve">                 454.2</t>
  </si>
  <si>
    <t xml:space="preserve">               4,119</t>
  </si>
  <si>
    <t xml:space="preserve">              15,098.7</t>
  </si>
  <si>
    <t xml:space="preserve">             132,254</t>
  </si>
  <si>
    <t xml:space="preserve">            -128,135</t>
  </si>
  <si>
    <t xml:space="preserve">                 771.3</t>
  </si>
  <si>
    <t xml:space="preserve">               1,131</t>
  </si>
  <si>
    <t xml:space="preserve">           1,226,543.1</t>
  </si>
  <si>
    <t xml:space="preserve">             371,701</t>
  </si>
  <si>
    <t xml:space="preserve">            -370,569</t>
  </si>
  <si>
    <t xml:space="preserve">               5,266.2</t>
  </si>
  <si>
    <t xml:space="preserve">               3,379</t>
  </si>
  <si>
    <t xml:space="preserve">              24,349.5</t>
  </si>
  <si>
    <t xml:space="preserve">              22,982</t>
  </si>
  <si>
    <t xml:space="preserve">             -19,603</t>
  </si>
  <si>
    <t xml:space="preserve">               2,444.3</t>
  </si>
  <si>
    <t xml:space="preserve">              57,382</t>
  </si>
  <si>
    <t xml:space="preserve">             319,366.6</t>
  </si>
  <si>
    <t xml:space="preserve">             156,511</t>
  </si>
  <si>
    <t xml:space="preserve">             -99,128</t>
  </si>
  <si>
    <t xml:space="preserve">                 388.6</t>
  </si>
  <si>
    <t xml:space="preserve">               7,416</t>
  </si>
  <si>
    <t xml:space="preserve">               5,785.5</t>
  </si>
  <si>
    <t xml:space="preserve">              32,939</t>
  </si>
  <si>
    <t xml:space="preserve">             -25,522</t>
  </si>
  <si>
    <t xml:space="preserve">              44,168.5</t>
  </si>
  <si>
    <t xml:space="preserve">               8,996</t>
  </si>
  <si>
    <t xml:space="preserve">              -8,942</t>
  </si>
  <si>
    <t xml:space="preserve">               5,824.3</t>
  </si>
  <si>
    <t xml:space="preserve">               8,924</t>
  </si>
  <si>
    <t xml:space="preserve">             150,875.3</t>
  </si>
  <si>
    <t xml:space="preserve">             233,313</t>
  </si>
  <si>
    <t xml:space="preserve">            -224,389</t>
  </si>
  <si>
    <t xml:space="preserve">               4,155.1</t>
  </si>
  <si>
    <t xml:space="preserve">              25,326</t>
  </si>
  <si>
    <t xml:space="preserve">              16,906.0</t>
  </si>
  <si>
    <t xml:space="preserve">              91,791</t>
  </si>
  <si>
    <t xml:space="preserve">             -66,464</t>
  </si>
  <si>
    <t xml:space="preserve">              18,348.5</t>
  </si>
  <si>
    <t xml:space="preserve">              20,862</t>
  </si>
  <si>
    <t xml:space="preserve">             216,806.2</t>
  </si>
  <si>
    <t xml:space="preserve">             114,892</t>
  </si>
  <si>
    <t xml:space="preserve">             -94,029</t>
  </si>
  <si>
    <t xml:space="preserve">               2,061.2</t>
  </si>
  <si>
    <t xml:space="preserve">               7,441</t>
  </si>
  <si>
    <t xml:space="preserve">               5,956.8</t>
  </si>
  <si>
    <t xml:space="preserve">              57,016</t>
  </si>
  <si>
    <t xml:space="preserve">             -49,575</t>
  </si>
  <si>
    <t xml:space="preserve">              57,609.1</t>
  </si>
  <si>
    <t xml:space="preserve">             229,195</t>
  </si>
  <si>
    <t xml:space="preserve">              33,293.0</t>
  </si>
  <si>
    <t xml:space="preserve">             112,043</t>
  </si>
  <si>
    <t xml:space="preserve">             117,153</t>
  </si>
  <si>
    <t xml:space="preserve">              10,865.7</t>
  </si>
  <si>
    <t xml:space="preserve">              98,993</t>
  </si>
  <si>
    <t xml:space="preserve">              97,083.1</t>
  </si>
  <si>
    <t xml:space="preserve">             149,722</t>
  </si>
  <si>
    <t xml:space="preserve">             -50,729</t>
  </si>
  <si>
    <t xml:space="preserve">              36,221.8</t>
  </si>
  <si>
    <t xml:space="preserve">             150,886</t>
  </si>
  <si>
    <t xml:space="preserve">              33,797.2</t>
  </si>
  <si>
    <t xml:space="preserve">             227,219</t>
  </si>
  <si>
    <t xml:space="preserve">             -76,334</t>
  </si>
  <si>
    <t xml:space="preserve">              66,166.3</t>
  </si>
  <si>
    <t xml:space="preserve">              79,142</t>
  </si>
  <si>
    <t xml:space="preserve">              81,281.9</t>
  </si>
  <si>
    <t xml:space="preserve">             134,137</t>
  </si>
  <si>
    <t xml:space="preserve">             -54,995</t>
  </si>
  <si>
    <t xml:space="preserve">              23,200.0</t>
  </si>
  <si>
    <t xml:space="preserve">              29,761</t>
  </si>
  <si>
    <t xml:space="preserve">             570,862.9</t>
  </si>
  <si>
    <t xml:space="preserve">             186,099</t>
  </si>
  <si>
    <t xml:space="preserve">            -156,339</t>
  </si>
  <si>
    <t xml:space="preserve">               7,872.9</t>
  </si>
  <si>
    <t xml:space="preserve">              89,961</t>
  </si>
  <si>
    <t xml:space="preserve">               7,319.3</t>
  </si>
  <si>
    <t xml:space="preserve">              73,489</t>
  </si>
  <si>
    <t xml:space="preserve">              16,473</t>
  </si>
  <si>
    <t xml:space="preserve">             500,329.4</t>
  </si>
  <si>
    <t xml:space="preserve">              70,014</t>
  </si>
  <si>
    <t xml:space="preserve">             785,399.7</t>
  </si>
  <si>
    <t xml:space="preserve">              64,626</t>
  </si>
  <si>
    <t xml:space="preserve">               5,388</t>
  </si>
  <si>
    <t xml:space="preserve">             275,248.0</t>
  </si>
  <si>
    <t xml:space="preserve">              52,856</t>
  </si>
  <si>
    <t xml:space="preserve">           7,184,119.5</t>
  </si>
  <si>
    <t xml:space="preserve">           2,555,647</t>
  </si>
  <si>
    <t xml:space="preserve">          -2,502,791</t>
  </si>
  <si>
    <t xml:space="preserve">           5,945,675.1</t>
  </si>
  <si>
    <t xml:space="preserve">           3,868,333</t>
  </si>
  <si>
    <t xml:space="preserve">          32,460,161.3</t>
  </si>
  <si>
    <t xml:space="preserve">          12,031,973</t>
  </si>
  <si>
    <t xml:space="preserve">          -8,163,639</t>
  </si>
  <si>
    <t xml:space="preserve">             503,708.9</t>
  </si>
  <si>
    <t xml:space="preserve">             716,881</t>
  </si>
  <si>
    <t xml:space="preserve">             408,504.4</t>
  </si>
  <si>
    <t xml:space="preserve">             913,901</t>
  </si>
  <si>
    <t xml:space="preserve">            -197,020</t>
  </si>
  <si>
    <t xml:space="preserve">           1,751,533.9</t>
  </si>
  <si>
    <t xml:space="preserve">           1,677,439</t>
  </si>
  <si>
    <t xml:space="preserve">             718,013.5</t>
  </si>
  <si>
    <t xml:space="preserve">           1,148,795</t>
  </si>
  <si>
    <t xml:space="preserve">             528,644</t>
  </si>
  <si>
    <t xml:space="preserve">               2,096.9</t>
  </si>
  <si>
    <t xml:space="preserve">             761,557</t>
  </si>
  <si>
    <t xml:space="preserve">               7,462.8</t>
  </si>
  <si>
    <t xml:space="preserve">             810,902</t>
  </si>
  <si>
    <t xml:space="preserve">             -49,345</t>
  </si>
  <si>
    <t xml:space="preserve">              76,264.0</t>
  </si>
  <si>
    <t xml:space="preserve">              36,511</t>
  </si>
  <si>
    <t xml:space="preserve">             148,831.3</t>
  </si>
  <si>
    <t xml:space="preserve">              63,828</t>
  </si>
  <si>
    <t xml:space="preserve">             -27,317</t>
  </si>
  <si>
    <t xml:space="preserve">              27,564.7</t>
  </si>
  <si>
    <t xml:space="preserve">             228,719</t>
  </si>
  <si>
    <t xml:space="preserve">              22,419.0</t>
  </si>
  <si>
    <t xml:space="preserve">             205,238</t>
  </si>
  <si>
    <t xml:space="preserve">              23,482</t>
  </si>
  <si>
    <t xml:space="preserve">              42,687.2</t>
  </si>
  <si>
    <t xml:space="preserve">             993,062</t>
  </si>
  <si>
    <t xml:space="preserve">               9,790.4</t>
  </si>
  <si>
    <t xml:space="preserve">             181,871</t>
  </si>
  <si>
    <t xml:space="preserve">             811,190</t>
  </si>
  <si>
    <t xml:space="preserve">              57,789.2</t>
  </si>
  <si>
    <t xml:space="preserve">             163,588</t>
  </si>
  <si>
    <t xml:space="preserve">              23,400.7</t>
  </si>
  <si>
    <t xml:space="preserve">              88,052</t>
  </si>
  <si>
    <t xml:space="preserve">              75,535</t>
  </si>
  <si>
    <t xml:space="preserve">               7,315.2</t>
  </si>
  <si>
    <t xml:space="preserve">              84,845</t>
  </si>
  <si>
    <t xml:space="preserve">              22,681.5</t>
  </si>
  <si>
    <t xml:space="preserve">              88,333</t>
  </si>
  <si>
    <t xml:space="preserve">              -3,488</t>
  </si>
  <si>
    <t xml:space="preserve">                  94.9</t>
  </si>
  <si>
    <t xml:space="preserve">               3,948</t>
  </si>
  <si>
    <t xml:space="preserve">                 153.3</t>
  </si>
  <si>
    <t xml:space="preserve">               4,808</t>
  </si>
  <si>
    <t xml:space="preserve">                -860</t>
  </si>
  <si>
    <t xml:space="preserve">               1,719.7</t>
  </si>
  <si>
    <t xml:space="preserve">              98,677</t>
  </si>
  <si>
    <t xml:space="preserve">               3,228.8</t>
  </si>
  <si>
    <t xml:space="preserve">              92,074</t>
  </si>
  <si>
    <t xml:space="preserve">               6,602</t>
  </si>
  <si>
    <t xml:space="preserve">             116,408.6</t>
  </si>
  <si>
    <t xml:space="preserve">             622,606</t>
  </si>
  <si>
    <t xml:space="preserve">             202,229.7</t>
  </si>
  <si>
    <t xml:space="preserve">             802,492</t>
  </si>
  <si>
    <t xml:space="preserve">            -179,885</t>
  </si>
  <si>
    <t xml:space="preserve">           1,487,062.1</t>
  </si>
  <si>
    <t xml:space="preserve">           2,786,655</t>
  </si>
  <si>
    <t xml:space="preserve">             289,461.7</t>
  </si>
  <si>
    <t xml:space="preserve">           1,080,702</t>
  </si>
  <si>
    <t xml:space="preserve">           1,705,954</t>
  </si>
  <si>
    <t xml:space="preserve">             257,195.7</t>
  </si>
  <si>
    <t xml:space="preserve">             621,189</t>
  </si>
  <si>
    <t xml:space="preserve">              82,412.2</t>
  </si>
  <si>
    <t xml:space="preserve">             254,433</t>
  </si>
  <si>
    <t xml:space="preserve">             366,756</t>
  </si>
  <si>
    <t xml:space="preserve">               2,752.3</t>
  </si>
  <si>
    <t xml:space="preserve">              21,554</t>
  </si>
  <si>
    <t xml:space="preserve">               5,831.5</t>
  </si>
  <si>
    <t xml:space="preserve">               3,864</t>
  </si>
  <si>
    <t xml:space="preserve">                 941.6</t>
  </si>
  <si>
    <t xml:space="preserve">              49,738</t>
  </si>
  <si>
    <t xml:space="preserve">              11,014.7</t>
  </si>
  <si>
    <t xml:space="preserve">             339,623</t>
  </si>
  <si>
    <t xml:space="preserve">            -289,885</t>
  </si>
  <si>
    <t xml:space="preserve">                 469</t>
  </si>
  <si>
    <t xml:space="preserve">               4,607</t>
  </si>
  <si>
    <t xml:space="preserve">              -4,138</t>
  </si>
  <si>
    <t xml:space="preserve">             729,407.4</t>
  </si>
  <si>
    <t xml:space="preserve">             218,058</t>
  </si>
  <si>
    <t xml:space="preserve">            -211,110</t>
  </si>
  <si>
    <t xml:space="preserve">                  39.6</t>
  </si>
  <si>
    <t xml:space="preserve">                 227</t>
  </si>
  <si>
    <t xml:space="preserve">                 424.2</t>
  </si>
  <si>
    <t xml:space="preserve">               1,759</t>
  </si>
  <si>
    <t xml:space="preserve">              -1,717</t>
  </si>
  <si>
    <t xml:space="preserve">              39,265.9</t>
  </si>
  <si>
    <t xml:space="preserve">               9,575</t>
  </si>
  <si>
    <t xml:space="preserve">             230,910.3</t>
  </si>
  <si>
    <t xml:space="preserve">             116,111</t>
  </si>
  <si>
    <t xml:space="preserve">            -106,535</t>
  </si>
  <si>
    <t xml:space="preserve">             230,159.0</t>
  </si>
  <si>
    <t xml:space="preserve">             221,867</t>
  </si>
  <si>
    <t xml:space="preserve">             131,989.8</t>
  </si>
  <si>
    <t xml:space="preserve">             196,568</t>
  </si>
  <si>
    <t xml:space="preserve">              25,299</t>
  </si>
  <si>
    <t xml:space="preserve">               2,734.5</t>
  </si>
  <si>
    <t xml:space="preserve">              28,473</t>
  </si>
  <si>
    <t xml:space="preserve">               1,287.3</t>
  </si>
  <si>
    <t xml:space="preserve">              20,897</t>
  </si>
  <si>
    <t xml:space="preserve">               7,576</t>
  </si>
  <si>
    <t xml:space="preserve">                  10.2</t>
  </si>
  <si>
    <t xml:space="preserve">               1,579</t>
  </si>
  <si>
    <t xml:space="preserve">                  22.6</t>
  </si>
  <si>
    <t xml:space="preserve">               2,137</t>
  </si>
  <si>
    <t xml:space="preserve">                -558</t>
  </si>
  <si>
    <t xml:space="preserve">                  67.1</t>
  </si>
  <si>
    <t xml:space="preserve">                 548.7</t>
  </si>
  <si>
    <t xml:space="preserve">               9,912</t>
  </si>
  <si>
    <t xml:space="preserve">              -8,057</t>
  </si>
  <si>
    <t xml:space="preserve">               2,933.3</t>
  </si>
  <si>
    <t xml:space="preserve">              21,816</t>
  </si>
  <si>
    <t xml:space="preserve">              17,648.5</t>
  </si>
  <si>
    <t xml:space="preserve">              53,043</t>
  </si>
  <si>
    <t xml:space="preserve">             -31,227</t>
  </si>
  <si>
    <t xml:space="preserve">                 828</t>
  </si>
  <si>
    <t xml:space="preserve">               1,089.6</t>
  </si>
  <si>
    <t xml:space="preserve">              -3,041</t>
  </si>
  <si>
    <t xml:space="preserve">              21,529.6</t>
  </si>
  <si>
    <t xml:space="preserve">             140,695</t>
  </si>
  <si>
    <t xml:space="preserve">              39,389.0</t>
  </si>
  <si>
    <t xml:space="preserve">              82,977</t>
  </si>
  <si>
    <t xml:space="preserve">              57,718</t>
  </si>
  <si>
    <t xml:space="preserve">              53,679.5</t>
  </si>
  <si>
    <t xml:space="preserve">              98,558</t>
  </si>
  <si>
    <t xml:space="preserve">              12,740.5</t>
  </si>
  <si>
    <t xml:space="preserve">              44,257</t>
  </si>
  <si>
    <t xml:space="preserve">              54,301</t>
  </si>
  <si>
    <t xml:space="preserve">               9,869.9</t>
  </si>
  <si>
    <t xml:space="preserve">              57,171</t>
  </si>
  <si>
    <t xml:space="preserve">              18,978.7</t>
  </si>
  <si>
    <t xml:space="preserve">              55,554</t>
  </si>
  <si>
    <t xml:space="preserve">               1,617</t>
  </si>
  <si>
    <t xml:space="preserve">                 413.7</t>
  </si>
  <si>
    <t xml:space="preserve">               4,585</t>
  </si>
  <si>
    <t xml:space="preserve">               4,994.3</t>
  </si>
  <si>
    <t xml:space="preserve">               9,678</t>
  </si>
  <si>
    <t xml:space="preserve">              -5,093</t>
  </si>
  <si>
    <t xml:space="preserve">               1,214.4</t>
  </si>
  <si>
    <t xml:space="preserve">              15,260</t>
  </si>
  <si>
    <t xml:space="preserve">               6,117</t>
  </si>
  <si>
    <t xml:space="preserve">               9,143</t>
  </si>
  <si>
    <t xml:space="preserve">               8,843.6</t>
  </si>
  <si>
    <t xml:space="preserve">              94,853</t>
  </si>
  <si>
    <t xml:space="preserve">               5,748.8</t>
  </si>
  <si>
    <t xml:space="preserve">              34,450</t>
  </si>
  <si>
    <t xml:space="preserve">              60,403</t>
  </si>
  <si>
    <t xml:space="preserve">              15,279.3</t>
  </si>
  <si>
    <t xml:space="preserve">             113,823</t>
  </si>
  <si>
    <t xml:space="preserve">               2,035.0</t>
  </si>
  <si>
    <t xml:space="preserve">               9,675</t>
  </si>
  <si>
    <t xml:space="preserve">             104,149</t>
  </si>
  <si>
    <t xml:space="preserve">               2,366.5</t>
  </si>
  <si>
    <t xml:space="preserve">              62,607</t>
  </si>
  <si>
    <t xml:space="preserve">              22,144.9</t>
  </si>
  <si>
    <t xml:space="preserve">             426,748</t>
  </si>
  <si>
    <t xml:space="preserve">            -364,142</t>
  </si>
  <si>
    <t xml:space="preserve">               2,600.2</t>
  </si>
  <si>
    <t xml:space="preserve">              70,280</t>
  </si>
  <si>
    <t xml:space="preserve">              19,197.8</t>
  </si>
  <si>
    <t xml:space="preserve">             578,501</t>
  </si>
  <si>
    <t xml:space="preserve">            -508,221</t>
  </si>
  <si>
    <t xml:space="preserve">              23,579.6</t>
  </si>
  <si>
    <t xml:space="preserve">              46,121</t>
  </si>
  <si>
    <t xml:space="preserve">              24,947.6</t>
  </si>
  <si>
    <t xml:space="preserve">             107,230</t>
  </si>
  <si>
    <t xml:space="preserve">             -61,109</t>
  </si>
  <si>
    <t xml:space="preserve">              29,027</t>
  </si>
  <si>
    <t xml:space="preserve">              10,790.8</t>
  </si>
  <si>
    <t xml:space="preserve">             304,454</t>
  </si>
  <si>
    <t xml:space="preserve">            -275,427</t>
  </si>
  <si>
    <t xml:space="preserve">                 219.5</t>
  </si>
  <si>
    <t xml:space="preserve">               9,609</t>
  </si>
  <si>
    <t xml:space="preserve">                 798.2</t>
  </si>
  <si>
    <t xml:space="preserve">              25,172</t>
  </si>
  <si>
    <t xml:space="preserve">             -15,564</t>
  </si>
  <si>
    <t xml:space="preserve">                   4.0</t>
  </si>
  <si>
    <t xml:space="preserve">                 136</t>
  </si>
  <si>
    <t xml:space="preserve">                 864.9</t>
  </si>
  <si>
    <t xml:space="preserve">               6,760</t>
  </si>
  <si>
    <t xml:space="preserve">              -6,625</t>
  </si>
  <si>
    <t xml:space="preserve">               1,443</t>
  </si>
  <si>
    <t xml:space="preserve">                 522.3</t>
  </si>
  <si>
    <t xml:space="preserve">               8,685</t>
  </si>
  <si>
    <t xml:space="preserve">              -7,242</t>
  </si>
  <si>
    <t xml:space="preserve">              10,550.3</t>
  </si>
  <si>
    <t xml:space="preserve">              79,280</t>
  </si>
  <si>
    <t xml:space="preserve">             160,083.4</t>
  </si>
  <si>
    <t xml:space="preserve">             102,153</t>
  </si>
  <si>
    <t xml:space="preserve">             -22,873</t>
  </si>
  <si>
    <t xml:space="preserve">               2,771.7</t>
  </si>
  <si>
    <t xml:space="preserve">              34,588</t>
  </si>
  <si>
    <t xml:space="preserve">             129,670.1</t>
  </si>
  <si>
    <t xml:space="preserve">             140,054</t>
  </si>
  <si>
    <t xml:space="preserve">            -105,465</t>
  </si>
  <si>
    <t xml:space="preserve">              25,970.9</t>
  </si>
  <si>
    <t xml:space="preserve">             141,250</t>
  </si>
  <si>
    <t xml:space="preserve">              76,449.8</t>
  </si>
  <si>
    <t xml:space="preserve">             227,148</t>
  </si>
  <si>
    <t xml:space="preserve">             -85,898</t>
  </si>
  <si>
    <t xml:space="preserve">                 689.4</t>
  </si>
  <si>
    <t xml:space="preserve">             902,526</t>
  </si>
  <si>
    <t xml:space="preserve">               1,668.6</t>
  </si>
  <si>
    <t xml:space="preserve">           1,932,630</t>
  </si>
  <si>
    <t xml:space="preserve">          -1,030,105</t>
  </si>
  <si>
    <t xml:space="preserve">           2,311,686.5</t>
  </si>
  <si>
    <t xml:space="preserve">           1,924,678</t>
  </si>
  <si>
    <t xml:space="preserve">           1,121,969.2</t>
  </si>
  <si>
    <t xml:space="preserve">             905,759</t>
  </si>
  <si>
    <t xml:space="preserve">           1,018,918</t>
  </si>
  <si>
    <t xml:space="preserve">             260,354.8</t>
  </si>
  <si>
    <t xml:space="preserve">             793,885</t>
  </si>
  <si>
    <t xml:space="preserve">             208,494.7</t>
  </si>
  <si>
    <t xml:space="preserve">             590,553</t>
  </si>
  <si>
    <t xml:space="preserve">             203,332</t>
  </si>
  <si>
    <t xml:space="preserve">              50,358.1</t>
  </si>
  <si>
    <t xml:space="preserve">             622,179</t>
  </si>
  <si>
    <t xml:space="preserve">              79,434.7</t>
  </si>
  <si>
    <t xml:space="preserve">             920,634</t>
  </si>
  <si>
    <t xml:space="preserve">            -298,454</t>
  </si>
  <si>
    <t xml:space="preserve">               1,371.5</t>
  </si>
  <si>
    <t xml:space="preserve">              20,954</t>
  </si>
  <si>
    <t xml:space="preserve">               5,295.9</t>
  </si>
  <si>
    <t xml:space="preserve">              88,668</t>
  </si>
  <si>
    <t xml:space="preserve">             -67,714</t>
  </si>
  <si>
    <t xml:space="preserve">             123,516.3</t>
  </si>
  <si>
    <t xml:space="preserve">             505,182</t>
  </si>
  <si>
    <t xml:space="preserve">             264,188.9</t>
  </si>
  <si>
    <t xml:space="preserve">             867,118</t>
  </si>
  <si>
    <t xml:space="preserve">            -361,936</t>
  </si>
  <si>
    <t xml:space="preserve">              28,231.5</t>
  </si>
  <si>
    <t xml:space="preserve">              62,706</t>
  </si>
  <si>
    <t xml:space="preserve">              13,109.2</t>
  </si>
  <si>
    <t xml:space="preserve">              30,860</t>
  </si>
  <si>
    <t xml:space="preserve">              31,846</t>
  </si>
  <si>
    <t xml:space="preserve">              44,581.3</t>
  </si>
  <si>
    <t xml:space="preserve">             148,782</t>
  </si>
  <si>
    <t xml:space="preserve">              11,410</t>
  </si>
  <si>
    <t xml:space="preserve">             137,372</t>
  </si>
  <si>
    <t xml:space="preserve">                 145.5</t>
  </si>
  <si>
    <t xml:space="preserve">               8,441</t>
  </si>
  <si>
    <t xml:space="preserve">               1,699.7</t>
  </si>
  <si>
    <t xml:space="preserve">              70,306</t>
  </si>
  <si>
    <t xml:space="preserve">             -61,866</t>
  </si>
  <si>
    <t xml:space="preserve">               3,171.2</t>
  </si>
  <si>
    <t xml:space="preserve">              47,013</t>
  </si>
  <si>
    <t xml:space="preserve">              16,326.4</t>
  </si>
  <si>
    <t xml:space="preserve">             118,549</t>
  </si>
  <si>
    <t xml:space="preserve">             -71,535</t>
  </si>
  <si>
    <t xml:space="preserve">               6,265.6</t>
  </si>
  <si>
    <t xml:space="preserve">             154,821</t>
  </si>
  <si>
    <t xml:space="preserve">               5,467.6</t>
  </si>
  <si>
    <t xml:space="preserve">              84,243</t>
  </si>
  <si>
    <t xml:space="preserve">              70,579</t>
  </si>
  <si>
    <t xml:space="preserve">              22,140.2</t>
  </si>
  <si>
    <t xml:space="preserve">             133,177</t>
  </si>
  <si>
    <t xml:space="preserve">              13,283.2</t>
  </si>
  <si>
    <t xml:space="preserve">              86,499</t>
  </si>
  <si>
    <t xml:space="preserve">              46,677</t>
  </si>
  <si>
    <t xml:space="preserve">             364,040.5</t>
  </si>
  <si>
    <t xml:space="preserve">           8,277,088</t>
  </si>
  <si>
    <t xml:space="preserve">             213,195.1</t>
  </si>
  <si>
    <t xml:space="preserve">           7,088,613</t>
  </si>
  <si>
    <t xml:space="preserve">           1,188,476</t>
  </si>
  <si>
    <t xml:space="preserve">             214,092.8</t>
  </si>
  <si>
    <t xml:space="preserve">          25,047,980</t>
  </si>
  <si>
    <t xml:space="preserve">             210,192.6</t>
  </si>
  <si>
    <t xml:space="preserve">          11,827,019</t>
  </si>
  <si>
    <t xml:space="preserve">          13,220,961</t>
  </si>
  <si>
    <t xml:space="preserve">              12,138.0</t>
  </si>
  <si>
    <t xml:space="preserve">              68,608</t>
  </si>
  <si>
    <t xml:space="preserve">              12,776.3</t>
  </si>
  <si>
    <t xml:space="preserve">              46,345</t>
  </si>
  <si>
    <t xml:space="preserve">              22,263</t>
  </si>
  <si>
    <t xml:space="preserve">             702,471.6</t>
  </si>
  <si>
    <t xml:space="preserve">           7,562,422</t>
  </si>
  <si>
    <t xml:space="preserve">              96,813.1</t>
  </si>
  <si>
    <t xml:space="preserve">           1,434,233</t>
  </si>
  <si>
    <t xml:space="preserve">           6,128,189</t>
  </si>
  <si>
    <t xml:space="preserve">                 709.4</t>
  </si>
  <si>
    <t xml:space="preserve">             242,084</t>
  </si>
  <si>
    <t xml:space="preserve">                 228.4</t>
  </si>
  <si>
    <t xml:space="preserve">             184,385</t>
  </si>
  <si>
    <t xml:space="preserve">              57,700</t>
  </si>
  <si>
    <t xml:space="preserve">             707,967.9</t>
  </si>
  <si>
    <t xml:space="preserve">           2,314,307</t>
  </si>
  <si>
    <t xml:space="preserve">             187,910.0</t>
  </si>
  <si>
    <t xml:space="preserve">             333,163</t>
  </si>
  <si>
    <t xml:space="preserve">           1,981,144</t>
  </si>
  <si>
    <t xml:space="preserve">              15,648.4</t>
  </si>
  <si>
    <t xml:space="preserve">           1,351,643</t>
  </si>
  <si>
    <t xml:space="preserve">              15,271.7</t>
  </si>
  <si>
    <t xml:space="preserve">           2,071,077</t>
  </si>
  <si>
    <t xml:space="preserve">            -719,434</t>
  </si>
  <si>
    <t xml:space="preserve">              19,372</t>
  </si>
  <si>
    <t xml:space="preserve">                 347.5</t>
  </si>
  <si>
    <t xml:space="preserve">              88,914</t>
  </si>
  <si>
    <t xml:space="preserve">             -69,542</t>
  </si>
  <si>
    <t xml:space="preserve">               7,952</t>
  </si>
  <si>
    <t xml:space="preserve">              14,874</t>
  </si>
  <si>
    <t xml:space="preserve">              -6,922</t>
  </si>
  <si>
    <t xml:space="preserve">               1,284.6</t>
  </si>
  <si>
    <t xml:space="preserve">             203,744</t>
  </si>
  <si>
    <t xml:space="preserve">                 173.1</t>
  </si>
  <si>
    <t xml:space="preserve">              28,695</t>
  </si>
  <si>
    <t xml:space="preserve">             175,049</t>
  </si>
  <si>
    <t xml:space="preserve">              14,886.1</t>
  </si>
  <si>
    <t xml:space="preserve">             105,353</t>
  </si>
  <si>
    <t xml:space="preserve">              90,710.8</t>
  </si>
  <si>
    <t xml:space="preserve">             353,464</t>
  </si>
  <si>
    <t xml:space="preserve">            -248,111</t>
  </si>
  <si>
    <t xml:space="preserve">               2,170.3</t>
  </si>
  <si>
    <t xml:space="preserve">              54,001</t>
  </si>
  <si>
    <t xml:space="preserve">              15,267.9</t>
  </si>
  <si>
    <t xml:space="preserve">             219,646</t>
  </si>
  <si>
    <t xml:space="preserve">            -165,645</t>
  </si>
  <si>
    <t xml:space="preserve">               2,199.9</t>
  </si>
  <si>
    <t xml:space="preserve">              11,967.3</t>
  </si>
  <si>
    <t xml:space="preserve">              97,801</t>
  </si>
  <si>
    <t xml:space="preserve">             -60,955</t>
  </si>
  <si>
    <t xml:space="preserve">              21,931</t>
  </si>
  <si>
    <t xml:space="preserve">              21,125</t>
  </si>
  <si>
    <t xml:space="preserve">                 807</t>
  </si>
  <si>
    <t xml:space="preserve">                 356</t>
  </si>
  <si>
    <t xml:space="preserve">                  47.7</t>
  </si>
  <si>
    <t xml:space="preserve">               3,042</t>
  </si>
  <si>
    <t xml:space="preserve">              -2,685</t>
  </si>
  <si>
    <t xml:space="preserve">               3,876.8</t>
  </si>
  <si>
    <t xml:space="preserve">               5,508</t>
  </si>
  <si>
    <t xml:space="preserve">             100,487.0</t>
  </si>
  <si>
    <t xml:space="preserve">             534,967</t>
  </si>
  <si>
    <t xml:space="preserve">            -529,458</t>
  </si>
  <si>
    <t xml:space="preserve">              46,753.6</t>
  </si>
  <si>
    <t xml:space="preserve">             148,644</t>
  </si>
  <si>
    <t xml:space="preserve">              85,842.9</t>
  </si>
  <si>
    <t xml:space="preserve">             380,469</t>
  </si>
  <si>
    <t xml:space="preserve">            -231,825</t>
  </si>
  <si>
    <t xml:space="preserve">               2,326.8</t>
  </si>
  <si>
    <t xml:space="preserve">              29,952.5</t>
  </si>
  <si>
    <t xml:space="preserve">             124,895</t>
  </si>
  <si>
    <t xml:space="preserve">            -117,872</t>
  </si>
  <si>
    <t xml:space="preserve">                 874.7</t>
  </si>
  <si>
    <t xml:space="preserve">               4,009</t>
  </si>
  <si>
    <t xml:space="preserve">               3,503.0</t>
  </si>
  <si>
    <t xml:space="preserve">              15,156</t>
  </si>
  <si>
    <t xml:space="preserve">             -11,147</t>
  </si>
  <si>
    <t xml:space="preserve">                  38.8</t>
  </si>
  <si>
    <t xml:space="preserve">                 191</t>
  </si>
  <si>
    <t xml:space="preserve">               5,892.0</t>
  </si>
  <si>
    <t xml:space="preserve">              13,476</t>
  </si>
  <si>
    <t xml:space="preserve">             -13,286</t>
  </si>
  <si>
    <t xml:space="preserve">               3,117.2</t>
  </si>
  <si>
    <t xml:space="preserve">               7,600</t>
  </si>
  <si>
    <t xml:space="preserve">              68,650.2</t>
  </si>
  <si>
    <t xml:space="preserve">              58,137</t>
  </si>
  <si>
    <t xml:space="preserve">             -50,538</t>
  </si>
  <si>
    <t xml:space="preserve">               2,121.4</t>
  </si>
  <si>
    <t xml:space="preserve">              21,242</t>
  </si>
  <si>
    <t xml:space="preserve">              52,571.7</t>
  </si>
  <si>
    <t xml:space="preserve">             143,173</t>
  </si>
  <si>
    <t xml:space="preserve">            -121,931</t>
  </si>
  <si>
    <t xml:space="preserve">               3,374</t>
  </si>
  <si>
    <t xml:space="preserve">              15,687.3</t>
  </si>
  <si>
    <t xml:space="preserve">             128,398</t>
  </si>
  <si>
    <t xml:space="preserve">            -125,024</t>
  </si>
  <si>
    <t xml:space="preserve">                 864.3</t>
  </si>
  <si>
    <t xml:space="preserve">               1,272</t>
  </si>
  <si>
    <t xml:space="preserve">           1,220,505.7</t>
  </si>
  <si>
    <t xml:space="preserve">             325,447</t>
  </si>
  <si>
    <t xml:space="preserve">            -324,176</t>
  </si>
  <si>
    <t xml:space="preserve">               4,452.9</t>
  </si>
  <si>
    <t xml:space="preserve">               2,930</t>
  </si>
  <si>
    <t xml:space="preserve">              28,193.1</t>
  </si>
  <si>
    <t xml:space="preserve">              23,957</t>
  </si>
  <si>
    <t xml:space="preserve">             -21,027</t>
  </si>
  <si>
    <t xml:space="preserve">               1,879.8</t>
  </si>
  <si>
    <t xml:space="preserve">              43,667</t>
  </si>
  <si>
    <t xml:space="preserve">             284,585.6</t>
  </si>
  <si>
    <t xml:space="preserve">             157,105</t>
  </si>
  <si>
    <t xml:space="preserve">            -113,438</t>
  </si>
  <si>
    <t xml:space="preserve">                 229.4</t>
  </si>
  <si>
    <t xml:space="preserve">               6,002</t>
  </si>
  <si>
    <t xml:space="preserve">               7,716.3</t>
  </si>
  <si>
    <t xml:space="preserve">              25,386</t>
  </si>
  <si>
    <t xml:space="preserve">             -19,384</t>
  </si>
  <si>
    <t xml:space="preserve">              49,144.3</t>
  </si>
  <si>
    <t xml:space="preserve">               9,891</t>
  </si>
  <si>
    <t xml:space="preserve">              -9,883</t>
  </si>
  <si>
    <t xml:space="preserve">              10,212.2</t>
  </si>
  <si>
    <t xml:space="preserve">              13,541</t>
  </si>
  <si>
    <t xml:space="preserve">             117,775.5</t>
  </si>
  <si>
    <t xml:space="preserve">             174,055</t>
  </si>
  <si>
    <t xml:space="preserve">            -160,514</t>
  </si>
  <si>
    <t xml:space="preserve">               3,503.1</t>
  </si>
  <si>
    <t xml:space="preserve">              19,869</t>
  </si>
  <si>
    <t xml:space="preserve">              13,324.6</t>
  </si>
  <si>
    <t xml:space="preserve">              73,497</t>
  </si>
  <si>
    <t xml:space="preserve">             -53,628</t>
  </si>
  <si>
    <t xml:space="preserve">              15,906.2</t>
  </si>
  <si>
    <t xml:space="preserve">              16,290</t>
  </si>
  <si>
    <t xml:space="preserve">             167,760.2</t>
  </si>
  <si>
    <t xml:space="preserve">             100,031</t>
  </si>
  <si>
    <t xml:space="preserve">             -83,741</t>
  </si>
  <si>
    <t xml:space="preserve">               1,547.2</t>
  </si>
  <si>
    <t xml:space="preserve">               5,519</t>
  </si>
  <si>
    <t xml:space="preserve">               4,806.0</t>
  </si>
  <si>
    <t xml:space="preserve">              48,302</t>
  </si>
  <si>
    <t xml:space="preserve">             -42,783</t>
  </si>
  <si>
    <t xml:space="preserve">              56,225.0</t>
  </si>
  <si>
    <t xml:space="preserve">             229,252</t>
  </si>
  <si>
    <t xml:space="preserve">              29,646.8</t>
  </si>
  <si>
    <t xml:space="preserve">              98,542</t>
  </si>
  <si>
    <t xml:space="preserve">             130,710</t>
  </si>
  <si>
    <t xml:space="preserve">               8,887.3</t>
  </si>
  <si>
    <t xml:space="preserve">              80,672</t>
  </si>
  <si>
    <t xml:space="preserve">              86,201.4</t>
  </si>
  <si>
    <t xml:space="preserve">             -58,326</t>
  </si>
  <si>
    <t xml:space="preserve">              33,430.1</t>
  </si>
  <si>
    <t xml:space="preserve">             138,808</t>
  </si>
  <si>
    <t xml:space="preserve">              29,968.7</t>
  </si>
  <si>
    <t xml:space="preserve">             211,010</t>
  </si>
  <si>
    <t xml:space="preserve">             -72,202</t>
  </si>
  <si>
    <t xml:space="preserve">              63,218.3</t>
  </si>
  <si>
    <t xml:space="preserve">              73,144</t>
  </si>
  <si>
    <t xml:space="preserve">              59,962.1</t>
  </si>
  <si>
    <t xml:space="preserve">              98,227</t>
  </si>
  <si>
    <t xml:space="preserve">             -25,084</t>
  </si>
  <si>
    <t xml:space="preserve">              27,840.3</t>
  </si>
  <si>
    <t xml:space="preserve">              27,271</t>
  </si>
  <si>
    <t xml:space="preserve">             520,136.3</t>
  </si>
  <si>
    <t xml:space="preserve">             168,180</t>
  </si>
  <si>
    <t xml:space="preserve">            -140,909</t>
  </si>
  <si>
    <t xml:space="preserve">               7,196.6</t>
  </si>
  <si>
    <t xml:space="preserve">              85,098</t>
  </si>
  <si>
    <t xml:space="preserve">               5,613.8</t>
  </si>
  <si>
    <t xml:space="preserve">              62,721</t>
  </si>
  <si>
    <t xml:space="preserve">              22,377</t>
  </si>
  <si>
    <t xml:space="preserve">             414,816.2</t>
  </si>
  <si>
    <t xml:space="preserve">              70,022</t>
  </si>
  <si>
    <t xml:space="preserve">             801,806.8</t>
  </si>
  <si>
    <t xml:space="preserve">              59,659</t>
  </si>
  <si>
    <t xml:space="preserve">              10,362</t>
  </si>
  <si>
    <t xml:space="preserve">             177,333.0</t>
  </si>
  <si>
    <t xml:space="preserve">              50,624</t>
  </si>
  <si>
    <t xml:space="preserve">           5,480,019.5</t>
  </si>
  <si>
    <t xml:space="preserve">           1,685,614</t>
  </si>
  <si>
    <t xml:space="preserve">          -1,634,991</t>
  </si>
  <si>
    <t xml:space="preserve">           5,803,537.5</t>
  </si>
  <si>
    <t xml:space="preserve">           4,210,226</t>
  </si>
  <si>
    <t xml:space="preserve">          28,648,227.7</t>
  </si>
  <si>
    <t xml:space="preserve">          10,921,257</t>
  </si>
  <si>
    <t xml:space="preserve">          -6,711,031</t>
  </si>
  <si>
    <t xml:space="preserve">             456,702.0</t>
  </si>
  <si>
    <t xml:space="preserve">             744,648</t>
  </si>
  <si>
    <t xml:space="preserve">             288,592.2</t>
  </si>
  <si>
    <t xml:space="preserve">             715,446</t>
  </si>
  <si>
    <t xml:space="preserve">              29,203</t>
  </si>
  <si>
    <t xml:space="preserve">           1,544,415.8</t>
  </si>
  <si>
    <t xml:space="preserve">           1,540,886</t>
  </si>
  <si>
    <t xml:space="preserve">             670,721.3</t>
  </si>
  <si>
    <t xml:space="preserve">           1,029,013</t>
  </si>
  <si>
    <t xml:space="preserve">             511,873</t>
  </si>
  <si>
    <t xml:space="preserve">               2,067.5</t>
  </si>
  <si>
    <t xml:space="preserve">             785,584</t>
  </si>
  <si>
    <t xml:space="preserve">               6,751.4</t>
  </si>
  <si>
    <t xml:space="preserve">             778,740</t>
  </si>
  <si>
    <t xml:space="preserve">              87,714.0</t>
  </si>
  <si>
    <t xml:space="preserve">              34,708</t>
  </si>
  <si>
    <t xml:space="preserve">             154,572.0</t>
  </si>
  <si>
    <t xml:space="preserve">              67,063</t>
  </si>
  <si>
    <t xml:space="preserve">             -32,355</t>
  </si>
  <si>
    <t xml:space="preserve">              24,651.9</t>
  </si>
  <si>
    <t xml:space="preserve">             193,435</t>
  </si>
  <si>
    <t xml:space="preserve">              22,161.7</t>
  </si>
  <si>
    <t xml:space="preserve">             171,852</t>
  </si>
  <si>
    <t xml:space="preserve">              21,583</t>
  </si>
  <si>
    <t xml:space="preserve">              38,493.3</t>
  </si>
  <si>
    <t xml:space="preserve">             883,056</t>
  </si>
  <si>
    <t xml:space="preserve">             163,784</t>
  </si>
  <si>
    <t xml:space="preserve">             719,271</t>
  </si>
  <si>
    <t xml:space="preserve">              43,191.1</t>
  </si>
  <si>
    <t xml:space="preserve">             144,577</t>
  </si>
  <si>
    <t xml:space="preserve">              23,463.6</t>
  </si>
  <si>
    <t xml:space="preserve">              87,651</t>
  </si>
  <si>
    <t xml:space="preserve">              56,926</t>
  </si>
  <si>
    <t xml:space="preserve">               6,652.2</t>
  </si>
  <si>
    <t xml:space="preserve">              69,125</t>
  </si>
  <si>
    <t xml:space="preserve">              22,618.6</t>
  </si>
  <si>
    <t xml:space="preserve">              81,608</t>
  </si>
  <si>
    <t xml:space="preserve">             -12,482</t>
  </si>
  <si>
    <t xml:space="preserve">                 330.3</t>
  </si>
  <si>
    <t xml:space="preserve">                 136.8</t>
  </si>
  <si>
    <t xml:space="preserve">               7,402</t>
  </si>
  <si>
    <t xml:space="preserve">               1,348</t>
  </si>
  <si>
    <t xml:space="preserve">               1,450.0</t>
  </si>
  <si>
    <t xml:space="preserve">              85,327</t>
  </si>
  <si>
    <t xml:space="preserve">               2,999.0</t>
  </si>
  <si>
    <t xml:space="preserve">              92,849</t>
  </si>
  <si>
    <t xml:space="preserve">              -7,522</t>
  </si>
  <si>
    <t xml:space="preserve">              99,649.2</t>
  </si>
  <si>
    <t xml:space="preserve">             578,368</t>
  </si>
  <si>
    <t xml:space="preserve">             174,212.0</t>
  </si>
  <si>
    <t xml:space="preserve">             843,755</t>
  </si>
  <si>
    <t xml:space="preserve">            -265,387</t>
  </si>
  <si>
    <t xml:space="preserve">           1,431,810.5</t>
  </si>
  <si>
    <t xml:space="preserve">           2,600,571</t>
  </si>
  <si>
    <t xml:space="preserve">             250,568.7</t>
  </si>
  <si>
    <t xml:space="preserve">             958,189</t>
  </si>
  <si>
    <t xml:space="preserve">           1,642,382</t>
  </si>
  <si>
    <t xml:space="preserve">             237,482.1</t>
  </si>
  <si>
    <t xml:space="preserve">             564,932</t>
  </si>
  <si>
    <t xml:space="preserve">              69,444.4</t>
  </si>
  <si>
    <t xml:space="preserve">             225,673</t>
  </si>
  <si>
    <t xml:space="preserve">             339,259</t>
  </si>
  <si>
    <t xml:space="preserve">               1,635.9</t>
  </si>
  <si>
    <t xml:space="preserve">              18,117</t>
  </si>
  <si>
    <t xml:space="preserve">               5,366.5</t>
  </si>
  <si>
    <t xml:space="preserve">              15,554</t>
  </si>
  <si>
    <t xml:space="preserve">                 634.3</t>
  </si>
  <si>
    <t xml:space="preserve">              39,053</t>
  </si>
  <si>
    <t xml:space="preserve">               8,251.4</t>
  </si>
  <si>
    <t xml:space="preserve">             293,159</t>
  </si>
  <si>
    <t xml:space="preserve">            -254,106</t>
  </si>
  <si>
    <t xml:space="preserve">                   0.4</t>
  </si>
  <si>
    <t xml:space="preserve">                 315</t>
  </si>
  <si>
    <t xml:space="preserve">               2,713</t>
  </si>
  <si>
    <t xml:space="preserve">              -2,398</t>
  </si>
  <si>
    <t xml:space="preserve">               4,279.4</t>
  </si>
  <si>
    <t xml:space="preserve">               5,958</t>
  </si>
  <si>
    <t xml:space="preserve">             568,450.8</t>
  </si>
  <si>
    <t xml:space="preserve">             183,162</t>
  </si>
  <si>
    <t xml:space="preserve">            -177,204</t>
  </si>
  <si>
    <t xml:space="preserve">                  93.2</t>
  </si>
  <si>
    <t xml:space="preserve">                -377</t>
  </si>
  <si>
    <t xml:space="preserve">                   0.3</t>
  </si>
  <si>
    <t xml:space="preserve">                  21</t>
  </si>
  <si>
    <t xml:space="preserve">               1,315</t>
  </si>
  <si>
    <t xml:space="preserve">              -1,294</t>
  </si>
  <si>
    <t xml:space="preserve">              40,838.6</t>
  </si>
  <si>
    <t xml:space="preserve">               8,645</t>
  </si>
  <si>
    <t xml:space="preserve">             209,785.5</t>
  </si>
  <si>
    <t xml:space="preserve">             107,976</t>
  </si>
  <si>
    <t xml:space="preserve">             -99,330</t>
  </si>
  <si>
    <t xml:space="preserve">             205,758.7</t>
  </si>
  <si>
    <t xml:space="preserve">             194,053</t>
  </si>
  <si>
    <t xml:space="preserve">             123,088.8</t>
  </si>
  <si>
    <t xml:space="preserve">             175,938</t>
  </si>
  <si>
    <t xml:space="preserve">              18,116</t>
  </si>
  <si>
    <t xml:space="preserve">               2,129.9</t>
  </si>
  <si>
    <t xml:space="preserve">              19,249</t>
  </si>
  <si>
    <t xml:space="preserve">               1,085.0</t>
  </si>
  <si>
    <t xml:space="preserve">              22,841</t>
  </si>
  <si>
    <t xml:space="preserve">              -3,592</t>
  </si>
  <si>
    <t xml:space="preserve">                   9.7</t>
  </si>
  <si>
    <t xml:space="preserve">               1,675</t>
  </si>
  <si>
    <t xml:space="preserve">                 179</t>
  </si>
  <si>
    <t xml:space="preserve">                  33.2</t>
  </si>
  <si>
    <t xml:space="preserve">                 497</t>
  </si>
  <si>
    <t xml:space="preserve">                 603.0</t>
  </si>
  <si>
    <t xml:space="preserve">              11,999</t>
  </si>
  <si>
    <t xml:space="preserve">             -11,502</t>
  </si>
  <si>
    <t xml:space="preserve">               2,428.1</t>
  </si>
  <si>
    <t xml:space="preserve">              18,146</t>
  </si>
  <si>
    <t xml:space="preserve">              16,185.6</t>
  </si>
  <si>
    <t xml:space="preserve">             -30,155</t>
  </si>
  <si>
    <t xml:space="preserve">                 291</t>
  </si>
  <si>
    <t xml:space="preserve">                 889.2</t>
  </si>
  <si>
    <t xml:space="preserve">               4,178</t>
  </si>
  <si>
    <t xml:space="preserve">              -3,887</t>
  </si>
  <si>
    <t xml:space="preserve">              19,036.6</t>
  </si>
  <si>
    <t xml:space="preserve">             118,958</t>
  </si>
  <si>
    <t xml:space="preserve">              31,845.4</t>
  </si>
  <si>
    <t xml:space="preserve">              67,248</t>
  </si>
  <si>
    <t xml:space="preserve">              50,784.9</t>
  </si>
  <si>
    <t xml:space="preserve">              10,509.6</t>
  </si>
  <si>
    <t xml:space="preserve">              37,026</t>
  </si>
  <si>
    <t xml:space="preserve">              49,691</t>
  </si>
  <si>
    <t xml:space="preserve">               9,241.8</t>
  </si>
  <si>
    <t xml:space="preserve">              57,146</t>
  </si>
  <si>
    <t xml:space="preserve">              16,320.5</t>
  </si>
  <si>
    <t xml:space="preserve">              48,762</t>
  </si>
  <si>
    <t xml:space="preserve">               8,385</t>
  </si>
  <si>
    <t xml:space="preserve">                 431.9</t>
  </si>
  <si>
    <t xml:space="preserve">               4,570</t>
  </si>
  <si>
    <t xml:space="preserve">               4,256.1</t>
  </si>
  <si>
    <t xml:space="preserve">               7,777</t>
  </si>
  <si>
    <t xml:space="preserve">              -3,207</t>
  </si>
  <si>
    <t xml:space="preserve">               1,104.5</t>
  </si>
  <si>
    <t xml:space="preserve">              12,811</t>
  </si>
  <si>
    <t xml:space="preserve">                 624.1</t>
  </si>
  <si>
    <t xml:space="preserve">               5,314</t>
  </si>
  <si>
    <t xml:space="preserve">               7,497</t>
  </si>
  <si>
    <t xml:space="preserve">               7,763.6</t>
  </si>
  <si>
    <t xml:space="preserve">              79,652</t>
  </si>
  <si>
    <t xml:space="preserve">               5,059.5</t>
  </si>
  <si>
    <t xml:space="preserve">              30,260</t>
  </si>
  <si>
    <t xml:space="preserve">              49,392</t>
  </si>
  <si>
    <t xml:space="preserve">              12,883.3</t>
  </si>
  <si>
    <t xml:space="preserve">              92,030</t>
  </si>
  <si>
    <t xml:space="preserve">               1,479.1</t>
  </si>
  <si>
    <t xml:space="preserve">               6,914</t>
  </si>
  <si>
    <t xml:space="preserve">              85,116</t>
  </si>
  <si>
    <t xml:space="preserve">               1,863.2</t>
  </si>
  <si>
    <t xml:space="preserve">              59,917</t>
  </si>
  <si>
    <t xml:space="preserve">              18,824.3</t>
  </si>
  <si>
    <t xml:space="preserve">             410,546</t>
  </si>
  <si>
    <t xml:space="preserve">            -350,630</t>
  </si>
  <si>
    <t xml:space="preserve">               1,821.2</t>
  </si>
  <si>
    <t xml:space="preserve">              56,809</t>
  </si>
  <si>
    <t xml:space="preserve">              17,523.8</t>
  </si>
  <si>
    <t xml:space="preserve">             568,496</t>
  </si>
  <si>
    <t xml:space="preserve">            -511,687</t>
  </si>
  <si>
    <t xml:space="preserve">              21,634.0</t>
  </si>
  <si>
    <t xml:space="preserve">              39,850</t>
  </si>
  <si>
    <t xml:space="preserve">              21,444.8</t>
  </si>
  <si>
    <t xml:space="preserve">              87,762</t>
  </si>
  <si>
    <t xml:space="preserve">             -47,912</t>
  </si>
  <si>
    <t xml:space="preserve">               1,029.9</t>
  </si>
  <si>
    <t xml:space="preserve">              27,014</t>
  </si>
  <si>
    <t xml:space="preserve">              10,196.5</t>
  </si>
  <si>
    <t xml:space="preserve">             291,470</t>
  </si>
  <si>
    <t xml:space="preserve">            -264,456</t>
  </si>
  <si>
    <t xml:space="preserve">                 171.5</t>
  </si>
  <si>
    <t xml:space="preserve">               8,864</t>
  </si>
  <si>
    <t xml:space="preserve">                 679.1</t>
  </si>
  <si>
    <t xml:space="preserve">              23,628</t>
  </si>
  <si>
    <t xml:space="preserve">             -14,764</t>
  </si>
  <si>
    <t xml:space="preserve">                 197</t>
  </si>
  <si>
    <t xml:space="preserve">               1,036.9</t>
  </si>
  <si>
    <t xml:space="preserve">               8,004</t>
  </si>
  <si>
    <t xml:space="preserve">              -7,808</t>
  </si>
  <si>
    <t xml:space="preserve">               1,472</t>
  </si>
  <si>
    <t xml:space="preserve">                 397.3</t>
  </si>
  <si>
    <t xml:space="preserve">               6,978</t>
  </si>
  <si>
    <t xml:space="preserve">              -5,506</t>
  </si>
  <si>
    <t xml:space="preserve">               8,919.4</t>
  </si>
  <si>
    <t xml:space="preserve">              73,265</t>
  </si>
  <si>
    <t xml:space="preserve">             120,405.6</t>
  </si>
  <si>
    <t xml:space="preserve">              89,975</t>
  </si>
  <si>
    <t xml:space="preserve">             -16,710</t>
  </si>
  <si>
    <t xml:space="preserve">              25,424</t>
  </si>
  <si>
    <t xml:space="preserve">             115,226.5</t>
  </si>
  <si>
    <t xml:space="preserve">             110,534</t>
  </si>
  <si>
    <t xml:space="preserve">             -85,110</t>
  </si>
  <si>
    <t xml:space="preserve">              25,071.8</t>
  </si>
  <si>
    <t xml:space="preserve">             127,290</t>
  </si>
  <si>
    <t xml:space="preserve">              69,216.3</t>
  </si>
  <si>
    <t xml:space="preserve">             216,638</t>
  </si>
  <si>
    <t xml:space="preserve">             -89,348</t>
  </si>
  <si>
    <t xml:space="preserve">                 708.7</t>
  </si>
  <si>
    <t xml:space="preserve">           1,241,165</t>
  </si>
  <si>
    <t xml:space="preserve">               1,503.7</t>
  </si>
  <si>
    <t xml:space="preserve">           1,985,644</t>
  </si>
  <si>
    <t xml:space="preserve">            -744,479</t>
  </si>
  <si>
    <t xml:space="preserve">           2,255,421.0</t>
  </si>
  <si>
    <t xml:space="preserve">           1,877,958</t>
  </si>
  <si>
    <t xml:space="preserve">           1,074,920.8</t>
  </si>
  <si>
    <t xml:space="preserve">             882,174</t>
  </si>
  <si>
    <t xml:space="preserve">             995,784</t>
  </si>
  <si>
    <t xml:space="preserve">             221,149.6</t>
  </si>
  <si>
    <t xml:space="preserve">             568,669</t>
  </si>
  <si>
    <t xml:space="preserve">             196,500.6</t>
  </si>
  <si>
    <t xml:space="preserve">             574,173</t>
  </si>
  <si>
    <t xml:space="preserve">              -5,504</t>
  </si>
  <si>
    <t xml:space="preserve">              40,439.5</t>
  </si>
  <si>
    <t xml:space="preserve">             517,990</t>
  </si>
  <si>
    <t xml:space="preserve">              63,892.5</t>
  </si>
  <si>
    <t xml:space="preserve">             793,395</t>
  </si>
  <si>
    <t xml:space="preserve">            -275,405</t>
  </si>
  <si>
    <t xml:space="preserve">                 907.7</t>
  </si>
  <si>
    <t xml:space="preserve">              22,240</t>
  </si>
  <si>
    <t xml:space="preserve">               3,912.1</t>
  </si>
  <si>
    <t xml:space="preserve">              86,323</t>
  </si>
  <si>
    <t xml:space="preserve">             -64,083</t>
  </si>
  <si>
    <t xml:space="preserve">             102,371.7</t>
  </si>
  <si>
    <t xml:space="preserve">             446,510</t>
  </si>
  <si>
    <t xml:space="preserve">             201,248.3</t>
  </si>
  <si>
    <t xml:space="preserve">             687,598</t>
  </si>
  <si>
    <t xml:space="preserve">            -241,088</t>
  </si>
  <si>
    <t xml:space="preserve">              29,021.9</t>
  </si>
  <si>
    <t xml:space="preserve">              64,432</t>
  </si>
  <si>
    <t xml:space="preserve">              11,903.2</t>
  </si>
  <si>
    <t xml:space="preserve">              27,729</t>
  </si>
  <si>
    <t xml:space="preserve">              36,703</t>
  </si>
  <si>
    <t xml:space="preserve">              39,340.5</t>
  </si>
  <si>
    <t xml:space="preserve">             135,003</t>
  </si>
  <si>
    <t xml:space="preserve">               1,169.8</t>
  </si>
  <si>
    <t xml:space="preserve">               6,039</t>
  </si>
  <si>
    <t xml:space="preserve">             128,964</t>
  </si>
  <si>
    <t xml:space="preserve">                 113.9</t>
  </si>
  <si>
    <t xml:space="preserve">               6,607</t>
  </si>
  <si>
    <t xml:space="preserve">                 807.3</t>
  </si>
  <si>
    <t xml:space="preserve">              38,463</t>
  </si>
  <si>
    <t xml:space="preserve">             -31,856</t>
  </si>
  <si>
    <t xml:space="preserve">               2,579.0</t>
  </si>
  <si>
    <t xml:space="preserve">              34,513</t>
  </si>
  <si>
    <t xml:space="preserve">              17,075.3</t>
  </si>
  <si>
    <t xml:space="preserve">             127,037</t>
  </si>
  <si>
    <t xml:space="preserve">             -92,524</t>
  </si>
  <si>
    <t xml:space="preserve">               7,925.0</t>
  </si>
  <si>
    <t xml:space="preserve">             158,308</t>
  </si>
  <si>
    <t xml:space="preserve">               4,909.1</t>
  </si>
  <si>
    <t xml:space="preserve">              80,532</t>
  </si>
  <si>
    <t xml:space="preserve">              77,775</t>
  </si>
  <si>
    <t xml:space="preserve">              19,919.2</t>
  </si>
  <si>
    <t xml:space="preserve">             114,339</t>
  </si>
  <si>
    <t xml:space="preserve">              11,486.0</t>
  </si>
  <si>
    <t xml:space="preserve">              75,682</t>
  </si>
  <si>
    <t xml:space="preserve">              38,658</t>
  </si>
  <si>
    <t xml:space="preserve">             318,816.6</t>
  </si>
  <si>
    <t xml:space="preserve">           9,458,905</t>
  </si>
  <si>
    <t xml:space="preserve">             187,580.8</t>
  </si>
  <si>
    <t xml:space="preserve">           6,971,613</t>
  </si>
  <si>
    <t xml:space="preserve">           2,487,292</t>
  </si>
  <si>
    <t xml:space="preserve">             193,080.7</t>
  </si>
  <si>
    <t xml:space="preserve">          28,041,015</t>
  </si>
  <si>
    <t xml:space="preserve">             187,722.0</t>
  </si>
  <si>
    <t xml:space="preserve">          10,846,877</t>
  </si>
  <si>
    <t xml:space="preserve">          17,194,137</t>
  </si>
  <si>
    <t xml:space="preserve">              11,542.3</t>
  </si>
  <si>
    <t xml:space="preserve">              69,020</t>
  </si>
  <si>
    <t xml:space="preserve">              11,617.4</t>
  </si>
  <si>
    <t xml:space="preserve">              44,310</t>
  </si>
  <si>
    <t xml:space="preserve">              24,710</t>
  </si>
  <si>
    <t xml:space="preserve">             575,030.3</t>
  </si>
  <si>
    <t xml:space="preserve">           6,152,886</t>
  </si>
  <si>
    <t xml:space="preserve">             109,038.6</t>
  </si>
  <si>
    <t xml:space="preserve">           1,677,903</t>
  </si>
  <si>
    <t xml:space="preserve">           4,474,983</t>
  </si>
  <si>
    <t xml:space="preserve">             155,861</t>
  </si>
  <si>
    <t xml:space="preserve">                 814.2</t>
  </si>
  <si>
    <t xml:space="preserve">             260,948</t>
  </si>
  <si>
    <t xml:space="preserve">            -105,088</t>
  </si>
  <si>
    <t xml:space="preserve">             631,562.6</t>
  </si>
  <si>
    <t xml:space="preserve">           2,104,220</t>
  </si>
  <si>
    <t xml:space="preserve">              61,600.1</t>
  </si>
  <si>
    <t xml:space="preserve">             167,797</t>
  </si>
  <si>
    <t xml:space="preserve">           1,936,423</t>
  </si>
  <si>
    <t xml:space="preserve">              13,468.7</t>
  </si>
  <si>
    <t xml:space="preserve">           1,183,434</t>
  </si>
  <si>
    <t xml:space="preserve">              13,949.5</t>
  </si>
  <si>
    <t xml:space="preserve">           1,960,000</t>
  </si>
  <si>
    <t xml:space="preserve">            -776,566</t>
  </si>
  <si>
    <t xml:space="preserve">                   8.1</t>
  </si>
  <si>
    <t xml:space="preserve">              17,770</t>
  </si>
  <si>
    <t xml:space="preserve">                 270.8</t>
  </si>
  <si>
    <t xml:space="preserve">             106,381</t>
  </si>
  <si>
    <t xml:space="preserve">             -88,611</t>
  </si>
  <si>
    <t xml:space="preserve">                 226.6</t>
  </si>
  <si>
    <t xml:space="preserve">               5,487</t>
  </si>
  <si>
    <t xml:space="preserve">                 651.6</t>
  </si>
  <si>
    <t xml:space="preserve">              14,550</t>
  </si>
  <si>
    <t xml:space="preserve">              -9,063</t>
  </si>
  <si>
    <t xml:space="preserve">               2,436.7</t>
  </si>
  <si>
    <t xml:space="preserve">             357,141</t>
  </si>
  <si>
    <t xml:space="preserve">                  71.4</t>
  </si>
  <si>
    <t xml:space="preserve">               8,899</t>
  </si>
  <si>
    <t xml:space="preserve">             348,242</t>
  </si>
  <si>
    <t xml:space="preserve">              12,811.4</t>
  </si>
  <si>
    <t xml:space="preserve">              90,190</t>
  </si>
  <si>
    <t xml:space="preserve">              76,387.5</t>
  </si>
  <si>
    <t xml:space="preserve">             297,548</t>
  </si>
  <si>
    <t xml:space="preserve">            -207,357</t>
  </si>
  <si>
    <t xml:space="preserve">               2,334.8</t>
  </si>
  <si>
    <t xml:space="preserve">              59,169</t>
  </si>
  <si>
    <t xml:space="preserve">              14,361.5</t>
  </si>
  <si>
    <t xml:space="preserve">             203,387</t>
  </si>
  <si>
    <t xml:space="preserve">            -144,218</t>
  </si>
  <si>
    <t xml:space="preserve">               1,849.0</t>
  </si>
  <si>
    <t xml:space="preserve">              31,253</t>
  </si>
  <si>
    <t xml:space="preserve">              10,042.0</t>
  </si>
  <si>
    <t xml:space="preserve">              83,219</t>
  </si>
  <si>
    <t xml:space="preserve">             -51,966</t>
  </si>
  <si>
    <t xml:space="preserve">              16,783</t>
  </si>
  <si>
    <t xml:space="preserve">                  39.9</t>
  </si>
  <si>
    <t xml:space="preserve">              22,861</t>
  </si>
  <si>
    <t xml:space="preserve">              -6,078</t>
  </si>
  <si>
    <t xml:space="preserve">                 616</t>
  </si>
  <si>
    <t xml:space="preserve">               8,718</t>
  </si>
  <si>
    <t xml:space="preserve">              -8,102</t>
  </si>
  <si>
    <t xml:space="preserve">               6,316.5</t>
  </si>
  <si>
    <t xml:space="preserve">               8,418</t>
  </si>
  <si>
    <t xml:space="preserve">             139,888.2</t>
  </si>
  <si>
    <t xml:space="preserve">             725,085</t>
  </si>
  <si>
    <t xml:space="preserve">            -716,667</t>
  </si>
  <si>
    <t xml:space="preserve">              58,681.6</t>
  </si>
  <si>
    <t xml:space="preserve">             197,950</t>
  </si>
  <si>
    <t xml:space="preserve">             108,309.2</t>
  </si>
  <si>
    <t xml:space="preserve">             443,351</t>
  </si>
  <si>
    <t xml:space="preserve">            -245,401</t>
  </si>
  <si>
    <t xml:space="preserve">               2,592.7</t>
  </si>
  <si>
    <t xml:space="preserve">               7,653</t>
  </si>
  <si>
    <t xml:space="preserve">              35,120.9</t>
  </si>
  <si>
    <t xml:space="preserve">             147,420</t>
  </si>
  <si>
    <t xml:space="preserve">            -139,766</t>
  </si>
  <si>
    <t xml:space="preserve">               1,159.2</t>
  </si>
  <si>
    <t xml:space="preserve">               6,311</t>
  </si>
  <si>
    <t xml:space="preserve">               4,074.4</t>
  </si>
  <si>
    <t xml:space="preserve">              18,160</t>
  </si>
  <si>
    <t xml:space="preserve">             -11,848</t>
  </si>
  <si>
    <t xml:space="preserve">                 177.1</t>
  </si>
  <si>
    <t xml:space="preserve">                 754</t>
  </si>
  <si>
    <t xml:space="preserve">               8,372.5</t>
  </si>
  <si>
    <t xml:space="preserve">              16,121</t>
  </si>
  <si>
    <t xml:space="preserve">             -15,368</t>
  </si>
  <si>
    <t xml:space="preserve">               3,962.5</t>
  </si>
  <si>
    <t xml:space="preserve">               9,466</t>
  </si>
  <si>
    <t xml:space="preserve">              99,630.9</t>
  </si>
  <si>
    <t xml:space="preserve">              70,772</t>
  </si>
  <si>
    <t xml:space="preserve">             -61,307</t>
  </si>
  <si>
    <t xml:space="preserve">               2,155.0</t>
  </si>
  <si>
    <t xml:space="preserve">              19,244</t>
  </si>
  <si>
    <t xml:space="preserve">              96,952.9</t>
  </si>
  <si>
    <t xml:space="preserve">             219,895</t>
  </si>
  <si>
    <t xml:space="preserve">            -200,651</t>
  </si>
  <si>
    <t xml:space="preserve">                 514.5</t>
  </si>
  <si>
    <t xml:space="preserve">               3,919</t>
  </si>
  <si>
    <t xml:space="preserve">              16,993.5</t>
  </si>
  <si>
    <t xml:space="preserve">             147,883</t>
  </si>
  <si>
    <t xml:space="preserve">            -143,963</t>
  </si>
  <si>
    <t xml:space="preserve">               1,309.6</t>
  </si>
  <si>
    <t xml:space="preserve">               1,430</t>
  </si>
  <si>
    <t xml:space="preserve">           1,363,725.7</t>
  </si>
  <si>
    <t xml:space="preserve">             363,563</t>
  </si>
  <si>
    <t xml:space="preserve">            -362,133</t>
  </si>
  <si>
    <t xml:space="preserve">               4,793.5</t>
  </si>
  <si>
    <t xml:space="preserve">               3,112</t>
  </si>
  <si>
    <t xml:space="preserve">              29,106.1</t>
  </si>
  <si>
    <t xml:space="preserve">              25,979</t>
  </si>
  <si>
    <t xml:space="preserve">             -22,867</t>
  </si>
  <si>
    <t xml:space="preserve">               5,602.9</t>
  </si>
  <si>
    <t xml:space="preserve">              68,663</t>
  </si>
  <si>
    <t xml:space="preserve">             283,131.1</t>
  </si>
  <si>
    <t xml:space="preserve">             146,703</t>
  </si>
  <si>
    <t xml:space="preserve">             -78,040</t>
  </si>
  <si>
    <t xml:space="preserve">                 423.6</t>
  </si>
  <si>
    <t xml:space="preserve">               8,622</t>
  </si>
  <si>
    <t xml:space="preserve">               4,989.8</t>
  </si>
  <si>
    <t xml:space="preserve">              24,690</t>
  </si>
  <si>
    <t xml:space="preserve">             -16,068</t>
  </si>
  <si>
    <t xml:space="preserve">                  60</t>
  </si>
  <si>
    <t xml:space="preserve">              29,903.1</t>
  </si>
  <si>
    <t xml:space="preserve">               8,981</t>
  </si>
  <si>
    <t xml:space="preserve">              -8,921</t>
  </si>
  <si>
    <t xml:space="preserve">              28,371.6</t>
  </si>
  <si>
    <t xml:space="preserve">              33,218</t>
  </si>
  <si>
    <t xml:space="preserve">             171,004.8</t>
  </si>
  <si>
    <t xml:space="preserve">             252,109</t>
  </si>
  <si>
    <t xml:space="preserve">            -218,890</t>
  </si>
  <si>
    <t xml:space="preserve">               4,686.9</t>
  </si>
  <si>
    <t xml:space="preserve">              27,253</t>
  </si>
  <si>
    <t xml:space="preserve">              16,089.3</t>
  </si>
  <si>
    <t xml:space="preserve">             -58,050</t>
  </si>
  <si>
    <t xml:space="preserve">              24,531.0</t>
  </si>
  <si>
    <t xml:space="preserve">              22,399</t>
  </si>
  <si>
    <t xml:space="preserve">             157,368.8</t>
  </si>
  <si>
    <t xml:space="preserve">              91,121</t>
  </si>
  <si>
    <t xml:space="preserve">             -68,722</t>
  </si>
  <si>
    <t xml:space="preserve">               1,476.3</t>
  </si>
  <si>
    <t xml:space="preserve">               6,840</t>
  </si>
  <si>
    <t xml:space="preserve">               5,956.1</t>
  </si>
  <si>
    <t xml:space="preserve">              50,433</t>
  </si>
  <si>
    <t xml:space="preserve">             -43,593</t>
  </si>
  <si>
    <t xml:space="preserve">              67,627.1</t>
  </si>
  <si>
    <t xml:space="preserve">             277,613</t>
  </si>
  <si>
    <t xml:space="preserve">              31,632.5</t>
  </si>
  <si>
    <t xml:space="preserve">             101,175</t>
  </si>
  <si>
    <t xml:space="preserve">             176,438</t>
  </si>
  <si>
    <t xml:space="preserve">              10,010.1</t>
  </si>
  <si>
    <t xml:space="preserve">              93,090</t>
  </si>
  <si>
    <t xml:space="preserve">             102,185.9</t>
  </si>
  <si>
    <t xml:space="preserve">             148,077</t>
  </si>
  <si>
    <t xml:space="preserve">             -54,987</t>
  </si>
  <si>
    <t xml:space="preserve">              39,549.2</t>
  </si>
  <si>
    <t xml:space="preserve">             167,432</t>
  </si>
  <si>
    <t xml:space="preserve">              35,880.8</t>
  </si>
  <si>
    <t xml:space="preserve">             250,699</t>
  </si>
  <si>
    <t xml:space="preserve">             -83,267</t>
  </si>
  <si>
    <t xml:space="preserve">              92,989.8</t>
  </si>
  <si>
    <t xml:space="preserve">             111,206</t>
  </si>
  <si>
    <t xml:space="preserve">              79,217.2</t>
  </si>
  <si>
    <t xml:space="preserve">             130,444</t>
  </si>
  <si>
    <t xml:space="preserve">             -19,238</t>
  </si>
  <si>
    <t xml:space="preserve">              33,588.3</t>
  </si>
  <si>
    <t xml:space="preserve">              33,746</t>
  </si>
  <si>
    <t xml:space="preserve">             642,809.6</t>
  </si>
  <si>
    <t xml:space="preserve">             207,399</t>
  </si>
  <si>
    <t xml:space="preserve">            -173,653</t>
  </si>
  <si>
    <t xml:space="preserve">               7,281.9</t>
  </si>
  <si>
    <t xml:space="preserve">              78,757</t>
  </si>
  <si>
    <t xml:space="preserve">               4,727.7</t>
  </si>
  <si>
    <t xml:space="preserve">              71,375</t>
  </si>
  <si>
    <t xml:space="preserve">               7,382</t>
  </si>
  <si>
    <t xml:space="preserve">             435,102.1</t>
  </si>
  <si>
    <t xml:space="preserve">              73,899</t>
  </si>
  <si>
    <t xml:space="preserve">             831,430.6</t>
  </si>
  <si>
    <t xml:space="preserve">              66,438</t>
  </si>
  <si>
    <t xml:space="preserve">               7,461</t>
  </si>
  <si>
    <t xml:space="preserve">             183,768.4</t>
  </si>
  <si>
    <t xml:space="preserve">              55,525</t>
  </si>
  <si>
    <t xml:space="preserve">           6,463,697.6</t>
  </si>
  <si>
    <t xml:space="preserve">           2,202,575</t>
  </si>
  <si>
    <t xml:space="preserve">          -2,147,050</t>
  </si>
  <si>
    <t xml:space="preserve">           5,305,009.4</t>
  </si>
  <si>
    <t xml:space="preserve">           6,411,300</t>
  </si>
  <si>
    <t xml:space="preserve">          26,753,141.9</t>
  </si>
  <si>
    <t xml:space="preserve">          11,633,305</t>
  </si>
  <si>
    <t xml:space="preserve">          -5,222,006</t>
  </si>
  <si>
    <t xml:space="preserve">             490,650.1</t>
  </si>
  <si>
    <t xml:space="preserve">             882,477</t>
  </si>
  <si>
    <t xml:space="preserve">             403,819.7</t>
  </si>
  <si>
    <t xml:space="preserve">           1,352,974</t>
  </si>
  <si>
    <t xml:space="preserve">            -470,497</t>
  </si>
  <si>
    <t xml:space="preserve">           1,703,627.7</t>
  </si>
  <si>
    <t xml:space="preserve">           2,013,831</t>
  </si>
  <si>
    <t xml:space="preserve">             691,063.7</t>
  </si>
  <si>
    <t xml:space="preserve">           1,295,222</t>
  </si>
  <si>
    <t xml:space="preserve">             718,609</t>
  </si>
  <si>
    <t xml:space="preserve">               2,910.1</t>
  </si>
  <si>
    <t xml:space="preserve">             786,424</t>
  </si>
  <si>
    <t xml:space="preserve">               7,429.8</t>
  </si>
  <si>
    <t xml:space="preserve">             992,976</t>
  </si>
  <si>
    <t xml:space="preserve">            -206,552</t>
  </si>
  <si>
    <t xml:space="preserve">             110,942.4</t>
  </si>
  <si>
    <t xml:space="preserve">              47,836</t>
  </si>
  <si>
    <t xml:space="preserve">             162,337.5</t>
  </si>
  <si>
    <t xml:space="preserve">              70,641</t>
  </si>
  <si>
    <t xml:space="preserve">             -22,804</t>
  </si>
  <si>
    <t xml:space="preserve">              34,423.5</t>
  </si>
  <si>
    <t xml:space="preserve">             247,193</t>
  </si>
  <si>
    <t xml:space="preserve">              25,698.0</t>
  </si>
  <si>
    <t xml:space="preserve">             215,242</t>
  </si>
  <si>
    <t xml:space="preserve">              31,952</t>
  </si>
  <si>
    <t xml:space="preserve">              48,307.1</t>
  </si>
  <si>
    <t xml:space="preserve">           1,143,361</t>
  </si>
  <si>
    <t xml:space="preserve">               9,788.6</t>
  </si>
  <si>
    <t xml:space="preserve">             198,719</t>
  </si>
  <si>
    <t xml:space="preserve">             944,642</t>
  </si>
  <si>
    <t xml:space="preserve">              48,945.1</t>
  </si>
  <si>
    <t xml:space="preserve">             168,853</t>
  </si>
  <si>
    <t xml:space="preserve">              28,083.9</t>
  </si>
  <si>
    <t xml:space="preserve">              97,008</t>
  </si>
  <si>
    <t xml:space="preserve">              71,845</t>
  </si>
  <si>
    <t xml:space="preserve">               7,228.7</t>
  </si>
  <si>
    <t xml:space="preserve">              82,425</t>
  </si>
  <si>
    <t xml:space="preserve">              21,599.5</t>
  </si>
  <si>
    <t xml:space="preserve">              97,410</t>
  </si>
  <si>
    <t xml:space="preserve">             -14,985</t>
  </si>
  <si>
    <t xml:space="preserve">               8,349</t>
  </si>
  <si>
    <t xml:space="preserve">                 172.1</t>
  </si>
  <si>
    <t xml:space="preserve">               8,914</t>
  </si>
  <si>
    <t xml:space="preserve">                -564</t>
  </si>
  <si>
    <t xml:space="preserve">               1,640.0</t>
  </si>
  <si>
    <t xml:space="preserve">              93,640</t>
  </si>
  <si>
    <t xml:space="preserve">               3,140.8</t>
  </si>
  <si>
    <t xml:space="preserve">             107,803</t>
  </si>
  <si>
    <t xml:space="preserve">             -14,162</t>
  </si>
  <si>
    <t xml:space="preserve">             147,069.6</t>
  </si>
  <si>
    <t xml:space="preserve">             747,205</t>
  </si>
  <si>
    <t xml:space="preserve">             254,254.5</t>
  </si>
  <si>
    <t xml:space="preserve">             968,908</t>
  </si>
  <si>
    <t xml:space="preserve">            -221,703</t>
  </si>
  <si>
    <t xml:space="preserve">           1,435,769.2</t>
  </si>
  <si>
    <t xml:space="preserve">           2,896,890</t>
  </si>
  <si>
    <t xml:space="preserve">             310,173.6</t>
  </si>
  <si>
    <t xml:space="preserve">           1,189,880</t>
  </si>
  <si>
    <t xml:space="preserve">           1,707,010</t>
  </si>
  <si>
    <t xml:space="preserve">             250,066.3</t>
  </si>
  <si>
    <t xml:space="preserve">             652,373</t>
  </si>
  <si>
    <t xml:space="preserve">              87,409.3</t>
  </si>
  <si>
    <t xml:space="preserve">             275,483</t>
  </si>
  <si>
    <t xml:space="preserve">             376,890</t>
  </si>
  <si>
    <t xml:space="preserve">               2,763.5</t>
  </si>
  <si>
    <t xml:space="preserve">              25,840</t>
  </si>
  <si>
    <t xml:space="preserve">               7,934.5</t>
  </si>
  <si>
    <t xml:space="preserve">              22,295</t>
  </si>
  <si>
    <t xml:space="preserve">               3,545</t>
  </si>
  <si>
    <t xml:space="preserve">                 936.3</t>
  </si>
  <si>
    <t xml:space="preserve">              53,379</t>
  </si>
  <si>
    <t xml:space="preserve">               7,516.9</t>
  </si>
  <si>
    <t xml:space="preserve">             307,444</t>
  </si>
  <si>
    <t xml:space="preserve">            -254,065</t>
  </si>
  <si>
    <t xml:space="preserve">                  13.8</t>
  </si>
  <si>
    <t xml:space="preserve">               3,404</t>
  </si>
  <si>
    <t xml:space="preserve">              -3,050</t>
  </si>
  <si>
    <t xml:space="preserve">               5,073.1</t>
  </si>
  <si>
    <t xml:space="preserve">               7,994</t>
  </si>
  <si>
    <t xml:space="preserve">             713,517.7</t>
  </si>
  <si>
    <t xml:space="preserve">             204,560</t>
  </si>
  <si>
    <t xml:space="preserve">            -196,566</t>
  </si>
  <si>
    <t xml:space="preserve">                 101.2</t>
  </si>
  <si>
    <t xml:space="preserve">                 470</t>
  </si>
  <si>
    <t xml:space="preserve">                -433</t>
  </si>
  <si>
    <t xml:space="preserve">                 321.9</t>
  </si>
  <si>
    <t xml:space="preserve">               2,289</t>
  </si>
  <si>
    <t xml:space="preserve">              -2,206</t>
  </si>
  <si>
    <t xml:space="preserve">              59,753.1</t>
  </si>
  <si>
    <t xml:space="preserve">              11,801</t>
  </si>
  <si>
    <t xml:space="preserve">             234,716.4</t>
  </si>
  <si>
    <t xml:space="preserve">             116,905</t>
  </si>
  <si>
    <t xml:space="preserve">            -105,103</t>
  </si>
  <si>
    <t xml:space="preserve">             249,097.4</t>
  </si>
  <si>
    <t xml:space="preserve">             239,957</t>
  </si>
  <si>
    <t xml:space="preserve">             131,945.0</t>
  </si>
  <si>
    <t xml:space="preserve">             190,202</t>
  </si>
  <si>
    <t xml:space="preserve">              49,755</t>
  </si>
  <si>
    <t xml:space="preserve">               3,033.1</t>
  </si>
  <si>
    <t xml:space="preserve">              23,073</t>
  </si>
  <si>
    <t xml:space="preserve">               1,080.3</t>
  </si>
  <si>
    <t xml:space="preserve">              21,938</t>
  </si>
  <si>
    <t xml:space="preserve">               1,135</t>
  </si>
  <si>
    <t xml:space="preserve">               1,185</t>
  </si>
  <si>
    <t xml:space="preserve">               2,292</t>
  </si>
  <si>
    <t xml:space="preserve">              -1,106</t>
  </si>
  <si>
    <t xml:space="preserve">                 108.4</t>
  </si>
  <si>
    <t xml:space="preserve">               2,503</t>
  </si>
  <si>
    <t xml:space="preserve">                 743.4</t>
  </si>
  <si>
    <t xml:space="preserve">              18,892</t>
  </si>
  <si>
    <t xml:space="preserve">             -16,389</t>
  </si>
  <si>
    <t xml:space="preserve">               3,288.6</t>
  </si>
  <si>
    <t xml:space="preserve">              25,662</t>
  </si>
  <si>
    <t xml:space="preserve">              19,396.2</t>
  </si>
  <si>
    <t xml:space="preserve">              59,043</t>
  </si>
  <si>
    <t xml:space="preserve">             -33,381</t>
  </si>
  <si>
    <t xml:space="preserve">                 490</t>
  </si>
  <si>
    <t xml:space="preserve">               2,982</t>
  </si>
  <si>
    <t xml:space="preserve">              -2,492</t>
  </si>
  <si>
    <t xml:space="preserve">              22,312.1</t>
  </si>
  <si>
    <t xml:space="preserve">             144,090</t>
  </si>
  <si>
    <t xml:space="preserve">              39,794.3</t>
  </si>
  <si>
    <t xml:space="preserve">              84,585</t>
  </si>
  <si>
    <t xml:space="preserve">              59,505</t>
  </si>
  <si>
    <t xml:space="preserve">              62,388.9</t>
  </si>
  <si>
    <t xml:space="preserve">             102,566</t>
  </si>
  <si>
    <t xml:space="preserve">              11,853.6</t>
  </si>
  <si>
    <t xml:space="preserve">              48,024</t>
  </si>
  <si>
    <t xml:space="preserve">              54,541</t>
  </si>
  <si>
    <t xml:space="preserve">              10,670.4</t>
  </si>
  <si>
    <t xml:space="preserve">              63,848</t>
  </si>
  <si>
    <t xml:space="preserve">              19,128.6</t>
  </si>
  <si>
    <t xml:space="preserve">              57,226</t>
  </si>
  <si>
    <t xml:space="preserve">               6,621</t>
  </si>
  <si>
    <t xml:space="preserve">                 665.1</t>
  </si>
  <si>
    <t xml:space="preserve">               7,169</t>
  </si>
  <si>
    <t xml:space="preserve">               6,181.7</t>
  </si>
  <si>
    <t xml:space="preserve">               9,213</t>
  </si>
  <si>
    <t xml:space="preserve">              -2,044</t>
  </si>
  <si>
    <t xml:space="preserve">               1,282.4</t>
  </si>
  <si>
    <t xml:space="preserve">              14,841</t>
  </si>
  <si>
    <t xml:space="preserve">                 633.7</t>
  </si>
  <si>
    <t xml:space="preserve">               5,481</t>
  </si>
  <si>
    <t xml:space="preserve">               9,360</t>
  </si>
  <si>
    <t xml:space="preserve">               9,745.9</t>
  </si>
  <si>
    <t xml:space="preserve">              98,346</t>
  </si>
  <si>
    <t xml:space="preserve">               5,908.5</t>
  </si>
  <si>
    <t xml:space="preserve">              35,076</t>
  </si>
  <si>
    <t xml:space="preserve">              63,270</t>
  </si>
  <si>
    <t xml:space="preserve">              16,166.1</t>
  </si>
  <si>
    <t xml:space="preserve">             121,473</t>
  </si>
  <si>
    <t xml:space="preserve">               1,499.4</t>
  </si>
  <si>
    <t xml:space="preserve">               7,958</t>
  </si>
  <si>
    <t xml:space="preserve">             113,515</t>
  </si>
  <si>
    <t xml:space="preserve">              79,589</t>
  </si>
  <si>
    <t xml:space="preserve">              22,325.7</t>
  </si>
  <si>
    <t xml:space="preserve">             464,940</t>
  </si>
  <si>
    <t xml:space="preserve">            -385,351</t>
  </si>
  <si>
    <t xml:space="preserve">               2,630.9</t>
  </si>
  <si>
    <t xml:space="preserve">              85,445</t>
  </si>
  <si>
    <t xml:space="preserve">              19,910.3</t>
  </si>
  <si>
    <t xml:space="preserve">             571,988</t>
  </si>
  <si>
    <t xml:space="preserve">            -486,544</t>
  </si>
  <si>
    <t xml:space="preserve">              25,716.2</t>
  </si>
  <si>
    <t xml:space="preserve">              48,525</t>
  </si>
  <si>
    <t xml:space="preserve">              22,945.2</t>
  </si>
  <si>
    <t xml:space="preserve">              94,174</t>
  </si>
  <si>
    <t xml:space="preserve">             -45,649</t>
  </si>
  <si>
    <t xml:space="preserve">               1,405.2</t>
  </si>
  <si>
    <t xml:space="preserve">              38,534</t>
  </si>
  <si>
    <t xml:space="preserve">               9,813.5</t>
  </si>
  <si>
    <t xml:space="preserve">             282,512</t>
  </si>
  <si>
    <t xml:space="preserve">            -243,979</t>
  </si>
  <si>
    <t xml:space="preserve">                 268.4</t>
  </si>
  <si>
    <t xml:space="preserve">              10,193</t>
  </si>
  <si>
    <t xml:space="preserve">                 843.4</t>
  </si>
  <si>
    <t xml:space="preserve">              25,860</t>
  </si>
  <si>
    <t xml:space="preserve">             -15,667</t>
  </si>
  <si>
    <t xml:space="preserve">                 307</t>
  </si>
  <si>
    <t xml:space="preserve">               1,195.4</t>
  </si>
  <si>
    <t xml:space="preserve">               8,803</t>
  </si>
  <si>
    <t xml:space="preserve">              -8,496</t>
  </si>
  <si>
    <t xml:space="preserve">                  27.1</t>
  </si>
  <si>
    <t xml:space="preserve">               1,795</t>
  </si>
  <si>
    <t xml:space="preserve">                 411.7</t>
  </si>
  <si>
    <t xml:space="preserve">               8,940</t>
  </si>
  <si>
    <t xml:space="preserve">              -7,145</t>
  </si>
  <si>
    <t xml:space="preserve">              85,164</t>
  </si>
  <si>
    <t xml:space="preserve">             131,236.6</t>
  </si>
  <si>
    <t xml:space="preserve">              95,897</t>
  </si>
  <si>
    <t xml:space="preserve">             -10,732</t>
  </si>
  <si>
    <t xml:space="preserve">               2,687.2</t>
  </si>
  <si>
    <t xml:space="preserve">              34,527</t>
  </si>
  <si>
    <t xml:space="preserve">             128,373.5</t>
  </si>
  <si>
    <t xml:space="preserve">             120,255</t>
  </si>
  <si>
    <t xml:space="preserve">             -85,728</t>
  </si>
  <si>
    <t xml:space="preserve">              28,493.2</t>
  </si>
  <si>
    <t xml:space="preserve">             146,264</t>
  </si>
  <si>
    <t xml:space="preserve">              86,913.4</t>
  </si>
  <si>
    <t xml:space="preserve">             261,083</t>
  </si>
  <si>
    <t xml:space="preserve">            -114,818</t>
  </si>
  <si>
    <t xml:space="preserve">                 754.7</t>
  </si>
  <si>
    <t xml:space="preserve">           1,856,347</t>
  </si>
  <si>
    <t xml:space="preserve">               1,793.9</t>
  </si>
  <si>
    <t xml:space="preserve">           1,328,718</t>
  </si>
  <si>
    <t xml:space="preserve">             527,629</t>
  </si>
  <si>
    <t xml:space="preserve">           2,238,274.8</t>
  </si>
  <si>
    <t xml:space="preserve">           1,922,047</t>
  </si>
  <si>
    <t xml:space="preserve">           1,328,612.7</t>
  </si>
  <si>
    <t xml:space="preserve">           1,030,824</t>
  </si>
  <si>
    <t xml:space="preserve">             891,224</t>
  </si>
  <si>
    <t xml:space="preserve">             278,766.0</t>
  </si>
  <si>
    <t xml:space="preserve">             690,605</t>
  </si>
  <si>
    <t xml:space="preserve">             221,110.1</t>
  </si>
  <si>
    <t xml:space="preserve">             627,533</t>
  </si>
  <si>
    <t xml:space="preserve">              63,072</t>
  </si>
  <si>
    <t xml:space="preserve">              47,904.7</t>
  </si>
  <si>
    <t xml:space="preserve">             604,564</t>
  </si>
  <si>
    <t xml:space="preserve">              86,103.1</t>
  </si>
  <si>
    <t xml:space="preserve">           1,106,430</t>
  </si>
  <si>
    <t xml:space="preserve">            -501,866</t>
  </si>
  <si>
    <t xml:space="preserve">               1,286.7</t>
  </si>
  <si>
    <t xml:space="preserve">              20,881</t>
  </si>
  <si>
    <t xml:space="preserve">              16,890.1</t>
  </si>
  <si>
    <t xml:space="preserve">             149,084</t>
  </si>
  <si>
    <t xml:space="preserve">            -128,204</t>
  </si>
  <si>
    <t xml:space="preserve">             124,136.6</t>
  </si>
  <si>
    <t xml:space="preserve">             559,081</t>
  </si>
  <si>
    <t xml:space="preserve">             244,794.5</t>
  </si>
  <si>
    <t xml:space="preserve">             871,415</t>
  </si>
  <si>
    <t xml:space="preserve">            -312,334</t>
  </si>
  <si>
    <t xml:space="preserve">              39,422.7</t>
  </si>
  <si>
    <t xml:space="preserve">              84,944</t>
  </si>
  <si>
    <t xml:space="preserve">              16,069.2</t>
  </si>
  <si>
    <t xml:space="preserve">              36,141</t>
  </si>
  <si>
    <t xml:space="preserve">              48,803</t>
  </si>
  <si>
    <t xml:space="preserve">              43,781.5</t>
  </si>
  <si>
    <t xml:space="preserve">             151,809</t>
  </si>
  <si>
    <t xml:space="preserve">               1,730.2</t>
  </si>
  <si>
    <t xml:space="preserve">               9,697</t>
  </si>
  <si>
    <t xml:space="preserve">             142,113</t>
  </si>
  <si>
    <t xml:space="preserve">                 114.2</t>
  </si>
  <si>
    <t xml:space="preserve">               8,640</t>
  </si>
  <si>
    <t xml:space="preserve">               1,261.7</t>
  </si>
  <si>
    <t xml:space="preserve">              61,444</t>
  </si>
  <si>
    <t xml:space="preserve">             -52,804</t>
  </si>
  <si>
    <t xml:space="preserve">               3,378.2</t>
  </si>
  <si>
    <t xml:space="preserve">              54,961</t>
  </si>
  <si>
    <t xml:space="preserve">              13,953.0</t>
  </si>
  <si>
    <t xml:space="preserve">             142,785</t>
  </si>
  <si>
    <t xml:space="preserve">             -87,824</t>
  </si>
  <si>
    <t xml:space="preserve">               9,854.0</t>
  </si>
  <si>
    <t xml:space="preserve">             185,029</t>
  </si>
  <si>
    <t xml:space="preserve">               4,332.2</t>
  </si>
  <si>
    <t xml:space="preserve">              88,247</t>
  </si>
  <si>
    <t xml:space="preserve">              96,782</t>
  </si>
  <si>
    <t xml:space="preserve">              23,918.2</t>
  </si>
  <si>
    <t xml:space="preserve">             141,321</t>
  </si>
  <si>
    <t xml:space="preserve">               8,732.5</t>
  </si>
  <si>
    <t xml:space="preserve">              72,981</t>
  </si>
  <si>
    <t xml:space="preserve">              68,341</t>
  </si>
  <si>
    <t xml:space="preserve">             373,339.4</t>
  </si>
  <si>
    <t xml:space="preserve">          12,701,168</t>
  </si>
  <si>
    <t xml:space="preserve">             215,817.2</t>
  </si>
  <si>
    <t xml:space="preserve">           8,245,466</t>
  </si>
  <si>
    <t xml:space="preserve">           4,455,702</t>
  </si>
  <si>
    <t xml:space="preserve">             236,970.8</t>
  </si>
  <si>
    <t xml:space="preserve">          35,645,727</t>
  </si>
  <si>
    <t xml:space="preserve">             230,644.8</t>
  </si>
  <si>
    <t xml:space="preserve">          13,343,987</t>
  </si>
  <si>
    <t xml:space="preserve">          22,301,740</t>
  </si>
  <si>
    <t xml:space="preserve">              13,586.6</t>
  </si>
  <si>
    <t xml:space="preserve">              51,766</t>
  </si>
  <si>
    <t xml:space="preserve">              14,881.1</t>
  </si>
  <si>
    <t xml:space="preserve">              46,155</t>
  </si>
  <si>
    <t xml:space="preserve">               5,611</t>
  </si>
  <si>
    <t xml:space="preserve">             745,716.3</t>
  </si>
  <si>
    <t xml:space="preserve">           8,020,422</t>
  </si>
  <si>
    <t xml:space="preserve">             116,214.0</t>
  </si>
  <si>
    <t xml:space="preserve">           1,718,388</t>
  </si>
  <si>
    <t xml:space="preserve">           6,302,034</t>
  </si>
  <si>
    <t xml:space="preserve">                 748.2</t>
  </si>
  <si>
    <t xml:space="preserve">             155,860</t>
  </si>
  <si>
    <t xml:space="preserve">               1,292.5</t>
  </si>
  <si>
    <t xml:space="preserve">             750,979</t>
  </si>
  <si>
    <t xml:space="preserve">            -595,119</t>
  </si>
  <si>
    <t xml:space="preserve">             798,442.0</t>
  </si>
  <si>
    <t xml:space="preserve">           3,353,562</t>
  </si>
  <si>
    <t xml:space="preserve">             162,344.4</t>
  </si>
  <si>
    <t xml:space="preserve">             169,817</t>
  </si>
  <si>
    <t xml:space="preserve">           3,183,745</t>
  </si>
  <si>
    <t xml:space="preserve">              14,925.2</t>
  </si>
  <si>
    <t xml:space="preserve">           1,506,813</t>
  </si>
  <si>
    <t xml:space="preserve">              15,800.0</t>
  </si>
  <si>
    <t xml:space="preserve">           2,461,950</t>
  </si>
  <si>
    <t xml:space="preserve">            -955,137</t>
  </si>
  <si>
    <t xml:space="preserve">                  18.9</t>
  </si>
  <si>
    <t xml:space="preserve">              18,854</t>
  </si>
  <si>
    <t xml:space="preserve">                 218.3</t>
  </si>
  <si>
    <t xml:space="preserve">             101,619</t>
  </si>
  <si>
    <t xml:space="preserve">             -82,764</t>
  </si>
  <si>
    <t xml:space="preserve">                 425.0</t>
  </si>
  <si>
    <t xml:space="preserve">               8,657</t>
  </si>
  <si>
    <t xml:space="preserve">                 567.8</t>
  </si>
  <si>
    <t xml:space="preserve">              15,389</t>
  </si>
  <si>
    <t xml:space="preserve">              -6,732</t>
  </si>
  <si>
    <t xml:space="preserve">               2,005.4</t>
  </si>
  <si>
    <t xml:space="preserve">             332,188</t>
  </si>
  <si>
    <t xml:space="preserve">                  94.2</t>
  </si>
  <si>
    <t xml:space="preserve">              55,255</t>
  </si>
  <si>
    <t xml:space="preserve">             276,932</t>
  </si>
  <si>
    <t xml:space="preserve">              16,528.6</t>
  </si>
  <si>
    <t xml:space="preserve">             109,957</t>
  </si>
  <si>
    <t xml:space="preserve">              67,777.6</t>
  </si>
  <si>
    <t xml:space="preserve">             289,272</t>
  </si>
  <si>
    <t xml:space="preserve">            -179,315</t>
  </si>
  <si>
    <t xml:space="preserve">               2,777.8</t>
  </si>
  <si>
    <t xml:space="preserve">              66,804</t>
  </si>
  <si>
    <t xml:space="preserve">              12,533.3</t>
  </si>
  <si>
    <t xml:space="preserve">             204,360</t>
  </si>
  <si>
    <t xml:space="preserve">            -137,556</t>
  </si>
  <si>
    <t xml:space="preserve">               2,263.4</t>
  </si>
  <si>
    <t xml:space="preserve">              38,684</t>
  </si>
  <si>
    <t xml:space="preserve">              10,793.3</t>
  </si>
  <si>
    <t xml:space="preserve">              93,701</t>
  </si>
  <si>
    <t xml:space="preserve">             -55,017</t>
  </si>
  <si>
    <t xml:space="preserve">              35,026</t>
  </si>
  <si>
    <t xml:space="preserve">                  28.4</t>
  </si>
  <si>
    <t xml:space="preserve">              51,607</t>
  </si>
  <si>
    <t xml:space="preserve">             -16,581</t>
  </si>
  <si>
    <t xml:space="preserve">                   0.1</t>
  </si>
  <si>
    <t xml:space="preserve">                 623</t>
  </si>
  <si>
    <t xml:space="preserve">                  80.6</t>
  </si>
  <si>
    <t xml:space="preserve">               6,448</t>
  </si>
  <si>
    <t xml:space="preserve">              -5,825</t>
  </si>
  <si>
    <t xml:space="preserve">               4,226.8</t>
  </si>
  <si>
    <t xml:space="preserve">               6,683</t>
  </si>
  <si>
    <t xml:space="preserve">             128,289.8</t>
  </si>
  <si>
    <t xml:space="preserve">             663,455</t>
  </si>
  <si>
    <t xml:space="preserve">            -656,773</t>
  </si>
  <si>
    <t xml:space="preserve">              65,016.4</t>
  </si>
  <si>
    <t xml:space="preserve">             206,676</t>
  </si>
  <si>
    <t xml:space="preserve">             103,322.5</t>
  </si>
  <si>
    <t xml:space="preserve">             463,010</t>
  </si>
  <si>
    <t xml:space="preserve">            -256,334</t>
  </si>
  <si>
    <t xml:space="preserve">               2,390.9</t>
  </si>
  <si>
    <t xml:space="preserve">               6,183</t>
  </si>
  <si>
    <t xml:space="preserve">              39,823.7</t>
  </si>
  <si>
    <t xml:space="preserve">             157,580</t>
  </si>
  <si>
    <t xml:space="preserve">            -151,398</t>
  </si>
  <si>
    <t xml:space="preserve">               2,052.5</t>
  </si>
  <si>
    <t xml:space="preserve">               8,870</t>
  </si>
  <si>
    <t xml:space="preserve">               4,212.4</t>
  </si>
  <si>
    <t xml:space="preserve">              22,754</t>
  </si>
  <si>
    <t xml:space="preserve">             -13,884</t>
  </si>
  <si>
    <t xml:space="preserve">                 102.4</t>
  </si>
  <si>
    <t xml:space="preserve">                 474</t>
  </si>
  <si>
    <t xml:space="preserve">               8,377.1</t>
  </si>
  <si>
    <t xml:space="preserve">              20,456</t>
  </si>
  <si>
    <t xml:space="preserve">             -19,982</t>
  </si>
  <si>
    <t xml:space="preserve">               3,995.4</t>
  </si>
  <si>
    <t xml:space="preserve">               9,455</t>
  </si>
  <si>
    <t xml:space="preserve">              87,673.4</t>
  </si>
  <si>
    <t xml:space="preserve">              65,724</t>
  </si>
  <si>
    <t xml:space="preserve">             -56,269</t>
  </si>
  <si>
    <t xml:space="preserve">               1,408.2</t>
  </si>
  <si>
    <t xml:space="preserve">              13,264</t>
  </si>
  <si>
    <t xml:space="preserve">             100,001.3</t>
  </si>
  <si>
    <t xml:space="preserve">             230,723</t>
  </si>
  <si>
    <t xml:space="preserve">            -217,459</t>
  </si>
  <si>
    <t xml:space="preserve">               3,934</t>
  </si>
  <si>
    <t xml:space="preserve">              20,301.3</t>
  </si>
  <si>
    <t xml:space="preserve">             153,166</t>
  </si>
  <si>
    <t xml:space="preserve">            -149,232</t>
  </si>
  <si>
    <t xml:space="preserve">                 954.4</t>
  </si>
  <si>
    <t xml:space="preserve">               1,380</t>
  </si>
  <si>
    <t xml:space="preserve">           1,455,857.9</t>
  </si>
  <si>
    <t xml:space="preserve">             388,686</t>
  </si>
  <si>
    <t xml:space="preserve">            -387,306</t>
  </si>
  <si>
    <t xml:space="preserve">               5,857.0</t>
  </si>
  <si>
    <t xml:space="preserve">               3,832</t>
  </si>
  <si>
    <t xml:space="preserve">              32,943.6</t>
  </si>
  <si>
    <t xml:space="preserve">              27,885</t>
  </si>
  <si>
    <t xml:space="preserve">             -24,053</t>
  </si>
  <si>
    <t xml:space="preserve">               4,710.7</t>
  </si>
  <si>
    <t xml:space="preserve">              63,480</t>
  </si>
  <si>
    <t xml:space="preserve">             350,770.1</t>
  </si>
  <si>
    <t xml:space="preserve">             180,091</t>
  </si>
  <si>
    <t xml:space="preserve">            -116,611</t>
  </si>
  <si>
    <t xml:space="preserve">                 386.8</t>
  </si>
  <si>
    <t xml:space="preserve">               7,845</t>
  </si>
  <si>
    <t xml:space="preserve">              28,150</t>
  </si>
  <si>
    <t xml:space="preserve">             -20,305</t>
  </si>
  <si>
    <t xml:space="preserve">                  21.4</t>
  </si>
  <si>
    <t xml:space="preserve">                  58</t>
  </si>
  <si>
    <t xml:space="preserve">              51,716.3</t>
  </si>
  <si>
    <t xml:space="preserve">              11,088</t>
  </si>
  <si>
    <t xml:space="preserve">             -11,031</t>
  </si>
  <si>
    <t xml:space="preserve">              16,415.3</t>
  </si>
  <si>
    <t xml:space="preserve">              21,090</t>
  </si>
  <si>
    <t xml:space="preserve">             177,055.5</t>
  </si>
  <si>
    <t xml:space="preserve">             266,246</t>
  </si>
  <si>
    <t xml:space="preserve">            -245,156</t>
  </si>
  <si>
    <t xml:space="preserve">               4,996.2</t>
  </si>
  <si>
    <t xml:space="preserve">              31,816</t>
  </si>
  <si>
    <t xml:space="preserve">              17,037.4</t>
  </si>
  <si>
    <t xml:space="preserve">              92,223</t>
  </si>
  <si>
    <t xml:space="preserve">             -60,407</t>
  </si>
  <si>
    <t xml:space="preserve">              26,465.5</t>
  </si>
  <si>
    <t xml:space="preserve">              23,892</t>
  </si>
  <si>
    <t xml:space="preserve">             203,761.4</t>
  </si>
  <si>
    <t xml:space="preserve">             107,064</t>
  </si>
  <si>
    <t xml:space="preserve">             -83,172</t>
  </si>
  <si>
    <t xml:space="preserve">               1,565.5</t>
  </si>
  <si>
    <t xml:space="preserve">               6,428</t>
  </si>
  <si>
    <t xml:space="preserve">               4,427.3</t>
  </si>
  <si>
    <t xml:space="preserve">              35,645</t>
  </si>
  <si>
    <t xml:space="preserve">             -29,217</t>
  </si>
  <si>
    <t xml:space="preserve">              74,192.8</t>
  </si>
  <si>
    <t xml:space="preserve">             299,401</t>
  </si>
  <si>
    <t xml:space="preserve">              30,730.9</t>
  </si>
  <si>
    <t xml:space="preserve">              98,222</t>
  </si>
  <si>
    <t xml:space="preserve">             201,179</t>
  </si>
  <si>
    <t xml:space="preserve">              10,544.4</t>
  </si>
  <si>
    <t xml:space="preserve">              94,485</t>
  </si>
  <si>
    <t xml:space="preserve">              98,871.5</t>
  </si>
  <si>
    <t xml:space="preserve">             139,046</t>
  </si>
  <si>
    <t xml:space="preserve">             -44,561</t>
  </si>
  <si>
    <t xml:space="preserve">              41,465.4</t>
  </si>
  <si>
    <t xml:space="preserve">             176,069</t>
  </si>
  <si>
    <t xml:space="preserve">              35,233.5</t>
  </si>
  <si>
    <t xml:space="preserve">             247,345</t>
  </si>
  <si>
    <t xml:space="preserve">             -71,276</t>
  </si>
  <si>
    <t xml:space="preserve">              97,374.6</t>
  </si>
  <si>
    <t xml:space="preserve">             109,922</t>
  </si>
  <si>
    <t xml:space="preserve">              88,393.0</t>
  </si>
  <si>
    <t xml:space="preserve">             127,147</t>
  </si>
  <si>
    <t xml:space="preserve">             -17,225</t>
  </si>
  <si>
    <t xml:space="preserve">              30,628.2</t>
  </si>
  <si>
    <t xml:space="preserve">              33,134</t>
  </si>
  <si>
    <t xml:space="preserve">             548,323.5</t>
  </si>
  <si>
    <t xml:space="preserve">             190,173</t>
  </si>
  <si>
    <t xml:space="preserve">            -157,039</t>
  </si>
  <si>
    <t xml:space="preserve">               8,635.3</t>
  </si>
  <si>
    <t xml:space="preserve">              96,431</t>
  </si>
  <si>
    <t xml:space="preserve">               6,001.0</t>
  </si>
  <si>
    <t xml:space="preserve">              50,629</t>
  </si>
  <si>
    <t xml:space="preserve">              45,801</t>
  </si>
  <si>
    <t xml:space="preserve">             445,006.1</t>
  </si>
  <si>
    <t xml:space="preserve">             795,750.3</t>
  </si>
  <si>
    <t xml:space="preserve">              67,319</t>
  </si>
  <si>
    <t xml:space="preserve">             -11,686</t>
  </si>
  <si>
    <t xml:space="preserve">             211,732.4</t>
  </si>
  <si>
    <t xml:space="preserve">              24,203</t>
  </si>
  <si>
    <t xml:space="preserve">           7,000,322.3</t>
  </si>
  <si>
    <t xml:space="preserve">           2,356,634</t>
  </si>
  <si>
    <t xml:space="preserve">          -2,332,431</t>
  </si>
  <si>
    <t xml:space="preserve">           3,698,312.6</t>
  </si>
  <si>
    <t xml:space="preserve">           5,156,235</t>
  </si>
  <si>
    <t xml:space="preserve">          23,632,078.2</t>
  </si>
  <si>
    <t xml:space="preserve">          12,604,506</t>
  </si>
  <si>
    <t xml:space="preserve">          -7,448,271</t>
  </si>
  <si>
    <t xml:space="preserve">             543,438.7</t>
  </si>
  <si>
    <t xml:space="preserve">             993,803</t>
  </si>
  <si>
    <t xml:space="preserve">             368,637.8</t>
  </si>
  <si>
    <t xml:space="preserve">           1,140,899</t>
  </si>
  <si>
    <t xml:space="preserve">            -147,095</t>
  </si>
  <si>
    <t xml:space="preserve">           1,192,049.3</t>
  </si>
  <si>
    <t xml:space="preserve">           1,704,029</t>
  </si>
  <si>
    <t xml:space="preserve">             823,785.0</t>
  </si>
  <si>
    <t xml:space="preserve">           1,555,054</t>
  </si>
  <si>
    <t xml:space="preserve">             148,974</t>
  </si>
  <si>
    <t xml:space="preserve">               3,024.0</t>
  </si>
  <si>
    <t xml:space="preserve">             953,970</t>
  </si>
  <si>
    <t xml:space="preserve">               8,811.0</t>
  </si>
  <si>
    <t xml:space="preserve">           1,036,433</t>
  </si>
  <si>
    <t xml:space="preserve">             -82,463</t>
  </si>
  <si>
    <t xml:space="preserve">             108,221.1</t>
  </si>
  <si>
    <t xml:space="preserve">              45,788</t>
  </si>
  <si>
    <t xml:space="preserve">             208,059.8</t>
  </si>
  <si>
    <t xml:space="preserve">             114,050</t>
  </si>
  <si>
    <t xml:space="preserve">             -68,262</t>
  </si>
  <si>
    <t xml:space="preserve">              36,570.0</t>
  </si>
  <si>
    <t xml:space="preserve">             267,249</t>
  </si>
  <si>
    <t xml:space="preserve">              30,070.3</t>
  </si>
  <si>
    <t xml:space="preserve">             233,376</t>
  </si>
  <si>
    <t xml:space="preserve">              33,873</t>
  </si>
  <si>
    <t xml:space="preserve">              55,887.3</t>
  </si>
  <si>
    <t xml:space="preserve">           1,307,969</t>
  </si>
  <si>
    <t xml:space="preserve">              10,956.5</t>
  </si>
  <si>
    <t xml:space="preserve">             194,712</t>
  </si>
  <si>
    <t xml:space="preserve">           1,113,257</t>
  </si>
  <si>
    <t xml:space="preserve">              49,999.5</t>
  </si>
  <si>
    <t xml:space="preserve">             184,124</t>
  </si>
  <si>
    <t xml:space="preserve">              30,008.2</t>
  </si>
  <si>
    <t xml:space="preserve">             114,784</t>
  </si>
  <si>
    <t xml:space="preserve">              69,340</t>
  </si>
  <si>
    <t xml:space="preserve">               8,321.6</t>
  </si>
  <si>
    <t xml:space="preserve">             103,454</t>
  </si>
  <si>
    <t xml:space="preserve">              19,999.8</t>
  </si>
  <si>
    <t xml:space="preserve">              94,187</t>
  </si>
  <si>
    <t xml:space="preserve">               9,267</t>
  </si>
  <si>
    <t xml:space="preserve">                 169.9</t>
  </si>
  <si>
    <t xml:space="preserve">               4,281</t>
  </si>
  <si>
    <t xml:space="preserve">                 141.6</t>
  </si>
  <si>
    <t xml:space="preserve">               8,537</t>
  </si>
  <si>
    <t xml:space="preserve">              -4,257</t>
  </si>
  <si>
    <t xml:space="preserve">               1,970.6</t>
  </si>
  <si>
    <t xml:space="preserve">              93,733</t>
  </si>
  <si>
    <t xml:space="preserve">               3,244.8</t>
  </si>
  <si>
    <t xml:space="preserve">             108,106</t>
  </si>
  <si>
    <t xml:space="preserve">             -14,373</t>
  </si>
  <si>
    <t xml:space="preserve">             100,546.6</t>
  </si>
  <si>
    <t xml:space="preserve">             660,634</t>
  </si>
  <si>
    <t xml:space="preserve">             235,565.4</t>
  </si>
  <si>
    <t xml:space="preserve">             905,235</t>
  </si>
  <si>
    <t xml:space="preserve">            -244,601</t>
  </si>
  <si>
    <t xml:space="preserve">           1,384,483.0</t>
  </si>
  <si>
    <t xml:space="preserve">           3,340,102</t>
  </si>
  <si>
    <t xml:space="preserve">             359,480.3</t>
  </si>
  <si>
    <t xml:space="preserve">           1,321,294</t>
  </si>
  <si>
    <t xml:space="preserve">           2,018,808</t>
  </si>
  <si>
    <t xml:space="preserve">             234,208.6</t>
  </si>
  <si>
    <t xml:space="preserve">             749,190</t>
  </si>
  <si>
    <t xml:space="preserve">              91,477.8</t>
  </si>
  <si>
    <t xml:space="preserve">             290,486</t>
  </si>
  <si>
    <t xml:space="preserve">             458,703</t>
  </si>
  <si>
    <t xml:space="preserve">               3,073.4</t>
  </si>
  <si>
    <t xml:space="preserve">              27,214</t>
  </si>
  <si>
    <t xml:space="preserve">               6,506.9</t>
  </si>
  <si>
    <t xml:space="preserve">              19,606</t>
  </si>
  <si>
    <t xml:space="preserve">               1,114.7</t>
  </si>
  <si>
    <t xml:space="preserve">              61,897</t>
  </si>
  <si>
    <t xml:space="preserve">              10,555.2</t>
  </si>
  <si>
    <t xml:space="preserve">             351,054</t>
  </si>
  <si>
    <t xml:space="preserve">            -289,156</t>
  </si>
  <si>
    <t xml:space="preserve">                   6.0</t>
  </si>
  <si>
    <t xml:space="preserve">                 617</t>
  </si>
  <si>
    <t xml:space="preserve">                  32.8</t>
  </si>
  <si>
    <t xml:space="preserve">              10,183</t>
  </si>
  <si>
    <t xml:space="preserve">              -9,566</t>
  </si>
  <si>
    <t xml:space="preserve">               4,580.9</t>
  </si>
  <si>
    <t xml:space="preserve">               7,879</t>
  </si>
  <si>
    <t xml:space="preserve">             772,592.9</t>
  </si>
  <si>
    <t xml:space="preserve">             224,931</t>
  </si>
  <si>
    <t xml:space="preserve">            -217,052</t>
  </si>
  <si>
    <t xml:space="preserve">                 105.6</t>
  </si>
  <si>
    <t xml:space="preserve">                 489</t>
  </si>
  <si>
    <t xml:space="preserve">                -447</t>
  </si>
  <si>
    <t xml:space="preserve">                   3.1</t>
  </si>
  <si>
    <t xml:space="preserve">                 803.9</t>
  </si>
  <si>
    <t xml:space="preserve">               3,918</t>
  </si>
  <si>
    <t xml:space="preserve">              -3,838</t>
  </si>
  <si>
    <t xml:space="preserve">              58,349.1</t>
  </si>
  <si>
    <t xml:space="preserve">              11,257</t>
  </si>
  <si>
    <t xml:space="preserve">             194,173.5</t>
  </si>
  <si>
    <t xml:space="preserve">              97,665</t>
  </si>
  <si>
    <t xml:space="preserve">             -86,408</t>
  </si>
  <si>
    <t xml:space="preserve">             257,288.5</t>
  </si>
  <si>
    <t xml:space="preserve">             250,624</t>
  </si>
  <si>
    <t xml:space="preserve">             146,533.4</t>
  </si>
  <si>
    <t xml:space="preserve">             204,181</t>
  </si>
  <si>
    <t xml:space="preserve">              46,443</t>
  </si>
  <si>
    <t xml:space="preserve">               4,705.3</t>
  </si>
  <si>
    <t xml:space="preserve">              33,604</t>
  </si>
  <si>
    <t xml:space="preserve">               1,459.5</t>
  </si>
  <si>
    <t xml:space="preserve">              21,246</t>
  </si>
  <si>
    <t xml:space="preserve">              12,358</t>
  </si>
  <si>
    <t xml:space="preserve">               1,900</t>
  </si>
  <si>
    <t xml:space="preserve">                  30.0</t>
  </si>
  <si>
    <t xml:space="preserve">               2,770</t>
  </si>
  <si>
    <t xml:space="preserve">                -871</t>
  </si>
  <si>
    <t xml:space="preserve">               5,311</t>
  </si>
  <si>
    <t xml:space="preserve">               1,253.3</t>
  </si>
  <si>
    <t xml:space="preserve">              24,667</t>
  </si>
  <si>
    <t xml:space="preserve">             -19,356</t>
  </si>
  <si>
    <t xml:space="preserve">               3,566.8</t>
  </si>
  <si>
    <t xml:space="preserve">              26,469</t>
  </si>
  <si>
    <t xml:space="preserve">              18,392.7</t>
  </si>
  <si>
    <t xml:space="preserve">              60,571</t>
  </si>
  <si>
    <t xml:space="preserve">             -34,102</t>
  </si>
  <si>
    <t xml:space="preserve">               1,227.6</t>
  </si>
  <si>
    <t xml:space="preserve">               4,892</t>
  </si>
  <si>
    <t xml:space="preserve">              -4,577</t>
  </si>
  <si>
    <t xml:space="preserve">              22,842.1</t>
  </si>
  <si>
    <t xml:space="preserve">             159,399</t>
  </si>
  <si>
    <t xml:space="preserve">              39,315.5</t>
  </si>
  <si>
    <t xml:space="preserve">              90,595</t>
  </si>
  <si>
    <t xml:space="preserve">              68,804</t>
  </si>
  <si>
    <t xml:space="preserve">              57,185.2</t>
  </si>
  <si>
    <t xml:space="preserve">             106,727</t>
  </si>
  <si>
    <t xml:space="preserve">              13,301.2</t>
  </si>
  <si>
    <t xml:space="preserve">              48,117</t>
  </si>
  <si>
    <t xml:space="preserve">              58,610</t>
  </si>
  <si>
    <t xml:space="preserve">              11,149.0</t>
  </si>
  <si>
    <t xml:space="preserve">              68,417</t>
  </si>
  <si>
    <t xml:space="preserve">              22,817.7</t>
  </si>
  <si>
    <t xml:space="preserve">              66,880</t>
  </si>
  <si>
    <t xml:space="preserve">               1,537</t>
  </si>
  <si>
    <t xml:space="preserve">                 576.2</t>
  </si>
  <si>
    <t xml:space="preserve">               6,755.1</t>
  </si>
  <si>
    <t xml:space="preserve">              10,863</t>
  </si>
  <si>
    <t xml:space="preserve">              -5,626</t>
  </si>
  <si>
    <t xml:space="preserve">               1,453.0</t>
  </si>
  <si>
    <t xml:space="preserve">              17,881</t>
  </si>
  <si>
    <t xml:space="preserve">                 938.6</t>
  </si>
  <si>
    <t xml:space="preserve">               7,242</t>
  </si>
  <si>
    <t xml:space="preserve">              10,639</t>
  </si>
  <si>
    <t xml:space="preserve">              10,292.8</t>
  </si>
  <si>
    <t xml:space="preserve">             109,692</t>
  </si>
  <si>
    <t xml:space="preserve">               6,708.2</t>
  </si>
  <si>
    <t xml:space="preserve">              41,172</t>
  </si>
  <si>
    <t xml:space="preserve">              68,520</t>
  </si>
  <si>
    <t xml:space="preserve">             138,630</t>
  </si>
  <si>
    <t xml:space="preserve">               2,090.9</t>
  </si>
  <si>
    <t xml:space="preserve">              10,416</t>
  </si>
  <si>
    <t xml:space="preserve">             128,213</t>
  </si>
  <si>
    <t xml:space="preserve">               2,645.2</t>
  </si>
  <si>
    <t xml:space="preserve">             104,281</t>
  </si>
  <si>
    <t xml:space="preserve">              23,643.6</t>
  </si>
  <si>
    <t xml:space="preserve">             459,122</t>
  </si>
  <si>
    <t xml:space="preserve">            -354,841</t>
  </si>
  <si>
    <t xml:space="preserve">               3,204.2</t>
  </si>
  <si>
    <t xml:space="preserve">              95,643</t>
  </si>
  <si>
    <t xml:space="preserve">              21,537.6</t>
  </si>
  <si>
    <t xml:space="preserve">             571,499</t>
  </si>
  <si>
    <t xml:space="preserve">            -475,855</t>
  </si>
  <si>
    <t xml:space="preserve">              29,839.0</t>
  </si>
  <si>
    <t xml:space="preserve">              56,202</t>
  </si>
  <si>
    <t xml:space="preserve">              28,423.5</t>
  </si>
  <si>
    <t xml:space="preserve">             121,768</t>
  </si>
  <si>
    <t xml:space="preserve">             -65,565</t>
  </si>
  <si>
    <t xml:space="preserve">               1,464.1</t>
  </si>
  <si>
    <t xml:space="preserve">              11,767.5</t>
  </si>
  <si>
    <t xml:space="preserve">             270,804</t>
  </si>
  <si>
    <t xml:space="preserve">            -228,020</t>
  </si>
  <si>
    <t xml:space="preserve">                 311.0</t>
  </si>
  <si>
    <t xml:space="preserve">              12,375</t>
  </si>
  <si>
    <t xml:space="preserve">              29,689</t>
  </si>
  <si>
    <t xml:space="preserve">             -17,314</t>
  </si>
  <si>
    <t xml:space="preserve">               2,234.4</t>
  </si>
  <si>
    <t xml:space="preserve">              16,616</t>
  </si>
  <si>
    <t xml:space="preserve">             -16,491</t>
  </si>
  <si>
    <t xml:space="preserve">               1,551</t>
  </si>
  <si>
    <t xml:space="preserve">                 648.7</t>
  </si>
  <si>
    <t xml:space="preserve">              -6,831</t>
  </si>
  <si>
    <t xml:space="preserve">              11,575.5</t>
  </si>
  <si>
    <t xml:space="preserve">              98,163</t>
  </si>
  <si>
    <t xml:space="preserve">             202,002.6</t>
  </si>
  <si>
    <t xml:space="preserve">             111,316</t>
  </si>
  <si>
    <t xml:space="preserve">             -13,152</t>
  </si>
  <si>
    <t xml:space="preserve">               2,499.9</t>
  </si>
  <si>
    <t xml:space="preserve">              31,938</t>
  </si>
  <si>
    <t xml:space="preserve">             113,417.7</t>
  </si>
  <si>
    <t xml:space="preserve">             122,189</t>
  </si>
  <si>
    <t xml:space="preserve">             -90,251</t>
  </si>
  <si>
    <t xml:space="preserve">              29,744.5</t>
  </si>
  <si>
    <t xml:space="preserve">             152,309</t>
  </si>
  <si>
    <t xml:space="preserve">              76,103.3</t>
  </si>
  <si>
    <t xml:space="preserve">             276,754</t>
  </si>
  <si>
    <t xml:space="preserve">            -124,444</t>
  </si>
  <si>
    <t xml:space="preserve">                 901.6</t>
  </si>
  <si>
    <t xml:space="preserve">           1,442,449</t>
  </si>
  <si>
    <t xml:space="preserve">               1,455.3</t>
  </si>
  <si>
    <t xml:space="preserve">           1,097,774</t>
  </si>
  <si>
    <t xml:space="preserve">             344,674</t>
  </si>
  <si>
    <t xml:space="preserve">           2,235,551.4</t>
  </si>
  <si>
    <t xml:space="preserve">           1,939,452</t>
  </si>
  <si>
    <t xml:space="preserve">           1,245,894.5</t>
  </si>
  <si>
    <t xml:space="preserve">           1,012,095</t>
  </si>
  <si>
    <t xml:space="preserve">             927,357</t>
  </si>
  <si>
    <t xml:space="preserve">             312,051.5</t>
  </si>
  <si>
    <t xml:space="preserve">             760,286</t>
  </si>
  <si>
    <t xml:space="preserve">             253,321.3</t>
  </si>
  <si>
    <t xml:space="preserve">             676,149</t>
  </si>
  <si>
    <t xml:space="preserve">              84,137</t>
  </si>
  <si>
    <t xml:space="preserve">              71,582.8</t>
  </si>
  <si>
    <t xml:space="preserve">             901,904</t>
  </si>
  <si>
    <t xml:space="preserve">              75,505.0</t>
  </si>
  <si>
    <t xml:space="preserve">             995,592</t>
  </si>
  <si>
    <t xml:space="preserve">             -93,688</t>
  </si>
  <si>
    <t xml:space="preserve">               1,343.7</t>
  </si>
  <si>
    <t xml:space="preserve">              31,929</t>
  </si>
  <si>
    <t xml:space="preserve">              10,082.4</t>
  </si>
  <si>
    <t xml:space="preserve">             145,366</t>
  </si>
  <si>
    <t xml:space="preserve">            -113,437</t>
  </si>
  <si>
    <t xml:space="preserve">             128,860.0</t>
  </si>
  <si>
    <t xml:space="preserve">             608,741</t>
  </si>
  <si>
    <t xml:space="preserve">             261,165.8</t>
  </si>
  <si>
    <t xml:space="preserve">             982,723</t>
  </si>
  <si>
    <t xml:space="preserve">            -373,982</t>
  </si>
  <si>
    <t xml:space="preserve">              38,361.9</t>
  </si>
  <si>
    <t xml:space="preserve">              84,579</t>
  </si>
  <si>
    <t xml:space="preserve">              15,607.7</t>
  </si>
  <si>
    <t xml:space="preserve">              42,979</t>
  </si>
  <si>
    <t xml:space="preserve">              41,601</t>
  </si>
  <si>
    <t xml:space="preserve">              46,041.9</t>
  </si>
  <si>
    <t xml:space="preserve">             161,427</t>
  </si>
  <si>
    <t xml:space="preserve">               1,023.3</t>
  </si>
  <si>
    <t xml:space="preserve">               6,578</t>
  </si>
  <si>
    <t xml:space="preserve">             154,849</t>
  </si>
  <si>
    <t xml:space="preserve">                 205.8</t>
  </si>
  <si>
    <t xml:space="preserve">              13,453</t>
  </si>
  <si>
    <t xml:space="preserve">               1,149.1</t>
  </si>
  <si>
    <t xml:space="preserve">              56,108</t>
  </si>
  <si>
    <t xml:space="preserve">             -42,655</t>
  </si>
  <si>
    <t xml:space="preserve">               3,512.1</t>
  </si>
  <si>
    <t xml:space="preserve">              58,448</t>
  </si>
  <si>
    <t xml:space="preserve">              16,318.1</t>
  </si>
  <si>
    <t xml:space="preserve">             208,671</t>
  </si>
  <si>
    <t xml:space="preserve">            -150,223</t>
  </si>
  <si>
    <t xml:space="preserve">               9,977.8</t>
  </si>
  <si>
    <t xml:space="preserve">             206,740</t>
  </si>
  <si>
    <t xml:space="preserve">               5,498.3</t>
  </si>
  <si>
    <t xml:space="preserve">             100,402</t>
  </si>
  <si>
    <t xml:space="preserve">             106,338</t>
  </si>
  <si>
    <t xml:space="preserve">              26,038.0</t>
  </si>
  <si>
    <t xml:space="preserve">             151,810</t>
  </si>
  <si>
    <t xml:space="preserve">              12,870.1</t>
  </si>
  <si>
    <t xml:space="preserve">              86,533</t>
  </si>
  <si>
    <t xml:space="preserve">              65,277</t>
  </si>
  <si>
    <t xml:space="preserve">             400,903.8</t>
  </si>
  <si>
    <t xml:space="preserve">          11,623,503</t>
  </si>
  <si>
    <t xml:space="preserve">             246,858.1</t>
  </si>
  <si>
    <t xml:space="preserve">           7,863,346</t>
  </si>
  <si>
    <t xml:space="preserve">           3,760,157</t>
  </si>
  <si>
    <t xml:space="preserve">             235,443.4</t>
  </si>
  <si>
    <t xml:space="preserve">          36,211,589</t>
  </si>
  <si>
    <t xml:space="preserve">             230,092.1</t>
  </si>
  <si>
    <t xml:space="preserve">          13,508,240</t>
  </si>
  <si>
    <t xml:space="preserve">          22,703,349</t>
  </si>
  <si>
    <t xml:space="preserve">              13,580.8</t>
  </si>
  <si>
    <t xml:space="preserve">              73,726</t>
  </si>
  <si>
    <t xml:space="preserve">              14,898.4</t>
  </si>
  <si>
    <t xml:space="preserve">              44,852</t>
  </si>
  <si>
    <t xml:space="preserve">              28,874</t>
  </si>
  <si>
    <t xml:space="preserve">             754,435.6</t>
  </si>
  <si>
    <t xml:space="preserve">           7,859,533</t>
  </si>
  <si>
    <t xml:space="preserve">             131,934.9</t>
  </si>
  <si>
    <t xml:space="preserve">           1,917,789</t>
  </si>
  <si>
    <t xml:space="preserve">           5,941,744</t>
  </si>
  <si>
    <t xml:space="preserve">               1,123.8</t>
  </si>
  <si>
    <t xml:space="preserve">             311,729</t>
  </si>
  <si>
    <t xml:space="preserve">               1,186.9</t>
  </si>
  <si>
    <t xml:space="preserve">             570,740</t>
  </si>
  <si>
    <t xml:space="preserve">            -259,010</t>
  </si>
  <si>
    <t xml:space="preserve">           1,052,174.2</t>
  </si>
  <si>
    <t xml:space="preserve">           2,723,853</t>
  </si>
  <si>
    <t xml:space="preserve">             304,129.0</t>
  </si>
  <si>
    <t xml:space="preserve">             210,334</t>
  </si>
  <si>
    <t xml:space="preserve">           2,513,519</t>
  </si>
  <si>
    <t xml:space="preserve">              15,908.9</t>
  </si>
  <si>
    <t xml:space="preserve">           1,504,353</t>
  </si>
  <si>
    <t xml:space="preserve">              18,260.2</t>
  </si>
  <si>
    <t xml:space="preserve">           2,475,210</t>
  </si>
  <si>
    <t xml:space="preserve">            -970,857</t>
  </si>
  <si>
    <t xml:space="preserve">              18,559</t>
  </si>
  <si>
    <t xml:space="preserve">                 301.5</t>
  </si>
  <si>
    <t xml:space="preserve">              91,117</t>
  </si>
  <si>
    <t xml:space="preserve">             -72,558</t>
  </si>
  <si>
    <t xml:space="preserve">                 392.8</t>
  </si>
  <si>
    <t xml:space="preserve">               9,315</t>
  </si>
  <si>
    <t xml:space="preserve">                 663.6</t>
  </si>
  <si>
    <t xml:space="preserve">              13,474</t>
  </si>
  <si>
    <t xml:space="preserve">              -4,159</t>
  </si>
  <si>
    <t xml:space="preserve">               2,358.7</t>
  </si>
  <si>
    <t xml:space="preserve">             285,361</t>
  </si>
  <si>
    <t xml:space="preserve">                 155.1</t>
  </si>
  <si>
    <t xml:space="preserve">              27,536</t>
  </si>
  <si>
    <t xml:space="preserve">             257,824</t>
  </si>
  <si>
    <t xml:space="preserve">              17,585.5</t>
  </si>
  <si>
    <t xml:space="preserve">             118,515</t>
  </si>
  <si>
    <t xml:space="preserve">              87,683.2</t>
  </si>
  <si>
    <t xml:space="preserve">             356,444</t>
  </si>
  <si>
    <t xml:space="preserve">            -237,929</t>
  </si>
  <si>
    <t xml:space="preserve">               2,732.7</t>
  </si>
  <si>
    <t xml:space="preserve">              63,444</t>
  </si>
  <si>
    <t xml:space="preserve">              19,197.5</t>
  </si>
  <si>
    <t xml:space="preserve">             258,194</t>
  </si>
  <si>
    <t xml:space="preserve">            -194,750</t>
  </si>
  <si>
    <t xml:space="preserve">               2,468.6</t>
  </si>
  <si>
    <t xml:space="preserve">              43,001</t>
  </si>
  <si>
    <t xml:space="preserve">              13,017.3</t>
  </si>
  <si>
    <t xml:space="preserve">             109,145</t>
  </si>
  <si>
    <t xml:space="preserve">             -66,145</t>
  </si>
  <si>
    <t xml:space="preserve">                   7.7</t>
  </si>
  <si>
    <t xml:space="preserve">              13,734</t>
  </si>
  <si>
    <t xml:space="preserve">                  44.8</t>
  </si>
  <si>
    <t xml:space="preserve">              24,153</t>
  </si>
  <si>
    <t xml:space="preserve">             -10,419</t>
  </si>
  <si>
    <t xml:space="preserve">                   5.2</t>
  </si>
  <si>
    <t xml:space="preserve">               4,476</t>
  </si>
  <si>
    <t xml:space="preserve">              -3,660</t>
  </si>
  <si>
    <t xml:space="preserve">               2,862.8</t>
  </si>
  <si>
    <t xml:space="preserve">               4,836</t>
  </si>
  <si>
    <t xml:space="preserve">             116,129.3</t>
  </si>
  <si>
    <t xml:space="preserve">             630,354</t>
  </si>
  <si>
    <t xml:space="preserve">            -625,518</t>
  </si>
  <si>
    <t xml:space="preserve">              58,930.0</t>
  </si>
  <si>
    <t xml:space="preserve">             200,487</t>
  </si>
  <si>
    <t xml:space="preserve">             102,360.0</t>
  </si>
  <si>
    <t xml:space="preserve">             430,053</t>
  </si>
  <si>
    <t xml:space="preserve">            -229,566</t>
  </si>
  <si>
    <t xml:space="preserve">               2,065.1</t>
  </si>
  <si>
    <t xml:space="preserve">              34,711.5</t>
  </si>
  <si>
    <t xml:space="preserve">             133,278</t>
  </si>
  <si>
    <t xml:space="preserve">            -127,738</t>
  </si>
  <si>
    <t xml:space="preserve">               2,034.3</t>
  </si>
  <si>
    <t xml:space="preserve">               9,110</t>
  </si>
  <si>
    <t xml:space="preserve">               3,698.0</t>
  </si>
  <si>
    <t xml:space="preserve">              15,553</t>
  </si>
  <si>
    <t xml:space="preserve">              -6,442</t>
  </si>
  <si>
    <t xml:space="preserve">                  67.3</t>
  </si>
  <si>
    <t xml:space="preserve">               6,430.5</t>
  </si>
  <si>
    <t xml:space="preserve">              12,172</t>
  </si>
  <si>
    <t xml:space="preserve">             -11,817</t>
  </si>
  <si>
    <t xml:space="preserve">               4,773.9</t>
  </si>
  <si>
    <t xml:space="preserve">               9,549</t>
  </si>
  <si>
    <t xml:space="preserve">              60,791.5</t>
  </si>
  <si>
    <t xml:space="preserve">              52,018</t>
  </si>
  <si>
    <t xml:space="preserve">             -42,469</t>
  </si>
  <si>
    <t xml:space="preserve">                 780.4</t>
  </si>
  <si>
    <t xml:space="preserve">               5,460</t>
  </si>
  <si>
    <t xml:space="preserve">              74,678.5</t>
  </si>
  <si>
    <t xml:space="preserve">             180,524</t>
  </si>
  <si>
    <t xml:space="preserve">            -175,064</t>
  </si>
  <si>
    <t xml:space="preserve">              15,981.7</t>
  </si>
  <si>
    <t xml:space="preserve">             133,838</t>
  </si>
  <si>
    <t xml:space="preserve">            -131,019</t>
  </si>
  <si>
    <t xml:space="preserve">              49,445.4</t>
  </si>
  <si>
    <t xml:space="preserve">              17,308</t>
  </si>
  <si>
    <t xml:space="preserve">           1,323,281.7</t>
  </si>
  <si>
    <t xml:space="preserve">             362,838</t>
  </si>
  <si>
    <t xml:space="preserve">            -345,529</t>
  </si>
  <si>
    <t xml:space="preserve">               5,637.7</t>
  </si>
  <si>
    <t xml:space="preserve">               3,756</t>
  </si>
  <si>
    <t xml:space="preserve">              27,171.2</t>
  </si>
  <si>
    <t xml:space="preserve">              22,176</t>
  </si>
  <si>
    <t xml:space="preserve">             -18,420</t>
  </si>
  <si>
    <t xml:space="preserve">               2,340.3</t>
  </si>
  <si>
    <t xml:space="preserve">              45,299</t>
  </si>
  <si>
    <t xml:space="preserve">             281,347.6</t>
  </si>
  <si>
    <t xml:space="preserve">             145,213</t>
  </si>
  <si>
    <t xml:space="preserve">             -99,914</t>
  </si>
  <si>
    <t xml:space="preserve">               8,815</t>
  </si>
  <si>
    <t xml:space="preserve">               8,453.6</t>
  </si>
  <si>
    <t xml:space="preserve">              32,280</t>
  </si>
  <si>
    <t xml:space="preserve">             -23,465</t>
  </si>
  <si>
    <t xml:space="preserve">                  10.1</t>
  </si>
  <si>
    <t xml:space="preserve">              15,856.8</t>
  </si>
  <si>
    <t xml:space="preserve">               5,865</t>
  </si>
  <si>
    <t xml:space="preserve">              -5,844</t>
  </si>
  <si>
    <t xml:space="preserve">              41,510.1</t>
  </si>
  <si>
    <t xml:space="preserve">              47,886</t>
  </si>
  <si>
    <t xml:space="preserve">             145,994.8</t>
  </si>
  <si>
    <t xml:space="preserve">             221,312</t>
  </si>
  <si>
    <t xml:space="preserve">            -173,426</t>
  </si>
  <si>
    <t xml:space="preserve">               4,457.6</t>
  </si>
  <si>
    <t xml:space="preserve">              31,142</t>
  </si>
  <si>
    <t xml:space="preserve">              14,757.5</t>
  </si>
  <si>
    <t xml:space="preserve">              78,928</t>
  </si>
  <si>
    <t xml:space="preserve">             -47,785</t>
  </si>
  <si>
    <t xml:space="preserve">              24,207.8</t>
  </si>
  <si>
    <t xml:space="preserve">              21,255</t>
  </si>
  <si>
    <t xml:space="preserve">             173,572.2</t>
  </si>
  <si>
    <t xml:space="preserve">              94,057</t>
  </si>
  <si>
    <t xml:space="preserve">             -72,802</t>
  </si>
  <si>
    <t xml:space="preserve">               1,618.6</t>
  </si>
  <si>
    <t xml:space="preserve">               6,179</t>
  </si>
  <si>
    <t xml:space="preserve">               5,704.2</t>
  </si>
  <si>
    <t xml:space="preserve">              45,780</t>
  </si>
  <si>
    <t xml:space="preserve">             -39,601</t>
  </si>
  <si>
    <t xml:space="preserve">              60,244.4</t>
  </si>
  <si>
    <t xml:space="preserve">             253,418</t>
  </si>
  <si>
    <t xml:space="preserve">              28,150.9</t>
  </si>
  <si>
    <t xml:space="preserve">              88,180</t>
  </si>
  <si>
    <t xml:space="preserve">             165,238</t>
  </si>
  <si>
    <t xml:space="preserve">               8,854.8</t>
  </si>
  <si>
    <t xml:space="preserve">              77,104</t>
  </si>
  <si>
    <t xml:space="preserve">              94,482.8</t>
  </si>
  <si>
    <t xml:space="preserve">             133,462</t>
  </si>
  <si>
    <t xml:space="preserve">             -56,358</t>
  </si>
  <si>
    <t xml:space="preserve">              35,100.3</t>
  </si>
  <si>
    <t xml:space="preserve">             145,011</t>
  </si>
  <si>
    <t xml:space="preserve">              32,541.6</t>
  </si>
  <si>
    <t xml:space="preserve">             246,196</t>
  </si>
  <si>
    <t xml:space="preserve">            -101,185</t>
  </si>
  <si>
    <t xml:space="preserve">              78,330.2</t>
  </si>
  <si>
    <t xml:space="preserve">              88,123</t>
  </si>
  <si>
    <t xml:space="preserve">              73,200.6</t>
  </si>
  <si>
    <t xml:space="preserve">             112,353</t>
  </si>
  <si>
    <t xml:space="preserve">             -24,230</t>
  </si>
  <si>
    <t xml:space="preserve">              23,447.4</t>
  </si>
  <si>
    <t xml:space="preserve">              29,483</t>
  </si>
  <si>
    <t xml:space="preserve">             450,300.5</t>
  </si>
  <si>
    <t xml:space="preserve">             160,485</t>
  </si>
  <si>
    <t xml:space="preserve">            -131,002</t>
  </si>
  <si>
    <t xml:space="preserve">               6,902.9</t>
  </si>
  <si>
    <t xml:space="preserve">              67,582</t>
  </si>
  <si>
    <t xml:space="preserve">               4,948.4</t>
  </si>
  <si>
    <t xml:space="preserve">              36,162</t>
  </si>
  <si>
    <t xml:space="preserve">              31,420</t>
  </si>
  <si>
    <t xml:space="preserve">             353,962.7</t>
  </si>
  <si>
    <t xml:space="preserve">              53,581</t>
  </si>
  <si>
    <t xml:space="preserve">             728,988.9</t>
  </si>
  <si>
    <t xml:space="preserve">              65,896</t>
  </si>
  <si>
    <t xml:space="preserve">             -12,315</t>
  </si>
  <si>
    <t xml:space="preserve">             167,625.8</t>
  </si>
  <si>
    <t xml:space="preserve">              63,360</t>
  </si>
  <si>
    <t xml:space="preserve">           5,323,767.0</t>
  </si>
  <si>
    <t xml:space="preserve">           1,984,804</t>
  </si>
  <si>
    <t xml:space="preserve">          -1,921,443</t>
  </si>
  <si>
    <t xml:space="preserve">           4,414,333.6</t>
  </si>
  <si>
    <t xml:space="preserve">           5,298,536</t>
  </si>
  <si>
    <t xml:space="preserve">          23,965,942.0</t>
  </si>
  <si>
    <t xml:space="preserve">          14,334,002</t>
  </si>
  <si>
    <t xml:space="preserve">          -9,035,466</t>
  </si>
  <si>
    <t xml:space="preserve">             417,687.6</t>
  </si>
  <si>
    <t xml:space="preserve">             970,183</t>
  </si>
  <si>
    <t xml:space="preserve">             301,239.3</t>
  </si>
  <si>
    <t xml:space="preserve">             913,647</t>
  </si>
  <si>
    <t xml:space="preserve">              56,536</t>
  </si>
  <si>
    <t xml:space="preserve">           1,073,453.1</t>
  </si>
  <si>
    <t xml:space="preserve">           1,533,365</t>
  </si>
  <si>
    <t xml:space="preserve">             850,267.3</t>
  </si>
  <si>
    <t xml:space="preserve">           1,624,656</t>
  </si>
  <si>
    <t xml:space="preserve">             -91,291</t>
  </si>
  <si>
    <t xml:space="preserve">               2,401.9</t>
  </si>
  <si>
    <t xml:space="preserve">             831,530</t>
  </si>
  <si>
    <t xml:space="preserve">               6,878.5</t>
  </si>
  <si>
    <t xml:space="preserve">           1,103,053</t>
  </si>
  <si>
    <t xml:space="preserve">            -271,523</t>
  </si>
  <si>
    <t xml:space="preserve">              63,215.7</t>
  </si>
  <si>
    <t xml:space="preserve">              33,285</t>
  </si>
  <si>
    <t xml:space="preserve">             126,502.2</t>
  </si>
  <si>
    <t xml:space="preserve">              87,202</t>
  </si>
  <si>
    <t xml:space="preserve">             -53,917</t>
  </si>
  <si>
    <t xml:space="preserve">              28,646.6</t>
  </si>
  <si>
    <t xml:space="preserve">             231,322</t>
  </si>
  <si>
    <t xml:space="preserve">              27,651.1</t>
  </si>
  <si>
    <t xml:space="preserve">             191,882</t>
  </si>
  <si>
    <t xml:space="preserve">              39,440</t>
  </si>
  <si>
    <t xml:space="preserve">              46,686.0</t>
  </si>
  <si>
    <t xml:space="preserve">           1,136,215</t>
  </si>
  <si>
    <t xml:space="preserve">               8,752.9</t>
  </si>
  <si>
    <t xml:space="preserve">             183,106</t>
  </si>
  <si>
    <t xml:space="preserve">             953,109</t>
  </si>
  <si>
    <t xml:space="preserve">              40,173.2</t>
  </si>
  <si>
    <t xml:space="preserve">             165,186</t>
  </si>
  <si>
    <t xml:space="preserve">              28,413.9</t>
  </si>
  <si>
    <t xml:space="preserve">             103,369</t>
  </si>
  <si>
    <t xml:space="preserve">              61,817</t>
  </si>
  <si>
    <t xml:space="preserve">               7,169.7</t>
  </si>
  <si>
    <t xml:space="preserve">              78,642</t>
  </si>
  <si>
    <t xml:space="preserve">              17,430.4</t>
  </si>
  <si>
    <t xml:space="preserve">              86,515</t>
  </si>
  <si>
    <t xml:space="preserve">              -7,873</t>
  </si>
  <si>
    <t xml:space="preserve">                 286.5</t>
  </si>
  <si>
    <t xml:space="preserve">               8,797</t>
  </si>
  <si>
    <t xml:space="preserve">                 150.1</t>
  </si>
  <si>
    <t xml:space="preserve">               1,846</t>
  </si>
  <si>
    <t xml:space="preserve">               6,951</t>
  </si>
  <si>
    <t xml:space="preserve">               1,562.6</t>
  </si>
  <si>
    <t xml:space="preserve">              87,792</t>
  </si>
  <si>
    <t xml:space="preserve">               3,108.1</t>
  </si>
  <si>
    <t xml:space="preserve">              93,611</t>
  </si>
  <si>
    <t xml:space="preserve">              -5,819</t>
  </si>
  <si>
    <t xml:space="preserve">             133,161.4</t>
  </si>
  <si>
    <t xml:space="preserve">             687,709</t>
  </si>
  <si>
    <t xml:space="preserve">             174,039.3</t>
  </si>
  <si>
    <t xml:space="preserve">             815,352</t>
  </si>
  <si>
    <t xml:space="preserve">            -127,644</t>
  </si>
  <si>
    <t xml:space="preserve">           1,161,863.0</t>
  </si>
  <si>
    <t xml:space="preserve">           2,958,951</t>
  </si>
  <si>
    <t xml:space="preserve">             344,417.8</t>
  </si>
  <si>
    <t xml:space="preserve">           1,261,384</t>
  </si>
  <si>
    <t xml:space="preserve">           1,697,567</t>
  </si>
  <si>
    <t xml:space="preserve">             214,997.6</t>
  </si>
  <si>
    <t xml:space="preserve">             730,580</t>
  </si>
  <si>
    <t xml:space="preserve">              83,884.0</t>
  </si>
  <si>
    <t xml:space="preserve">             270,645</t>
  </si>
  <si>
    <t xml:space="preserve">             459,935</t>
  </si>
  <si>
    <t xml:space="preserve">               2,263.5</t>
  </si>
  <si>
    <t xml:space="preserve">              19,952</t>
  </si>
  <si>
    <t xml:space="preserve">               5,511.4</t>
  </si>
  <si>
    <t xml:space="preserve">              18,423</t>
  </si>
  <si>
    <t xml:space="preserve">               1,528</t>
  </si>
  <si>
    <t xml:space="preserve">                 919.3</t>
  </si>
  <si>
    <t xml:space="preserve">              55,086</t>
  </si>
  <si>
    <t xml:space="preserve">               9,803.1</t>
  </si>
  <si>
    <t xml:space="preserve">             323,108</t>
  </si>
  <si>
    <t xml:space="preserve">            -268,023</t>
  </si>
  <si>
    <t xml:space="preserve">                 345</t>
  </si>
  <si>
    <t xml:space="preserve">                  38.4</t>
  </si>
  <si>
    <t xml:space="preserve">               8,997</t>
  </si>
  <si>
    <t xml:space="preserve">              -8,652</t>
  </si>
  <si>
    <t xml:space="preserve">               4,130.3</t>
  </si>
  <si>
    <t xml:space="preserve">               6,312</t>
  </si>
  <si>
    <t xml:space="preserve">             653,057.0</t>
  </si>
  <si>
    <t xml:space="preserve">             217,136</t>
  </si>
  <si>
    <t xml:space="preserve">            -210,824</t>
  </si>
  <si>
    <t xml:space="preserve">                  59</t>
  </si>
  <si>
    <t xml:space="preserve">                 112.0</t>
  </si>
  <si>
    <t xml:space="preserve">                 450</t>
  </si>
  <si>
    <t xml:space="preserve">                -391</t>
  </si>
  <si>
    <t xml:space="preserve">                   0.9</t>
  </si>
  <si>
    <t xml:space="preserve">                  51</t>
  </si>
  <si>
    <t xml:space="preserve">                 623.2</t>
  </si>
  <si>
    <t xml:space="preserve">               3,243</t>
  </si>
  <si>
    <t xml:space="preserve">              -3,192</t>
  </si>
  <si>
    <t xml:space="preserve">              54,872.2</t>
  </si>
  <si>
    <t xml:space="preserve">              10,443</t>
  </si>
  <si>
    <t xml:space="preserve">             213,853.4</t>
  </si>
  <si>
    <t xml:space="preserve">             108,317</t>
  </si>
  <si>
    <t xml:space="preserve">             -97,874</t>
  </si>
  <si>
    <t xml:space="preserve">             207,112.6</t>
  </si>
  <si>
    <t xml:space="preserve">             209,019</t>
  </si>
  <si>
    <t xml:space="preserve">             138,013.6</t>
  </si>
  <si>
    <t xml:space="preserve">             198,417</t>
  </si>
  <si>
    <t xml:space="preserve">              10,602</t>
  </si>
  <si>
    <t xml:space="preserve">               4,117.2</t>
  </si>
  <si>
    <t xml:space="preserve">              30,136</t>
  </si>
  <si>
    <t xml:space="preserve">               1,327.2</t>
  </si>
  <si>
    <t xml:space="preserve">              49,570</t>
  </si>
  <si>
    <t xml:space="preserve">             -19,433</t>
  </si>
  <si>
    <t xml:space="preserve">                  11.2</t>
  </si>
  <si>
    <t xml:space="preserve">               1,850</t>
  </si>
  <si>
    <t xml:space="preserve">                  32.6</t>
  </si>
  <si>
    <t xml:space="preserve">               2,370</t>
  </si>
  <si>
    <t xml:space="preserve">                -520</t>
  </si>
  <si>
    <t xml:space="preserve">                 209.6</t>
  </si>
  <si>
    <t xml:space="preserve">               5,058</t>
  </si>
  <si>
    <t xml:space="preserve">                 796.9</t>
  </si>
  <si>
    <t xml:space="preserve">             -15,214</t>
  </si>
  <si>
    <t xml:space="preserve">               2,908.6</t>
  </si>
  <si>
    <t xml:space="preserve">              22,835</t>
  </si>
  <si>
    <t xml:space="preserve">              59,080</t>
  </si>
  <si>
    <t xml:space="preserve">             -36,245</t>
  </si>
  <si>
    <t xml:space="preserve">                  19.5</t>
  </si>
  <si>
    <t xml:space="preserve">                 344</t>
  </si>
  <si>
    <t xml:space="preserve">                 918.0</t>
  </si>
  <si>
    <t xml:space="preserve">               4,027</t>
  </si>
  <si>
    <t xml:space="preserve">              -3,682</t>
  </si>
  <si>
    <t xml:space="preserve">              20,120.0</t>
  </si>
  <si>
    <t xml:space="preserve">             135,343</t>
  </si>
  <si>
    <t xml:space="preserve">              31,464.8</t>
  </si>
  <si>
    <t xml:space="preserve">              76,322</t>
  </si>
  <si>
    <t xml:space="preserve">              59,021</t>
  </si>
  <si>
    <t xml:space="preserve">              45,572.0</t>
  </si>
  <si>
    <t xml:space="preserve">              91,335</t>
  </si>
  <si>
    <t xml:space="preserve">              11,707.8</t>
  </si>
  <si>
    <t xml:space="preserve">              46,482</t>
  </si>
  <si>
    <t xml:space="preserve">              44,853</t>
  </si>
  <si>
    <t xml:space="preserve">               8,466.0</t>
  </si>
  <si>
    <t xml:space="preserve">              57,400</t>
  </si>
  <si>
    <t xml:space="preserve">              20,451.5</t>
  </si>
  <si>
    <t xml:space="preserve">              64,356</t>
  </si>
  <si>
    <t xml:space="preserve">              -6,955</t>
  </si>
  <si>
    <t xml:space="preserve">                 549.7</t>
  </si>
  <si>
    <t xml:space="preserve">               3,758</t>
  </si>
  <si>
    <t xml:space="preserve">               5,254.4</t>
  </si>
  <si>
    <t xml:space="preserve">               8,200</t>
  </si>
  <si>
    <t xml:space="preserve">              -4,442</t>
  </si>
  <si>
    <t xml:space="preserve">               1,191.3</t>
  </si>
  <si>
    <t xml:space="preserve">              14,991</t>
  </si>
  <si>
    <t xml:space="preserve">                 884.8</t>
  </si>
  <si>
    <t xml:space="preserve">               6,897</t>
  </si>
  <si>
    <t xml:space="preserve">               8,533.2</t>
  </si>
  <si>
    <t xml:space="preserve">              87,499</t>
  </si>
  <si>
    <t xml:space="preserve">               6,444.9</t>
  </si>
  <si>
    <t xml:space="preserve">              38,679</t>
  </si>
  <si>
    <t xml:space="preserve">              48,820</t>
  </si>
  <si>
    <t xml:space="preserve">              14,177.9</t>
  </si>
  <si>
    <t xml:space="preserve">             107,438</t>
  </si>
  <si>
    <t xml:space="preserve">               1,636.0</t>
  </si>
  <si>
    <t xml:space="preserve">               8,596</t>
  </si>
  <si>
    <t xml:space="preserve">              98,842</t>
  </si>
  <si>
    <t xml:space="preserve">               2,268.4</t>
  </si>
  <si>
    <t xml:space="preserve">              70,852</t>
  </si>
  <si>
    <t xml:space="preserve">              17,883.7</t>
  </si>
  <si>
    <t xml:space="preserve">             344,333</t>
  </si>
  <si>
    <t xml:space="preserve">            -273,481</t>
  </si>
  <si>
    <t xml:space="preserve">               2,820.3</t>
  </si>
  <si>
    <t xml:space="preserve">              74,158</t>
  </si>
  <si>
    <t xml:space="preserve">              15,783.0</t>
  </si>
  <si>
    <t xml:space="preserve">             410,950</t>
  </si>
  <si>
    <t xml:space="preserve">            -336,791</t>
  </si>
  <si>
    <t xml:space="preserve">              26,278.6</t>
  </si>
  <si>
    <t xml:space="preserve">              46,196</t>
  </si>
  <si>
    <t xml:space="preserve">              25,129.6</t>
  </si>
  <si>
    <t xml:space="preserve">             116,657</t>
  </si>
  <si>
    <t xml:space="preserve">             -70,461</t>
  </si>
  <si>
    <t xml:space="preserve">               1,260.4</t>
  </si>
  <si>
    <t xml:space="preserve">              37,447</t>
  </si>
  <si>
    <t xml:space="preserve">              11,203.7</t>
  </si>
  <si>
    <t xml:space="preserve">             278,048</t>
  </si>
  <si>
    <t xml:space="preserve">            -240,601</t>
  </si>
  <si>
    <t xml:space="preserve">                 258.8</t>
  </si>
  <si>
    <t xml:space="preserve">              11,955</t>
  </si>
  <si>
    <t xml:space="preserve">                 982.1</t>
  </si>
  <si>
    <t xml:space="preserve">              25,811</t>
  </si>
  <si>
    <t xml:space="preserve">             -13,856</t>
  </si>
  <si>
    <t xml:space="preserve">                 351</t>
  </si>
  <si>
    <t xml:space="preserve">               2,230.3</t>
  </si>
  <si>
    <t xml:space="preserve">              16,826</t>
  </si>
  <si>
    <t xml:space="preserve">             -16,475</t>
  </si>
  <si>
    <t xml:space="preserve">                  35.8</t>
  </si>
  <si>
    <t xml:space="preserve">               1,524</t>
  </si>
  <si>
    <t xml:space="preserve">                 427.2</t>
  </si>
  <si>
    <t xml:space="preserve">               7,801</t>
  </si>
  <si>
    <t xml:space="preserve">              -6,277</t>
  </si>
  <si>
    <t xml:space="preserve">              10,804.2</t>
  </si>
  <si>
    <t xml:space="preserve">              88,360</t>
  </si>
  <si>
    <t xml:space="preserve">             157,657.8</t>
  </si>
  <si>
    <t xml:space="preserve">             101,534</t>
  </si>
  <si>
    <t xml:space="preserve">             -13,174</t>
  </si>
  <si>
    <t xml:space="preserve">               2,846.4</t>
  </si>
  <si>
    <t xml:space="preserve">              34,580</t>
  </si>
  <si>
    <t xml:space="preserve">             107,076.4</t>
  </si>
  <si>
    <t xml:space="preserve">             118,444</t>
  </si>
  <si>
    <t xml:space="preserve">             -83,864</t>
  </si>
  <si>
    <t xml:space="preserve">              26,791.0</t>
  </si>
  <si>
    <t xml:space="preserve">             143,102</t>
  </si>
  <si>
    <t xml:space="preserve">              78,740.5</t>
  </si>
  <si>
    <t xml:space="preserve">             226,900</t>
  </si>
  <si>
    <t xml:space="preserve">             -83,798</t>
  </si>
  <si>
    <t xml:space="preserve">                 467.2</t>
  </si>
  <si>
    <t xml:space="preserve">           1,711,971</t>
  </si>
  <si>
    <t xml:space="preserve">               1,888.2</t>
  </si>
  <si>
    <t xml:space="preserve">           1,047,935</t>
  </si>
  <si>
    <t xml:space="preserve">             664,037</t>
  </si>
  <si>
    <t xml:space="preserve">           2,152,382.6</t>
  </si>
  <si>
    <t xml:space="preserve">           1,869,834</t>
  </si>
  <si>
    <t xml:space="preserve">           1,196,416.4</t>
  </si>
  <si>
    <t xml:space="preserve">             992,123</t>
  </si>
  <si>
    <t xml:space="preserve">             877,711</t>
  </si>
  <si>
    <t xml:space="preserve">             296,783.2</t>
  </si>
  <si>
    <t xml:space="preserve">             711,347</t>
  </si>
  <si>
    <t xml:space="preserve">             236,551.0</t>
  </si>
  <si>
    <t xml:space="preserve">             632,325</t>
  </si>
  <si>
    <t xml:space="preserve">              79,021</t>
  </si>
  <si>
    <t xml:space="preserve">              64,086.7</t>
  </si>
  <si>
    <t xml:space="preserve">             861,455</t>
  </si>
  <si>
    <t xml:space="preserve">              71,148.3</t>
  </si>
  <si>
    <t xml:space="preserve">             930,818</t>
  </si>
  <si>
    <t xml:space="preserve">             -69,363</t>
  </si>
  <si>
    <t xml:space="preserve">                 920.1</t>
  </si>
  <si>
    <t xml:space="preserve">              20,286</t>
  </si>
  <si>
    <t xml:space="preserve">               3,707.7</t>
  </si>
  <si>
    <t xml:space="preserve">              89,845</t>
  </si>
  <si>
    <t xml:space="preserve">             -69,559</t>
  </si>
  <si>
    <t xml:space="preserve">             118,596.2</t>
  </si>
  <si>
    <t xml:space="preserve">             593,495</t>
  </si>
  <si>
    <t xml:space="preserve">             257,779.4</t>
  </si>
  <si>
    <t xml:space="preserve">           1,026,091</t>
  </si>
  <si>
    <t xml:space="preserve">            -432,596</t>
  </si>
  <si>
    <t xml:space="preserve">              23,482.0</t>
  </si>
  <si>
    <t xml:space="preserve">              53,683</t>
  </si>
  <si>
    <t xml:space="preserve">              13,085.1</t>
  </si>
  <si>
    <t xml:space="preserve">              30,962</t>
  </si>
  <si>
    <t xml:space="preserve">              22,720</t>
  </si>
  <si>
    <t xml:space="preserve">              26,257.7</t>
  </si>
  <si>
    <t xml:space="preserve">              94,046</t>
  </si>
  <si>
    <t xml:space="preserve">               2,303.7</t>
  </si>
  <si>
    <t xml:space="preserve">              83,651</t>
  </si>
  <si>
    <t xml:space="preserve">                 113.1</t>
  </si>
  <si>
    <t xml:space="preserve">              10,287</t>
  </si>
  <si>
    <t xml:space="preserve">                 980.4</t>
  </si>
  <si>
    <t xml:space="preserve">              52,669</t>
  </si>
  <si>
    <t xml:space="preserve">             -42,382</t>
  </si>
  <si>
    <t xml:space="preserve">               2,541.3</t>
  </si>
  <si>
    <t xml:space="preserve">              53,665</t>
  </si>
  <si>
    <t xml:space="preserve">              17,066.2</t>
  </si>
  <si>
    <t xml:space="preserve">             177,942</t>
  </si>
  <si>
    <t xml:space="preserve">            -124,277</t>
  </si>
  <si>
    <t xml:space="preserve">              10,654.1</t>
  </si>
  <si>
    <t xml:space="preserve">             207,831</t>
  </si>
  <si>
    <t xml:space="preserve">               5,227.1</t>
  </si>
  <si>
    <t xml:space="preserve">              92,359</t>
  </si>
  <si>
    <t xml:space="preserve">             115,472</t>
  </si>
  <si>
    <t xml:space="preserve">              21,868.8</t>
  </si>
  <si>
    <t xml:space="preserve">             126,918</t>
  </si>
  <si>
    <t xml:space="preserve">              12,161.1</t>
  </si>
  <si>
    <t xml:space="preserve">              81,709</t>
  </si>
  <si>
    <t xml:space="preserve">              45,209</t>
  </si>
  <si>
    <t xml:space="preserve">             351,118.2</t>
  </si>
  <si>
    <t xml:space="preserve">          12,074,910</t>
  </si>
  <si>
    <t xml:space="preserve">             228,979.4</t>
  </si>
  <si>
    <t xml:space="preserve">           7,288,378</t>
  </si>
  <si>
    <t xml:space="preserve">           4,786,532</t>
  </si>
  <si>
    <t xml:space="preserve">             201,467.7</t>
  </si>
  <si>
    <t xml:space="preserve">          40,230,637</t>
  </si>
  <si>
    <t xml:space="preserve">             202,634.3</t>
  </si>
  <si>
    <t xml:space="preserve">          13,237,022</t>
  </si>
  <si>
    <t xml:space="preserve">          26,993,615</t>
  </si>
  <si>
    <t xml:space="preserve">              10,942.9</t>
  </si>
  <si>
    <t xml:space="preserve">              90,169</t>
  </si>
  <si>
    <t xml:space="preserve">              14,744.3</t>
  </si>
  <si>
    <t xml:space="preserve">              41,348</t>
  </si>
  <si>
    <t xml:space="preserve">             670,654.0</t>
  </si>
  <si>
    <t xml:space="preserve">           7,227,360</t>
  </si>
  <si>
    <t xml:space="preserve">             126,601.3</t>
  </si>
  <si>
    <t xml:space="preserve">           2,017,808</t>
  </si>
  <si>
    <t xml:space="preserve">           5,209,551</t>
  </si>
  <si>
    <t xml:space="preserve">               1,107.4</t>
  </si>
  <si>
    <t xml:space="preserve">             139,951</t>
  </si>
  <si>
    <t xml:space="preserve">             296,773</t>
  </si>
  <si>
    <t xml:space="preserve">            -156,822</t>
  </si>
  <si>
    <t xml:space="preserve">             592,065.4</t>
  </si>
  <si>
    <t xml:space="preserve">           2,457,847</t>
  </si>
  <si>
    <t xml:space="preserve">             528,300.9</t>
  </si>
  <si>
    <t xml:space="preserve">             459,863</t>
  </si>
  <si>
    <t xml:space="preserve">           1,997,984</t>
  </si>
  <si>
    <t xml:space="preserve">              14,231.9</t>
  </si>
  <si>
    <t xml:space="preserve">           1,336,510</t>
  </si>
  <si>
    <t xml:space="preserve">              15,574.8</t>
  </si>
  <si>
    <t xml:space="preserve">           2,027,775</t>
  </si>
  <si>
    <t xml:space="preserve">            -691,265</t>
  </si>
  <si>
    <t xml:space="preserve">                  11.5</t>
  </si>
  <si>
    <t xml:space="preserve">              15,041</t>
  </si>
  <si>
    <t xml:space="preserve">                 289.6</t>
  </si>
  <si>
    <t xml:space="preserve">              98,698</t>
  </si>
  <si>
    <t xml:space="preserve">             -83,657</t>
  </si>
  <si>
    <t xml:space="preserve">                 261.3</t>
  </si>
  <si>
    <t xml:space="preserve">               8,654</t>
  </si>
  <si>
    <t xml:space="preserve">                 466.4</t>
  </si>
  <si>
    <t xml:space="preserve">              12,798</t>
  </si>
  <si>
    <t xml:space="preserve">              -4,144</t>
  </si>
  <si>
    <t xml:space="preserve">               2,357.8</t>
  </si>
  <si>
    <t xml:space="preserve">             124,558</t>
  </si>
  <si>
    <t xml:space="preserve">                 135.2</t>
  </si>
  <si>
    <t xml:space="preserve">              24,208</t>
  </si>
  <si>
    <t xml:space="preserve">             100,350</t>
  </si>
  <si>
    <t xml:space="preserve">              14,609.1</t>
  </si>
  <si>
    <t xml:space="preserve">              97,909</t>
  </si>
  <si>
    <t xml:space="preserve">              77,528.7</t>
  </si>
  <si>
    <t xml:space="preserve">             322,503</t>
  </si>
  <si>
    <t xml:space="preserve">            -224,594</t>
  </si>
  <si>
    <t xml:space="preserve">               2,385.0</t>
  </si>
  <si>
    <t xml:space="preserve">              61,825</t>
  </si>
  <si>
    <t xml:space="preserve">              15,313.7</t>
  </si>
  <si>
    <t xml:space="preserve">             199,712</t>
  </si>
  <si>
    <t xml:space="preserve">            -137,886</t>
  </si>
  <si>
    <t xml:space="preserve">               2,000.8</t>
  </si>
  <si>
    <t xml:space="preserve">              38,671</t>
  </si>
  <si>
    <t xml:space="preserve">              12,192.6</t>
  </si>
  <si>
    <t xml:space="preserve">             100,258</t>
  </si>
  <si>
    <t xml:space="preserve">             -61,587</t>
  </si>
  <si>
    <t xml:space="preserve">                  15.6</t>
  </si>
  <si>
    <t xml:space="preserve">              16,884</t>
  </si>
  <si>
    <t xml:space="preserve">              24,632</t>
  </si>
  <si>
    <t xml:space="preserve">                   7.5</t>
  </si>
  <si>
    <t xml:space="preserve">               1,992</t>
  </si>
  <si>
    <t xml:space="preserve">                 138.7</t>
  </si>
  <si>
    <t xml:space="preserve">               4,974</t>
  </si>
  <si>
    <t xml:space="preserve">              -2,982</t>
  </si>
  <si>
    <t xml:space="preserve">               3,077.6</t>
  </si>
  <si>
    <t xml:space="preserve">               4,776</t>
  </si>
  <si>
    <t xml:space="preserve">             134,082.8</t>
  </si>
  <si>
    <t xml:space="preserve">             688,942</t>
  </si>
  <si>
    <t xml:space="preserve">            -684,166</t>
  </si>
  <si>
    <t xml:space="preserve">              56,957.3</t>
  </si>
  <si>
    <t xml:space="preserve">             184,400</t>
  </si>
  <si>
    <t xml:space="preserve">              90,740.9</t>
  </si>
  <si>
    <t xml:space="preserve">             418,972</t>
  </si>
  <si>
    <t xml:space="preserve">            -234,571</t>
  </si>
  <si>
    <t xml:space="preserve">               2,292.4</t>
  </si>
  <si>
    <t xml:space="preserve">               5,837</t>
  </si>
  <si>
    <t xml:space="preserve">              35,807.7</t>
  </si>
  <si>
    <t xml:space="preserve">             146,611</t>
  </si>
  <si>
    <t xml:space="preserve">            -140,774</t>
  </si>
  <si>
    <t xml:space="preserve">               1,278.9</t>
  </si>
  <si>
    <t xml:space="preserve">               9,305</t>
  </si>
  <si>
    <t xml:space="preserve">               3,802.3</t>
  </si>
  <si>
    <t xml:space="preserve">              17,819</t>
  </si>
  <si>
    <t xml:space="preserve">              -8,514</t>
  </si>
  <si>
    <t xml:space="preserve">                  30.5</t>
  </si>
  <si>
    <t xml:space="preserve">                 331</t>
  </si>
  <si>
    <t xml:space="preserve">               6,212.4</t>
  </si>
  <si>
    <t xml:space="preserve">              11,423</t>
  </si>
  <si>
    <t xml:space="preserve">             -11,092</t>
  </si>
  <si>
    <t xml:space="preserve">               6,699.2</t>
  </si>
  <si>
    <t xml:space="preserve">              71,764.1</t>
  </si>
  <si>
    <t xml:space="preserve">              55,515</t>
  </si>
  <si>
    <t xml:space="preserve">             -45,099</t>
  </si>
  <si>
    <t xml:space="preserve">                 413.4</t>
  </si>
  <si>
    <t xml:space="preserve">               2,867</t>
  </si>
  <si>
    <t xml:space="preserve">              76,152.6</t>
  </si>
  <si>
    <t xml:space="preserve">             184,433</t>
  </si>
  <si>
    <t xml:space="preserve">            -181,566</t>
  </si>
  <si>
    <t xml:space="preserve">                 428.7</t>
  </si>
  <si>
    <t xml:space="preserve">               3,563</t>
  </si>
  <si>
    <t xml:space="preserve">              18,125.6</t>
  </si>
  <si>
    <t xml:space="preserve">             149,122</t>
  </si>
  <si>
    <t xml:space="preserve">            -145,559</t>
  </si>
  <si>
    <t xml:space="preserve">                 799.6</t>
  </si>
  <si>
    <t xml:space="preserve">               1,052</t>
  </si>
  <si>
    <t xml:space="preserve">           1,316,628.5</t>
  </si>
  <si>
    <t xml:space="preserve">             358,038</t>
  </si>
  <si>
    <t xml:space="preserve">            -356,985</t>
  </si>
  <si>
    <t xml:space="preserve">               4,861.7</t>
  </si>
  <si>
    <t xml:space="preserve">               3,394</t>
  </si>
  <si>
    <t xml:space="preserve">              31,619.3</t>
  </si>
  <si>
    <t xml:space="preserve">              27,094</t>
  </si>
  <si>
    <t xml:space="preserve">             -23,700</t>
  </si>
  <si>
    <t xml:space="preserve">               3,253.8</t>
  </si>
  <si>
    <t xml:space="preserve">              86,416</t>
  </si>
  <si>
    <t xml:space="preserve">             306,877.7</t>
  </si>
  <si>
    <t xml:space="preserve">             155,056</t>
  </si>
  <si>
    <t xml:space="preserve">             -68,639</t>
  </si>
  <si>
    <t xml:space="preserve">                 349.4</t>
  </si>
  <si>
    <t xml:space="preserve">               8,562</t>
  </si>
  <si>
    <t xml:space="preserve">               9,835.3</t>
  </si>
  <si>
    <t xml:space="preserve">              35,155</t>
  </si>
  <si>
    <t xml:space="preserve">             -26,593</t>
  </si>
  <si>
    <t xml:space="preserve">              40,239.8</t>
  </si>
  <si>
    <t xml:space="preserve">               9,704</t>
  </si>
  <si>
    <t xml:space="preserve">              -9,647</t>
  </si>
  <si>
    <t xml:space="preserve">              38,683.7</t>
  </si>
  <si>
    <t xml:space="preserve">              46,150</t>
  </si>
  <si>
    <t xml:space="preserve">             197,858.0</t>
  </si>
  <si>
    <t xml:space="preserve">             302,964</t>
  </si>
  <si>
    <t xml:space="preserve">            -256,813</t>
  </si>
  <si>
    <t xml:space="preserve">               4,654.6</t>
  </si>
  <si>
    <t xml:space="preserve">              32,160</t>
  </si>
  <si>
    <t xml:space="preserve">              15,882.2</t>
  </si>
  <si>
    <t xml:space="preserve">              87,889</t>
  </si>
  <si>
    <t xml:space="preserve">             -55,729</t>
  </si>
  <si>
    <t xml:space="preserve">              21,900.8</t>
  </si>
  <si>
    <t xml:space="preserve">              19,818</t>
  </si>
  <si>
    <t xml:space="preserve">             274,814.8</t>
  </si>
  <si>
    <t xml:space="preserve">             136,284</t>
  </si>
  <si>
    <t xml:space="preserve">            -116,467</t>
  </si>
  <si>
    <t xml:space="preserve">               1,601.9</t>
  </si>
  <si>
    <t xml:space="preserve">               5,846</t>
  </si>
  <si>
    <t xml:space="preserve">               4,698.4</t>
  </si>
  <si>
    <t xml:space="preserve">              39,940</t>
  </si>
  <si>
    <t xml:space="preserve">             -34,095</t>
  </si>
  <si>
    <t xml:space="preserve">              65,917.5</t>
  </si>
  <si>
    <t xml:space="preserve">             270,788</t>
  </si>
  <si>
    <t xml:space="preserve">              34,348.1</t>
  </si>
  <si>
    <t xml:space="preserve">             106,192</t>
  </si>
  <si>
    <t xml:space="preserve">             164,596</t>
  </si>
  <si>
    <t xml:space="preserve">              10,865.3</t>
  </si>
  <si>
    <t xml:space="preserve">              96,896</t>
  </si>
  <si>
    <t xml:space="preserve">             105,831.3</t>
  </si>
  <si>
    <t xml:space="preserve">             148,049</t>
  </si>
  <si>
    <t xml:space="preserve">             -51,153</t>
  </si>
  <si>
    <t xml:space="preserve">              38,810.4</t>
  </si>
  <si>
    <t xml:space="preserve">             169,248</t>
  </si>
  <si>
    <t xml:space="preserve">              35,819.1</t>
  </si>
  <si>
    <t xml:space="preserve">             233,947</t>
  </si>
  <si>
    <t xml:space="preserve">              88,488.0</t>
  </si>
  <si>
    <t xml:space="preserve">             100,280</t>
  </si>
  <si>
    <t xml:space="preserve">              85,051.0</t>
  </si>
  <si>
    <t xml:space="preserve">             129,525</t>
  </si>
  <si>
    <t xml:space="preserve">             -29,245</t>
  </si>
  <si>
    <t xml:space="preserve">              24,418.0</t>
  </si>
  <si>
    <t xml:space="preserve">              28,156</t>
  </si>
  <si>
    <t xml:space="preserve">             535,334.6</t>
  </si>
  <si>
    <t xml:space="preserve">             199,255</t>
  </si>
  <si>
    <t xml:space="preserve">            -171,098</t>
  </si>
  <si>
    <t xml:space="preserve">               9,344.1</t>
  </si>
  <si>
    <t xml:space="preserve">              86,171</t>
  </si>
  <si>
    <t xml:space="preserve">               4,799.6</t>
  </si>
  <si>
    <t xml:space="preserve">              40,123</t>
  </si>
  <si>
    <t xml:space="preserve">              46,048</t>
  </si>
  <si>
    <t xml:space="preserve">             338,926.0</t>
  </si>
  <si>
    <t xml:space="preserve">              65,228</t>
  </si>
  <si>
    <t xml:space="preserve">           1,092,128.2</t>
  </si>
  <si>
    <t xml:space="preserve">             158,533</t>
  </si>
  <si>
    <t xml:space="preserve">             -93,305</t>
  </si>
  <si>
    <t xml:space="preserve">             151,005.6</t>
  </si>
  <si>
    <t xml:space="preserve">              90,793</t>
  </si>
  <si>
    <t xml:space="preserve">           6,131,784.8</t>
  </si>
  <si>
    <t xml:space="preserve">           1,828,295</t>
  </si>
  <si>
    <t xml:space="preserve">          -1,737,502</t>
  </si>
  <si>
    <t xml:space="preserve">           5,268,114.4</t>
  </si>
  <si>
    <t xml:space="preserve">           5,500,624</t>
  </si>
  <si>
    <t xml:space="preserve">          25,808,378.0</t>
  </si>
  <si>
    <t xml:space="preserve">          14,302,450</t>
  </si>
  <si>
    <t xml:space="preserve">          -8,801,826</t>
  </si>
  <si>
    <t xml:space="preserve">             388,902.2</t>
  </si>
  <si>
    <t xml:space="preserve">             998,975</t>
  </si>
  <si>
    <t xml:space="preserve">             317,413.7</t>
  </si>
  <si>
    <t xml:space="preserve">           1,152,874</t>
  </si>
  <si>
    <t xml:space="preserve">            -153,899</t>
  </si>
  <si>
    <t xml:space="preserve">           1,312,115.8</t>
  </si>
  <si>
    <t xml:space="preserve">           1,685,657</t>
  </si>
  <si>
    <t xml:space="preserve">             755,066.6</t>
  </si>
  <si>
    <t xml:space="preserve">           1,425,093</t>
  </si>
  <si>
    <t xml:space="preserve">             260,565</t>
  </si>
  <si>
    <t xml:space="preserve">               2,998.3</t>
  </si>
  <si>
    <t xml:space="preserve">           1,158,671</t>
  </si>
  <si>
    <t xml:space="preserve">               8,012.7</t>
  </si>
  <si>
    <t xml:space="preserve">           1,008,727</t>
  </si>
  <si>
    <t xml:space="preserve">             149,945</t>
  </si>
  <si>
    <t xml:space="preserve">             108,613.2</t>
  </si>
  <si>
    <t xml:space="preserve">              54,692</t>
  </si>
  <si>
    <t xml:space="preserve">              92,191.7</t>
  </si>
  <si>
    <t xml:space="preserve">              56,069</t>
  </si>
  <si>
    <t xml:space="preserve">              -1,377</t>
  </si>
  <si>
    <t xml:space="preserve">              31,880.0</t>
  </si>
  <si>
    <t xml:space="preserve">             243,223</t>
  </si>
  <si>
    <t xml:space="preserve">              25,675.5</t>
  </si>
  <si>
    <t xml:space="preserve">             226,522</t>
  </si>
  <si>
    <t xml:space="preserve">              16,701</t>
  </si>
  <si>
    <t xml:space="preserve">              53,651.9</t>
  </si>
  <si>
    <t xml:space="preserve">           1,284,859</t>
  </si>
  <si>
    <t xml:space="preserve">              12,152.3</t>
  </si>
  <si>
    <t xml:space="preserve">             202,255</t>
  </si>
  <si>
    <t xml:space="preserve">           1,082,604</t>
  </si>
  <si>
    <t xml:space="preserve">              45,662.3</t>
  </si>
  <si>
    <t xml:space="preserve">             181,181</t>
  </si>
  <si>
    <t xml:space="preserve">              31,978.0</t>
  </si>
  <si>
    <t xml:space="preserve">             117,355</t>
  </si>
  <si>
    <t xml:space="preserve">              63,826</t>
  </si>
  <si>
    <t xml:space="preserve">               7,605.0</t>
  </si>
  <si>
    <t xml:space="preserve">              92,582</t>
  </si>
  <si>
    <t xml:space="preserve">              20,390.4</t>
  </si>
  <si>
    <t xml:space="preserve">              91,535</t>
  </si>
  <si>
    <t xml:space="preserve">                 192.2</t>
  </si>
  <si>
    <t xml:space="preserve">               5,545</t>
  </si>
  <si>
    <t xml:space="preserve">                 130.3</t>
  </si>
  <si>
    <t xml:space="preserve">               6,184</t>
  </si>
  <si>
    <t xml:space="preserve">                -638</t>
  </si>
  <si>
    <t xml:space="preserve">               1,651.7</t>
  </si>
  <si>
    <t xml:space="preserve">              90,534</t>
  </si>
  <si>
    <t xml:space="preserve">               2,701.7</t>
  </si>
  <si>
    <t xml:space="preserve">             106,166</t>
  </si>
  <si>
    <t xml:space="preserve">             -15,632</t>
  </si>
  <si>
    <t xml:space="preserve">             121,322.6</t>
  </si>
  <si>
    <t xml:space="preserve">             720,738</t>
  </si>
  <si>
    <t xml:space="preserve">             241,363.2</t>
  </si>
  <si>
    <t xml:space="preserve">             922,091</t>
  </si>
  <si>
    <t xml:space="preserve">            -201,353</t>
  </si>
  <si>
    <t xml:space="preserve">           1,337,618.5</t>
  </si>
  <si>
    <t xml:space="preserve">           3,292,799</t>
  </si>
  <si>
    <t xml:space="preserve">             343,255.2</t>
  </si>
  <si>
    <t xml:space="preserve">           1,429,046</t>
  </si>
  <si>
    <t xml:space="preserve">           1,863,753</t>
  </si>
  <si>
    <t xml:space="preserve">             231,917.9</t>
  </si>
  <si>
    <t xml:space="preserve">             747,510</t>
  </si>
  <si>
    <t xml:space="preserve">              91,587.9</t>
  </si>
  <si>
    <t xml:space="preserve">             299,232</t>
  </si>
  <si>
    <t xml:space="preserve">             448,277</t>
  </si>
  <si>
    <t xml:space="preserve">               2,607.9</t>
  </si>
  <si>
    <t xml:space="preserve">              21,790</t>
  </si>
  <si>
    <t xml:space="preserve">               5,944.0</t>
  </si>
  <si>
    <t xml:space="preserve">              20,807</t>
  </si>
  <si>
    <t xml:space="preserve">                 983</t>
  </si>
  <si>
    <t xml:space="preserve">               1,119.4</t>
  </si>
  <si>
    <t xml:space="preserve">              70,230</t>
  </si>
  <si>
    <t xml:space="preserve">               9,910.4</t>
  </si>
  <si>
    <t xml:space="preserve">             353,445</t>
  </si>
  <si>
    <t xml:space="preserve">            -283,214</t>
  </si>
  <si>
    <t xml:space="preserve">                  59.1</t>
  </si>
  <si>
    <t xml:space="preserve">              18,813</t>
  </si>
  <si>
    <t xml:space="preserve">             -18,028</t>
  </si>
  <si>
    <t xml:space="preserve">               4,561.4</t>
  </si>
  <si>
    <t xml:space="preserve">               7,681</t>
  </si>
  <si>
    <t xml:space="preserve">             759,802.0</t>
  </si>
  <si>
    <t xml:space="preserve">             246,035</t>
  </si>
  <si>
    <t xml:space="preserve">            -238,354</t>
  </si>
  <si>
    <t xml:space="preserve">                  30</t>
  </si>
  <si>
    <t xml:space="preserve">                  65.2</t>
  </si>
  <si>
    <t xml:space="preserve">                 368</t>
  </si>
  <si>
    <t xml:space="preserve">                -338</t>
  </si>
  <si>
    <t xml:space="preserve">                 107</t>
  </si>
  <si>
    <t xml:space="preserve">                 482.2</t>
  </si>
  <si>
    <t xml:space="preserve">               2,393</t>
  </si>
  <si>
    <t xml:space="preserve">              -2,285</t>
  </si>
  <si>
    <t xml:space="preserve">              53,773.4</t>
  </si>
  <si>
    <t xml:space="preserve">               8,951</t>
  </si>
  <si>
    <t xml:space="preserve">             201,663.8</t>
  </si>
  <si>
    <t xml:space="preserve">             -94,882</t>
  </si>
  <si>
    <t xml:space="preserve">             229,912.8</t>
  </si>
  <si>
    <t xml:space="preserve">             234,719</t>
  </si>
  <si>
    <t xml:space="preserve">             140,791.0</t>
  </si>
  <si>
    <t xml:space="preserve">             208,686</t>
  </si>
  <si>
    <t xml:space="preserve">              26,033</t>
  </si>
  <si>
    <t xml:space="preserve">               5,513.8</t>
  </si>
  <si>
    <t xml:space="preserve">              37,863</t>
  </si>
  <si>
    <t xml:space="preserve">               1,215.1</t>
  </si>
  <si>
    <t xml:space="preserve">              23,909</t>
  </si>
  <si>
    <t xml:space="preserve">              13,954</t>
  </si>
  <si>
    <t xml:space="preserve">                  20.1</t>
  </si>
  <si>
    <t xml:space="preserve">               1,660</t>
  </si>
  <si>
    <t xml:space="preserve">                  36.3</t>
  </si>
  <si>
    <t xml:space="preserve">               2,586</t>
  </si>
  <si>
    <t xml:space="preserve">                -926</t>
  </si>
  <si>
    <t xml:space="preserve">                 332.4</t>
  </si>
  <si>
    <t xml:space="preserve">               7,180</t>
  </si>
  <si>
    <t xml:space="preserve">                 746.5</t>
  </si>
  <si>
    <t xml:space="preserve">              24,982</t>
  </si>
  <si>
    <t xml:space="preserve">             -17,803</t>
  </si>
  <si>
    <t xml:space="preserve">               2,969.5</t>
  </si>
  <si>
    <t xml:space="preserve">              23,876</t>
  </si>
  <si>
    <t xml:space="preserve">              18,737.9</t>
  </si>
  <si>
    <t xml:space="preserve">              63,194</t>
  </si>
  <si>
    <t xml:space="preserve">             -39,318</t>
  </si>
  <si>
    <t xml:space="preserve">                 333</t>
  </si>
  <si>
    <t xml:space="preserve">               1,277.2</t>
  </si>
  <si>
    <t xml:space="preserve">               4,033</t>
  </si>
  <si>
    <t xml:space="preserve">              -3,699</t>
  </si>
  <si>
    <t xml:space="preserve">              21,296.2</t>
  </si>
  <si>
    <t xml:space="preserve">             146,105</t>
  </si>
  <si>
    <t xml:space="preserve">              35,801.2</t>
  </si>
  <si>
    <t xml:space="preserve">              88,166</t>
  </si>
  <si>
    <t xml:space="preserve">              57,939</t>
  </si>
  <si>
    <t xml:space="preserve">              48,938.2</t>
  </si>
  <si>
    <t xml:space="preserve">              93,600</t>
  </si>
  <si>
    <t xml:space="preserve">              13,058.7</t>
  </si>
  <si>
    <t xml:space="preserve">              52,812</t>
  </si>
  <si>
    <t xml:space="preserve">              40,788</t>
  </si>
  <si>
    <t xml:space="preserve">              10,493.2</t>
  </si>
  <si>
    <t xml:space="preserve">              69,626</t>
  </si>
  <si>
    <t xml:space="preserve">              22,534.6</t>
  </si>
  <si>
    <t xml:space="preserve">              70,813</t>
  </si>
  <si>
    <t xml:space="preserve">              -1,187</t>
  </si>
  <si>
    <t xml:space="preserve">                 472.4</t>
  </si>
  <si>
    <t xml:space="preserve">               5,557.2</t>
  </si>
  <si>
    <t xml:space="preserve">               9,690</t>
  </si>
  <si>
    <t xml:space="preserve">              -5,299</t>
  </si>
  <si>
    <t xml:space="preserve">               1,394.9</t>
  </si>
  <si>
    <t xml:space="preserve">              15,217</t>
  </si>
  <si>
    <t xml:space="preserve">                 899.4</t>
  </si>
  <si>
    <t xml:space="preserve">               7,465</t>
  </si>
  <si>
    <t xml:space="preserve">               9,427.5</t>
  </si>
  <si>
    <t xml:space="preserve">              95,010</t>
  </si>
  <si>
    <t xml:space="preserve">               7,514.7</t>
  </si>
  <si>
    <t xml:space="preserve">              45,856</t>
  </si>
  <si>
    <t xml:space="preserve">              49,154</t>
  </si>
  <si>
    <t xml:space="preserve">              16,301.1</t>
  </si>
  <si>
    <t xml:space="preserve">             125,456</t>
  </si>
  <si>
    <t xml:space="preserve">               2,138.0</t>
  </si>
  <si>
    <t xml:space="preserve">              11,539</t>
  </si>
  <si>
    <t xml:space="preserve">             113,918</t>
  </si>
  <si>
    <t xml:space="preserve">               2,372.0</t>
  </si>
  <si>
    <t xml:space="preserve">              90,862</t>
  </si>
  <si>
    <t xml:space="preserve">              18,853.7</t>
  </si>
  <si>
    <t xml:space="preserve">             375,644</t>
  </si>
  <si>
    <t xml:space="preserve">            -284,782</t>
  </si>
  <si>
    <t xml:space="preserve">               3,180.3</t>
  </si>
  <si>
    <t xml:space="preserve">              84,578</t>
  </si>
  <si>
    <t xml:space="preserve">              17,113.5</t>
  </si>
  <si>
    <t xml:space="preserve">             476,230</t>
  </si>
  <si>
    <t xml:space="preserve">            -391,652</t>
  </si>
  <si>
    <t xml:space="preserve">              28,383.8</t>
  </si>
  <si>
    <t xml:space="preserve">              50,459</t>
  </si>
  <si>
    <t xml:space="preserve">              27,712.4</t>
  </si>
  <si>
    <t xml:space="preserve">             130,874</t>
  </si>
  <si>
    <t xml:space="preserve">             -80,415</t>
  </si>
  <si>
    <t xml:space="preserve">               1,327.8</t>
  </si>
  <si>
    <t xml:space="preserve">              41,046</t>
  </si>
  <si>
    <t xml:space="preserve">              12,954.6</t>
  </si>
  <si>
    <t xml:space="preserve">             346,984</t>
  </si>
  <si>
    <t xml:space="preserve">            -305,939</t>
  </si>
  <si>
    <t xml:space="preserve">                 263.1</t>
  </si>
  <si>
    <t xml:space="preserve">              11,611</t>
  </si>
  <si>
    <t xml:space="preserve">               1,082.8</t>
  </si>
  <si>
    <t xml:space="preserve">              29,444</t>
  </si>
  <si>
    <t xml:space="preserve">             -17,833</t>
  </si>
  <si>
    <t xml:space="preserve">                   8.5</t>
  </si>
  <si>
    <t xml:space="preserve">               2,639.5</t>
  </si>
  <si>
    <t xml:space="preserve">              19,536</t>
  </si>
  <si>
    <t xml:space="preserve">             -19,197</t>
  </si>
  <si>
    <t xml:space="preserve">               1,835</t>
  </si>
  <si>
    <t xml:space="preserve">                 382.3</t>
  </si>
  <si>
    <t xml:space="preserve">              -5,737</t>
  </si>
  <si>
    <t xml:space="preserve">              13,339.6</t>
  </si>
  <si>
    <t xml:space="preserve">              97,060</t>
  </si>
  <si>
    <t xml:space="preserve">             166,576.2</t>
  </si>
  <si>
    <t xml:space="preserve">             107,042</t>
  </si>
  <si>
    <t xml:space="preserve">              -9,982</t>
  </si>
  <si>
    <t xml:space="preserve">               2,916.2</t>
  </si>
  <si>
    <t xml:space="preserve">             126,334.0</t>
  </si>
  <si>
    <t xml:space="preserve">             145,062</t>
  </si>
  <si>
    <t xml:space="preserve">            -106,560</t>
  </si>
  <si>
    <t xml:space="preserve">              30,696.9</t>
  </si>
  <si>
    <t xml:space="preserve">             161,054</t>
  </si>
  <si>
    <t xml:space="preserve">              88,044.1</t>
  </si>
  <si>
    <t xml:space="preserve">             271,657</t>
  </si>
  <si>
    <t xml:space="preserve">            -110,603</t>
  </si>
  <si>
    <t xml:space="preserve">                 634.1</t>
  </si>
  <si>
    <t xml:space="preserve">           1,571,823</t>
  </si>
  <si>
    <t xml:space="preserve">               1,427.0</t>
  </si>
  <si>
    <t xml:space="preserve">             814,545</t>
  </si>
  <si>
    <t xml:space="preserve">             757,279</t>
  </si>
  <si>
    <t xml:space="preserve">           2,218,121.6</t>
  </si>
  <si>
    <t xml:space="preserve">           1,973,742</t>
  </si>
  <si>
    <t xml:space="preserve">           1,291,602.4</t>
  </si>
  <si>
    <t xml:space="preserve">           1,088,202</t>
  </si>
  <si>
    <t xml:space="preserve">             885,541</t>
  </si>
  <si>
    <t xml:space="preserve">             317,291.1</t>
  </si>
  <si>
    <t xml:space="preserve">             806,687</t>
  </si>
  <si>
    <t xml:space="preserve">             266,269.1</t>
  </si>
  <si>
    <t xml:space="preserve">             711,313</t>
  </si>
  <si>
    <t xml:space="preserve">              95,374</t>
  </si>
  <si>
    <t xml:space="preserve">              63,074.1</t>
  </si>
  <si>
    <t xml:space="preserve">             866,859</t>
  </si>
  <si>
    <t xml:space="preserve">              85,249.1</t>
  </si>
  <si>
    <t xml:space="preserve">           1,183,645</t>
  </si>
  <si>
    <t xml:space="preserve">            -316,786</t>
  </si>
  <si>
    <t xml:space="preserve">               1,480.6</t>
  </si>
  <si>
    <t xml:space="preserve">              30,073</t>
  </si>
  <si>
    <t xml:space="preserve">               6,184.6</t>
  </si>
  <si>
    <t xml:space="preserve">             133,439</t>
  </si>
  <si>
    <t xml:space="preserve">            -103,366</t>
  </si>
  <si>
    <t xml:space="preserve">             133,650.1</t>
  </si>
  <si>
    <t xml:space="preserve">             672,554</t>
  </si>
  <si>
    <t xml:space="preserve">             302,615.7</t>
  </si>
  <si>
    <t xml:space="preserve">           1,188,235</t>
  </si>
  <si>
    <t xml:space="preserve">            -515,681</t>
  </si>
  <si>
    <t xml:space="preserve">              31,554.5</t>
  </si>
  <si>
    <t xml:space="preserve">              76,604</t>
  </si>
  <si>
    <t xml:space="preserve">              11,267.2</t>
  </si>
  <si>
    <t xml:space="preserve">              30,567</t>
  </si>
  <si>
    <t xml:space="preserve">              46,037</t>
  </si>
  <si>
    <t xml:space="preserve">              29,729.5</t>
  </si>
  <si>
    <t xml:space="preserve">             111,131</t>
  </si>
  <si>
    <t xml:space="preserve">               2,250.1</t>
  </si>
  <si>
    <t xml:space="preserve">              11,370</t>
  </si>
  <si>
    <t xml:space="preserve">              99,761</t>
  </si>
  <si>
    <t xml:space="preserve">                 157.0</t>
  </si>
  <si>
    <t xml:space="preserve">              11,668</t>
  </si>
  <si>
    <t xml:space="preserve">               1,020.4</t>
  </si>
  <si>
    <t xml:space="preserve">              53,816</t>
  </si>
  <si>
    <t xml:space="preserve">             -42,149</t>
  </si>
  <si>
    <t xml:space="preserve">              31,602.1</t>
  </si>
  <si>
    <t xml:space="preserve">              70,942</t>
  </si>
  <si>
    <t xml:space="preserve">              19,696.2</t>
  </si>
  <si>
    <t xml:space="preserve">             255,145</t>
  </si>
  <si>
    <t xml:space="preserve">            -184,203</t>
  </si>
  <si>
    <t xml:space="preserve">               9,445.0</t>
  </si>
  <si>
    <t xml:space="preserve">             185,355</t>
  </si>
  <si>
    <t xml:space="preserve">               5,339.3</t>
  </si>
  <si>
    <t xml:space="preserve">             101,407</t>
  </si>
  <si>
    <t xml:space="preserve">              83,948</t>
  </si>
  <si>
    <t xml:space="preserve">              23,726.6</t>
  </si>
  <si>
    <t xml:space="preserve">             141,209</t>
  </si>
  <si>
    <t xml:space="preserve">              12,655.4</t>
  </si>
  <si>
    <t xml:space="preserve">              90,239</t>
  </si>
  <si>
    <t xml:space="preserve">              50,970</t>
  </si>
  <si>
    <t xml:space="preserve">             379,504.0</t>
  </si>
  <si>
    <t xml:space="preserve">          16,352,067</t>
  </si>
  <si>
    <t xml:space="preserve">             256,615.5</t>
  </si>
  <si>
    <t xml:space="preserve">           8,168,315</t>
  </si>
  <si>
    <t xml:space="preserve">           8,183,751</t>
  </si>
  <si>
    <t xml:space="preserve">             238,109.8</t>
  </si>
  <si>
    <t xml:space="preserve">          46,280,277</t>
  </si>
  <si>
    <t xml:space="preserve">             220,516.5</t>
  </si>
  <si>
    <t xml:space="preserve">          15,313,673</t>
  </si>
  <si>
    <t xml:space="preserve">          30,966,603</t>
  </si>
  <si>
    <t xml:space="preserve">              11,370.9</t>
  </si>
  <si>
    <t xml:space="preserve">              47,336</t>
  </si>
  <si>
    <t xml:space="preserve">              18,994.8</t>
  </si>
  <si>
    <t xml:space="preserve">              72,527</t>
  </si>
  <si>
    <t xml:space="preserve">             -25,191</t>
  </si>
  <si>
    <t xml:space="preserve">             776,548.7</t>
  </si>
  <si>
    <t xml:space="preserve">           8,746,465</t>
  </si>
  <si>
    <t xml:space="preserve">             163,178.0</t>
  </si>
  <si>
    <t xml:space="preserve">           2,441,836</t>
  </si>
  <si>
    <t xml:space="preserve">           6,304,630</t>
  </si>
  <si>
    <t xml:space="preserve">                 564.3</t>
  </si>
  <si>
    <t xml:space="preserve">             276,872</t>
  </si>
  <si>
    <t xml:space="preserve">                 430.3</t>
  </si>
  <si>
    <t xml:space="preserve">             253,998</t>
  </si>
  <si>
    <t xml:space="preserve">              22,874</t>
  </si>
  <si>
    <t xml:space="preserve">           1,076,058.2</t>
  </si>
  <si>
    <t xml:space="preserve">           2,662,952</t>
  </si>
  <si>
    <t xml:space="preserve">             743,932.4</t>
  </si>
  <si>
    <t xml:space="preserve">             405,925</t>
  </si>
  <si>
    <t xml:space="preserve">           2,257,027</t>
  </si>
  <si>
    <t xml:space="preserve">              15,989.5</t>
  </si>
  <si>
    <t xml:space="preserve">           1,621,177</t>
  </si>
  <si>
    <t xml:space="preserve">              17,454.1</t>
  </si>
  <si>
    <t xml:space="preserve">           2,480,954</t>
  </si>
  <si>
    <t xml:space="preserve">            -859,777</t>
  </si>
  <si>
    <t xml:space="preserve">              18,351</t>
  </si>
  <si>
    <t xml:space="preserve">                 317.8</t>
  </si>
  <si>
    <t xml:space="preserve">             117,439</t>
  </si>
  <si>
    <t xml:space="preserve">             -99,088</t>
  </si>
  <si>
    <t xml:space="preserve">               8,818</t>
  </si>
  <si>
    <t xml:space="preserve">                 632.0</t>
  </si>
  <si>
    <t xml:space="preserve">              14,310</t>
  </si>
  <si>
    <t xml:space="preserve">              -5,492</t>
  </si>
  <si>
    <t xml:space="preserve">               1,798.6</t>
  </si>
  <si>
    <t xml:space="preserve">             229,028</t>
  </si>
  <si>
    <t xml:space="preserve">              40,258</t>
  </si>
  <si>
    <t xml:space="preserve">             188,769</t>
  </si>
  <si>
    <t xml:space="preserve">              15,527.8</t>
  </si>
  <si>
    <t xml:space="preserve">             104,469</t>
  </si>
  <si>
    <t xml:space="preserve">              83,297.4</t>
  </si>
  <si>
    <t xml:space="preserve">             351,096</t>
  </si>
  <si>
    <t xml:space="preserve">            -246,627</t>
  </si>
  <si>
    <t xml:space="preserve">               2,742.2</t>
  </si>
  <si>
    <t xml:space="preserve">              70,166</t>
  </si>
  <si>
    <t xml:space="preserve">              17,431.7</t>
  </si>
  <si>
    <t xml:space="preserve">             247,621</t>
  </si>
  <si>
    <t xml:space="preserve">            -177,454</t>
  </si>
  <si>
    <t xml:space="preserve">               2,375.7</t>
  </si>
  <si>
    <t xml:space="preserve">              42,189</t>
  </si>
  <si>
    <t xml:space="preserve">              12,518.5</t>
  </si>
  <si>
    <t xml:space="preserve">             105,123</t>
  </si>
  <si>
    <t xml:space="preserve">             -62,934</t>
  </si>
  <si>
    <t xml:space="preserve">                   8.8</t>
  </si>
  <si>
    <t xml:space="preserve">              11,400</t>
  </si>
  <si>
    <t xml:space="preserve">              29,719</t>
  </si>
  <si>
    <t xml:space="preserve">             -18,319</t>
  </si>
  <si>
    <t xml:space="preserve">              10,824</t>
  </si>
  <si>
    <t xml:space="preserve">               4,527.2</t>
  </si>
  <si>
    <t xml:space="preserve">               6,320</t>
  </si>
  <si>
    <t xml:space="preserve">             134,752.8</t>
  </si>
  <si>
    <t xml:space="preserve">             708,349</t>
  </si>
  <si>
    <t xml:space="preserve">            -702,030</t>
  </si>
  <si>
    <t xml:space="preserve">              51,494.3</t>
  </si>
  <si>
    <t xml:space="preserve">             178,620</t>
  </si>
  <si>
    <t xml:space="preserve">              82,618.1</t>
  </si>
  <si>
    <t xml:space="preserve">             390,267</t>
  </si>
  <si>
    <t xml:space="preserve">            -211,648</t>
  </si>
  <si>
    <t xml:space="preserve">               2,744.1</t>
  </si>
  <si>
    <t xml:space="preserve">               7,164</t>
  </si>
  <si>
    <t xml:space="preserve">              41,515.1</t>
  </si>
  <si>
    <t xml:space="preserve">             170,842</t>
  </si>
  <si>
    <t xml:space="preserve">            -163,678</t>
  </si>
  <si>
    <t xml:space="preserve">               3,796.3</t>
  </si>
  <si>
    <t xml:space="preserve">              10,442</t>
  </si>
  <si>
    <t xml:space="preserve">               4,148.3</t>
  </si>
  <si>
    <t xml:space="preserve">              17,211</t>
  </si>
  <si>
    <t xml:space="preserve">              -6,769</t>
  </si>
  <si>
    <t xml:space="preserve">                  46.1</t>
  </si>
  <si>
    <t xml:space="preserve">                 181</t>
  </si>
  <si>
    <t xml:space="preserve">               5,213.6</t>
  </si>
  <si>
    <t xml:space="preserve">               9,065</t>
  </si>
  <si>
    <t xml:space="preserve">              -8,884</t>
  </si>
  <si>
    <t xml:space="preserve">               7,518.5</t>
  </si>
  <si>
    <t xml:space="preserve">              10,777</t>
  </si>
  <si>
    <t xml:space="preserve">              60,918.4</t>
  </si>
  <si>
    <t xml:space="preserve">              48,073</t>
  </si>
  <si>
    <t xml:space="preserve">             -37,297</t>
  </si>
  <si>
    <t xml:space="preserve">                 763.6</t>
  </si>
  <si>
    <t xml:space="preserve">               8,301</t>
  </si>
  <si>
    <t xml:space="preserve">              67,147.3</t>
  </si>
  <si>
    <t xml:space="preserve">             163,377</t>
  </si>
  <si>
    <t xml:space="preserve">            -155,075</t>
  </si>
  <si>
    <t xml:space="preserve">                 462.4</t>
  </si>
  <si>
    <t xml:space="preserve">               4,266</t>
  </si>
  <si>
    <t xml:space="preserve">              16,779.8</t>
  </si>
  <si>
    <t xml:space="preserve">             141,539</t>
  </si>
  <si>
    <t xml:space="preserve">            -137,273</t>
  </si>
  <si>
    <t xml:space="preserve">                 497.2</t>
  </si>
  <si>
    <t xml:space="preserve">                 871</t>
  </si>
  <si>
    <t xml:space="preserve">           1,590,231.8</t>
  </si>
  <si>
    <t xml:space="preserve">             444,446</t>
  </si>
  <si>
    <t xml:space="preserve">            -443,575</t>
  </si>
  <si>
    <t xml:space="preserve">               4,843.0</t>
  </si>
  <si>
    <t xml:space="preserve">               3,393</t>
  </si>
  <si>
    <t xml:space="preserve">              34,880.5</t>
  </si>
  <si>
    <t xml:space="preserve">              27,757</t>
  </si>
  <si>
    <t xml:space="preserve">             -24,364</t>
  </si>
  <si>
    <t xml:space="preserve">               1,936.3</t>
  </si>
  <si>
    <t xml:space="preserve">              48,580</t>
  </si>
  <si>
    <t xml:space="preserve">             244,242.6</t>
  </si>
  <si>
    <t xml:space="preserve">             127,060</t>
  </si>
  <si>
    <t xml:space="preserve">             -78,480</t>
  </si>
  <si>
    <t xml:space="preserve">                 346.3</t>
  </si>
  <si>
    <t xml:space="preserve">               6,421</t>
  </si>
  <si>
    <t xml:space="preserve">              10,626.7</t>
  </si>
  <si>
    <t xml:space="preserve">              32,996</t>
  </si>
  <si>
    <t xml:space="preserve">             -26,575</t>
  </si>
  <si>
    <t xml:space="preserve">              59,234.9</t>
  </si>
  <si>
    <t xml:space="preserve">              12,105</t>
  </si>
  <si>
    <t xml:space="preserve">             -12,061</t>
  </si>
  <si>
    <t xml:space="preserve">              20,186.0</t>
  </si>
  <si>
    <t xml:space="preserve">              25,316</t>
  </si>
  <si>
    <t xml:space="preserve">             214,971.0</t>
  </si>
  <si>
    <t xml:space="preserve">             316,844</t>
  </si>
  <si>
    <t xml:space="preserve">            -291,529</t>
  </si>
  <si>
    <t xml:space="preserve">               4,655.8</t>
  </si>
  <si>
    <t xml:space="preserve">              28,121</t>
  </si>
  <si>
    <t xml:space="preserve">              15,103.3</t>
  </si>
  <si>
    <t xml:space="preserve">              83,358</t>
  </si>
  <si>
    <t xml:space="preserve">             -55,237</t>
  </si>
  <si>
    <t xml:space="preserve">              31,171.8</t>
  </si>
  <si>
    <t xml:space="preserve">              24,623</t>
  </si>
  <si>
    <t xml:space="preserve">             165,840.1</t>
  </si>
  <si>
    <t xml:space="preserve">              96,513</t>
  </si>
  <si>
    <t xml:space="preserve">             -71,889</t>
  </si>
  <si>
    <t xml:space="preserve">               1,853.5</t>
  </si>
  <si>
    <t xml:space="preserve">               5,750</t>
  </si>
  <si>
    <t xml:space="preserve">               4,222.0</t>
  </si>
  <si>
    <t xml:space="preserve">              36,091</t>
  </si>
  <si>
    <t xml:space="preserve">             -30,342</t>
  </si>
  <si>
    <t xml:space="preserve">              63,635.8</t>
  </si>
  <si>
    <t xml:space="preserve">             260,238</t>
  </si>
  <si>
    <t xml:space="preserve">              30,712.1</t>
  </si>
  <si>
    <t xml:space="preserve">              98,007</t>
  </si>
  <si>
    <t xml:space="preserve">             162,231</t>
  </si>
  <si>
    <t xml:space="preserve">              10,139.3</t>
  </si>
  <si>
    <t xml:space="preserve">              91,224</t>
  </si>
  <si>
    <t xml:space="preserve">             101,506.7</t>
  </si>
  <si>
    <t xml:space="preserve">             140,512</t>
  </si>
  <si>
    <t xml:space="preserve">             -49,288</t>
  </si>
  <si>
    <t xml:space="preserve">              37,757.7</t>
  </si>
  <si>
    <t xml:space="preserve">             155,649</t>
  </si>
  <si>
    <t xml:space="preserve">              36,443.7</t>
  </si>
  <si>
    <t xml:space="preserve">             238,940</t>
  </si>
  <si>
    <t xml:space="preserve">             -83,291</t>
  </si>
  <si>
    <t xml:space="preserve">              84,181.9</t>
  </si>
  <si>
    <t xml:space="preserve">             101,926</t>
  </si>
  <si>
    <t xml:space="preserve">              93,422.6</t>
  </si>
  <si>
    <t xml:space="preserve">             136,104</t>
  </si>
  <si>
    <t xml:space="preserve">             -34,178</t>
  </si>
  <si>
    <t xml:space="preserve">              22,377.2</t>
  </si>
  <si>
    <t xml:space="preserve">              25,069</t>
  </si>
  <si>
    <t xml:space="preserve">             596,909.4</t>
  </si>
  <si>
    <t xml:space="preserve">             223,609</t>
  </si>
  <si>
    <t xml:space="preserve">            -198,540</t>
  </si>
  <si>
    <t xml:space="preserve">               9,529.5</t>
  </si>
  <si>
    <t xml:space="preserve">              98,190</t>
  </si>
  <si>
    <t xml:space="preserve">               6,166.8</t>
  </si>
  <si>
    <t xml:space="preserve">              48,688</t>
  </si>
  <si>
    <t xml:space="preserve">              49,502</t>
  </si>
  <si>
    <t xml:space="preserve">             531,497.8</t>
  </si>
  <si>
    <t xml:space="preserve">              98,733</t>
  </si>
  <si>
    <t xml:space="preserve">             810,041.0</t>
  </si>
  <si>
    <t xml:space="preserve">              67,308</t>
  </si>
  <si>
    <t xml:space="preserve">             219,459.6</t>
  </si>
  <si>
    <t xml:space="preserve">              35,351</t>
  </si>
  <si>
    <t xml:space="preserve">           7,670,560.8</t>
  </si>
  <si>
    <t xml:space="preserve">           2,537,004</t>
  </si>
  <si>
    <t xml:space="preserve">          -2,501,653</t>
  </si>
  <si>
    <t xml:space="preserve">           5,749,003.7</t>
  </si>
  <si>
    <t xml:space="preserve">           5,896,407</t>
  </si>
  <si>
    <t xml:space="preserve">          31,805,061.2</t>
  </si>
  <si>
    <t xml:space="preserve">          16,251,655</t>
  </si>
  <si>
    <t xml:space="preserve">         -10,355,248</t>
  </si>
  <si>
    <t xml:space="preserve">             504,304.1</t>
  </si>
  <si>
    <t xml:space="preserve">           1,083,240</t>
  </si>
  <si>
    <t xml:space="preserve">             406,533.1</t>
  </si>
  <si>
    <t xml:space="preserve">           1,226,749</t>
  </si>
  <si>
    <t xml:space="preserve">            -143,509</t>
  </si>
  <si>
    <t xml:space="preserve">           1,548,656.0</t>
  </si>
  <si>
    <t xml:space="preserve">           1,836,067</t>
  </si>
  <si>
    <t xml:space="preserve">             715,054.5</t>
  </si>
  <si>
    <t xml:space="preserve">           1,259,025</t>
  </si>
  <si>
    <t xml:space="preserve">             577,042</t>
  </si>
  <si>
    <t xml:space="preserve">               2,852.1</t>
  </si>
  <si>
    <t xml:space="preserve">             859,910</t>
  </si>
  <si>
    <t xml:space="preserve">               8,654.2</t>
  </si>
  <si>
    <t xml:space="preserve">           1,123,719</t>
  </si>
  <si>
    <t xml:space="preserve">            -263,809</t>
  </si>
  <si>
    <t xml:space="preserve">             137,547.2</t>
  </si>
  <si>
    <t xml:space="preserve">              75,095</t>
  </si>
  <si>
    <t xml:space="preserve">             160,835.6</t>
  </si>
  <si>
    <t xml:space="preserve">              84,800</t>
  </si>
  <si>
    <t xml:space="preserve">              -9,705</t>
  </si>
  <si>
    <t xml:space="preserve">              33,192.9</t>
  </si>
  <si>
    <t xml:space="preserve">             267,863</t>
  </si>
  <si>
    <t xml:space="preserve">              24,865.1</t>
  </si>
  <si>
    <t xml:space="preserve">             235,671</t>
  </si>
  <si>
    <t xml:space="preserve">              32,192</t>
  </si>
  <si>
    <t xml:space="preserve">              56,396.3</t>
  </si>
  <si>
    <t xml:space="preserve">           1,304,068</t>
  </si>
  <si>
    <t xml:space="preserve">              10,417.8</t>
  </si>
  <si>
    <t xml:space="preserve">             197,744</t>
  </si>
  <si>
    <t xml:space="preserve">           1,106,324</t>
  </si>
  <si>
    <t xml:space="preserve">              53,232.3</t>
  </si>
  <si>
    <t xml:space="preserve">             203,414</t>
  </si>
  <si>
    <t xml:space="preserve">              27,857.4</t>
  </si>
  <si>
    <t xml:space="preserve">             109,166</t>
  </si>
  <si>
    <t xml:space="preserve">              94,248</t>
  </si>
  <si>
    <t xml:space="preserve">               8,457.3</t>
  </si>
  <si>
    <t xml:space="preserve">              94,028</t>
  </si>
  <si>
    <t xml:space="preserve">              21,110.9</t>
  </si>
  <si>
    <t xml:space="preserve">              93,431</t>
  </si>
  <si>
    <t xml:space="preserve">                 597</t>
  </si>
  <si>
    <t xml:space="preserve">                 168.0</t>
  </si>
  <si>
    <t xml:space="preserve">                 155.6</t>
  </si>
  <si>
    <t xml:space="preserve">               3,199</t>
  </si>
  <si>
    <t xml:space="preserve">               2,721</t>
  </si>
  <si>
    <t xml:space="preserve">               1,832.9</t>
  </si>
  <si>
    <t xml:space="preserve">             108,564</t>
  </si>
  <si>
    <t xml:space="preserve">               2,524.5</t>
  </si>
  <si>
    <t xml:space="preserve">             105,365</t>
  </si>
  <si>
    <t xml:space="preserve">             160,707.4</t>
  </si>
  <si>
    <t xml:space="preserve">             745,094</t>
  </si>
  <si>
    <t xml:space="preserve">             183,197.6</t>
  </si>
  <si>
    <t xml:space="preserve">             937,993</t>
  </si>
  <si>
    <t xml:space="preserve">            -192,900</t>
  </si>
  <si>
    <t xml:space="preserve">           1,513,045.7</t>
  </si>
  <si>
    <t xml:space="preserve">           3,405,002</t>
  </si>
  <si>
    <t xml:space="preserve">             279,500.1</t>
  </si>
  <si>
    <t xml:space="preserve">           1,287,910</t>
  </si>
  <si>
    <t xml:space="preserve">           2,117,091</t>
  </si>
  <si>
    <t xml:space="preserve">             261,675.3</t>
  </si>
  <si>
    <t xml:space="preserve">             753,662</t>
  </si>
  <si>
    <t xml:space="preserve">              86,968.2</t>
  </si>
  <si>
    <t xml:space="preserve">             290,065</t>
  </si>
  <si>
    <t xml:space="preserve">             463,598</t>
  </si>
  <si>
    <t xml:space="preserve">               2,547.8</t>
  </si>
  <si>
    <t xml:space="preserve">              24,275</t>
  </si>
  <si>
    <t xml:space="preserve">               6,633.6</t>
  </si>
  <si>
    <t xml:space="preserve">              22,779</t>
  </si>
  <si>
    <t xml:space="preserve">               1,495</t>
  </si>
  <si>
    <t xml:space="preserve">               1,051.0</t>
  </si>
  <si>
    <t xml:space="preserve">              68,664</t>
  </si>
  <si>
    <t xml:space="preserve">               9,545.0</t>
  </si>
  <si>
    <t xml:space="preserve">             313,840</t>
  </si>
  <si>
    <t xml:space="preserve">            -245,175</t>
  </si>
  <si>
    <t xml:space="preserve">                   6.6</t>
  </si>
  <si>
    <t xml:space="preserve">               1,011</t>
  </si>
  <si>
    <t xml:space="preserve">                  75.8</t>
  </si>
  <si>
    <t xml:space="preserve">              17,190</t>
  </si>
  <si>
    <t xml:space="preserve">             -16,179</t>
  </si>
  <si>
    <t xml:space="preserve">               4,691.0</t>
  </si>
  <si>
    <t xml:space="preserve">               7,814</t>
  </si>
  <si>
    <t xml:space="preserve">             642,708.9</t>
  </si>
  <si>
    <t xml:space="preserve">             210,222</t>
  </si>
  <si>
    <t xml:space="preserve">            -202,408</t>
  </si>
  <si>
    <t xml:space="preserve">                  57.3</t>
  </si>
  <si>
    <t xml:space="preserve">                -405</t>
  </si>
  <si>
    <t xml:space="preserve">                  64</t>
  </si>
  <si>
    <t xml:space="preserve">                 312.4</t>
  </si>
  <si>
    <t xml:space="preserve">              -1,704</t>
  </si>
  <si>
    <t xml:space="preserve">              41,003.6</t>
  </si>
  <si>
    <t xml:space="preserve">             252,182.0</t>
  </si>
  <si>
    <t xml:space="preserve">             130,938</t>
  </si>
  <si>
    <t xml:space="preserve">            -123,044</t>
  </si>
  <si>
    <t xml:space="preserve">             240,429.0</t>
  </si>
  <si>
    <t xml:space="preserve">             247,355</t>
  </si>
  <si>
    <t xml:space="preserve">             137,438.2</t>
  </si>
  <si>
    <t xml:space="preserve">             197,258</t>
  </si>
  <si>
    <t xml:space="preserve">              50,098</t>
  </si>
  <si>
    <t xml:space="preserve">               8,434.5</t>
  </si>
  <si>
    <t xml:space="preserve">              56,112</t>
  </si>
  <si>
    <t xml:space="preserve">               1,308.1</t>
  </si>
  <si>
    <t xml:space="preserve">              27,119</t>
  </si>
  <si>
    <t xml:space="preserve">               2,521</t>
  </si>
  <si>
    <t xml:space="preserve">                  29.8</t>
  </si>
  <si>
    <t xml:space="preserve">               2,719</t>
  </si>
  <si>
    <t xml:space="preserve">                -198</t>
  </si>
  <si>
    <t xml:space="preserve">                 296.4</t>
  </si>
  <si>
    <t xml:space="preserve">                 750.0</t>
  </si>
  <si>
    <t xml:space="preserve">              22,236</t>
  </si>
  <si>
    <t xml:space="preserve">             -17,036</t>
  </si>
  <si>
    <t xml:space="preserve">               2,823.0</t>
  </si>
  <si>
    <t xml:space="preserve">              24,752</t>
  </si>
  <si>
    <t xml:space="preserve">              18,141.4</t>
  </si>
  <si>
    <t xml:space="preserve">              59,198</t>
  </si>
  <si>
    <t xml:space="preserve">             -34,446</t>
  </si>
  <si>
    <t xml:space="preserve">                  14.6</t>
  </si>
  <si>
    <t xml:space="preserve">               1,001.8</t>
  </si>
  <si>
    <t xml:space="preserve">               3,302</t>
  </si>
  <si>
    <t xml:space="preserve">              -3,145</t>
  </si>
  <si>
    <t xml:space="preserve">              21,489.6</t>
  </si>
  <si>
    <t xml:space="preserve">             149,027</t>
  </si>
  <si>
    <t xml:space="preserve">              78,495</t>
  </si>
  <si>
    <t xml:space="preserve">              70,532</t>
  </si>
  <si>
    <t xml:space="preserve">              45,906.0</t>
  </si>
  <si>
    <t xml:space="preserve">              92,749</t>
  </si>
  <si>
    <t xml:space="preserve">              12,834.0</t>
  </si>
  <si>
    <t xml:space="preserve">              49,222</t>
  </si>
  <si>
    <t xml:space="preserve">              43,528</t>
  </si>
  <si>
    <t xml:space="preserve">              10,893.8</t>
  </si>
  <si>
    <t xml:space="preserve">              72,942</t>
  </si>
  <si>
    <t xml:space="preserve">              20,922.2</t>
  </si>
  <si>
    <t xml:space="preserve">              66,083</t>
  </si>
  <si>
    <t xml:space="preserve">               6,859</t>
  </si>
  <si>
    <t xml:space="preserve">                 628.2</t>
  </si>
  <si>
    <t xml:space="preserve">               5,590</t>
  </si>
  <si>
    <t xml:space="preserve">               4,936.7</t>
  </si>
  <si>
    <t xml:space="preserve">               9,277</t>
  </si>
  <si>
    <t xml:space="preserve">              -3,687</t>
  </si>
  <si>
    <t xml:space="preserve">               1,343.0</t>
  </si>
  <si>
    <t xml:space="preserve">              16,016</t>
  </si>
  <si>
    <t xml:space="preserve">                 970.6</t>
  </si>
  <si>
    <t xml:space="preserve">               7,873</t>
  </si>
  <si>
    <t xml:space="preserve">               8,143</t>
  </si>
  <si>
    <t xml:space="preserve">              10,222.8</t>
  </si>
  <si>
    <t xml:space="preserve">             106,289</t>
  </si>
  <si>
    <t xml:space="preserve">               5,671.2</t>
  </si>
  <si>
    <t xml:space="preserve">              34,327</t>
  </si>
  <si>
    <t xml:space="preserve">              71,962</t>
  </si>
  <si>
    <t xml:space="preserve">              16,081.7</t>
  </si>
  <si>
    <t xml:space="preserve">               1,631.2</t>
  </si>
  <si>
    <t xml:space="preserve">               9,195</t>
  </si>
  <si>
    <t xml:space="preserve">             115,044</t>
  </si>
  <si>
    <t xml:space="preserve">               2,384.8</t>
  </si>
  <si>
    <t xml:space="preserve">              72,526</t>
  </si>
  <si>
    <t xml:space="preserve">              18,566.6</t>
  </si>
  <si>
    <t xml:space="preserve">             404,471</t>
  </si>
  <si>
    <t xml:space="preserve">            -331,944</t>
  </si>
  <si>
    <t xml:space="preserve">               2,631.2</t>
  </si>
  <si>
    <t xml:space="preserve">              70,420</t>
  </si>
  <si>
    <t xml:space="preserve">              17,509.5</t>
  </si>
  <si>
    <t xml:space="preserve">             553,580</t>
  </si>
  <si>
    <t xml:space="preserve">            -483,160</t>
  </si>
  <si>
    <t xml:space="preserve">              26,544.9</t>
  </si>
  <si>
    <t xml:space="preserve">              46,246</t>
  </si>
  <si>
    <t xml:space="preserve">              26,480.6</t>
  </si>
  <si>
    <t xml:space="preserve">             118,350</t>
  </si>
  <si>
    <t xml:space="preserve">             -72,104</t>
  </si>
  <si>
    <t xml:space="preserve">               1,447.8</t>
  </si>
  <si>
    <t xml:space="preserve">              34,889</t>
  </si>
  <si>
    <t xml:space="preserve">              10,467.0</t>
  </si>
  <si>
    <t xml:space="preserve">             295,391</t>
  </si>
  <si>
    <t xml:space="preserve">            -260,502</t>
  </si>
  <si>
    <t xml:space="preserve">                 266.2</t>
  </si>
  <si>
    <t xml:space="preserve">              12,728</t>
  </si>
  <si>
    <t xml:space="preserve">                 937.2</t>
  </si>
  <si>
    <t xml:space="preserve">              26,525</t>
  </si>
  <si>
    <t xml:space="preserve">             -13,797</t>
  </si>
  <si>
    <t xml:space="preserve">                  16.9</t>
  </si>
  <si>
    <t xml:space="preserve">               1,027</t>
  </si>
  <si>
    <t xml:space="preserve">               2,397.5</t>
  </si>
  <si>
    <t xml:space="preserve">              16,510</t>
  </si>
  <si>
    <t xml:space="preserve">             -15,483</t>
  </si>
  <si>
    <t xml:space="preserve">               1,988</t>
  </si>
  <si>
    <t xml:space="preserve">                 430.6</t>
  </si>
  <si>
    <t xml:space="preserve">               8,729</t>
  </si>
  <si>
    <t xml:space="preserve">              -6,741</t>
  </si>
  <si>
    <t xml:space="preserve">              11,523.0</t>
  </si>
  <si>
    <t xml:space="preserve">              99,365</t>
  </si>
  <si>
    <t xml:space="preserve">             145,815.9</t>
  </si>
  <si>
    <t xml:space="preserve">             102,613</t>
  </si>
  <si>
    <t xml:space="preserve">              -3,248</t>
  </si>
  <si>
    <t xml:space="preserve">               2,880.6</t>
  </si>
  <si>
    <t xml:space="preserve">              31,437</t>
  </si>
  <si>
    <t xml:space="preserve">             109,509.8</t>
  </si>
  <si>
    <t xml:space="preserve">             130,432</t>
  </si>
  <si>
    <t xml:space="preserve">             -98,995</t>
  </si>
  <si>
    <t xml:space="preserve">              32,840.6</t>
  </si>
  <si>
    <t xml:space="preserve">             159,437</t>
  </si>
  <si>
    <t xml:space="preserve">             102,595.3</t>
  </si>
  <si>
    <t xml:space="preserve">             259,589</t>
  </si>
  <si>
    <t xml:space="preserve">            -100,152</t>
  </si>
  <si>
    <t xml:space="preserve">                 603.3</t>
  </si>
  <si>
    <t xml:space="preserve">           1,228,775</t>
  </si>
  <si>
    <t xml:space="preserve">               1,924.4</t>
  </si>
  <si>
    <t xml:space="preserve">             951,534</t>
  </si>
  <si>
    <t xml:space="preserve">             277,241</t>
  </si>
  <si>
    <t xml:space="preserve">           2,284,022.7</t>
  </si>
  <si>
    <t xml:space="preserve">           2,098,527</t>
  </si>
  <si>
    <t xml:space="preserve">           1,279,055.5</t>
  </si>
  <si>
    <t xml:space="preserve">           1,075,739</t>
  </si>
  <si>
    <t xml:space="preserve">           1,022,788</t>
  </si>
  <si>
    <t xml:space="preserve">             583,560.9</t>
  </si>
  <si>
    <t xml:space="preserve">             934,992</t>
  </si>
  <si>
    <t xml:space="preserve">             241,963.9</t>
  </si>
  <si>
    <t xml:space="preserve">             685,962</t>
  </si>
  <si>
    <t xml:space="preserve">             249,030</t>
  </si>
  <si>
    <t xml:space="preserve">              57,717.3</t>
  </si>
  <si>
    <t xml:space="preserve">             800,081</t>
  </si>
  <si>
    <t xml:space="preserve">              76,658.8</t>
  </si>
  <si>
    <t xml:space="preserve">           1,075,927</t>
  </si>
  <si>
    <t xml:space="preserve">            -275,846</t>
  </si>
  <si>
    <t xml:space="preserve">               1,338.1</t>
  </si>
  <si>
    <t xml:space="preserve">              33,480</t>
  </si>
  <si>
    <t xml:space="preserve">               6,207.1</t>
  </si>
  <si>
    <t xml:space="preserve">             145,781</t>
  </si>
  <si>
    <t xml:space="preserve">            -112,301</t>
  </si>
  <si>
    <t xml:space="preserve">             131,459.2</t>
  </si>
  <si>
    <t xml:space="preserve">             628,463</t>
  </si>
  <si>
    <t xml:space="preserve">             299,764.7</t>
  </si>
  <si>
    <t xml:space="preserve">           1,146,443</t>
  </si>
  <si>
    <t xml:space="preserve">            -517,980</t>
  </si>
  <si>
    <t xml:space="preserve">              31,346.6</t>
  </si>
  <si>
    <t xml:space="preserve">              72,623</t>
  </si>
  <si>
    <t xml:space="preserve">              14,370.2</t>
  </si>
  <si>
    <t xml:space="preserve">              37,108</t>
  </si>
  <si>
    <t xml:space="preserve">              35,515</t>
  </si>
  <si>
    <t xml:space="preserve">              30,006.3</t>
  </si>
  <si>
    <t xml:space="preserve">             111,921</t>
  </si>
  <si>
    <t xml:space="preserve">               2,768.3</t>
  </si>
  <si>
    <t xml:space="preserve">              11,711</t>
  </si>
  <si>
    <t xml:space="preserve">             100,211</t>
  </si>
  <si>
    <t xml:space="preserve">                 115.0</t>
  </si>
  <si>
    <t xml:space="preserve">               8,423</t>
  </si>
  <si>
    <t xml:space="preserve">               1,222.2</t>
  </si>
  <si>
    <t xml:space="preserve">              68,818</t>
  </si>
  <si>
    <t xml:space="preserve">             -60,396</t>
  </si>
  <si>
    <t xml:space="preserve">               3,087.9</t>
  </si>
  <si>
    <t xml:space="preserve">              84,705</t>
  </si>
  <si>
    <t xml:space="preserve">              12,930.7</t>
  </si>
  <si>
    <t xml:space="preserve">             199,227</t>
  </si>
  <si>
    <t xml:space="preserve">            -114,522</t>
  </si>
  <si>
    <t xml:space="preserve">              14,124.1</t>
  </si>
  <si>
    <t xml:space="preserve">             246,151</t>
  </si>
  <si>
    <t xml:space="preserve">               5,753.5</t>
  </si>
  <si>
    <t xml:space="preserve">             106,271</t>
  </si>
  <si>
    <t xml:space="preserve">              26,062.1</t>
  </si>
  <si>
    <t xml:space="preserve">             152,751</t>
  </si>
  <si>
    <t xml:space="preserve">              11,476.0</t>
  </si>
  <si>
    <t xml:space="preserve">              83,099</t>
  </si>
  <si>
    <t xml:space="preserve">              69,652</t>
  </si>
  <si>
    <t xml:space="preserve">             453,635.0</t>
  </si>
  <si>
    <t xml:space="preserve">          13,644,786</t>
  </si>
  <si>
    <t xml:space="preserve">             244,191.0</t>
  </si>
  <si>
    <t xml:space="preserve">           8,719,307</t>
  </si>
  <si>
    <t xml:space="preserve">           4,925,478</t>
  </si>
  <si>
    <t xml:space="preserve">             248,059.2</t>
  </si>
  <si>
    <t xml:space="preserve">          45,417,101</t>
  </si>
  <si>
    <t xml:space="preserve">             218,986.5</t>
  </si>
  <si>
    <t xml:space="preserve">          15,122,658</t>
  </si>
  <si>
    <t xml:space="preserve">          30,294,443</t>
  </si>
  <si>
    <t xml:space="preserve">              12,786.3</t>
  </si>
  <si>
    <t xml:space="preserve">              74,952</t>
  </si>
  <si>
    <t xml:space="preserve">              14,557.3</t>
  </si>
  <si>
    <t xml:space="preserve">              61,711</t>
  </si>
  <si>
    <t xml:space="preserve">              13,241</t>
  </si>
  <si>
    <t xml:space="preserve">             771,379.6</t>
  </si>
  <si>
    <t xml:space="preserve">           8,335,789</t>
  </si>
  <si>
    <t xml:space="preserve">             115,722.9</t>
  </si>
  <si>
    <t xml:space="preserve">           1,571,693</t>
  </si>
  <si>
    <t xml:space="preserve">           6,764,095</t>
  </si>
  <si>
    <t xml:space="preserve">               1,756.3</t>
  </si>
  <si>
    <t xml:space="preserve">             307,987</t>
  </si>
  <si>
    <t xml:space="preserve">               1,359.7</t>
  </si>
  <si>
    <t xml:space="preserve">             603,732</t>
  </si>
  <si>
    <t xml:space="preserve">            -295,745</t>
  </si>
  <si>
    <t xml:space="preserve">           1,300,569.4</t>
  </si>
  <si>
    <t xml:space="preserve">           3,066,991</t>
  </si>
  <si>
    <t xml:space="preserve">             968,269.8</t>
  </si>
  <si>
    <t xml:space="preserve">             879,679</t>
  </si>
  <si>
    <t xml:space="preserve">           2,187,312</t>
  </si>
  <si>
    <t xml:space="preserve">              17,254.4</t>
  </si>
  <si>
    <t xml:space="preserve">           1,656,453</t>
  </si>
  <si>
    <t xml:space="preserve">              16,718.5</t>
  </si>
  <si>
    <t xml:space="preserve">           2,407,987</t>
  </si>
  <si>
    <t xml:space="preserve">            -751,534</t>
  </si>
  <si>
    <t xml:space="preserve">              18,077</t>
  </si>
  <si>
    <t xml:space="preserve">                 321.6</t>
  </si>
  <si>
    <t xml:space="preserve">             110,546</t>
  </si>
  <si>
    <t xml:space="preserve">             -92,469</t>
  </si>
  <si>
    <t xml:space="preserve">               9,505</t>
  </si>
  <si>
    <t xml:space="preserve">                 532.3</t>
  </si>
  <si>
    <t xml:space="preserve">              14,239</t>
  </si>
  <si>
    <t xml:space="preserve">              -4,734</t>
  </si>
  <si>
    <t xml:space="preserve">               2,673.5</t>
  </si>
  <si>
    <t xml:space="preserve">             325,608</t>
  </si>
  <si>
    <t xml:space="preserve">                  69.6</t>
  </si>
  <si>
    <t xml:space="preserve">              31,560</t>
  </si>
  <si>
    <t xml:space="preserve">             294,048</t>
  </si>
  <si>
    <t xml:space="preserve">              17,061.0</t>
  </si>
  <si>
    <t xml:space="preserve">             121,196</t>
  </si>
  <si>
    <t xml:space="preserve">              76,716.7</t>
  </si>
  <si>
    <t xml:space="preserve">             325,799</t>
  </si>
  <si>
    <t xml:space="preserve">            -204,603</t>
  </si>
  <si>
    <t xml:space="preserve">               2,876.5</t>
  </si>
  <si>
    <t xml:space="preserve">              69,133</t>
  </si>
  <si>
    <t xml:space="preserve">              17,458.6</t>
  </si>
  <si>
    <t xml:space="preserve">             247,902</t>
  </si>
  <si>
    <t xml:space="preserve">            -178,768</t>
  </si>
  <si>
    <t xml:space="preserve">               2,535.9</t>
  </si>
  <si>
    <t xml:space="preserve">              44,110</t>
  </si>
  <si>
    <t xml:space="preserve">              12,061.8</t>
  </si>
  <si>
    <t xml:space="preserve">             101,761</t>
  </si>
  <si>
    <t xml:space="preserve">             -57,651</t>
  </si>
  <si>
    <t xml:space="preserve">                  17.6</t>
  </si>
  <si>
    <t xml:space="preserve">              15,110</t>
  </si>
  <si>
    <t xml:space="preserve">                  37.5</t>
  </si>
  <si>
    <t xml:space="preserve">              20,791</t>
  </si>
  <si>
    <t xml:space="preserve">              -5,681</t>
  </si>
  <si>
    <t xml:space="preserve">수출입 실적(성질별)</t>
  </si>
  <si>
    <t xml:space="preserve">검색조건  통계항목 : 성질별, 성질명 : 수출, 전체, 세부성질 유무 : 무, 조회기간 : 202401  ~ 202607 , 통계기준 : 수리일, 중량단위 : 톤</t>
  </si>
  <si>
    <t xml:space="preserve">수출입구분</t>
  </si>
  <si>
    <t xml:space="preserve">성질명</t>
  </si>
  <si>
    <t xml:space="preserve">중량</t>
  </si>
  <si>
    <t xml:space="preserve">금액</t>
  </si>
  <si>
    <t xml:space="preserve">수출</t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</si>
  <si>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식료 및 직접소비재</t>
    </r>
  </si>
  <si>
    <t xml:space="preserve">             300,432.1</t>
  </si>
  <si>
    <t xml:space="preserve">             861,851</t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</si>
  <si>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원료 및 연료</t>
    </r>
  </si>
  <si>
    <t xml:space="preserve">           6,905,534.8</t>
  </si>
  <si>
    <t xml:space="preserve">           5,596,612</t>
  </si>
  <si>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경공업품</t>
    </r>
  </si>
  <si>
    <t xml:space="preserve">             831,132.2</t>
  </si>
  <si>
    <t xml:space="preserve">           2,738,143</t>
  </si>
  <si>
    <t xml:space="preserve">가. 섬유원료</t>
  </si>
  <si>
    <t xml:space="preserve">              63,223.8</t>
  </si>
  <si>
    <t xml:space="preserve">              94,714</t>
  </si>
  <si>
    <t xml:space="preserve">나. 섬유사</t>
  </si>
  <si>
    <t xml:space="preserve">              21,325.1</t>
  </si>
  <si>
    <t xml:space="preserve">              72,562</t>
  </si>
  <si>
    <t xml:space="preserve">다. 직 물</t>
  </si>
  <si>
    <t xml:space="preserve">              30,569.4</t>
  </si>
  <si>
    <t xml:space="preserve">             292,221</t>
  </si>
  <si>
    <t xml:space="preserve">라. 기타 섬유제품</t>
  </si>
  <si>
    <t xml:space="preserve">              21,795.8</t>
  </si>
  <si>
    <t xml:space="preserve">             183,169</t>
  </si>
  <si>
    <t xml:space="preserve">마. 의 류</t>
  </si>
  <si>
    <t xml:space="preserve">             166,152</t>
  </si>
  <si>
    <t xml:space="preserve">바. 목제품</t>
  </si>
  <si>
    <t xml:space="preserve">              17,007.4</t>
  </si>
  <si>
    <t xml:space="preserve">              94,566</t>
  </si>
  <si>
    <t xml:space="preserve">사. 가죽, 고무 및 신발류</t>
  </si>
  <si>
    <t xml:space="preserve">              76,231.1</t>
  </si>
  <si>
    <t xml:space="preserve">아. 귀금속 및 보석류</t>
  </si>
  <si>
    <t xml:space="preserve">                 323.0</t>
  </si>
  <si>
    <t xml:space="preserve">             196,258</t>
  </si>
  <si>
    <t xml:space="preserve">자. 기타 비금속 광물제품</t>
  </si>
  <si>
    <t xml:space="preserve">             225,540.0</t>
  </si>
  <si>
    <t xml:space="preserve">             220,807</t>
  </si>
  <si>
    <t xml:space="preserve">차. 완구, 운동용구 및 악기</t>
  </si>
  <si>
    <t xml:space="preserve">               2,158.3</t>
  </si>
  <si>
    <t xml:space="preserve">              45,543</t>
  </si>
  <si>
    <t xml:space="preserve">카. 기 타</t>
  </si>
  <si>
    <t xml:space="preserve">             367,091.9</t>
  </si>
  <si>
    <t xml:space="preserve">             939,597</t>
  </si>
  <si>
    <r>
      <rPr>
        <sz val="10"/>
        <rFont val="맑은 고딕"/>
        <family val="0"/>
        <charset val="1"/>
      </rPr>
      <t xml:space="preserve">4. </t>
    </r>
    <r>
      <rPr>
        <sz val="10"/>
        <rFont val="WenQuanYi Zen Hei"/>
        <family val="2"/>
      </rPr>
      <t xml:space="preserve">중화학 공업품</t>
    </r>
  </si>
  <si>
    <t xml:space="preserve">           9,068,691.6</t>
  </si>
  <si>
    <t xml:space="preserve">          45,513,218</t>
  </si>
  <si>
    <t xml:space="preserve">가. 화공품</t>
  </si>
  <si>
    <t xml:space="preserve">           3,913,139.2</t>
  </si>
  <si>
    <t xml:space="preserve">           7,120,850</t>
  </si>
  <si>
    <t xml:space="preserve">나. 철강제품</t>
  </si>
  <si>
    <t xml:space="preserve">           2,655,827.0</t>
  </si>
  <si>
    <t xml:space="preserve">           4,038,358</t>
  </si>
  <si>
    <t xml:space="preserve">다. 기계류와 정밀기기</t>
  </si>
  <si>
    <t xml:space="preserve">             369,569.1</t>
  </si>
  <si>
    <t xml:space="preserve">           5,908,987</t>
  </si>
  <si>
    <t xml:space="preserve">라. 전기, 전자제품</t>
  </si>
  <si>
    <t xml:space="preserve">             226,091.0</t>
  </si>
  <si>
    <t xml:space="preserve">          15,941,237</t>
  </si>
  <si>
    <t xml:space="preserve">마. 수송장비</t>
  </si>
  <si>
    <t xml:space="preserve">           1,842,881.5</t>
  </si>
  <si>
    <t xml:space="preserve">          10,760,159</t>
  </si>
  <si>
    <t xml:space="preserve">바. 기 타</t>
  </si>
  <si>
    <t xml:space="preserve">              61,183.8</t>
  </si>
  <si>
    <t xml:space="preserve">           1,743,627</t>
  </si>
  <si>
    <t xml:space="preserve">             297,882.3</t>
  </si>
  <si>
    <t xml:space="preserve">             853,231</t>
  </si>
  <si>
    <t xml:space="preserve">           6,269,085.4</t>
  </si>
  <si>
    <t xml:space="preserve">           5,192,129</t>
  </si>
  <si>
    <t xml:space="preserve">             886,232.8</t>
  </si>
  <si>
    <t xml:space="preserve">           2,566,551</t>
  </si>
  <si>
    <t xml:space="preserve">              56,489.5</t>
  </si>
  <si>
    <t xml:space="preserve">              83,514</t>
  </si>
  <si>
    <t xml:space="preserve">              20,047.0</t>
  </si>
  <si>
    <t xml:space="preserve">              67,359</t>
  </si>
  <si>
    <t xml:space="preserve">              29,941.2</t>
  </si>
  <si>
    <t xml:space="preserve">             287,868</t>
  </si>
  <si>
    <t xml:space="preserve">              22,711.4</t>
  </si>
  <si>
    <t xml:space="preserve">             192,533</t>
  </si>
  <si>
    <t xml:space="preserve">               4,922.0</t>
  </si>
  <si>
    <t xml:space="preserve">             134,531</t>
  </si>
  <si>
    <t xml:space="preserve">              16,486.3</t>
  </si>
  <si>
    <t xml:space="preserve">              87,931</t>
  </si>
  <si>
    <t xml:space="preserve">              69,961.5</t>
  </si>
  <si>
    <t xml:space="preserve">             392,673</t>
  </si>
  <si>
    <t xml:space="preserve">                 383.6</t>
  </si>
  <si>
    <t xml:space="preserve">             199,678</t>
  </si>
  <si>
    <t xml:space="preserve">             297,984.0</t>
  </si>
  <si>
    <t xml:space="preserve">             188,211</t>
  </si>
  <si>
    <t xml:space="preserve">               2,137.3</t>
  </si>
  <si>
    <t xml:space="preserve">              41,225</t>
  </si>
  <si>
    <t xml:space="preserve">             365,168.9</t>
  </si>
  <si>
    <t xml:space="preserve">             891,029</t>
  </si>
  <si>
    <t xml:space="preserve">           8,225,785.3</t>
  </si>
  <si>
    <t xml:space="preserve">          43,464,479</t>
  </si>
  <si>
    <t xml:space="preserve">           3,770,916.6</t>
  </si>
  <si>
    <t xml:space="preserve">           7,006,963</t>
  </si>
  <si>
    <t xml:space="preserve">           2,580,204.9</t>
  </si>
  <si>
    <t xml:space="preserve">           3,855,480</t>
  </si>
  <si>
    <t xml:space="preserve">             398,722.8</t>
  </si>
  <si>
    <t xml:space="preserve">           5,911,105</t>
  </si>
  <si>
    <t xml:space="preserve">             244,887.8</t>
  </si>
  <si>
    <t xml:space="preserve">          16,240,903</t>
  </si>
  <si>
    <t xml:space="preserve">           1,173,041.6</t>
  </si>
  <si>
    <t xml:space="preserve">           9,064,732</t>
  </si>
  <si>
    <t xml:space="preserve">              58,011.6</t>
  </si>
  <si>
    <t xml:space="preserve">           1,385,297</t>
  </si>
  <si>
    <t xml:space="preserve">             308,909.4</t>
  </si>
  <si>
    <t xml:space="preserve">             928,955</t>
  </si>
  <si>
    <t xml:space="preserve">           6,594,251.8</t>
  </si>
  <si>
    <t xml:space="preserve">           5,410,466</t>
  </si>
  <si>
    <t xml:space="preserve">             783,291.3</t>
  </si>
  <si>
    <t xml:space="preserve">           2,787,145</t>
  </si>
  <si>
    <t xml:space="preserve">              61,218.1</t>
  </si>
  <si>
    <t xml:space="preserve">              91,364</t>
  </si>
  <si>
    <t xml:space="preserve">              20,281.4</t>
  </si>
  <si>
    <t xml:space="preserve">              73,271</t>
  </si>
  <si>
    <t xml:space="preserve">              31,776.2</t>
  </si>
  <si>
    <t xml:space="preserve">             299,002</t>
  </si>
  <si>
    <t xml:space="preserve">              23,551.1</t>
  </si>
  <si>
    <t xml:space="preserve">             192,329</t>
  </si>
  <si>
    <t xml:space="preserve">               5,489.1</t>
  </si>
  <si>
    <t xml:space="preserve">             154,470</t>
  </si>
  <si>
    <t xml:space="preserve">              16,486.1</t>
  </si>
  <si>
    <t xml:space="preserve">              97,356</t>
  </si>
  <si>
    <t xml:space="preserve">              76,127.6</t>
  </si>
  <si>
    <t xml:space="preserve">             418,480</t>
  </si>
  <si>
    <t xml:space="preserve">                 315.9</t>
  </si>
  <si>
    <t xml:space="preserve">             176,733</t>
  </si>
  <si>
    <t xml:space="preserve">             157,757.4</t>
  </si>
  <si>
    <t xml:space="preserve">             199,421</t>
  </si>
  <si>
    <t xml:space="preserve">               2,637.4</t>
  </si>
  <si>
    <t xml:space="preserve">              47,791</t>
  </si>
  <si>
    <t xml:space="preserve">             387,651.1</t>
  </si>
  <si>
    <t xml:space="preserve">           1,036,927</t>
  </si>
  <si>
    <t xml:space="preserve">           9,119,179.0</t>
  </si>
  <si>
    <t xml:space="preserve">          47,391,743</t>
  </si>
  <si>
    <t xml:space="preserve">           3,751,282.5</t>
  </si>
  <si>
    <t xml:space="preserve">           7,094,482</t>
  </si>
  <si>
    <t xml:space="preserve">           2,697,390.6</t>
  </si>
  <si>
    <t xml:space="preserve">           4,088,495</t>
  </si>
  <si>
    <t xml:space="preserve">             375,224.1</t>
  </si>
  <si>
    <t xml:space="preserve">           5,975,535</t>
  </si>
  <si>
    <t xml:space="preserve">             240,057.0</t>
  </si>
  <si>
    <t xml:space="preserve">          18,465,510</t>
  </si>
  <si>
    <t xml:space="preserve">           1,989,735.1</t>
  </si>
  <si>
    <t xml:space="preserve">          10,303,783</t>
  </si>
  <si>
    <t xml:space="preserve">              65,489.7</t>
  </si>
  <si>
    <t xml:space="preserve">           1,463,938</t>
  </si>
  <si>
    <t xml:space="preserve">             385,494.3</t>
  </si>
  <si>
    <t xml:space="preserve">           1,036,998</t>
  </si>
  <si>
    <t xml:space="preserve">           6,081,974.5</t>
  </si>
  <si>
    <t xml:space="preserve">           5,106,982</t>
  </si>
  <si>
    <t xml:space="preserve">             908,341.0</t>
  </si>
  <si>
    <t xml:space="preserve">           3,119,443</t>
  </si>
  <si>
    <t xml:space="preserve">              64,470.5</t>
  </si>
  <si>
    <t xml:space="preserve">              97,972</t>
  </si>
  <si>
    <t xml:space="preserve">              21,659.0</t>
  </si>
  <si>
    <t xml:space="preserve">              78,308</t>
  </si>
  <si>
    <t xml:space="preserve">              33,907.8</t>
  </si>
  <si>
    <t xml:space="preserve">             329,510</t>
  </si>
  <si>
    <t xml:space="preserve">              25,548.0</t>
  </si>
  <si>
    <t xml:space="preserve">             212,715</t>
  </si>
  <si>
    <t xml:space="preserve">               5,926.5</t>
  </si>
  <si>
    <t xml:space="preserve">             159,754</t>
  </si>
  <si>
    <t xml:space="preserve">              16,811.0</t>
  </si>
  <si>
    <t xml:space="preserve">             100,550</t>
  </si>
  <si>
    <t xml:space="preserve">              79,955.4</t>
  </si>
  <si>
    <t xml:space="preserve">             442,402</t>
  </si>
  <si>
    <t xml:space="preserve">             246,870</t>
  </si>
  <si>
    <t xml:space="preserve">             241,281.3</t>
  </si>
  <si>
    <t xml:space="preserve">             213,583</t>
  </si>
  <si>
    <t xml:space="preserve">               2,266.5</t>
  </si>
  <si>
    <t xml:space="preserve">              46,361</t>
  </si>
  <si>
    <t xml:space="preserve">             416,129.3</t>
  </si>
  <si>
    <t xml:space="preserve">           1,191,419</t>
  </si>
  <si>
    <t xml:space="preserve">           9,115,679.5</t>
  </si>
  <si>
    <t xml:space="preserve">          46,884,877</t>
  </si>
  <si>
    <t xml:space="preserve">           4,084,776.5</t>
  </si>
  <si>
    <t xml:space="preserve">           7,565,509</t>
  </si>
  <si>
    <t xml:space="preserve">           2,533,453.2</t>
  </si>
  <si>
    <t xml:space="preserve">           4,043,924</t>
  </si>
  <si>
    <t xml:space="preserve">             390,424.2</t>
  </si>
  <si>
    <t xml:space="preserve">           6,330,074</t>
  </si>
  <si>
    <t xml:space="preserve">             239,050.4</t>
  </si>
  <si>
    <t xml:space="preserve">          16,640,970</t>
  </si>
  <si>
    <t xml:space="preserve">           1,794,428.2</t>
  </si>
  <si>
    <t xml:space="preserve">          10,494,776</t>
  </si>
  <si>
    <t xml:space="preserve">              73,547.0</t>
  </si>
  <si>
    <t xml:space="preserve">           1,809,623</t>
  </si>
  <si>
    <t xml:space="preserve">             383,248.5</t>
  </si>
  <si>
    <t xml:space="preserve">             975,287</t>
  </si>
  <si>
    <t xml:space="preserve">           6,655,505.0</t>
  </si>
  <si>
    <t xml:space="preserve">           5,465,061</t>
  </si>
  <si>
    <t xml:space="preserve">             944,399.7</t>
  </si>
  <si>
    <t xml:space="preserve">           3,134,334</t>
  </si>
  <si>
    <t xml:space="preserve">              61,721.8</t>
  </si>
  <si>
    <t xml:space="preserve">              94,565</t>
  </si>
  <si>
    <t xml:space="preserve">              21,290.7</t>
  </si>
  <si>
    <t xml:space="preserve">              75,399</t>
  </si>
  <si>
    <t xml:space="preserve">              33,725.7</t>
  </si>
  <si>
    <t xml:space="preserve">             336,529</t>
  </si>
  <si>
    <t xml:space="preserve">              25,679.5</t>
  </si>
  <si>
    <t xml:space="preserve">             219,371</t>
  </si>
  <si>
    <t xml:space="preserve">               6,607.0</t>
  </si>
  <si>
    <t xml:space="preserve">             172,054</t>
  </si>
  <si>
    <t xml:space="preserve">              18,432.3</t>
  </si>
  <si>
    <t xml:space="preserve">             102,027</t>
  </si>
  <si>
    <t xml:space="preserve">              82,634.6</t>
  </si>
  <si>
    <t xml:space="preserve">             482,295</t>
  </si>
  <si>
    <t xml:space="preserve">             376,118</t>
  </si>
  <si>
    <t xml:space="preserve">             281,269.4</t>
  </si>
  <si>
    <t xml:space="preserve">             219,572</t>
  </si>
  <si>
    <t xml:space="preserve">               2,245.7</t>
  </si>
  <si>
    <t xml:space="preserve">              46,762</t>
  </si>
  <si>
    <t xml:space="preserve">             410,358.5</t>
  </si>
  <si>
    <t xml:space="preserve">           1,009,640</t>
  </si>
  <si>
    <t xml:space="preserve">           8,810,645.2</t>
  </si>
  <si>
    <t xml:space="preserve">          48,445,875</t>
  </si>
  <si>
    <t xml:space="preserve">           3,749,384.8</t>
  </si>
  <si>
    <t xml:space="preserve">           7,205,886</t>
  </si>
  <si>
    <t xml:space="preserve">           2,692,849.2</t>
  </si>
  <si>
    <t xml:space="preserve">           4,187,795</t>
  </si>
  <si>
    <t xml:space="preserve">             383,330.3</t>
  </si>
  <si>
    <t xml:space="preserve">           6,193,310</t>
  </si>
  <si>
    <t xml:space="preserve">             235,543.8</t>
  </si>
  <si>
    <t xml:space="preserve">          18,659,897</t>
  </si>
  <si>
    <t xml:space="preserve">           1,679,409.9</t>
  </si>
  <si>
    <t xml:space="preserve">          10,582,428</t>
  </si>
  <si>
    <t xml:space="preserve">              70,127.2</t>
  </si>
  <si>
    <t xml:space="preserve">           1,616,560</t>
  </si>
  <si>
    <t xml:space="preserve">             326,543.1</t>
  </si>
  <si>
    <t xml:space="preserve">             938,120</t>
  </si>
  <si>
    <t xml:space="preserve">           5,535,064.9</t>
  </si>
  <si>
    <t xml:space="preserve">           4,622,158</t>
  </si>
  <si>
    <t xml:space="preserve">             753,610.0</t>
  </si>
  <si>
    <t xml:space="preserve">           2,809,892</t>
  </si>
  <si>
    <t xml:space="preserve">              56,753.5</t>
  </si>
  <si>
    <t xml:space="preserve">              87,722</t>
  </si>
  <si>
    <t xml:space="preserve">              19,513.8</t>
  </si>
  <si>
    <t xml:space="preserve">              70,190</t>
  </si>
  <si>
    <t xml:space="preserve">              31,694.9</t>
  </si>
  <si>
    <t xml:space="preserve">             301,150</t>
  </si>
  <si>
    <t xml:space="preserve">              23,982.3</t>
  </si>
  <si>
    <t xml:space="preserve">             196,552</t>
  </si>
  <si>
    <t xml:space="preserve">               5,872.4</t>
  </si>
  <si>
    <t xml:space="preserve">             160,527</t>
  </si>
  <si>
    <t xml:space="preserve">              16,131.6</t>
  </si>
  <si>
    <t xml:space="preserve">              91,673</t>
  </si>
  <si>
    <t xml:space="preserve">              75,921.1</t>
  </si>
  <si>
    <t xml:space="preserve">             443,004</t>
  </si>
  <si>
    <t xml:space="preserve">                 337.8</t>
  </si>
  <si>
    <t xml:space="preserve">             272,507</t>
  </si>
  <si>
    <t xml:space="preserve">             160,383.5</t>
  </si>
  <si>
    <t xml:space="preserve">             207,037</t>
  </si>
  <si>
    <t xml:space="preserve">               2,399.2</t>
  </si>
  <si>
    <t xml:space="preserve">              50,304</t>
  </si>
  <si>
    <t xml:space="preserve">             360,619.9</t>
  </si>
  <si>
    <t xml:space="preserve">             929,225</t>
  </si>
  <si>
    <t xml:space="preserve">           8,026,216.6</t>
  </si>
  <si>
    <t xml:space="preserve">          48,971,465</t>
  </si>
  <si>
    <t xml:space="preserve">           3,464,201.6</t>
  </si>
  <si>
    <t xml:space="preserve">           6,898,380</t>
  </si>
  <si>
    <t xml:space="preserve">           2,434,675.6</t>
  </si>
  <si>
    <t xml:space="preserve">           3,802,935</t>
  </si>
  <si>
    <t xml:space="preserve">             349,681.7</t>
  </si>
  <si>
    <t xml:space="preserve">           5,993,618</t>
  </si>
  <si>
    <t xml:space="preserve">             243,247.4</t>
  </si>
  <si>
    <t xml:space="preserve">          20,880,679</t>
  </si>
  <si>
    <t xml:space="preserve">           1,469,690.8</t>
  </si>
  <si>
    <t xml:space="preserve">           9,662,518</t>
  </si>
  <si>
    <t xml:space="preserve">              64,719.5</t>
  </si>
  <si>
    <t xml:space="preserve">           1,733,335</t>
  </si>
  <si>
    <t xml:space="preserve">             378,558.3</t>
  </si>
  <si>
    <t xml:space="preserve">           1,035,638</t>
  </si>
  <si>
    <t xml:space="preserve">           6,609,524.7</t>
  </si>
  <si>
    <t xml:space="preserve">           5,451,035</t>
  </si>
  <si>
    <t xml:space="preserve">             969,268.5</t>
  </si>
  <si>
    <t xml:space="preserve">           3,073,707</t>
  </si>
  <si>
    <t xml:space="preserve">              57,537.9</t>
  </si>
  <si>
    <t xml:space="preserve">              91,884</t>
  </si>
  <si>
    <t xml:space="preserve">              21,010.5</t>
  </si>
  <si>
    <t xml:space="preserve">              71,326</t>
  </si>
  <si>
    <t xml:space="preserve">              33,737.0</t>
  </si>
  <si>
    <t xml:space="preserve">             315,023</t>
  </si>
  <si>
    <t xml:space="preserve">              24,504.2</t>
  </si>
  <si>
    <t xml:space="preserve">             197,081</t>
  </si>
  <si>
    <t xml:space="preserve">               5,708.6</t>
  </si>
  <si>
    <t xml:space="preserve">             155,386</t>
  </si>
  <si>
    <t xml:space="preserve">              17,529.9</t>
  </si>
  <si>
    <t xml:space="preserve">             103,871</t>
  </si>
  <si>
    <t xml:space="preserve">              86,712.6</t>
  </si>
  <si>
    <t xml:space="preserve">             496,133</t>
  </si>
  <si>
    <t xml:space="preserve">                 410.5</t>
  </si>
  <si>
    <t xml:space="preserve">             374,409</t>
  </si>
  <si>
    <t xml:space="preserve">             358,757.1</t>
  </si>
  <si>
    <t xml:space="preserve">             223,156</t>
  </si>
  <si>
    <t xml:space="preserve">               2,467.3</t>
  </si>
  <si>
    <t xml:space="preserve">              51,807</t>
  </si>
  <si>
    <t xml:space="preserve">             360,892.9</t>
  </si>
  <si>
    <t xml:space="preserve">             993,632</t>
  </si>
  <si>
    <t xml:space="preserve">           8,739,761.8</t>
  </si>
  <si>
    <t xml:space="preserve">          47,898,408</t>
  </si>
  <si>
    <t xml:space="preserve">           4,056,097.1</t>
  </si>
  <si>
    <t xml:space="preserve">           7,186,133</t>
  </si>
  <si>
    <t xml:space="preserve">           2,726,665.7</t>
  </si>
  <si>
    <t xml:space="preserve">           4,164,877</t>
  </si>
  <si>
    <t xml:space="preserve">             394,991.5</t>
  </si>
  <si>
    <t xml:space="preserve">           6,908,720</t>
  </si>
  <si>
    <t xml:space="preserve">             257,011.6</t>
  </si>
  <si>
    <t xml:space="preserve">          19,061,503</t>
  </si>
  <si>
    <t xml:space="preserve">           1,229,784.7</t>
  </si>
  <si>
    <t xml:space="preserve">           8,669,854</t>
  </si>
  <si>
    <t xml:space="preserve">              75,211.3</t>
  </si>
  <si>
    <t xml:space="preserve">           1,907,321</t>
  </si>
  <si>
    <t xml:space="preserve">             343,036.3</t>
  </si>
  <si>
    <t xml:space="preserve">             929,598</t>
  </si>
  <si>
    <t xml:space="preserve">           6,809,193.0</t>
  </si>
  <si>
    <t xml:space="preserve">           5,373,593</t>
  </si>
  <si>
    <t xml:space="preserve">             799,145.8</t>
  </si>
  <si>
    <t xml:space="preserve">           2,859,876</t>
  </si>
  <si>
    <t xml:space="preserve">              56,576.3</t>
  </si>
  <si>
    <t xml:space="preserve">              87,790</t>
  </si>
  <si>
    <t xml:space="preserve">              16,594.1</t>
  </si>
  <si>
    <t xml:space="preserve">              60,140</t>
  </si>
  <si>
    <t xml:space="preserve">              29,216.9</t>
  </si>
  <si>
    <t xml:space="preserve">             279,043</t>
  </si>
  <si>
    <t xml:space="preserve">              21,489.8</t>
  </si>
  <si>
    <t xml:space="preserve">             175,707</t>
  </si>
  <si>
    <t xml:space="preserve">               4,982.3</t>
  </si>
  <si>
    <t xml:space="preserve">             137,210</t>
  </si>
  <si>
    <t xml:space="preserve">              17,578.2</t>
  </si>
  <si>
    <t xml:space="preserve">             100,609</t>
  </si>
  <si>
    <t xml:space="preserve">              69,612.5</t>
  </si>
  <si>
    <t xml:space="preserve">             393,930</t>
  </si>
  <si>
    <t xml:space="preserve">                 366.3</t>
  </si>
  <si>
    <t xml:space="preserve">             332,597</t>
  </si>
  <si>
    <t xml:space="preserve">             250,510.5</t>
  </si>
  <si>
    <t xml:space="preserve">             208,809</t>
  </si>
  <si>
    <t xml:space="preserve">               2,254.8</t>
  </si>
  <si>
    <t xml:space="preserve">              43,816</t>
  </si>
  <si>
    <t xml:space="preserve">             329,964.0</t>
  </si>
  <si>
    <t xml:space="preserve">           1,040,224</t>
  </si>
  <si>
    <t xml:space="preserve">           9,118,665.8</t>
  </si>
  <si>
    <t xml:space="preserve">          48,479,858</t>
  </si>
  <si>
    <t xml:space="preserve">           3,944,880.9</t>
  </si>
  <si>
    <t xml:space="preserve">           7,043,811</t>
  </si>
  <si>
    <t xml:space="preserve">           2,807,605.8</t>
  </si>
  <si>
    <t xml:space="preserve">           4,035,867</t>
  </si>
  <si>
    <t xml:space="preserve">             315,891.5</t>
  </si>
  <si>
    <t xml:space="preserve">           5,736,433</t>
  </si>
  <si>
    <t xml:space="preserve">             218,155.1</t>
  </si>
  <si>
    <t xml:space="preserve">          20,177,487</t>
  </si>
  <si>
    <t xml:space="preserve">           1,768,277.4</t>
  </si>
  <si>
    <t xml:space="preserve">           9,764,559</t>
  </si>
  <si>
    <t xml:space="preserve">              63,855.2</t>
  </si>
  <si>
    <t xml:space="preserve">           1,721,700</t>
  </si>
  <si>
    <t xml:space="preserve">             364,883.3</t>
  </si>
  <si>
    <t xml:space="preserve">             939,280</t>
  </si>
  <si>
    <t xml:space="preserve">           6,560,585.8</t>
  </si>
  <si>
    <t xml:space="preserve">           4,934,553</t>
  </si>
  <si>
    <t xml:space="preserve">             841,415.4</t>
  </si>
  <si>
    <t xml:space="preserve">           2,708,171</t>
  </si>
  <si>
    <t xml:space="preserve">              54,086.5</t>
  </si>
  <si>
    <t xml:space="preserve">              82,621</t>
  </si>
  <si>
    <t xml:space="preserve">              18,155.9</t>
  </si>
  <si>
    <t xml:space="preserve">              61,636</t>
  </si>
  <si>
    <t xml:space="preserve">              28,761.6</t>
  </si>
  <si>
    <t xml:space="preserve">             280,989</t>
  </si>
  <si>
    <t xml:space="preserve">              22,189.5</t>
  </si>
  <si>
    <t xml:space="preserve">             179,477</t>
  </si>
  <si>
    <t xml:space="preserve">               5,500.6</t>
  </si>
  <si>
    <t xml:space="preserve">             149,036</t>
  </si>
  <si>
    <t xml:space="preserve">              15,689.8</t>
  </si>
  <si>
    <t xml:space="preserve">              93,227</t>
  </si>
  <si>
    <t xml:space="preserve">              61,275.2</t>
  </si>
  <si>
    <t xml:space="preserve">             346,236</t>
  </si>
  <si>
    <t xml:space="preserve">             317,311</t>
  </si>
  <si>
    <t xml:space="preserve">             307,448.3</t>
  </si>
  <si>
    <t xml:space="preserve">             197,325</t>
  </si>
  <si>
    <t xml:space="preserve">               2,183.7</t>
  </si>
  <si>
    <t xml:space="preserve">              46,176</t>
  </si>
  <si>
    <t xml:space="preserve">             325,771.7</t>
  </si>
  <si>
    <t xml:space="preserve">             954,138</t>
  </si>
  <si>
    <t xml:space="preserve">           8,682,890.8</t>
  </si>
  <si>
    <t xml:space="preserve">          49,962,689</t>
  </si>
  <si>
    <t xml:space="preserve">           3,813,832.2</t>
  </si>
  <si>
    <t xml:space="preserve">           6,548,541</t>
  </si>
  <si>
    <t xml:space="preserve">           2,672,744.6</t>
  </si>
  <si>
    <t xml:space="preserve">           3,908,378</t>
  </si>
  <si>
    <t xml:space="preserve">             324,404.0</t>
  </si>
  <si>
    <t xml:space="preserve">           5,636,524</t>
  </si>
  <si>
    <t xml:space="preserve">             225,980.8</t>
  </si>
  <si>
    <t xml:space="preserve">          21,993,953</t>
  </si>
  <si>
    <t xml:space="preserve">           1,574,475.3</t>
  </si>
  <si>
    <t xml:space="preserve">           9,692,967</t>
  </si>
  <si>
    <t xml:space="preserve">              71,453.9</t>
  </si>
  <si>
    <t xml:space="preserve">           2,182,327</t>
  </si>
  <si>
    <t xml:space="preserve">             365,730.9</t>
  </si>
  <si>
    <t xml:space="preserve">           1,036,469</t>
  </si>
  <si>
    <t xml:space="preserve">           5,680,479.4</t>
  </si>
  <si>
    <t xml:space="preserve">           4,328,714</t>
  </si>
  <si>
    <t xml:space="preserve">             931,082.8</t>
  </si>
  <si>
    <t xml:space="preserve">           2,763,713</t>
  </si>
  <si>
    <t xml:space="preserve">              55,456.0</t>
  </si>
  <si>
    <t xml:space="preserve">              83,776</t>
  </si>
  <si>
    <t xml:space="preserve">              18,076.9</t>
  </si>
  <si>
    <t xml:space="preserve">              65,883</t>
  </si>
  <si>
    <t xml:space="preserve">              30,532.3</t>
  </si>
  <si>
    <t xml:space="preserve">             294,747</t>
  </si>
  <si>
    <t xml:space="preserve">              22,501.2</t>
  </si>
  <si>
    <t xml:space="preserve">             186,467</t>
  </si>
  <si>
    <t xml:space="preserve">               6,418.1</t>
  </si>
  <si>
    <t xml:space="preserve">             169,441</t>
  </si>
  <si>
    <t xml:space="preserve">              19,070.0</t>
  </si>
  <si>
    <t xml:space="preserve">             110,208</t>
  </si>
  <si>
    <t xml:space="preserve">              68,754.6</t>
  </si>
  <si>
    <t xml:space="preserve">             376,538</t>
  </si>
  <si>
    <t xml:space="preserve">                 362.4</t>
  </si>
  <si>
    <t xml:space="preserve">             218,033</t>
  </si>
  <si>
    <t xml:space="preserve">             333,671.5</t>
  </si>
  <si>
    <t xml:space="preserve">             213,180</t>
  </si>
  <si>
    <t xml:space="preserve">               2,675.6</t>
  </si>
  <si>
    <t xml:space="preserve">              51,830</t>
  </si>
  <si>
    <t xml:space="preserve">             373,564.1</t>
  </si>
  <si>
    <t xml:space="preserve">             993,610</t>
  </si>
  <si>
    <t xml:space="preserve">           9,017,570.5</t>
  </si>
  <si>
    <t xml:space="preserve">          49,371,296</t>
  </si>
  <si>
    <t xml:space="preserve">           3,921,462.8</t>
  </si>
  <si>
    <t xml:space="preserve">           6,714,217</t>
  </si>
  <si>
    <t xml:space="preserve">           2,791,169.4</t>
  </si>
  <si>
    <t xml:space="preserve">           4,074,297</t>
  </si>
  <si>
    <t xml:space="preserve">             325,731.4</t>
  </si>
  <si>
    <t xml:space="preserve">           5,720,320</t>
  </si>
  <si>
    <t xml:space="preserve">             227,819.7</t>
  </si>
  <si>
    <t xml:space="preserve">          20,471,723</t>
  </si>
  <si>
    <t xml:space="preserve">           1,678,487.0</t>
  </si>
  <si>
    <t xml:space="preserve">          10,495,595</t>
  </si>
  <si>
    <t xml:space="preserve">              72,900.2</t>
  </si>
  <si>
    <t xml:space="preserve">           1,895,144</t>
  </si>
  <si>
    <t xml:space="preserve">             357,587.7</t>
  </si>
  <si>
    <t xml:space="preserve">           1,014,150</t>
  </si>
  <si>
    <t xml:space="preserve">           6,088,938.4</t>
  </si>
  <si>
    <t xml:space="preserve">           4,489,618</t>
  </si>
  <si>
    <t xml:space="preserve">             951,042.2</t>
  </si>
  <si>
    <t xml:space="preserve">           2,826,443</t>
  </si>
  <si>
    <t xml:space="preserve">              55,024.7</t>
  </si>
  <si>
    <t xml:space="preserve">              80,443</t>
  </si>
  <si>
    <t xml:space="preserve">              18,110.0</t>
  </si>
  <si>
    <t xml:space="preserve">              65,296</t>
  </si>
  <si>
    <t xml:space="preserve">              32,483.0</t>
  </si>
  <si>
    <t xml:space="preserve">             331,516</t>
  </si>
  <si>
    <t xml:space="preserve">              23,845.7</t>
  </si>
  <si>
    <t xml:space="preserve">             202,634</t>
  </si>
  <si>
    <t xml:space="preserve">               7,366.5</t>
  </si>
  <si>
    <t xml:space="preserve">             190,426</t>
  </si>
  <si>
    <t xml:space="preserve">              17,756.0</t>
  </si>
  <si>
    <t xml:space="preserve">             103,201</t>
  </si>
  <si>
    <t xml:space="preserve">              70,788.1</t>
  </si>
  <si>
    <t xml:space="preserve">             397,070</t>
  </si>
  <si>
    <t xml:space="preserve">                 395.0</t>
  </si>
  <si>
    <t xml:space="preserve">             272,277</t>
  </si>
  <si>
    <t xml:space="preserve">             391,083.4</t>
  </si>
  <si>
    <t xml:space="preserve">             201,483</t>
  </si>
  <si>
    <t xml:space="preserve">               2,326.4</t>
  </si>
  <si>
    <t xml:space="preserve">              48,759</t>
  </si>
  <si>
    <t xml:space="preserve">             331,863.4</t>
  </si>
  <si>
    <t xml:space="preserve">             933,339</t>
  </si>
  <si>
    <t xml:space="preserve">           8,496,387.7</t>
  </si>
  <si>
    <t xml:space="preserve">          47,958,418</t>
  </si>
  <si>
    <t xml:space="preserve">           3,546,544.6</t>
  </si>
  <si>
    <t xml:space="preserve">           6,427,064</t>
  </si>
  <si>
    <t xml:space="preserve">           2,767,476.1</t>
  </si>
  <si>
    <t xml:space="preserve">           3,872,988</t>
  </si>
  <si>
    <t xml:space="preserve">             328,684.3</t>
  </si>
  <si>
    <t xml:space="preserve">           5,902,942</t>
  </si>
  <si>
    <t xml:space="preserve">             214,798.2</t>
  </si>
  <si>
    <t xml:space="preserve">          20,062,945</t>
  </si>
  <si>
    <t xml:space="preserve">           1,569,263.1</t>
  </si>
  <si>
    <t xml:space="preserve">           9,977,654</t>
  </si>
  <si>
    <t xml:space="preserve">              69,621.4</t>
  </si>
  <si>
    <t xml:space="preserve">           1,714,826</t>
  </si>
  <si>
    <t xml:space="preserve">             360,572.8</t>
  </si>
  <si>
    <t xml:space="preserve">           1,047,968</t>
  </si>
  <si>
    <t xml:space="preserve">           6,657,453.1</t>
  </si>
  <si>
    <t xml:space="preserve">           4,944,064</t>
  </si>
  <si>
    <t xml:space="preserve">             966,666.7</t>
  </si>
  <si>
    <t xml:space="preserve">           2,796,674</t>
  </si>
  <si>
    <t xml:space="preserve">              57,977.6</t>
  </si>
  <si>
    <t xml:space="preserve">              84,401</t>
  </si>
  <si>
    <t xml:space="preserve">              19,837.5</t>
  </si>
  <si>
    <t xml:space="preserve">              68,370</t>
  </si>
  <si>
    <t xml:space="preserve">              32,579.9</t>
  </si>
  <si>
    <t xml:space="preserve">             311,593</t>
  </si>
  <si>
    <t xml:space="preserve">              23,075.7</t>
  </si>
  <si>
    <t xml:space="preserve">             191,103</t>
  </si>
  <si>
    <t xml:space="preserve">               7,047.2</t>
  </si>
  <si>
    <t xml:space="preserve">             182,146</t>
  </si>
  <si>
    <t xml:space="preserve">              16,887.4</t>
  </si>
  <si>
    <t xml:space="preserve">             100,267</t>
  </si>
  <si>
    <t xml:space="preserve">              72,189.6</t>
  </si>
  <si>
    <t xml:space="preserve">             401,706</t>
  </si>
  <si>
    <t xml:space="preserve">                 309.4</t>
  </si>
  <si>
    <t xml:space="preserve">             267,903</t>
  </si>
  <si>
    <t xml:space="preserve">             367,578.5</t>
  </si>
  <si>
    <t xml:space="preserve">             210,605</t>
  </si>
  <si>
    <t xml:space="preserve">               2,277.5</t>
  </si>
  <si>
    <t xml:space="preserve">              56,697</t>
  </si>
  <si>
    <t xml:space="preserve">             366,906.6</t>
  </si>
  <si>
    <t xml:space="preserve">             921,881</t>
  </si>
  <si>
    <t xml:space="preserve">           9,635,598.8</t>
  </si>
  <si>
    <t xml:space="preserve">          52,570,544</t>
  </si>
  <si>
    <t xml:space="preserve">           4,107,159.9</t>
  </si>
  <si>
    <t xml:space="preserve">           6,771,468</t>
  </si>
  <si>
    <t xml:space="preserve">           2,936,222.8</t>
  </si>
  <si>
    <t xml:space="preserve">           4,093,382</t>
  </si>
  <si>
    <t xml:space="preserve">             358,802.1</t>
  </si>
  <si>
    <t xml:space="preserve">           6,218,296</t>
  </si>
  <si>
    <t xml:space="preserve">             236,482.7</t>
  </si>
  <si>
    <t xml:space="preserve">          22,354,371</t>
  </si>
  <si>
    <t xml:space="preserve">           1,929,576.0</t>
  </si>
  <si>
    <t xml:space="preserve">          11,116,518</t>
  </si>
  <si>
    <t xml:space="preserve">              67,355.3</t>
  </si>
  <si>
    <t xml:space="preserve">           2,016,508</t>
  </si>
  <si>
    <t xml:space="preserve">             291,911.0</t>
  </si>
  <si>
    <t xml:space="preserve">             845,494</t>
  </si>
  <si>
    <t xml:space="preserve">           5,564,057.8</t>
  </si>
  <si>
    <t xml:space="preserve">           4,217,118</t>
  </si>
  <si>
    <t xml:space="preserve">             850,551.9</t>
  </si>
  <si>
    <t xml:space="preserve">           2,443,890</t>
  </si>
  <si>
    <t xml:space="preserve">              51,662.0</t>
  </si>
  <si>
    <t xml:space="preserve">              77,004</t>
  </si>
  <si>
    <t xml:space="preserve">              17,074.6</t>
  </si>
  <si>
    <t xml:space="preserve">              58,470</t>
  </si>
  <si>
    <t xml:space="preserve">              27,683.3</t>
  </si>
  <si>
    <t xml:space="preserve">             259,146</t>
  </si>
  <si>
    <t xml:space="preserve">              19,915.9</t>
  </si>
  <si>
    <t xml:space="preserve">             158,212</t>
  </si>
  <si>
    <t xml:space="preserve">               4,976.6</t>
  </si>
  <si>
    <t xml:space="preserve">             125,396</t>
  </si>
  <si>
    <t xml:space="preserve">              14,907.5</t>
  </si>
  <si>
    <t xml:space="preserve">              81,070</t>
  </si>
  <si>
    <t xml:space="preserve">              70,212.9</t>
  </si>
  <si>
    <t xml:space="preserve">             381,884</t>
  </si>
  <si>
    <t xml:space="preserve">                 388.5</t>
  </si>
  <si>
    <t xml:space="preserve">             267,386</t>
  </si>
  <si>
    <t xml:space="preserve">             312,313.3</t>
  </si>
  <si>
    <t xml:space="preserve">             192,040</t>
  </si>
  <si>
    <t xml:space="preserve">               2,130.9</t>
  </si>
  <si>
    <t xml:space="preserve">              43,560</t>
  </si>
  <si>
    <t xml:space="preserve">             329,286.6</t>
  </si>
  <si>
    <t xml:space="preserve">             799,722</t>
  </si>
  <si>
    <t xml:space="preserve">           8,279,781.0</t>
  </si>
  <si>
    <t xml:space="preserve">          41,670,482</t>
  </si>
  <si>
    <t xml:space="preserve">           3,662,573.2</t>
  </si>
  <si>
    <t xml:space="preserve">           6,185,060</t>
  </si>
  <si>
    <t xml:space="preserve">           2,709,623.4</t>
  </si>
  <si>
    <t xml:space="preserve">           3,731,804</t>
  </si>
  <si>
    <t xml:space="preserve">             311,686.9</t>
  </si>
  <si>
    <t xml:space="preserve">           4,881,354</t>
  </si>
  <si>
    <t xml:space="preserve">             195,338.7</t>
  </si>
  <si>
    <t xml:space="preserve">          16,025,153</t>
  </si>
  <si>
    <t xml:space="preserve">           1,346,407.3</t>
  </si>
  <si>
    <t xml:space="preserve">           9,319,434</t>
  </si>
  <si>
    <t xml:space="preserve">              54,151.6</t>
  </si>
  <si>
    <t xml:space="preserve">           1,527,677</t>
  </si>
  <si>
    <t xml:space="preserve">             330,470.3</t>
  </si>
  <si>
    <t xml:space="preserve">             999,036</t>
  </si>
  <si>
    <t xml:space="preserve">           6,238,505.1</t>
  </si>
  <si>
    <t xml:space="preserve">           4,637,327</t>
  </si>
  <si>
    <t xml:space="preserve">             978,282.6</t>
  </si>
  <si>
    <t xml:space="preserve">           2,843,243</t>
  </si>
  <si>
    <t xml:space="preserve">              61,576.7</t>
  </si>
  <si>
    <t xml:space="preserve">              89,985</t>
  </si>
  <si>
    <t xml:space="preserve">              19,591.2</t>
  </si>
  <si>
    <t xml:space="preserve">              64,958</t>
  </si>
  <si>
    <t xml:space="preserve">              30,346.2</t>
  </si>
  <si>
    <t xml:space="preserve">             283,260</t>
  </si>
  <si>
    <t xml:space="preserve">              22,260.7</t>
  </si>
  <si>
    <t xml:space="preserve">             177,504</t>
  </si>
  <si>
    <t xml:space="preserve">               5,151.2</t>
  </si>
  <si>
    <t xml:space="preserve">             140,020</t>
  </si>
  <si>
    <t xml:space="preserve">              16,545.1</t>
  </si>
  <si>
    <t xml:space="preserve">              93,249</t>
  </si>
  <si>
    <t xml:space="preserve">              76,596.3</t>
  </si>
  <si>
    <t xml:space="preserve">             413,496</t>
  </si>
  <si>
    <t xml:space="preserve">                 290.4</t>
  </si>
  <si>
    <t xml:space="preserve">             343,477</t>
  </si>
  <si>
    <t xml:space="preserve">             337,082.6</t>
  </si>
  <si>
    <t xml:space="preserve">             198,937</t>
  </si>
  <si>
    <t xml:space="preserve">               2,533.5</t>
  </si>
  <si>
    <t xml:space="preserve">              48,516</t>
  </si>
  <si>
    <t xml:space="preserve">             406,308.8</t>
  </si>
  <si>
    <t xml:space="preserve">             989,840</t>
  </si>
  <si>
    <t xml:space="preserve">           8,604,637.0</t>
  </si>
  <si>
    <t xml:space="preserve">          43,812,695</t>
  </si>
  <si>
    <t xml:space="preserve">           3,820,860.9</t>
  </si>
  <si>
    <t xml:space="preserve">           6,730,305</t>
  </si>
  <si>
    <t xml:space="preserve">           2,666,260.2</t>
  </si>
  <si>
    <t xml:space="preserve">           3,778,184</t>
  </si>
  <si>
    <t xml:space="preserve">             349,632.0</t>
  </si>
  <si>
    <t xml:space="preserve">           5,679,089</t>
  </si>
  <si>
    <t xml:space="preserve">             238,300.6</t>
  </si>
  <si>
    <t xml:space="preserve">          16,319,141</t>
  </si>
  <si>
    <t xml:space="preserve">           1,468,663.0</t>
  </si>
  <si>
    <t xml:space="preserve">           9,576,774</t>
  </si>
  <si>
    <t xml:space="preserve">              60,920.3</t>
  </si>
  <si>
    <t xml:space="preserve">           1,729,202</t>
  </si>
  <si>
    <t xml:space="preserve">             342,666.0</t>
  </si>
  <si>
    <t xml:space="preserve">           1,007,486</t>
  </si>
  <si>
    <t xml:space="preserve">           5,534,551.5</t>
  </si>
  <si>
    <t xml:space="preserve">           4,081,553</t>
  </si>
  <si>
    <t xml:space="preserve">             970,876.7</t>
  </si>
  <si>
    <t xml:space="preserve">           2,767,033</t>
  </si>
  <si>
    <t xml:space="preserve">              57,406.3</t>
  </si>
  <si>
    <t xml:space="preserve">              83,447</t>
  </si>
  <si>
    <t xml:space="preserve">              18,139.9</t>
  </si>
  <si>
    <t xml:space="preserve">              61,952</t>
  </si>
  <si>
    <t xml:space="preserve">              30,629.2</t>
  </si>
  <si>
    <t xml:space="preserve">             282,964</t>
  </si>
  <si>
    <t xml:space="preserve">              23,186.3</t>
  </si>
  <si>
    <t xml:space="preserve">             184,304</t>
  </si>
  <si>
    <t xml:space="preserve">               5,474.7</t>
  </si>
  <si>
    <t xml:space="preserve">             151,966</t>
  </si>
  <si>
    <t xml:space="preserve">              18,076.2</t>
  </si>
  <si>
    <t xml:space="preserve">             102,054</t>
  </si>
  <si>
    <t xml:space="preserve">              77,569.6</t>
  </si>
  <si>
    <t xml:space="preserve">             418,959</t>
  </si>
  <si>
    <t xml:space="preserve">                 278.7</t>
  </si>
  <si>
    <t xml:space="preserve">             285,405</t>
  </si>
  <si>
    <t xml:space="preserve">             367,001.3</t>
  </si>
  <si>
    <t xml:space="preserve">             195,080</t>
  </si>
  <si>
    <t xml:space="preserve">               2,265.5</t>
  </si>
  <si>
    <t xml:space="preserve">              49,110</t>
  </si>
  <si>
    <t xml:space="preserve">             370,849.0</t>
  </si>
  <si>
    <t xml:space="preserve">             951,791</t>
  </si>
  <si>
    <t xml:space="preserve">           8,853,965.3</t>
  </si>
  <si>
    <t xml:space="preserve">          50,208,489</t>
  </si>
  <si>
    <t xml:space="preserve">           3,620,148.3</t>
  </si>
  <si>
    <t xml:space="preserve">           6,674,941</t>
  </si>
  <si>
    <t xml:space="preserve">           2,627,738.5</t>
  </si>
  <si>
    <t xml:space="preserve">           3,874,596</t>
  </si>
  <si>
    <t xml:space="preserve">             368,158.8</t>
  </si>
  <si>
    <t xml:space="preserve">           6,050,031</t>
  </si>
  <si>
    <t xml:space="preserve">             242,712.6</t>
  </si>
  <si>
    <t xml:space="preserve">          20,350,815</t>
  </si>
  <si>
    <t xml:space="preserve">           1,925,611.8</t>
  </si>
  <si>
    <t xml:space="preserve">          11,399,373</t>
  </si>
  <si>
    <t xml:space="preserve">              69,595.2</t>
  </si>
  <si>
    <t xml:space="preserve">           1,858,734</t>
  </si>
  <si>
    <t xml:space="preserve">             402,173.7</t>
  </si>
  <si>
    <t xml:space="preserve">           1,120,286</t>
  </si>
  <si>
    <t xml:space="preserve">           6,612,331.2</t>
  </si>
  <si>
    <t xml:space="preserve">           4,532,206</t>
  </si>
  <si>
    <t xml:space="preserve">           1,232,639.9</t>
  </si>
  <si>
    <t xml:space="preserve">           3,148,358</t>
  </si>
  <si>
    <t xml:space="preserve">              62,419.2</t>
  </si>
  <si>
    <t xml:space="preserve">              95,271</t>
  </si>
  <si>
    <t xml:space="preserve">              19,657.7</t>
  </si>
  <si>
    <t xml:space="preserve">              70,373</t>
  </si>
  <si>
    <t xml:space="preserve">              32,939.9</t>
  </si>
  <si>
    <t xml:space="preserve">             312,143</t>
  </si>
  <si>
    <t xml:space="preserve">              25,840.2</t>
  </si>
  <si>
    <t xml:space="preserve">             208,059</t>
  </si>
  <si>
    <t xml:space="preserve">               6,290.0</t>
  </si>
  <si>
    <t xml:space="preserve">             165,402</t>
  </si>
  <si>
    <t xml:space="preserve">              18,823.0</t>
  </si>
  <si>
    <t xml:space="preserve">             105,406</t>
  </si>
  <si>
    <t xml:space="preserve">              80,630.3</t>
  </si>
  <si>
    <t xml:space="preserve">             464,042</t>
  </si>
  <si>
    <t xml:space="preserve">                 313.4</t>
  </si>
  <si>
    <t xml:space="preserve">             419,455</t>
  </si>
  <si>
    <t xml:space="preserve">             565,519.3</t>
  </si>
  <si>
    <t xml:space="preserve">             223,645</t>
  </si>
  <si>
    <t xml:space="preserve">               2,477.2</t>
  </si>
  <si>
    <t xml:space="preserve">              51,276</t>
  </si>
  <si>
    <t xml:space="preserve">             417,729.6</t>
  </si>
  <si>
    <t xml:space="preserve">           1,033,287</t>
  </si>
  <si>
    <t xml:space="preserve">           9,280,660.1</t>
  </si>
  <si>
    <t xml:space="preserve">          49,234,895</t>
  </si>
  <si>
    <t xml:space="preserve">           3,897,926.5</t>
  </si>
  <si>
    <t xml:space="preserve">           6,959,463</t>
  </si>
  <si>
    <t xml:space="preserve">           3,013,194.0</t>
  </si>
  <si>
    <t xml:space="preserve">           4,360,393</t>
  </si>
  <si>
    <t xml:space="preserve">             402,873.4</t>
  </si>
  <si>
    <t xml:space="preserve">           6,411,232</t>
  </si>
  <si>
    <t xml:space="preserve">             263,507.9</t>
  </si>
  <si>
    <t xml:space="preserve">          18,681,042</t>
  </si>
  <si>
    <t xml:space="preserve">           1,630,528.2</t>
  </si>
  <si>
    <t xml:space="preserve">          10,715,839</t>
  </si>
  <si>
    <t xml:space="preserve">              72,630.0</t>
  </si>
  <si>
    <t xml:space="preserve">           2,106,925</t>
  </si>
  <si>
    <t xml:space="preserve">             368,977.9</t>
  </si>
  <si>
    <t xml:space="preserve">           1,030,401</t>
  </si>
  <si>
    <t xml:space="preserve">           6,567,077.1</t>
  </si>
  <si>
    <t xml:space="preserve">           4,410,634</t>
  </si>
  <si>
    <t xml:space="preserve">           1,040,787.0</t>
  </si>
  <si>
    <t xml:space="preserve">           3,029,705</t>
  </si>
  <si>
    <t xml:space="preserve">              52,277.6</t>
  </si>
  <si>
    <t xml:space="preserve">              81,431</t>
  </si>
  <si>
    <t xml:space="preserve">              18,296.9</t>
  </si>
  <si>
    <t xml:space="preserve">              68,160</t>
  </si>
  <si>
    <t xml:space="preserve">              28,838.2</t>
  </si>
  <si>
    <t xml:space="preserve">             284,602</t>
  </si>
  <si>
    <t xml:space="preserve">              23,439.3</t>
  </si>
  <si>
    <t xml:space="preserve">             189,050</t>
  </si>
  <si>
    <t xml:space="preserve">               6,097.3</t>
  </si>
  <si>
    <t xml:space="preserve">             169,252</t>
  </si>
  <si>
    <t xml:space="preserve">              16,429.8</t>
  </si>
  <si>
    <t xml:space="preserve">              96,349</t>
  </si>
  <si>
    <t xml:space="preserve">              79,696.4</t>
  </si>
  <si>
    <t xml:space="preserve">             460,739</t>
  </si>
  <si>
    <t xml:space="preserve">                 315.4</t>
  </si>
  <si>
    <t xml:space="preserve">             469,846</t>
  </si>
  <si>
    <t xml:space="preserve">             440,601.2</t>
  </si>
  <si>
    <t xml:space="preserve">             205,487</t>
  </si>
  <si>
    <t xml:space="preserve">               2,342.0</t>
  </si>
  <si>
    <t xml:space="preserve">              50,437</t>
  </si>
  <si>
    <t xml:space="preserve">             372,452.8</t>
  </si>
  <si>
    <t xml:space="preserve">             954,354</t>
  </si>
  <si>
    <t xml:space="preserve">           8,596,620.9</t>
  </si>
  <si>
    <t xml:space="preserve">          48,790,323</t>
  </si>
  <si>
    <t xml:space="preserve">           3,526,161.1</t>
  </si>
  <si>
    <t xml:space="preserve">           6,315,526</t>
  </si>
  <si>
    <t xml:space="preserve">           2,646,342.5</t>
  </si>
  <si>
    <t xml:space="preserve">           3,789,307</t>
  </si>
  <si>
    <t xml:space="preserve">             355,412.8</t>
  </si>
  <si>
    <t xml:space="preserve">           5,874,413</t>
  </si>
  <si>
    <t xml:space="preserve">             221,951.9</t>
  </si>
  <si>
    <t xml:space="preserve">          20,664,289</t>
  </si>
  <si>
    <t xml:space="preserve">           1,777,846.2</t>
  </si>
  <si>
    <t xml:space="preserve">          10,376,891</t>
  </si>
  <si>
    <t xml:space="preserve">              68,906.4</t>
  </si>
  <si>
    <t xml:space="preserve">           1,769,896</t>
  </si>
  <si>
    <t xml:space="preserve">             340,172.0</t>
  </si>
  <si>
    <t xml:space="preserve">             992,676</t>
  </si>
  <si>
    <t xml:space="preserve">           6,467,676.8</t>
  </si>
  <si>
    <t xml:space="preserve">           4,633,952</t>
  </si>
  <si>
    <t xml:space="preserve">             865,404.2</t>
  </si>
  <si>
    <t xml:space="preserve">           2,963,407</t>
  </si>
  <si>
    <t xml:space="preserve">              43,698.8</t>
  </si>
  <si>
    <t xml:space="preserve">              69,428</t>
  </si>
  <si>
    <t xml:space="preserve">              16,257.4</t>
  </si>
  <si>
    <t xml:space="preserve">              61,158</t>
  </si>
  <si>
    <t xml:space="preserve">              27,729.1</t>
  </si>
  <si>
    <t xml:space="preserve">             267,923</t>
  </si>
  <si>
    <t xml:space="preserve">              22,464.5</t>
  </si>
  <si>
    <t xml:space="preserve">             183,363</t>
  </si>
  <si>
    <t xml:space="preserve">               5,713.1</t>
  </si>
  <si>
    <t xml:space="preserve">             161,652</t>
  </si>
  <si>
    <t xml:space="preserve">              16,587.5</t>
  </si>
  <si>
    <t xml:space="preserve">              95,539</t>
  </si>
  <si>
    <t xml:space="preserve">              74,856.6</t>
  </si>
  <si>
    <t xml:space="preserve">             424,242</t>
  </si>
  <si>
    <t xml:space="preserve">                 324.5</t>
  </si>
  <si>
    <t xml:space="preserve">             535,201</t>
  </si>
  <si>
    <t xml:space="preserve">             309,634.6</t>
  </si>
  <si>
    <t xml:space="preserve">             202,554</t>
  </si>
  <si>
    <t xml:space="preserve">               2,487.4</t>
  </si>
  <si>
    <t xml:space="preserve">              56,899</t>
  </si>
  <si>
    <t xml:space="preserve">             345,650.8</t>
  </si>
  <si>
    <t xml:space="preserve">             905,447</t>
  </si>
  <si>
    <t xml:space="preserve">           8,547,904.1</t>
  </si>
  <si>
    <t xml:space="preserve">          51,243,762</t>
  </si>
  <si>
    <t xml:space="preserve">           3,705,969.5</t>
  </si>
  <si>
    <t xml:space="preserve">           6,649,574</t>
  </si>
  <si>
    <t xml:space="preserve">           2,433,009.3</t>
  </si>
  <si>
    <t xml:space="preserve">           3,694,192</t>
  </si>
  <si>
    <t xml:space="preserve">             345,911.4</t>
  </si>
  <si>
    <t xml:space="preserve">           6,030,989</t>
  </si>
  <si>
    <t xml:space="preserve">             236,396.7</t>
  </si>
  <si>
    <t xml:space="preserve">          21,960,767</t>
  </si>
  <si>
    <t xml:space="preserve">           1,754,145.2</t>
  </si>
  <si>
    <t xml:space="preserve">          10,712,362</t>
  </si>
  <si>
    <t xml:space="preserve">              72,472.0</t>
  </si>
  <si>
    <t xml:space="preserve">           2,195,878</t>
  </si>
  <si>
    <t xml:space="preserve">             364,758.4</t>
  </si>
  <si>
    <t xml:space="preserve">           1,054,480</t>
  </si>
  <si>
    <t xml:space="preserve">           7,025,246.5</t>
  </si>
  <si>
    <t xml:space="preserve">           5,238,632</t>
  </si>
  <si>
    <t xml:space="preserve">           1,037,978.6</t>
  </si>
  <si>
    <t xml:space="preserve">           3,056,603</t>
  </si>
  <si>
    <t xml:space="preserve">              50,502.7</t>
  </si>
  <si>
    <t xml:space="preserve">              78,073</t>
  </si>
  <si>
    <t xml:space="preserve">              17,708.1</t>
  </si>
  <si>
    <t xml:space="preserve">              61,635</t>
  </si>
  <si>
    <t xml:space="preserve">              31,011.9</t>
  </si>
  <si>
    <t xml:space="preserve">             295,501</t>
  </si>
  <si>
    <t xml:space="preserve">              23,359.8</t>
  </si>
  <si>
    <t xml:space="preserve">             180,643</t>
  </si>
  <si>
    <t xml:space="preserve">               5,332.1</t>
  </si>
  <si>
    <t xml:space="preserve">             157,969</t>
  </si>
  <si>
    <t xml:space="preserve">              18,219.8</t>
  </si>
  <si>
    <t xml:space="preserve">             107,535</t>
  </si>
  <si>
    <t xml:space="preserve">              72,701.4</t>
  </si>
  <si>
    <t xml:space="preserve">             428,978</t>
  </si>
  <si>
    <t xml:space="preserve">                 403.3</t>
  </si>
  <si>
    <t xml:space="preserve">             472,994</t>
  </si>
  <si>
    <t xml:space="preserve">             432,871.3</t>
  </si>
  <si>
    <t xml:space="preserve">             219,904</t>
  </si>
  <si>
    <t xml:space="preserve">               2,519.1</t>
  </si>
  <si>
    <t xml:space="preserve">              56,421</t>
  </si>
  <si>
    <t xml:space="preserve">             383,349.0</t>
  </si>
  <si>
    <t xml:space="preserve">             996,950</t>
  </si>
  <si>
    <t xml:space="preserve">           9,152,854.8</t>
  </si>
  <si>
    <t xml:space="preserve">          51,374,607</t>
  </si>
  <si>
    <t xml:space="preserve">           4,035,225.8</t>
  </si>
  <si>
    <t xml:space="preserve">           6,699,693</t>
  </si>
  <si>
    <t xml:space="preserve">           2,816,711.9</t>
  </si>
  <si>
    <t xml:space="preserve">           4,188,696</t>
  </si>
  <si>
    <t xml:space="preserve">             383,429.0</t>
  </si>
  <si>
    <t xml:space="preserve">           6,328,940</t>
  </si>
  <si>
    <t xml:space="preserve">             249,849.5</t>
  </si>
  <si>
    <t xml:space="preserve">          22,054,413</t>
  </si>
  <si>
    <t xml:space="preserve">           1,599,509.8</t>
  </si>
  <si>
    <t xml:space="preserve">          10,047,917</t>
  </si>
  <si>
    <t xml:space="preserve">              68,128.9</t>
  </si>
  <si>
    <t xml:space="preserve">           2,054,949</t>
  </si>
  <si>
    <t xml:space="preserve">             352,123.5</t>
  </si>
  <si>
    <t xml:space="preserve">             954,742</t>
  </si>
  <si>
    <t xml:space="preserve">           6,973,050.2</t>
  </si>
  <si>
    <t xml:space="preserve">           4,996,545</t>
  </si>
  <si>
    <t xml:space="preserve">           1,058,051.1</t>
  </si>
  <si>
    <t xml:space="preserve">           2,683,825</t>
  </si>
  <si>
    <t xml:space="preserve">              46,408.7</t>
  </si>
  <si>
    <t xml:space="preserve">              70,526</t>
  </si>
  <si>
    <t xml:space="preserve">              15,334.0</t>
  </si>
  <si>
    <t xml:space="preserve">              52,844</t>
  </si>
  <si>
    <t xml:space="preserve">             234,377</t>
  </si>
  <si>
    <t xml:space="preserve">              18,725.8</t>
  </si>
  <si>
    <t xml:space="preserve">             148,333</t>
  </si>
  <si>
    <t xml:space="preserve">               5,086.4</t>
  </si>
  <si>
    <t xml:space="preserve">             138,589</t>
  </si>
  <si>
    <t xml:space="preserve">              16,415.8</t>
  </si>
  <si>
    <t xml:space="preserve">              91,898</t>
  </si>
  <si>
    <t xml:space="preserve">              58,085.8</t>
  </si>
  <si>
    <t xml:space="preserve">             325,645</t>
  </si>
  <si>
    <t xml:space="preserve">                 316.4</t>
  </si>
  <si>
    <t xml:space="preserve">             491,288</t>
  </si>
  <si>
    <t xml:space="preserve">             521,680.5</t>
  </si>
  <si>
    <t xml:space="preserve">             200,229</t>
  </si>
  <si>
    <t xml:space="preserve">               2,407.3</t>
  </si>
  <si>
    <t xml:space="preserve">              48,331</t>
  </si>
  <si>
    <t xml:space="preserve">             348,903.5</t>
  </si>
  <si>
    <t xml:space="preserve">             881,765</t>
  </si>
  <si>
    <t xml:space="preserve">           8,735,449.1</t>
  </si>
  <si>
    <t xml:space="preserve">          49,624,221</t>
  </si>
  <si>
    <t xml:space="preserve">           3,786,449.2</t>
  </si>
  <si>
    <t xml:space="preserve">           6,276,342</t>
  </si>
  <si>
    <t xml:space="preserve">           2,537,762.9</t>
  </si>
  <si>
    <t xml:space="preserve">           3,560,149</t>
  </si>
  <si>
    <t xml:space="preserve">             315,230.6</t>
  </si>
  <si>
    <t xml:space="preserve">           5,245,973</t>
  </si>
  <si>
    <t xml:space="preserve">             204,576.1</t>
  </si>
  <si>
    <t xml:space="preserve">          22,635,594</t>
  </si>
  <si>
    <t xml:space="preserve">           1,829,410.2</t>
  </si>
  <si>
    <t xml:space="preserve">          10,380,351</t>
  </si>
  <si>
    <t xml:space="preserve">              62,020.0</t>
  </si>
  <si>
    <t xml:space="preserve">           1,525,811</t>
  </si>
  <si>
    <t xml:space="preserve">             454,799.7</t>
  </si>
  <si>
    <t xml:space="preserve">           1,156,240</t>
  </si>
  <si>
    <t xml:space="preserve">           7,037,857.4</t>
  </si>
  <si>
    <t xml:space="preserve">           5,082,762</t>
  </si>
  <si>
    <t xml:space="preserve">           1,047,709.3</t>
  </si>
  <si>
    <t xml:space="preserve">           3,031,835</t>
  </si>
  <si>
    <t xml:space="preserve">              55,612.5</t>
  </si>
  <si>
    <t xml:space="preserve">              86,826</t>
  </si>
  <si>
    <t xml:space="preserve">              18,941.8</t>
  </si>
  <si>
    <t xml:space="preserve">              60,604</t>
  </si>
  <si>
    <t xml:space="preserve">              30,594.4</t>
  </si>
  <si>
    <t xml:space="preserve">             297,769</t>
  </si>
  <si>
    <t xml:space="preserve">              25,400.7</t>
  </si>
  <si>
    <t xml:space="preserve">             192,634</t>
  </si>
  <si>
    <t xml:space="preserve">               6,024.4</t>
  </si>
  <si>
    <t xml:space="preserve">             175,374</t>
  </si>
  <si>
    <t xml:space="preserve">              18,746.3</t>
  </si>
  <si>
    <t xml:space="preserve">             107,136</t>
  </si>
  <si>
    <t xml:space="preserve">              68,051.3</t>
  </si>
  <si>
    <t xml:space="preserve">             374,780</t>
  </si>
  <si>
    <t xml:space="preserve">                 333.7</t>
  </si>
  <si>
    <t xml:space="preserve">             380,169</t>
  </si>
  <si>
    <t xml:space="preserve">             432,439.7</t>
  </si>
  <si>
    <t xml:space="preserve">             217,241</t>
  </si>
  <si>
    <t xml:space="preserve">               2,937.8</t>
  </si>
  <si>
    <t xml:space="preserve">              67,873</t>
  </si>
  <si>
    <t xml:space="preserve">             388,626.7</t>
  </si>
  <si>
    <t xml:space="preserve">           1,071,430</t>
  </si>
  <si>
    <t xml:space="preserve">           9,536,336.8</t>
  </si>
  <si>
    <t xml:space="preserve">          56,633,281</t>
  </si>
  <si>
    <t xml:space="preserve">           4,078,775.2</t>
  </si>
  <si>
    <t xml:space="preserve">           7,224,691</t>
  </si>
  <si>
    <t xml:space="preserve">           2,875,989.9</t>
  </si>
  <si>
    <t xml:space="preserve">           4,010,790</t>
  </si>
  <si>
    <t xml:space="preserve">             388,590.0</t>
  </si>
  <si>
    <t xml:space="preserve">           6,199,108</t>
  </si>
  <si>
    <t xml:space="preserve">             256,728.5</t>
  </si>
  <si>
    <t xml:space="preserve">          25,056,049</t>
  </si>
  <si>
    <t xml:space="preserve">           1,849,499.8</t>
  </si>
  <si>
    <t xml:space="preserve">          11,419,883</t>
  </si>
  <si>
    <t xml:space="preserve">              86,753.3</t>
  </si>
  <si>
    <t xml:space="preserve">           2,722,758</t>
  </si>
  <si>
    <t xml:space="preserve">             345,299.3</t>
  </si>
  <si>
    <t xml:space="preserve">             982,583</t>
  </si>
  <si>
    <t xml:space="preserve">           6,391,271.1</t>
  </si>
  <si>
    <t xml:space="preserve">           4,636,820</t>
  </si>
  <si>
    <t xml:space="preserve">           1,008,726.9</t>
  </si>
  <si>
    <t xml:space="preserve">           2,949,713</t>
  </si>
  <si>
    <t xml:space="preserve">              47,617.9</t>
  </si>
  <si>
    <t xml:space="preserve">              69,889</t>
  </si>
  <si>
    <t xml:space="preserve">              15,382.6</t>
  </si>
  <si>
    <t xml:space="preserve">              56,424</t>
  </si>
  <si>
    <t xml:space="preserve">              24,313.9</t>
  </si>
  <si>
    <t xml:space="preserve">             240,323</t>
  </si>
  <si>
    <t xml:space="preserve">              19,103.0</t>
  </si>
  <si>
    <t xml:space="preserve">             150,173</t>
  </si>
  <si>
    <t xml:space="preserve">               5,632.5</t>
  </si>
  <si>
    <t xml:space="preserve">             153,647</t>
  </si>
  <si>
    <t xml:space="preserve">              14,615.5</t>
  </si>
  <si>
    <t xml:space="preserve">              84,319</t>
  </si>
  <si>
    <t xml:space="preserve">              58,308.4</t>
  </si>
  <si>
    <t xml:space="preserve">             320,184</t>
  </si>
  <si>
    <t xml:space="preserve">                 253.4</t>
  </si>
  <si>
    <t xml:space="preserve">             561,464</t>
  </si>
  <si>
    <t xml:space="preserve">             482,242.0</t>
  </si>
  <si>
    <t xml:space="preserve">             199,948</t>
  </si>
  <si>
    <t xml:space="preserve">               2,195.6</t>
  </si>
  <si>
    <t xml:space="preserve">              49,895</t>
  </si>
  <si>
    <t xml:space="preserve">             339,062.1</t>
  </si>
  <si>
    <t xml:space="preserve">           1,063,447</t>
  </si>
  <si>
    <t xml:space="preserve">           8,272,020.7</t>
  </si>
  <si>
    <t xml:space="preserve">          50,942,462</t>
  </si>
  <si>
    <t xml:space="preserve">           3,597,889.8</t>
  </si>
  <si>
    <t xml:space="preserve">           5,826,215</t>
  </si>
  <si>
    <t xml:space="preserve">           2,460,899.2</t>
  </si>
  <si>
    <t xml:space="preserve">           3,497,302</t>
  </si>
  <si>
    <t xml:space="preserve">             296,144.9</t>
  </si>
  <si>
    <t xml:space="preserve">           5,008,382</t>
  </si>
  <si>
    <t xml:space="preserve">             196,652.6</t>
  </si>
  <si>
    <t xml:space="preserve">          23,014,194</t>
  </si>
  <si>
    <t xml:space="preserve">           1,655,446.1</t>
  </si>
  <si>
    <t xml:space="preserve">          11,989,564</t>
  </si>
  <si>
    <t xml:space="preserve">              64,988.0</t>
  </si>
  <si>
    <t xml:space="preserve">           1,606,805</t>
  </si>
  <si>
    <t xml:space="preserve">             357,943.4</t>
  </si>
  <si>
    <t xml:space="preserve">           1,035,914</t>
  </si>
  <si>
    <t xml:space="preserve">           5,575,488.0</t>
  </si>
  <si>
    <t xml:space="preserve">           4,182,136</t>
  </si>
  <si>
    <t xml:space="preserve">             878,460.7</t>
  </si>
  <si>
    <t xml:space="preserve">           3,211,353</t>
  </si>
  <si>
    <t xml:space="preserve">              51,469.9</t>
  </si>
  <si>
    <t xml:space="preserve">              75,207</t>
  </si>
  <si>
    <t xml:space="preserve">              15,822.2</t>
  </si>
  <si>
    <t xml:space="preserve">              57,459</t>
  </si>
  <si>
    <t xml:space="preserve">              27,631.5</t>
  </si>
  <si>
    <t xml:space="preserve">             278,451</t>
  </si>
  <si>
    <t xml:space="preserve">              21,156.2</t>
  </si>
  <si>
    <t xml:space="preserve">             162,683</t>
  </si>
  <si>
    <t xml:space="preserve">               7,153.9</t>
  </si>
  <si>
    <t xml:space="preserve">             195,650</t>
  </si>
  <si>
    <t xml:space="preserve">              15,421.6</t>
  </si>
  <si>
    <t xml:space="preserve">              92,810</t>
  </si>
  <si>
    <t xml:space="preserve">              61,504.2</t>
  </si>
  <si>
    <t xml:space="preserve">             334,273</t>
  </si>
  <si>
    <t xml:space="preserve">                 292.1</t>
  </si>
  <si>
    <t xml:space="preserve">             597,065</t>
  </si>
  <si>
    <t xml:space="preserve">             334,320.9</t>
  </si>
  <si>
    <t xml:space="preserve">             194,095</t>
  </si>
  <si>
    <t xml:space="preserve">               2,513.5</t>
  </si>
  <si>
    <t xml:space="preserve">              56,309</t>
  </si>
  <si>
    <t xml:space="preserve">             341,174.7</t>
  </si>
  <si>
    <t xml:space="preserve">           1,167,352</t>
  </si>
  <si>
    <t xml:space="preserve">           7,793,204.3</t>
  </si>
  <si>
    <t xml:space="preserve">          52,323,214</t>
  </si>
  <si>
    <t xml:space="preserve">           3,604,621.0</t>
  </si>
  <si>
    <t xml:space="preserve">           6,022,876</t>
  </si>
  <si>
    <t xml:space="preserve">           2,359,552.9</t>
  </si>
  <si>
    <t xml:space="preserve">           3,480,452</t>
  </si>
  <si>
    <t xml:space="preserve">             351,927.9</t>
  </si>
  <si>
    <t xml:space="preserve">           5,822,852</t>
  </si>
  <si>
    <t xml:space="preserve">             223,659.8</t>
  </si>
  <si>
    <t xml:space="preserve">          25,157,276</t>
  </si>
  <si>
    <t xml:space="preserve">           1,186,299.8</t>
  </si>
  <si>
    <t xml:space="preserve">           9,965,178</t>
  </si>
  <si>
    <t xml:space="preserve">              67,143.0</t>
  </si>
  <si>
    <t xml:space="preserve">           1,874,581</t>
  </si>
  <si>
    <t xml:space="preserve">             387,523.7</t>
  </si>
  <si>
    <t xml:space="preserve">           1,124,957</t>
  </si>
  <si>
    <t xml:space="preserve">           7,196,816.5</t>
  </si>
  <si>
    <t xml:space="preserve">           5,215,225</t>
  </si>
  <si>
    <t xml:space="preserve">           1,073,682.1</t>
  </si>
  <si>
    <t xml:space="preserve">           3,167,101</t>
  </si>
  <si>
    <t xml:space="preserve">              53,501.1</t>
  </si>
  <si>
    <t xml:space="preserve">              81,994</t>
  </si>
  <si>
    <t xml:space="preserve">              17,177.9</t>
  </si>
  <si>
    <t xml:space="preserve">              62,419</t>
  </si>
  <si>
    <t xml:space="preserve">              31,909.2</t>
  </si>
  <si>
    <t xml:space="preserve">             309,823</t>
  </si>
  <si>
    <t xml:space="preserve">              24,477.9</t>
  </si>
  <si>
    <t xml:space="preserve">             187,873</t>
  </si>
  <si>
    <t xml:space="preserve">               6,872.8</t>
  </si>
  <si>
    <t xml:space="preserve">             195,433</t>
  </si>
  <si>
    <t xml:space="preserve">              17,964.1</t>
  </si>
  <si>
    <t xml:space="preserve">             111,019</t>
  </si>
  <si>
    <t xml:space="preserve">              70,942.4</t>
  </si>
  <si>
    <t xml:space="preserve">             405,025</t>
  </si>
  <si>
    <t xml:space="preserve">                 314.1</t>
  </si>
  <si>
    <t xml:space="preserve">             490,209</t>
  </si>
  <si>
    <t xml:space="preserve">             467,376.1</t>
  </si>
  <si>
    <t xml:space="preserve">             214,106</t>
  </si>
  <si>
    <t xml:space="preserve">               2,686.5</t>
  </si>
  <si>
    <t xml:space="preserve">              58,457</t>
  </si>
  <si>
    <t xml:space="preserve">             380,460.1</t>
  </si>
  <si>
    <t xml:space="preserve">           1,050,743</t>
  </si>
  <si>
    <t xml:space="preserve">           9,319,873.3</t>
  </si>
  <si>
    <t xml:space="preserve">          60,006,340</t>
  </si>
  <si>
    <t xml:space="preserve">           4,155,290.9</t>
  </si>
  <si>
    <t xml:space="preserve">           6,774,079</t>
  </si>
  <si>
    <t xml:space="preserve">           2,747,806.6</t>
  </si>
  <si>
    <t xml:space="preserve">           4,021,349</t>
  </si>
  <si>
    <t xml:space="preserve">             391,201.2</t>
  </si>
  <si>
    <t xml:space="preserve">           6,393,682</t>
  </si>
  <si>
    <t xml:space="preserve">             237,795.7</t>
  </si>
  <si>
    <t xml:space="preserve">          29,671,643</t>
  </si>
  <si>
    <t xml:space="preserve">           1,710,634.0</t>
  </si>
  <si>
    <t xml:space="preserve">          11,067,554</t>
  </si>
  <si>
    <t xml:space="preserve">              77,144.9</t>
  </si>
  <si>
    <t xml:space="preserve">           2,078,034</t>
  </si>
  <si>
    <t xml:space="preserve">             305,634.2</t>
  </si>
  <si>
    <t xml:space="preserve">           1,018,552</t>
  </si>
  <si>
    <t xml:space="preserve">           6,781,530.7</t>
  </si>
  <si>
    <t xml:space="preserve">           4,654,223</t>
  </si>
  <si>
    <t xml:space="preserve">             818,424.6</t>
  </si>
  <si>
    <t xml:space="preserve">           3,082,056</t>
  </si>
  <si>
    <t xml:space="preserve">              52,997.6</t>
  </si>
  <si>
    <t xml:space="preserve">              81,834</t>
  </si>
  <si>
    <t xml:space="preserve">              15,913.6</t>
  </si>
  <si>
    <t xml:space="preserve">              59,575</t>
  </si>
  <si>
    <t xml:space="preserve">              28,445.2</t>
  </si>
  <si>
    <t xml:space="preserve">             275,298</t>
  </si>
  <si>
    <t xml:space="preserve">              20,395.8</t>
  </si>
  <si>
    <t xml:space="preserve">             159,996</t>
  </si>
  <si>
    <t xml:space="preserve">               5,256.0</t>
  </si>
  <si>
    <t xml:space="preserve">             145,729</t>
  </si>
  <si>
    <t xml:space="preserve">              16,632.3</t>
  </si>
  <si>
    <t xml:space="preserve">              94,526</t>
  </si>
  <si>
    <t xml:space="preserve">              71,925.9</t>
  </si>
  <si>
    <t xml:space="preserve">             401,578</t>
  </si>
  <si>
    <t xml:space="preserve">             701,882</t>
  </si>
  <si>
    <t xml:space="preserve">             247,902.0</t>
  </si>
  <si>
    <t xml:space="preserve">             181,453</t>
  </si>
  <si>
    <t xml:space="preserve">               2,268.7</t>
  </si>
  <si>
    <t xml:space="preserve">              54,068</t>
  </si>
  <si>
    <t xml:space="preserve">             356,398.1</t>
  </si>
  <si>
    <t xml:space="preserve">             926,117</t>
  </si>
  <si>
    <t xml:space="preserve">           8,834,358.3</t>
  </si>
  <si>
    <t xml:space="preserve">          57,089,106</t>
  </si>
  <si>
    <t xml:space="preserve">           3,996,708.5</t>
  </si>
  <si>
    <t xml:space="preserve">           6,584,897</t>
  </si>
  <si>
    <t xml:space="preserve">           2,753,812.4</t>
  </si>
  <si>
    <t xml:space="preserve">           4,072,186</t>
  </si>
  <si>
    <t xml:space="preserve">             353,988.0</t>
  </si>
  <si>
    <t xml:space="preserve">           5,421,604</t>
  </si>
  <si>
    <t xml:space="preserve">             221,696.4</t>
  </si>
  <si>
    <t xml:space="preserve">          28,840,619</t>
  </si>
  <si>
    <t xml:space="preserve">           1,436,764.5</t>
  </si>
  <si>
    <t xml:space="preserve">          10,361,778</t>
  </si>
  <si>
    <t xml:space="preserve">              71,388.6</t>
  </si>
  <si>
    <t xml:space="preserve">           1,808,021</t>
  </si>
  <si>
    <t xml:space="preserve">             290,064.4</t>
  </si>
  <si>
    <t xml:space="preserve">             926,368</t>
  </si>
  <si>
    <t xml:space="preserve">           6,399,697.7</t>
  </si>
  <si>
    <t xml:space="preserve">           4,914,885</t>
  </si>
  <si>
    <t xml:space="preserve">             781,151.6</t>
  </si>
  <si>
    <t xml:space="preserve">           3,096,567</t>
  </si>
  <si>
    <t xml:space="preserve">              50,231.6</t>
  </si>
  <si>
    <t xml:space="preserve">              15,313.5</t>
  </si>
  <si>
    <t xml:space="preserve">              55,539</t>
  </si>
  <si>
    <t xml:space="preserve">              23,406.5</t>
  </si>
  <si>
    <t xml:space="preserve">             221,534</t>
  </si>
  <si>
    <t xml:space="preserve">              18,690.8</t>
  </si>
  <si>
    <t xml:space="preserve">             142,303</t>
  </si>
  <si>
    <t xml:space="preserve">               3,906.8</t>
  </si>
  <si>
    <t xml:space="preserve">             128,724</t>
  </si>
  <si>
    <t xml:space="preserve">              14,868.1</t>
  </si>
  <si>
    <t xml:space="preserve">              80,045</t>
  </si>
  <si>
    <t xml:space="preserve">              61,892.9</t>
  </si>
  <si>
    <t xml:space="preserve">             344,400</t>
  </si>
  <si>
    <t xml:space="preserve">                 270.6</t>
  </si>
  <si>
    <t xml:space="preserve">             995,740</t>
  </si>
  <si>
    <t xml:space="preserve">             268,725.6</t>
  </si>
  <si>
    <t xml:space="preserve">             159,026</t>
  </si>
  <si>
    <t xml:space="preserve">               2,384.9</t>
  </si>
  <si>
    <t xml:space="preserve">              57,507</t>
  </si>
  <si>
    <t xml:space="preserve">             321,460.4</t>
  </si>
  <si>
    <t xml:space="preserve">             838,242</t>
  </si>
  <si>
    <t xml:space="preserve">           8,130,604.2</t>
  </si>
  <si>
    <t xml:space="preserve">          58,704,727</t>
  </si>
  <si>
    <t xml:space="preserve">           3,679,438.3</t>
  </si>
  <si>
    <t xml:space="preserve">           6,279,361</t>
  </si>
  <si>
    <t xml:space="preserve">           2,646,975.8</t>
  </si>
  <si>
    <t xml:space="preserve">           3,678,524</t>
  </si>
  <si>
    <t xml:space="preserve">             308,818.2</t>
  </si>
  <si>
    <t xml:space="preserve">           4,904,769</t>
  </si>
  <si>
    <t xml:space="preserve">             200,088.4</t>
  </si>
  <si>
    <t xml:space="preserve">          33,394,046</t>
  </si>
  <si>
    <t xml:space="preserve">           1,230,950.3</t>
  </si>
  <si>
    <t xml:space="preserve">           8,608,748</t>
  </si>
  <si>
    <t xml:space="preserve">              64,333.2</t>
  </si>
  <si>
    <t xml:space="preserve">           1,839,279</t>
  </si>
  <si>
    <t xml:space="preserve">             394,242.8</t>
  </si>
  <si>
    <t xml:space="preserve">           1,169,585</t>
  </si>
  <si>
    <t xml:space="preserve">           5,946,541.9</t>
  </si>
  <si>
    <t xml:space="preserve">           7,280,697</t>
  </si>
  <si>
    <t xml:space="preserve">             918,239.5</t>
  </si>
  <si>
    <t xml:space="preserve">           4,111,292</t>
  </si>
  <si>
    <t xml:space="preserve">              62,068.0</t>
  </si>
  <si>
    <t xml:space="preserve">              91,453</t>
  </si>
  <si>
    <t xml:space="preserve">              17,915.5</t>
  </si>
  <si>
    <t xml:space="preserve">              66,796</t>
  </si>
  <si>
    <t xml:space="preserve">              28,243.0</t>
  </si>
  <si>
    <t xml:space="preserve">             271,710</t>
  </si>
  <si>
    <t xml:space="preserve">              23,047.8</t>
  </si>
  <si>
    <t xml:space="preserve">             178,529</t>
  </si>
  <si>
    <t xml:space="preserve">               5,511.3</t>
  </si>
  <si>
    <t xml:space="preserve">             178,394</t>
  </si>
  <si>
    <t xml:space="preserve">              19,227.5</t>
  </si>
  <si>
    <t xml:space="preserve">              99,911</t>
  </si>
  <si>
    <t xml:space="preserve">              71,364.6</t>
  </si>
  <si>
    <t xml:space="preserve">             411,282</t>
  </si>
  <si>
    <t xml:space="preserve">                 307.1</t>
  </si>
  <si>
    <t xml:space="preserve">           1,538,992</t>
  </si>
  <si>
    <t xml:space="preserve">             283,640.2</t>
  </si>
  <si>
    <t xml:space="preserve">             187,937</t>
  </si>
  <si>
    <t xml:space="preserve">               2,792.4</t>
  </si>
  <si>
    <t xml:space="preserve">              63,099</t>
  </si>
  <si>
    <t xml:space="preserve">             404,121.9</t>
  </si>
  <si>
    <t xml:space="preserve">           1,023,190</t>
  </si>
  <si>
    <t xml:space="preserve">           8,921,227.8</t>
  </si>
  <si>
    <t xml:space="preserve">          74,771,554</t>
  </si>
  <si>
    <t xml:space="preserve">           3,941,649.9</t>
  </si>
  <si>
    <t xml:space="preserve">           7,361,871</t>
  </si>
  <si>
    <t xml:space="preserve">           2,724,667.4</t>
  </si>
  <si>
    <t xml:space="preserve">           4,107,993</t>
  </si>
  <si>
    <t xml:space="preserve">             356,783.3</t>
  </si>
  <si>
    <t xml:space="preserve">           6,033,664</t>
  </si>
  <si>
    <t xml:space="preserve">             246,538.4</t>
  </si>
  <si>
    <t xml:space="preserve">          43,273,534</t>
  </si>
  <si>
    <t xml:space="preserve">           1,574,925.9</t>
  </si>
  <si>
    <t xml:space="preserve">          11,782,023</t>
  </si>
  <si>
    <t xml:space="preserve">              76,663.0</t>
  </si>
  <si>
    <t xml:space="preserve">           2,212,470</t>
  </si>
  <si>
    <t xml:space="preserve">             399,815.7</t>
  </si>
  <si>
    <t xml:space="preserve">           1,206,533</t>
  </si>
  <si>
    <t xml:space="preserve">           4,376,977.6</t>
  </si>
  <si>
    <t xml:space="preserve">           6,331,952</t>
  </si>
  <si>
    <t xml:space="preserve">             960,963.5</t>
  </si>
  <si>
    <t xml:space="preserve">           3,895,477</t>
  </si>
  <si>
    <t xml:space="preserve">              56,749.7</t>
  </si>
  <si>
    <t xml:space="preserve">              90,653</t>
  </si>
  <si>
    <t xml:space="preserve">              19,571.7</t>
  </si>
  <si>
    <t xml:space="preserve">              74,276</t>
  </si>
  <si>
    <t xml:space="preserve">              30,707.3</t>
  </si>
  <si>
    <t xml:space="preserve">             311,911</t>
  </si>
  <si>
    <t xml:space="preserve">              25,284.7</t>
  </si>
  <si>
    <t xml:space="preserve">             195,708</t>
  </si>
  <si>
    <t xml:space="preserve">               6,239.1</t>
  </si>
  <si>
    <t xml:space="preserve">             217,836</t>
  </si>
  <si>
    <t xml:space="preserve">              19,885.2</t>
  </si>
  <si>
    <t xml:space="preserve">             109,054</t>
  </si>
  <si>
    <t xml:space="preserve">              79,171.5</t>
  </si>
  <si>
    <t xml:space="preserve">             441,930</t>
  </si>
  <si>
    <t xml:space="preserve">                 334.9</t>
  </si>
  <si>
    <t xml:space="preserve">           1,162,460</t>
  </si>
  <si>
    <t xml:space="preserve">             302,326.2</t>
  </si>
  <si>
    <t xml:space="preserve">             189,118</t>
  </si>
  <si>
    <t xml:space="preserve">               2,821.8</t>
  </si>
  <si>
    <t xml:space="preserve">              63,109</t>
  </si>
  <si>
    <t xml:space="preserve">             417,871.4</t>
  </si>
  <si>
    <t xml:space="preserve">           1,039,421</t>
  </si>
  <si>
    <t xml:space="preserve">           8,675,947.4</t>
  </si>
  <si>
    <t xml:space="preserve">          74,317,921</t>
  </si>
  <si>
    <t xml:space="preserve">           3,371,339.2</t>
  </si>
  <si>
    <t xml:space="preserve">           7,717,531</t>
  </si>
  <si>
    <t xml:space="preserve">           2,748,832.8</t>
  </si>
  <si>
    <t xml:space="preserve">           4,322,292</t>
  </si>
  <si>
    <t xml:space="preserve">             390,518.9</t>
  </si>
  <si>
    <t xml:space="preserve">           6,269,944</t>
  </si>
  <si>
    <t xml:space="preserve">             238,562.2</t>
  </si>
  <si>
    <t xml:space="preserve">          42,506,536</t>
  </si>
  <si>
    <t xml:space="preserve">           1,838,433.6</t>
  </si>
  <si>
    <t xml:space="preserve">          11,192,081</t>
  </si>
  <si>
    <t xml:space="preserve">              88,260.6</t>
  </si>
  <si>
    <t xml:space="preserve">           2,309,537</t>
  </si>
  <si>
    <t xml:space="preserve">             409,283.7</t>
  </si>
  <si>
    <t xml:space="preserve">           1,061,105</t>
  </si>
  <si>
    <t xml:space="preserve">           5,017,898.7</t>
  </si>
  <si>
    <t xml:space="preserve">           6,401,394</t>
  </si>
  <si>
    <t xml:space="preserve">             773,688.5</t>
  </si>
  <si>
    <t xml:space="preserve">           3,869,333</t>
  </si>
  <si>
    <t xml:space="preserve">              44,654.7</t>
  </si>
  <si>
    <t xml:space="preserve">              76,424</t>
  </si>
  <si>
    <t xml:space="preserve">              16,421.1</t>
  </si>
  <si>
    <t xml:space="preserve">              63,203</t>
  </si>
  <si>
    <t xml:space="preserve">              26,338.0</t>
  </si>
  <si>
    <t xml:space="preserve">             254,533</t>
  </si>
  <si>
    <t xml:space="preserve">              19,319.8</t>
  </si>
  <si>
    <t xml:space="preserve">             156,237</t>
  </si>
  <si>
    <t xml:space="preserve">               5,468.4</t>
  </si>
  <si>
    <t xml:space="preserve">             162,835</t>
  </si>
  <si>
    <t xml:space="preserve">              16,213.9</t>
  </si>
  <si>
    <t xml:space="preserve">              87,103</t>
  </si>
  <si>
    <t xml:space="preserve">              77,035.7</t>
  </si>
  <si>
    <t xml:space="preserve">             448,961</t>
  </si>
  <si>
    <t xml:space="preserve">           1,476,718</t>
  </si>
  <si>
    <t xml:space="preserve">             215,029.0</t>
  </si>
  <si>
    <t xml:space="preserve">             180,349</t>
  </si>
  <si>
    <t xml:space="preserve">               2,392.7</t>
  </si>
  <si>
    <t xml:space="preserve">              61,502</t>
  </si>
  <si>
    <t xml:space="preserve">             350,502.9</t>
  </si>
  <si>
    <t xml:space="preserve">             901,466</t>
  </si>
  <si>
    <t xml:space="preserve">           7,388,640.5</t>
  </si>
  <si>
    <t xml:space="preserve">          76,244,252</t>
  </si>
  <si>
    <t xml:space="preserve">           2,875,832.4</t>
  </si>
  <si>
    <t xml:space="preserve">           6,994,558</t>
  </si>
  <si>
    <t xml:space="preserve">           2,599,537.2</t>
  </si>
  <si>
    <t xml:space="preserve">           4,041,314</t>
  </si>
  <si>
    <t xml:space="preserve">             341,403.0</t>
  </si>
  <si>
    <t xml:space="preserve">           5,585,218</t>
  </si>
  <si>
    <t xml:space="preserve">             205,999.0</t>
  </si>
  <si>
    <t xml:space="preserve">          47,618,590</t>
  </si>
  <si>
    <t xml:space="preserve">           1,288,948.3</t>
  </si>
  <si>
    <t xml:space="preserve">          10,090,952</t>
  </si>
  <si>
    <t xml:space="preserve">              76,920.6</t>
  </si>
  <si>
    <t xml:space="preserve">           1,913,620</t>
  </si>
  <si>
    <t xml:space="preserve">             380,663.0</t>
  </si>
  <si>
    <t xml:space="preserve">           1,152,581</t>
  </si>
  <si>
    <t xml:space="preserve">           5,836,548.7</t>
  </si>
  <si>
    <t xml:space="preserve">           6,608,418</t>
  </si>
  <si>
    <t xml:space="preserve">             852,504.7</t>
  </si>
  <si>
    <t xml:space="preserve">           4,060,373</t>
  </si>
  <si>
    <t xml:space="preserve">              48,120.7</t>
  </si>
  <si>
    <t xml:space="preserve">              79,180</t>
  </si>
  <si>
    <t xml:space="preserve">              16,588.1</t>
  </si>
  <si>
    <t xml:space="preserve">              28,814.2</t>
  </si>
  <si>
    <t xml:space="preserve">             282,353</t>
  </si>
  <si>
    <t xml:space="preserve">              22,985.5</t>
  </si>
  <si>
    <t xml:space="preserve">             182,081</t>
  </si>
  <si>
    <t xml:space="preserve">               5,901.6</t>
  </si>
  <si>
    <t xml:space="preserve">             191,947</t>
  </si>
  <si>
    <t xml:space="preserve">              17,534.2</t>
  </si>
  <si>
    <t xml:space="preserve">              95,170</t>
  </si>
  <si>
    <t xml:space="preserve">              82,077.8</t>
  </si>
  <si>
    <t xml:space="preserve">             485,126</t>
  </si>
  <si>
    <t xml:space="preserve">                 320.0</t>
  </si>
  <si>
    <t xml:space="preserve">           1,382,987</t>
  </si>
  <si>
    <t xml:space="preserve">             242,528.6</t>
  </si>
  <si>
    <t xml:space="preserve">             204,808</t>
  </si>
  <si>
    <t xml:space="preserve">               2,732.9</t>
  </si>
  <si>
    <t xml:space="preserve">              71,410</t>
  </si>
  <si>
    <t xml:space="preserve">             384,901.2</t>
  </si>
  <si>
    <t xml:space="preserve">           1,019,834</t>
  </si>
  <si>
    <t xml:space="preserve">           8,618,209.4</t>
  </si>
  <si>
    <t xml:space="preserve">          90,134,786</t>
  </si>
  <si>
    <t xml:space="preserve">           3,306,851.5</t>
  </si>
  <si>
    <t xml:space="preserve">           7,870,038</t>
  </si>
  <si>
    <t xml:space="preserve">           2,735,230.3</t>
  </si>
  <si>
    <t xml:space="preserve">           4,351,286</t>
  </si>
  <si>
    <t xml:space="preserve">             368,574.7</t>
  </si>
  <si>
    <t xml:space="preserve">           6,547,312</t>
  </si>
  <si>
    <t xml:space="preserve">             243,016.2</t>
  </si>
  <si>
    <t xml:space="preserve">          57,127,600</t>
  </si>
  <si>
    <t xml:space="preserve">           1,878,428.6</t>
  </si>
  <si>
    <t xml:space="preserve">          11,460,161</t>
  </si>
  <si>
    <t xml:space="preserve">              86,108.1</t>
  </si>
  <si>
    <t xml:space="preserve">           2,778,389</t>
  </si>
  <si>
    <t xml:space="preserve">             359,216.8</t>
  </si>
  <si>
    <t xml:space="preserve">           1,081,841</t>
  </si>
  <si>
    <t xml:space="preserve">           6,429,139.7</t>
  </si>
  <si>
    <t xml:space="preserve">           6,896,402</t>
  </si>
  <si>
    <t xml:space="preserve">           1,002,847.2</t>
  </si>
  <si>
    <t xml:space="preserve">           3,778,039</t>
  </si>
  <si>
    <t xml:space="preserve">              44,991.5</t>
  </si>
  <si>
    <t xml:space="preserve">              77,156</t>
  </si>
  <si>
    <t xml:space="preserve">              17,104.0</t>
  </si>
  <si>
    <t xml:space="preserve">              66,017</t>
  </si>
  <si>
    <t xml:space="preserve">              29,551.4</t>
  </si>
  <si>
    <t xml:space="preserve">             298,501</t>
  </si>
  <si>
    <t xml:space="preserve">              23,332.1</t>
  </si>
  <si>
    <t xml:space="preserve">             184,656</t>
  </si>
  <si>
    <t xml:space="preserve">               5,370.8</t>
  </si>
  <si>
    <t xml:space="preserve">             162,057</t>
  </si>
  <si>
    <t xml:space="preserve">              18,632.8</t>
  </si>
  <si>
    <t xml:space="preserve">             111,673</t>
  </si>
  <si>
    <t xml:space="preserve">              85,857.1</t>
  </si>
  <si>
    <t xml:space="preserve">             485,169</t>
  </si>
  <si>
    <t xml:space="preserve">                 334.0</t>
  </si>
  <si>
    <t xml:space="preserve">           1,011,215</t>
  </si>
  <si>
    <t xml:space="preserve">             388,439.2</t>
  </si>
  <si>
    <t xml:space="preserve">             199,569</t>
  </si>
  <si>
    <t xml:space="preserve">               2,815.7</t>
  </si>
  <si>
    <t xml:space="preserve">              68,493</t>
  </si>
  <si>
    <t xml:space="preserve">             386,418.6</t>
  </si>
  <si>
    <t xml:space="preserve">           1,113,531</t>
  </si>
  <si>
    <t xml:space="preserve">           9,869,477.0</t>
  </si>
  <si>
    <t xml:space="preserve">          87,202,818</t>
  </si>
  <si>
    <t xml:space="preserve">           3,920,870.8</t>
  </si>
  <si>
    <t xml:space="preserve">           7,980,842</t>
  </si>
  <si>
    <t xml:space="preserve">           3,062,013.6</t>
  </si>
  <si>
    <t xml:space="preserve">           4,661,963</t>
  </si>
  <si>
    <t xml:space="preserve">             437,920.3</t>
  </si>
  <si>
    <t xml:space="preserve">           6,861,427</t>
  </si>
  <si>
    <t xml:space="preserve">             257,766.6</t>
  </si>
  <si>
    <t xml:space="preserve">          53,312,084</t>
  </si>
  <si>
    <t xml:space="preserve">           2,101,545.3</t>
  </si>
  <si>
    <t xml:space="preserve">          11,661,068</t>
  </si>
  <si>
    <t xml:space="preserve">              89,360.5</t>
  </si>
  <si>
    <t xml:space="preserve">           2,725,433</t>
  </si>
  <si>
    <t xml:space="preserve">검색조건  통계항목 : 성질별, 성질명 : 수입, 전체, 세부성질 유무 : 무, 조회기간 : 202401  ~ 202607 , 통계기준 : 수리일, 중량단위 : 톤</t>
  </si>
  <si>
    <t xml:space="preserve">수입</t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</si>
  <si>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소비재</t>
    </r>
  </si>
  <si>
    <t xml:space="preserve">           3,564,536.2</t>
  </si>
  <si>
    <t xml:space="preserve">           8,746,306</t>
  </si>
  <si>
    <t xml:space="preserve">가. 곡물</t>
  </si>
  <si>
    <t xml:space="preserve">           2,354,636.0</t>
  </si>
  <si>
    <t xml:space="preserve">             832,333</t>
  </si>
  <si>
    <t xml:space="preserve">나. 직접소비재</t>
  </si>
  <si>
    <t xml:space="preserve">             808,352.3</t>
  </si>
  <si>
    <t xml:space="preserve">           2,556,100</t>
  </si>
  <si>
    <t xml:space="preserve">다. 내구소비재</t>
  </si>
  <si>
    <t xml:space="preserve">             268,971.7</t>
  </si>
  <si>
    <t xml:space="preserve">           3,142,554</t>
  </si>
  <si>
    <t xml:space="preserve">라. 비내구 소비재</t>
  </si>
  <si>
    <t xml:space="preserve">             132,080.3</t>
  </si>
  <si>
    <t xml:space="preserve">           2,215,318</t>
  </si>
  <si>
    <t xml:space="preserve">마. 간이세율 적용분</t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</si>
  <si>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원자재</t>
    </r>
  </si>
  <si>
    <t xml:space="preserve">          47,322,977.6</t>
  </si>
  <si>
    <t xml:space="preserve">          28,106,321</t>
  </si>
  <si>
    <t xml:space="preserve">가. 연 료</t>
  </si>
  <si>
    <t xml:space="preserve">          32,841,379.5</t>
  </si>
  <si>
    <t xml:space="preserve">          15,672,843</t>
  </si>
  <si>
    <t xml:space="preserve">나. 광 물</t>
  </si>
  <si>
    <t xml:space="preserve">           8,377,454.4</t>
  </si>
  <si>
    <t xml:space="preserve">           2,296,169</t>
  </si>
  <si>
    <t xml:space="preserve">다. 경공업 원료</t>
  </si>
  <si>
    <t xml:space="preserve">           1,365,869.8</t>
  </si>
  <si>
    <t xml:space="preserve">             593,012</t>
  </si>
  <si>
    <t xml:space="preserve">라. 유 지</t>
  </si>
  <si>
    <t xml:space="preserve">              99,230.2</t>
  </si>
  <si>
    <t xml:space="preserve">             123,085</t>
  </si>
  <si>
    <t xml:space="preserve">마. 섬유류</t>
  </si>
  <si>
    <t xml:space="preserve">             105,176.4</t>
  </si>
  <si>
    <t xml:space="preserve">             317,721</t>
  </si>
  <si>
    <t xml:space="preserve">바. 화공품</t>
  </si>
  <si>
    <t xml:space="preserve">           1,768,381.3</t>
  </si>
  <si>
    <t xml:space="preserve">           4,818,698</t>
  </si>
  <si>
    <t xml:space="preserve">사. 철강재</t>
  </si>
  <si>
    <t xml:space="preserve">           1,621,612.1</t>
  </si>
  <si>
    <t xml:space="preserve">           1,756,547</t>
  </si>
  <si>
    <t xml:space="preserve">아. 비철금속</t>
  </si>
  <si>
    <t xml:space="preserve">             259,608.1</t>
  </si>
  <si>
    <t xml:space="preserve">           1,231,291</t>
  </si>
  <si>
    <t xml:space="preserve">자. 기 타</t>
  </si>
  <si>
    <t xml:space="preserve">             884,265.7</t>
  </si>
  <si>
    <t xml:space="preserve">           1,296,954</t>
  </si>
  <si>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자본재</t>
    </r>
  </si>
  <si>
    <t xml:space="preserve">             490,255.6</t>
  </si>
  <si>
    <t xml:space="preserve">          17,621,984</t>
  </si>
  <si>
    <t xml:space="preserve">가. 기계류와 정밀기기</t>
  </si>
  <si>
    <t xml:space="preserve">             191,409.5</t>
  </si>
  <si>
    <t xml:space="preserve">           5,383,081</t>
  </si>
  <si>
    <t xml:space="preserve">나. 전기·전자기기</t>
  </si>
  <si>
    <t xml:space="preserve">             161,028.4</t>
  </si>
  <si>
    <t xml:space="preserve">          11,111,630</t>
  </si>
  <si>
    <t xml:space="preserve">다. 수송장비</t>
  </si>
  <si>
    <t xml:space="preserve">             123,770.4</t>
  </si>
  <si>
    <t xml:space="preserve">             932,636</t>
  </si>
  <si>
    <t xml:space="preserve">라. 기 타</t>
  </si>
  <si>
    <t xml:space="preserve">              14,047.3</t>
  </si>
  <si>
    <t xml:space="preserve">             194,637</t>
  </si>
  <si>
    <t xml:space="preserve">           3,083,881.0</t>
  </si>
  <si>
    <t xml:space="preserve">           7,298,230</t>
  </si>
  <si>
    <t xml:space="preserve">           2,134,701.6</t>
  </si>
  <si>
    <t xml:space="preserve">             682,289</t>
  </si>
  <si>
    <t xml:space="preserve">             636,493.5</t>
  </si>
  <si>
    <t xml:space="preserve">           1,955,487</t>
  </si>
  <si>
    <t xml:space="preserve">             218,366.3</t>
  </si>
  <si>
    <t xml:space="preserve">           2,855,422</t>
  </si>
  <si>
    <t xml:space="preserve">              94,310.5</t>
  </si>
  <si>
    <t xml:space="preserve">           1,805,032</t>
  </si>
  <si>
    <t xml:space="preserve">          42,091,262.4</t>
  </si>
  <si>
    <t xml:space="preserve">          24,864,662</t>
  </si>
  <si>
    <t xml:space="preserve">          29,849,771.9</t>
  </si>
  <si>
    <t xml:space="preserve">          13,878,524</t>
  </si>
  <si>
    <t xml:space="preserve">           6,998,061.4</t>
  </si>
  <si>
    <t xml:space="preserve">           2,000,434</t>
  </si>
  <si>
    <t xml:space="preserve">           1,134,154.5</t>
  </si>
  <si>
    <t xml:space="preserve">             552,849</t>
  </si>
  <si>
    <t xml:space="preserve">             125,921.2</t>
  </si>
  <si>
    <t xml:space="preserve">             138,879</t>
  </si>
  <si>
    <t xml:space="preserve">              84,082.5</t>
  </si>
  <si>
    <t xml:space="preserve">             264,024</t>
  </si>
  <si>
    <t xml:space="preserve">           1,509,339.0</t>
  </si>
  <si>
    <t xml:space="preserve">           4,264,103</t>
  </si>
  <si>
    <t xml:space="preserve">           1,508,383.4</t>
  </si>
  <si>
    <t xml:space="preserve">           1,604,529</t>
  </si>
  <si>
    <t xml:space="preserve">             231,999.3</t>
  </si>
  <si>
    <t xml:space="preserve">           1,136,337</t>
  </si>
  <si>
    <t xml:space="preserve">             649,549.2</t>
  </si>
  <si>
    <t xml:space="preserve">           1,024,983</t>
  </si>
  <si>
    <t xml:space="preserve">             514,740.5</t>
  </si>
  <si>
    <t xml:space="preserve">          16,058,968</t>
  </si>
  <si>
    <t xml:space="preserve">             154,273.1</t>
  </si>
  <si>
    <t xml:space="preserve">           5,008,836</t>
  </si>
  <si>
    <t xml:space="preserve">             134,883.8</t>
  </si>
  <si>
    <t xml:space="preserve">           9,743,606</t>
  </si>
  <si>
    <t xml:space="preserve">             213,788.5</t>
  </si>
  <si>
    <t xml:space="preserve">           1,126,039</t>
  </si>
  <si>
    <t xml:space="preserve">              11,795.1</t>
  </si>
  <si>
    <t xml:space="preserve">             180,487</t>
  </si>
  <si>
    <t xml:space="preserve">           3,166,991.4</t>
  </si>
  <si>
    <t xml:space="preserve">           8,439,273</t>
  </si>
  <si>
    <t xml:space="preserve">           2,001,292.1</t>
  </si>
  <si>
    <t xml:space="preserve">             716,422</t>
  </si>
  <si>
    <t xml:space="preserve">             820,380.4</t>
  </si>
  <si>
    <t xml:space="preserve">           2,397,087</t>
  </si>
  <si>
    <t xml:space="preserve">             229,560.1</t>
  </si>
  <si>
    <t xml:space="preserve">           3,282,106</t>
  </si>
  <si>
    <t xml:space="preserve">             115,758.8</t>
  </si>
  <si>
    <t xml:space="preserve">           2,043,657</t>
  </si>
  <si>
    <t xml:space="preserve">          40,158,097.0</t>
  </si>
  <si>
    <t xml:space="preserve">          25,792,586</t>
  </si>
  <si>
    <t xml:space="preserve">          26,933,113.8</t>
  </si>
  <si>
    <t xml:space="preserve">          13,173,120</t>
  </si>
  <si>
    <t xml:space="preserve">           7,488,749.9</t>
  </si>
  <si>
    <t xml:space="preserve">           1,867,943</t>
  </si>
  <si>
    <t xml:space="preserve">           1,238,205.1</t>
  </si>
  <si>
    <t xml:space="preserve">             533,011</t>
  </si>
  <si>
    <t xml:space="preserve">             132,290.2</t>
  </si>
  <si>
    <t xml:space="preserve">             160,411</t>
  </si>
  <si>
    <t xml:space="preserve">             104,266.3</t>
  </si>
  <si>
    <t xml:space="preserve">             323,476</t>
  </si>
  <si>
    <t xml:space="preserve">           1,593,577.8</t>
  </si>
  <si>
    <t xml:space="preserve">           5,011,344</t>
  </si>
  <si>
    <t xml:space="preserve">           1,644,296.6</t>
  </si>
  <si>
    <t xml:space="preserve">           1,872,098</t>
  </si>
  <si>
    <t xml:space="preserve">             276,414.9</t>
  </si>
  <si>
    <t xml:space="preserve">           1,343,145</t>
  </si>
  <si>
    <t xml:space="preserve">             747,182.5</t>
  </si>
  <si>
    <t xml:space="preserve">           1,508,038</t>
  </si>
  <si>
    <t xml:space="preserve">             991,571.6</t>
  </si>
  <si>
    <t xml:space="preserve">          17,881,046</t>
  </si>
  <si>
    <t xml:space="preserve">             181,721.2</t>
  </si>
  <si>
    <t xml:space="preserve">           5,618,553</t>
  </si>
  <si>
    <t xml:space="preserve">             155,785.6</t>
  </si>
  <si>
    <t xml:space="preserve">          10,804,135</t>
  </si>
  <si>
    <t xml:space="preserve">             640,283.0</t>
  </si>
  <si>
    <t xml:space="preserve">           1,250,503</t>
  </si>
  <si>
    <t xml:space="preserve">              13,781.8</t>
  </si>
  <si>
    <t xml:space="preserve">           3,568,689.5</t>
  </si>
  <si>
    <t xml:space="preserve">           9,347,061</t>
  </si>
  <si>
    <t xml:space="preserve">           2,278,918.1</t>
  </si>
  <si>
    <t xml:space="preserve">             777,287</t>
  </si>
  <si>
    <t xml:space="preserve">             858,573.3</t>
  </si>
  <si>
    <t xml:space="preserve">           2,488,386</t>
  </si>
  <si>
    <t xml:space="preserve">             297,626.4</t>
  </si>
  <si>
    <t xml:space="preserve">           4,024,343</t>
  </si>
  <si>
    <t xml:space="preserve">             133,571.7</t>
  </si>
  <si>
    <t xml:space="preserve">           2,057,045</t>
  </si>
  <si>
    <t xml:space="preserve">          43,107,617.4</t>
  </si>
  <si>
    <t xml:space="preserve">          27,567,785</t>
  </si>
  <si>
    <t xml:space="preserve">          28,569,001.9</t>
  </si>
  <si>
    <t xml:space="preserve">          14,386,216</t>
  </si>
  <si>
    <t xml:space="preserve">           8,121,166.9</t>
  </si>
  <si>
    <t xml:space="preserve">           2,308,620</t>
  </si>
  <si>
    <t xml:space="preserve">           1,376,963.1</t>
  </si>
  <si>
    <t xml:space="preserve">             620,120</t>
  </si>
  <si>
    <t xml:space="preserve">             154,304.0</t>
  </si>
  <si>
    <t xml:space="preserve">             179,381</t>
  </si>
  <si>
    <t xml:space="preserve">             112,869.5</t>
  </si>
  <si>
    <t xml:space="preserve">             355,093</t>
  </si>
  <si>
    <t xml:space="preserve">           1,859,105.7</t>
  </si>
  <si>
    <t xml:space="preserve">           4,974,192</t>
  </si>
  <si>
    <t xml:space="preserve">           1,684,260.6</t>
  </si>
  <si>
    <t xml:space="preserve">           1,877,195</t>
  </si>
  <si>
    <t xml:space="preserve">             273,058.1</t>
  </si>
  <si>
    <t xml:space="preserve">           1,407,159</t>
  </si>
  <si>
    <t xml:space="preserve">             956,887.7</t>
  </si>
  <si>
    <t xml:space="preserve">           1,459,809</t>
  </si>
  <si>
    <t xml:space="preserve">             939,677.9</t>
  </si>
  <si>
    <t xml:space="preserve">          17,906,335</t>
  </si>
  <si>
    <t xml:space="preserve">             201,075.5</t>
  </si>
  <si>
    <t xml:space="preserve">           5,552,261</t>
  </si>
  <si>
    <t xml:space="preserve">             168,718.6</t>
  </si>
  <si>
    <t xml:space="preserve">          10,860,388</t>
  </si>
  <si>
    <t xml:space="preserve">             552,980.3</t>
  </si>
  <si>
    <t xml:space="preserve">           1,256,888</t>
  </si>
  <si>
    <t xml:space="preserve">              16,903.5</t>
  </si>
  <si>
    <t xml:space="preserve">             236,799</t>
  </si>
  <si>
    <t xml:space="preserve">           3,522,297.7</t>
  </si>
  <si>
    <t xml:space="preserve">           8,648,107</t>
  </si>
  <si>
    <t xml:space="preserve">           2,277,452.0</t>
  </si>
  <si>
    <t xml:space="preserve">             792,732</t>
  </si>
  <si>
    <t xml:space="preserve">             820,582.8</t>
  </si>
  <si>
    <t xml:space="preserve">           2,429,083</t>
  </si>
  <si>
    <t xml:space="preserve">             301,201.5</t>
  </si>
  <si>
    <t xml:space="preserve">           3,631,375</t>
  </si>
  <si>
    <t xml:space="preserve">             123,061.5</t>
  </si>
  <si>
    <t xml:space="preserve">           1,794,917</t>
  </si>
  <si>
    <t xml:space="preserve">          41,636,794.2</t>
  </si>
  <si>
    <t xml:space="preserve">          27,005,809</t>
  </si>
  <si>
    <t xml:space="preserve">          28,248,518.7</t>
  </si>
  <si>
    <t xml:space="preserve">          13,807,374</t>
  </si>
  <si>
    <t xml:space="preserve">           7,015,716.3</t>
  </si>
  <si>
    <t xml:space="preserve">           2,354,923</t>
  </si>
  <si>
    <t xml:space="preserve">           1,411,078.4</t>
  </si>
  <si>
    <t xml:space="preserve">             586,732</t>
  </si>
  <si>
    <t xml:space="preserve">             127,740.0</t>
  </si>
  <si>
    <t xml:space="preserve">             164,459</t>
  </si>
  <si>
    <t xml:space="preserve">             111,154.5</t>
  </si>
  <si>
    <t xml:space="preserve">             349,051</t>
  </si>
  <si>
    <t xml:space="preserve">           1,830,629.7</t>
  </si>
  <si>
    <t xml:space="preserve">           4,762,775</t>
  </si>
  <si>
    <t xml:space="preserve">           1,711,206.1</t>
  </si>
  <si>
    <t xml:space="preserve">           1,872,914</t>
  </si>
  <si>
    <t xml:space="preserve">             266,949.2</t>
  </si>
  <si>
    <t xml:space="preserve">           1,459,060</t>
  </si>
  <si>
    <t xml:space="preserve">             913,801.2</t>
  </si>
  <si>
    <t xml:space="preserve">           1,648,523</t>
  </si>
  <si>
    <t xml:space="preserve">             721,195.1</t>
  </si>
  <si>
    <t xml:space="preserve">          17,479,022</t>
  </si>
  <si>
    <t xml:space="preserve">             199,084.2</t>
  </si>
  <si>
    <t xml:space="preserve">           5,346,222</t>
  </si>
  <si>
    <t xml:space="preserve">             183,851.6</t>
  </si>
  <si>
    <t xml:space="preserve">          10,876,249</t>
  </si>
  <si>
    <t xml:space="preserve">             319,811.6</t>
  </si>
  <si>
    <t xml:space="preserve">           1,004,011</t>
  </si>
  <si>
    <t xml:space="preserve">              18,447.6</t>
  </si>
  <si>
    <t xml:space="preserve">             252,539</t>
  </si>
  <si>
    <t xml:space="preserve">           3,167,558.9</t>
  </si>
  <si>
    <t xml:space="preserve">           7,885,031</t>
  </si>
  <si>
    <t xml:space="preserve">           2,035,255.3</t>
  </si>
  <si>
    <t xml:space="preserve">             684,270</t>
  </si>
  <si>
    <t xml:space="preserve">             758,111.9</t>
  </si>
  <si>
    <t xml:space="preserve">           2,209,788</t>
  </si>
  <si>
    <t xml:space="preserve">             265,020.0</t>
  </si>
  <si>
    <t xml:space="preserve">           3,245,337</t>
  </si>
  <si>
    <t xml:space="preserve">             109,171.8</t>
  </si>
  <si>
    <t xml:space="preserve">           1,745,636</t>
  </si>
  <si>
    <t xml:space="preserve">          38,902,734.9</t>
  </si>
  <si>
    <t xml:space="preserve">          23,953,834</t>
  </si>
  <si>
    <t xml:space="preserve">          25,533,593.5</t>
  </si>
  <si>
    <t xml:space="preserve">          12,219,931</t>
  </si>
  <si>
    <t xml:space="preserve">           7,863,192.1</t>
  </si>
  <si>
    <t xml:space="preserve">           2,176,225</t>
  </si>
  <si>
    <t xml:space="preserve">           1,271,203.5</t>
  </si>
  <si>
    <t xml:space="preserve">             567,482</t>
  </si>
  <si>
    <t xml:space="preserve">             126,157.3</t>
  </si>
  <si>
    <t xml:space="preserve">             154,770</t>
  </si>
  <si>
    <t xml:space="preserve">              96,014.8</t>
  </si>
  <si>
    <t xml:space="preserve">             306,953</t>
  </si>
  <si>
    <t xml:space="preserve">           1,633,439.9</t>
  </si>
  <si>
    <t xml:space="preserve">           4,421,575</t>
  </si>
  <si>
    <t xml:space="preserve">           1,294,873.1</t>
  </si>
  <si>
    <t xml:space="preserve">           1,546,972</t>
  </si>
  <si>
    <t xml:space="preserve">             245,183.4</t>
  </si>
  <si>
    <t xml:space="preserve">           1,316,080</t>
  </si>
  <si>
    <t xml:space="preserve">             839,077.3</t>
  </si>
  <si>
    <t xml:space="preserve">           1,243,845</t>
  </si>
  <si>
    <t xml:space="preserve">             631,070.8</t>
  </si>
  <si>
    <t xml:space="preserve">          17,251,329</t>
  </si>
  <si>
    <t xml:space="preserve">             178,993.2</t>
  </si>
  <si>
    <t xml:space="preserve">           5,414,602</t>
  </si>
  <si>
    <t xml:space="preserve">             159,039.0</t>
  </si>
  <si>
    <t xml:space="preserve">          10,307,120</t>
  </si>
  <si>
    <t xml:space="preserve">             276,636.3</t>
  </si>
  <si>
    <t xml:space="preserve">           1,306,585</t>
  </si>
  <si>
    <t xml:space="preserve">              16,402.4</t>
  </si>
  <si>
    <t xml:space="preserve">             223,022</t>
  </si>
  <si>
    <t xml:space="preserve">           3,428,524.0</t>
  </si>
  <si>
    <t xml:space="preserve">           8,866,181</t>
  </si>
  <si>
    <t xml:space="preserve">           2,249,691.9</t>
  </si>
  <si>
    <t xml:space="preserve">             731,796</t>
  </si>
  <si>
    <t xml:space="preserve">             764,486.6</t>
  </si>
  <si>
    <t xml:space="preserve">           2,395,173</t>
  </si>
  <si>
    <t xml:space="preserve">             291,369.3</t>
  </si>
  <si>
    <t xml:space="preserve">           3,647,347</t>
  </si>
  <si>
    <t xml:space="preserve">             122,976.1</t>
  </si>
  <si>
    <t xml:space="preserve">           2,091,865</t>
  </si>
  <si>
    <t xml:space="preserve">          41,323,249.7</t>
  </si>
  <si>
    <t xml:space="preserve">          25,696,113</t>
  </si>
  <si>
    <t xml:space="preserve">          28,270,776.1</t>
  </si>
  <si>
    <t xml:space="preserve">          12,996,682</t>
  </si>
  <si>
    <t xml:space="preserve">           7,427,910.8</t>
  </si>
  <si>
    <t xml:space="preserve">           2,442,975</t>
  </si>
  <si>
    <t xml:space="preserve">           1,272,930.1</t>
  </si>
  <si>
    <t xml:space="preserve">             550,318</t>
  </si>
  <si>
    <t xml:space="preserve">             121,826.9</t>
  </si>
  <si>
    <t xml:space="preserve">             157,605</t>
  </si>
  <si>
    <t xml:space="preserve">             105,836.5</t>
  </si>
  <si>
    <t xml:space="preserve">             338,930</t>
  </si>
  <si>
    <t xml:space="preserve">           1,745,561.1</t>
  </si>
  <si>
    <t xml:space="preserve">           4,857,250</t>
  </si>
  <si>
    <t xml:space="preserve">           1,312,445.0</t>
  </si>
  <si>
    <t xml:space="preserve">           1,594,693</t>
  </si>
  <si>
    <t xml:space="preserve">             257,037.8</t>
  </si>
  <si>
    <t xml:space="preserve">           1,418,845</t>
  </si>
  <si>
    <t xml:space="preserve">             808,925.4</t>
  </si>
  <si>
    <t xml:space="preserve">           1,338,816</t>
  </si>
  <si>
    <t xml:space="preserve">             516,025.0</t>
  </si>
  <si>
    <t xml:space="preserve">          19,276,448</t>
  </si>
  <si>
    <t xml:space="preserve">             187,455.5</t>
  </si>
  <si>
    <t xml:space="preserve">           5,429,277</t>
  </si>
  <si>
    <t xml:space="preserve">             162,683.5</t>
  </si>
  <si>
    <t xml:space="preserve">          11,410,795</t>
  </si>
  <si>
    <t xml:space="preserve">             148,352.6</t>
  </si>
  <si>
    <t xml:space="preserve">           2,195,637</t>
  </si>
  <si>
    <t xml:space="preserve">              17,533.4</t>
  </si>
  <si>
    <t xml:space="preserve">             240,740</t>
  </si>
  <si>
    <t xml:space="preserve">           3,274,218.3</t>
  </si>
  <si>
    <t xml:space="preserve">           8,620,712</t>
  </si>
  <si>
    <t xml:space="preserve">           2,189,060.3</t>
  </si>
  <si>
    <t xml:space="preserve">             689,821</t>
  </si>
  <si>
    <t xml:space="preserve">             697,012.4</t>
  </si>
  <si>
    <t xml:space="preserve">           2,247,806</t>
  </si>
  <si>
    <t xml:space="preserve">             258,715.2</t>
  </si>
  <si>
    <t xml:space="preserve">           3,416,862</t>
  </si>
  <si>
    <t xml:space="preserve">             129,430.4</t>
  </si>
  <si>
    <t xml:space="preserve">           2,266,224</t>
  </si>
  <si>
    <t xml:space="preserve">          45,529,820.2</t>
  </si>
  <si>
    <t xml:space="preserve">          27,175,717</t>
  </si>
  <si>
    <t xml:space="preserve">          31,756,694.3</t>
  </si>
  <si>
    <t xml:space="preserve">          14,761,245</t>
  </si>
  <si>
    <t xml:space="preserve">           7,847,572.1</t>
  </si>
  <si>
    <t xml:space="preserve">           2,058,860</t>
  </si>
  <si>
    <t xml:space="preserve">           1,410,863.5</t>
  </si>
  <si>
    <t xml:space="preserve">             640,493</t>
  </si>
  <si>
    <t xml:space="preserve">             136,407.8</t>
  </si>
  <si>
    <t xml:space="preserve">             171,776</t>
  </si>
  <si>
    <t xml:space="preserve">             101,132.1</t>
  </si>
  <si>
    <t xml:space="preserve">             309,530</t>
  </si>
  <si>
    <t xml:space="preserve">           1,691,873.3</t>
  </si>
  <si>
    <t xml:space="preserve">           4,671,279</t>
  </si>
  <si>
    <t xml:space="preserve">           1,489,963.9</t>
  </si>
  <si>
    <t xml:space="preserve">           1,682,099</t>
  </si>
  <si>
    <t xml:space="preserve">             257,683.7</t>
  </si>
  <si>
    <t xml:space="preserve">           1,277,918</t>
  </si>
  <si>
    <t xml:space="preserve">             837,629.4</t>
  </si>
  <si>
    <t xml:space="preserve">           1,602,518</t>
  </si>
  <si>
    <t xml:space="preserve">             861,301.9</t>
  </si>
  <si>
    <t xml:space="preserve">          18,258,464</t>
  </si>
  <si>
    <t xml:space="preserve">             176,244.2</t>
  </si>
  <si>
    <t xml:space="preserve">           5,218,741</t>
  </si>
  <si>
    <t xml:space="preserve">             159,879.3</t>
  </si>
  <si>
    <t xml:space="preserve">          11,203,230</t>
  </si>
  <si>
    <t xml:space="preserve">             511,235.3</t>
  </si>
  <si>
    <t xml:space="preserve">           1,598,233</t>
  </si>
  <si>
    <t xml:space="preserve">              13,943.1</t>
  </si>
  <si>
    <t xml:space="preserve">             238,260</t>
  </si>
  <si>
    <t xml:space="preserve">           2,963,684.1</t>
  </si>
  <si>
    <t xml:space="preserve">           8,247,497</t>
  </si>
  <si>
    <t xml:space="preserve">           1,895,928.4</t>
  </si>
  <si>
    <t xml:space="preserve">             626,853</t>
  </si>
  <si>
    <t xml:space="preserve">             690,983.5</t>
  </si>
  <si>
    <t xml:space="preserve">           2,159,811</t>
  </si>
  <si>
    <t xml:space="preserve">             242,273.2</t>
  </si>
  <si>
    <t xml:space="preserve">           3,082,309</t>
  </si>
  <si>
    <t xml:space="preserve">             134,499.0</t>
  </si>
  <si>
    <t xml:space="preserve">           2,378,524</t>
  </si>
  <si>
    <t xml:space="preserve">          40,639,215.4</t>
  </si>
  <si>
    <t xml:space="preserve">          24,388,559</t>
  </si>
  <si>
    <t xml:space="preserve">          27,500,775.3</t>
  </si>
  <si>
    <t xml:space="preserve">          12,401,360</t>
  </si>
  <si>
    <t xml:space="preserve">           7,752,137.0</t>
  </si>
  <si>
    <t xml:space="preserve">           2,330,770</t>
  </si>
  <si>
    <t xml:space="preserve">           1,285,345.1</t>
  </si>
  <si>
    <t xml:space="preserve">             578,758</t>
  </si>
  <si>
    <t xml:space="preserve">             111,793.0</t>
  </si>
  <si>
    <t xml:space="preserve">             141,786</t>
  </si>
  <si>
    <t xml:space="preserve">              98,032.5</t>
  </si>
  <si>
    <t xml:space="preserve">             301,900</t>
  </si>
  <si>
    <t xml:space="preserve">           1,565,720.9</t>
  </si>
  <si>
    <t xml:space="preserve">           4,600,934</t>
  </si>
  <si>
    <t xml:space="preserve">           1,318,627.2</t>
  </si>
  <si>
    <t xml:space="preserve">           1,525,633</t>
  </si>
  <si>
    <t xml:space="preserve">             238,404.1</t>
  </si>
  <si>
    <t xml:space="preserve">           1,247,446</t>
  </si>
  <si>
    <t xml:space="preserve">             768,380.2</t>
  </si>
  <si>
    <t xml:space="preserve">           1,259,973</t>
  </si>
  <si>
    <t xml:space="preserve">             542,522.1</t>
  </si>
  <si>
    <t xml:space="preserve">          19,466,868</t>
  </si>
  <si>
    <t xml:space="preserve">             168,923.0</t>
  </si>
  <si>
    <t xml:space="preserve">           6,244,362</t>
  </si>
  <si>
    <t xml:space="preserve">             160,917.5</t>
  </si>
  <si>
    <t xml:space="preserve">          11,959,608</t>
  </si>
  <si>
    <t xml:space="preserve">             199,732.5</t>
  </si>
  <si>
    <t xml:space="preserve">           1,060,456</t>
  </si>
  <si>
    <t xml:space="preserve">              12,949.1</t>
  </si>
  <si>
    <t xml:space="preserve">             202,441</t>
  </si>
  <si>
    <t xml:space="preserve">           3,599,329.2</t>
  </si>
  <si>
    <t xml:space="preserve">           9,250,533</t>
  </si>
  <si>
    <t xml:space="preserve">           2,387,916.3</t>
  </si>
  <si>
    <t xml:space="preserve">             774,895</t>
  </si>
  <si>
    <t xml:space="preserve">             785,389.4</t>
  </si>
  <si>
    <t xml:space="preserve">           2,491,762</t>
  </si>
  <si>
    <t xml:space="preserve">             281,012.9</t>
  </si>
  <si>
    <t xml:space="preserve">           3,606,527</t>
  </si>
  <si>
    <t xml:space="preserve">             145,010.5</t>
  </si>
  <si>
    <t xml:space="preserve">           2,377,349</t>
  </si>
  <si>
    <t xml:space="preserve">          43,209,868.8</t>
  </si>
  <si>
    <t xml:space="preserve">          25,204,179</t>
  </si>
  <si>
    <t xml:space="preserve">          28,556,786.1</t>
  </si>
  <si>
    <t xml:space="preserve">          13,104,076</t>
  </si>
  <si>
    <t xml:space="preserve">           8,770,446.2</t>
  </si>
  <si>
    <t xml:space="preserve">           2,110,975</t>
  </si>
  <si>
    <t xml:space="preserve">           1,402,267.0</t>
  </si>
  <si>
    <t xml:space="preserve">             592,735</t>
  </si>
  <si>
    <t xml:space="preserve">             132,238.8</t>
  </si>
  <si>
    <t xml:space="preserve">             171,410</t>
  </si>
  <si>
    <t xml:space="preserve">             103,381.1</t>
  </si>
  <si>
    <t xml:space="preserve">             321,985</t>
  </si>
  <si>
    <t xml:space="preserve">           1,610,079.1</t>
  </si>
  <si>
    <t xml:space="preserve">           4,588,012</t>
  </si>
  <si>
    <t xml:space="preserve">           1,529,375.1</t>
  </si>
  <si>
    <t xml:space="preserve">           1,657,394</t>
  </si>
  <si>
    <t xml:space="preserve">             255,310.6</t>
  </si>
  <si>
    <t xml:space="preserve">           1,366,274</t>
  </si>
  <si>
    <t xml:space="preserve">             849,984.9</t>
  </si>
  <si>
    <t xml:space="preserve">           1,291,318</t>
  </si>
  <si>
    <t xml:space="preserve">             643,376.1</t>
  </si>
  <si>
    <t xml:space="preserve">          19,876,876</t>
  </si>
  <si>
    <t xml:space="preserve">             178,603.3</t>
  </si>
  <si>
    <t xml:space="preserve">           5,704,640</t>
  </si>
  <si>
    <t xml:space="preserve">             184,572.6</t>
  </si>
  <si>
    <t xml:space="preserve">          12,759,834</t>
  </si>
  <si>
    <t xml:space="preserve">             267,951.0</t>
  </si>
  <si>
    <t xml:space="preserve">           1,198,360</t>
  </si>
  <si>
    <t xml:space="preserve">              12,249.2</t>
  </si>
  <si>
    <t xml:space="preserve">             214,041</t>
  </si>
  <si>
    <t xml:space="preserve">           3,257,795.9</t>
  </si>
  <si>
    <t xml:space="preserve">           7,824,985</t>
  </si>
  <si>
    <t xml:space="preserve">           2,172,836.0</t>
  </si>
  <si>
    <t xml:space="preserve">             692,969</t>
  </si>
  <si>
    <t xml:space="preserve">             707,810.6</t>
  </si>
  <si>
    <t xml:space="preserve">           2,173,200</t>
  </si>
  <si>
    <t xml:space="preserve">             250,117.2</t>
  </si>
  <si>
    <t xml:space="preserve">           3,100,702</t>
  </si>
  <si>
    <t xml:space="preserve">             127,032.1</t>
  </si>
  <si>
    <t xml:space="preserve">           1,858,113</t>
  </si>
  <si>
    <t xml:space="preserve">          40,325,151.2</t>
  </si>
  <si>
    <t xml:space="preserve">          23,730,222</t>
  </si>
  <si>
    <t xml:space="preserve">          27,667,631.5</t>
  </si>
  <si>
    <t xml:space="preserve">          12,501,414</t>
  </si>
  <si>
    <t xml:space="preserve">           7,172,673.6</t>
  </si>
  <si>
    <t xml:space="preserve">           1,864,608</t>
  </si>
  <si>
    <t xml:space="preserve">           1,221,069.5</t>
  </si>
  <si>
    <t xml:space="preserve">             538,579</t>
  </si>
  <si>
    <t xml:space="preserve">              91,167.4</t>
  </si>
  <si>
    <t xml:space="preserve">             125,169</t>
  </si>
  <si>
    <t xml:space="preserve">              96,067.8</t>
  </si>
  <si>
    <t xml:space="preserve">             298,193</t>
  </si>
  <si>
    <t xml:space="preserve">           1,588,537.3</t>
  </si>
  <si>
    <t xml:space="preserve">           4,100,211</t>
  </si>
  <si>
    <t xml:space="preserve">           1,461,951.8</t>
  </si>
  <si>
    <t xml:space="preserve">           1,751,854</t>
  </si>
  <si>
    <t xml:space="preserve">             238,707.5</t>
  </si>
  <si>
    <t xml:space="preserve">           1,304,746</t>
  </si>
  <si>
    <t xml:space="preserve">             787,344.8</t>
  </si>
  <si>
    <t xml:space="preserve">           1,245,448</t>
  </si>
  <si>
    <t xml:space="preserve">             533,347.6</t>
  </si>
  <si>
    <t xml:space="preserve">          19,163,786</t>
  </si>
  <si>
    <t xml:space="preserve">             177,648.9</t>
  </si>
  <si>
    <t xml:space="preserve">           5,968,520</t>
  </si>
  <si>
    <t xml:space="preserve">             181,997.8</t>
  </si>
  <si>
    <t xml:space="preserve">          11,814,771</t>
  </si>
  <si>
    <t xml:space="preserve">             163,749.4</t>
  </si>
  <si>
    <t xml:space="preserve">           1,211,384</t>
  </si>
  <si>
    <t xml:space="preserve">               9,951.5</t>
  </si>
  <si>
    <t xml:space="preserve">             169,112</t>
  </si>
  <si>
    <t xml:space="preserve">           3,358,733.6</t>
  </si>
  <si>
    <t xml:space="preserve">           8,244,538</t>
  </si>
  <si>
    <t xml:space="preserve">           2,196,884.6</t>
  </si>
  <si>
    <t xml:space="preserve">             663,272</t>
  </si>
  <si>
    <t xml:space="preserve">             743,422.4</t>
  </si>
  <si>
    <t xml:space="preserve">           2,226,458</t>
  </si>
  <si>
    <t xml:space="preserve">             281,062.8</t>
  </si>
  <si>
    <t xml:space="preserve">           3,342,165</t>
  </si>
  <si>
    <t xml:space="preserve">             137,363.8</t>
  </si>
  <si>
    <t xml:space="preserve">           2,012,643</t>
  </si>
  <si>
    <t xml:space="preserve">          43,599,369.1</t>
  </si>
  <si>
    <t xml:space="preserve">          24,801,745</t>
  </si>
  <si>
    <t xml:space="preserve">          29,660,498.8</t>
  </si>
  <si>
    <t xml:space="preserve">          12,723,479</t>
  </si>
  <si>
    <t xml:space="preserve">           8,050,868.6</t>
  </si>
  <si>
    <t xml:space="preserve">           2,129,265</t>
  </si>
  <si>
    <t xml:space="preserve">           1,435,185.9</t>
  </si>
  <si>
    <t xml:space="preserve">             602,808</t>
  </si>
  <si>
    <t xml:space="preserve">             123,221.8</t>
  </si>
  <si>
    <t xml:space="preserve">             168,010</t>
  </si>
  <si>
    <t xml:space="preserve">             105,030.6</t>
  </si>
  <si>
    <t xml:space="preserve">             316,678</t>
  </si>
  <si>
    <t xml:space="preserve">           1,707,636.9</t>
  </si>
  <si>
    <t xml:space="preserve">           4,384,247</t>
  </si>
  <si>
    <t xml:space="preserve">           1,395,361.6</t>
  </si>
  <si>
    <t xml:space="preserve">           1,748,246</t>
  </si>
  <si>
    <t xml:space="preserve">             245,426.4</t>
  </si>
  <si>
    <t xml:space="preserve">           1,389,767</t>
  </si>
  <si>
    <t xml:space="preserve">             876,138.6</t>
  </si>
  <si>
    <t xml:space="preserve">           1,339,245</t>
  </si>
  <si>
    <t xml:space="preserve">           1,056,895.7</t>
  </si>
  <si>
    <t xml:space="preserve">          21,820,098</t>
  </si>
  <si>
    <t xml:space="preserve">             185,139.6</t>
  </si>
  <si>
    <t xml:space="preserve">           6,944,616</t>
  </si>
  <si>
    <t xml:space="preserve">             187,259.9</t>
  </si>
  <si>
    <t xml:space="preserve">          12,571,289</t>
  </si>
  <si>
    <t xml:space="preserve">             671,697.8</t>
  </si>
  <si>
    <t xml:space="preserve">           2,119,086</t>
  </si>
  <si>
    <t xml:space="preserve">              12,798.4</t>
  </si>
  <si>
    <t xml:space="preserve">             185,106</t>
  </si>
  <si>
    <t xml:space="preserve">           3,224,574.9</t>
  </si>
  <si>
    <t xml:space="preserve">           7,849,288</t>
  </si>
  <si>
    <t xml:space="preserve">           2,110,786.0</t>
  </si>
  <si>
    <t xml:space="preserve">             643,319</t>
  </si>
  <si>
    <t xml:space="preserve">             733,473.0</t>
  </si>
  <si>
    <t xml:space="preserve">           2,372,620</t>
  </si>
  <si>
    <t xml:space="preserve">             257,897.0</t>
  </si>
  <si>
    <t xml:space="preserve">           2,849,514</t>
  </si>
  <si>
    <t xml:space="preserve">             122,418.8</t>
  </si>
  <si>
    <t xml:space="preserve">           1,983,835</t>
  </si>
  <si>
    <t xml:space="preserve">          44,142,855.6</t>
  </si>
  <si>
    <t xml:space="preserve">          25,519,184</t>
  </si>
  <si>
    <t xml:space="preserve">          30,890,590.3</t>
  </si>
  <si>
    <t xml:space="preserve">          13,823,720</t>
  </si>
  <si>
    <t xml:space="preserve">           7,630,161.3</t>
  </si>
  <si>
    <t xml:space="preserve">           2,419,240</t>
  </si>
  <si>
    <t xml:space="preserve">           1,294,268.1</t>
  </si>
  <si>
    <t xml:space="preserve">             585,445</t>
  </si>
  <si>
    <t xml:space="preserve">             122,241.9</t>
  </si>
  <si>
    <t xml:space="preserve">             169,802</t>
  </si>
  <si>
    <t xml:space="preserve">              98,073.7</t>
  </si>
  <si>
    <t xml:space="preserve">             281,807</t>
  </si>
  <si>
    <t xml:space="preserve">           1,813,032.3</t>
  </si>
  <si>
    <t xml:space="preserve">           4,268,893</t>
  </si>
  <si>
    <t xml:space="preserve">           1,285,702.6</t>
  </si>
  <si>
    <t xml:space="preserve">           1,548,329</t>
  </si>
  <si>
    <t xml:space="preserve">             227,472.5</t>
  </si>
  <si>
    <t xml:space="preserve">           1,264,142</t>
  </si>
  <si>
    <t xml:space="preserve">             781,312.9</t>
  </si>
  <si>
    <t xml:space="preserve">           1,157,806</t>
  </si>
  <si>
    <t xml:space="preserve">             559,907.1</t>
  </si>
  <si>
    <t xml:space="preserve">          17,803,820</t>
  </si>
  <si>
    <t xml:space="preserve">             172,419.0</t>
  </si>
  <si>
    <t xml:space="preserve">           5,178,154</t>
  </si>
  <si>
    <t xml:space="preserve">             174,078.2</t>
  </si>
  <si>
    <t xml:space="preserve">          11,255,615</t>
  </si>
  <si>
    <t xml:space="preserve">             200,332.3</t>
  </si>
  <si>
    <t xml:space="preserve">           1,167,447</t>
  </si>
  <si>
    <t xml:space="preserve">              13,077.6</t>
  </si>
  <si>
    <t xml:space="preserve">             202,604</t>
  </si>
  <si>
    <t xml:space="preserve">           3,259,302.5</t>
  </si>
  <si>
    <t xml:space="preserve">           8,154,330</t>
  </si>
  <si>
    <t xml:space="preserve">           2,237,704.0</t>
  </si>
  <si>
    <t xml:space="preserve">             701,281</t>
  </si>
  <si>
    <t xml:space="preserve">             712,160.8</t>
  </si>
  <si>
    <t xml:space="preserve">           2,265,269</t>
  </si>
  <si>
    <t xml:space="preserve">             213,229.7</t>
  </si>
  <si>
    <t xml:space="preserve">           3,376,191</t>
  </si>
  <si>
    <t xml:space="preserve">              96,208.1</t>
  </si>
  <si>
    <t xml:space="preserve">           1,811,590</t>
  </si>
  <si>
    <t xml:space="preserve">          37,769,049.4</t>
  </si>
  <si>
    <t xml:space="preserve">          22,604,209</t>
  </si>
  <si>
    <t xml:space="preserve">          25,571,484.7</t>
  </si>
  <si>
    <t xml:space="preserve">          11,351,346</t>
  </si>
  <si>
    <t xml:space="preserve">           6,915,584.0</t>
  </si>
  <si>
    <t xml:space="preserve">           1,845,386</t>
  </si>
  <si>
    <t xml:space="preserve">           1,254,479.7</t>
  </si>
  <si>
    <t xml:space="preserve">             564,356</t>
  </si>
  <si>
    <t xml:space="preserve">             127,491.8</t>
  </si>
  <si>
    <t xml:space="preserve">             175,950</t>
  </si>
  <si>
    <t xml:space="preserve">              95,475.0</t>
  </si>
  <si>
    <t xml:space="preserve">             280,686</t>
  </si>
  <si>
    <t xml:space="preserve">           1,689,121.6</t>
  </si>
  <si>
    <t xml:space="preserve">           4,462,698</t>
  </si>
  <si>
    <t xml:space="preserve">           1,258,467.9</t>
  </si>
  <si>
    <t xml:space="preserve">           1,377,832</t>
  </si>
  <si>
    <t xml:space="preserve">             218,794.6</t>
  </si>
  <si>
    <t xml:space="preserve">           1,184,062</t>
  </si>
  <si>
    <t xml:space="preserve">             638,150.0</t>
  </si>
  <si>
    <t xml:space="preserve">           1,361,894</t>
  </si>
  <si>
    <t xml:space="preserve">             506,848.6</t>
  </si>
  <si>
    <t xml:space="preserve">          17,570,203</t>
  </si>
  <si>
    <t xml:space="preserve">             167,102.1</t>
  </si>
  <si>
    <t xml:space="preserve">           5,984,752</t>
  </si>
  <si>
    <t xml:space="preserve">             155,672.5</t>
  </si>
  <si>
    <t xml:space="preserve">          10,262,919</t>
  </si>
  <si>
    <t xml:space="preserve">             172,121.5</t>
  </si>
  <si>
    <t xml:space="preserve">           1,118,570</t>
  </si>
  <si>
    <t xml:space="preserve">              11,952.5</t>
  </si>
  <si>
    <t xml:space="preserve">             203,962</t>
  </si>
  <si>
    <t xml:space="preserve">           3,150,641.6</t>
  </si>
  <si>
    <t xml:space="preserve">           9,042,514</t>
  </si>
  <si>
    <t xml:space="preserve">           1,935,640.7</t>
  </si>
  <si>
    <t xml:space="preserve">             592,488</t>
  </si>
  <si>
    <t xml:space="preserve">             825,336.5</t>
  </si>
  <si>
    <t xml:space="preserve">           2,446,236</t>
  </si>
  <si>
    <t xml:space="preserve">             265,078.8</t>
  </si>
  <si>
    <t xml:space="preserve">           3,881,049</t>
  </si>
  <si>
    <t xml:space="preserve">             124,585.5</t>
  </si>
  <si>
    <t xml:space="preserve">           2,122,740</t>
  </si>
  <si>
    <t xml:space="preserve">          37,890,764.1</t>
  </si>
  <si>
    <t xml:space="preserve">          23,875,142</t>
  </si>
  <si>
    <t xml:space="preserve">          25,197,660.5</t>
  </si>
  <si>
    <t xml:space="preserve">          11,998,732</t>
  </si>
  <si>
    <t xml:space="preserve">           7,512,161.9</t>
  </si>
  <si>
    <t xml:space="preserve">           2,132,587</t>
  </si>
  <si>
    <t xml:space="preserve">           1,171,657.9</t>
  </si>
  <si>
    <t xml:space="preserve">             568,712</t>
  </si>
  <si>
    <t xml:space="preserve">             139,224.0</t>
  </si>
  <si>
    <t xml:space="preserve">             196,713</t>
  </si>
  <si>
    <t xml:space="preserve">             101,011.2</t>
  </si>
  <si>
    <t xml:space="preserve">             316,594</t>
  </si>
  <si>
    <t xml:space="preserve">           1,489,172.9</t>
  </si>
  <si>
    <t xml:space="preserve">           4,369,341</t>
  </si>
  <si>
    <t xml:space="preserve">           1,296,854.5</t>
  </si>
  <si>
    <t xml:space="preserve">           1,691,660</t>
  </si>
  <si>
    <t xml:space="preserve">             231,045.3</t>
  </si>
  <si>
    <t xml:space="preserve">           1,364,857</t>
  </si>
  <si>
    <t xml:space="preserve">             751,975.9</t>
  </si>
  <si>
    <t xml:space="preserve">           1,235,946</t>
  </si>
  <si>
    <t xml:space="preserve">             918,847.0</t>
  </si>
  <si>
    <t xml:space="preserve">          20,423,375</t>
  </si>
  <si>
    <t xml:space="preserve">             184,610.4</t>
  </si>
  <si>
    <t xml:space="preserve">           7,266,393</t>
  </si>
  <si>
    <t xml:space="preserve">             189,598.5</t>
  </si>
  <si>
    <t xml:space="preserve">          11,749,931</t>
  </si>
  <si>
    <t xml:space="preserve">             531,735.4</t>
  </si>
  <si>
    <t xml:space="preserve">           1,211,676</t>
  </si>
  <si>
    <t xml:space="preserve">              12,902.8</t>
  </si>
  <si>
    <t xml:space="preserve">             195,375</t>
  </si>
  <si>
    <t xml:space="preserve">           3,563,683.7</t>
  </si>
  <si>
    <t xml:space="preserve">           9,152,082</t>
  </si>
  <si>
    <t xml:space="preserve">           2,268,832.5</t>
  </si>
  <si>
    <t xml:space="preserve">             687,616</t>
  </si>
  <si>
    <t xml:space="preserve">             848,783.6</t>
  </si>
  <si>
    <t xml:space="preserve">           2,583,255</t>
  </si>
  <si>
    <t xml:space="preserve">             313,328.7</t>
  </si>
  <si>
    <t xml:space="preserve">           3,892,083</t>
  </si>
  <si>
    <t xml:space="preserve">             132,738.9</t>
  </si>
  <si>
    <t xml:space="preserve">           1,989,128</t>
  </si>
  <si>
    <t xml:space="preserve">          40,843,033.7</t>
  </si>
  <si>
    <t xml:space="preserve">          24,616,883</t>
  </si>
  <si>
    <t xml:space="preserve">          25,801,565.8</t>
  </si>
  <si>
    <t xml:space="preserve">          11,796,678</t>
  </si>
  <si>
    <t xml:space="preserve">           9,035,011.2</t>
  </si>
  <si>
    <t xml:space="preserve">           2,440,364</t>
  </si>
  <si>
    <t xml:space="preserve">           1,292,534.0</t>
  </si>
  <si>
    <t xml:space="preserve">             591,656</t>
  </si>
  <si>
    <t xml:space="preserve">             176,169.0</t>
  </si>
  <si>
    <t xml:space="preserve">             243,955</t>
  </si>
  <si>
    <t xml:space="preserve">             114,105.6</t>
  </si>
  <si>
    <t xml:space="preserve">             340,662</t>
  </si>
  <si>
    <t xml:space="preserve">           1,782,241.5</t>
  </si>
  <si>
    <t xml:space="preserve">           4,701,164</t>
  </si>
  <si>
    <t xml:space="preserve">           1,496,610.8</t>
  </si>
  <si>
    <t xml:space="preserve">           1,624,400</t>
  </si>
  <si>
    <t xml:space="preserve">             280,420.4</t>
  </si>
  <si>
    <t xml:space="preserve">           1,490,383</t>
  </si>
  <si>
    <t xml:space="preserve">             864,375.4</t>
  </si>
  <si>
    <t xml:space="preserve">           1,387,620</t>
  </si>
  <si>
    <t xml:space="preserve">             849,912.6</t>
  </si>
  <si>
    <t xml:space="preserve">          19,463,751</t>
  </si>
  <si>
    <t xml:space="preserve">             208,714.1</t>
  </si>
  <si>
    <t xml:space="preserve">           6,254,302</t>
  </si>
  <si>
    <t xml:space="preserve">             201,555.5</t>
  </si>
  <si>
    <t xml:space="preserve">          11,451,922</t>
  </si>
  <si>
    <t xml:space="preserve">             422,321.5</t>
  </si>
  <si>
    <t xml:space="preserve">           1,520,810</t>
  </si>
  <si>
    <t xml:space="preserve">              17,321.5</t>
  </si>
  <si>
    <t xml:space="preserve">             236,718</t>
  </si>
  <si>
    <t xml:space="preserve">           3,398,722.3</t>
  </si>
  <si>
    <t xml:space="preserve">           8,683,826</t>
  </si>
  <si>
    <t xml:space="preserve">           2,207,512.1</t>
  </si>
  <si>
    <t xml:space="preserve">             663,010</t>
  </si>
  <si>
    <t xml:space="preserve">             775,301.9</t>
  </si>
  <si>
    <t xml:space="preserve">           2,481,612</t>
  </si>
  <si>
    <t xml:space="preserve">             302,002.7</t>
  </si>
  <si>
    <t xml:space="preserve">           3,860,979</t>
  </si>
  <si>
    <t xml:space="preserve">             113,905.6</t>
  </si>
  <si>
    <t xml:space="preserve">           1,678,225</t>
  </si>
  <si>
    <t xml:space="preserve">          38,877,076.2</t>
  </si>
  <si>
    <t xml:space="preserve">          23,319,698</t>
  </si>
  <si>
    <t xml:space="preserve">          26,667,655.8</t>
  </si>
  <si>
    <t xml:space="preserve">          11,659,316</t>
  </si>
  <si>
    <t xml:space="preserve">           6,446,090.3</t>
  </si>
  <si>
    <t xml:space="preserve">           2,015,017</t>
  </si>
  <si>
    <t xml:space="preserve">           1,187,903.2</t>
  </si>
  <si>
    <t xml:space="preserve">             536,423</t>
  </si>
  <si>
    <t xml:space="preserve">             161,094.2</t>
  </si>
  <si>
    <t xml:space="preserve">             221,117</t>
  </si>
  <si>
    <t xml:space="preserve">             102,108.0</t>
  </si>
  <si>
    <t xml:space="preserve">             309,931</t>
  </si>
  <si>
    <t xml:space="preserve">           1,842,835.3</t>
  </si>
  <si>
    <t xml:space="preserve">           4,363,947</t>
  </si>
  <si>
    <t xml:space="preserve">           1,384,573.7</t>
  </si>
  <si>
    <t xml:space="preserve">           1,508,266</t>
  </si>
  <si>
    <t xml:space="preserve">             261,182.4</t>
  </si>
  <si>
    <t xml:space="preserve">           1,431,735</t>
  </si>
  <si>
    <t xml:space="preserve">             823,633.3</t>
  </si>
  <si>
    <t xml:space="preserve">           1,273,946</t>
  </si>
  <si>
    <t xml:space="preserve">             754,675.4</t>
  </si>
  <si>
    <t xml:space="preserve">          18,341,591</t>
  </si>
  <si>
    <t xml:space="preserve">             185,124.5</t>
  </si>
  <si>
    <t xml:space="preserve">           5,659,076</t>
  </si>
  <si>
    <t xml:space="preserve">             176,390.8</t>
  </si>
  <si>
    <t xml:space="preserve">          10,949,630</t>
  </si>
  <si>
    <t xml:space="preserve">             374,593.5</t>
  </si>
  <si>
    <t xml:space="preserve">           1,475,458</t>
  </si>
  <si>
    <t xml:space="preserve">              18,566.5</t>
  </si>
  <si>
    <t xml:space="preserve">             257,428</t>
  </si>
  <si>
    <t xml:space="preserve">           3,373,763.6</t>
  </si>
  <si>
    <t xml:space="preserve">           8,488,832</t>
  </si>
  <si>
    <t xml:space="preserve">           2,220,829.9</t>
  </si>
  <si>
    <t xml:space="preserve">             686,135</t>
  </si>
  <si>
    <t xml:space="preserve">             756,143.0</t>
  </si>
  <si>
    <t xml:space="preserve">           2,449,845</t>
  </si>
  <si>
    <t xml:space="preserve">             281,135.8</t>
  </si>
  <si>
    <t xml:space="preserve">           3,563,716</t>
  </si>
  <si>
    <t xml:space="preserve">             115,654.8</t>
  </si>
  <si>
    <t xml:space="preserve">           1,789,136</t>
  </si>
  <si>
    <t xml:space="preserve">          38,435,787.4</t>
  </si>
  <si>
    <t xml:space="preserve">          22,509,706</t>
  </si>
  <si>
    <t xml:space="preserve">          25,044,152.6</t>
  </si>
  <si>
    <t xml:space="preserve">          10,103,709</t>
  </si>
  <si>
    <t xml:space="preserve">           7,998,499.7</t>
  </si>
  <si>
    <t xml:space="preserve">           2,684,929</t>
  </si>
  <si>
    <t xml:space="preserve">           1,221,324.5</t>
  </si>
  <si>
    <t xml:space="preserve">             536,677</t>
  </si>
  <si>
    <t xml:space="preserve">             163,060.3</t>
  </si>
  <si>
    <t xml:space="preserve">             219,456</t>
  </si>
  <si>
    <t xml:space="preserve">              97,784.1</t>
  </si>
  <si>
    <t xml:space="preserve">             301,660</t>
  </si>
  <si>
    <t xml:space="preserve">           1,603,510.7</t>
  </si>
  <si>
    <t xml:space="preserve">           4,452,289</t>
  </si>
  <si>
    <t xml:space="preserve">           1,276,396.6</t>
  </si>
  <si>
    <t xml:space="preserve">           1,455,944</t>
  </si>
  <si>
    <t xml:space="preserve">             245,798.7</t>
  </si>
  <si>
    <t xml:space="preserve">           1,426,853</t>
  </si>
  <si>
    <t xml:space="preserve">             785,260.2</t>
  </si>
  <si>
    <t xml:space="preserve">           1,328,190</t>
  </si>
  <si>
    <t xml:space="preserve">             919,334.3</t>
  </si>
  <si>
    <t xml:space="preserve">          19,827,208</t>
  </si>
  <si>
    <t xml:space="preserve">             192,295.0</t>
  </si>
  <si>
    <t xml:space="preserve">           6,526,829</t>
  </si>
  <si>
    <t xml:space="preserve">             182,857.0</t>
  </si>
  <si>
    <t xml:space="preserve">          11,630,417</t>
  </si>
  <si>
    <t xml:space="preserve">             526,605.6</t>
  </si>
  <si>
    <t xml:space="preserve">           1,416,476</t>
  </si>
  <si>
    <t xml:space="preserve">              17,576.8</t>
  </si>
  <si>
    <t xml:space="preserve">             253,487</t>
  </si>
  <si>
    <t xml:space="preserve">           3,237,821.2</t>
  </si>
  <si>
    <t xml:space="preserve">           9,240,972</t>
  </si>
  <si>
    <t xml:space="preserve">           2,018,060.5</t>
  </si>
  <si>
    <t xml:space="preserve">             619,623</t>
  </si>
  <si>
    <t xml:space="preserve">             792,353.7</t>
  </si>
  <si>
    <t xml:space="preserve">           2,600,087</t>
  </si>
  <si>
    <t xml:space="preserve">             304,818.5</t>
  </si>
  <si>
    <t xml:space="preserve">           3,963,751</t>
  </si>
  <si>
    <t xml:space="preserve">             122,588.5</t>
  </si>
  <si>
    <t xml:space="preserve">           2,057,511</t>
  </si>
  <si>
    <t xml:space="preserve">          43,472,138.6</t>
  </si>
  <si>
    <t xml:space="preserve">          24,495,339</t>
  </si>
  <si>
    <t xml:space="preserve">          30,492,017.1</t>
  </si>
  <si>
    <t xml:space="preserve">          11,640,603</t>
  </si>
  <si>
    <t xml:space="preserve">           7,039,104.1</t>
  </si>
  <si>
    <t xml:space="preserve">           2,389,217</t>
  </si>
  <si>
    <t xml:space="preserve">           1,247,219.5</t>
  </si>
  <si>
    <t xml:space="preserve">             542,366</t>
  </si>
  <si>
    <t xml:space="preserve">             140,007.2</t>
  </si>
  <si>
    <t xml:space="preserve">             102,587.0</t>
  </si>
  <si>
    <t xml:space="preserve">             311,900</t>
  </si>
  <si>
    <t xml:space="preserve">           1,775,724.7</t>
  </si>
  <si>
    <t xml:space="preserve">           4,858,142</t>
  </si>
  <si>
    <t xml:space="preserve">           1,620,344.1</t>
  </si>
  <si>
    <t xml:space="preserve">           1,637,837</t>
  </si>
  <si>
    <t xml:space="preserve">             253,342.7</t>
  </si>
  <si>
    <t xml:space="preserve">           1,511,079</t>
  </si>
  <si>
    <t xml:space="preserve">             801,792.2</t>
  </si>
  <si>
    <t xml:space="preserve">           1,406,834</t>
  </si>
  <si>
    <t xml:space="preserve">             830,256.2</t>
  </si>
  <si>
    <t xml:space="preserve">          20,474,060</t>
  </si>
  <si>
    <t xml:space="preserve">             199,835.9</t>
  </si>
  <si>
    <t xml:space="preserve">           6,187,723</t>
  </si>
  <si>
    <t xml:space="preserve">             188,201.4</t>
  </si>
  <si>
    <t xml:space="preserve">          12,579,341</t>
  </si>
  <si>
    <t xml:space="preserve">             425,220.8</t>
  </si>
  <si>
    <t xml:space="preserve">           1,455,022</t>
  </si>
  <si>
    <t xml:space="preserve">              16,998.0</t>
  </si>
  <si>
    <t xml:space="preserve">             251,974</t>
  </si>
  <si>
    <t xml:space="preserve">           3,211,913.1</t>
  </si>
  <si>
    <t xml:space="preserve">           8,738,428</t>
  </si>
  <si>
    <t xml:space="preserve">           2,086,737.1</t>
  </si>
  <si>
    <t xml:space="preserve">             620,231</t>
  </si>
  <si>
    <t xml:space="preserve">             721,621.0</t>
  </si>
  <si>
    <t xml:space="preserve">           2,363,958</t>
  </si>
  <si>
    <t xml:space="preserve">             281,611.1</t>
  </si>
  <si>
    <t xml:space="preserve">           3,638,708</t>
  </si>
  <si>
    <t xml:space="preserve">             121,943.9</t>
  </si>
  <si>
    <t xml:space="preserve">           2,115,532</t>
  </si>
  <si>
    <t xml:space="preserve">          44,926,676.5</t>
  </si>
  <si>
    <t xml:space="preserve">          24,284,869</t>
  </si>
  <si>
    <t xml:space="preserve">          32,654,453.0</t>
  </si>
  <si>
    <t xml:space="preserve">          12,748,240</t>
  </si>
  <si>
    <t xml:space="preserve">           6,902,107.0</t>
  </si>
  <si>
    <t xml:space="preserve">           2,177,439</t>
  </si>
  <si>
    <t xml:space="preserve">           1,159,611.1</t>
  </si>
  <si>
    <t xml:space="preserve">             483,070</t>
  </si>
  <si>
    <t xml:space="preserve">             161,917.8</t>
  </si>
  <si>
    <t xml:space="preserve">             222,056</t>
  </si>
  <si>
    <t xml:space="preserve">              89,722.7</t>
  </si>
  <si>
    <t xml:space="preserve">             267,587</t>
  </si>
  <si>
    <t xml:space="preserve">           1,672,348.5</t>
  </si>
  <si>
    <t xml:space="preserve">           4,324,224</t>
  </si>
  <si>
    <t xml:space="preserve">           1,297,257.7</t>
  </si>
  <si>
    <t xml:space="preserve">           1,459,699</t>
  </si>
  <si>
    <t xml:space="preserve">             236,402.3</t>
  </si>
  <si>
    <t xml:space="preserve">           1,344,714</t>
  </si>
  <si>
    <t xml:space="preserve">             752,856.5</t>
  </si>
  <si>
    <t xml:space="preserve">           1,257,842</t>
  </si>
  <si>
    <t xml:space="preserve">             503,331.1</t>
  </si>
  <si>
    <t xml:space="preserve">          18,833,326</t>
  </si>
  <si>
    <t xml:space="preserve">             187,502.4</t>
  </si>
  <si>
    <t xml:space="preserve">           5,496,474</t>
  </si>
  <si>
    <t xml:space="preserve">             174,143.4</t>
  </si>
  <si>
    <t xml:space="preserve">          12,079,553</t>
  </si>
  <si>
    <t xml:space="preserve">             127,132.6</t>
  </si>
  <si>
    <t xml:space="preserve">           1,005,463</t>
  </si>
  <si>
    <t xml:space="preserve">              14,552.6</t>
  </si>
  <si>
    <t xml:space="preserve">             251,836</t>
  </si>
  <si>
    <t xml:space="preserve">           3,512,712.2</t>
  </si>
  <si>
    <t xml:space="preserve">          10,080,962</t>
  </si>
  <si>
    <t xml:space="preserve">           2,247,945.6</t>
  </si>
  <si>
    <t xml:space="preserve">             679,874</t>
  </si>
  <si>
    <t xml:space="preserve">             825,637.8</t>
  </si>
  <si>
    <t xml:space="preserve">           2,621,488</t>
  </si>
  <si>
    <t xml:space="preserve">             293,062.5</t>
  </si>
  <si>
    <t xml:space="preserve">           4,324,412</t>
  </si>
  <si>
    <t xml:space="preserve">             146,066.3</t>
  </si>
  <si>
    <t xml:space="preserve">           2,455,188</t>
  </si>
  <si>
    <t xml:space="preserve">          43,086,952.9</t>
  </si>
  <si>
    <t xml:space="preserve">          24,488,105</t>
  </si>
  <si>
    <t xml:space="preserve">          29,727,008.0</t>
  </si>
  <si>
    <t xml:space="preserve">          11,279,609</t>
  </si>
  <si>
    <t xml:space="preserve">           7,651,511.9</t>
  </si>
  <si>
    <t xml:space="preserve">           2,547,377</t>
  </si>
  <si>
    <t xml:space="preserve">           1,231,416.9</t>
  </si>
  <si>
    <t xml:space="preserve">             505,385</t>
  </si>
  <si>
    <t xml:space="preserve">             124,485.4</t>
  </si>
  <si>
    <t xml:space="preserve">             197,889</t>
  </si>
  <si>
    <t xml:space="preserve">             106,161.7</t>
  </si>
  <si>
    <t xml:space="preserve">             315,288</t>
  </si>
  <si>
    <t xml:space="preserve">           1,762,554.2</t>
  </si>
  <si>
    <t xml:space="preserve">           5,072,213</t>
  </si>
  <si>
    <t xml:space="preserve">           1,429,608.7</t>
  </si>
  <si>
    <t xml:space="preserve">           1,597,331</t>
  </si>
  <si>
    <t xml:space="preserve">             263,255.4</t>
  </si>
  <si>
    <t xml:space="preserve">           1,533,531</t>
  </si>
  <si>
    <t xml:space="preserve">             790,950.7</t>
  </si>
  <si>
    <t xml:space="preserve">           1,439,481</t>
  </si>
  <si>
    <t xml:space="preserve">             678,673.1</t>
  </si>
  <si>
    <t xml:space="preserve">          21,850,546</t>
  </si>
  <si>
    <t xml:space="preserve">             201,241.4</t>
  </si>
  <si>
    <t xml:space="preserve">           7,178,815</t>
  </si>
  <si>
    <t xml:space="preserve">             192,493.4</t>
  </si>
  <si>
    <t xml:space="preserve">          13,130,410</t>
  </si>
  <si>
    <t xml:space="preserve">             270,755.0</t>
  </si>
  <si>
    <t xml:space="preserve">           1,322,418</t>
  </si>
  <si>
    <t xml:space="preserve">              14,183.3</t>
  </si>
  <si>
    <t xml:space="preserve">             218,904</t>
  </si>
  <si>
    <t xml:space="preserve">           3,312,603.6</t>
  </si>
  <si>
    <t xml:space="preserve">          10,179,995</t>
  </si>
  <si>
    <t xml:space="preserve">           2,217,253.7</t>
  </si>
  <si>
    <t xml:space="preserve">             649,392</t>
  </si>
  <si>
    <t xml:space="preserve">             701,834.0</t>
  </si>
  <si>
    <t xml:space="preserve">           2,221,998</t>
  </si>
  <si>
    <t xml:space="preserve">             260,050.7</t>
  </si>
  <si>
    <t xml:space="preserve">           5,184,001</t>
  </si>
  <si>
    <t xml:space="preserve">             133,465.2</t>
  </si>
  <si>
    <t xml:space="preserve">           2,124,603</t>
  </si>
  <si>
    <t xml:space="preserve">          43,642,260.9</t>
  </si>
  <si>
    <t xml:space="preserve">          23,570,523</t>
  </si>
  <si>
    <t xml:space="preserve">          29,820,174.5</t>
  </si>
  <si>
    <t xml:space="preserve">          11,823,082</t>
  </si>
  <si>
    <t xml:space="preserve">           8,811,419.0</t>
  </si>
  <si>
    <t xml:space="preserve">           2,531,598</t>
  </si>
  <si>
    <t xml:space="preserve">           1,165,482.7</t>
  </si>
  <si>
    <t xml:space="preserve">             479,366</t>
  </si>
  <si>
    <t xml:space="preserve">             124,915.3</t>
  </si>
  <si>
    <t xml:space="preserve">             188,933</t>
  </si>
  <si>
    <t xml:space="preserve">              92,029.3</t>
  </si>
  <si>
    <t xml:space="preserve">             274,696</t>
  </si>
  <si>
    <t xml:space="preserve">           1,518,546.0</t>
  </si>
  <si>
    <t xml:space="preserve">           4,238,406</t>
  </si>
  <si>
    <t xml:space="preserve">           1,163,705.9</t>
  </si>
  <si>
    <t xml:space="preserve">           1,335,280</t>
  </si>
  <si>
    <t xml:space="preserve">             220,810.8</t>
  </si>
  <si>
    <t xml:space="preserve">           1,284,576</t>
  </si>
  <si>
    <t xml:space="preserve">             725,177.4</t>
  </si>
  <si>
    <t xml:space="preserve">           1,414,586</t>
  </si>
  <si>
    <t xml:space="preserve">             621,029.1</t>
  </si>
  <si>
    <t xml:space="preserve">          19,760,310</t>
  </si>
  <si>
    <t xml:space="preserve">             167,297.3</t>
  </si>
  <si>
    <t xml:space="preserve">           5,800,581</t>
  </si>
  <si>
    <t xml:space="preserve">             177,039.7</t>
  </si>
  <si>
    <t xml:space="preserve">          12,344,526</t>
  </si>
  <si>
    <t xml:space="preserve">             264,106.0</t>
  </si>
  <si>
    <t xml:space="preserve">           1,431,756</t>
  </si>
  <si>
    <t xml:space="preserve">              12,586.1</t>
  </si>
  <si>
    <t xml:space="preserve">             183,447</t>
  </si>
  <si>
    <t xml:space="preserve">           3,155,032.0</t>
  </si>
  <si>
    <t xml:space="preserve">           9,381,754</t>
  </si>
  <si>
    <t xml:space="preserve">           2,063,149.5</t>
  </si>
  <si>
    <t xml:space="preserve">             614,851</t>
  </si>
  <si>
    <t xml:space="preserve">             691,816.2</t>
  </si>
  <si>
    <t xml:space="preserve">           2,206,759</t>
  </si>
  <si>
    <t xml:space="preserve">             270,463.2</t>
  </si>
  <si>
    <t xml:space="preserve">           4,708,086</t>
  </si>
  <si>
    <t xml:space="preserve">             129,603.1</t>
  </si>
  <si>
    <t xml:space="preserve">           1,852,059</t>
  </si>
  <si>
    <t xml:space="preserve">          39,581,764.3</t>
  </si>
  <si>
    <t xml:space="preserve">          21,849,251</t>
  </si>
  <si>
    <t xml:space="preserve">          27,172,113.4</t>
  </si>
  <si>
    <t xml:space="preserve">          10,222,433</t>
  </si>
  <si>
    <t xml:space="preserve">           7,347,468.9</t>
  </si>
  <si>
    <t xml:space="preserve">           2,280,580</t>
  </si>
  <si>
    <t xml:space="preserve">           1,068,446.6</t>
  </si>
  <si>
    <t xml:space="preserve">             458,138</t>
  </si>
  <si>
    <t xml:space="preserve">             152,344.0</t>
  </si>
  <si>
    <t xml:space="preserve">             215,598</t>
  </si>
  <si>
    <t xml:space="preserve">              94,841.9</t>
  </si>
  <si>
    <t xml:space="preserve">             283,886</t>
  </si>
  <si>
    <t xml:space="preserve">           1,618,974.1</t>
  </si>
  <si>
    <t xml:space="preserve">           4,329,691</t>
  </si>
  <si>
    <t xml:space="preserve">           1,146,654.2</t>
  </si>
  <si>
    <t xml:space="preserve">           1,326,376</t>
  </si>
  <si>
    <t xml:space="preserve">             215,613.0</t>
  </si>
  <si>
    <t xml:space="preserve">           1,404,628</t>
  </si>
  <si>
    <t xml:space="preserve">             765,308.3</t>
  </si>
  <si>
    <t xml:space="preserve">           1,327,921</t>
  </si>
  <si>
    <t xml:space="preserve">             816,242.5</t>
  </si>
  <si>
    <t xml:space="preserve">          20,053,600</t>
  </si>
  <si>
    <t xml:space="preserve">             181,898.7</t>
  </si>
  <si>
    <t xml:space="preserve">           6,183,232</t>
  </si>
  <si>
    <t xml:space="preserve">             180,583.0</t>
  </si>
  <si>
    <t xml:space="preserve">          12,203,271</t>
  </si>
  <si>
    <t xml:space="preserve">             441,477.1</t>
  </si>
  <si>
    <t xml:space="preserve">           1,459,814</t>
  </si>
  <si>
    <t xml:space="preserve">              12,283.8</t>
  </si>
  <si>
    <t xml:space="preserve">             207,281</t>
  </si>
  <si>
    <t xml:space="preserve">           3,621,192.6</t>
  </si>
  <si>
    <t xml:space="preserve">           9,720,377</t>
  </si>
  <si>
    <t xml:space="preserve">           2,397,961.8</t>
  </si>
  <si>
    <t xml:space="preserve">             724,958</t>
  </si>
  <si>
    <t xml:space="preserve">             786,593.9</t>
  </si>
  <si>
    <t xml:space="preserve">           2,479,785</t>
  </si>
  <si>
    <t xml:space="preserve">             297,003.3</t>
  </si>
  <si>
    <t xml:space="preserve">           4,373,815</t>
  </si>
  <si>
    <t xml:space="preserve">             139,633.7</t>
  </si>
  <si>
    <t xml:space="preserve">           2,141,819</t>
  </si>
  <si>
    <t xml:space="preserve">          43,268,516.2</t>
  </si>
  <si>
    <t xml:space="preserve">          24,558,340</t>
  </si>
  <si>
    <t xml:space="preserve">          29,163,633.8</t>
  </si>
  <si>
    <t xml:space="preserve">          11,212,688</t>
  </si>
  <si>
    <t xml:space="preserve">           8,117,729.6</t>
  </si>
  <si>
    <t xml:space="preserve">           2,546,895</t>
  </si>
  <si>
    <t xml:space="preserve">           1,210,409.4</t>
  </si>
  <si>
    <t xml:space="preserve">             533,769</t>
  </si>
  <si>
    <t xml:space="preserve">             141,511.0</t>
  </si>
  <si>
    <t xml:space="preserve">             220,196</t>
  </si>
  <si>
    <t xml:space="preserve">             110,050.5</t>
  </si>
  <si>
    <t xml:space="preserve">             317,990</t>
  </si>
  <si>
    <t xml:space="preserve">           1,979,238.6</t>
  </si>
  <si>
    <t xml:space="preserve">           5,045,262</t>
  </si>
  <si>
    <t xml:space="preserve">           1,444,980.1</t>
  </si>
  <si>
    <t xml:space="preserve">           1,627,440</t>
  </si>
  <si>
    <t xml:space="preserve">             224,819.0</t>
  </si>
  <si>
    <t xml:space="preserve">           1,555,044</t>
  </si>
  <si>
    <t xml:space="preserve">             876,144.4</t>
  </si>
  <si>
    <t xml:space="preserve">           1,499,055</t>
  </si>
  <si>
    <t xml:space="preserve">             620,697.4</t>
  </si>
  <si>
    <t xml:space="preserve">          23,088,968</t>
  </si>
  <si>
    <t xml:space="preserve">             203,713.8</t>
  </si>
  <si>
    <t xml:space="preserve">           7,366,924</t>
  </si>
  <si>
    <t xml:space="preserve">             221,319.9</t>
  </si>
  <si>
    <t xml:space="preserve">          14,149,043</t>
  </si>
  <si>
    <t xml:space="preserve">             181,476.9</t>
  </si>
  <si>
    <t xml:space="preserve">           1,349,564</t>
  </si>
  <si>
    <t xml:space="preserve">              14,186.8</t>
  </si>
  <si>
    <t xml:space="preserve">             223,437</t>
  </si>
  <si>
    <t xml:space="preserve">           3,288,193.4</t>
  </si>
  <si>
    <t xml:space="preserve">          10,025,439</t>
  </si>
  <si>
    <t xml:space="preserve">           2,075,482.2</t>
  </si>
  <si>
    <t xml:space="preserve">             666,519</t>
  </si>
  <si>
    <t xml:space="preserve">             803,590.4</t>
  </si>
  <si>
    <t xml:space="preserve">           2,960,981</t>
  </si>
  <si>
    <t xml:space="preserve">             284,483.4</t>
  </si>
  <si>
    <t xml:space="preserve">           4,347,447</t>
  </si>
  <si>
    <t xml:space="preserve">             124,637.5</t>
  </si>
  <si>
    <t xml:space="preserve">           2,050,491</t>
  </si>
  <si>
    <t xml:space="preserve">          46,079,124.3</t>
  </si>
  <si>
    <t xml:space="preserve">          25,446,510</t>
  </si>
  <si>
    <t xml:space="preserve">          32,363,417.5</t>
  </si>
  <si>
    <t xml:space="preserve">          11,983,830</t>
  </si>
  <si>
    <t xml:space="preserve">           8,258,394.6</t>
  </si>
  <si>
    <t xml:space="preserve">           3,257,631</t>
  </si>
  <si>
    <t xml:space="preserve">           1,193,121.4</t>
  </si>
  <si>
    <t xml:space="preserve">             502,100</t>
  </si>
  <si>
    <t xml:space="preserve">             147,699.1</t>
  </si>
  <si>
    <t xml:space="preserve">             219,924</t>
  </si>
  <si>
    <t xml:space="preserve">              97,870.3</t>
  </si>
  <si>
    <t xml:space="preserve">             283,326</t>
  </si>
  <si>
    <t xml:space="preserve">           1,727,611.9</t>
  </si>
  <si>
    <t xml:space="preserve">           4,486,555</t>
  </si>
  <si>
    <t xml:space="preserve">           1,195,804.0</t>
  </si>
  <si>
    <t xml:space="preserve">           1,354,633</t>
  </si>
  <si>
    <t xml:space="preserve">             261,800.8</t>
  </si>
  <si>
    <t xml:space="preserve">           1,766,282</t>
  </si>
  <si>
    <t xml:space="preserve">             833,404.7</t>
  </si>
  <si>
    <t xml:space="preserve">           1,592,229</t>
  </si>
  <si>
    <t xml:space="preserve">             647,798.5</t>
  </si>
  <si>
    <t xml:space="preserve">          21,671,520</t>
  </si>
  <si>
    <t xml:space="preserve">             190,374.7</t>
  </si>
  <si>
    <t xml:space="preserve">           6,808,687</t>
  </si>
  <si>
    <t xml:space="preserve">             186,749.4</t>
  </si>
  <si>
    <t xml:space="preserve">          13,445,934</t>
  </si>
  <si>
    <t xml:space="preserve">             257,735.5</t>
  </si>
  <si>
    <t xml:space="preserve">           1,228,066</t>
  </si>
  <si>
    <t xml:space="preserve">              12,938.9</t>
  </si>
  <si>
    <t xml:space="preserve">             188,833</t>
  </si>
  <si>
    <t xml:space="preserve">           3,013,842.6</t>
  </si>
  <si>
    <t xml:space="preserve">           9,273,669</t>
  </si>
  <si>
    <t xml:space="preserve">           2,000,175.2</t>
  </si>
  <si>
    <t xml:space="preserve">             606,179</t>
  </si>
  <si>
    <t xml:space="preserve">             638,993.8</t>
  </si>
  <si>
    <t xml:space="preserve">           2,184,307</t>
  </si>
  <si>
    <t xml:space="preserve">             264,298.3</t>
  </si>
  <si>
    <t xml:space="preserve">           4,571,702</t>
  </si>
  <si>
    <t xml:space="preserve">             110,375.3</t>
  </si>
  <si>
    <t xml:space="preserve">           1,911,482</t>
  </si>
  <si>
    <t xml:space="preserve">          39,814,232.4</t>
  </si>
  <si>
    <t xml:space="preserve">          22,237,363</t>
  </si>
  <si>
    <t xml:space="preserve">          28,578,358.0</t>
  </si>
  <si>
    <t xml:space="preserve">          10,888,628</t>
  </si>
  <si>
    <t xml:space="preserve">           6,573,373.9</t>
  </si>
  <si>
    <t xml:space="preserve">           2,341,918</t>
  </si>
  <si>
    <t xml:space="preserve">             958,246.1</t>
  </si>
  <si>
    <t xml:space="preserve">             427,991</t>
  </si>
  <si>
    <t xml:space="preserve">             114,904.4</t>
  </si>
  <si>
    <t xml:space="preserve">             161,239</t>
  </si>
  <si>
    <t xml:space="preserve">              83,747.1</t>
  </si>
  <si>
    <t xml:space="preserve">             246,677</t>
  </si>
  <si>
    <t xml:space="preserve">           1,520,788.9</t>
  </si>
  <si>
    <t xml:space="preserve">           4,216,160</t>
  </si>
  <si>
    <t xml:space="preserve">           1,111,690.9</t>
  </si>
  <si>
    <t xml:space="preserve">           1,321,394</t>
  </si>
  <si>
    <t xml:space="preserve">             190,373.5</t>
  </si>
  <si>
    <t xml:space="preserve">           1,460,865</t>
  </si>
  <si>
    <t xml:space="preserve">             682,749.6</t>
  </si>
  <si>
    <t xml:space="preserve">           1,172,490</t>
  </si>
  <si>
    <t xml:space="preserve">             475,212.0</t>
  </si>
  <si>
    <t xml:space="preserve">          20,422,881</t>
  </si>
  <si>
    <t xml:space="preserve">             164,765.9</t>
  </si>
  <si>
    <t xml:space="preserve">           6,714,180</t>
  </si>
  <si>
    <t xml:space="preserve">             169,158.8</t>
  </si>
  <si>
    <t xml:space="preserve">          12,458,999</t>
  </si>
  <si>
    <t xml:space="preserve">             126,605.6</t>
  </si>
  <si>
    <t xml:space="preserve">           1,054,136</t>
  </si>
  <si>
    <t xml:space="preserve">              14,681.6</t>
  </si>
  <si>
    <t xml:space="preserve">             195,567</t>
  </si>
  <si>
    <t xml:space="preserve">           3,488,992.1</t>
  </si>
  <si>
    <t xml:space="preserve">           9,243,250</t>
  </si>
  <si>
    <t xml:space="preserve">           2,269,886.4</t>
  </si>
  <si>
    <t xml:space="preserve">             671,019</t>
  </si>
  <si>
    <t xml:space="preserve">             841,251.7</t>
  </si>
  <si>
    <t xml:space="preserve">           2,696,633</t>
  </si>
  <si>
    <t xml:space="preserve">             260,776.8</t>
  </si>
  <si>
    <t xml:space="preserve">           3,858,739</t>
  </si>
  <si>
    <t xml:space="preserve">             117,077.1</t>
  </si>
  <si>
    <t xml:space="preserve">           2,016,859</t>
  </si>
  <si>
    <t xml:space="preserve">          39,823,733.9</t>
  </si>
  <si>
    <t xml:space="preserve">          26,198,227</t>
  </si>
  <si>
    <t xml:space="preserve">          26,689,974.0</t>
  </si>
  <si>
    <t xml:space="preserve">          11,600,059</t>
  </si>
  <si>
    <t xml:space="preserve">           7,513,012.7</t>
  </si>
  <si>
    <t xml:space="preserve">           2,949,586</t>
  </si>
  <si>
    <t xml:space="preserve">           1,124,635.7</t>
  </si>
  <si>
    <t xml:space="preserve">             462,386</t>
  </si>
  <si>
    <t xml:space="preserve">             168,034.7</t>
  </si>
  <si>
    <t xml:space="preserve">             238,481</t>
  </si>
  <si>
    <t xml:space="preserve">              99,579.5</t>
  </si>
  <si>
    <t xml:space="preserve">             300,938</t>
  </si>
  <si>
    <t xml:space="preserve">           1,785,665.3</t>
  </si>
  <si>
    <t xml:space="preserve">           5,285,912</t>
  </si>
  <si>
    <t xml:space="preserve">           1,414,061.4</t>
  </si>
  <si>
    <t xml:space="preserve">           1,537,356</t>
  </si>
  <si>
    <t xml:space="preserve">             262,149.9</t>
  </si>
  <si>
    <t xml:space="preserve">           1,966,091</t>
  </si>
  <si>
    <t xml:space="preserve">             766,620.7</t>
  </si>
  <si>
    <t xml:space="preserve">           1,857,419</t>
  </si>
  <si>
    <t xml:space="preserve">             652,687.1</t>
  </si>
  <si>
    <t xml:space="preserve">          25,311,968</t>
  </si>
  <si>
    <t xml:space="preserve">             188,095.7</t>
  </si>
  <si>
    <t xml:space="preserve">           8,030,035</t>
  </si>
  <si>
    <t xml:space="preserve">             211,966.7</t>
  </si>
  <si>
    <t xml:space="preserve">          15,380,690</t>
  </si>
  <si>
    <t xml:space="preserve">             236,547.9</t>
  </si>
  <si>
    <t xml:space="preserve">           1,633,092</t>
  </si>
  <si>
    <t xml:space="preserve">              16,076.8</t>
  </si>
  <si>
    <t xml:space="preserve">             268,151</t>
  </si>
  <si>
    <t xml:space="preserve">           3,624,287.9</t>
  </si>
  <si>
    <t xml:space="preserve">           9,616,391</t>
  </si>
  <si>
    <t xml:space="preserve">           2,337,194.9</t>
  </si>
  <si>
    <t xml:space="preserve">             718,989</t>
  </si>
  <si>
    <t xml:space="preserve">             818,618.4</t>
  </si>
  <si>
    <t xml:space="preserve">           2,615,745</t>
  </si>
  <si>
    <t xml:space="preserve">             330,224.0</t>
  </si>
  <si>
    <t xml:space="preserve">           4,190,378</t>
  </si>
  <si>
    <t xml:space="preserve">             138,250.5</t>
  </si>
  <si>
    <t xml:space="preserve">           2,091,279</t>
  </si>
  <si>
    <t xml:space="preserve">          37,548,785.0</t>
  </si>
  <si>
    <t xml:space="preserve">          27,622,728</t>
  </si>
  <si>
    <t xml:space="preserve">          23,588,336.5</t>
  </si>
  <si>
    <t xml:space="preserve">          12,581,224</t>
  </si>
  <si>
    <t xml:space="preserve">           8,044,009.7</t>
  </si>
  <si>
    <t xml:space="preserve">           3,124,043</t>
  </si>
  <si>
    <t xml:space="preserve">           1,191,853.0</t>
  </si>
  <si>
    <t xml:space="preserve">             501,918</t>
  </si>
  <si>
    <t xml:space="preserve">             173,476.7</t>
  </si>
  <si>
    <t xml:space="preserve">             251,652</t>
  </si>
  <si>
    <t xml:space="preserve">             108,983.0</t>
  </si>
  <si>
    <t xml:space="preserve">             334,959</t>
  </si>
  <si>
    <t xml:space="preserve">           1,935,909.8</t>
  </si>
  <si>
    <t xml:space="preserve">           5,711,336</t>
  </si>
  <si>
    <t xml:space="preserve">           1,390,937.1</t>
  </si>
  <si>
    <t xml:space="preserve">           1,553,202</t>
  </si>
  <si>
    <t xml:space="preserve">             261,438.6</t>
  </si>
  <si>
    <t xml:space="preserve">           2,054,856</t>
  </si>
  <si>
    <t xml:space="preserve">             853,840.7</t>
  </si>
  <si>
    <t xml:space="preserve">           1,509,538</t>
  </si>
  <si>
    <t xml:space="preserve">             825,407.8</t>
  </si>
  <si>
    <t xml:space="preserve">          24,865,788</t>
  </si>
  <si>
    <t xml:space="preserve">             212,570.3</t>
  </si>
  <si>
    <t xml:space="preserve">           7,551,789</t>
  </si>
  <si>
    <t xml:space="preserve">             208,890.5</t>
  </si>
  <si>
    <t xml:space="preserve">          15,474,206</t>
  </si>
  <si>
    <t xml:space="preserve">             385,804.7</t>
  </si>
  <si>
    <t xml:space="preserve">           1,589,297</t>
  </si>
  <si>
    <t xml:space="preserve">              18,142.3</t>
  </si>
  <si>
    <t xml:space="preserve">             250,497</t>
  </si>
  <si>
    <t xml:space="preserve">           3,184,986.3</t>
  </si>
  <si>
    <t xml:space="preserve">           8,836,336</t>
  </si>
  <si>
    <t xml:space="preserve">           2,032,910.6</t>
  </si>
  <si>
    <t xml:space="preserve">             628,717</t>
  </si>
  <si>
    <t xml:space="preserve">             721,555.0</t>
  </si>
  <si>
    <t xml:space="preserve">           2,385,630</t>
  </si>
  <si>
    <t xml:space="preserve">             313,660.5</t>
  </si>
  <si>
    <t xml:space="preserve">           4,027,523</t>
  </si>
  <si>
    <t xml:space="preserve">             116,860.1</t>
  </si>
  <si>
    <t xml:space="preserve">           1,794,465</t>
  </si>
  <si>
    <t xml:space="preserve">          35,552,285.9</t>
  </si>
  <si>
    <t xml:space="preserve">          28,424,410</t>
  </si>
  <si>
    <t xml:space="preserve">          23,911,375.3</t>
  </si>
  <si>
    <t xml:space="preserve">          14,292,320</t>
  </si>
  <si>
    <t xml:space="preserve">           6,217,240.9</t>
  </si>
  <si>
    <t xml:space="preserve">           2,602,652</t>
  </si>
  <si>
    <t xml:space="preserve">           1,055,616.0</t>
  </si>
  <si>
    <t xml:space="preserve">             477,322</t>
  </si>
  <si>
    <t xml:space="preserve">             143,184.5</t>
  </si>
  <si>
    <t xml:space="preserve">             210,506</t>
  </si>
  <si>
    <t xml:space="preserve">              94,304.2</t>
  </si>
  <si>
    <t xml:space="preserve">             310,370</t>
  </si>
  <si>
    <t xml:space="preserve">           1,796,365.7</t>
  </si>
  <si>
    <t xml:space="preserve">           5,563,663</t>
  </si>
  <si>
    <t xml:space="preserve">           1,335,234.8</t>
  </si>
  <si>
    <t xml:space="preserve">           1,508,549</t>
  </si>
  <si>
    <t xml:space="preserve">             264,029.5</t>
  </si>
  <si>
    <t xml:space="preserve">           2,042,257</t>
  </si>
  <si>
    <t xml:space="preserve">             734,935.0</t>
  </si>
  <si>
    <t xml:space="preserve">           1,416,772</t>
  </si>
  <si>
    <t xml:space="preserve">             990,242.9</t>
  </si>
  <si>
    <t xml:space="preserve">          23,487,604</t>
  </si>
  <si>
    <t xml:space="preserve">             192,691.8</t>
  </si>
  <si>
    <t xml:space="preserve">           6,901,204</t>
  </si>
  <si>
    <t xml:space="preserve">             180,014.7</t>
  </si>
  <si>
    <t xml:space="preserve">          14,885,302</t>
  </si>
  <si>
    <t xml:space="preserve">             600,788.6</t>
  </si>
  <si>
    <t xml:space="preserve">           1,471,599</t>
  </si>
  <si>
    <t xml:space="preserve">              16,747.9</t>
  </si>
  <si>
    <t xml:space="preserve">             229,499</t>
  </si>
  <si>
    <t xml:space="preserve">           3,378,945.1</t>
  </si>
  <si>
    <t xml:space="preserve">           9,874,771</t>
  </si>
  <si>
    <t xml:space="preserve">           2,108,485.1</t>
  </si>
  <si>
    <t xml:space="preserve">             659,174</t>
  </si>
  <si>
    <t xml:space="preserve">             780,113.8</t>
  </si>
  <si>
    <t xml:space="preserve">           2,527,323</t>
  </si>
  <si>
    <t xml:space="preserve">             360,252.9</t>
  </si>
  <si>
    <t xml:space="preserve">           4,670,794</t>
  </si>
  <si>
    <t xml:space="preserve">             130,093.3</t>
  </si>
  <si>
    <t xml:space="preserve">           2,017,479</t>
  </si>
  <si>
    <t xml:space="preserve">          39,046,417.2</t>
  </si>
  <si>
    <t xml:space="preserve">          29,348,553</t>
  </si>
  <si>
    <t xml:space="preserve">          25,769,632.1</t>
  </si>
  <si>
    <t xml:space="preserve">          14,281,133</t>
  </si>
  <si>
    <t xml:space="preserve">           7,508,379.4</t>
  </si>
  <si>
    <t xml:space="preserve">           2,659,923</t>
  </si>
  <si>
    <t xml:space="preserve">           1,242,745.8</t>
  </si>
  <si>
    <t xml:space="preserve">             541,438</t>
  </si>
  <si>
    <t xml:space="preserve">             193,618.2</t>
  </si>
  <si>
    <t xml:space="preserve">             284,407</t>
  </si>
  <si>
    <t xml:space="preserve">             107,052.0</t>
  </si>
  <si>
    <t xml:space="preserve">             352,467</t>
  </si>
  <si>
    <t xml:space="preserve">           1,743,316.5</t>
  </si>
  <si>
    <t xml:space="preserve">           5,733,065</t>
  </si>
  <si>
    <t xml:space="preserve">           1,351,115.3</t>
  </si>
  <si>
    <t xml:space="preserve">           1,621,422</t>
  </si>
  <si>
    <t xml:space="preserve">             305,696.6</t>
  </si>
  <si>
    <t xml:space="preserve">           2,475,660</t>
  </si>
  <si>
    <t xml:space="preserve">             824,861.4</t>
  </si>
  <si>
    <t xml:space="preserve">           1,399,037</t>
  </si>
  <si>
    <t xml:space="preserve">           1,263,700.0</t>
  </si>
  <si>
    <t xml:space="preserve">          26,828,263</t>
  </si>
  <si>
    <t xml:space="preserve">             218,901.4</t>
  </si>
  <si>
    <t xml:space="preserve">           7,798,768</t>
  </si>
  <si>
    <t xml:space="preserve">             195,007.4</t>
  </si>
  <si>
    <t xml:space="preserve">          17,292,037</t>
  </si>
  <si>
    <t xml:space="preserve">             831,664.1</t>
  </si>
  <si>
    <t xml:space="preserve">           1,461,784</t>
  </si>
  <si>
    <t xml:space="preserve">              18,127.1</t>
  </si>
  <si>
    <t xml:space="preserve">             275,673</t>
  </si>
  <si>
    <t xml:space="preserve">           3,578,556.0</t>
  </si>
  <si>
    <t xml:space="preserve">           8,959,525</t>
  </si>
  <si>
    <t xml:space="preserve">           2,412,142.5</t>
  </si>
  <si>
    <t xml:space="preserve">             761,327</t>
  </si>
  <si>
    <t xml:space="preserve">             744,609.6</t>
  </si>
  <si>
    <t xml:space="preserve">           2,487,369</t>
  </si>
  <si>
    <t xml:space="preserve">             302,518.2</t>
  </si>
  <si>
    <t xml:space="preserve">           3,703,259</t>
  </si>
  <si>
    <t xml:space="preserve">             119,285.7</t>
  </si>
  <si>
    <t xml:space="preserve">           2,007,570</t>
  </si>
  <si>
    <t xml:space="preserve">          46,096,705.7</t>
  </si>
  <si>
    <t xml:space="preserve">          31,627,152</t>
  </si>
  <si>
    <t xml:space="preserve">          31,745,906.4</t>
  </si>
  <si>
    <t xml:space="preserve">          16,215,924</t>
  </si>
  <si>
    <t xml:space="preserve">           8,824,301.3</t>
  </si>
  <si>
    <t xml:space="preserve">           3,331,889</t>
  </si>
  <si>
    <t xml:space="preserve">           1,086,490.8</t>
  </si>
  <si>
    <t xml:space="preserve">             510,215</t>
  </si>
  <si>
    <t xml:space="preserve">             211,294.0</t>
  </si>
  <si>
    <t xml:space="preserve">             302,258</t>
  </si>
  <si>
    <t xml:space="preserve">              98,802.2</t>
  </si>
  <si>
    <t xml:space="preserve">           1,703,847.5</t>
  </si>
  <si>
    <t xml:space="preserve">           5,650,336</t>
  </si>
  <si>
    <t xml:space="preserve">           1,360,446.3</t>
  </si>
  <si>
    <t xml:space="preserve">           1,602,807</t>
  </si>
  <si>
    <t xml:space="preserve">             287,628.2</t>
  </si>
  <si>
    <t xml:space="preserve">           2,223,256</t>
  </si>
  <si>
    <t xml:space="preserve">             777,989.1</t>
  </si>
  <si>
    <t xml:space="preserve">           1,473,795</t>
  </si>
  <si>
    <t xml:space="preserve">           1,468,914.5</t>
  </si>
  <si>
    <t xml:space="preserve">          27,980,796</t>
  </si>
  <si>
    <t xml:space="preserve">             209,677.8</t>
  </si>
  <si>
    <t xml:space="preserve">           7,784,623</t>
  </si>
  <si>
    <t xml:space="preserve">             198,139.3</t>
  </si>
  <si>
    <t xml:space="preserve">          17,759,882</t>
  </si>
  <si>
    <t xml:space="preserve">           1,044,643.4</t>
  </si>
  <si>
    <t xml:space="preserve">           2,189,673</t>
  </si>
  <si>
    <t xml:space="preserve">              16,454.0</t>
  </si>
  <si>
    <t xml:space="preserve">             246,617</t>
  </si>
  <si>
    <t xml:space="preserve">수출입 실적(신성질별)</t>
  </si>
  <si>
    <t xml:space="preserve">검색조건  통계항목 : 신성질별, 신성질명 : 전체, 세부성질 유무 : 무, 조회기간 : 202401  ~ 202607 , 통계기준 : 수리일, 중량단위 : 톤</t>
  </si>
  <si>
    <t xml:space="preserve">신성질명</t>
  </si>
  <si>
    <r>
      <rPr>
        <sz val="10"/>
        <rFont val="맑은 고딕"/>
        <family val="0"/>
        <charset val="1"/>
      </rPr>
      <t xml:space="preserve">1.</t>
    </r>
    <r>
      <rPr>
        <sz val="10"/>
        <rFont val="WenQuanYi Zen Hei"/>
        <family val="2"/>
      </rPr>
      <t xml:space="preserve">소비재</t>
    </r>
  </si>
  <si>
    <t xml:space="preserve">             890,383.0</t>
  </si>
  <si>
    <t xml:space="preserve">           8,679,299</t>
  </si>
  <si>
    <t xml:space="preserve">           2,368,995.8</t>
  </si>
  <si>
    <t xml:space="preserve">           7,508,719</t>
  </si>
  <si>
    <t xml:space="preserve">가.직접소비재</t>
  </si>
  <si>
    <t xml:space="preserve">             245,293.6</t>
  </si>
  <si>
    <t xml:space="preserve">             810,359</t>
  </si>
  <si>
    <t xml:space="preserve">           1,996,413.8</t>
  </si>
  <si>
    <t xml:space="preserve">           3,062,773</t>
  </si>
  <si>
    <t xml:space="preserve">나.내구소비재</t>
  </si>
  <si>
    <t xml:space="preserve">             490,546.6</t>
  </si>
  <si>
    <t xml:space="preserve">           6,352,080</t>
  </si>
  <si>
    <t xml:space="preserve">             201,838.0</t>
  </si>
  <si>
    <t xml:space="preserve">           1,929,589</t>
  </si>
  <si>
    <t xml:space="preserve">다.비내구소비재</t>
  </si>
  <si>
    <t xml:space="preserve">             151,038.0</t>
  </si>
  <si>
    <t xml:space="preserve">           1,512,572</t>
  </si>
  <si>
    <t xml:space="preserve">             170,248.2</t>
  </si>
  <si>
    <t xml:space="preserve">           2,516,357</t>
  </si>
  <si>
    <t xml:space="preserve">라.간이세율적용분</t>
  </si>
  <si>
    <t xml:space="preserve">               3,504.9</t>
  </si>
  <si>
    <t xml:space="preserve">               4,289</t>
  </si>
  <si>
    <r>
      <rPr>
        <sz val="10"/>
        <rFont val="맑은 고딕"/>
        <family val="0"/>
        <charset val="1"/>
      </rPr>
      <t xml:space="preserve">2.</t>
    </r>
    <r>
      <rPr>
        <sz val="10"/>
        <rFont val="WenQuanYi Zen Hei"/>
        <family val="2"/>
      </rPr>
      <t xml:space="preserve">원자재</t>
    </r>
  </si>
  <si>
    <t xml:space="preserve">          14,038,084.2</t>
  </si>
  <si>
    <t xml:space="preserve">          17,436,372</t>
  </si>
  <si>
    <t xml:space="preserve">          48,283,050.0</t>
  </si>
  <si>
    <t xml:space="preserve">          27,933,007</t>
  </si>
  <si>
    <t xml:space="preserve">가.동식물성 연·원료</t>
  </si>
  <si>
    <t xml:space="preserve">             348,452.9</t>
  </si>
  <si>
    <t xml:space="preserve">             435,996</t>
  </si>
  <si>
    <t xml:space="preserve">           2,872,182.6</t>
  </si>
  <si>
    <t xml:space="preserve">           1,428,481</t>
  </si>
  <si>
    <t xml:space="preserve">나.섬유류</t>
  </si>
  <si>
    <t xml:space="preserve">             130,863.0</t>
  </si>
  <si>
    <t xml:space="preserve">             613,936</t>
  </si>
  <si>
    <t xml:space="preserve">             106,123.8</t>
  </si>
  <si>
    <t xml:space="preserve">             342,160</t>
  </si>
  <si>
    <t xml:space="preserve">다.광산물</t>
  </si>
  <si>
    <t xml:space="preserve">           6,716,263.2</t>
  </si>
  <si>
    <t xml:space="preserve">           5,478,639</t>
  </si>
  <si>
    <t xml:space="preserve">          41,389,665.4</t>
  </si>
  <si>
    <t xml:space="preserve">          18,384,560</t>
  </si>
  <si>
    <t xml:space="preserve">라.철강 및 금속제품</t>
  </si>
  <si>
    <t xml:space="preserve">           2,568,224.3</t>
  </si>
  <si>
    <t xml:space="preserve">           3,358,972</t>
  </si>
  <si>
    <t xml:space="preserve">           1,949,849.1</t>
  </si>
  <si>
    <t xml:space="preserve">           2,827,181</t>
  </si>
  <si>
    <t xml:space="preserve">마.화학공업제품</t>
  </si>
  <si>
    <t xml:space="preserve">           4,270,890.6</t>
  </si>
  <si>
    <t xml:space="preserve">           7,536,310</t>
  </si>
  <si>
    <t xml:space="preserve">           1,961,851.4</t>
  </si>
  <si>
    <t xml:space="preserve">           4,943,661</t>
  </si>
  <si>
    <t xml:space="preserve">바.기타 원자재</t>
  </si>
  <si>
    <t xml:space="preserve">               3,390.1</t>
  </si>
  <si>
    <t xml:space="preserve">              12,520</t>
  </si>
  <si>
    <t xml:space="preserve">               3,377.7</t>
  </si>
  <si>
    <t xml:space="preserve">               6,963</t>
  </si>
  <si>
    <r>
      <rPr>
        <sz val="10"/>
        <rFont val="맑은 고딕"/>
        <family val="0"/>
        <charset val="1"/>
      </rPr>
      <t xml:space="preserve">3.</t>
    </r>
    <r>
      <rPr>
        <sz val="10"/>
        <rFont val="WenQuanYi Zen Hei"/>
        <family val="2"/>
      </rPr>
      <t xml:space="preserve">자본재</t>
    </r>
  </si>
  <si>
    <t xml:space="preserve">           2,177,323.5</t>
  </si>
  <si>
    <t xml:space="preserve">          28,594,152</t>
  </si>
  <si>
    <t xml:space="preserve">             725,723.6</t>
  </si>
  <si>
    <t xml:space="preserve">          19,032,885</t>
  </si>
  <si>
    <t xml:space="preserve">가.수송장비</t>
  </si>
  <si>
    <t xml:space="preserve">           1,461,210.0</t>
  </si>
  <si>
    <t xml:space="preserve">           5,981,050</t>
  </si>
  <si>
    <t xml:space="preserve">             144,518.4</t>
  </si>
  <si>
    <t xml:space="preserve">           1,591,298</t>
  </si>
  <si>
    <t xml:space="preserve">나.기계류</t>
  </si>
  <si>
    <t xml:space="preserve">             664,512.2</t>
  </si>
  <si>
    <t xml:space="preserve">           8,592,906</t>
  </si>
  <si>
    <t xml:space="preserve">             523,561.0</t>
  </si>
  <si>
    <t xml:space="preserve">           7,965,930</t>
  </si>
  <si>
    <t xml:space="preserve">다.IT제품</t>
  </si>
  <si>
    <t xml:space="preserve">              13,870.7</t>
  </si>
  <si>
    <t xml:space="preserve">           3,114,163</t>
  </si>
  <si>
    <t xml:space="preserve">              22,996.7</t>
  </si>
  <si>
    <t xml:space="preserve">           3,006,470</t>
  </si>
  <si>
    <t xml:space="preserve">라.IT부품</t>
  </si>
  <si>
    <t xml:space="preserve">              37,730.7</t>
  </si>
  <si>
    <t xml:space="preserve">          10,906,032</t>
  </si>
  <si>
    <t xml:space="preserve">              34,647.4</t>
  </si>
  <si>
    <t xml:space="preserve">           6,469,187</t>
  </si>
  <si>
    <t xml:space="preserve">             813,761.8</t>
  </si>
  <si>
    <t xml:space="preserve">           7,463,027</t>
  </si>
  <si>
    <t xml:space="preserve">           1,762,160.8</t>
  </si>
  <si>
    <t xml:space="preserve">           6,298,555</t>
  </si>
  <si>
    <t xml:space="preserve">             242,975.0</t>
  </si>
  <si>
    <t xml:space="preserve">             798,960</t>
  </si>
  <si>
    <t xml:space="preserve">           1,463,840.5</t>
  </si>
  <si>
    <t xml:space="preserve">           2,270,601</t>
  </si>
  <si>
    <t xml:space="preserve">             424,949.4</t>
  </si>
  <si>
    <t xml:space="preserve">           5,305,583</t>
  </si>
  <si>
    <t xml:space="preserve">             172,143.4</t>
  </si>
  <si>
    <t xml:space="preserve">           1,974,611</t>
  </si>
  <si>
    <t xml:space="preserve">             142,979.2</t>
  </si>
  <si>
    <t xml:space="preserve">           1,354,601</t>
  </si>
  <si>
    <t xml:space="preserve">             126,167.9</t>
  </si>
  <si>
    <t xml:space="preserve">           2,053,344</t>
  </si>
  <si>
    <t xml:space="preserve">               2,858.2</t>
  </si>
  <si>
    <t xml:space="preserve">               3,883</t>
  </si>
  <si>
    <t xml:space="preserve">          13,246,526.7</t>
  </si>
  <si>
    <t xml:space="preserve">          16,695,241</t>
  </si>
  <si>
    <t xml:space="preserve">          43,227,855.0</t>
  </si>
  <si>
    <t xml:space="preserve">          24,762,496</t>
  </si>
  <si>
    <t xml:space="preserve">             350,231.7</t>
  </si>
  <si>
    <t xml:space="preserve">             419,191</t>
  </si>
  <si>
    <t xml:space="preserve">           2,723,807.4</t>
  </si>
  <si>
    <t xml:space="preserve">           1,374,564</t>
  </si>
  <si>
    <t xml:space="preserve">             123,209.8</t>
  </si>
  <si>
    <t xml:space="preserve">             601,139</t>
  </si>
  <si>
    <t xml:space="preserve">              85,825.6</t>
  </si>
  <si>
    <t xml:space="preserve">             286,614</t>
  </si>
  <si>
    <t xml:space="preserve">           6,182,109.3</t>
  </si>
  <si>
    <t xml:space="preserve">           5,096,884</t>
  </si>
  <si>
    <t xml:space="preserve">          36,842,006.1</t>
  </si>
  <si>
    <t xml:space="preserve">          16,032,582</t>
  </si>
  <si>
    <t xml:space="preserve">           2,472,033.8</t>
  </si>
  <si>
    <t xml:space="preserve">           3,167,040</t>
  </si>
  <si>
    <t xml:space="preserve">           1,914,587.9</t>
  </si>
  <si>
    <t xml:space="preserve">           2,696,453</t>
  </si>
  <si>
    <t xml:space="preserve">           4,116,098.0</t>
  </si>
  <si>
    <t xml:space="preserve">           7,400,218</t>
  </si>
  <si>
    <t xml:space="preserve">           1,659,318.6</t>
  </si>
  <si>
    <t xml:space="preserve">           4,366,251</t>
  </si>
  <si>
    <t xml:space="preserve">               2,844.1</t>
  </si>
  <si>
    <t xml:space="preserve">              10,768</t>
  </si>
  <si>
    <t xml:space="preserve">               2,309.4</t>
  </si>
  <si>
    <t xml:space="preserve">               6,031</t>
  </si>
  <si>
    <t xml:space="preserve">           1,618,697.3</t>
  </si>
  <si>
    <t xml:space="preserve">          27,918,122</t>
  </si>
  <si>
    <t xml:space="preserve">             699,868.0</t>
  </si>
  <si>
    <t xml:space="preserve">          17,160,810</t>
  </si>
  <si>
    <t xml:space="preserve">             856,532.3</t>
  </si>
  <si>
    <t xml:space="preserve">           5,103,018</t>
  </si>
  <si>
    <t xml:space="preserve">             230,776.4</t>
  </si>
  <si>
    <t xml:space="preserve">           1,705,020</t>
  </si>
  <si>
    <t xml:space="preserve">             716,606.1</t>
  </si>
  <si>
    <t xml:space="preserve">           8,669,058</t>
  </si>
  <si>
    <t xml:space="preserve">             426,765.1</t>
  </si>
  <si>
    <t xml:space="preserve">           7,211,811</t>
  </si>
  <si>
    <t xml:space="preserve">              13,233.5</t>
  </si>
  <si>
    <t xml:space="preserve">           2,808,720</t>
  </si>
  <si>
    <t xml:space="preserve">              16,381.9</t>
  </si>
  <si>
    <t xml:space="preserve">           2,040,304</t>
  </si>
  <si>
    <t xml:space="preserve">              32,325.4</t>
  </si>
  <si>
    <t xml:space="preserve">          11,337,326</t>
  </si>
  <si>
    <t xml:space="preserve">              25,944.6</t>
  </si>
  <si>
    <t xml:space="preserve">           6,203,675</t>
  </si>
  <si>
    <t xml:space="preserve">             903,388.2</t>
  </si>
  <si>
    <t xml:space="preserve">           8,578,703</t>
  </si>
  <si>
    <t xml:space="preserve">           2,174,396.7</t>
  </si>
  <si>
    <t xml:space="preserve">           7,272,092</t>
  </si>
  <si>
    <t xml:space="preserve">             259,447.8</t>
  </si>
  <si>
    <t xml:space="preserve">             879,948</t>
  </si>
  <si>
    <t xml:space="preserve">           1,843,536.0</t>
  </si>
  <si>
    <t xml:space="preserve">           2,822,652</t>
  </si>
  <si>
    <t xml:space="preserve">             489,944.8</t>
  </si>
  <si>
    <t xml:space="preserve">           6,235,551</t>
  </si>
  <si>
    <t xml:space="preserve">             178,806.8</t>
  </si>
  <si>
    <t xml:space="preserve">           2,118,764</t>
  </si>
  <si>
    <t xml:space="preserve">             151,961.9</t>
  </si>
  <si>
    <t xml:space="preserve">           1,459,749</t>
  </si>
  <si>
    <t xml:space="preserve">             152,053.9</t>
  </si>
  <si>
    <t xml:space="preserve">           2,330,675</t>
  </si>
  <si>
    <t xml:space="preserve">               2,033.6</t>
  </si>
  <si>
    <t xml:space="preserve">               3,454</t>
  </si>
  <si>
    <t xml:space="preserve">          13,556,192.9</t>
  </si>
  <si>
    <t xml:space="preserve">          17,230,521</t>
  </si>
  <si>
    <t xml:space="preserve">          40,956,402.6</t>
  </si>
  <si>
    <t xml:space="preserve">          25,640,358</t>
  </si>
  <si>
    <t xml:space="preserve">             365,588.4</t>
  </si>
  <si>
    <t xml:space="preserve">             434,929</t>
  </si>
  <si>
    <t xml:space="preserve">           2,510,665.8</t>
  </si>
  <si>
    <t xml:space="preserve">           1,318,900</t>
  </si>
  <si>
    <t xml:space="preserve">             131,097.5</t>
  </si>
  <si>
    <t xml:space="preserve">             627,177</t>
  </si>
  <si>
    <t xml:space="preserve">             104,257.7</t>
  </si>
  <si>
    <t xml:space="preserve">             348,007</t>
  </si>
  <si>
    <t xml:space="preserve">           6,277,238.4</t>
  </si>
  <si>
    <t xml:space="preserve">           5,257,705</t>
  </si>
  <si>
    <t xml:space="preserve">          34,512,475.1</t>
  </si>
  <si>
    <t xml:space="preserve">          15,441,846</t>
  </si>
  <si>
    <t xml:space="preserve">           2,604,071.4</t>
  </si>
  <si>
    <t xml:space="preserve">           3,343,185</t>
  </si>
  <si>
    <t xml:space="preserve">           2,074,833.2</t>
  </si>
  <si>
    <t xml:space="preserve">           3,078,556</t>
  </si>
  <si>
    <t xml:space="preserve">           4,175,356.8</t>
  </si>
  <si>
    <t xml:space="preserve">           7,556,822</t>
  </si>
  <si>
    <t xml:space="preserve">           1,751,516.2</t>
  </si>
  <si>
    <t xml:space="preserve">           5,447,574</t>
  </si>
  <si>
    <t xml:space="preserve">               2,840.4</t>
  </si>
  <si>
    <t xml:space="preserve">              10,703</t>
  </si>
  <si>
    <t xml:space="preserve">               2,654.4</t>
  </si>
  <si>
    <t xml:space="preserve">               5,476</t>
  </si>
  <si>
    <t xml:space="preserve">           2,346,050.4</t>
  </si>
  <si>
    <t xml:space="preserve">          30,709,085</t>
  </si>
  <si>
    <t xml:space="preserve">           1,185,860.8</t>
  </si>
  <si>
    <t xml:space="preserve">          19,200,455</t>
  </si>
  <si>
    <t xml:space="preserve">           1,617,156.2</t>
  </si>
  <si>
    <t xml:space="preserve">           5,602,097</t>
  </si>
  <si>
    <t xml:space="preserve">             661,862.6</t>
  </si>
  <si>
    <t xml:space="preserve">           1,971,006</t>
  </si>
  <si>
    <t xml:space="preserve">             684,508.4</t>
  </si>
  <si>
    <t xml:space="preserve">           8,774,099</t>
  </si>
  <si>
    <t xml:space="preserve">             472,312.1</t>
  </si>
  <si>
    <t xml:space="preserve">           8,069,212</t>
  </si>
  <si>
    <t xml:space="preserve">              13,084.5</t>
  </si>
  <si>
    <t xml:space="preserve">           3,232,430</t>
  </si>
  <si>
    <t xml:space="preserve">              19,490.9</t>
  </si>
  <si>
    <t xml:space="preserve">           2,411,733</t>
  </si>
  <si>
    <t xml:space="preserve">              31,301.4</t>
  </si>
  <si>
    <t xml:space="preserve">          13,100,458</t>
  </si>
  <si>
    <t xml:space="preserve">              32,195.2</t>
  </si>
  <si>
    <t xml:space="preserve">           6,748,505</t>
  </si>
  <si>
    <t xml:space="preserve">           1,037,934.0</t>
  </si>
  <si>
    <t xml:space="preserve">           9,284,516</t>
  </si>
  <si>
    <t xml:space="preserve">           2,139,558.7</t>
  </si>
  <si>
    <t xml:space="preserve">           7,628,245</t>
  </si>
  <si>
    <t xml:space="preserve">             337,890.5</t>
  </si>
  <si>
    <t xml:space="preserve">             993,472</t>
  </si>
  <si>
    <t xml:space="preserve">           1,741,322.6</t>
  </si>
  <si>
    <t xml:space="preserve">           2,863,911</t>
  </si>
  <si>
    <t xml:space="preserve">             529,000.7</t>
  </si>
  <si>
    <t xml:space="preserve">           6,701,236</t>
  </si>
  <si>
    <t xml:space="preserve">             225,431.7</t>
  </si>
  <si>
    <t xml:space="preserve">           2,387,210</t>
  </si>
  <si>
    <t xml:space="preserve">             168,917.3</t>
  </si>
  <si>
    <t xml:space="preserve">           1,587,201</t>
  </si>
  <si>
    <t xml:space="preserve">             172,804.4</t>
  </si>
  <si>
    <t xml:space="preserve">           2,377,124</t>
  </si>
  <si>
    <t xml:space="preserve">               2,125.4</t>
  </si>
  <si>
    <t xml:space="preserve">               2,607</t>
  </si>
  <si>
    <t xml:space="preserve">          13,293,551.9</t>
  </si>
  <si>
    <t xml:space="preserve">          17,464,076</t>
  </si>
  <si>
    <t xml:space="preserve">          44,276,753.8</t>
  </si>
  <si>
    <t xml:space="preserve">          27,693,181</t>
  </si>
  <si>
    <t xml:space="preserve">             383,013.1</t>
  </si>
  <si>
    <t xml:space="preserve">             471,336</t>
  </si>
  <si>
    <t xml:space="preserve">           3,152,362.5</t>
  </si>
  <si>
    <t xml:space="preserve">           1,611,515</t>
  </si>
  <si>
    <t xml:space="preserve">             139,414.7</t>
  </si>
  <si>
    <t xml:space="preserve">             682,936</t>
  </si>
  <si>
    <t xml:space="preserve">             111,368.3</t>
  </si>
  <si>
    <t xml:space="preserve">             377,921</t>
  </si>
  <si>
    <t xml:space="preserve">           5,888,443.9</t>
  </si>
  <si>
    <t xml:space="preserve">           5,006,457</t>
  </si>
  <si>
    <t xml:space="preserve">          36,884,543.3</t>
  </si>
  <si>
    <t xml:space="preserve">          17,460,560</t>
  </si>
  <si>
    <t xml:space="preserve">           2,405,841.1</t>
  </si>
  <si>
    <t xml:space="preserve">           3,266,573</t>
  </si>
  <si>
    <t xml:space="preserve">           2,113,949.8</t>
  </si>
  <si>
    <t xml:space="preserve">           3,142,687</t>
  </si>
  <si>
    <t xml:space="preserve">           4,473,794.7</t>
  </si>
  <si>
    <t xml:space="preserve">           8,024,778</t>
  </si>
  <si>
    <t xml:space="preserve">           2,011,016.2</t>
  </si>
  <si>
    <t xml:space="preserve">           5,093,342</t>
  </si>
  <si>
    <t xml:space="preserve">               3,044.3</t>
  </si>
  <si>
    <t xml:space="preserve">              11,996</t>
  </si>
  <si>
    <t xml:space="preserve">               3,513.8</t>
  </si>
  <si>
    <t xml:space="preserve">           2,160,003.5</t>
  </si>
  <si>
    <t xml:space="preserve">          29,399,707</t>
  </si>
  <si>
    <t xml:space="preserve">           1,199,672.2</t>
  </si>
  <si>
    <t xml:space="preserve">          19,499,755</t>
  </si>
  <si>
    <t xml:space="preserve">           1,388,447.1</t>
  </si>
  <si>
    <t xml:space="preserve">           5,516,298</t>
  </si>
  <si>
    <t xml:space="preserve">             581,442.4</t>
  </si>
  <si>
    <t xml:space="preserve">           2,156,675</t>
  </si>
  <si>
    <t xml:space="preserve">             726,224.5</t>
  </si>
  <si>
    <t xml:space="preserve">           9,276,130</t>
  </si>
  <si>
    <t xml:space="preserve">             564,136.7</t>
  </si>
  <si>
    <t xml:space="preserve">           8,148,287</t>
  </si>
  <si>
    <t xml:space="preserve">              14,147.8</t>
  </si>
  <si>
    <t xml:space="preserve">           3,144,964</t>
  </si>
  <si>
    <t xml:space="preserve">              20,575.1</t>
  </si>
  <si>
    <t xml:space="preserve">           2,453,319</t>
  </si>
  <si>
    <t xml:space="preserve">              31,184.1</t>
  </si>
  <si>
    <t xml:space="preserve">          11,462,315</t>
  </si>
  <si>
    <t xml:space="preserve">              33,518.1</t>
  </si>
  <si>
    <t xml:space="preserve">           6,741,474</t>
  </si>
  <si>
    <t xml:space="preserve">           1,009,125.0</t>
  </si>
  <si>
    <t xml:space="preserve">           8,857,146</t>
  </si>
  <si>
    <t xml:space="preserve">           2,274,850.9</t>
  </si>
  <si>
    <t xml:space="preserve">           7,408,914</t>
  </si>
  <si>
    <t xml:space="preserve">             323,568.6</t>
  </si>
  <si>
    <t xml:space="preserve">             918,339</t>
  </si>
  <si>
    <t xml:space="preserve">           1,881,251.2</t>
  </si>
  <si>
    <t xml:space="preserve">           2,856,730</t>
  </si>
  <si>
    <t xml:space="preserve">             511,171.5</t>
  </si>
  <si>
    <t xml:space="preserve">           6,261,792</t>
  </si>
  <si>
    <t xml:space="preserve">             230,785.3</t>
  </si>
  <si>
    <t xml:space="preserve">           2,450,790</t>
  </si>
  <si>
    <t xml:space="preserve">             171,550.1</t>
  </si>
  <si>
    <t xml:space="preserve">           1,674,154</t>
  </si>
  <si>
    <t xml:space="preserve">             162,814.5</t>
  </si>
  <si>
    <t xml:space="preserve">           2,101,394</t>
  </si>
  <si>
    <t xml:space="preserve">               2,834.8</t>
  </si>
  <si>
    <t xml:space="preserve">               2,861</t>
  </si>
  <si>
    <t xml:space="preserve">          13,739,488.8</t>
  </si>
  <si>
    <t xml:space="preserve">          17,751,761</t>
  </si>
  <si>
    <t xml:space="preserve">          42,597,760.2</t>
  </si>
  <si>
    <t xml:space="preserve">          26,767,236</t>
  </si>
  <si>
    <t xml:space="preserve">             388,503.8</t>
  </si>
  <si>
    <t xml:space="preserve">             462,643</t>
  </si>
  <si>
    <t xml:space="preserve">           2,936,597.1</t>
  </si>
  <si>
    <t xml:space="preserve">           1,472,869</t>
  </si>
  <si>
    <t xml:space="preserve">             136,069.9</t>
  </si>
  <si>
    <t xml:space="preserve">             692,122</t>
  </si>
  <si>
    <t xml:space="preserve">             109,739.1</t>
  </si>
  <si>
    <t xml:space="preserve">             373,775</t>
  </si>
  <si>
    <t xml:space="preserve">           6,447,225.5</t>
  </si>
  <si>
    <t xml:space="preserve">           5,329,632</t>
  </si>
  <si>
    <t xml:space="preserve">          35,638,635.8</t>
  </si>
  <si>
    <t xml:space="preserve">          16,598,610</t>
  </si>
  <si>
    <t xml:space="preserve">           2,594,695.1</t>
  </si>
  <si>
    <t xml:space="preserve">           3,570,820</t>
  </si>
  <si>
    <t xml:space="preserve">           1,996,395.6</t>
  </si>
  <si>
    <t xml:space="preserve">           3,103,368</t>
  </si>
  <si>
    <t xml:space="preserve">           4,169,974.6</t>
  </si>
  <si>
    <t xml:space="preserve">           7,685,707</t>
  </si>
  <si>
    <t xml:space="preserve">           1,913,058.0</t>
  </si>
  <si>
    <t xml:space="preserve">           5,212,246</t>
  </si>
  <si>
    <t xml:space="preserve">               3,020.0</t>
  </si>
  <si>
    <t xml:space="preserve">              10,837</t>
  </si>
  <si>
    <t xml:space="preserve">               3,334.6</t>
  </si>
  <si>
    <t xml:space="preserve">               6,368</t>
  </si>
  <si>
    <t xml:space="preserve">           2,045,184.6</t>
  </si>
  <si>
    <t xml:space="preserve">          31,411,650</t>
  </si>
  <si>
    <t xml:space="preserve">           1,007,676.0</t>
  </si>
  <si>
    <t xml:space="preserve">          18,956,787</t>
  </si>
  <si>
    <t xml:space="preserve">           1,289,404.7</t>
  </si>
  <si>
    <t xml:space="preserve">           5,805,916</t>
  </si>
  <si>
    <t xml:space="preserve">             345,868.4</t>
  </si>
  <si>
    <t xml:space="preserve">           1,788,933</t>
  </si>
  <si>
    <t xml:space="preserve">             711,183.2</t>
  </si>
  <si>
    <t xml:space="preserve">           9,013,094</t>
  </si>
  <si>
    <t xml:space="preserve">             608,478.7</t>
  </si>
  <si>
    <t xml:space="preserve">           8,149,958</t>
  </si>
  <si>
    <t xml:space="preserve">              13,885.2</t>
  </si>
  <si>
    <t xml:space="preserve">           3,707,430</t>
  </si>
  <si>
    <t xml:space="preserve">              17,960.1</t>
  </si>
  <si>
    <t xml:space="preserve">           2,186,322</t>
  </si>
  <si>
    <t xml:space="preserve">              30,711.5</t>
  </si>
  <si>
    <t xml:space="preserve">          12,885,210</t>
  </si>
  <si>
    <t xml:space="preserve">              35,368.7</t>
  </si>
  <si>
    <t xml:space="preserve">           6,831,575</t>
  </si>
  <si>
    <t xml:space="preserve">             900,495.5</t>
  </si>
  <si>
    <t xml:space="preserve">           8,389,368</t>
  </si>
  <si>
    <t xml:space="preserve">           2,032,591.4</t>
  </si>
  <si>
    <t xml:space="preserve">           6,791,787</t>
  </si>
  <si>
    <t xml:space="preserve">             260,004.2</t>
  </si>
  <si>
    <t xml:space="preserve">             882,056</t>
  </si>
  <si>
    <t xml:space="preserve">           1,682,238.8</t>
  </si>
  <si>
    <t xml:space="preserve">           2,582,059</t>
  </si>
  <si>
    <t xml:space="preserve">             481,187.0</t>
  </si>
  <si>
    <t xml:space="preserve">           5,970,552</t>
  </si>
  <si>
    <t xml:space="preserve">             203,764.8</t>
  </si>
  <si>
    <t xml:space="preserve">           2,180,868</t>
  </si>
  <si>
    <t xml:space="preserve">             155,962.5</t>
  </si>
  <si>
    <t xml:space="preserve">           1,533,466</t>
  </si>
  <si>
    <t xml:space="preserve">             146,587.9</t>
  </si>
  <si>
    <t xml:space="preserve">           2,028,860</t>
  </si>
  <si>
    <t xml:space="preserve">               3,341.8</t>
  </si>
  <si>
    <t xml:space="preserve">               3,294</t>
  </si>
  <si>
    <t xml:space="preserve">          11,918,186.3</t>
  </si>
  <si>
    <t xml:space="preserve">          16,038,910</t>
  </si>
  <si>
    <t xml:space="preserve">          39,807,712.4</t>
  </si>
  <si>
    <t xml:space="preserve">          23,739,756</t>
  </si>
  <si>
    <t xml:space="preserve">             350,144.0</t>
  </si>
  <si>
    <t xml:space="preserve">             432,593</t>
  </si>
  <si>
    <t xml:space="preserve">           2,684,241.5</t>
  </si>
  <si>
    <t xml:space="preserve">           1,383,228</t>
  </si>
  <si>
    <t xml:space="preserve">             125,543.7</t>
  </si>
  <si>
    <t xml:space="preserve">             621,067</t>
  </si>
  <si>
    <t xml:space="preserve">              97,184.7</t>
  </si>
  <si>
    <t xml:space="preserve">             335,008</t>
  </si>
  <si>
    <t xml:space="preserve">           5,262,525.2</t>
  </si>
  <si>
    <t xml:space="preserve">           4,405,107</t>
  </si>
  <si>
    <t xml:space="preserve">          33,575,983.9</t>
  </si>
  <si>
    <t xml:space="preserve">          14,584,424</t>
  </si>
  <si>
    <t xml:space="preserve">           2,340,414.8</t>
  </si>
  <si>
    <t xml:space="preserve">           3,246,251</t>
  </si>
  <si>
    <t xml:space="preserve">           1,639,593.8</t>
  </si>
  <si>
    <t xml:space="preserve">           2,814,851</t>
  </si>
  <si>
    <t xml:space="preserve">           3,836,517.4</t>
  </si>
  <si>
    <t xml:space="preserve">           7,323,360</t>
  </si>
  <si>
    <t xml:space="preserve">           1,807,769.3</t>
  </si>
  <si>
    <t xml:space="preserve">           4,615,581</t>
  </si>
  <si>
    <t xml:space="preserve">               3,041.3</t>
  </si>
  <si>
    <t xml:space="preserve">              10,532</t>
  </si>
  <si>
    <t xml:space="preserve">               2,939.2</t>
  </si>
  <si>
    <t xml:space="preserve">               6,664</t>
  </si>
  <si>
    <t xml:space="preserve">           1,822,752.7</t>
  </si>
  <si>
    <t xml:space="preserve">          32,913,356</t>
  </si>
  <si>
    <t xml:space="preserve">             861,060.8</t>
  </si>
  <si>
    <t xml:space="preserve">          18,558,651</t>
  </si>
  <si>
    <t xml:space="preserve">           1,100,876.3</t>
  </si>
  <si>
    <t xml:space="preserve">           5,078,499</t>
  </si>
  <si>
    <t xml:space="preserve">             301,355.8</t>
  </si>
  <si>
    <t xml:space="preserve">           2,032,124</t>
  </si>
  <si>
    <t xml:space="preserve">             676,633.4</t>
  </si>
  <si>
    <t xml:space="preserve">           9,185,715</t>
  </si>
  <si>
    <t xml:space="preserve">             513,898.8</t>
  </si>
  <si>
    <t xml:space="preserve">           8,011,792</t>
  </si>
  <si>
    <t xml:space="preserve">              14,205.0</t>
  </si>
  <si>
    <t xml:space="preserve">           3,790,198</t>
  </si>
  <si>
    <t xml:space="preserve">              16,056.7</t>
  </si>
  <si>
    <t xml:space="preserve">           2,474,513</t>
  </si>
  <si>
    <t xml:space="preserve">              31,038.0</t>
  </si>
  <si>
    <t xml:space="preserve">          14,858,944</t>
  </si>
  <si>
    <t xml:space="preserve">              29,749.6</t>
  </si>
  <si>
    <t xml:space="preserve">           6,040,222</t>
  </si>
  <si>
    <t xml:space="preserve">             902,097.8</t>
  </si>
  <si>
    <t xml:space="preserve">           7,835,923</t>
  </si>
  <si>
    <t xml:space="preserve">           2,188,381.1</t>
  </si>
  <si>
    <t xml:space="preserve">           7,519,995</t>
  </si>
  <si>
    <t xml:space="preserve">             289,722.8</t>
  </si>
  <si>
    <t xml:space="preserve">             949,194</t>
  </si>
  <si>
    <t xml:space="preserve">           1,801,980.0</t>
  </si>
  <si>
    <t xml:space="preserve">           2,781,623</t>
  </si>
  <si>
    <t xml:space="preserve">             441,263.9</t>
  </si>
  <si>
    <t xml:space="preserve">           5,276,699</t>
  </si>
  <si>
    <t xml:space="preserve">             219,350.8</t>
  </si>
  <si>
    <t xml:space="preserve">           2,334,728</t>
  </si>
  <si>
    <t xml:space="preserve">             167,381.2</t>
  </si>
  <si>
    <t xml:space="preserve">           1,605,808</t>
  </si>
  <si>
    <t xml:space="preserve">             167,050.3</t>
  </si>
  <si>
    <t xml:space="preserve">           2,403,644</t>
  </si>
  <si>
    <t xml:space="preserve">               3,729.9</t>
  </si>
  <si>
    <t xml:space="preserve">               4,221</t>
  </si>
  <si>
    <t xml:space="preserve">          14,106,995.6</t>
  </si>
  <si>
    <t xml:space="preserve">          17,689,412</t>
  </si>
  <si>
    <t xml:space="preserve">          42,312,807.5</t>
  </si>
  <si>
    <t xml:space="preserve">          25,490,289</t>
  </si>
  <si>
    <t xml:space="preserve">             369,400.8</t>
  </si>
  <si>
    <t xml:space="preserve">             492,029</t>
  </si>
  <si>
    <t xml:space="preserve">           2,771,813.7</t>
  </si>
  <si>
    <t xml:space="preserve">           1,416,251</t>
  </si>
  <si>
    <t xml:space="preserve">             129,960.4</t>
  </si>
  <si>
    <t xml:space="preserve">             640,215</t>
  </si>
  <si>
    <t xml:space="preserve">             105,664.2</t>
  </si>
  <si>
    <t xml:space="preserve">             362,989</t>
  </si>
  <si>
    <t xml:space="preserve">           6,503,314.5</t>
  </si>
  <si>
    <t xml:space="preserve">           5,294,645</t>
  </si>
  <si>
    <t xml:space="preserve">          35,877,575.0</t>
  </si>
  <si>
    <t xml:space="preserve">          15,681,029</t>
  </si>
  <si>
    <t xml:space="preserve">           2,646,338.2</t>
  </si>
  <si>
    <t xml:space="preserve">           3,595,447</t>
  </si>
  <si>
    <t xml:space="preserve">           1,692,602.8</t>
  </si>
  <si>
    <t xml:space="preserve">           3,004,132</t>
  </si>
  <si>
    <t xml:space="preserve">           4,454,997.8</t>
  </si>
  <si>
    <t xml:space="preserve">           7,655,024</t>
  </si>
  <si>
    <t xml:space="preserve">           1,861,904.8</t>
  </si>
  <si>
    <t xml:space="preserve">           5,017,786</t>
  </si>
  <si>
    <t xml:space="preserve">               2,983.8</t>
  </si>
  <si>
    <t xml:space="preserve">              12,052</t>
  </si>
  <si>
    <t xml:space="preserve">               3,247.0</t>
  </si>
  <si>
    <t xml:space="preserve">               8,101</t>
  </si>
  <si>
    <t xml:space="preserve">           1,688,019.9</t>
  </si>
  <si>
    <t xml:space="preserve">          31,933,452</t>
  </si>
  <si>
    <t xml:space="preserve">             766,610.0</t>
  </si>
  <si>
    <t xml:space="preserve">          20,828,458</t>
  </si>
  <si>
    <t xml:space="preserve">             914,100.7</t>
  </si>
  <si>
    <t xml:space="preserve">           5,084,743</t>
  </si>
  <si>
    <t xml:space="preserve">             178,827.0</t>
  </si>
  <si>
    <t xml:space="preserve">           3,079,759</t>
  </si>
  <si>
    <t xml:space="preserve">             720,911.4</t>
  </si>
  <si>
    <t xml:space="preserve">           9,916,416</t>
  </si>
  <si>
    <t xml:space="preserve">             537,421.9</t>
  </si>
  <si>
    <t xml:space="preserve">           8,056,958</t>
  </si>
  <si>
    <t xml:space="preserve">              15,884.2</t>
  </si>
  <si>
    <t xml:space="preserve">           4,153,118</t>
  </si>
  <si>
    <t xml:space="preserve">              18,155.6</t>
  </si>
  <si>
    <t xml:space="preserve">           2,593,891</t>
  </si>
  <si>
    <t xml:space="preserve">              37,123.5</t>
  </si>
  <si>
    <t xml:space="preserve">          12,779,175</t>
  </si>
  <si>
    <t xml:space="preserve">              32,205.5</t>
  </si>
  <si>
    <t xml:space="preserve">           7,097,851</t>
  </si>
  <si>
    <t xml:space="preserve">             822,647.5</t>
  </si>
  <si>
    <t xml:space="preserve">           7,246,561</t>
  </si>
  <si>
    <t xml:space="preserve">           2,051,181.8</t>
  </si>
  <si>
    <t xml:space="preserve">           7,286,578</t>
  </si>
  <si>
    <t xml:space="preserve">             266,860.3</t>
  </si>
  <si>
    <t xml:space="preserve">             864,881</t>
  </si>
  <si>
    <t xml:space="preserve">           1,685,615.1</t>
  </si>
  <si>
    <t xml:space="preserve">           2,608,710</t>
  </si>
  <si>
    <t xml:space="preserve">             405,915.8</t>
  </si>
  <si>
    <t xml:space="preserve">           4,917,244</t>
  </si>
  <si>
    <t xml:space="preserve">             196,684.0</t>
  </si>
  <si>
    <t xml:space="preserve">           2,114,969</t>
  </si>
  <si>
    <t xml:space="preserve">             147,302.1</t>
  </si>
  <si>
    <t xml:space="preserve">           1,461,153</t>
  </si>
  <si>
    <t xml:space="preserve">             168,882.6</t>
  </si>
  <si>
    <t xml:space="preserve">           2,562,899</t>
  </si>
  <si>
    <t xml:space="preserve">               2,569.3</t>
  </si>
  <si>
    <t xml:space="preserve">               3,283</t>
  </si>
  <si>
    <t xml:space="preserve">          14,130,488.0</t>
  </si>
  <si>
    <t xml:space="preserve">          17,208,861</t>
  </si>
  <si>
    <t xml:space="preserve">          46,531,546.8</t>
  </si>
  <si>
    <t xml:space="preserve">          27,190,023</t>
  </si>
  <si>
    <t xml:space="preserve">             336,548.9</t>
  </si>
  <si>
    <t xml:space="preserve">             427,344</t>
  </si>
  <si>
    <t xml:space="preserve">           2,945,544.6</t>
  </si>
  <si>
    <t xml:space="preserve">           1,512,193</t>
  </si>
  <si>
    <t xml:space="preserve">             118,831.0</t>
  </si>
  <si>
    <t xml:space="preserve">             573,304</t>
  </si>
  <si>
    <t xml:space="preserve">             101,835.3</t>
  </si>
  <si>
    <t xml:space="preserve">             330,784</t>
  </si>
  <si>
    <t xml:space="preserve">           6,550,354.5</t>
  </si>
  <si>
    <t xml:space="preserve">           5,154,127</t>
  </si>
  <si>
    <t xml:space="preserve">          39,845,753.4</t>
  </si>
  <si>
    <t xml:space="preserve">          17,316,937</t>
  </si>
  <si>
    <t xml:space="preserve">           2,725,738.9</t>
  </si>
  <si>
    <t xml:space="preserve">           3,512,860</t>
  </si>
  <si>
    <t xml:space="preserve">           1,864,475.6</t>
  </si>
  <si>
    <t xml:space="preserve">           2,945,471</t>
  </si>
  <si>
    <t xml:space="preserve">           4,396,207.0</t>
  </si>
  <si>
    <t xml:space="preserve">           7,530,158</t>
  </si>
  <si>
    <t xml:space="preserve">           1,771,101.6</t>
  </si>
  <si>
    <t xml:space="preserve">           5,077,073</t>
  </si>
  <si>
    <t xml:space="preserve">               2,807.8</t>
  </si>
  <si>
    <t xml:space="preserve">              11,068</t>
  </si>
  <si>
    <t xml:space="preserve">               2,836.3</t>
  </si>
  <si>
    <t xml:space="preserve">               7,564</t>
  </si>
  <si>
    <t xml:space="preserve">           2,116,905.4</t>
  </si>
  <si>
    <t xml:space="preserve">          33,187,502</t>
  </si>
  <si>
    <t xml:space="preserve">           1,082,611.8</t>
  </si>
  <si>
    <t xml:space="preserve">          19,578,294</t>
  </si>
  <si>
    <t xml:space="preserve">           1,468,993.6</t>
  </si>
  <si>
    <t xml:space="preserve">           6,482,408</t>
  </si>
  <si>
    <t xml:space="preserve">             537,152.1</t>
  </si>
  <si>
    <t xml:space="preserve">           2,454,230</t>
  </si>
  <si>
    <t xml:space="preserve">             603,142.1</t>
  </si>
  <si>
    <t xml:space="preserve">           8,472,722</t>
  </si>
  <si>
    <t xml:space="preserve">             499,805.8</t>
  </si>
  <si>
    <t xml:space="preserve">           7,869,738</t>
  </si>
  <si>
    <t xml:space="preserve">              14,163.1</t>
  </si>
  <si>
    <t xml:space="preserve">           4,877,249</t>
  </si>
  <si>
    <t xml:space="preserve">              16,478.4</t>
  </si>
  <si>
    <t xml:space="preserve">           1,960,875</t>
  </si>
  <si>
    <t xml:space="preserve">              30,606.6</t>
  </si>
  <si>
    <t xml:space="preserve">          13,355,124</t>
  </si>
  <si>
    <t xml:space="preserve">              29,175.5</t>
  </si>
  <si>
    <t xml:space="preserve">           7,293,451</t>
  </si>
  <si>
    <t xml:space="preserve">             861,958.7</t>
  </si>
  <si>
    <t xml:space="preserve">           7,731,284</t>
  </si>
  <si>
    <t xml:space="preserve">           1,882,913.5</t>
  </si>
  <si>
    <t xml:space="preserve">           7,143,433</t>
  </si>
  <si>
    <t xml:space="preserve">             289,945.8</t>
  </si>
  <si>
    <t xml:space="preserve">             882,584</t>
  </si>
  <si>
    <t xml:space="preserve">           1,525,663.0</t>
  </si>
  <si>
    <t xml:space="preserve">           2,492,869</t>
  </si>
  <si>
    <t xml:space="preserve">             428,282.2</t>
  </si>
  <si>
    <t xml:space="preserve">           5,309,388</t>
  </si>
  <si>
    <t xml:space="preserve">             186,064.3</t>
  </si>
  <si>
    <t xml:space="preserve">           1,992,720</t>
  </si>
  <si>
    <t xml:space="preserve">             142,168.6</t>
  </si>
  <si>
    <t xml:space="preserve">           1,537,137</t>
  </si>
  <si>
    <t xml:space="preserve">             171,186.2</t>
  </si>
  <si>
    <t xml:space="preserve">           2,657,845</t>
  </si>
  <si>
    <t xml:space="preserve">               1,562.1</t>
  </si>
  <si>
    <t xml:space="preserve">               2,175</t>
  </si>
  <si>
    <t xml:space="preserve">          13,671,735.9</t>
  </si>
  <si>
    <t xml:space="preserve">          16,067,859</t>
  </si>
  <si>
    <t xml:space="preserve">          41,511,778.4</t>
  </si>
  <si>
    <t xml:space="preserve">          24,247,269</t>
  </si>
  <si>
    <t xml:space="preserve">             331,192.7</t>
  </si>
  <si>
    <t xml:space="preserve">             415,497</t>
  </si>
  <si>
    <t xml:space="preserve">           2,644,075.4</t>
  </si>
  <si>
    <t xml:space="preserve">           1,374,179</t>
  </si>
  <si>
    <t xml:space="preserve">             117,497.4</t>
  </si>
  <si>
    <t xml:space="preserve">             571,601</t>
  </si>
  <si>
    <t xml:space="preserve">              96,973.1</t>
  </si>
  <si>
    <t xml:space="preserve">             316,388</t>
  </si>
  <si>
    <t xml:space="preserve">           6,433,547.7</t>
  </si>
  <si>
    <t xml:space="preserve">           4,757,062</t>
  </si>
  <si>
    <t xml:space="preserve">          35,392,782.7</t>
  </si>
  <si>
    <t xml:space="preserve">          15,121,587</t>
  </si>
  <si>
    <t xml:space="preserve">           2,599,002.7</t>
  </si>
  <si>
    <t xml:space="preserve">           3,355,087</t>
  </si>
  <si>
    <t xml:space="preserve">           1,690,127.0</t>
  </si>
  <si>
    <t xml:space="preserve">           2,666,754</t>
  </si>
  <si>
    <t xml:space="preserve">           4,187,739.0</t>
  </si>
  <si>
    <t xml:space="preserve">           6,959,327</t>
  </si>
  <si>
    <t xml:space="preserve">           1,684,905.8</t>
  </si>
  <si>
    <t xml:space="preserve">           4,762,334</t>
  </si>
  <si>
    <t xml:space="preserve">               2,756.4</t>
  </si>
  <si>
    <t xml:space="preserve">               9,286</t>
  </si>
  <si>
    <t xml:space="preserve">               6,027</t>
  </si>
  <si>
    <t xml:space="preserve">           1,916,080.7</t>
  </si>
  <si>
    <t xml:space="preserve">          34,745,551</t>
  </si>
  <si>
    <t xml:space="preserve">             750,729.8</t>
  </si>
  <si>
    <t xml:space="preserve">          20,712,222</t>
  </si>
  <si>
    <t xml:space="preserve">           1,259,572.2</t>
  </si>
  <si>
    <t xml:space="preserve">           6,032,293</t>
  </si>
  <si>
    <t xml:space="preserve">             223,097.5</t>
  </si>
  <si>
    <t xml:space="preserve">           1,885,561</t>
  </si>
  <si>
    <t xml:space="preserve">             616,522.4</t>
  </si>
  <si>
    <t xml:space="preserve">           8,774,784</t>
  </si>
  <si>
    <t xml:space="preserve">             479,929.5</t>
  </si>
  <si>
    <t xml:space="preserve">           8,697,691</t>
  </si>
  <si>
    <t xml:space="preserve">              12,041.6</t>
  </si>
  <si>
    <t xml:space="preserve">           4,926,301</t>
  </si>
  <si>
    <t xml:space="preserve">              16,381.0</t>
  </si>
  <si>
    <t xml:space="preserve">           2,589,080</t>
  </si>
  <si>
    <t xml:space="preserve">              27,944.5</t>
  </si>
  <si>
    <t xml:space="preserve">          15,012,173</t>
  </si>
  <si>
    <t xml:space="preserve">              31,321.7</t>
  </si>
  <si>
    <t xml:space="preserve">           7,539,891</t>
  </si>
  <si>
    <t xml:space="preserve">             957,113.2</t>
  </si>
  <si>
    <t xml:space="preserve">           8,663,202</t>
  </si>
  <si>
    <t xml:space="preserve">           2,240,880.3</t>
  </si>
  <si>
    <t xml:space="preserve">           7,777,285</t>
  </si>
  <si>
    <t xml:space="preserve">             297,165.1</t>
  </si>
  <si>
    <t xml:space="preserve">             980,393</t>
  </si>
  <si>
    <t xml:space="preserve">           1,845,814.4</t>
  </si>
  <si>
    <t xml:space="preserve">           2,898,499</t>
  </si>
  <si>
    <t xml:space="preserve">             502,079.3</t>
  </si>
  <si>
    <t xml:space="preserve">           5,961,539</t>
  </si>
  <si>
    <t xml:space="preserve">             209,181.3</t>
  </si>
  <si>
    <t xml:space="preserve">           2,205,525</t>
  </si>
  <si>
    <t xml:space="preserve">             156,171.3</t>
  </si>
  <si>
    <t xml:space="preserve">           1,719,257</t>
  </si>
  <si>
    <t xml:space="preserve">             185,884.7</t>
  </si>
  <si>
    <t xml:space="preserve">           2,673,261</t>
  </si>
  <si>
    <t xml:space="preserve">               1,697.5</t>
  </si>
  <si>
    <t xml:space="preserve">               2,014</t>
  </si>
  <si>
    <t xml:space="preserve">          13,066,381.6</t>
  </si>
  <si>
    <t xml:space="preserve">          15,740,462</t>
  </si>
  <si>
    <t xml:space="preserve">          44,305,429.8</t>
  </si>
  <si>
    <t xml:space="preserve">          25,082,974</t>
  </si>
  <si>
    <t xml:space="preserve">             361,955.2</t>
  </si>
  <si>
    <t xml:space="preserve">             441,320</t>
  </si>
  <si>
    <t xml:space="preserve">           3,041,746.9</t>
  </si>
  <si>
    <t xml:space="preserve">           1,490,398</t>
  </si>
  <si>
    <t xml:space="preserve">             121,920.4</t>
  </si>
  <si>
    <t xml:space="preserve">             600,092</t>
  </si>
  <si>
    <t xml:space="preserve">             104,038.1</t>
  </si>
  <si>
    <t xml:space="preserve">             343,923</t>
  </si>
  <si>
    <t xml:space="preserve">           5,472,812.3</t>
  </si>
  <si>
    <t xml:space="preserve">           4,004,845</t>
  </si>
  <si>
    <t xml:space="preserve">          37,626,877.2</t>
  </si>
  <si>
    <t xml:space="preserve">          15,744,285</t>
  </si>
  <si>
    <t xml:space="preserve">           2,713,197.9</t>
  </si>
  <si>
    <t xml:space="preserve">           3,480,561</t>
  </si>
  <si>
    <t xml:space="preserve">           1,816,745.6</t>
  </si>
  <si>
    <t xml:space="preserve">           2,820,168</t>
  </si>
  <si>
    <t xml:space="preserve">           4,393,464.0</t>
  </si>
  <si>
    <t xml:space="preserve">           7,203,963</t>
  </si>
  <si>
    <t xml:space="preserve">           1,713,114.6</t>
  </si>
  <si>
    <t xml:space="preserve">           4,677,407</t>
  </si>
  <si>
    <t xml:space="preserve">               3,031.9</t>
  </si>
  <si>
    <t xml:space="preserve">               9,680</t>
  </si>
  <si>
    <t xml:space="preserve">               2,907.4</t>
  </si>
  <si>
    <t xml:space="preserve">               6,794</t>
  </si>
  <si>
    <t xml:space="preserve">           1,971,368.7</t>
  </si>
  <si>
    <t xml:space="preserve">          33,096,529</t>
  </si>
  <si>
    <t xml:space="preserve">             906,263.9</t>
  </si>
  <si>
    <t xml:space="preserve">          21,471,330</t>
  </si>
  <si>
    <t xml:space="preserve">           1,294,122.5</t>
  </si>
  <si>
    <t xml:space="preserve">           6,059,047</t>
  </si>
  <si>
    <t xml:space="preserve">             298,267.6</t>
  </si>
  <si>
    <t xml:space="preserve">           2,041,628</t>
  </si>
  <si>
    <t xml:space="preserve">             636,998.2</t>
  </si>
  <si>
    <t xml:space="preserve">           8,649,573</t>
  </si>
  <si>
    <t xml:space="preserve">             548,224.4</t>
  </si>
  <si>
    <t xml:space="preserve">           8,681,610</t>
  </si>
  <si>
    <t xml:space="preserve">              12,990.0</t>
  </si>
  <si>
    <t xml:space="preserve">           4,421,318</t>
  </si>
  <si>
    <t xml:space="preserve">              18,449.8</t>
  </si>
  <si>
    <t xml:space="preserve">           3,029,189</t>
  </si>
  <si>
    <t xml:space="preserve">              27,258.0</t>
  </si>
  <si>
    <t xml:space="preserve">          13,966,592</t>
  </si>
  <si>
    <t xml:space="preserve">              41,322.2</t>
  </si>
  <si>
    <t xml:space="preserve">           7,718,902</t>
  </si>
  <si>
    <t xml:space="preserve">             899,612.3</t>
  </si>
  <si>
    <t xml:space="preserve">           7,995,465</t>
  </si>
  <si>
    <t xml:space="preserve">           1,925,041.8</t>
  </si>
  <si>
    <t xml:space="preserve">           6,594,115</t>
  </si>
  <si>
    <t xml:space="preserve">             296,679.3</t>
  </si>
  <si>
    <t xml:space="preserve">             960,465</t>
  </si>
  <si>
    <t xml:space="preserve">           1,567,502.2</t>
  </si>
  <si>
    <t xml:space="preserve">           2,508,777</t>
  </si>
  <si>
    <t xml:space="preserve">             450,425.4</t>
  </si>
  <si>
    <t xml:space="preserve">           5,390,536</t>
  </si>
  <si>
    <t xml:space="preserve">             191,370.4</t>
  </si>
  <si>
    <t xml:space="preserve">           1,966,662</t>
  </si>
  <si>
    <t xml:space="preserve">             150,599.3</t>
  </si>
  <si>
    <t xml:space="preserve">           1,642,288</t>
  </si>
  <si>
    <t xml:space="preserve">             166,169.2</t>
  </si>
  <si>
    <t xml:space="preserve">           2,118,676</t>
  </si>
  <si>
    <t xml:space="preserve">               1,908.2</t>
  </si>
  <si>
    <t xml:space="preserve">               2,176</t>
  </si>
  <si>
    <t xml:space="preserve">          13,118,653.5</t>
  </si>
  <si>
    <t xml:space="preserve">          15,574,442</t>
  </si>
  <si>
    <t xml:space="preserve">          41,436,748.8</t>
  </si>
  <si>
    <t xml:space="preserve">          23,451,563</t>
  </si>
  <si>
    <t xml:space="preserve">             318,736.7</t>
  </si>
  <si>
    <t xml:space="preserve">             413,627</t>
  </si>
  <si>
    <t xml:space="preserve">           2,805,052.9</t>
  </si>
  <si>
    <t xml:space="preserve">           1,368,799</t>
  </si>
  <si>
    <t xml:space="preserve">             123,595.6</t>
  </si>
  <si>
    <t xml:space="preserve">             644,576</t>
  </si>
  <si>
    <t xml:space="preserve">              96,864.5</t>
  </si>
  <si>
    <t xml:space="preserve">             320,020</t>
  </si>
  <si>
    <t xml:space="preserve">           6,031,027.3</t>
  </si>
  <si>
    <t xml:space="preserve">           4,334,527</t>
  </si>
  <si>
    <t xml:space="preserve">          35,069,696.0</t>
  </si>
  <si>
    <t xml:space="preserve">          14,803,870</t>
  </si>
  <si>
    <t xml:space="preserve">           2,700,429.8</t>
  </si>
  <si>
    <t xml:space="preserve">           3,320,696</t>
  </si>
  <si>
    <t xml:space="preserve">           1,785,338.1</t>
  </si>
  <si>
    <t xml:space="preserve">           2,671,396</t>
  </si>
  <si>
    <t xml:space="preserve">           3,942,059.4</t>
  </si>
  <si>
    <t xml:space="preserve">           6,851,506</t>
  </si>
  <si>
    <t xml:space="preserve">           1,677,406.6</t>
  </si>
  <si>
    <t xml:space="preserve">           4,281,821</t>
  </si>
  <si>
    <t xml:space="preserve">               2,804.7</t>
  </si>
  <si>
    <t xml:space="preserve">               9,510</t>
  </si>
  <si>
    <t xml:space="preserve">               2,390.6</t>
  </si>
  <si>
    <t xml:space="preserve">               5,657</t>
  </si>
  <si>
    <t xml:space="preserve">           1,875,690.3</t>
  </si>
  <si>
    <t xml:space="preserve">          32,718,722</t>
  </si>
  <si>
    <t xml:space="preserve">             754,504.0</t>
  </si>
  <si>
    <t xml:space="preserve">          20,673,314</t>
  </si>
  <si>
    <t xml:space="preserve">           1,225,069.5</t>
  </si>
  <si>
    <t xml:space="preserve">           5,888,413</t>
  </si>
  <si>
    <t xml:space="preserve">             185,818.7</t>
  </si>
  <si>
    <t xml:space="preserve">           1,914,103</t>
  </si>
  <si>
    <t xml:space="preserve">             610,337.0</t>
  </si>
  <si>
    <t xml:space="preserve">           8,633,313</t>
  </si>
  <si>
    <t xml:space="preserve">             512,201.6</t>
  </si>
  <si>
    <t xml:space="preserve">           8,824,839</t>
  </si>
  <si>
    <t xml:space="preserve">              12,164.6</t>
  </si>
  <si>
    <t xml:space="preserve">           4,343,246</t>
  </si>
  <si>
    <t xml:space="preserve">              15,964.8</t>
  </si>
  <si>
    <t xml:space="preserve">           2,406,551</t>
  </si>
  <si>
    <t xml:space="preserve">              28,119.1</t>
  </si>
  <si>
    <t xml:space="preserve">          13,853,750</t>
  </si>
  <si>
    <t xml:space="preserve">              40,519.0</t>
  </si>
  <si>
    <t xml:space="preserve">           7,527,822</t>
  </si>
  <si>
    <t xml:space="preserve">             947,742.2</t>
  </si>
  <si>
    <t xml:space="preserve">           8,442,231</t>
  </si>
  <si>
    <t xml:space="preserve">           2,129,534.2</t>
  </si>
  <si>
    <t xml:space="preserve">           6,988,623</t>
  </si>
  <si>
    <t xml:space="preserve">             273,831.4</t>
  </si>
  <si>
    <t xml:space="preserve">             969,904</t>
  </si>
  <si>
    <t xml:space="preserve">           1,737,701.0</t>
  </si>
  <si>
    <t xml:space="preserve">           2,560,859</t>
  </si>
  <si>
    <t xml:space="preserve">             514,438.8</t>
  </si>
  <si>
    <t xml:space="preserve">           5,856,150</t>
  </si>
  <si>
    <t xml:space="preserve">             213,224.8</t>
  </si>
  <si>
    <t xml:space="preserve">           2,128,775</t>
  </si>
  <si>
    <t xml:space="preserve">             156,498.5</t>
  </si>
  <si>
    <t xml:space="preserve">           1,612,886</t>
  </si>
  <si>
    <t xml:space="preserve">             178,608.4</t>
  </si>
  <si>
    <t xml:space="preserve">           2,298,989</t>
  </si>
  <si>
    <t xml:space="preserve">               2,973.4</t>
  </si>
  <si>
    <t xml:space="preserve">               3,290</t>
  </si>
  <si>
    <t xml:space="preserve">          14,437,578.5</t>
  </si>
  <si>
    <t xml:space="preserve">          16,555,544</t>
  </si>
  <si>
    <t xml:space="preserve">          44,574,114.8</t>
  </si>
  <si>
    <t xml:space="preserve">          24,396,003</t>
  </si>
  <si>
    <t xml:space="preserve">             376,604.2</t>
  </si>
  <si>
    <t xml:space="preserve">             460,057</t>
  </si>
  <si>
    <t xml:space="preserve">           2,948,583.8</t>
  </si>
  <si>
    <t xml:space="preserve">           1,465,528</t>
  </si>
  <si>
    <t xml:space="preserve">             127,374.9</t>
  </si>
  <si>
    <t xml:space="preserve">             621,501</t>
  </si>
  <si>
    <t xml:space="preserve">             105,682.8</t>
  </si>
  <si>
    <t xml:space="preserve">             337,292</t>
  </si>
  <si>
    <t xml:space="preserve">           6,543,854.7</t>
  </si>
  <si>
    <t xml:space="preserve">           4,699,907</t>
  </si>
  <si>
    <t xml:space="preserve">          37,948,266.9</t>
  </si>
  <si>
    <t xml:space="preserve">          15,225,594</t>
  </si>
  <si>
    <t xml:space="preserve">           2,893,835.6</t>
  </si>
  <si>
    <t xml:space="preserve">           3,583,450</t>
  </si>
  <si>
    <t xml:space="preserve">           1,701,968.5</t>
  </si>
  <si>
    <t xml:space="preserve">           2,752,896</t>
  </si>
  <si>
    <t xml:space="preserve">           4,492,302.6</t>
  </si>
  <si>
    <t xml:space="preserve">           7,178,162</t>
  </si>
  <si>
    <t xml:space="preserve">           1,865,925.6</t>
  </si>
  <si>
    <t xml:space="preserve">           4,607,278</t>
  </si>
  <si>
    <t xml:space="preserve">               3,606.6</t>
  </si>
  <si>
    <t xml:space="preserve">              12,465</t>
  </si>
  <si>
    <t xml:space="preserve">               3,687.2</t>
  </si>
  <si>
    <t xml:space="preserve">               7,414</t>
  </si>
  <si>
    <t xml:space="preserve">           2,234,970.7</t>
  </si>
  <si>
    <t xml:space="preserve">          36,361,475</t>
  </si>
  <si>
    <t xml:space="preserve">           1,311,349.3</t>
  </si>
  <si>
    <t xml:space="preserve">          23,481,754</t>
  </si>
  <si>
    <t xml:space="preserve">           1,524,593.0</t>
  </si>
  <si>
    <t xml:space="preserve">           6,809,089</t>
  </si>
  <si>
    <t xml:space="preserve">             698,559.1</t>
  </si>
  <si>
    <t xml:space="preserve">           2,935,005</t>
  </si>
  <si>
    <t xml:space="preserve">             664,008.4</t>
  </si>
  <si>
    <t xml:space="preserve">           9,408,759</t>
  </si>
  <si>
    <t xml:space="preserve">             557,695.2</t>
  </si>
  <si>
    <t xml:space="preserve">          10,037,686</t>
  </si>
  <si>
    <t xml:space="preserve">              12,189.4</t>
  </si>
  <si>
    <t xml:space="preserve">           4,136,134</t>
  </si>
  <si>
    <t xml:space="preserve">              19,336.5</t>
  </si>
  <si>
    <t xml:space="preserve">           2,619,773</t>
  </si>
  <si>
    <t xml:space="preserve">              34,179.8</t>
  </si>
  <si>
    <t xml:space="preserve">          16,007,494</t>
  </si>
  <si>
    <t xml:space="preserve">              35,758.5</t>
  </si>
  <si>
    <t xml:space="preserve">           7,889,290</t>
  </si>
  <si>
    <t xml:space="preserve">             775,717.7</t>
  </si>
  <si>
    <t xml:space="preserve">           6,837,296</t>
  </si>
  <si>
    <t xml:space="preserve">           2,095,799.4</t>
  </si>
  <si>
    <t xml:space="preserve">           6,754,074</t>
  </si>
  <si>
    <t xml:space="preserve">             218,831.1</t>
  </si>
  <si>
    <t xml:space="preserve">             769,987</t>
  </si>
  <si>
    <t xml:space="preserve">           1,737,509.5</t>
  </si>
  <si>
    <t xml:space="preserve">           2,716,917</t>
  </si>
  <si>
    <t xml:space="preserve">             416,256.9</t>
  </si>
  <si>
    <t xml:space="preserve">           4,694,972</t>
  </si>
  <si>
    <t xml:space="preserve">             202,111.2</t>
  </si>
  <si>
    <t xml:space="preserve">           1,801,934</t>
  </si>
  <si>
    <t xml:space="preserve">             137,978.4</t>
  </si>
  <si>
    <t xml:space="preserve">           1,369,159</t>
  </si>
  <si>
    <t xml:space="preserve">             156,178.8</t>
  </si>
  <si>
    <t xml:space="preserve">           2,235,223</t>
  </si>
  <si>
    <t xml:space="preserve">               2,651.3</t>
  </si>
  <si>
    <t xml:space="preserve">               3,178</t>
  </si>
  <si>
    <t xml:space="preserve">          12,560,803.9</t>
  </si>
  <si>
    <t xml:space="preserve">          14,770,147</t>
  </si>
  <si>
    <t xml:space="preserve">          45,022,913.6</t>
  </si>
  <si>
    <t xml:space="preserve">          25,300,265</t>
  </si>
  <si>
    <t xml:space="preserve">             339,279.8</t>
  </si>
  <si>
    <t xml:space="preserve">             419,822</t>
  </si>
  <si>
    <t xml:space="preserve">           2,705,305.3</t>
  </si>
  <si>
    <t xml:space="preserve">           1,396,963</t>
  </si>
  <si>
    <t xml:space="preserve">             110,571.4</t>
  </si>
  <si>
    <t xml:space="preserve">             522,157</t>
  </si>
  <si>
    <t xml:space="preserve">              98,221.0</t>
  </si>
  <si>
    <t xml:space="preserve">             300,209</t>
  </si>
  <si>
    <t xml:space="preserve">           5,415,324.4</t>
  </si>
  <si>
    <t xml:space="preserve">           4,080,925</t>
  </si>
  <si>
    <t xml:space="preserve">          38,763,299.2</t>
  </si>
  <si>
    <t xml:space="preserve">          16,767,335</t>
  </si>
  <si>
    <t xml:space="preserve">           2,638,368.0</t>
  </si>
  <si>
    <t xml:space="preserve">           3,130,056</t>
  </si>
  <si>
    <t xml:space="preserve">           1,571,574.4</t>
  </si>
  <si>
    <t xml:space="preserve">           2,485,479</t>
  </si>
  <si>
    <t xml:space="preserve">           4,054,430.2</t>
  </si>
  <si>
    <t xml:space="preserve">           6,605,881</t>
  </si>
  <si>
    <t xml:space="preserve">           1,881,480.5</t>
  </si>
  <si>
    <t xml:space="preserve">           4,343,104</t>
  </si>
  <si>
    <t xml:space="preserve">               2,830.1</t>
  </si>
  <si>
    <t xml:space="preserve">              11,305</t>
  </si>
  <si>
    <t xml:space="preserve">               3,033.2</t>
  </si>
  <si>
    <t xml:space="preserve">               7,176</t>
  </si>
  <si>
    <t xml:space="preserve">           1,649,780.1</t>
  </si>
  <si>
    <t xml:space="preserve">          27,569,540</t>
  </si>
  <si>
    <t xml:space="preserve">             808,624.5</t>
  </si>
  <si>
    <t xml:space="preserve">          19,117,953</t>
  </si>
  <si>
    <t xml:space="preserve">           1,028,939.5</t>
  </si>
  <si>
    <t xml:space="preserve">           5,948,237</t>
  </si>
  <si>
    <t xml:space="preserve">             219,017.6</t>
  </si>
  <si>
    <t xml:space="preserve">           1,849,911</t>
  </si>
  <si>
    <t xml:space="preserve">             583,661.3</t>
  </si>
  <si>
    <t xml:space="preserve">           7,258,462</t>
  </si>
  <si>
    <t xml:space="preserve">             538,650.8</t>
  </si>
  <si>
    <t xml:space="preserve">           7,669,391</t>
  </si>
  <si>
    <t xml:space="preserve">              10,624.2</t>
  </si>
  <si>
    <t xml:space="preserve">           2,960,976</t>
  </si>
  <si>
    <t xml:space="preserve">              19,003.7</t>
  </si>
  <si>
    <t xml:space="preserve">           2,653,437</t>
  </si>
  <si>
    <t xml:space="preserve">              26,555.0</t>
  </si>
  <si>
    <t xml:space="preserve">          11,401,866</t>
  </si>
  <si>
    <t xml:space="preserve">              31,952.4</t>
  </si>
  <si>
    <t xml:space="preserve">           6,945,214</t>
  </si>
  <si>
    <t xml:space="preserve">             936,081.8</t>
  </si>
  <si>
    <t xml:space="preserve">           8,228,531</t>
  </si>
  <si>
    <t xml:space="preserve">           2,007,203.5</t>
  </si>
  <si>
    <t xml:space="preserve">           6,448,029</t>
  </si>
  <si>
    <t xml:space="preserve">             277,875.7</t>
  </si>
  <si>
    <t xml:space="preserve">             937,313</t>
  </si>
  <si>
    <t xml:space="preserve">           1,709,917.7</t>
  </si>
  <si>
    <t xml:space="preserve">           2,629,082</t>
  </si>
  <si>
    <t xml:space="preserve">             497,605.9</t>
  </si>
  <si>
    <t xml:space="preserve">           5,722,405</t>
  </si>
  <si>
    <t xml:space="preserve">             164,754.8</t>
  </si>
  <si>
    <t xml:space="preserve">           1,747,654</t>
  </si>
  <si>
    <t xml:space="preserve">             157,944.6</t>
  </si>
  <si>
    <t xml:space="preserve">           1,565,336</t>
  </si>
  <si>
    <t xml:space="preserve">             132,531.0</t>
  </si>
  <si>
    <t xml:space="preserve">           2,071,293</t>
  </si>
  <si>
    <t xml:space="preserve">               2,655.7</t>
  </si>
  <si>
    <t xml:space="preserve">               3,476</t>
  </si>
  <si>
    <t xml:space="preserve">          13,438,220.9</t>
  </si>
  <si>
    <t xml:space="preserve">          16,029,324</t>
  </si>
  <si>
    <t xml:space="preserve">          38,798,340.2</t>
  </si>
  <si>
    <t xml:space="preserve">          23,085,893</t>
  </si>
  <si>
    <t xml:space="preserve">             379,143.8</t>
  </si>
  <si>
    <t xml:space="preserve">             450,589</t>
  </si>
  <si>
    <t xml:space="preserve">           2,793,346.9</t>
  </si>
  <si>
    <t xml:space="preserve">           1,405,567</t>
  </si>
  <si>
    <t xml:space="preserve">             127,032.8</t>
  </si>
  <si>
    <t xml:space="preserve">             583,737</t>
  </si>
  <si>
    <t xml:space="preserve">              98,678.3</t>
  </si>
  <si>
    <t xml:space="preserve">             303,487</t>
  </si>
  <si>
    <t xml:space="preserve">           6,094,902.5</t>
  </si>
  <si>
    <t xml:space="preserve">           4,587,814</t>
  </si>
  <si>
    <t xml:space="preserve">          32,444,017.5</t>
  </si>
  <si>
    <t xml:space="preserve">          14,145,782</t>
  </si>
  <si>
    <t xml:space="preserve">           2,574,684.2</t>
  </si>
  <si>
    <t xml:space="preserve">           3,184,279</t>
  </si>
  <si>
    <t xml:space="preserve">           1,593,746.9</t>
  </si>
  <si>
    <t xml:space="preserve">           2,436,460</t>
  </si>
  <si>
    <t xml:space="preserve">           4,258,628.9</t>
  </si>
  <si>
    <t xml:space="preserve">           7,210,289</t>
  </si>
  <si>
    <t xml:space="preserve">           1,867,053.8</t>
  </si>
  <si>
    <t xml:space="preserve">           4,787,092</t>
  </si>
  <si>
    <t xml:space="preserve">               3,828.8</t>
  </si>
  <si>
    <t xml:space="preserve">               1,496.9</t>
  </si>
  <si>
    <t xml:space="preserve">               7,505</t>
  </si>
  <si>
    <t xml:space="preserve">           1,777,592.3</t>
  </si>
  <si>
    <t xml:space="preserve">          28,034,447</t>
  </si>
  <si>
    <t xml:space="preserve">             729,656.7</t>
  </si>
  <si>
    <t xml:space="preserve">          18,794,820</t>
  </si>
  <si>
    <t xml:space="preserve">           1,080,582.5</t>
  </si>
  <si>
    <t xml:space="preserve">           5,243,443</t>
  </si>
  <si>
    <t xml:space="preserve">             195,745.7</t>
  </si>
  <si>
    <t xml:space="preserve">           1,933,315</t>
  </si>
  <si>
    <t xml:space="preserve">             655,268.5</t>
  </si>
  <si>
    <t xml:space="preserve">           8,545,422</t>
  </si>
  <si>
    <t xml:space="preserve">             485,627.7</t>
  </si>
  <si>
    <t xml:space="preserve">           8,191,759</t>
  </si>
  <si>
    <t xml:space="preserve">              11,797.7</t>
  </si>
  <si>
    <t xml:space="preserve">           3,197,859</t>
  </si>
  <si>
    <t xml:space="preserve">              16,282.3</t>
  </si>
  <si>
    <t xml:space="preserve">           2,057,146</t>
  </si>
  <si>
    <t xml:space="preserve">              29,943.6</t>
  </si>
  <si>
    <t xml:space="preserve">          11,047,722</t>
  </si>
  <si>
    <t xml:space="preserve">              32,001.0</t>
  </si>
  <si>
    <t xml:space="preserve">           6,612,600</t>
  </si>
  <si>
    <t xml:space="preserve">             951,050.3</t>
  </si>
  <si>
    <t xml:space="preserve">           8,401,761</t>
  </si>
  <si>
    <t xml:space="preserve">           2,000,321.9</t>
  </si>
  <si>
    <t xml:space="preserve">           7,347,078</t>
  </si>
  <si>
    <t xml:space="preserve">             280,722.2</t>
  </si>
  <si>
    <t xml:space="preserve">             948,596</t>
  </si>
  <si>
    <t xml:space="preserve">           1,633,954.6</t>
  </si>
  <si>
    <t xml:space="preserve">           2,724,546</t>
  </si>
  <si>
    <t xml:space="preserve">             505,588.2</t>
  </si>
  <si>
    <t xml:space="preserve">           5,800,591</t>
  </si>
  <si>
    <t xml:space="preserve">             205,186.3</t>
  </si>
  <si>
    <t xml:space="preserve">           2,202,954</t>
  </si>
  <si>
    <t xml:space="preserve">             162,855.9</t>
  </si>
  <si>
    <t xml:space="preserve">           1,649,781</t>
  </si>
  <si>
    <t xml:space="preserve">             161,181.0</t>
  </si>
  <si>
    <t xml:space="preserve">           2,419,577</t>
  </si>
  <si>
    <t xml:space="preserve">               1,883.9</t>
  </si>
  <si>
    <t xml:space="preserve">               2,793</t>
  </si>
  <si>
    <t xml:space="preserve">          12,485,766.0</t>
  </si>
  <si>
    <t xml:space="preserve">          15,375,651</t>
  </si>
  <si>
    <t xml:space="preserve">          38,785,132.4</t>
  </si>
  <si>
    <t xml:space="preserve">          23,899,187</t>
  </si>
  <si>
    <t xml:space="preserve">             353,451.9</t>
  </si>
  <si>
    <t xml:space="preserve">             440,957</t>
  </si>
  <si>
    <t xml:space="preserve">           2,611,117.0</t>
  </si>
  <si>
    <t xml:space="preserve">           1,415,907</t>
  </si>
  <si>
    <t xml:space="preserve">             123,501.8</t>
  </si>
  <si>
    <t xml:space="preserve">             579,228</t>
  </si>
  <si>
    <t xml:space="preserve">             102,609.7</t>
  </si>
  <si>
    <t xml:space="preserve">             339,642</t>
  </si>
  <si>
    <t xml:space="preserve">           5,459,519.2</t>
  </si>
  <si>
    <t xml:space="preserve">           3,990,034</t>
  </si>
  <si>
    <t xml:space="preserve">          32,895,702.5</t>
  </si>
  <si>
    <t xml:space="preserve">          14,959,089</t>
  </si>
  <si>
    <t xml:space="preserve">           2,530,240.7</t>
  </si>
  <si>
    <t xml:space="preserve">           3,234,465</t>
  </si>
  <si>
    <t xml:space="preserve">           1,565,993.5</t>
  </si>
  <si>
    <t xml:space="preserve">           2,658,935</t>
  </si>
  <si>
    <t xml:space="preserve">           4,016,156.9</t>
  </si>
  <si>
    <t xml:space="preserve">           7,120,177</t>
  </si>
  <si>
    <t xml:space="preserve">           1,606,994.9</t>
  </si>
  <si>
    <t xml:space="preserve">           4,519,799</t>
  </si>
  <si>
    <t xml:space="preserve">               2,895.4</t>
  </si>
  <si>
    <t xml:space="preserve">              10,791</t>
  </si>
  <si>
    <t xml:space="preserve">               2,714.7</t>
  </si>
  <si>
    <t xml:space="preserve">               5,816</t>
  </si>
  <si>
    <t xml:space="preserve">           2,265,243.3</t>
  </si>
  <si>
    <t xml:space="preserve">          34,287,150</t>
  </si>
  <si>
    <t xml:space="preserve">           1,174,798.4</t>
  </si>
  <si>
    <t xml:space="preserve">          22,094,767</t>
  </si>
  <si>
    <t xml:space="preserve">           1,535,479.2</t>
  </si>
  <si>
    <t xml:space="preserve">           7,179,975</t>
  </si>
  <si>
    <t xml:space="preserve">             559,498.8</t>
  </si>
  <si>
    <t xml:space="preserve">           2,098,372</t>
  </si>
  <si>
    <t xml:space="preserve">             689,506.3</t>
  </si>
  <si>
    <t xml:space="preserve">           8,891,991</t>
  </si>
  <si>
    <t xml:space="preserve">             555,622.5</t>
  </si>
  <si>
    <t xml:space="preserve">          10,192,667</t>
  </si>
  <si>
    <t xml:space="preserve">              11,171.2</t>
  </si>
  <si>
    <t xml:space="preserve">           3,719,157</t>
  </si>
  <si>
    <t xml:space="preserve">              17,250.3</t>
  </si>
  <si>
    <t xml:space="preserve">           2,335,676</t>
  </si>
  <si>
    <t xml:space="preserve">              29,086.7</t>
  </si>
  <si>
    <t xml:space="preserve">          14,496,027</t>
  </si>
  <si>
    <t xml:space="preserve">              42,426.8</t>
  </si>
  <si>
    <t xml:space="preserve">           7,468,052</t>
  </si>
  <si>
    <t xml:space="preserve">           1,040,321.5</t>
  </si>
  <si>
    <t xml:space="preserve">           8,915,915</t>
  </si>
  <si>
    <t xml:space="preserve">           2,240,257.3</t>
  </si>
  <si>
    <t xml:space="preserve">           7,650,462</t>
  </si>
  <si>
    <t xml:space="preserve">             331,031.9</t>
  </si>
  <si>
    <t xml:space="preserve">           1,044,605</t>
  </si>
  <si>
    <t xml:space="preserve">           1,826,266.3</t>
  </si>
  <si>
    <t xml:space="preserve">           2,912,570</t>
  </si>
  <si>
    <t xml:space="preserve">             525,161.6</t>
  </si>
  <si>
    <t xml:space="preserve">           6,054,444</t>
  </si>
  <si>
    <t xml:space="preserve">             241,074.9</t>
  </si>
  <si>
    <t xml:space="preserve">           2,433,623</t>
  </si>
  <si>
    <t xml:space="preserve">             182,262.5</t>
  </si>
  <si>
    <t xml:space="preserve">           1,814,143</t>
  </si>
  <si>
    <t xml:space="preserve">             172,916.1</t>
  </si>
  <si>
    <t xml:space="preserve">           2,304,269</t>
  </si>
  <si>
    <t xml:space="preserve">               1,865.5</t>
  </si>
  <si>
    <t xml:space="preserve">               2,722</t>
  </si>
  <si>
    <t xml:space="preserve">          14,460,203.1</t>
  </si>
  <si>
    <t xml:space="preserve">          16,732,501</t>
  </si>
  <si>
    <t xml:space="preserve">          41,912,360.2</t>
  </si>
  <si>
    <t xml:space="preserve">          24,559,602</t>
  </si>
  <si>
    <t xml:space="preserve">             398,915.0</t>
  </si>
  <si>
    <t xml:space="preserve">             472,049</t>
  </si>
  <si>
    <t xml:space="preserve">           2,941,070.2</t>
  </si>
  <si>
    <t xml:space="preserve">           1,568,702</t>
  </si>
  <si>
    <t xml:space="preserve">             133,909.8</t>
  </si>
  <si>
    <t xml:space="preserve">             649,050</t>
  </si>
  <si>
    <t xml:space="preserve">             117,287.3</t>
  </si>
  <si>
    <t xml:space="preserve">             368,082</t>
  </si>
  <si>
    <t xml:space="preserve">           6,647,507.1</t>
  </si>
  <si>
    <t xml:space="preserve">           4,530,019</t>
  </si>
  <si>
    <t xml:space="preserve">          35,083,281.0</t>
  </si>
  <si>
    <t xml:space="preserve">          14,637,793</t>
  </si>
  <si>
    <t xml:space="preserve">           2,952,974.4</t>
  </si>
  <si>
    <t xml:space="preserve">           3,652,150</t>
  </si>
  <si>
    <t xml:space="preserve">           1,848,704.0</t>
  </si>
  <si>
    <t xml:space="preserve">           3,025,259</t>
  </si>
  <si>
    <t xml:space="preserve">           4,324,659.8</t>
  </si>
  <si>
    <t xml:space="preserve">           7,419,857</t>
  </si>
  <si>
    <t xml:space="preserve">           1,918,946.6</t>
  </si>
  <si>
    <t xml:space="preserve">           4,951,842</t>
  </si>
  <si>
    <t xml:space="preserve">               2,236.9</t>
  </si>
  <si>
    <t xml:space="preserve">               9,375</t>
  </si>
  <si>
    <t xml:space="preserve">               3,071.0</t>
  </si>
  <si>
    <t xml:space="preserve">               7,923</t>
  </si>
  <si>
    <t xml:space="preserve">           2,027,280.3</t>
  </si>
  <si>
    <t xml:space="preserve">          32,387,330</t>
  </si>
  <si>
    <t xml:space="preserve">           1,104,012.6</t>
  </si>
  <si>
    <t xml:space="preserve">          21,022,652</t>
  </si>
  <si>
    <t xml:space="preserve">           1,234,876.0</t>
  </si>
  <si>
    <t xml:space="preserve">           6,453,424</t>
  </si>
  <si>
    <t xml:space="preserve">             451,845.7</t>
  </si>
  <si>
    <t xml:space="preserve">           2,487,454</t>
  </si>
  <si>
    <t xml:space="preserve">             748,450.2</t>
  </si>
  <si>
    <t xml:space="preserve">           9,531,754</t>
  </si>
  <si>
    <t xml:space="preserve">             587,518.2</t>
  </si>
  <si>
    <t xml:space="preserve">           9,065,877</t>
  </si>
  <si>
    <t xml:space="preserve">              12,465.5</t>
  </si>
  <si>
    <t xml:space="preserve">           3,238,072</t>
  </si>
  <si>
    <t xml:space="preserve">              18,976.9</t>
  </si>
  <si>
    <t xml:space="preserve">           2,570,046</t>
  </si>
  <si>
    <t xml:space="preserve">              31,488.7</t>
  </si>
  <si>
    <t xml:space="preserve">          13,164,080</t>
  </si>
  <si>
    <t xml:space="preserve">              45,671.8</t>
  </si>
  <si>
    <t xml:space="preserve">           6,899,275</t>
  </si>
  <si>
    <t xml:space="preserve">             959,948.7</t>
  </si>
  <si>
    <t xml:space="preserve">           8,287,531</t>
  </si>
  <si>
    <t xml:space="preserve">           2,090,574.4</t>
  </si>
  <si>
    <t xml:space="preserve">           7,228,337</t>
  </si>
  <si>
    <t xml:space="preserve">             292,986.0</t>
  </si>
  <si>
    <t xml:space="preserve">             953,955</t>
  </si>
  <si>
    <t xml:space="preserve">           1,706,462.7</t>
  </si>
  <si>
    <t xml:space="preserve">           2,795,762</t>
  </si>
  <si>
    <t xml:space="preserve">             494,602.4</t>
  </si>
  <si>
    <t xml:space="preserve">           5,604,303</t>
  </si>
  <si>
    <t xml:space="preserve">             230,410.3</t>
  </si>
  <si>
    <t xml:space="preserve">           2,459,827</t>
  </si>
  <si>
    <t xml:space="preserve">             169,937.2</t>
  </si>
  <si>
    <t xml:space="preserve">           1,726,953</t>
  </si>
  <si>
    <t xml:space="preserve">             153,701.4</t>
  </si>
  <si>
    <t xml:space="preserve">           1,972,748</t>
  </si>
  <si>
    <t xml:space="preserve">               2,423.1</t>
  </si>
  <si>
    <t xml:space="preserve">               2,319</t>
  </si>
  <si>
    <t xml:space="preserve">          13,540,244.5</t>
  </si>
  <si>
    <t xml:space="preserve">          15,509,215</t>
  </si>
  <si>
    <t xml:space="preserve">          39,945,318.6</t>
  </si>
  <si>
    <t xml:space="preserve">          23,233,610</t>
  </si>
  <si>
    <t xml:space="preserve">             369,455.5</t>
  </si>
  <si>
    <t xml:space="preserve">             430,895</t>
  </si>
  <si>
    <t xml:space="preserve">           2,826,567.3</t>
  </si>
  <si>
    <t xml:space="preserve">           1,476,468</t>
  </si>
  <si>
    <t xml:space="preserve">             116,390.5</t>
  </si>
  <si>
    <t xml:space="preserve">             588,150</t>
  </si>
  <si>
    <t xml:space="preserve">             103,333.6</t>
  </si>
  <si>
    <t xml:space="preserve">             333,519</t>
  </si>
  <si>
    <t xml:space="preserve">           6,562,997.3</t>
  </si>
  <si>
    <t xml:space="preserve">           4,484,429</t>
  </si>
  <si>
    <t xml:space="preserve">          33,400,023.7</t>
  </si>
  <si>
    <t xml:space="preserve">          14,166,473</t>
  </si>
  <si>
    <t xml:space="preserve">           2,588,607.9</t>
  </si>
  <si>
    <t xml:space="preserve">           3,297,358</t>
  </si>
  <si>
    <t xml:space="preserve">           1,666,838.8</t>
  </si>
  <si>
    <t xml:space="preserve">           2,790,077</t>
  </si>
  <si>
    <t xml:space="preserve">           3,900,630.1</t>
  </si>
  <si>
    <t xml:space="preserve">           6,699,114</t>
  </si>
  <si>
    <t xml:space="preserve">           1,945,459.8</t>
  </si>
  <si>
    <t xml:space="preserve">           4,459,938</t>
  </si>
  <si>
    <t xml:space="preserve">               2,163.4</t>
  </si>
  <si>
    <t xml:space="preserve">               9,269</t>
  </si>
  <si>
    <t xml:space="preserve">               3,095.4</t>
  </si>
  <si>
    <t xml:space="preserve">               7,134</t>
  </si>
  <si>
    <t xml:space="preserve">           2,073,269.6</t>
  </si>
  <si>
    <t xml:space="preserve">          33,464,317</t>
  </si>
  <si>
    <t xml:space="preserve">             994,580.8</t>
  </si>
  <si>
    <t xml:space="preserve">          19,883,169</t>
  </si>
  <si>
    <t xml:space="preserve">           1,392,823.7</t>
  </si>
  <si>
    <t xml:space="preserve">           6,096,544</t>
  </si>
  <si>
    <t xml:space="preserve">             405,301.8</t>
  </si>
  <si>
    <t xml:space="preserve">           2,419,963</t>
  </si>
  <si>
    <t xml:space="preserve">             640,594.3</t>
  </si>
  <si>
    <t xml:space="preserve">           8,620,642</t>
  </si>
  <si>
    <t xml:space="preserve">             535,733.5</t>
  </si>
  <si>
    <t xml:space="preserve">           8,336,177</t>
  </si>
  <si>
    <t xml:space="preserve">              11,452.2</t>
  </si>
  <si>
    <t xml:space="preserve">           3,514,373</t>
  </si>
  <si>
    <t xml:space="preserve">              17,152.3</t>
  </si>
  <si>
    <t xml:space="preserve">           2,489,895</t>
  </si>
  <si>
    <t xml:space="preserve">              28,399.4</t>
  </si>
  <si>
    <t xml:space="preserve">          15,232,758</t>
  </si>
  <si>
    <t xml:space="preserve">              36,393.2</t>
  </si>
  <si>
    <t xml:space="preserve">           6,637,134</t>
  </si>
  <si>
    <t xml:space="preserve">             904,999.1</t>
  </si>
  <si>
    <t xml:space="preserve">           8,216,283</t>
  </si>
  <si>
    <t xml:space="preserve">           2,113,858.6</t>
  </si>
  <si>
    <t xml:space="preserve">           7,198,366</t>
  </si>
  <si>
    <t xml:space="preserve">             261,711.4</t>
  </si>
  <si>
    <t xml:space="preserve">             909,840</t>
  </si>
  <si>
    <t xml:space="preserve">           1,740,028.5</t>
  </si>
  <si>
    <t xml:space="preserve">           2,770,693</t>
  </si>
  <si>
    <t xml:space="preserve">             482,143.3</t>
  </si>
  <si>
    <t xml:space="preserve">           5,635,718</t>
  </si>
  <si>
    <t xml:space="preserve">             216,628.5</t>
  </si>
  <si>
    <t xml:space="preserve">           2,317,897</t>
  </si>
  <si>
    <t xml:space="preserve">             158,096.4</t>
  </si>
  <si>
    <t xml:space="preserve">           1,667,614</t>
  </si>
  <si>
    <t xml:space="preserve">             157,201.5</t>
  </si>
  <si>
    <t xml:space="preserve">           2,109,777</t>
  </si>
  <si>
    <t xml:space="preserve">               3,047.9</t>
  </si>
  <si>
    <t xml:space="preserve">               3,111</t>
  </si>
  <si>
    <t xml:space="preserve">          13,266,392.1</t>
  </si>
  <si>
    <t xml:space="preserve">          16,023,552</t>
  </si>
  <si>
    <t xml:space="preserve">          39,485,863.9</t>
  </si>
  <si>
    <t xml:space="preserve">          22,410,143</t>
  </si>
  <si>
    <t xml:space="preserve">             349,781.0</t>
  </si>
  <si>
    <t xml:space="preserve">             438,017</t>
  </si>
  <si>
    <t xml:space="preserve">           2,801,644.7</t>
  </si>
  <si>
    <t xml:space="preserve">           1,480,333</t>
  </si>
  <si>
    <t xml:space="preserve">             104,448.5</t>
  </si>
  <si>
    <t xml:space="preserve">             550,815</t>
  </si>
  <si>
    <t xml:space="preserve">              98,810.7</t>
  </si>
  <si>
    <t xml:space="preserve">             321,922</t>
  </si>
  <si>
    <t xml:space="preserve">           6,329,123.4</t>
  </si>
  <si>
    <t xml:space="preserve">           4,760,980</t>
  </si>
  <si>
    <t xml:space="preserve">          33,172,783.0</t>
  </si>
  <si>
    <t xml:space="preserve">          13,157,655</t>
  </si>
  <si>
    <t xml:space="preserve">           2,380,881.8</t>
  </si>
  <si>
    <t xml:space="preserve">           3,221,602</t>
  </si>
  <si>
    <t xml:space="preserve">           1,620,616.2</t>
  </si>
  <si>
    <t xml:space="preserve">           2,800,660</t>
  </si>
  <si>
    <t xml:space="preserve">           4,100,433.5</t>
  </si>
  <si>
    <t xml:space="preserve">           7,044,112</t>
  </si>
  <si>
    <t xml:space="preserve">           1,789,116.9</t>
  </si>
  <si>
    <t xml:space="preserve">           4,641,551</t>
  </si>
  <si>
    <t xml:space="preserve">               1,724.0</t>
  </si>
  <si>
    <t xml:space="preserve">               8,026</t>
  </si>
  <si>
    <t xml:space="preserve">               2,892.5</t>
  </si>
  <si>
    <t xml:space="preserve">               8,022</t>
  </si>
  <si>
    <t xml:space="preserve">           2,049,765.8</t>
  </si>
  <si>
    <t xml:space="preserve">          35,593,962</t>
  </si>
  <si>
    <t xml:space="preserve">           1,129,162.8</t>
  </si>
  <si>
    <t xml:space="preserve">          21,217,237</t>
  </si>
  <si>
    <t xml:space="preserve">           1,388,222.6</t>
  </si>
  <si>
    <t xml:space="preserve">           6,730,734</t>
  </si>
  <si>
    <t xml:space="preserve">             551,066.7</t>
  </si>
  <si>
    <t xml:space="preserve">           2,263,716</t>
  </si>
  <si>
    <t xml:space="preserve">             621,795.9</t>
  </si>
  <si>
    <t xml:space="preserve">           9,107,125</t>
  </si>
  <si>
    <t xml:space="preserve">             525,214.4</t>
  </si>
  <si>
    <t xml:space="preserve">           9,159,773</t>
  </si>
  <si>
    <t xml:space="preserve">              10,986.4</t>
  </si>
  <si>
    <t xml:space="preserve">           3,295,580</t>
  </si>
  <si>
    <t xml:space="preserve">              16,065.0</t>
  </si>
  <si>
    <t xml:space="preserve">           2,444,851</t>
  </si>
  <si>
    <t xml:space="preserve">              28,760.9</t>
  </si>
  <si>
    <t xml:space="preserve">          16,460,523</t>
  </si>
  <si>
    <t xml:space="preserve">              36,816.7</t>
  </si>
  <si>
    <t xml:space="preserve">           7,348,897</t>
  </si>
  <si>
    <t xml:space="preserve">             953,777.9</t>
  </si>
  <si>
    <t xml:space="preserve">           8,020,782</t>
  </si>
  <si>
    <t xml:space="preserve">           2,080,314.2</t>
  </si>
  <si>
    <t xml:space="preserve">           7,850,147</t>
  </si>
  <si>
    <t xml:space="preserve">             292,583.5</t>
  </si>
  <si>
    <t xml:space="preserve">             978,427</t>
  </si>
  <si>
    <t xml:space="preserve">           1,676,394.8</t>
  </si>
  <si>
    <t xml:space="preserve">           2,890,779</t>
  </si>
  <si>
    <t xml:space="preserve">             494,504.2</t>
  </si>
  <si>
    <t xml:space="preserve">           5,324,181</t>
  </si>
  <si>
    <t xml:space="preserve">             235,062.7</t>
  </si>
  <si>
    <t xml:space="preserve">           2,583,283</t>
  </si>
  <si>
    <t xml:space="preserve">             162,728.9</t>
  </si>
  <si>
    <t xml:space="preserve">           1,713,676</t>
  </si>
  <si>
    <t xml:space="preserve">             168,856.6</t>
  </si>
  <si>
    <t xml:space="preserve">           2,376,084</t>
  </si>
  <si>
    <t xml:space="preserve">               3,961.4</t>
  </si>
  <si>
    <t xml:space="preserve">               4,498</t>
  </si>
  <si>
    <t xml:space="preserve">          14,680,249.7</t>
  </si>
  <si>
    <t xml:space="preserve">          17,071,052</t>
  </si>
  <si>
    <t xml:space="preserve">          44,405,740.3</t>
  </si>
  <si>
    <t xml:space="preserve">          24,368,736</t>
  </si>
  <si>
    <t xml:space="preserve">             373,288.6</t>
  </si>
  <si>
    <t xml:space="preserve">             466,523</t>
  </si>
  <si>
    <t xml:space="preserve">           2,707,580.3</t>
  </si>
  <si>
    <t xml:space="preserve">           1,458,473</t>
  </si>
  <si>
    <t xml:space="preserve">             115,646.5</t>
  </si>
  <si>
    <t xml:space="preserve">             582,466</t>
  </si>
  <si>
    <t xml:space="preserve">             104,122.5</t>
  </si>
  <si>
    <t xml:space="preserve">             333,185</t>
  </si>
  <si>
    <t xml:space="preserve">           6,967,382.8</t>
  </si>
  <si>
    <t xml:space="preserve">           5,198,328</t>
  </si>
  <si>
    <t xml:space="preserve">          37,720,808.4</t>
  </si>
  <si>
    <t xml:space="preserve">          14,421,581</t>
  </si>
  <si>
    <t xml:space="preserve">           2,759,085.9</t>
  </si>
  <si>
    <t xml:space="preserve">           3,680,098</t>
  </si>
  <si>
    <t xml:space="preserve">           1,981,767.0</t>
  </si>
  <si>
    <t xml:space="preserve">           3,100,812</t>
  </si>
  <si>
    <t xml:space="preserve">           4,462,299.3</t>
  </si>
  <si>
    <t xml:space="preserve">           7,134,248</t>
  </si>
  <si>
    <t xml:space="preserve">           1,888,615.0</t>
  </si>
  <si>
    <t xml:space="preserve">           5,047,401</t>
  </si>
  <si>
    <t xml:space="preserve">               2,546.6</t>
  </si>
  <si>
    <t xml:space="preserve">               9,390</t>
  </si>
  <si>
    <t xml:space="preserve">               2,847.0</t>
  </si>
  <si>
    <t xml:space="preserve">           1,946,810.6</t>
  </si>
  <si>
    <t xml:space="preserve">          35,632,489</t>
  </si>
  <si>
    <t xml:space="preserve">           1,054,161.5</t>
  </si>
  <si>
    <t xml:space="preserve">          21,991,488</t>
  </si>
  <si>
    <t xml:space="preserve">           1,225,208.3</t>
  </si>
  <si>
    <t xml:space="preserve">           6,379,323</t>
  </si>
  <si>
    <t xml:space="preserve">             454,467.7</t>
  </si>
  <si>
    <t xml:space="preserve">           2,386,239</t>
  </si>
  <si>
    <t xml:space="preserve">             677,731.2</t>
  </si>
  <si>
    <t xml:space="preserve">           9,402,707</t>
  </si>
  <si>
    <t xml:space="preserve">             545,394.2</t>
  </si>
  <si>
    <t xml:space="preserve">           9,027,901</t>
  </si>
  <si>
    <t xml:space="preserve">              14,894.8</t>
  </si>
  <si>
    <t xml:space="preserve">           3,534,929</t>
  </si>
  <si>
    <t xml:space="preserve">              16,829.5</t>
  </si>
  <si>
    <t xml:space="preserve">           2,849,379</t>
  </si>
  <si>
    <t xml:space="preserve">              28,976.2</t>
  </si>
  <si>
    <t xml:space="preserve">          16,315,529</t>
  </si>
  <si>
    <t xml:space="preserve">              37,470.1</t>
  </si>
  <si>
    <t xml:space="preserve">           7,727,969</t>
  </si>
  <si>
    <t xml:space="preserve">             844,376.3</t>
  </si>
  <si>
    <t xml:space="preserve">           7,242,562</t>
  </si>
  <si>
    <t xml:space="preserve">           2,066,389.3</t>
  </si>
  <si>
    <t xml:space="preserve">           7,498,399</t>
  </si>
  <si>
    <t xml:space="preserve">             281,819.8</t>
  </si>
  <si>
    <t xml:space="preserve">             890,643</t>
  </si>
  <si>
    <t xml:space="preserve">           1,682,118.4</t>
  </si>
  <si>
    <t xml:space="preserve">           2,663,179</t>
  </si>
  <si>
    <t xml:space="preserve">             428,917.6</t>
  </si>
  <si>
    <t xml:space="preserve">           4,920,612</t>
  </si>
  <si>
    <t xml:space="preserve">             218,472.8</t>
  </si>
  <si>
    <t xml:space="preserve">           2,421,261</t>
  </si>
  <si>
    <t xml:space="preserve">             131,402.4</t>
  </si>
  <si>
    <t xml:space="preserve">           1,428,577</t>
  </si>
  <si>
    <t xml:space="preserve">             165,798.0</t>
  </si>
  <si>
    <t xml:space="preserve">           2,413,959</t>
  </si>
  <si>
    <t xml:space="preserve">               2,236.5</t>
  </si>
  <si>
    <t xml:space="preserve">               2,731</t>
  </si>
  <si>
    <t xml:space="preserve">          14,167,515.4</t>
  </si>
  <si>
    <t xml:space="preserve">          15,767,753</t>
  </si>
  <si>
    <t xml:space="preserve">          45,854,738.4</t>
  </si>
  <si>
    <t xml:space="preserve">          24,126,559</t>
  </si>
  <si>
    <t xml:space="preserve">             355,194.0</t>
  </si>
  <si>
    <t xml:space="preserve">             399,875</t>
  </si>
  <si>
    <t xml:space="preserve">           2,621,623.6</t>
  </si>
  <si>
    <t xml:space="preserve">           1,383,382</t>
  </si>
  <si>
    <t xml:space="preserve">              99,911.2</t>
  </si>
  <si>
    <t xml:space="preserve">             478,766</t>
  </si>
  <si>
    <t xml:space="preserve">              90,743.3</t>
  </si>
  <si>
    <t xml:space="preserve">             284,749</t>
  </si>
  <si>
    <t xml:space="preserve">           7,077,467.2</t>
  </si>
  <si>
    <t xml:space="preserve">           5,053,234</t>
  </si>
  <si>
    <t xml:space="preserve">          39,780,149.6</t>
  </si>
  <si>
    <t xml:space="preserve">          15,305,787</t>
  </si>
  <si>
    <t xml:space="preserve">           2,512,539.8</t>
  </si>
  <si>
    <t xml:space="preserve">           3,186,384</t>
  </si>
  <si>
    <t xml:space="preserve">           1,572,131.0</t>
  </si>
  <si>
    <t xml:space="preserve">           2,701,763</t>
  </si>
  <si>
    <t xml:space="preserve">           4,120,342.7</t>
  </si>
  <si>
    <t xml:space="preserve">           6,642,206</t>
  </si>
  <si>
    <t xml:space="preserve">           1,787,566.1</t>
  </si>
  <si>
    <t xml:space="preserve">           4,444,861</t>
  </si>
  <si>
    <t xml:space="preserve">               2,060.5</t>
  </si>
  <si>
    <t xml:space="preserve">               7,288</t>
  </si>
  <si>
    <t xml:space="preserve">               2,524.7</t>
  </si>
  <si>
    <t xml:space="preserve">               6,017</t>
  </si>
  <si>
    <t xml:space="preserve">           2,106,782.2</t>
  </si>
  <si>
    <t xml:space="preserve">          35,249,017</t>
  </si>
  <si>
    <t xml:space="preserve">             720,792.9</t>
  </si>
  <si>
    <t xml:space="preserve">          20,231,665</t>
  </si>
  <si>
    <t xml:space="preserve">           1,509,426.6</t>
  </si>
  <si>
    <t xml:space="preserve">           6,824,572</t>
  </si>
  <si>
    <t xml:space="preserve">             153,288.5</t>
  </si>
  <si>
    <t xml:space="preserve">           1,917,645</t>
  </si>
  <si>
    <t xml:space="preserve">             556,698.6</t>
  </si>
  <si>
    <t xml:space="preserve">           7,579,464</t>
  </si>
  <si>
    <t xml:space="preserve">             520,696.8</t>
  </si>
  <si>
    <t xml:space="preserve">           8,301,179</t>
  </si>
  <si>
    <t xml:space="preserve">              11,246.2</t>
  </si>
  <si>
    <t xml:space="preserve">           4,225,294</t>
  </si>
  <si>
    <t xml:space="preserve">              15,267.0</t>
  </si>
  <si>
    <t xml:space="preserve">           2,406,849</t>
  </si>
  <si>
    <t xml:space="preserve">              29,410.7</t>
  </si>
  <si>
    <t xml:space="preserve">          16,619,686</t>
  </si>
  <si>
    <t xml:space="preserve">              31,540.6</t>
  </si>
  <si>
    <t xml:space="preserve">           7,605,992</t>
  </si>
  <si>
    <t xml:space="preserve">           1,047,562.8</t>
  </si>
  <si>
    <t xml:space="preserve">           8,625,008</t>
  </si>
  <si>
    <t xml:space="preserve">           2,289,878.8</t>
  </si>
  <si>
    <t xml:space="preserve">           8,095,423</t>
  </si>
  <si>
    <t xml:space="preserve">             389,273.4</t>
  </si>
  <si>
    <t xml:space="preserve">           1,095,948</t>
  </si>
  <si>
    <t xml:space="preserve">           1,871,806.6</t>
  </si>
  <si>
    <t xml:space="preserve">           2,950,397</t>
  </si>
  <si>
    <t xml:space="preserve">             494,711.3</t>
  </si>
  <si>
    <t xml:space="preserve">           5,683,299</t>
  </si>
  <si>
    <t xml:space="preserve">             223,790.5</t>
  </si>
  <si>
    <t xml:space="preserve">           2,366,234</t>
  </si>
  <si>
    <t xml:space="preserve">             161,832.7</t>
  </si>
  <si>
    <t xml:space="preserve">           1,843,675</t>
  </si>
  <si>
    <t xml:space="preserve">             194,281.7</t>
  </si>
  <si>
    <t xml:space="preserve">           2,778,793</t>
  </si>
  <si>
    <t xml:space="preserve">               1,745.5</t>
  </si>
  <si>
    <t xml:space="preserve">               2,086</t>
  </si>
  <si>
    <t xml:space="preserve">          14,804,972.4</t>
  </si>
  <si>
    <t xml:space="preserve">          17,227,677</t>
  </si>
  <si>
    <t xml:space="preserve">          44,083,874.8</t>
  </si>
  <si>
    <t xml:space="preserve">          24,958,281</t>
  </si>
  <si>
    <t xml:space="preserve">             377,224.1</t>
  </si>
  <si>
    <t xml:space="preserve">             449,419</t>
  </si>
  <si>
    <t xml:space="preserve">           2,757,122.6</t>
  </si>
  <si>
    <t xml:space="preserve">           1,424,496</t>
  </si>
  <si>
    <t xml:space="preserve">             124,052.1</t>
  </si>
  <si>
    <t xml:space="preserve">             607,073</t>
  </si>
  <si>
    <t xml:space="preserve">             106,279.3</t>
  </si>
  <si>
    <t xml:space="preserve">             333,526</t>
  </si>
  <si>
    <t xml:space="preserve">           7,054,855.2</t>
  </si>
  <si>
    <t xml:space="preserve">           5,071,416</t>
  </si>
  <si>
    <t xml:space="preserve">          37,475,945.0</t>
  </si>
  <si>
    <t xml:space="preserve">          14,854,212</t>
  </si>
  <si>
    <t xml:space="preserve">           2,820,108.7</t>
  </si>
  <si>
    <t xml:space="preserve">           3,496,294</t>
  </si>
  <si>
    <t xml:space="preserve">           1,831,583.3</t>
  </si>
  <si>
    <t xml:space="preserve">           3,061,985</t>
  </si>
  <si>
    <t xml:space="preserve">           4,426,699.4</t>
  </si>
  <si>
    <t xml:space="preserve">           7,595,794</t>
  </si>
  <si>
    <t xml:space="preserve">           1,910,270.3</t>
  </si>
  <si>
    <t xml:space="preserve">           5,277,163</t>
  </si>
  <si>
    <t xml:space="preserve">               2,032.9</t>
  </si>
  <si>
    <t xml:space="preserve">               2,674.3</t>
  </si>
  <si>
    <t xml:space="preserve">               6,899</t>
  </si>
  <si>
    <t xml:space="preserve">           2,224,168.0</t>
  </si>
  <si>
    <t xml:space="preserve">          40,051,433</t>
  </si>
  <si>
    <t xml:space="preserve">             904,584.6</t>
  </si>
  <si>
    <t xml:space="preserve">          23,365,909</t>
  </si>
  <si>
    <t xml:space="preserve">           1,485,943.5</t>
  </si>
  <si>
    <t xml:space="preserve">           7,671,160</t>
  </si>
  <si>
    <t xml:space="preserve">             302,109.9</t>
  </si>
  <si>
    <t xml:space="preserve">           2,357,769</t>
  </si>
  <si>
    <t xml:space="preserve">             695,286.2</t>
  </si>
  <si>
    <t xml:space="preserve">           9,547,730</t>
  </si>
  <si>
    <t xml:space="preserve">             539,518.9</t>
  </si>
  <si>
    <t xml:space="preserve">          10,063,747</t>
  </si>
  <si>
    <t xml:space="preserve">              12,310.2</t>
  </si>
  <si>
    <t xml:space="preserve">           4,619,191</t>
  </si>
  <si>
    <t xml:space="preserve">              17,010.0</t>
  </si>
  <si>
    <t xml:space="preserve">           3,315,968</t>
  </si>
  <si>
    <t xml:space="preserve">              30,628.0</t>
  </si>
  <si>
    <t xml:space="preserve">          18,213,352</t>
  </si>
  <si>
    <t xml:space="preserve">              45,945.9</t>
  </si>
  <si>
    <t xml:space="preserve">           7,628,425</t>
  </si>
  <si>
    <t xml:space="preserve">             815,431.6</t>
  </si>
  <si>
    <t xml:space="preserve">           7,573,129</t>
  </si>
  <si>
    <t xml:space="preserve">           1,932,909.8</t>
  </si>
  <si>
    <t xml:space="preserve">           7,003,694</t>
  </si>
  <si>
    <t xml:space="preserve">             254,951.9</t>
  </si>
  <si>
    <t xml:space="preserve">             903,089</t>
  </si>
  <si>
    <t xml:space="preserve">           1,558,263.7</t>
  </si>
  <si>
    <t xml:space="preserve">           2,497,860</t>
  </si>
  <si>
    <t xml:space="preserve">             429,689.8</t>
  </si>
  <si>
    <t xml:space="preserve">           5,162,546</t>
  </si>
  <si>
    <t xml:space="preserve">             201,285.4</t>
  </si>
  <si>
    <t xml:space="preserve">           2,109,910</t>
  </si>
  <si>
    <t xml:space="preserve">             129,417.5</t>
  </si>
  <si>
    <t xml:space="preserve">           1,505,792</t>
  </si>
  <si>
    <t xml:space="preserve">             173,360.7</t>
  </si>
  <si>
    <t xml:space="preserve">           2,395,925</t>
  </si>
  <si>
    <t xml:space="preserve">               1,372.4</t>
  </si>
  <si>
    <t xml:space="preserve">               1,702</t>
  </si>
  <si>
    <t xml:space="preserve">          13,307,367.3</t>
  </si>
  <si>
    <t xml:space="preserve">          15,011,770</t>
  </si>
  <si>
    <t xml:space="preserve">          44,833,697.5</t>
  </si>
  <si>
    <t xml:space="preserve">          25,489,878</t>
  </si>
  <si>
    <t xml:space="preserve">             370,232.9</t>
  </si>
  <si>
    <t xml:space="preserve">             414,616</t>
  </si>
  <si>
    <t xml:space="preserve">           2,813,401.4</t>
  </si>
  <si>
    <t xml:space="preserve">           1,366,937</t>
  </si>
  <si>
    <t xml:space="preserve">             102,588.9</t>
  </si>
  <si>
    <t xml:space="preserve">             492,889</t>
  </si>
  <si>
    <t xml:space="preserve">              90,758.6</t>
  </si>
  <si>
    <t xml:space="preserve">             289,833</t>
  </si>
  <si>
    <t xml:space="preserve">           6,528,401.5</t>
  </si>
  <si>
    <t xml:space="preserve">           4,846,658</t>
  </si>
  <si>
    <t xml:space="preserve">          38,783,460.0</t>
  </si>
  <si>
    <t xml:space="preserve">          16,695,924</t>
  </si>
  <si>
    <t xml:space="preserve">           2,419,953.6</t>
  </si>
  <si>
    <t xml:space="preserve">           3,113,957</t>
  </si>
  <si>
    <t xml:space="preserve">           1,491,437.5</t>
  </si>
  <si>
    <t xml:space="preserve">           2,596,135</t>
  </si>
  <si>
    <t xml:space="preserve">           3,884,674.8</t>
  </si>
  <si>
    <t xml:space="preserve">           6,137,008</t>
  </si>
  <si>
    <t xml:space="preserve">           1,652,661.4</t>
  </si>
  <si>
    <t xml:space="preserve">           4,535,468</t>
  </si>
  <si>
    <t xml:space="preserve">               1,515.5</t>
  </si>
  <si>
    <t xml:space="preserve">               6,642</t>
  </si>
  <si>
    <t xml:space="preserve">               1,978.7</t>
  </si>
  <si>
    <t xml:space="preserve">               5,582</t>
  </si>
  <si>
    <t xml:space="preserve">           1,894,519.1</t>
  </si>
  <si>
    <t xml:space="preserve">          36,926,679</t>
  </si>
  <si>
    <t xml:space="preserve">             809,286.3</t>
  </si>
  <si>
    <t xml:space="preserve">          21,017,256</t>
  </si>
  <si>
    <t xml:space="preserve">           1,320,336.8</t>
  </si>
  <si>
    <t xml:space="preserve">           8,337,096</t>
  </si>
  <si>
    <t xml:space="preserve">             288,441.4</t>
  </si>
  <si>
    <t xml:space="preserve">           2,256,242</t>
  </si>
  <si>
    <t xml:space="preserve">             538,391.6</t>
  </si>
  <si>
    <t xml:space="preserve">           7,328,621</t>
  </si>
  <si>
    <t xml:space="preserve">             465,798.2</t>
  </si>
  <si>
    <t xml:space="preserve">           8,355,867</t>
  </si>
  <si>
    <t xml:space="preserve">               9,152.9</t>
  </si>
  <si>
    <t xml:space="preserve">           4,120,522</t>
  </si>
  <si>
    <t xml:space="preserve">              15,886.5</t>
  </si>
  <si>
    <t xml:space="preserve">           2,798,904</t>
  </si>
  <si>
    <t xml:space="preserve">              26,637.8</t>
  </si>
  <si>
    <t xml:space="preserve">          17,140,440</t>
  </si>
  <si>
    <t xml:space="preserve">              39,160.2</t>
  </si>
  <si>
    <t xml:space="preserve">           7,606,242</t>
  </si>
  <si>
    <t xml:space="preserve">             907,972.9</t>
  </si>
  <si>
    <t xml:space="preserve">           8,343,363</t>
  </si>
  <si>
    <t xml:space="preserve">           1,956,773.4</t>
  </si>
  <si>
    <t xml:space="preserve">           6,870,624</t>
  </si>
  <si>
    <t xml:space="preserve">             293,781.5</t>
  </si>
  <si>
    <t xml:space="preserve">             979,278</t>
  </si>
  <si>
    <t xml:space="preserve">           1,577,190.8</t>
  </si>
  <si>
    <t xml:space="preserve">           2,496,593</t>
  </si>
  <si>
    <t xml:space="preserve">             473,621.9</t>
  </si>
  <si>
    <t xml:space="preserve">           5,750,801</t>
  </si>
  <si>
    <t xml:space="preserve">             208,237.9</t>
  </si>
  <si>
    <t xml:space="preserve">           2,240,772</t>
  </si>
  <si>
    <t xml:space="preserve">             138,784.1</t>
  </si>
  <si>
    <t xml:space="preserve">           1,611,449</t>
  </si>
  <si>
    <t xml:space="preserve">             171,344.6</t>
  </si>
  <si>
    <t xml:space="preserve">           2,133,259</t>
  </si>
  <si>
    <t xml:space="preserve">               1,785.4</t>
  </si>
  <si>
    <t xml:space="preserve">          12,219,049.8</t>
  </si>
  <si>
    <t xml:space="preserve">          14,758,355</t>
  </si>
  <si>
    <t xml:space="preserve">          40,584,747.2</t>
  </si>
  <si>
    <t xml:space="preserve">          23,068,300</t>
  </si>
  <si>
    <t xml:space="preserve">             338,504.5</t>
  </si>
  <si>
    <t xml:space="preserve">             408,533</t>
  </si>
  <si>
    <t xml:space="preserve">           2,567,986.0</t>
  </si>
  <si>
    <t xml:space="preserve">           1,319,508</t>
  </si>
  <si>
    <t xml:space="preserve">             111,498.7</t>
  </si>
  <si>
    <t xml:space="preserve">             548,470</t>
  </si>
  <si>
    <t xml:space="preserve">              94,043.8</t>
  </si>
  <si>
    <t xml:space="preserve">             300,670</t>
  </si>
  <si>
    <t xml:space="preserve">           5,528,573.2</t>
  </si>
  <si>
    <t xml:space="preserve">           4,341,906</t>
  </si>
  <si>
    <t xml:space="preserve">          34,720,187.8</t>
  </si>
  <si>
    <t xml:space="preserve">          14,286,613</t>
  </si>
  <si>
    <t xml:space="preserve">           2,324,633.4</t>
  </si>
  <si>
    <t xml:space="preserve">           3,099,768</t>
  </si>
  <si>
    <t xml:space="preserve">           1,464,533.6</t>
  </si>
  <si>
    <t xml:space="preserve">           2,633,563</t>
  </si>
  <si>
    <t xml:space="preserve">           3,913,964.8</t>
  </si>
  <si>
    <t xml:space="preserve">           6,352,290</t>
  </si>
  <si>
    <t xml:space="preserve">           1,735,522.2</t>
  </si>
  <si>
    <t xml:space="preserve">           4,522,912</t>
  </si>
  <si>
    <t xml:space="preserve">               1,875.1</t>
  </si>
  <si>
    <t xml:space="preserve">               7,388</t>
  </si>
  <si>
    <t xml:space="preserve">               2,473.8</t>
  </si>
  <si>
    <t xml:space="preserve">               5,034</t>
  </si>
  <si>
    <t xml:space="preserve">           1,478,073.7</t>
  </si>
  <si>
    <t xml:space="preserve">          37,650,901</t>
  </si>
  <si>
    <t xml:space="preserve">           1,011,518.2</t>
  </si>
  <si>
    <t xml:space="preserve">          21,345,681</t>
  </si>
  <si>
    <t xml:space="preserve">             822,054.6</t>
  </si>
  <si>
    <t xml:space="preserve">           5,879,927</t>
  </si>
  <si>
    <t xml:space="preserve">             468,739.2</t>
  </si>
  <si>
    <t xml:space="preserve">           2,334,026</t>
  </si>
  <si>
    <t xml:space="preserve">             616,464.0</t>
  </si>
  <si>
    <t xml:space="preserve">           8,603,995</t>
  </si>
  <si>
    <t xml:space="preserve">             487,110.5</t>
  </si>
  <si>
    <t xml:space="preserve">           8,793,585</t>
  </si>
  <si>
    <t xml:space="preserve">           4,413,268</t>
  </si>
  <si>
    <t xml:space="preserve">              15,410.2</t>
  </si>
  <si>
    <t xml:space="preserve">           2,741,381</t>
  </si>
  <si>
    <t xml:space="preserve">              29,607.1</t>
  </si>
  <si>
    <t xml:space="preserve">          18,753,711</t>
  </si>
  <si>
    <t xml:space="preserve">              40,258.4</t>
  </si>
  <si>
    <t xml:space="preserve">           7,476,689</t>
  </si>
  <si>
    <t xml:space="preserve">             925,287.9</t>
  </si>
  <si>
    <t xml:space="preserve">           8,057,411</t>
  </si>
  <si>
    <t xml:space="preserve">           2,220,094.0</t>
  </si>
  <si>
    <t xml:space="preserve">           7,634,514</t>
  </si>
  <si>
    <t xml:space="preserve">             316,550.3</t>
  </si>
  <si>
    <t xml:space="preserve">           1,066,226</t>
  </si>
  <si>
    <t xml:space="preserve">           1,807,104.0</t>
  </si>
  <si>
    <t xml:space="preserve">           2,823,968</t>
  </si>
  <si>
    <t xml:space="preserve">             452,725.2</t>
  </si>
  <si>
    <t xml:space="preserve">           5,196,881</t>
  </si>
  <si>
    <t xml:space="preserve">             224,932.8</t>
  </si>
  <si>
    <t xml:space="preserve">           2,338,767</t>
  </si>
  <si>
    <t xml:space="preserve">             153,048.7</t>
  </si>
  <si>
    <t xml:space="preserve">           1,791,266</t>
  </si>
  <si>
    <t xml:space="preserve">             188,057.2</t>
  </si>
  <si>
    <t xml:space="preserve">           2,471,779</t>
  </si>
  <si>
    <t xml:space="preserve">               2,963.7</t>
  </si>
  <si>
    <t xml:space="preserve">          14,956,209.5</t>
  </si>
  <si>
    <t xml:space="preserve">          17,036,478</t>
  </si>
  <si>
    <t xml:space="preserve">          44,405,721.9</t>
  </si>
  <si>
    <t xml:space="preserve">          25,016,056</t>
  </si>
  <si>
    <t xml:space="preserve">             379,054.0</t>
  </si>
  <si>
    <t xml:space="preserve">             452,478</t>
  </si>
  <si>
    <t xml:space="preserve">           2,963,790.7</t>
  </si>
  <si>
    <t xml:space="preserve">           1,540,753</t>
  </si>
  <si>
    <t xml:space="preserve">             121,598.0</t>
  </si>
  <si>
    <t xml:space="preserve">             608,409</t>
  </si>
  <si>
    <t xml:space="preserve">             111,790.4</t>
  </si>
  <si>
    <t xml:space="preserve">             341,485</t>
  </si>
  <si>
    <t xml:space="preserve">           7,258,040.5</t>
  </si>
  <si>
    <t xml:space="preserve">           5,243,949</t>
  </si>
  <si>
    <t xml:space="preserve">          37,509,112.7</t>
  </si>
  <si>
    <t xml:space="preserve">          14,939,982</t>
  </si>
  <si>
    <t xml:space="preserve">           2,710,763.0</t>
  </si>
  <si>
    <t xml:space="preserve">           3,604,534</t>
  </si>
  <si>
    <t xml:space="preserve">           1,734,633.3</t>
  </si>
  <si>
    <t xml:space="preserve">           3,019,226</t>
  </si>
  <si>
    <t xml:space="preserve">           4,484,585.9</t>
  </si>
  <si>
    <t xml:space="preserve">           7,118,330</t>
  </si>
  <si>
    <t xml:space="preserve">           2,083,332.9</t>
  </si>
  <si>
    <t xml:space="preserve">           5,168,070</t>
  </si>
  <si>
    <t xml:space="preserve">               2,168.0</t>
  </si>
  <si>
    <t xml:space="preserve">               8,778</t>
  </si>
  <si>
    <t xml:space="preserve">               3,061.9</t>
  </si>
  <si>
    <t xml:space="preserve">               6,541</t>
  </si>
  <si>
    <t xml:space="preserve">           2,096,398.4</t>
  </si>
  <si>
    <t xml:space="preserve">          44,419,736</t>
  </si>
  <si>
    <t xml:space="preserve">             884,590.3</t>
  </si>
  <si>
    <t xml:space="preserve">          24,717,113</t>
  </si>
  <si>
    <t xml:space="preserve">           1,369,875.7</t>
  </si>
  <si>
    <t xml:space="preserve">           7,428,207</t>
  </si>
  <si>
    <t xml:space="preserve">             214,134.8</t>
  </si>
  <si>
    <t xml:space="preserve">           2,402,503</t>
  </si>
  <si>
    <t xml:space="preserve">             683,223.9</t>
  </si>
  <si>
    <t xml:space="preserve">           9,557,538</t>
  </si>
  <si>
    <t xml:space="preserve">             595,611.3</t>
  </si>
  <si>
    <t xml:space="preserve">          10,351,663</t>
  </si>
  <si>
    <t xml:space="preserve">              10,965.9</t>
  </si>
  <si>
    <t xml:space="preserve">           5,051,752</t>
  </si>
  <si>
    <t xml:space="preserve">              18,586.6</t>
  </si>
  <si>
    <t xml:space="preserve">           3,225,660</t>
  </si>
  <si>
    <t xml:space="preserve">              32,332.9</t>
  </si>
  <si>
    <t xml:space="preserve">          22,382,239</t>
  </si>
  <si>
    <t xml:space="preserve">              56,257.6</t>
  </si>
  <si>
    <t xml:space="preserve">           8,737,287</t>
  </si>
  <si>
    <t xml:space="preserve">             853,755.8</t>
  </si>
  <si>
    <t xml:space="preserve">           7,671,931</t>
  </si>
  <si>
    <t xml:space="preserve">           2,064,466.9</t>
  </si>
  <si>
    <t xml:space="preserve">           7,743,674</t>
  </si>
  <si>
    <t xml:space="preserve">             266,496.0</t>
  </si>
  <si>
    <t xml:space="preserve">             974,471</t>
  </si>
  <si>
    <t xml:space="preserve">           1,676,285.7</t>
  </si>
  <si>
    <t xml:space="preserve">           3,285,687</t>
  </si>
  <si>
    <t xml:space="preserve">             433,897.1</t>
  </si>
  <si>
    <t xml:space="preserve">           5,005,260</t>
  </si>
  <si>
    <t xml:space="preserve">             220,526.0</t>
  </si>
  <si>
    <t xml:space="preserve">           2,107,773</t>
  </si>
  <si>
    <t xml:space="preserve">             150,326.8</t>
  </si>
  <si>
    <t xml:space="preserve">           1,688,959</t>
  </si>
  <si>
    <t xml:space="preserve">             167,655.2</t>
  </si>
  <si>
    <t xml:space="preserve">           2,350,213</t>
  </si>
  <si>
    <t xml:space="preserve">               3,036.0</t>
  </si>
  <si>
    <t xml:space="preserve">               3,241</t>
  </si>
  <si>
    <t xml:space="preserve">          14,117,543.1</t>
  </si>
  <si>
    <t xml:space="preserve">          16,383,039</t>
  </si>
  <si>
    <t xml:space="preserve">          47,098,307.5</t>
  </si>
  <si>
    <t xml:space="preserve">          26,351,255</t>
  </si>
  <si>
    <t xml:space="preserve">             328,095.0</t>
  </si>
  <si>
    <t xml:space="preserve">             417,054</t>
  </si>
  <si>
    <t xml:space="preserve">           2,775,163.7</t>
  </si>
  <si>
    <t xml:space="preserve">           1,437,218</t>
  </si>
  <si>
    <t xml:space="preserve">             113,458.2</t>
  </si>
  <si>
    <t xml:space="preserve">             546,437</t>
  </si>
  <si>
    <t xml:space="preserve">              98,803.9</t>
  </si>
  <si>
    <t xml:space="preserve">             301,609</t>
  </si>
  <si>
    <t xml:space="preserve">           6,633,846.6</t>
  </si>
  <si>
    <t xml:space="preserve">           4,965,073</t>
  </si>
  <si>
    <t xml:space="preserve">          40,789,479.2</t>
  </si>
  <si>
    <t xml:space="preserve">          16,820,845</t>
  </si>
  <si>
    <t xml:space="preserve">           2,721,273.1</t>
  </si>
  <si>
    <t xml:space="preserve">           3,502,462</t>
  </si>
  <si>
    <t xml:space="preserve">           1,539,705.7</t>
  </si>
  <si>
    <t xml:space="preserve">           3,029,717</t>
  </si>
  <si>
    <t xml:space="preserve">           4,318,942.3</t>
  </si>
  <si>
    <t xml:space="preserve">           6,944,019</t>
  </si>
  <si>
    <t xml:space="preserve">           1,892,372.5</t>
  </si>
  <si>
    <t xml:space="preserve">           4,755,931</t>
  </si>
  <si>
    <t xml:space="preserve">               1,927.9</t>
  </si>
  <si>
    <t xml:space="preserve">               2,782.5</t>
  </si>
  <si>
    <t xml:space="preserve">               5,935</t>
  </si>
  <si>
    <t xml:space="preserve">           1,768,648.8</t>
  </si>
  <si>
    <t xml:space="preserve">          41,788,967</t>
  </si>
  <si>
    <t xml:space="preserve">             852,341.9</t>
  </si>
  <si>
    <t xml:space="preserve">          23,048,540</t>
  </si>
  <si>
    <t xml:space="preserve">           1,107,575.8</t>
  </si>
  <si>
    <t xml:space="preserve">           6,678,955</t>
  </si>
  <si>
    <t xml:space="preserve">             283,840.0</t>
  </si>
  <si>
    <t xml:space="preserve">           2,052,310</t>
  </si>
  <si>
    <t xml:space="preserve">             618,615.5</t>
  </si>
  <si>
    <t xml:space="preserve">           8,195,778</t>
  </si>
  <si>
    <t xml:space="preserve">             510,372.7</t>
  </si>
  <si>
    <t xml:space="preserve">           9,367,396</t>
  </si>
  <si>
    <t xml:space="preserve">              11,346.4</t>
  </si>
  <si>
    <t xml:space="preserve">           4,797,650</t>
  </si>
  <si>
    <t xml:space="preserve">              20,189.0</t>
  </si>
  <si>
    <t xml:space="preserve">           3,185,218</t>
  </si>
  <si>
    <t xml:space="preserve">              31,111.2</t>
  </si>
  <si>
    <t xml:space="preserve">          22,116,584</t>
  </si>
  <si>
    <t xml:space="preserve">              37,940.3</t>
  </si>
  <si>
    <t xml:space="preserve">           8,443,617</t>
  </si>
  <si>
    <t xml:space="preserve">             746,137.7</t>
  </si>
  <si>
    <t xml:space="preserve">           6,598,332</t>
  </si>
  <si>
    <t xml:space="preserve">           1,853,760.6</t>
  </si>
  <si>
    <t xml:space="preserve">           6,949,607</t>
  </si>
  <si>
    <t xml:space="preserve">             251,343.8</t>
  </si>
  <si>
    <t xml:space="preserve">             884,224</t>
  </si>
  <si>
    <t xml:space="preserve">           1,496,649.1</t>
  </si>
  <si>
    <t xml:space="preserve">           2,456,778</t>
  </si>
  <si>
    <t xml:space="preserve">             361,468.3</t>
  </si>
  <si>
    <t xml:space="preserve">           4,228,150</t>
  </si>
  <si>
    <t xml:space="preserve">             208,985.2</t>
  </si>
  <si>
    <t xml:space="preserve">           2,301,533</t>
  </si>
  <si>
    <t xml:space="preserve">             130,942.1</t>
  </si>
  <si>
    <t xml:space="preserve">           1,482,909</t>
  </si>
  <si>
    <t xml:space="preserve">             148,126.3</t>
  </si>
  <si>
    <t xml:space="preserve">           2,191,297</t>
  </si>
  <si>
    <t xml:space="preserve">               2,383.5</t>
  </si>
  <si>
    <t xml:space="preserve">               3,050</t>
  </si>
  <si>
    <t xml:space="preserve">          13,310,575.9</t>
  </si>
  <si>
    <t xml:space="preserve">          16,305,033</t>
  </si>
  <si>
    <t xml:space="preserve">          40,795,342.8</t>
  </si>
  <si>
    <t xml:space="preserve">          23,329,194</t>
  </si>
  <si>
    <t xml:space="preserve">             303,465.0</t>
  </si>
  <si>
    <t xml:space="preserve">             362,450</t>
  </si>
  <si>
    <t xml:space="preserve">           2,421,058.7</t>
  </si>
  <si>
    <t xml:space="preserve">           1,231,521</t>
  </si>
  <si>
    <t xml:space="preserve">             103,299.1</t>
  </si>
  <si>
    <t xml:space="preserve">             468,104</t>
  </si>
  <si>
    <t xml:space="preserve">              83,453.2</t>
  </si>
  <si>
    <t xml:space="preserve">             261,341</t>
  </si>
  <si>
    <t xml:space="preserve">           6,300,324.9</t>
  </si>
  <si>
    <t xml:space="preserve">           5,569,123</t>
  </si>
  <si>
    <t xml:space="preserve">          35,213,737.4</t>
  </si>
  <si>
    <t xml:space="preserve">          14,789,136</t>
  </si>
  <si>
    <t xml:space="preserve">           2,605,941.9</t>
  </si>
  <si>
    <t xml:space="preserve">           3,259,378</t>
  </si>
  <si>
    <t xml:space="preserve">           1,420,078.3</t>
  </si>
  <si>
    <t xml:space="preserve">           2,689,536</t>
  </si>
  <si>
    <t xml:space="preserve">           3,996,035.6</t>
  </si>
  <si>
    <t xml:space="preserve">           6,639,199</t>
  </si>
  <si>
    <t xml:space="preserve">           1,654,686.8</t>
  </si>
  <si>
    <t xml:space="preserve">           4,351,556</t>
  </si>
  <si>
    <t xml:space="preserve">               1,509.3</t>
  </si>
  <si>
    <t xml:space="preserve">               6,779</t>
  </si>
  <si>
    <t xml:space="preserve">               2,328.4</t>
  </si>
  <si>
    <t xml:space="preserve">               6,105</t>
  </si>
  <si>
    <t xml:space="preserve">           1,544,804.2</t>
  </si>
  <si>
    <t xml:space="preserve">          44,739,182</t>
  </si>
  <si>
    <t xml:space="preserve">             654,183.5</t>
  </si>
  <si>
    <t xml:space="preserve">          21,655,111</t>
  </si>
  <si>
    <t xml:space="preserve">             959,628.4</t>
  </si>
  <si>
    <t xml:space="preserve">           5,681,103</t>
  </si>
  <si>
    <t xml:space="preserve">             150,201.0</t>
  </si>
  <si>
    <t xml:space="preserve">           1,872,467</t>
  </si>
  <si>
    <t xml:space="preserve">             547,548.6</t>
  </si>
  <si>
    <t xml:space="preserve">           7,476,200</t>
  </si>
  <si>
    <t xml:space="preserve">             450,175.2</t>
  </si>
  <si>
    <t xml:space="preserve">           9,026,037</t>
  </si>
  <si>
    <t xml:space="preserve">              10,520.7</t>
  </si>
  <si>
    <t xml:space="preserve">           5,117,377</t>
  </si>
  <si>
    <t xml:space="preserve">              17,273.9</t>
  </si>
  <si>
    <t xml:space="preserve">           3,011,220</t>
  </si>
  <si>
    <t xml:space="preserve">              27,106.5</t>
  </si>
  <si>
    <t xml:space="preserve">          26,464,502</t>
  </si>
  <si>
    <t xml:space="preserve">              36,533.4</t>
  </si>
  <si>
    <t xml:space="preserve">           7,745,388</t>
  </si>
  <si>
    <t xml:space="preserve">             950,937.5</t>
  </si>
  <si>
    <t xml:space="preserve">           8,402,972</t>
  </si>
  <si>
    <t xml:space="preserve">           2,147,713.3</t>
  </si>
  <si>
    <t xml:space="preserve">           7,709,640</t>
  </si>
  <si>
    <t xml:space="preserve">             325,629.2</t>
  </si>
  <si>
    <t xml:space="preserve">           1,097,568</t>
  </si>
  <si>
    <t xml:space="preserve">           1,782,725.5</t>
  </si>
  <si>
    <t xml:space="preserve">           2,956,067</t>
  </si>
  <si>
    <t xml:space="preserve">             464,167.8</t>
  </si>
  <si>
    <t xml:space="preserve">           5,399,350</t>
  </si>
  <si>
    <t xml:space="preserve">             207,116.8</t>
  </si>
  <si>
    <t xml:space="preserve">           2,441,571</t>
  </si>
  <si>
    <t xml:space="preserve">             158,982.6</t>
  </si>
  <si>
    <t xml:space="preserve">           1,902,412</t>
  </si>
  <si>
    <t xml:space="preserve">             157,870.9</t>
  </si>
  <si>
    <t xml:space="preserve">           2,312,001</t>
  </si>
  <si>
    <t xml:space="preserve">               2,157.8</t>
  </si>
  <si>
    <t xml:space="preserve">               3,641</t>
  </si>
  <si>
    <t xml:space="preserve">          13,307,413.1</t>
  </si>
  <si>
    <t xml:space="preserve">          20,857,696</t>
  </si>
  <si>
    <t xml:space="preserve">          40,954,690.3</t>
  </si>
  <si>
    <t xml:space="preserve">          26,403,177</t>
  </si>
  <si>
    <t xml:space="preserve">             398,557.6</t>
  </si>
  <si>
    <t xml:space="preserve">             474,814</t>
  </si>
  <si>
    <t xml:space="preserve">           2,803,777.8</t>
  </si>
  <si>
    <t xml:space="preserve">           1,453,004</t>
  </si>
  <si>
    <t xml:space="preserve">             126,006.8</t>
  </si>
  <si>
    <t xml:space="preserve">             574,999</t>
  </si>
  <si>
    <t xml:space="preserve">              99,563.1</t>
  </si>
  <si>
    <t xml:space="preserve">             321,159</t>
  </si>
  <si>
    <t xml:space="preserve">           5,823,553.2</t>
  </si>
  <si>
    <t xml:space="preserve">           8,406,373</t>
  </si>
  <si>
    <t xml:space="preserve">          34,360,112.5</t>
  </si>
  <si>
    <t xml:space="preserve">          15,389,709</t>
  </si>
  <si>
    <t xml:space="preserve">           2,669,111.8</t>
  </si>
  <si>
    <t xml:space="preserve">           3,576,759</t>
  </si>
  <si>
    <t xml:space="preserve">           1,747,648.6</t>
  </si>
  <si>
    <t xml:space="preserve">           3,428,091</t>
  </si>
  <si>
    <t xml:space="preserve">           4,287,660.1</t>
  </si>
  <si>
    <t xml:space="preserve">           7,799,370</t>
  </si>
  <si>
    <t xml:space="preserve">           1,941,759.9</t>
  </si>
  <si>
    <t xml:space="preserve">           5,806,180</t>
  </si>
  <si>
    <t xml:space="preserve">               2,523.5</t>
  </si>
  <si>
    <t xml:space="preserve">              25,382</t>
  </si>
  <si>
    <t xml:space="preserve">               1,828.5</t>
  </si>
  <si>
    <t xml:space="preserve">               5,033</t>
  </si>
  <si>
    <t xml:space="preserve">           1,921,901.3</t>
  </si>
  <si>
    <t xml:space="preserve">          58,072,460</t>
  </si>
  <si>
    <t xml:space="preserve">             863,009.5</t>
  </si>
  <si>
    <t xml:space="preserve">          26,640,629</t>
  </si>
  <si>
    <t xml:space="preserve">           1,223,928.0</t>
  </si>
  <si>
    <t xml:space="preserve">           7,938,060</t>
  </si>
  <si>
    <t xml:space="preserve">             261,564.6</t>
  </si>
  <si>
    <t xml:space="preserve">           2,493,173</t>
  </si>
  <si>
    <t xml:space="preserve">             656,574.2</t>
  </si>
  <si>
    <t xml:space="preserve">           9,292,951</t>
  </si>
  <si>
    <t xml:space="preserve">             524,598.6</t>
  </si>
  <si>
    <t xml:space="preserve">          10,816,703</t>
  </si>
  <si>
    <t xml:space="preserve">              11,589.0</t>
  </si>
  <si>
    <t xml:space="preserve">           6,460,687</t>
  </si>
  <si>
    <t xml:space="preserve">              17,851.2</t>
  </si>
  <si>
    <t xml:space="preserve">           3,470,454</t>
  </si>
  <si>
    <t xml:space="preserve">              29,810.2</t>
  </si>
  <si>
    <t xml:space="preserve">          34,380,761</t>
  </si>
  <si>
    <t xml:space="preserve">              58,995.1</t>
  </si>
  <si>
    <t xml:space="preserve">           9,860,299</t>
  </si>
  <si>
    <t xml:space="preserve">             995,431.2</t>
  </si>
  <si>
    <t xml:space="preserve">           8,692,026</t>
  </si>
  <si>
    <t xml:space="preserve">           2,250,040.8</t>
  </si>
  <si>
    <t xml:space="preserve">           8,082,254</t>
  </si>
  <si>
    <t xml:space="preserve">             341,321.7</t>
  </si>
  <si>
    <t xml:space="preserve">           1,142,829</t>
  </si>
  <si>
    <t xml:space="preserve">           1,802,939.6</t>
  </si>
  <si>
    <t xml:space="preserve">           2,939,988</t>
  </si>
  <si>
    <t xml:space="preserve">             473,293.5</t>
  </si>
  <si>
    <t xml:space="preserve">           5,383,793</t>
  </si>
  <si>
    <t xml:space="preserve">             265,618.4</t>
  </si>
  <si>
    <t xml:space="preserve">           2,746,875</t>
  </si>
  <si>
    <t xml:space="preserve">             178,640.2</t>
  </si>
  <si>
    <t xml:space="preserve">           2,162,912</t>
  </si>
  <si>
    <t xml:space="preserve">             181,482.7</t>
  </si>
  <si>
    <t xml:space="preserve">           2,395,392</t>
  </si>
  <si>
    <t xml:space="preserve">               2,175.8</t>
  </si>
  <si>
    <t xml:space="preserve">               2,491</t>
  </si>
  <si>
    <t xml:space="preserve">          11,204,179.4</t>
  </si>
  <si>
    <t xml:space="preserve">          20,089,347</t>
  </si>
  <si>
    <t xml:space="preserve">          38,690,512.8</t>
  </si>
  <si>
    <t xml:space="preserve">          27,754,951</t>
  </si>
  <si>
    <t xml:space="preserve">             398,809.1</t>
  </si>
  <si>
    <t xml:space="preserve">             483,456</t>
  </si>
  <si>
    <t xml:space="preserve">           2,955,879.2</t>
  </si>
  <si>
    <t xml:space="preserve">           1,540,946</t>
  </si>
  <si>
    <t xml:space="preserve">             125,097.5</t>
  </si>
  <si>
    <t xml:space="preserve">             634,737</t>
  </si>
  <si>
    <t xml:space="preserve">             105,919.2</t>
  </si>
  <si>
    <t xml:space="preserve">             356,733</t>
  </si>
  <si>
    <t xml:space="preserve">           4,284,130.8</t>
  </si>
  <si>
    <t xml:space="preserve">           6,735,380</t>
  </si>
  <si>
    <t xml:space="preserve">          31,865,871.3</t>
  </si>
  <si>
    <t xml:space="preserve">          16,368,375</t>
  </si>
  <si>
    <t xml:space="preserve">           2,724,534.4</t>
  </si>
  <si>
    <t xml:space="preserve">           4,020,760</t>
  </si>
  <si>
    <t xml:space="preserve">           1,674,974.7</t>
  </si>
  <si>
    <t xml:space="preserve">           3,476,607</t>
  </si>
  <si>
    <t xml:space="preserve">           3,669,241.8</t>
  </si>
  <si>
    <t xml:space="preserve">           8,205,105</t>
  </si>
  <si>
    <t xml:space="preserve">           2,084,451.1</t>
  </si>
  <si>
    <t xml:space="preserve">           6,005,010</t>
  </si>
  <si>
    <t xml:space="preserve">               9,909</t>
  </si>
  <si>
    <t xml:space="preserve">               3,417.2</t>
  </si>
  <si>
    <t xml:space="preserve">               7,280</t>
  </si>
  <si>
    <t xml:space="preserve">           2,214,093.6</t>
  </si>
  <si>
    <t xml:space="preserve">          56,970,510</t>
  </si>
  <si>
    <t xml:space="preserve">           1,057,927.1</t>
  </si>
  <si>
    <t xml:space="preserve">          26,267,703</t>
  </si>
  <si>
    <t xml:space="preserve">           1,481,830.7</t>
  </si>
  <si>
    <t xml:space="preserve">           7,210,420</t>
  </si>
  <si>
    <t xml:space="preserve">             410,326.5</t>
  </si>
  <si>
    <t xml:space="preserve">           2,481,089</t>
  </si>
  <si>
    <t xml:space="preserve">             687,600.6</t>
  </si>
  <si>
    <t xml:space="preserve">           9,432,934</t>
  </si>
  <si>
    <t xml:space="preserve">             577,698.5</t>
  </si>
  <si>
    <t xml:space="preserve">          10,389,091</t>
  </si>
  <si>
    <t xml:space="preserve">              12,351.5</t>
  </si>
  <si>
    <t xml:space="preserve">           6,821,884</t>
  </si>
  <si>
    <t xml:space="preserve">              18,900.1</t>
  </si>
  <si>
    <t xml:space="preserve">           3,206,145</t>
  </si>
  <si>
    <t xml:space="preserve">              32,310.8</t>
  </si>
  <si>
    <t xml:space="preserve">          33,505,272</t>
  </si>
  <si>
    <t xml:space="preserve">              51,002.1</t>
  </si>
  <si>
    <t xml:space="preserve">          10,191,378</t>
  </si>
  <si>
    <t xml:space="preserve">             918,582.3</t>
  </si>
  <si>
    <t xml:space="preserve">           7,818,478</t>
  </si>
  <si>
    <t xml:space="preserve">           1,847,900.1</t>
  </si>
  <si>
    <t xml:space="preserve">           7,422,611</t>
  </si>
  <si>
    <t xml:space="preserve">             332,106.0</t>
  </si>
  <si>
    <t xml:space="preserve">             974,774</t>
  </si>
  <si>
    <t xml:space="preserve">           1,441,866.7</t>
  </si>
  <si>
    <t xml:space="preserve">           2,642,594</t>
  </si>
  <si>
    <t xml:space="preserve">             421,132.0</t>
  </si>
  <si>
    <t xml:space="preserve">           4,926,332</t>
  </si>
  <si>
    <t xml:space="preserve">             248,786.5</t>
  </si>
  <si>
    <t xml:space="preserve">           2,697,305</t>
  </si>
  <si>
    <t xml:space="preserve">             162,676.3</t>
  </si>
  <si>
    <t xml:space="preserve">           1,914,940</t>
  </si>
  <si>
    <t xml:space="preserve">             157,246.9</t>
  </si>
  <si>
    <t xml:space="preserve">           2,082,712</t>
  </si>
  <si>
    <t xml:space="preserve">               2,668.0</t>
  </si>
  <si>
    <t xml:space="preserve">               2,432</t>
  </si>
  <si>
    <t xml:space="preserve">          11,057,382.5</t>
  </si>
  <si>
    <t xml:space="preserve">          19,373,529</t>
  </si>
  <si>
    <t xml:space="preserve">          36,653,620.5</t>
  </si>
  <si>
    <t xml:space="preserve">          28,422,667</t>
  </si>
  <si>
    <t xml:space="preserve">             358,569.1</t>
  </si>
  <si>
    <t xml:space="preserve">             441,975</t>
  </si>
  <si>
    <t xml:space="preserve">           2,695,336.3</t>
  </si>
  <si>
    <t xml:space="preserve">           1,435,617</t>
  </si>
  <si>
    <t xml:space="preserve">             101,209.2</t>
  </si>
  <si>
    <t xml:space="preserve">             524,092</t>
  </si>
  <si>
    <t xml:space="preserve">              92,799.5</t>
  </si>
  <si>
    <t xml:space="preserve">             326,392</t>
  </si>
  <si>
    <t xml:space="preserve">           4,903,779.1</t>
  </si>
  <si>
    <t xml:space="preserve">           7,223,537</t>
  </si>
  <si>
    <t xml:space="preserve">          30,375,367.2</t>
  </si>
  <si>
    <t xml:space="preserve">          17,663,319</t>
  </si>
  <si>
    <t xml:space="preserve">           2,579,189.3</t>
  </si>
  <si>
    <t xml:space="preserve">           3,767,266</t>
  </si>
  <si>
    <t xml:space="preserve">           1,591,713.4</t>
  </si>
  <si>
    <t xml:space="preserve">           3,280,748</t>
  </si>
  <si>
    <t xml:space="preserve">           3,112,628.0</t>
  </si>
  <si>
    <t xml:space="preserve">           7,407,806</t>
  </si>
  <si>
    <t xml:space="preserve">           1,895,265.1</t>
  </si>
  <si>
    <t xml:space="preserve">           5,709,233</t>
  </si>
  <si>
    <t xml:space="preserve">               2,007.8</t>
  </si>
  <si>
    <t xml:space="preserve">               8,854</t>
  </si>
  <si>
    <t xml:space="preserve">               3,139.1</t>
  </si>
  <si>
    <t xml:space="preserve">               7,360</t>
  </si>
  <si>
    <t xml:space="preserve">           1,613,546.5</t>
  </si>
  <si>
    <t xml:space="preserve">          60,384,076</t>
  </si>
  <si>
    <t xml:space="preserve">           1,225,994.5</t>
  </si>
  <si>
    <t xml:space="preserve">          24,903,071</t>
  </si>
  <si>
    <t xml:space="preserve">             966,339.2</t>
  </si>
  <si>
    <t xml:space="preserve">           6,396,274</t>
  </si>
  <si>
    <t xml:space="preserve">             625,793.2</t>
  </si>
  <si>
    <t xml:space="preserve">           2,280,541</t>
  </si>
  <si>
    <t xml:space="preserve">             609,298.7</t>
  </si>
  <si>
    <t xml:space="preserve">           8,429,178</t>
  </si>
  <si>
    <t xml:space="preserve">             551,007.5</t>
  </si>
  <si>
    <t xml:space="preserve">           9,703,627</t>
  </si>
  <si>
    <t xml:space="preserve">              11,817.7</t>
  </si>
  <si>
    <t xml:space="preserve">           6,917,946</t>
  </si>
  <si>
    <t xml:space="preserve">              16,017.4</t>
  </si>
  <si>
    <t xml:space="preserve">           2,661,576</t>
  </si>
  <si>
    <t xml:space="preserve">              26,091.0</t>
  </si>
  <si>
    <t xml:space="preserve">          38,640,678</t>
  </si>
  <si>
    <t xml:space="preserve">              33,176.5</t>
  </si>
  <si>
    <t xml:space="preserve">          10,257,328</t>
  </si>
  <si>
    <t xml:space="preserve">             970,623.9</t>
  </si>
  <si>
    <t xml:space="preserve">           8,762,452</t>
  </si>
  <si>
    <t xml:space="preserve">           2,171,725.3</t>
  </si>
  <si>
    <t xml:space="preserve">           8,022,008</t>
  </si>
  <si>
    <t xml:space="preserve">             307,364.9</t>
  </si>
  <si>
    <t xml:space="preserve">           1,070,206</t>
  </si>
  <si>
    <t xml:space="preserve">           1,727,911.5</t>
  </si>
  <si>
    <t xml:space="preserve">           2,841,249</t>
  </si>
  <si>
    <t xml:space="preserve">             477,052.3</t>
  </si>
  <si>
    <t xml:space="preserve">           5,522,573</t>
  </si>
  <si>
    <t xml:space="preserve">             267,494.2</t>
  </si>
  <si>
    <t xml:space="preserve">           2,852,037</t>
  </si>
  <si>
    <t xml:space="preserve">             182,599.5</t>
  </si>
  <si>
    <t xml:space="preserve">           2,166,222</t>
  </si>
  <si>
    <t xml:space="preserve">             176,319.5</t>
  </si>
  <si>
    <t xml:space="preserve">           2,328,722</t>
  </si>
  <si>
    <t xml:space="preserve">               3,607.2</t>
  </si>
  <si>
    <t xml:space="preserve">               3,451</t>
  </si>
  <si>
    <t xml:space="preserve">          12,485,223.1</t>
  </si>
  <si>
    <t xml:space="preserve">          20,737,509</t>
  </si>
  <si>
    <t xml:space="preserve">          39,956,009.6</t>
  </si>
  <si>
    <t xml:space="preserve">          29,137,952</t>
  </si>
  <si>
    <t xml:space="preserve">             374,799.2</t>
  </si>
  <si>
    <t xml:space="preserve">             479,072</t>
  </si>
  <si>
    <t xml:space="preserve">           2,851,587.7</t>
  </si>
  <si>
    <t xml:space="preserve">           1,604,151</t>
  </si>
  <si>
    <t xml:space="preserve">             111,178.4</t>
  </si>
  <si>
    <t xml:space="preserve">             577,982</t>
  </si>
  <si>
    <t xml:space="preserve">             102,598.1</t>
  </si>
  <si>
    <t xml:space="preserve">             370,660</t>
  </si>
  <si>
    <t xml:space="preserve">           5,699,194.1</t>
  </si>
  <si>
    <t xml:space="preserve">           7,332,370</t>
  </si>
  <si>
    <t xml:space="preserve">          33,429,264.0</t>
  </si>
  <si>
    <t xml:space="preserve">          17,376,435</t>
  </si>
  <si>
    <t xml:space="preserve">           2,707,027.8</t>
  </si>
  <si>
    <t xml:space="preserve">           4,036,403</t>
  </si>
  <si>
    <t xml:space="preserve">           1,741,792.5</t>
  </si>
  <si>
    <t xml:space="preserve">           3,917,897</t>
  </si>
  <si>
    <t xml:space="preserve">           3,590,279.7</t>
  </si>
  <si>
    <t xml:space="preserve">           8,299,470</t>
  </si>
  <si>
    <t xml:space="preserve">           1,827,508.5</t>
  </si>
  <si>
    <t xml:space="preserve">           5,859,931</t>
  </si>
  <si>
    <t xml:space="preserve">               2,743.8</t>
  </si>
  <si>
    <t xml:space="preserve">              12,211</t>
  </si>
  <si>
    <t xml:space="preserve">               3,258.8</t>
  </si>
  <si>
    <t xml:space="preserve">               8,879</t>
  </si>
  <si>
    <t xml:space="preserve">           2,232,078.8</t>
  </si>
  <si>
    <t xml:space="preserve">          72,456,198</t>
  </si>
  <si>
    <t xml:space="preserve">           1,561,327.4</t>
  </si>
  <si>
    <t xml:space="preserve">          28,891,626</t>
  </si>
  <si>
    <t xml:space="preserve">           1,513,598.1</t>
  </si>
  <si>
    <t xml:space="preserve">           7,782,611</t>
  </si>
  <si>
    <t xml:space="preserve">             880,611.3</t>
  </si>
  <si>
    <t xml:space="preserve">           2,736,798</t>
  </si>
  <si>
    <t xml:space="preserve">             674,747.4</t>
  </si>
  <si>
    <t xml:space="preserve">           9,881,074</t>
  </si>
  <si>
    <t xml:space="preserve">             624,580.0</t>
  </si>
  <si>
    <t xml:space="preserve">          11,003,444</t>
  </si>
  <si>
    <t xml:space="preserve">              13,900.7</t>
  </si>
  <si>
    <t xml:space="preserve">           8,325,417</t>
  </si>
  <si>
    <t xml:space="preserve">              19,277.6</t>
  </si>
  <si>
    <t xml:space="preserve">           3,522,103</t>
  </si>
  <si>
    <t xml:space="preserve">              29,832.6</t>
  </si>
  <si>
    <t xml:space="preserve">          46,467,096</t>
  </si>
  <si>
    <t xml:space="preserve">              36,858.5</t>
  </si>
  <si>
    <t xml:space="preserve">          11,629,282</t>
  </si>
  <si>
    <t xml:space="preserve">             969,787.3</t>
  </si>
  <si>
    <t xml:space="preserve">           8,749,031</t>
  </si>
  <si>
    <t xml:space="preserve">           2,208,555.1</t>
  </si>
  <si>
    <t xml:space="preserve">           7,785,820</t>
  </si>
  <si>
    <t xml:space="preserve">             296,208.7</t>
  </si>
  <si>
    <t xml:space="preserve">           1,020,785</t>
  </si>
  <si>
    <t xml:space="preserve">           1,797,081.0</t>
  </si>
  <si>
    <t xml:space="preserve">           2,852,567</t>
  </si>
  <si>
    <t xml:space="preserve">             485,732.2</t>
  </si>
  <si>
    <t xml:space="preserve">           5,560,337</t>
  </si>
  <si>
    <t xml:space="preserve">             243,967.1</t>
  </si>
  <si>
    <t xml:space="preserve">           2,612,543</t>
  </si>
  <si>
    <t xml:space="preserve">             184,188.7</t>
  </si>
  <si>
    <t xml:space="preserve">           2,163,797</t>
  </si>
  <si>
    <t xml:space="preserve">             167,507.1</t>
  </si>
  <si>
    <t xml:space="preserve">           2,320,711</t>
  </si>
  <si>
    <t xml:space="preserve">               3,657.8</t>
  </si>
  <si>
    <t xml:space="preserve">               4,113</t>
  </si>
  <si>
    <t xml:space="preserve">          14,130,712.5</t>
  </si>
  <si>
    <t xml:space="preserve">          20,962,899</t>
  </si>
  <si>
    <t xml:space="preserve">          47,223,447.5</t>
  </si>
  <si>
    <t xml:space="preserve">          31,504,435</t>
  </si>
  <si>
    <t xml:space="preserve">             368,973.8</t>
  </si>
  <si>
    <t xml:space="preserve">             483,744</t>
  </si>
  <si>
    <t xml:space="preserve">           2,891,178.0</t>
  </si>
  <si>
    <t xml:space="preserve">           1,598,015</t>
  </si>
  <si>
    <t xml:space="preserve">             109,069.5</t>
  </si>
  <si>
    <t xml:space="preserve">             593,803</t>
  </si>
  <si>
    <t xml:space="preserve">              94,179.2</t>
  </si>
  <si>
    <t xml:space="preserve">             332,238</t>
  </si>
  <si>
    <t xml:space="preserve">           6,414,652.4</t>
  </si>
  <si>
    <t xml:space="preserve">           7,297,526</t>
  </si>
  <si>
    <t xml:space="preserve">          40,677,757.6</t>
  </si>
  <si>
    <t xml:space="preserve">          20,029,876</t>
  </si>
  <si>
    <t xml:space="preserve">           2,987,377.0</t>
  </si>
  <si>
    <t xml:space="preserve">           4,137,091</t>
  </si>
  <si>
    <t xml:space="preserve">           1,711,809.0</t>
  </si>
  <si>
    <t xml:space="preserve">           3,724,513</t>
  </si>
  <si>
    <t xml:space="preserve">           4,247,706.9</t>
  </si>
  <si>
    <t xml:space="preserve">           8,437,709</t>
  </si>
  <si>
    <t xml:space="preserve">           1,846,085.3</t>
  </si>
  <si>
    <t xml:space="preserve">           5,813,340</t>
  </si>
  <si>
    <t xml:space="preserve">               2,933.0</t>
  </si>
  <si>
    <t xml:space="preserve">              13,026</t>
  </si>
  <si>
    <t xml:space="preserve">               2,438.4</t>
  </si>
  <si>
    <t xml:space="preserve">               6,454</t>
  </si>
  <si>
    <t xml:space="preserve">           2,560,180.9</t>
  </si>
  <si>
    <t xml:space="preserve">          69,247,169</t>
  </si>
  <si>
    <t xml:space="preserve">           1,712,173.6</t>
  </si>
  <si>
    <t xml:space="preserve">          29,277,218</t>
  </si>
  <si>
    <t xml:space="preserve">           1,744,671.4</t>
  </si>
  <si>
    <t xml:space="preserve">           8,015,260</t>
  </si>
  <si>
    <t xml:space="preserve">           1,061,102.8</t>
  </si>
  <si>
    <t xml:space="preserve">           2,876,659</t>
  </si>
  <si>
    <t xml:space="preserve">             767,350.8</t>
  </si>
  <si>
    <t xml:space="preserve">          10,437,690</t>
  </si>
  <si>
    <t xml:space="preserve">             601,109.9</t>
  </si>
  <si>
    <t xml:space="preserve">          11,061,645</t>
  </si>
  <si>
    <t xml:space="preserve">              14,677.3</t>
  </si>
  <si>
    <t xml:space="preserve">           8,032,683</t>
  </si>
  <si>
    <t xml:space="preserve">              16,248.4</t>
  </si>
  <si>
    <t xml:space="preserve">           3,670,929</t>
  </si>
  <si>
    <t xml:space="preserve">              33,481.3</t>
  </si>
  <si>
    <t xml:space="preserve">          42,761,535</t>
  </si>
  <si>
    <t xml:space="preserve">              33,712.5</t>
  </si>
  <si>
    <t xml:space="preserve">          11,667,986</t>
  </si>
  <si>
    <t xml:space="preserve">이 시트의 모든 셀은 원본 시트를 참조하는 수식입니다. 원본은 숫자가 텍스트(쉼표 포함)로 저장되어 있어 VALUE/SUBSTITUTE로 숫자화했고, 연도·월·분기 열을 파생시켜 MoM/QoQ/YoY 집계가 가능하도록 했습니다. 직접 입력하지 마세요.</t>
  </si>
  <si>
    <t xml:space="preserve">연도</t>
  </si>
  <si>
    <t xml:space="preserve">월</t>
  </si>
  <si>
    <t xml:space="preserve">분기</t>
  </si>
  <si>
    <r>
      <rPr>
        <b val="true"/>
        <sz val="10"/>
        <color rgb="FFFFFFFF"/>
        <rFont val="맑은 고딕"/>
        <family val="0"/>
        <charset val="1"/>
      </rPr>
      <t xml:space="preserve">HS</t>
    </r>
    <r>
      <rPr>
        <b val="true"/>
        <sz val="10"/>
        <color rgb="FFFFFFFF"/>
        <rFont val="WenQuanYi Zen Hei"/>
        <family val="2"/>
      </rPr>
      <t xml:space="preserve">코드</t>
    </r>
  </si>
  <si>
    <t xml:space="preserve">① 합계 정합성 검증 — 개별항목의 합 vs 총합 (5개 원본 시트 교차)</t>
  </si>
  <si>
    <t xml:space="preserve">원본은 숫자가 텍스트로 저장되어 있어 「데이터_○○」 정제 시트(수식)를 거쳐 검증합니다. 원본 시트는 수정하지 않았습니다. 기간 : 2024.01~2026.07(31개월).</t>
  </si>
  <si>
    <t xml:space="preserve">허용오차(중량, 톤)</t>
  </si>
  <si>
    <t xml:space="preserve">허용오차(금액, 천달러)</t>
  </si>
  <si>
    <t xml:space="preserve">품목별 허용오차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</si>
  <si>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1] </t>
    </r>
    <r>
      <rPr>
        <b val="true"/>
        <sz val="11"/>
        <color rgb="FF1F3864"/>
        <rFont val="WenQuanYi Zen Hei"/>
        <family val="2"/>
      </rPr>
      <t xml:space="preserve">「수출입 총괄」 총계행 </t>
    </r>
    <r>
      <rPr>
        <b val="true"/>
        <sz val="11"/>
        <color rgb="FF1F3864"/>
        <rFont val="맑은 고딕"/>
        <family val="0"/>
        <charset val="1"/>
      </rPr>
      <t xml:space="preserve">vs 31</t>
    </r>
    <r>
      <rPr>
        <b val="true"/>
        <sz val="11"/>
        <color rgb="FF1F3864"/>
        <rFont val="WenQuanYi Zen Hei"/>
        <family val="2"/>
      </rPr>
      <t xml:space="preserve">개월 합계</t>
    </r>
  </si>
  <si>
    <t xml:space="preserve">항목</t>
  </si>
  <si>
    <t xml:space="preserve">총계행(원본)</t>
  </si>
  <si>
    <t xml:space="preserve">월별 합계</t>
  </si>
  <si>
    <t xml:space="preserve">차이</t>
  </si>
  <si>
    <t xml:space="preserve">판정</t>
  </si>
  <si>
    <t xml:space="preserve">수출 중량(톤)</t>
  </si>
  <si>
    <t xml:space="preserve">수출 금액(천$)</t>
  </si>
  <si>
    <t xml:space="preserve">수입 중량(톤)</t>
  </si>
  <si>
    <t xml:space="preserve">수입 금액(천$)</t>
  </si>
  <si>
    <t xml:space="preserve">무역수지(천$)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</si>
  <si>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2] </t>
    </r>
    <r>
      <rPr>
        <b val="true"/>
        <sz val="11"/>
        <color rgb="FF1F3864"/>
        <rFont val="WenQuanYi Zen Hei"/>
        <family val="2"/>
      </rPr>
      <t xml:space="preserve">무역수지 항등식 및 시트 간 교차검증 </t>
    </r>
    <r>
      <rPr>
        <b val="true"/>
        <sz val="11"/>
        <color rgb="FF1F3864"/>
        <rFont val="맑은 고딕"/>
        <family val="0"/>
        <charset val="1"/>
      </rPr>
      <t xml:space="preserve">(31</t>
    </r>
    <r>
      <rPr>
        <b val="true"/>
        <sz val="11"/>
        <color rgb="FF1F3864"/>
        <rFont val="WenQuanYi Zen Hei"/>
        <family val="2"/>
      </rPr>
      <t xml:space="preserve">개월 총계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</si>
  <si>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구분</t>
  </si>
  <si>
    <t xml:space="preserve">기준값</t>
  </si>
  <si>
    <t xml:space="preserve">성질별(수출)</t>
  </si>
  <si>
    <t xml:space="preserve">-</t>
  </si>
  <si>
    <t xml:space="preserve">대분류 4개 합계</t>
  </si>
  <si>
    <t xml:space="preserve">성질별(수입)</t>
  </si>
  <si>
    <t xml:space="preserve">대분류 3개 합계</t>
  </si>
  <si>
    <t xml:space="preserve">신성질별</t>
  </si>
  <si>
    <t xml:space="preserve">품목별(HS)</t>
  </si>
  <si>
    <r>
      <rPr>
        <sz val="10"/>
        <color rgb="FF000000"/>
        <rFont val="맑은 고딕"/>
        <family val="0"/>
        <charset val="1"/>
      </rPr>
      <t xml:space="preserve">HS 01~97·99</t>
    </r>
    <r>
      <rPr>
        <sz val="10"/>
        <color rgb="FF000000"/>
        <rFont val="WenQuanYi Zen Hei"/>
        <family val="2"/>
      </rPr>
      <t xml:space="preserve">류만 → 과소</t>
    </r>
  </si>
  <si>
    <t xml:space="preserve">총괄 대비 최대 차이</t>
  </si>
  <si>
    <t xml:space="preserve">품목별 제외 기준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</si>
  <si>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3] </t>
    </r>
    <r>
      <rPr>
        <b val="true"/>
        <sz val="11"/>
        <color rgb="FF1F3864"/>
        <rFont val="WenQuanYi Zen Hei"/>
        <family val="2"/>
      </rPr>
      <t xml:space="preserve">「품목별</t>
    </r>
    <r>
      <rPr>
        <b val="true"/>
        <sz val="11"/>
        <color rgb="FF1F3864"/>
        <rFont val="맑은 고딕"/>
        <family val="0"/>
        <charset val="1"/>
      </rPr>
      <t xml:space="preserve">(HS)</t>
    </r>
    <r>
      <rPr>
        <b val="true"/>
        <sz val="11"/>
        <color rgb="FF1F3864"/>
        <rFont val="WenQuanYi Zen Hei"/>
        <family val="2"/>
      </rPr>
      <t xml:space="preserve">」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「총괄」 — 연도별 차이</t>
    </r>
  </si>
  <si>
    <t xml:space="preserve">품목별 수출 합</t>
  </si>
  <si>
    <t xml:space="preserve">총괄 수출금액</t>
  </si>
  <si>
    <t xml:space="preserve">차이 비율</t>
  </si>
  <si>
    <t xml:space="preserve">품목별 수입 합</t>
  </si>
  <si>
    <t xml:space="preserve">총괄 수입금액</t>
  </si>
  <si>
    <t xml:space="preserve">★ 품목별 시트는 총괄보다 매년 0.03~0.05% 작습니다. 이 시트에 실제로 존재하는 HS류는 01~97류 중 96개(77류는 HS 결번)와 값이 대부분 0인 99류뿐이고, 98류(특수분류 — 여행자 휴대품·별송품·소액물품 등)가 통째로 빠져 있습니다. 품목 간 비교·순위 분석에는 영향이 없으나 총액 인용 시에는 총괄 시트를 쓰십시오.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</si>
  <si>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4] </t>
    </r>
    <r>
      <rPr>
        <b val="true"/>
        <sz val="11"/>
        <color rgb="FF1F3864"/>
        <rFont val="WenQuanYi Zen Hei"/>
        <family val="2"/>
      </rPr>
      <t xml:space="preserve">월별 항등식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수출−수입</t>
    </r>
    <r>
      <rPr>
        <b val="true"/>
        <sz val="11"/>
        <color rgb="FF1F3864"/>
        <rFont val="맑은 고딕"/>
        <family val="0"/>
        <charset val="1"/>
      </rPr>
      <t xml:space="preserve">=</t>
    </r>
    <r>
      <rPr>
        <b val="true"/>
        <sz val="11"/>
        <color rgb="FF1F3864"/>
        <rFont val="WenQuanYi Zen Hei"/>
        <family val="2"/>
      </rPr>
      <t xml:space="preserve">수지</t>
    </r>
    <r>
      <rPr>
        <b val="true"/>
        <sz val="11"/>
        <color rgb="FF1F3864"/>
        <rFont val="맑은 고딕"/>
        <family val="0"/>
        <charset val="1"/>
      </rPr>
      <t xml:space="preserve">) </t>
    </r>
    <r>
      <rPr>
        <b val="true"/>
        <sz val="11"/>
        <color rgb="FF1F3864"/>
        <rFont val="WenQuanYi Zen Hei"/>
        <family val="2"/>
      </rPr>
      <t xml:space="preserve">및 성질별 대분류 합 검증</t>
    </r>
  </si>
  <si>
    <t xml:space="preserve">수출−수입</t>
  </si>
  <si>
    <t xml:space="preserve">원본 수지</t>
  </si>
  <si>
    <t xml:space="preserve">성질별(수출) 대분류합</t>
  </si>
  <si>
    <t xml:space="preserve">총괄 수출</t>
  </si>
  <si>
    <t xml:space="preserve">신성질별 수입 합</t>
  </si>
  <si>
    <t xml:space="preserve">총괄 수입</t>
  </si>
  <si>
    <t xml:space="preserve">최대 절대차이</t>
  </si>
  <si>
    <t xml:space="preserve">② 월별 추이 (2024.01 ~ 2026.07, 31개월)</t>
  </si>
  <si>
    <t xml:space="preserve">「데이터_총괄」 참조. 일평균 = 금액÷조업일수, 단가 = 금액÷중량, 순상품교역조건 = 수출단가÷수입단가, 12개월 이동합 = 최근 12개월 누계(계절성 제거 추세).</t>
  </si>
  <si>
    <t xml:space="preserve">수출 전월비</t>
  </si>
  <si>
    <t xml:space="preserve">수입 전월비</t>
  </si>
  <si>
    <t xml:space="preserve">수출 전년동월비</t>
  </si>
  <si>
    <t xml:space="preserve">수입 전년동월비</t>
  </si>
  <si>
    <t xml:space="preserve">수지 전년동월증감</t>
  </si>
  <si>
    <t xml:space="preserve">일평균 수출(천$)</t>
  </si>
  <si>
    <t xml:space="preserve">일평균 전년동월비</t>
  </si>
  <si>
    <t xml:space="preserve">수출단가(천$/톤)</t>
  </si>
  <si>
    <t xml:space="preserve">수입단가(천$/톤)</t>
  </si>
  <si>
    <t xml:space="preserve">순상품교역조건</t>
  </si>
  <si>
    <t xml:space="preserve">수출 12개월 이동합</t>
  </si>
  <si>
    <t xml:space="preserve">수지 12개월 이동합</t>
  </si>
  <si>
    <t xml:space="preserve">연내 누계 수출</t>
  </si>
  <si>
    <r>
      <rPr>
        <b val="true"/>
        <sz val="10"/>
        <color rgb="FF000000"/>
        <rFont val="맑은 고딕"/>
        <family val="0"/>
        <charset val="1"/>
      </rPr>
      <t xml:space="preserve">2024</t>
    </r>
    <r>
      <rPr>
        <b val="true"/>
        <sz val="10"/>
        <color rgb="FF000000"/>
        <rFont val="WenQuanYi Zen Hei"/>
        <family val="2"/>
      </rPr>
      <t xml:space="preserve">년 연간</t>
    </r>
  </si>
  <si>
    <r>
      <rPr>
        <b val="true"/>
        <sz val="10"/>
        <color rgb="FF000000"/>
        <rFont val="맑은 고딕"/>
        <family val="0"/>
        <charset val="1"/>
      </rPr>
      <t xml:space="preserve">2025</t>
    </r>
    <r>
      <rPr>
        <b val="true"/>
        <sz val="10"/>
        <color rgb="FF000000"/>
        <rFont val="WenQuanYi Zen Hei"/>
        <family val="2"/>
      </rPr>
      <t xml:space="preserve">년 연간</t>
    </r>
  </si>
  <si>
    <r>
      <rPr>
        <b val="true"/>
        <sz val="10"/>
        <color rgb="FF000000"/>
        <rFont val="맑은 고딕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년 </t>
    </r>
    <r>
      <rPr>
        <b val="true"/>
        <sz val="10"/>
        <color rgb="FF000000"/>
        <rFont val="맑은 고딕"/>
        <family val="0"/>
        <charset val="1"/>
      </rPr>
      <t xml:space="preserve">1~7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</si>
  <si>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2024</t>
    </r>
    <r>
      <rPr>
        <b val="true"/>
        <sz val="10"/>
        <color rgb="FF000000"/>
        <rFont val="WenQuanYi Zen Hei"/>
        <family val="2"/>
      </rPr>
      <t xml:space="preserve">년 </t>
    </r>
    <r>
      <rPr>
        <b val="true"/>
        <sz val="10"/>
        <color rgb="FF000000"/>
        <rFont val="맑은 고딕"/>
        <family val="0"/>
        <charset val="1"/>
      </rPr>
      <t xml:space="preserve">1~7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</si>
  <si>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2025</t>
    </r>
    <r>
      <rPr>
        <b val="true"/>
        <sz val="10"/>
        <color rgb="FF000000"/>
        <rFont val="WenQuanYi Zen Hei"/>
        <family val="2"/>
      </rPr>
      <t xml:space="preserve">년 </t>
    </r>
    <r>
      <rPr>
        <b val="true"/>
        <sz val="10"/>
        <color rgb="FF000000"/>
        <rFont val="맑은 고딕"/>
        <family val="0"/>
        <charset val="1"/>
      </rPr>
      <t xml:space="preserve">1~7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</si>
  <si>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25→26 </t>
    </r>
    <r>
      <rPr>
        <b val="true"/>
        <sz val="10"/>
        <color rgb="FF000000"/>
        <rFont val="WenQuanYi Zen Hei"/>
        <family val="2"/>
      </rPr>
      <t xml:space="preserve">동기비</t>
    </r>
    <r>
      <rPr>
        <b val="true"/>
        <sz val="10"/>
        <color rgb="FF000000"/>
        <rFont val="맑은 고딕"/>
        <family val="0"/>
        <charset val="1"/>
      </rPr>
      <t xml:space="preserve">(1~7</t>
    </r>
    <r>
      <rPr>
        <b val="true"/>
        <sz val="10"/>
        <color rgb="FF000000"/>
        <rFont val="WenQuanYi Zen Hei"/>
        <family val="2"/>
      </rPr>
      <t xml:space="preserve">월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</si>
  <si>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24→25 </t>
    </r>
    <r>
      <rPr>
        <b val="true"/>
        <sz val="10"/>
        <color rgb="FF000000"/>
        <rFont val="WenQuanYi Zen Hei"/>
        <family val="2"/>
      </rPr>
      <t xml:space="preserve">동기비</t>
    </r>
    <r>
      <rPr>
        <b val="true"/>
        <sz val="10"/>
        <color rgb="FF000000"/>
        <rFont val="맑은 고딕"/>
        <family val="0"/>
        <charset val="1"/>
      </rPr>
      <t xml:space="preserve">(1~7</t>
    </r>
    <r>
      <rPr>
        <b val="true"/>
        <sz val="10"/>
        <color rgb="FF000000"/>
        <rFont val="WenQuanYi Zen Hei"/>
        <family val="2"/>
      </rPr>
      <t xml:space="preserve">월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</si>
  <si>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4"/>
        <color rgb="FF1F3864"/>
        <rFont val="맑은 고딕"/>
        <family val="0"/>
        <charset val="1"/>
      </rPr>
      <t xml:space="preserve">③ MoM · QoQ · YoY </t>
    </r>
    <r>
      <rPr>
        <b val="true"/>
        <sz val="14"/>
        <color rgb="FF1F3864"/>
        <rFont val="WenQuanYi Zen Hei"/>
        <family val="2"/>
      </rPr>
      <t xml:space="preserve">분석</t>
    </r>
  </si>
  <si>
    <r>
      <rPr>
        <i val="true"/>
        <sz val="9"/>
        <color rgb="FF595959"/>
        <rFont val="맑은 고딕"/>
        <family val="0"/>
        <charset val="1"/>
      </rPr>
      <t xml:space="preserve">MoM(</t>
    </r>
    <r>
      <rPr>
        <i val="true"/>
        <sz val="9"/>
        <color rgb="FF595959"/>
        <rFont val="WenQuanYi Zen Hei"/>
        <family val="2"/>
      </rPr>
      <t xml:space="preserve">전월비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은 조업일수 차이에 취약하므로 일평균 기준 </t>
    </r>
    <r>
      <rPr>
        <i val="true"/>
        <sz val="9"/>
        <color rgb="FF595959"/>
        <rFont val="맑은 고딕"/>
        <family val="0"/>
        <charset val="1"/>
      </rPr>
      <t xml:space="preserve">MoM</t>
    </r>
    <r>
      <rPr>
        <i val="true"/>
        <sz val="9"/>
        <color rgb="FF595959"/>
        <rFont val="WenQuanYi Zen Hei"/>
        <family val="2"/>
      </rPr>
      <t xml:space="preserve">을 함께 제시했습니다</t>
    </r>
    <r>
      <rPr>
        <i val="true"/>
        <sz val="9"/>
        <color rgb="FF595959"/>
        <rFont val="맑은 고딕"/>
        <family val="0"/>
        <charset val="1"/>
      </rPr>
      <t xml:space="preserve">. QoQ</t>
    </r>
    <r>
      <rPr>
        <i val="true"/>
        <sz val="9"/>
        <color rgb="FF595959"/>
        <rFont val="WenQuanYi Zen Hei"/>
        <family val="2"/>
      </rPr>
      <t xml:space="preserve">는 분기 대비</t>
    </r>
    <r>
      <rPr>
        <i val="true"/>
        <sz val="9"/>
        <color rgb="FF595959"/>
        <rFont val="맑은 고딕"/>
        <family val="0"/>
        <charset val="1"/>
      </rPr>
      <t xml:space="preserve">, YoY</t>
    </r>
    <r>
      <rPr>
        <i val="true"/>
        <sz val="9"/>
        <color rgb="FF595959"/>
        <rFont val="WenQuanYi Zen Hei"/>
        <family val="2"/>
      </rPr>
      <t xml:space="preserve">는 전년 동기 대비입니다</t>
    </r>
    <r>
      <rPr>
        <i val="true"/>
        <sz val="9"/>
        <color rgb="FF595959"/>
        <rFont val="맑은 고딕"/>
        <family val="0"/>
        <charset val="1"/>
      </rPr>
      <t xml:space="preserve">. 2026</t>
    </r>
    <r>
      <rPr>
        <i val="true"/>
        <sz val="9"/>
        <color rgb="FF595959"/>
        <rFont val="WenQuanYi Zen Hei"/>
        <family val="2"/>
      </rPr>
      <t xml:space="preserve">년은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월까지만 있어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분기는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개월만 반영된 부분분기입니다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</si>
  <si>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월별 </t>
    </r>
    <r>
      <rPr>
        <b val="true"/>
        <sz val="11"/>
        <color rgb="FF1F3864"/>
        <rFont val="맑은 고딕"/>
        <family val="0"/>
        <charset val="1"/>
      </rPr>
      <t xml:space="preserve">MoM · YoY (2024.01~2026.07)</t>
    </r>
  </si>
  <si>
    <t xml:space="preserve">MoM</t>
  </si>
  <si>
    <t xml:space="preserve">일평균 MoM</t>
  </si>
  <si>
    <t xml:space="preserve">YoY</t>
  </si>
  <si>
    <r>
      <rPr>
        <b val="true"/>
        <sz val="9"/>
        <color rgb="FFFFFFFF"/>
        <rFont val="맑은 고딕"/>
        <family val="0"/>
        <charset val="1"/>
      </rPr>
      <t xml:space="preserve">YoY 3</t>
    </r>
    <r>
      <rPr>
        <b val="true"/>
        <sz val="9"/>
        <color rgb="FFFFFFFF"/>
        <rFont val="WenQuanYi Zen Hei"/>
        <family val="2"/>
      </rPr>
      <t xml:space="preserve">개월이평</t>
    </r>
  </si>
  <si>
    <t xml:space="preserve">수지 MoM증감</t>
  </si>
  <si>
    <t xml:space="preserve">수지 YoY증감</t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</si>
  <si>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분기별 </t>
    </r>
    <r>
      <rPr>
        <b val="true"/>
        <sz val="11"/>
        <color rgb="FF1F3864"/>
        <rFont val="맑은 고딕"/>
        <family val="0"/>
        <charset val="1"/>
      </rPr>
      <t xml:space="preserve">QoQ · YoY</t>
    </r>
  </si>
  <si>
    <t xml:space="preserve">QoQ</t>
  </si>
  <si>
    <r>
      <rPr>
        <b val="true"/>
        <sz val="9"/>
        <color rgb="FFFFFFFF"/>
        <rFont val="맑은 고딕"/>
        <family val="0"/>
        <charset val="1"/>
      </rPr>
      <t xml:space="preserve">QoQ </t>
    </r>
    <r>
      <rPr>
        <b val="true"/>
        <sz val="9"/>
        <color rgb="FFFFFFFF"/>
        <rFont val="WenQuanYi Zen Hei"/>
        <family val="2"/>
      </rPr>
      <t xml:space="preserve">증감</t>
    </r>
  </si>
  <si>
    <r>
      <rPr>
        <b val="true"/>
        <sz val="9"/>
        <color rgb="FFFFFFFF"/>
        <rFont val="맑은 고딕"/>
        <family val="0"/>
        <charset val="1"/>
      </rPr>
      <t xml:space="preserve">YoY </t>
    </r>
    <r>
      <rPr>
        <b val="true"/>
        <sz val="9"/>
        <color rgb="FFFFFFFF"/>
        <rFont val="WenQuanYi Zen Hei"/>
        <family val="2"/>
      </rPr>
      <t xml:space="preserve">증감</t>
    </r>
  </si>
  <si>
    <t xml:space="preserve">일평균 수출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</si>
  <si>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</si>
  <si>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</si>
  <si>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</si>
  <si>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</si>
  <si>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</si>
  <si>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</si>
  <si>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</si>
  <si>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</si>
  <si>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</si>
  <si>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</si>
  <si>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</si>
  <si>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r>
      <rPr>
        <sz val="9"/>
        <color rgb="FF000000"/>
        <rFont val="맑은 고딕"/>
        <family val="0"/>
        <charset val="1"/>
      </rPr>
      <t xml:space="preserve">7</t>
    </r>
    <r>
      <rPr>
        <sz val="9"/>
        <color rgb="FF000000"/>
        <rFont val="WenQuanYi Zen Hei"/>
        <family val="2"/>
      </rPr>
      <t xml:space="preserve">월만 포함된 부분분기 — 증감률 계산 제외</t>
    </r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</si>
  <si>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연도별 비교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연간 및 </t>
    </r>
    <r>
      <rPr>
        <b val="true"/>
        <sz val="11"/>
        <color rgb="FF1F3864"/>
        <rFont val="맑은 고딕"/>
        <family val="0"/>
        <charset val="1"/>
      </rPr>
      <t xml:space="preserve">1~7</t>
    </r>
    <r>
      <rPr>
        <b val="true"/>
        <sz val="11"/>
        <color rgb="FF1F3864"/>
        <rFont val="WenQuanYi Zen Hei"/>
        <family val="2"/>
      </rPr>
      <t xml:space="preserve">월 동기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</si>
  <si>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수출단가</t>
  </si>
  <si>
    <r>
      <rPr>
        <b val="true"/>
        <sz val="10"/>
        <color rgb="FF000000"/>
        <rFont val="맑은 고딕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년 연간 </t>
    </r>
    <r>
      <rPr>
        <b val="true"/>
        <sz val="10"/>
        <color rgb="FF000000"/>
        <rFont val="맑은 고딕"/>
        <family val="0"/>
        <charset val="1"/>
      </rPr>
      <t xml:space="preserve">(1~7</t>
    </r>
    <r>
      <rPr>
        <b val="true"/>
        <sz val="10"/>
        <color rgb="FF000000"/>
        <rFont val="WenQuanYi Zen Hei"/>
        <family val="2"/>
      </rPr>
      <t xml:space="preserve">월만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</si>
  <si>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④ 연도별 계절 비교 — 1~12월을 한 축에 놓고 2024·2025·2026을 겹쳐 본다</t>
  </si>
  <si>
    <t xml:space="preserve">각 블록은 행 = 1~12월, 열 = 2024·2025·2026 구조입니다. 이 표가 분석10의 오버레이 그래프 원본이며, 같은 달끼리 3개 연도를 비교하므로 계절성이 자동으로 통제됩니다.</t>
  </si>
  <si>
    <r>
      <rPr>
        <i val="true"/>
        <sz val="9"/>
        <color rgb="FF595959"/>
        <rFont val="맑은 고딕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년은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월까지만 자료가 있어 </t>
    </r>
    <r>
      <rPr>
        <i val="true"/>
        <sz val="9"/>
        <color rgb="FF595959"/>
        <rFont val="맑은 고딕"/>
        <family val="0"/>
        <charset val="1"/>
      </rPr>
      <t xml:space="preserve">8~12</t>
    </r>
    <r>
      <rPr>
        <i val="true"/>
        <sz val="9"/>
        <color rgb="FF595959"/>
        <rFont val="WenQuanYi Zen Hei"/>
        <family val="2"/>
      </rPr>
      <t xml:space="preserve">월은 수식 없이 비워 두었습니다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그래프에서 선이 끊깁니다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새 달 자료가 추가되면 바로 윗 셀의 수식을 복사해 내려 채우십시오</t>
    </r>
    <r>
      <rPr>
        <i val="true"/>
        <sz val="9"/>
        <color rgb="FF595959"/>
        <rFont val="맑은 고딕"/>
        <family val="0"/>
        <charset val="1"/>
      </rPr>
      <t xml:space="preserve">. YoY </t>
    </r>
    <r>
      <rPr>
        <i val="true"/>
        <sz val="9"/>
        <color rgb="FF595959"/>
        <rFont val="WenQuanYi Zen Hei"/>
        <family val="2"/>
      </rPr>
      <t xml:space="preserve">열은 해당 연도와 직전 연도 같은 달의 증감률입니다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</si>
  <si>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수출 금액 (천달러)</t>
  </si>
  <si>
    <r>
      <rPr>
        <b val="true"/>
        <sz val="9"/>
        <color rgb="FFFFFFFF"/>
        <rFont val="맑은 고딕"/>
        <family val="0"/>
        <charset val="1"/>
      </rPr>
      <t xml:space="preserve">2024</t>
    </r>
    <r>
      <rPr>
        <b val="true"/>
        <sz val="9"/>
        <color rgb="FFFFFFFF"/>
        <rFont val="WenQuanYi Zen Hei"/>
        <family val="2"/>
      </rPr>
      <t xml:space="preserve">년</t>
    </r>
  </si>
  <si>
    <r>
      <rPr>
        <b val="true"/>
        <sz val="9"/>
        <color rgb="FFFFFFFF"/>
        <rFont val="맑은 고딕"/>
        <family val="0"/>
        <charset val="1"/>
      </rPr>
      <t xml:space="preserve">2025</t>
    </r>
    <r>
      <rPr>
        <b val="true"/>
        <sz val="9"/>
        <color rgb="FFFFFFFF"/>
        <rFont val="WenQuanYi Zen Hei"/>
        <family val="2"/>
      </rPr>
      <t xml:space="preserve">년</t>
    </r>
  </si>
  <si>
    <r>
      <rPr>
        <b val="true"/>
        <sz val="9"/>
        <color rgb="FFFFFFFF"/>
        <rFont val="맑은 고딕"/>
        <family val="0"/>
        <charset val="1"/>
      </rPr>
      <t xml:space="preserve">2026</t>
    </r>
    <r>
      <rPr>
        <b val="true"/>
        <sz val="9"/>
        <color rgb="FFFFFFFF"/>
        <rFont val="WenQuanYi Zen Hei"/>
        <family val="2"/>
      </rPr>
      <t xml:space="preserve">년</t>
    </r>
  </si>
  <si>
    <t xml:space="preserve">2025 YoY</t>
  </si>
  <si>
    <t xml:space="preserve">2026 YoY</t>
  </si>
  <si>
    <t xml:space="preserve">26 vs 24</t>
  </si>
  <si>
    <r>
      <rPr>
        <b val="true"/>
        <sz val="9"/>
        <color rgb="FFFFFFFF"/>
        <rFont val="맑은 고딕"/>
        <family val="0"/>
        <charset val="1"/>
      </rPr>
      <t xml:space="preserve">25 </t>
    </r>
    <r>
      <rPr>
        <b val="true"/>
        <sz val="9"/>
        <color rgb="FFFFFFFF"/>
        <rFont val="WenQuanYi Zen Hei"/>
        <family val="2"/>
      </rPr>
      <t xml:space="preserve">비중</t>
    </r>
  </si>
  <si>
    <r>
      <rPr>
        <b val="true"/>
        <sz val="9"/>
        <color rgb="FFFFFFFF"/>
        <rFont val="맑은 고딕"/>
        <family val="0"/>
        <charset val="1"/>
      </rPr>
      <t xml:space="preserve">26 </t>
    </r>
    <r>
      <rPr>
        <b val="true"/>
        <sz val="9"/>
        <color rgb="FFFFFFFF"/>
        <rFont val="WenQuanYi Zen Hei"/>
        <family val="2"/>
      </rPr>
      <t xml:space="preserve">비중</t>
    </r>
  </si>
  <si>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</si>
  <si>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</si>
  <si>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</si>
  <si>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4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</si>
  <si>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</si>
  <si>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6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</si>
  <si>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7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</si>
  <si>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8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</si>
  <si>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</si>
  <si>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10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</si>
  <si>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11</t>
    </r>
    <r>
      <rPr>
        <b val="true"/>
        <sz val="10"/>
        <color rgb="FF000000"/>
        <rFont val="WenQuanYi Zen Hei"/>
        <family val="2"/>
      </rPr>
      <t xml:space="preserve">월</t>
    </r>
  </si>
  <si>
    <r>
      <rPr>
        <b val="true"/>
        <sz val="10"/>
        <color rgb="FF000000"/>
        <rFont val="맑은 고딕"/>
        <family val="0"/>
        <charset val="1"/>
      </rPr>
      <t xml:space="preserve">12</t>
    </r>
    <r>
      <rPr>
        <b val="true"/>
        <sz val="10"/>
        <color rgb="FF000000"/>
        <rFont val="WenQuanYi Zen Hei"/>
        <family val="2"/>
      </rPr>
      <t xml:space="preserve">월</t>
    </r>
  </si>
  <si>
    <t xml:space="preserve">연간 합</t>
  </si>
  <si>
    <r>
      <rPr>
        <b val="true"/>
        <sz val="10"/>
        <color rgb="FF000000"/>
        <rFont val="맑은 고딕"/>
        <family val="0"/>
        <charset val="1"/>
      </rPr>
      <t xml:space="preserve">1~7</t>
    </r>
    <r>
      <rPr>
        <b val="true"/>
        <sz val="10"/>
        <color rgb="FF000000"/>
        <rFont val="WenQuanYi Zen Hei"/>
        <family val="2"/>
      </rPr>
      <t xml:space="preserve">월 합</t>
    </r>
  </si>
  <si>
    <t xml:space="preserve">수입 금액 (천달러)</t>
  </si>
  <si>
    <t xml:space="preserve">무역수지 (천달러)</t>
  </si>
  <si>
    <t xml:space="preserve">수출 중량 (톤)</t>
  </si>
  <si>
    <t xml:space="preserve">수출 단가 (천달러/톤)</t>
  </si>
  <si>
    <t xml:space="preserve">일평균 수출 (천달러/일)</t>
  </si>
  <si>
    <r>
      <rPr>
        <b val="true"/>
        <sz val="11"/>
        <color rgb="FF1F3864"/>
        <rFont val="맑은 고딕"/>
        <family val="0"/>
        <charset val="1"/>
      </rPr>
      <t xml:space="preserve">IT</t>
    </r>
    <r>
      <rPr>
        <b val="true"/>
        <sz val="11"/>
        <color rgb="FF1F3864"/>
        <rFont val="WenQuanYi Zen Hei"/>
        <family val="2"/>
      </rPr>
      <t xml:space="preserve">부품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</si>
  <si>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IT</t>
    </r>
    <r>
      <rPr>
        <b val="true"/>
        <sz val="11"/>
        <color rgb="FF1F3864"/>
        <rFont val="WenQuanYi Zen Hei"/>
        <family val="2"/>
      </rPr>
      <t xml:space="preserve">제품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</si>
  <si>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IT </t>
    </r>
    <r>
      <rPr>
        <b val="true"/>
        <sz val="11"/>
        <color rgb="FF1F3864"/>
        <rFont val="WenQuanYi Zen Hei"/>
        <family val="2"/>
      </rPr>
      <t xml:space="preserve">제외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</si>
  <si>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HS85 </t>
    </r>
    <r>
      <rPr>
        <b val="true"/>
        <sz val="11"/>
        <color rgb="FF1F3864"/>
        <rFont val="WenQuanYi Zen Hei"/>
        <family val="2"/>
      </rPr>
      <t xml:space="preserve">전기기기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</si>
  <si>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HS84 </t>
    </r>
    <r>
      <rPr>
        <b val="true"/>
        <sz val="11"/>
        <color rgb="FF1F3864"/>
        <rFont val="WenQuanYi Zen Hei"/>
        <family val="2"/>
      </rPr>
      <t xml:space="preserve">기계류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</si>
  <si>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HS87 </t>
    </r>
    <r>
      <rPr>
        <b val="true"/>
        <sz val="11"/>
        <color rgb="FF1F3864"/>
        <rFont val="WenQuanYi Zen Hei"/>
        <family val="2"/>
      </rPr>
      <t xml:space="preserve">차량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</si>
  <si>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HS27 </t>
    </r>
    <r>
      <rPr>
        <b val="true"/>
        <sz val="11"/>
        <color rgb="FF1F3864"/>
        <rFont val="WenQuanYi Zen Hei"/>
        <family val="2"/>
      </rPr>
      <t xml:space="preserve">광물성연료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</si>
  <si>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HS89 </t>
    </r>
    <r>
      <rPr>
        <b val="true"/>
        <sz val="11"/>
        <color rgb="FF1F3864"/>
        <rFont val="WenQuanYi Zen Hei"/>
        <family val="2"/>
      </rPr>
      <t xml:space="preserve">선박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</si>
  <si>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중화학공업품 수출 (천달러)</t>
  </si>
  <si>
    <t xml:space="preserve">수입 원자재 (천달러)</t>
  </si>
  <si>
    <t xml:space="preserve">수입 자본재 (천달러)</t>
  </si>
  <si>
    <r>
      <rPr>
        <b val="true"/>
        <sz val="14"/>
        <color rgb="FF1F3864"/>
        <rFont val="맑은 고딕"/>
        <family val="0"/>
        <charset val="1"/>
      </rPr>
      <t xml:space="preserve">④-B </t>
    </r>
    <r>
      <rPr>
        <b val="true"/>
        <sz val="14"/>
        <color rgb="FF1F3864"/>
        <rFont val="WenQuanYi Zen Hei"/>
        <family val="2"/>
      </rPr>
      <t xml:space="preserve">월별 매트릭스 — 모든 항목의 </t>
    </r>
    <r>
      <rPr>
        <b val="true"/>
        <sz val="14"/>
        <color rgb="FF1F3864"/>
        <rFont val="맑은 고딕"/>
        <family val="0"/>
        <charset val="1"/>
      </rPr>
      <t xml:space="preserve">31</t>
    </r>
    <r>
      <rPr>
        <b val="true"/>
        <sz val="14"/>
        <color rgb="FF1F3864"/>
        <rFont val="WenQuanYi Zen Hei"/>
        <family val="2"/>
      </rPr>
      <t xml:space="preserve">개월 월별 값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이후 시트의 월별 </t>
    </r>
    <r>
      <rPr>
        <b val="true"/>
        <sz val="14"/>
        <color rgb="FF1F3864"/>
        <rFont val="맑은 고딕"/>
        <family val="0"/>
        <charset val="1"/>
      </rPr>
      <t xml:space="preserve">YoY </t>
    </r>
    <r>
      <rPr>
        <b val="true"/>
        <sz val="14"/>
        <color rgb="FF1F3864"/>
        <rFont val="WenQuanYi Zen Hei"/>
        <family val="2"/>
      </rPr>
      <t xml:space="preserve">원천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</si>
  <si>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t xml:space="preserve">이 시트는 품목·부문·성질별 항목의 월별 값을 한 번만 계산해 두는 곳입니다. 분석6·7·8의 월별 증감은 모두 이 표를 참조하므로, 값이 바뀌면 월별 분석 전체가 함께 갱신됩니다.</t>
  </si>
  <si>
    <r>
      <rPr>
        <b val="true"/>
        <sz val="11"/>
        <color rgb="FF1F3864"/>
        <rFont val="맑은 고딕"/>
        <family val="0"/>
        <charset val="1"/>
      </rPr>
      <t xml:space="preserve">[A] HS </t>
    </r>
    <r>
      <rPr>
        <b val="true"/>
        <sz val="11"/>
        <color rgb="FF1F3864"/>
        <rFont val="WenQuanYi Zen Hei"/>
        <family val="2"/>
      </rPr>
      <t xml:space="preserve">류별 월별 수출금액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</si>
  <si>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코드</t>
  </si>
  <si>
    <r>
      <rPr>
        <b val="true"/>
        <sz val="11"/>
        <color rgb="FF1F3864"/>
        <rFont val="맑은 고딕"/>
        <family val="0"/>
        <charset val="1"/>
      </rPr>
      <t xml:space="preserve">[B] HS </t>
    </r>
    <r>
      <rPr>
        <b val="true"/>
        <sz val="11"/>
        <color rgb="FF1F3864"/>
        <rFont val="WenQuanYi Zen Hei"/>
        <family val="2"/>
      </rPr>
      <t xml:space="preserve">류별 월별 수입금액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</si>
  <si>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[C] HS </t>
    </r>
    <r>
      <rPr>
        <b val="true"/>
        <sz val="11"/>
        <color rgb="FF1F3864"/>
        <rFont val="WenQuanYi Zen Hei"/>
        <family val="2"/>
      </rPr>
      <t xml:space="preserve">부문별 월별 수출금액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</si>
  <si>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I</t>
  </si>
  <si>
    <r>
      <rPr>
        <sz val="9"/>
        <color rgb="FF000000"/>
        <rFont val="맑은 고딕"/>
        <family val="0"/>
        <charset val="1"/>
      </rPr>
      <t xml:space="preserve">I. </t>
    </r>
    <r>
      <rPr>
        <sz val="9"/>
        <color rgb="FF000000"/>
        <rFont val="WenQuanYi Zen Hei"/>
        <family val="2"/>
      </rPr>
      <t xml:space="preserve">동물성 생산품</t>
    </r>
  </si>
  <si>
    <t xml:space="preserve">II</t>
  </si>
  <si>
    <r>
      <rPr>
        <sz val="9"/>
        <color rgb="FF000000"/>
        <rFont val="맑은 고딕"/>
        <family val="0"/>
        <charset val="1"/>
      </rPr>
      <t xml:space="preserve">II. </t>
    </r>
    <r>
      <rPr>
        <sz val="9"/>
        <color rgb="FF000000"/>
        <rFont val="WenQuanYi Zen Hei"/>
        <family val="2"/>
      </rPr>
      <t xml:space="preserve">식물성 생산품</t>
    </r>
  </si>
  <si>
    <t xml:space="preserve">III</t>
  </si>
  <si>
    <r>
      <rPr>
        <sz val="9"/>
        <color rgb="FF000000"/>
        <rFont val="맑은 고딕"/>
        <family val="0"/>
        <charset val="1"/>
      </rPr>
      <t xml:space="preserve">III. </t>
    </r>
    <r>
      <rPr>
        <sz val="9"/>
        <color rgb="FF000000"/>
        <rFont val="WenQuanYi Zen Hei"/>
        <family val="2"/>
      </rPr>
      <t xml:space="preserve">동식물성 유지</t>
    </r>
  </si>
  <si>
    <t xml:space="preserve">IV</t>
  </si>
  <si>
    <r>
      <rPr>
        <sz val="9"/>
        <color rgb="FF000000"/>
        <rFont val="맑은 고딕"/>
        <family val="0"/>
        <charset val="1"/>
      </rPr>
      <t xml:space="preserve">IV. </t>
    </r>
    <r>
      <rPr>
        <sz val="9"/>
        <color rgb="FF000000"/>
        <rFont val="WenQuanYi Zen Hei"/>
        <family val="2"/>
      </rPr>
      <t xml:space="preserve">조제식료품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음료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담배</t>
    </r>
  </si>
  <si>
    <t xml:space="preserve">V</t>
  </si>
  <si>
    <r>
      <rPr>
        <sz val="9"/>
        <color rgb="FF000000"/>
        <rFont val="맑은 고딕"/>
        <family val="0"/>
        <charset val="1"/>
      </rPr>
      <t xml:space="preserve">V. </t>
    </r>
    <r>
      <rPr>
        <sz val="9"/>
        <color rgb="FF000000"/>
        <rFont val="WenQuanYi Zen Hei"/>
        <family val="2"/>
      </rPr>
      <t xml:space="preserve">광물성 생산품</t>
    </r>
  </si>
  <si>
    <t xml:space="preserve">VI</t>
  </si>
  <si>
    <r>
      <rPr>
        <sz val="9"/>
        <color rgb="FF000000"/>
        <rFont val="맑은 고딕"/>
        <family val="0"/>
        <charset val="1"/>
      </rPr>
      <t xml:space="preserve">VI. </t>
    </r>
    <r>
      <rPr>
        <sz val="9"/>
        <color rgb="FF000000"/>
        <rFont val="WenQuanYi Zen Hei"/>
        <family val="2"/>
      </rPr>
      <t xml:space="preserve">화학공업 생산품</t>
    </r>
  </si>
  <si>
    <t xml:space="preserve">VII</t>
  </si>
  <si>
    <r>
      <rPr>
        <sz val="9"/>
        <color rgb="FF000000"/>
        <rFont val="맑은 고딕"/>
        <family val="0"/>
        <charset val="1"/>
      </rPr>
      <t xml:space="preserve">VII. </t>
    </r>
    <r>
      <rPr>
        <sz val="9"/>
        <color rgb="FF000000"/>
        <rFont val="WenQuanYi Zen Hei"/>
        <family val="2"/>
      </rPr>
      <t xml:space="preserve">플라스틱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고무</t>
    </r>
  </si>
  <si>
    <t xml:space="preserve">VIII</t>
  </si>
  <si>
    <r>
      <rPr>
        <sz val="9"/>
        <color rgb="FF000000"/>
        <rFont val="맑은 고딕"/>
        <family val="0"/>
        <charset val="1"/>
      </rPr>
      <t xml:space="preserve">VIII. </t>
    </r>
    <r>
      <rPr>
        <sz val="9"/>
        <color rgb="FF000000"/>
        <rFont val="WenQuanYi Zen Hei"/>
        <family val="2"/>
      </rPr>
      <t xml:space="preserve">원피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가죽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모피</t>
    </r>
  </si>
  <si>
    <t xml:space="preserve">IX</t>
  </si>
  <si>
    <r>
      <rPr>
        <sz val="9"/>
        <color rgb="FF000000"/>
        <rFont val="맑은 고딕"/>
        <family val="0"/>
        <charset val="1"/>
      </rPr>
      <t xml:space="preserve">IX. </t>
    </r>
    <r>
      <rPr>
        <sz val="9"/>
        <color rgb="FF000000"/>
        <rFont val="WenQuanYi Zen Hei"/>
        <family val="2"/>
      </rPr>
      <t xml:space="preserve">목재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목탄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코르크</t>
    </r>
  </si>
  <si>
    <t xml:space="preserve">X</t>
  </si>
  <si>
    <r>
      <rPr>
        <sz val="9"/>
        <color rgb="FF000000"/>
        <rFont val="맑은 고딕"/>
        <family val="0"/>
        <charset val="1"/>
      </rPr>
      <t xml:space="preserve">X. </t>
    </r>
    <r>
      <rPr>
        <sz val="9"/>
        <color rgb="FF000000"/>
        <rFont val="WenQuanYi Zen Hei"/>
        <family val="2"/>
      </rPr>
      <t xml:space="preserve">펄프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종이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인쇄물</t>
    </r>
  </si>
  <si>
    <t xml:space="preserve">XI</t>
  </si>
  <si>
    <r>
      <rPr>
        <sz val="9"/>
        <color rgb="FF000000"/>
        <rFont val="맑은 고딕"/>
        <family val="0"/>
        <charset val="1"/>
      </rPr>
      <t xml:space="preserve">XI. </t>
    </r>
    <r>
      <rPr>
        <sz val="9"/>
        <color rgb="FF000000"/>
        <rFont val="WenQuanYi Zen Hei"/>
        <family val="2"/>
      </rPr>
      <t xml:space="preserve">방직용 섬유</t>
    </r>
  </si>
  <si>
    <t xml:space="preserve">XII</t>
  </si>
  <si>
    <r>
      <rPr>
        <sz val="9"/>
        <color rgb="FF000000"/>
        <rFont val="맑은 고딕"/>
        <family val="0"/>
        <charset val="1"/>
      </rPr>
      <t xml:space="preserve">XII. </t>
    </r>
    <r>
      <rPr>
        <sz val="9"/>
        <color rgb="FF000000"/>
        <rFont val="WenQuanYi Zen Hei"/>
        <family val="2"/>
      </rPr>
      <t xml:space="preserve">신발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모자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우산</t>
    </r>
  </si>
  <si>
    <t xml:space="preserve">XIII</t>
  </si>
  <si>
    <r>
      <rPr>
        <sz val="9"/>
        <color rgb="FF000000"/>
        <rFont val="맑은 고딕"/>
        <family val="0"/>
        <charset val="1"/>
      </rPr>
      <t xml:space="preserve">XIII. </t>
    </r>
    <r>
      <rPr>
        <sz val="9"/>
        <color rgb="FF000000"/>
        <rFont val="WenQuanYi Zen Hei"/>
        <family val="2"/>
      </rPr>
      <t xml:space="preserve">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시멘트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도자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유리</t>
    </r>
  </si>
  <si>
    <t xml:space="preserve">XIV</t>
  </si>
  <si>
    <r>
      <rPr>
        <sz val="9"/>
        <color rgb="FF000000"/>
        <rFont val="맑은 고딕"/>
        <family val="0"/>
        <charset val="1"/>
      </rPr>
      <t xml:space="preserve">XIV. </t>
    </r>
    <r>
      <rPr>
        <sz val="9"/>
        <color rgb="FF000000"/>
        <rFont val="WenQuanYi Zen Hei"/>
        <family val="2"/>
      </rPr>
      <t xml:space="preserve">귀금속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보석</t>
    </r>
  </si>
  <si>
    <t xml:space="preserve">XV</t>
  </si>
  <si>
    <r>
      <rPr>
        <sz val="9"/>
        <color rgb="FF000000"/>
        <rFont val="맑은 고딕"/>
        <family val="0"/>
        <charset val="1"/>
      </rPr>
      <t xml:space="preserve">XV. </t>
    </r>
    <r>
      <rPr>
        <sz val="9"/>
        <color rgb="FF000000"/>
        <rFont val="WenQuanYi Zen Hei"/>
        <family val="2"/>
      </rPr>
      <t xml:space="preserve">비금속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卑金屬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과 그 제품</t>
    </r>
  </si>
  <si>
    <t xml:space="preserve">XVI</t>
  </si>
  <si>
    <r>
      <rPr>
        <sz val="9"/>
        <color rgb="FF000000"/>
        <rFont val="맑은 고딕"/>
        <family val="0"/>
        <charset val="1"/>
      </rPr>
      <t xml:space="preserve">XVI. </t>
    </r>
    <r>
      <rPr>
        <sz val="9"/>
        <color rgb="FF000000"/>
        <rFont val="WenQuanYi Zen Hei"/>
        <family val="2"/>
      </rPr>
      <t xml:space="preserve">기계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전기전자기기</t>
    </r>
  </si>
  <si>
    <t xml:space="preserve">XVII</t>
  </si>
  <si>
    <r>
      <rPr>
        <sz val="9"/>
        <color rgb="FF000000"/>
        <rFont val="맑은 고딕"/>
        <family val="0"/>
        <charset val="1"/>
      </rPr>
      <t xml:space="preserve">XVII. </t>
    </r>
    <r>
      <rPr>
        <sz val="9"/>
        <color rgb="FF000000"/>
        <rFont val="WenQuanYi Zen Hei"/>
        <family val="2"/>
      </rPr>
      <t xml:space="preserve">수송기기</t>
    </r>
  </si>
  <si>
    <t xml:space="preserve">XVIII</t>
  </si>
  <si>
    <r>
      <rPr>
        <sz val="9"/>
        <color rgb="FF000000"/>
        <rFont val="맑은 고딕"/>
        <family val="0"/>
        <charset val="1"/>
      </rPr>
      <t xml:space="preserve">XVIII. </t>
    </r>
    <r>
      <rPr>
        <sz val="9"/>
        <color rgb="FF000000"/>
        <rFont val="WenQuanYi Zen Hei"/>
        <family val="2"/>
      </rPr>
      <t xml:space="preserve">광학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의료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정밀기기</t>
    </r>
  </si>
  <si>
    <t xml:space="preserve">XIX</t>
  </si>
  <si>
    <r>
      <rPr>
        <sz val="9"/>
        <color rgb="FF000000"/>
        <rFont val="맑은 고딕"/>
        <family val="0"/>
        <charset val="1"/>
      </rPr>
      <t xml:space="preserve">XIX. </t>
    </r>
    <r>
      <rPr>
        <sz val="9"/>
        <color rgb="FF000000"/>
        <rFont val="WenQuanYi Zen Hei"/>
        <family val="2"/>
      </rPr>
      <t xml:space="preserve">무기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탄약</t>
    </r>
  </si>
  <si>
    <t xml:space="preserve">XX</t>
  </si>
  <si>
    <r>
      <rPr>
        <sz val="9"/>
        <color rgb="FF000000"/>
        <rFont val="맑은 고딕"/>
        <family val="0"/>
        <charset val="1"/>
      </rPr>
      <t xml:space="preserve">XX. </t>
    </r>
    <r>
      <rPr>
        <sz val="9"/>
        <color rgb="FF000000"/>
        <rFont val="WenQuanYi Zen Hei"/>
        <family val="2"/>
      </rPr>
      <t xml:space="preserve">잡품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가구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완구 등</t>
    </r>
    <r>
      <rPr>
        <sz val="9"/>
        <color rgb="FF000000"/>
        <rFont val="맑은 고딕"/>
        <family val="0"/>
        <charset val="1"/>
      </rPr>
      <t xml:space="preserve">)</t>
    </r>
  </si>
  <si>
    <t xml:space="preserve">XXI</t>
  </si>
  <si>
    <r>
      <rPr>
        <sz val="9"/>
        <color rgb="FF000000"/>
        <rFont val="맑은 고딕"/>
        <family val="0"/>
        <charset val="1"/>
      </rPr>
      <t xml:space="preserve">XXI. </t>
    </r>
    <r>
      <rPr>
        <sz val="9"/>
        <color rgb="FF000000"/>
        <rFont val="WenQuanYi Zen Hei"/>
        <family val="2"/>
      </rPr>
      <t xml:space="preserve">예술품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골동품</t>
    </r>
  </si>
  <si>
    <t xml:space="preserve">기타</t>
  </si>
  <si>
    <t xml:space="preserve">기타. 특수분류</t>
  </si>
  <si>
    <r>
      <rPr>
        <b val="true"/>
        <sz val="11"/>
        <color rgb="FF1F3864"/>
        <rFont val="맑은 고딕"/>
        <family val="0"/>
        <charset val="1"/>
      </rPr>
      <t xml:space="preserve">[D] </t>
    </r>
    <r>
      <rPr>
        <b val="true"/>
        <sz val="11"/>
        <color rgb="FF1F3864"/>
        <rFont val="WenQuanYi Zen Hei"/>
        <family val="2"/>
      </rPr>
      <t xml:space="preserve">성질별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</t>
    </r>
    <r>
      <rPr>
        <b val="true"/>
        <sz val="11"/>
        <color rgb="FF1F3864"/>
        <rFont val="맑은 고딕"/>
        <family val="0"/>
        <charset val="1"/>
      </rPr>
      <t xml:space="preserve">) </t>
    </r>
    <r>
      <rPr>
        <b val="true"/>
        <sz val="11"/>
        <color rgb="FF1F3864"/>
        <rFont val="WenQuanYi Zen Hei"/>
        <family val="2"/>
      </rPr>
      <t xml:space="preserve">월별 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</si>
  <si>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1</t>
  </si>
  <si>
    <r>
      <rPr>
        <sz val="9"/>
        <color rgb="FF000000"/>
        <rFont val="맑은 고딕"/>
        <family val="0"/>
        <charset val="1"/>
      </rPr>
      <t xml:space="preserve">1. </t>
    </r>
    <r>
      <rPr>
        <sz val="9"/>
        <color rgb="FF000000"/>
        <rFont val="WenQuanYi Zen Hei"/>
        <family val="2"/>
      </rPr>
      <t xml:space="preserve">식료 및 직접소비재</t>
    </r>
  </si>
  <si>
    <t xml:space="preserve">2</t>
  </si>
  <si>
    <r>
      <rPr>
        <sz val="9"/>
        <color rgb="FF000000"/>
        <rFont val="맑은 고딕"/>
        <family val="0"/>
        <charset val="1"/>
      </rPr>
      <t xml:space="preserve">2. </t>
    </r>
    <r>
      <rPr>
        <sz val="9"/>
        <color rgb="FF000000"/>
        <rFont val="WenQuanYi Zen Hei"/>
        <family val="2"/>
      </rPr>
      <t xml:space="preserve">원료 및 연료</t>
    </r>
  </si>
  <si>
    <t xml:space="preserve">3</t>
  </si>
  <si>
    <r>
      <rPr>
        <sz val="9"/>
        <color rgb="FF000000"/>
        <rFont val="맑은 고딕"/>
        <family val="0"/>
        <charset val="1"/>
      </rPr>
      <t xml:space="preserve">3. </t>
    </r>
    <r>
      <rPr>
        <sz val="9"/>
        <color rgb="FF000000"/>
        <rFont val="WenQuanYi Zen Hei"/>
        <family val="2"/>
      </rPr>
      <t xml:space="preserve">경공업품</t>
    </r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</si>
  <si>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</si>
  <si>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</si>
  <si>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</si>
  <si>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</si>
  <si>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</si>
  <si>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</si>
  <si>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r>
      <rPr>
        <sz val="9"/>
        <color rgb="FF000000"/>
        <rFont val="맑은 고딕"/>
        <family val="0"/>
        <charset val="1"/>
      </rPr>
      <t xml:space="preserve">4. </t>
    </r>
    <r>
      <rPr>
        <sz val="9"/>
        <color rgb="FF000000"/>
        <rFont val="WenQuanYi Zen Hei"/>
        <family val="2"/>
      </rPr>
      <t xml:space="preserve">중화학 공업품</t>
    </r>
  </si>
  <si>
    <r>
      <rPr>
        <b val="true"/>
        <sz val="11"/>
        <color rgb="FF1F3864"/>
        <rFont val="맑은 고딕"/>
        <family val="0"/>
        <charset val="1"/>
      </rPr>
      <t xml:space="preserve">[E] </t>
    </r>
    <r>
      <rPr>
        <b val="true"/>
        <sz val="11"/>
        <color rgb="FF1F3864"/>
        <rFont val="WenQuanYi Zen Hei"/>
        <family val="2"/>
      </rPr>
      <t xml:space="preserve">성질별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수입</t>
    </r>
    <r>
      <rPr>
        <b val="true"/>
        <sz val="11"/>
        <color rgb="FF1F3864"/>
        <rFont val="맑은 고딕"/>
        <family val="0"/>
        <charset val="1"/>
      </rPr>
      <t xml:space="preserve">) </t>
    </r>
    <r>
      <rPr>
        <b val="true"/>
        <sz val="11"/>
        <color rgb="FF1F3864"/>
        <rFont val="WenQuanYi Zen Hei"/>
        <family val="2"/>
      </rPr>
      <t xml:space="preserve">월별 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</si>
  <si>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1. </t>
    </r>
    <r>
      <rPr>
        <sz val="9"/>
        <color rgb="FF000000"/>
        <rFont val="WenQuanYi Zen Hei"/>
        <family val="2"/>
      </rPr>
      <t xml:space="preserve">소비재</t>
    </r>
  </si>
  <si>
    <r>
      <rPr>
        <sz val="9"/>
        <color rgb="FF000000"/>
        <rFont val="맑은 고딕"/>
        <family val="0"/>
        <charset val="1"/>
      </rPr>
      <t xml:space="preserve">2. </t>
    </r>
    <r>
      <rPr>
        <sz val="9"/>
        <color rgb="FF000000"/>
        <rFont val="WenQuanYi Zen Hei"/>
        <family val="2"/>
      </rPr>
      <t xml:space="preserve">원자재</t>
    </r>
  </si>
  <si>
    <r>
      <rPr>
        <sz val="9"/>
        <color rgb="FF000000"/>
        <rFont val="맑은 고딕"/>
        <family val="0"/>
        <charset val="1"/>
      </rPr>
      <t xml:space="preserve">3. </t>
    </r>
    <r>
      <rPr>
        <sz val="9"/>
        <color rgb="FF000000"/>
        <rFont val="WenQuanYi Zen Hei"/>
        <family val="2"/>
      </rPr>
      <t xml:space="preserve">자본재</t>
    </r>
  </si>
  <si>
    <r>
      <rPr>
        <b val="true"/>
        <sz val="11"/>
        <color rgb="FF1F3864"/>
        <rFont val="맑은 고딕"/>
        <family val="0"/>
        <charset val="1"/>
      </rPr>
      <t xml:space="preserve">[F] </t>
    </r>
    <r>
      <rPr>
        <b val="true"/>
        <sz val="11"/>
        <color rgb="FF1F3864"/>
        <rFont val="WenQuanYi Zen Hei"/>
        <family val="2"/>
      </rPr>
      <t xml:space="preserve">신성질별 월별 수출금액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</si>
  <si>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1.</t>
    </r>
    <r>
      <rPr>
        <sz val="9"/>
        <color rgb="FF000000"/>
        <rFont val="WenQuanYi Zen Hei"/>
        <family val="2"/>
      </rPr>
      <t xml:space="preserve">소비재</t>
    </r>
  </si>
  <si>
    <r>
      <rPr>
        <sz val="9"/>
        <color rgb="FF000000"/>
        <rFont val="맑은 고딕"/>
        <family val="0"/>
        <charset val="1"/>
      </rPr>
      <t xml:space="preserve">2.</t>
    </r>
    <r>
      <rPr>
        <sz val="9"/>
        <color rgb="FF000000"/>
        <rFont val="WenQuanYi Zen Hei"/>
        <family val="2"/>
      </rPr>
      <t xml:space="preserve">원자재</t>
    </r>
  </si>
  <si>
    <r>
      <rPr>
        <sz val="9"/>
        <color rgb="FF000000"/>
        <rFont val="맑은 고딕"/>
        <family val="0"/>
        <charset val="1"/>
      </rPr>
      <t xml:space="preserve">3.</t>
    </r>
    <r>
      <rPr>
        <sz val="9"/>
        <color rgb="FF000000"/>
        <rFont val="WenQuanYi Zen Hei"/>
        <family val="2"/>
      </rPr>
      <t xml:space="preserve">자본재</t>
    </r>
  </si>
  <si>
    <r>
      <rPr>
        <b val="true"/>
        <sz val="11"/>
        <color rgb="FF1F3864"/>
        <rFont val="맑은 고딕"/>
        <family val="0"/>
        <charset val="1"/>
      </rPr>
      <t xml:space="preserve">[G] </t>
    </r>
    <r>
      <rPr>
        <b val="true"/>
        <sz val="11"/>
        <color rgb="FF1F3864"/>
        <rFont val="WenQuanYi Zen Hei"/>
        <family val="2"/>
      </rPr>
      <t xml:space="preserve">신성질별 월별 수입금액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</si>
  <si>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⑤ 반도체 vs 비반도체 — 월별로 쪼개서 본다</t>
  </si>
  <si>
    <r>
      <rPr>
        <i val="true"/>
        <sz val="9"/>
        <color rgb="FF595959"/>
        <rFont val="맑은 고딕"/>
        <family val="0"/>
        <charset val="1"/>
      </rPr>
      <t xml:space="preserve">HS 2</t>
    </r>
    <r>
      <rPr>
        <i val="true"/>
        <sz val="9"/>
        <color rgb="FF595959"/>
        <rFont val="WenQuanYi Zen Hei"/>
        <family val="2"/>
      </rPr>
      <t xml:space="preserve">단위 자료라 반도체</t>
    </r>
    <r>
      <rPr>
        <i val="true"/>
        <sz val="9"/>
        <color rgb="FF595959"/>
        <rFont val="맑은 고딕"/>
        <family val="0"/>
        <charset val="1"/>
      </rPr>
      <t xml:space="preserve">(HS 8541·8542)</t>
    </r>
    <r>
      <rPr>
        <i val="true"/>
        <sz val="9"/>
        <color rgb="FF595959"/>
        <rFont val="WenQuanYi Zen Hei"/>
        <family val="2"/>
      </rPr>
      <t xml:space="preserve">를 단독으로 뽑을 수 없어 세 가지 대용 정의를 병기했습니다</t>
    </r>
    <r>
      <rPr>
        <i val="true"/>
        <sz val="9"/>
        <color rgb="FF595959"/>
        <rFont val="맑은 고딕"/>
        <family val="0"/>
        <charset val="1"/>
      </rPr>
      <t xml:space="preserve">. ① </t>
    </r>
    <r>
      <rPr>
        <i val="true"/>
        <sz val="9"/>
        <color rgb="FF595959"/>
        <rFont val="WenQuanYi Zen Hei"/>
        <family val="2"/>
      </rPr>
      <t xml:space="preserve">협의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신성질별 </t>
    </r>
    <r>
      <rPr>
        <i val="true"/>
        <sz val="9"/>
        <color rgb="FF595959"/>
        <rFont val="맑은 고딕"/>
        <family val="0"/>
        <charset val="1"/>
      </rPr>
      <t xml:space="preserve">IT</t>
    </r>
    <r>
      <rPr>
        <i val="true"/>
        <sz val="9"/>
        <color rgb="FF595959"/>
        <rFont val="WenQuanYi Zen Hei"/>
        <family val="2"/>
      </rPr>
      <t xml:space="preserve">부품 ② 광의 </t>
    </r>
    <r>
      <rPr>
        <i val="true"/>
        <sz val="9"/>
        <color rgb="FF595959"/>
        <rFont val="맑은 고딕"/>
        <family val="0"/>
        <charset val="1"/>
      </rPr>
      <t xml:space="preserve">= IT</t>
    </r>
    <r>
      <rPr>
        <i val="true"/>
        <sz val="9"/>
        <color rgb="FF595959"/>
        <rFont val="WenQuanYi Zen Hei"/>
        <family val="2"/>
      </rPr>
      <t xml:space="preserve">부품</t>
    </r>
    <r>
      <rPr>
        <i val="true"/>
        <sz val="9"/>
        <color rgb="FF595959"/>
        <rFont val="맑은 고딕"/>
        <family val="0"/>
        <charset val="1"/>
      </rPr>
      <t xml:space="preserve">+IT</t>
    </r>
    <r>
      <rPr>
        <i val="true"/>
        <sz val="9"/>
        <color rgb="FF595959"/>
        <rFont val="WenQuanYi Zen Hei"/>
        <family val="2"/>
      </rPr>
      <t xml:space="preserve">제품 ③ </t>
    </r>
    <r>
      <rPr>
        <i val="true"/>
        <sz val="9"/>
        <color rgb="FF595959"/>
        <rFont val="맑은 고딕"/>
        <family val="0"/>
        <charset val="1"/>
      </rPr>
      <t xml:space="preserve">HS85 </t>
    </r>
    <r>
      <rPr>
        <i val="true"/>
        <sz val="9"/>
        <color rgb="FF595959"/>
        <rFont val="WenQuanYi Zen Hei"/>
        <family val="2"/>
      </rPr>
      <t xml:space="preserve">기준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</si>
  <si>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★ 누계(1~7월 합산)가 아니라 매달 따로 계산했습니다. 어느 달에 무엇이 얼마나 달라졌는지는 [B]·[C]에서 월 단위로 확인하십시오.</t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</si>
  <si>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월별 금액 </t>
    </r>
    <r>
      <rPr>
        <b val="true"/>
        <sz val="11"/>
        <color rgb="FF1F3864"/>
        <rFont val="맑은 고딕"/>
        <family val="0"/>
        <charset val="1"/>
      </rPr>
      <t xml:space="preserve">(31</t>
    </r>
    <r>
      <rPr>
        <b val="true"/>
        <sz val="11"/>
        <color rgb="FF1F3864"/>
        <rFont val="WenQuanYi Zen Hei"/>
        <family val="2"/>
      </rPr>
      <t xml:space="preserve">개월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</si>
  <si>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① 반도체(협의) IT부품</t>
  </si>
  <si>
    <t xml:space="preserve">② 반도체(광의) IT부품+IT제품</t>
  </si>
  <si>
    <r>
      <rPr>
        <b val="true"/>
        <sz val="10"/>
        <color rgb="FF000000"/>
        <rFont val="맑은 고딕"/>
        <family val="0"/>
        <charset val="1"/>
      </rPr>
      <t xml:space="preserve">③ HS85 </t>
    </r>
    <r>
      <rPr>
        <b val="true"/>
        <sz val="10"/>
        <color rgb="FF000000"/>
        <rFont val="WenQuanYi Zen Hei"/>
        <family val="2"/>
      </rPr>
      <t xml:space="preserve">전기기기</t>
    </r>
  </si>
  <si>
    <t xml:space="preserve">전체 수출</t>
  </si>
  <si>
    <t xml:space="preserve">비반도체(광의 기준)</t>
  </si>
  <si>
    <t xml:space="preserve">반도체(광의) 비중</t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</si>
  <si>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월별 전년동월비 — 어느 달에 어느 쪽이 좋았나 </t>
    </r>
    <r>
      <rPr>
        <b val="true"/>
        <sz val="11"/>
        <color rgb="FF1F3864"/>
        <rFont val="맑은 고딕"/>
        <family val="0"/>
        <charset val="1"/>
      </rPr>
      <t xml:space="preserve">(2025.01~2026.07)</t>
    </r>
  </si>
  <si>
    <t xml:space="preserve">① 반도체(협의) YoY</t>
  </si>
  <si>
    <t xml:space="preserve">② 반도체(광의) YoY</t>
  </si>
  <si>
    <t xml:space="preserve">③ HS85 YoY</t>
  </si>
  <si>
    <t xml:space="preserve">비반도체(광의) YoY</t>
  </si>
  <si>
    <t xml:space="preserve">전체 수출 YoY</t>
  </si>
  <si>
    <t xml:space="preserve">격차 (반도체−비반도체)</t>
  </si>
  <si>
    <t xml:space="preserve">그 달의 우위</t>
  </si>
  <si>
    <t xml:space="preserve">반도체가 만든 몫(기여도)</t>
  </si>
  <si>
    <t xml:space="preserve">비반도체가 만든 몫</t>
  </si>
  <si>
    <t xml:space="preserve">기여도는 그 달의 전체 수출 증감액을 100%로 놓았을 때의 몫입니다. 전체가 감소한 달에는 부호가 뒤집혀 보일 수 있으니(예 : 전체는 줄었는데 반도체는 늘어난 달) 위의 YoY와 함께 읽으십시오.</t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</si>
  <si>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월별 증감액 분해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 — </t>
    </r>
    <r>
      <rPr>
        <b val="true"/>
        <sz val="11"/>
        <color rgb="FF1F3864"/>
        <rFont val="WenQuanYi Zen Hei"/>
        <family val="2"/>
      </rPr>
      <t xml:space="preserve">전년 동월 대비</t>
    </r>
  </si>
  <si>
    <t xml:space="preserve">전체 수출 증감액</t>
  </si>
  <si>
    <t xml:space="preserve">반도체(광의) 증감액</t>
  </si>
  <si>
    <t xml:space="preserve">비반도체 증감액</t>
  </si>
  <si>
    <r>
      <rPr>
        <b val="true"/>
        <sz val="10"/>
        <color rgb="FF000000"/>
        <rFont val="맑은 고딕"/>
        <family val="0"/>
        <charset val="1"/>
      </rPr>
      <t xml:space="preserve">HS85 </t>
    </r>
    <r>
      <rPr>
        <b val="true"/>
        <sz val="10"/>
        <color rgb="FF000000"/>
        <rFont val="WenQuanYi Zen Hei"/>
        <family val="2"/>
      </rPr>
      <t xml:space="preserve">증감액</t>
    </r>
  </si>
  <si>
    <r>
      <rPr>
        <b val="true"/>
        <sz val="11"/>
        <color rgb="FF1F3864"/>
        <rFont val="맑은 고딕"/>
        <family val="0"/>
        <charset val="1"/>
      </rPr>
      <t xml:space="preserve">[D] </t>
    </r>
    <r>
      <rPr>
        <b val="true"/>
        <sz val="11"/>
        <color rgb="FF1F3864"/>
        <rFont val="WenQuanYi Zen Hei"/>
        <family val="2"/>
      </rPr>
      <t xml:space="preserve">참고 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연도별 </t>
    </r>
    <r>
      <rPr>
        <b val="true"/>
        <sz val="11"/>
        <color rgb="FF1F3864"/>
        <rFont val="맑은 고딕"/>
        <family val="0"/>
        <charset val="1"/>
      </rPr>
      <t xml:space="preserve">1~7</t>
    </r>
    <r>
      <rPr>
        <b val="true"/>
        <sz val="11"/>
        <color rgb="FF1F3864"/>
        <rFont val="WenQuanYi Zen Hei"/>
        <family val="2"/>
      </rPr>
      <t xml:space="preserve">월 누계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월별 분해의 합계 확인용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</si>
  <si>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2024</t>
  </si>
  <si>
    <t xml:space="preserve">2025</t>
  </si>
  <si>
    <t xml:space="preserve">2026</t>
  </si>
  <si>
    <t xml:space="preserve">25 YoY</t>
  </si>
  <si>
    <t xml:space="preserve">26 YoY</t>
  </si>
  <si>
    <t xml:space="preserve">반도체(협의)</t>
  </si>
  <si>
    <t xml:space="preserve">반도체(광의)</t>
  </si>
  <si>
    <t xml:space="preserve">HS85</t>
  </si>
  <si>
    <t xml:space="preserve">비반도체(광의)</t>
  </si>
  <si>
    <r>
      <rPr>
        <b val="true"/>
        <sz val="14"/>
        <color rgb="FF1F3864"/>
        <rFont val="맑은 고딕"/>
        <family val="0"/>
        <charset val="1"/>
      </rPr>
      <t xml:space="preserve">⑥ HS </t>
    </r>
    <r>
      <rPr>
        <b val="true"/>
        <sz val="14"/>
        <color rgb="FF1F3864"/>
        <rFont val="WenQuanYi Zen Hei"/>
        <family val="2"/>
      </rPr>
      <t xml:space="preserve">부문</t>
    </r>
    <r>
      <rPr>
        <b val="true"/>
        <sz val="14"/>
        <color rgb="FF1F3864"/>
        <rFont val="맑은 고딕"/>
        <family val="0"/>
        <charset val="1"/>
      </rPr>
      <t xml:space="preserve">(Section)</t>
    </r>
    <r>
      <rPr>
        <b val="true"/>
        <sz val="14"/>
        <color rgb="FF1F3864"/>
        <rFont val="WenQuanYi Zen Hei"/>
        <family val="2"/>
      </rPr>
      <t xml:space="preserve">별 — </t>
    </r>
    <r>
      <rPr>
        <b val="true"/>
        <sz val="14"/>
        <color rgb="FF1F3864"/>
        <rFont val="맑은 고딕"/>
        <family val="0"/>
        <charset val="1"/>
      </rPr>
      <t xml:space="preserve">21</t>
    </r>
    <r>
      <rPr>
        <b val="true"/>
        <sz val="14"/>
        <color rgb="FF1F3864"/>
        <rFont val="WenQuanYi Zen Hei"/>
        <family val="2"/>
      </rPr>
      <t xml:space="preserve">개 부문 전체를 월별로 쪼개서 본다</t>
    </r>
  </si>
  <si>
    <r>
      <rPr>
        <i val="true"/>
        <sz val="9"/>
        <color rgb="FF595959"/>
        <rFont val="맑은 고딕"/>
        <family val="0"/>
        <charset val="1"/>
      </rPr>
      <t xml:space="preserve">HS 97</t>
    </r>
    <r>
      <rPr>
        <i val="true"/>
        <sz val="9"/>
        <color rgb="FF595959"/>
        <rFont val="WenQuanYi Zen Hei"/>
        <family val="2"/>
      </rPr>
      <t xml:space="preserve">개 류를 </t>
    </r>
    <r>
      <rPr>
        <i val="true"/>
        <sz val="9"/>
        <color rgb="FF595959"/>
        <rFont val="맑은 고딕"/>
        <family val="0"/>
        <charset val="1"/>
      </rPr>
      <t xml:space="preserve">21</t>
    </r>
    <r>
      <rPr>
        <i val="true"/>
        <sz val="9"/>
        <color rgb="FF595959"/>
        <rFont val="WenQuanYi Zen Hei"/>
        <family val="2"/>
      </rPr>
      <t xml:space="preserve">개 부문으로 묶었습니다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세 번째 열에 각 부문에 어떤 류가 들어가는지 명시했습니다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정렬은 </t>
    </r>
    <r>
      <rPr>
        <i val="true"/>
        <sz val="9"/>
        <color rgb="FF595959"/>
        <rFont val="맑은 고딕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 </t>
    </r>
    <r>
      <rPr>
        <i val="true"/>
        <sz val="9"/>
        <color rgb="FF595959"/>
        <rFont val="맑은 고딕"/>
        <family val="0"/>
        <charset val="1"/>
      </rPr>
      <t xml:space="preserve">1~7</t>
    </r>
    <r>
      <rPr>
        <i val="true"/>
        <sz val="9"/>
        <color rgb="FF595959"/>
        <rFont val="WenQuanYi Zen Hei"/>
        <family val="2"/>
      </rPr>
      <t xml:space="preserve">월 수출 증감액 순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작성 시점 고정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</si>
  <si>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i val="true"/>
        <sz val="9"/>
        <color rgb="FFC00000"/>
        <rFont val="맑은 고딕"/>
        <family val="0"/>
        <charset val="1"/>
      </rPr>
      <t xml:space="preserve">★ [A]</t>
    </r>
    <r>
      <rPr>
        <i val="true"/>
        <sz val="9"/>
        <color rgb="FFC00000"/>
        <rFont val="WenQuanYi Zen Hei"/>
        <family val="2"/>
      </rPr>
      <t xml:space="preserve">는 부문별 월별 전년동월비</t>
    </r>
    <r>
      <rPr>
        <i val="true"/>
        <sz val="9"/>
        <color rgb="FFC00000"/>
        <rFont val="맑은 고딕"/>
        <family val="0"/>
        <charset val="1"/>
      </rPr>
      <t xml:space="preserve">, [B]</t>
    </r>
    <r>
      <rPr>
        <i val="true"/>
        <sz val="9"/>
        <color rgb="FFC00000"/>
        <rFont val="WenQuanYi Zen Hei"/>
        <family val="2"/>
      </rPr>
      <t xml:space="preserve">는 월별 증감액입니다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누계로 뭉뚱그리지 않고 매달 따로 계산했으므로</t>
    </r>
    <r>
      <rPr>
        <i val="true"/>
        <sz val="9"/>
        <color rgb="FFC00000"/>
        <rFont val="맑은 고딕"/>
        <family val="0"/>
        <charset val="1"/>
      </rPr>
      <t xml:space="preserve">, </t>
    </r>
    <r>
      <rPr>
        <i val="true"/>
        <sz val="9"/>
        <color rgb="FFC00000"/>
        <rFont val="WenQuanYi Zen Hei"/>
        <family val="2"/>
      </rPr>
      <t xml:space="preserve">어느 부문이 몇 월에 꺾였는지</t>
    </r>
    <r>
      <rPr>
        <i val="true"/>
        <sz val="9"/>
        <color rgb="FFC00000"/>
        <rFont val="맑은 고딕"/>
        <family val="0"/>
        <charset val="1"/>
      </rPr>
      <t xml:space="preserve">·</t>
    </r>
    <r>
      <rPr>
        <i val="true"/>
        <sz val="9"/>
        <color rgb="FFC00000"/>
        <rFont val="WenQuanYi Zen Hei"/>
        <family val="2"/>
      </rPr>
      <t xml:space="preserve">튀었는지 바로 보입니다</t>
    </r>
    <r>
      <rPr>
        <i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</si>
  <si>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부문별 월별 전년동월비 </t>
    </r>
    <r>
      <rPr>
        <b val="true"/>
        <sz val="11"/>
        <color rgb="FF1F3864"/>
        <rFont val="맑은 고딕"/>
        <family val="0"/>
        <charset val="1"/>
      </rPr>
      <t xml:space="preserve">(2025.01~2026.07)</t>
    </r>
  </si>
  <si>
    <t xml:space="preserve">부</t>
  </si>
  <si>
    <t xml:space="preserve">부문 명칭</t>
  </si>
  <si>
    <t xml:space="preserve">기계·전기전자기기</t>
  </si>
  <si>
    <t xml:space="preserve">광물성 생산품</t>
  </si>
  <si>
    <t xml:space="preserve">귀금속·보석</t>
  </si>
  <si>
    <t xml:space="preserve">화학공업 생산품</t>
  </si>
  <si>
    <t xml:space="preserve">수송기기</t>
  </si>
  <si>
    <t xml:space="preserve">비금속(卑金屬)과 그 제품</t>
  </si>
  <si>
    <t xml:space="preserve">플라스틱·고무</t>
  </si>
  <si>
    <t xml:space="preserve">광학·의료·정밀기기</t>
  </si>
  <si>
    <t xml:space="preserve">동물성 생산품</t>
  </si>
  <si>
    <t xml:space="preserve">조제식료품·음료·담배</t>
  </si>
  <si>
    <t xml:space="preserve">원피·가죽·모피</t>
  </si>
  <si>
    <t xml:space="preserve">무기·탄약</t>
  </si>
  <si>
    <t xml:space="preserve">잡품(가구·완구 등)</t>
  </si>
  <si>
    <t xml:space="preserve">신발·모자·우산</t>
  </si>
  <si>
    <t xml:space="preserve">펄프·종이·인쇄물</t>
  </si>
  <si>
    <t xml:space="preserve">목재·목탄·코르크</t>
  </si>
  <si>
    <t xml:space="preserve">특수분류</t>
  </si>
  <si>
    <t xml:space="preserve">석·시멘트·도자·유리</t>
  </si>
  <si>
    <t xml:space="preserve">동식물성 유지</t>
  </si>
  <si>
    <t xml:space="preserve">식물성 생산품</t>
  </si>
  <si>
    <t xml:space="preserve">예술품·골동품</t>
  </si>
  <si>
    <t xml:space="preserve">방직용 섬유</t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</si>
  <si>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부문별 월별 증감액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전년 동월 대비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</si>
  <si>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부문별 월별 수출금액 </t>
    </r>
    <r>
      <rPr>
        <b val="true"/>
        <sz val="11"/>
        <color rgb="FF1F3864"/>
        <rFont val="맑은 고딕"/>
        <family val="0"/>
        <charset val="1"/>
      </rPr>
      <t xml:space="preserve">(2026.01~07,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 </t>
    </r>
    <r>
      <rPr>
        <b val="true"/>
        <sz val="11"/>
        <color rgb="FF1F3864"/>
        <rFont val="WenQuanYi Zen Hei"/>
        <family val="2"/>
      </rPr>
      <t xml:space="preserve">및 구성 류</t>
    </r>
  </si>
  <si>
    <t xml:space="preserve">포함 HS류</t>
  </si>
  <si>
    <r>
      <rPr>
        <b val="true"/>
        <sz val="9"/>
        <color rgb="FFFFFFFF"/>
        <rFont val="맑은 고딕"/>
        <family val="0"/>
        <charset val="1"/>
      </rPr>
      <t xml:space="preserve">26</t>
    </r>
    <r>
      <rPr>
        <b val="true"/>
        <sz val="9"/>
        <color rgb="FFFFFFFF"/>
        <rFont val="WenQuanYi Zen Hei"/>
        <family val="2"/>
      </rPr>
      <t xml:space="preserve">년 </t>
    </r>
    <r>
      <rPr>
        <b val="true"/>
        <sz val="9"/>
        <color rgb="FFFFFFFF"/>
        <rFont val="맑은 고딕"/>
        <family val="0"/>
        <charset val="1"/>
      </rPr>
      <t xml:space="preserve">1~7</t>
    </r>
    <r>
      <rPr>
        <b val="true"/>
        <sz val="9"/>
        <color rgb="FFFFFFFF"/>
        <rFont val="WenQuanYi Zen Hei"/>
        <family val="2"/>
      </rPr>
      <t xml:space="preserve">월</t>
    </r>
  </si>
  <si>
    <t xml:space="preserve">84, 85</t>
  </si>
  <si>
    <t xml:space="preserve">25, 26, 27</t>
  </si>
  <si>
    <t xml:space="preserve">28, 29, 30, 31, 32, 33, 34, 35, 36, 37, 38</t>
  </si>
  <si>
    <t xml:space="preserve">86, 87, 88, 89</t>
  </si>
  <si>
    <t xml:space="preserve">72, 73, 74, 75, 76, 78, 79, 80, 81, 82, 83</t>
  </si>
  <si>
    <t xml:space="preserve">39, 40</t>
  </si>
  <si>
    <t xml:space="preserve">90, 91, 92</t>
  </si>
  <si>
    <t xml:space="preserve">01, 02, 03, 04, 05</t>
  </si>
  <si>
    <t xml:space="preserve">16, 17, 18, 19, 20, 21, 22, 23, 24</t>
  </si>
  <si>
    <t xml:space="preserve">41, 42, 43</t>
  </si>
  <si>
    <t xml:space="preserve">94, 95, 96</t>
  </si>
  <si>
    <t xml:space="preserve">64, 65, 66, 67</t>
  </si>
  <si>
    <t xml:space="preserve">47, 48, 49</t>
  </si>
  <si>
    <t xml:space="preserve">44, 45, 46</t>
  </si>
  <si>
    <t xml:space="preserve">68, 69, 70</t>
  </si>
  <si>
    <t xml:space="preserve">06, 07, 08, 09, 10, 11, 12, 13, 14</t>
  </si>
  <si>
    <t xml:space="preserve">50, 51, 52, 53, 54, 55, 56, 57, 58, 59, 60, 61, 62, 63</t>
  </si>
  <si>
    <t xml:space="preserve">합계</t>
  </si>
  <si>
    <r>
      <rPr>
        <b val="true"/>
        <sz val="11"/>
        <color rgb="FF1F3864"/>
        <rFont val="맑은 고딕"/>
        <family val="0"/>
        <charset val="1"/>
      </rPr>
      <t xml:space="preserve">[D] </t>
    </r>
    <r>
      <rPr>
        <b val="true"/>
        <sz val="11"/>
        <color rgb="FF1F3864"/>
        <rFont val="WenQuanYi Zen Hei"/>
        <family val="2"/>
      </rPr>
      <t xml:space="preserve">부문별 연도 비교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참고 — 월별 분해의 합계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</si>
  <si>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수출 24(1~7)</t>
  </si>
  <si>
    <t xml:space="preserve">수출 25(1~7)</t>
  </si>
  <si>
    <t xml:space="preserve">수출 26(1~7)</t>
  </si>
  <si>
    <t xml:space="preserve">기여도</t>
  </si>
  <si>
    <t xml:space="preserve">수입 26</t>
  </si>
  <si>
    <t xml:space="preserve">무역수지 26</t>
  </si>
  <si>
    <t xml:space="preserve">성격 판정</t>
  </si>
  <si>
    <r>
      <rPr>
        <b val="true"/>
        <sz val="14"/>
        <color rgb="FF1F3864"/>
        <rFont val="맑은 고딕"/>
        <family val="0"/>
        <charset val="1"/>
      </rPr>
      <t xml:space="preserve">⑦ HS </t>
    </r>
    <r>
      <rPr>
        <b val="true"/>
        <sz val="14"/>
        <color rgb="FF1F3864"/>
        <rFont val="WenQuanYi Zen Hei"/>
        <family val="2"/>
      </rPr>
      <t xml:space="preserve">류</t>
    </r>
    <r>
      <rPr>
        <b val="true"/>
        <sz val="14"/>
        <color rgb="FF1F3864"/>
        <rFont val="맑은 고딕"/>
        <family val="0"/>
        <charset val="1"/>
      </rPr>
      <t xml:space="preserve">(2</t>
    </r>
    <r>
      <rPr>
        <b val="true"/>
        <sz val="14"/>
        <color rgb="FF1F3864"/>
        <rFont val="WenQuanYi Zen Hei"/>
        <family val="2"/>
      </rPr>
      <t xml:space="preserve">단위</t>
    </r>
    <r>
      <rPr>
        <b val="true"/>
        <sz val="14"/>
        <color rgb="FF1F3864"/>
        <rFont val="맑은 고딕"/>
        <family val="0"/>
        <charset val="1"/>
      </rPr>
      <t xml:space="preserve">)</t>
    </r>
    <r>
      <rPr>
        <b val="true"/>
        <sz val="14"/>
        <color rgb="FF1F3864"/>
        <rFont val="WenQuanYi Zen Hei"/>
        <family val="2"/>
      </rPr>
      <t xml:space="preserve">별 전수 분석 — </t>
    </r>
    <r>
      <rPr>
        <b val="true"/>
        <sz val="14"/>
        <color rgb="FF1F3864"/>
        <rFont val="맑은 고딕"/>
        <family val="0"/>
        <charset val="1"/>
      </rPr>
      <t xml:space="preserve">97</t>
    </r>
    <r>
      <rPr>
        <b val="true"/>
        <sz val="14"/>
        <color rgb="FF1F3864"/>
        <rFont val="WenQuanYi Zen Hei"/>
        <family val="2"/>
      </rPr>
      <t xml:space="preserve">개 류를 월별로 쪼개서 본다</t>
    </r>
  </si>
  <si>
    <t xml:space="preserve">원본에 있는 HS류를 하나도 빼지 않고 담았습니다. 「주요 구성 품목」은 해당 류에 실제로 들어가는 대표 품목이며, 「해석」 열은 월별 패턴까지 반영해 수식으로 자동 판정한 문장입니다.</t>
  </si>
  <si>
    <r>
      <rPr>
        <i val="true"/>
        <sz val="9"/>
        <color rgb="FFC00000"/>
        <rFont val="맑은 고딕"/>
        <family val="0"/>
        <charset val="1"/>
      </rPr>
      <t xml:space="preserve">★ C~I</t>
    </r>
    <r>
      <rPr>
        <i val="true"/>
        <sz val="9"/>
        <color rgb="FFC00000"/>
        <rFont val="WenQuanYi Zen Hei"/>
        <family val="2"/>
      </rPr>
      <t xml:space="preserve">열 </t>
    </r>
    <r>
      <rPr>
        <i val="true"/>
        <sz val="9"/>
        <color rgb="FFC00000"/>
        <rFont val="맑은 고딕"/>
        <family val="0"/>
        <charset val="1"/>
      </rPr>
      <t xml:space="preserve">= 2026</t>
    </r>
    <r>
      <rPr>
        <i val="true"/>
        <sz val="9"/>
        <color rgb="FFC00000"/>
        <rFont val="WenQuanYi Zen Hei"/>
        <family val="2"/>
      </rPr>
      <t xml:space="preserve">년 각 월의 전년동월비</t>
    </r>
    <r>
      <rPr>
        <i val="true"/>
        <sz val="9"/>
        <color rgb="FFC00000"/>
        <rFont val="맑은 고딕"/>
        <family val="0"/>
        <charset val="1"/>
      </rPr>
      <t xml:space="preserve">, J~P</t>
    </r>
    <r>
      <rPr>
        <i val="true"/>
        <sz val="9"/>
        <color rgb="FFC00000"/>
        <rFont val="WenQuanYi Zen Hei"/>
        <family val="2"/>
      </rPr>
      <t xml:space="preserve">열 </t>
    </r>
    <r>
      <rPr>
        <i val="true"/>
        <sz val="9"/>
        <color rgb="FFC00000"/>
        <rFont val="맑은 고딕"/>
        <family val="0"/>
        <charset val="1"/>
      </rPr>
      <t xml:space="preserve">= </t>
    </r>
    <r>
      <rPr>
        <i val="true"/>
        <sz val="9"/>
        <color rgb="FFC00000"/>
        <rFont val="WenQuanYi Zen Hei"/>
        <family val="2"/>
      </rPr>
      <t xml:space="preserve">각 월의 증감액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누계가 아니라 월별로 나눠 놓았으므로 </t>
    </r>
    <r>
      <rPr>
        <i val="true"/>
        <sz val="9"/>
        <color rgb="FFC00000"/>
        <rFont val="맑은 고딕"/>
        <family val="0"/>
        <charset val="1"/>
      </rPr>
      <t xml:space="preserve">"</t>
    </r>
    <r>
      <rPr>
        <i val="true"/>
        <sz val="9"/>
        <color rgb="FFC00000"/>
        <rFont val="WenQuanYi Zen Hei"/>
        <family val="2"/>
      </rPr>
      <t xml:space="preserve">어느 달에 무엇이 달라졌는지</t>
    </r>
    <r>
      <rPr>
        <i val="true"/>
        <sz val="9"/>
        <color rgb="FFC00000"/>
        <rFont val="맑은 고딕"/>
        <family val="0"/>
        <charset val="1"/>
      </rPr>
      <t xml:space="preserve">"</t>
    </r>
    <r>
      <rPr>
        <i val="true"/>
        <sz val="9"/>
        <color rgb="FFC00000"/>
        <rFont val="WenQuanYi Zen Hei"/>
        <family val="2"/>
      </rPr>
      <t xml:space="preserve">를 류 단위로 볼 수 있습니다</t>
    </r>
    <r>
      <rPr>
        <i val="true"/>
        <sz val="9"/>
        <color rgb="FFC00000"/>
        <rFont val="맑은 고딕"/>
        <family val="0"/>
        <charset val="1"/>
      </rPr>
      <t xml:space="preserve">. Q</t>
    </r>
    <r>
      <rPr>
        <i val="true"/>
        <sz val="9"/>
        <color rgb="FFC00000"/>
        <rFont val="WenQuanYi Zen Hei"/>
        <family val="2"/>
      </rPr>
      <t xml:space="preserve">열부터는 참고용 누계입니다</t>
    </r>
    <r>
      <rPr>
        <i val="true"/>
        <sz val="9"/>
        <color rgb="FFC00000"/>
        <rFont val="맑은 고딕"/>
        <family val="0"/>
        <charset val="1"/>
      </rPr>
      <t xml:space="preserve">.</t>
    </r>
  </si>
  <si>
    <t xml:space="preserve">HS</t>
  </si>
  <si>
    <t xml:space="preserve">품목명(원본)</t>
  </si>
  <si>
    <t xml:space="preserve">주요 구성 품목</t>
  </si>
  <si>
    <t xml:space="preserve">2026.01 YoY</t>
  </si>
  <si>
    <t xml:space="preserve">2026.02 YoY</t>
  </si>
  <si>
    <t xml:space="preserve">2026.03 YoY</t>
  </si>
  <si>
    <t xml:space="preserve">2026.04 YoY</t>
  </si>
  <si>
    <t xml:space="preserve">2026.05 YoY</t>
  </si>
  <si>
    <t xml:space="preserve">2026.06 YoY</t>
  </si>
  <si>
    <t xml:space="preserve">2026.07 YoY</t>
  </si>
  <si>
    <t xml:space="preserve">2026.01 Δ</t>
  </si>
  <si>
    <t xml:space="preserve">2026.02 Δ</t>
  </si>
  <si>
    <t xml:space="preserve">2026.03 Δ</t>
  </si>
  <si>
    <t xml:space="preserve">2026.04 Δ</t>
  </si>
  <si>
    <t xml:space="preserve">2026.05 Δ</t>
  </si>
  <si>
    <t xml:space="preserve">2026.06 Δ</t>
  </si>
  <si>
    <t xml:space="preserve">2026.07 Δ</t>
  </si>
  <si>
    <t xml:space="preserve">중량 26</t>
  </si>
  <si>
    <t xml:space="preserve">단가 증감</t>
  </si>
  <si>
    <t xml:space="preserve">성장 유형</t>
  </si>
  <si>
    <t xml:space="preserve">해석</t>
  </si>
  <si>
    <t xml:space="preserve">반도체·집적회로(8541·8542), 디스플레이, 통신기기, 가전, 전선, 이차전지(8507)</t>
  </si>
  <si>
    <t xml:space="preserve">컴퓨터·SSD(8471), 반도체 제조장비(8486), 펌프·엔진·건설기계 등 일반기계</t>
  </si>
  <si>
    <t xml:space="preserve">원유·석유제품·LNG·석탄</t>
  </si>
  <si>
    <t xml:space="preserve">금·은·백금·다이아몬드·주화</t>
  </si>
  <si>
    <t xml:space="preserve">선박·해양구조물</t>
  </si>
  <si>
    <t xml:space="preserve">향료·스킨케어·색조 화장품</t>
  </si>
  <si>
    <t xml:space="preserve">동괴·동판·동관 등 구리제품</t>
  </si>
  <si>
    <t xml:space="preserve">무기산·염기·희토류·방사성원소</t>
  </si>
  <si>
    <r>
      <rPr>
        <sz val="8"/>
        <color rgb="FF000000"/>
        <rFont val="맑은 고딕"/>
        <family val="0"/>
        <charset val="1"/>
      </rPr>
      <t xml:space="preserve">PE·PP·PVC·PET </t>
    </r>
    <r>
      <rPr>
        <sz val="8"/>
        <color rgb="FF000000"/>
        <rFont val="WenQuanYi Zen Hei"/>
        <family val="2"/>
      </rPr>
      <t xml:space="preserve">등 합성수지와 플라스틱 제품</t>
    </r>
  </si>
  <si>
    <t xml:space="preserve">완제 의약품·바이오의약품·백신</t>
  </si>
  <si>
    <t xml:space="preserve">알루미늄괴·판·박</t>
  </si>
  <si>
    <t xml:space="preserve">에틸렌·프로필렌·방향족 등 유기화학품</t>
  </si>
  <si>
    <t xml:space="preserve">반도체 검사장비·의료기기·광학렌즈·계측기</t>
  </si>
  <si>
    <t xml:space="preserve">촉매·살충제·전자재료용 화학품</t>
  </si>
  <si>
    <t xml:space="preserve">활어·냉동어·새우·오징어 등 수산물</t>
  </si>
  <si>
    <t xml:space="preserve">라면·과자·빵·시리얼 등 곡물 조제품</t>
  </si>
  <si>
    <t xml:space="preserve">철도차량과 부품</t>
  </si>
  <si>
    <t xml:space="preserve">절삭공구·수공구·날붙이</t>
  </si>
  <si>
    <t xml:space="preserve">소금·황·시멘트 원료·석회·석고</t>
  </si>
  <si>
    <t xml:space="preserve">천연·합성고무와 타이어</t>
  </si>
  <si>
    <t xml:space="preserve">안료·도료·페인트·잉크</t>
  </si>
  <si>
    <t xml:space="preserve">비누·세제·계면활성제·왁스</t>
  </si>
  <si>
    <t xml:space="preserve">핸드백·지갑·가방 등 가죽제품</t>
  </si>
  <si>
    <t xml:space="preserve">텅스텐·티타늄 등 기타 비금속</t>
  </si>
  <si>
    <t xml:space="preserve">완구·게임용구·운동용구</t>
  </si>
  <si>
    <t xml:space="preserve">시멘트제품·연마재 등 석제품</t>
  </si>
  <si>
    <t xml:space="preserve">요소·복합비료</t>
  </si>
  <si>
    <t xml:space="preserve">무기·탄약(방산)</t>
  </si>
  <si>
    <t xml:space="preserve">인쇄용지·포장용 판지·위생용지</t>
  </si>
  <si>
    <t xml:space="preserve">티셔츠·스웨터 등 편물제 의류</t>
  </si>
  <si>
    <t xml:space="preserve">철광·동광 등 광석과 슬래그</t>
  </si>
  <si>
    <t xml:space="preserve">정장·셔츠·아우터 등 직물제 의류</t>
  </si>
  <si>
    <t xml:space="preserve">채소·과실 통조림·주스·김치</t>
  </si>
  <si>
    <t xml:space="preserve">신발류</t>
  </si>
  <si>
    <t xml:space="preserve">화약·불꽃제품</t>
  </si>
  <si>
    <t xml:space="preserve">위생도기·내화물·세라믹 부품</t>
  </si>
  <si>
    <t xml:space="preserve">바나나·오렌지 등 과실과 견과류</t>
  </si>
  <si>
    <t xml:space="preserve">카세인·젤라틴·효소·접착제</t>
  </si>
  <si>
    <t xml:space="preserve">모자류</t>
  </si>
  <si>
    <t xml:space="preserve">박류·배합사료</t>
  </si>
  <si>
    <t xml:space="preserve">참치캔·소시지·어묵 등 육·어류 조제품</t>
  </si>
  <si>
    <t xml:space="preserve">생수·맥주·소주·위스키 등 음료·주류</t>
  </si>
  <si>
    <t xml:space="preserve">목재펄프·재생펄프</t>
  </si>
  <si>
    <t xml:space="preserve">커피조제품·소스·인스턴트식품</t>
  </si>
  <si>
    <t xml:space="preserve">원목·제재목·합판</t>
  </si>
  <si>
    <t xml:space="preserve">원모·깃털·뼈 등 동물성 부산물</t>
  </si>
  <si>
    <t xml:space="preserve">필기구·라이터·위생용품</t>
  </si>
  <si>
    <t xml:space="preserve">코팅원단·산업용 도포 직물</t>
  </si>
  <si>
    <t xml:space="preserve">생사·견직물</t>
  </si>
  <si>
    <t xml:space="preserve">커피 원두·차·후추 등 향신료</t>
  </si>
  <si>
    <t xml:space="preserve">쇠고기·돼지고기·닭고기와 식용 설육</t>
  </si>
  <si>
    <t xml:space="preserve">소·돼지·가금 등 생축, 관상어</t>
  </si>
  <si>
    <t xml:space="preserve">우산·지팡이</t>
  </si>
  <si>
    <t xml:space="preserve">신선·냉장 채소, 감자·양파·마늘</t>
  </si>
  <si>
    <t xml:space="preserve">등나무·왕골 등 식물성 편조재료</t>
  </si>
  <si>
    <t xml:space="preserve">별도 분류되지 않은 특수품목</t>
  </si>
  <si>
    <t xml:space="preserve">코르크와 그 제품</t>
  </si>
  <si>
    <t xml:space="preserve">조제 깃털·조화</t>
  </si>
  <si>
    <t xml:space="preserve">양모사·모직물</t>
  </si>
  <si>
    <t xml:space="preserve">짚·조물 재료 제품</t>
  </si>
  <si>
    <t xml:space="preserve">화훼·구근·묘목·절화</t>
  </si>
  <si>
    <t xml:space="preserve">밀가루·전분·맥아</t>
  </si>
  <si>
    <t xml:space="preserve">원면·면사·면직물</t>
  </si>
  <si>
    <t xml:space="preserve">마·마직물 등 기타 식물성 섬유</t>
  </si>
  <si>
    <t xml:space="preserve">파일직물·레이스 등 특수직물</t>
  </si>
  <si>
    <t xml:space="preserve">모피와 모피제품</t>
  </si>
  <si>
    <t xml:space="preserve">우유·치즈·분유·달걀·천연꿀</t>
  </si>
  <si>
    <t xml:space="preserve">천연수지·펙틴 등 식물성 액즙</t>
  </si>
  <si>
    <t xml:space="preserve">원피와 무두질 가죽</t>
  </si>
  <si>
    <t xml:space="preserve">악기</t>
  </si>
  <si>
    <t xml:space="preserve">사진용 필름·인화지</t>
  </si>
  <si>
    <t xml:space="preserve">양탄자·바닥깔개</t>
  </si>
  <si>
    <t xml:space="preserve">인조 단섬유·혼방사</t>
  </si>
  <si>
    <t xml:space="preserve">밀·옥수수·쌀·보리 등 곡물</t>
  </si>
  <si>
    <t xml:space="preserve">부직포·로프·워딩</t>
  </si>
  <si>
    <t xml:space="preserve">코코아분·초콜릿</t>
  </si>
  <si>
    <t xml:space="preserve">원당·정제당·설탕과자</t>
  </si>
  <si>
    <t xml:space="preserve">서적·신문 등 인쇄물</t>
  </si>
  <si>
    <t xml:space="preserve">열연·냉연·후판 등 철강</t>
  </si>
  <si>
    <t xml:space="preserve">자물쇠·경첩 등 각종 비금속제품</t>
  </si>
  <si>
    <t xml:space="preserve">궐련·전자담배용 제품</t>
  </si>
  <si>
    <t xml:space="preserve">팜유·대두유·마가린 등 동식물성 유지</t>
  </si>
  <si>
    <t xml:space="preserve">가구·매트리스·조명기구·조립식 건축물</t>
  </si>
  <si>
    <t xml:space="preserve">침구·커튼·중고의류 등 기타 섬유제품</t>
  </si>
  <si>
    <t xml:space="preserve">예술품·수집품·골동품</t>
  </si>
  <si>
    <t xml:space="preserve">폴리에스터·나일론 필라멘트사와 직물</t>
  </si>
  <si>
    <t xml:space="preserve">대두·유채씨·인삼 등 채유용 종자</t>
  </si>
  <si>
    <t xml:space="preserve">항공기와 부품</t>
  </si>
  <si>
    <t xml:space="preserve">니트 원단(편물)</t>
  </si>
  <si>
    <t xml:space="preserve">시계와 부품</t>
  </si>
  <si>
    <t xml:space="preserve">판유리·유리섬유·디스플레이용 유리</t>
  </si>
  <si>
    <t xml:space="preserve">강관·구조물·볼트 등 철강제품</t>
  </si>
  <si>
    <t xml:space="preserve">승용차·화물차·자동차부품·이륜차</t>
  </si>
  <si>
    <t xml:space="preserve">합계(HS 전체)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</si>
  <si>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요약 </t>
    </r>
    <r>
      <rPr>
        <b val="true"/>
        <sz val="11"/>
        <color rgb="FF1F3864"/>
        <rFont val="맑은 고딕"/>
        <family val="0"/>
        <charset val="1"/>
      </rPr>
      <t xml:space="preserve">1] </t>
    </r>
    <r>
      <rPr>
        <b val="true"/>
        <sz val="11"/>
        <color rgb="FF1F3864"/>
        <rFont val="WenQuanYi Zen Hei"/>
        <family val="2"/>
      </rPr>
      <t xml:space="preserve">성장 유형별 집계</t>
    </r>
  </si>
  <si>
    <t xml:space="preserve">유형</t>
  </si>
  <si>
    <t xml:space="preserve">류 수</t>
  </si>
  <si>
    <r>
      <rPr>
        <b val="true"/>
        <sz val="9"/>
        <color rgb="FFFFFFFF"/>
        <rFont val="맑은 고딕"/>
        <family val="0"/>
        <charset val="1"/>
      </rPr>
      <t xml:space="preserve">2026 </t>
    </r>
    <r>
      <rPr>
        <b val="true"/>
        <sz val="9"/>
        <color rgb="FFFFFFFF"/>
        <rFont val="WenQuanYi Zen Hei"/>
        <family val="2"/>
      </rPr>
      <t xml:space="preserve">수출 합</t>
    </r>
  </si>
  <si>
    <r>
      <rPr>
        <b val="true"/>
        <sz val="9"/>
        <color rgb="FFFFFFFF"/>
        <rFont val="맑은 고딕"/>
        <family val="0"/>
        <charset val="1"/>
      </rPr>
      <t xml:space="preserve">Δ</t>
    </r>
    <r>
      <rPr>
        <b val="true"/>
        <sz val="9"/>
        <color rgb="FFFFFFFF"/>
        <rFont val="WenQuanYi Zen Hei"/>
        <family val="2"/>
      </rPr>
      <t xml:space="preserve">금액 합</t>
    </r>
  </si>
  <si>
    <t xml:space="preserve">전체 증가분 대비</t>
  </si>
  <si>
    <t xml:space="preserve">가격 주도</t>
  </si>
  <si>
    <t xml:space="preserve">물량 주도</t>
  </si>
  <si>
    <t xml:space="preserve">혼합</t>
  </si>
  <si>
    <t xml:space="preserve">감소</t>
  </si>
  <si>
    <t xml:space="preserve">단가 불안정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</si>
  <si>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요약 </t>
    </r>
    <r>
      <rPr>
        <b val="true"/>
        <sz val="11"/>
        <color rgb="FF1F3864"/>
        <rFont val="맑은 고딕"/>
        <family val="0"/>
        <charset val="1"/>
      </rPr>
      <t xml:space="preserve">2] </t>
    </r>
    <r>
      <rPr>
        <b val="true"/>
        <sz val="11"/>
        <color rgb="FF1F3864"/>
        <rFont val="WenQuanYi Zen Hei"/>
        <family val="2"/>
      </rPr>
      <t xml:space="preserve">월별 증감 품목 수 — 그 달에 몇 개 류가 늘고 줄었나</t>
    </r>
  </si>
  <si>
    <t xml:space="preserve">증가한 류 수</t>
  </si>
  <si>
    <t xml:space="preserve">감소한 류 수</t>
  </si>
  <si>
    <t xml:space="preserve">증가 류 비율</t>
  </si>
  <si>
    <t xml:space="preserve">증가액이 총변동액에서 차지하는 비중</t>
  </si>
  <si>
    <t xml:space="preserve">증가 류 비율(개수 기준)과 증가액 비중(금액 기준)을 함께 보십시오. 개수는 낮은데 금액 비중이 높으면 "큰 품목만 늘었다"는 뜻입니다. 증가액 비중 = 늘어난 류들의 증가액 합 ÷ (증가액 합 + 감소액 절대합).</t>
  </si>
  <si>
    <t xml:space="preserve">⑧ 성질별·신성질별 — 월별로 쪼개서 본다</t>
  </si>
  <si>
    <t xml:space="preserve">이번 자료는 성질별이 수출·수입 두 파일로 나뉘어 있어 양방향 분석이 가능합니다. 수출과 수입의 분류 체계가 서로 다르므로(수출 : 식료/원료/경공업/중화학, 수입 : 소비재/원자재/자본재) 항목을 1:1로 대응시키지 마십시오.</t>
  </si>
  <si>
    <r>
      <rPr>
        <i val="true"/>
        <sz val="9"/>
        <color rgb="FFC00000"/>
        <rFont val="맑은 고딕"/>
        <family val="0"/>
        <charset val="1"/>
      </rPr>
      <t xml:space="preserve">★ C~I</t>
    </r>
    <r>
      <rPr>
        <i val="true"/>
        <sz val="9"/>
        <color rgb="FFC00000"/>
        <rFont val="WenQuanYi Zen Hei"/>
        <family val="2"/>
      </rPr>
      <t xml:space="preserve">열이 </t>
    </r>
    <r>
      <rPr>
        <i val="true"/>
        <sz val="9"/>
        <color rgb="FFC00000"/>
        <rFont val="맑은 고딕"/>
        <family val="0"/>
        <charset val="1"/>
      </rPr>
      <t xml:space="preserve">2026</t>
    </r>
    <r>
      <rPr>
        <i val="true"/>
        <sz val="9"/>
        <color rgb="FFC00000"/>
        <rFont val="WenQuanYi Zen Hei"/>
        <family val="2"/>
      </rPr>
      <t xml:space="preserve">년 각 월의 전년동월비입니다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WenQuanYi Zen Hei"/>
        <family val="2"/>
      </rPr>
      <t xml:space="preserve">누계가 아니라 월별로 나눠 계산했습니다</t>
    </r>
    <r>
      <rPr>
        <i val="true"/>
        <sz val="9"/>
        <color rgb="FFC00000"/>
        <rFont val="맑은 고딕"/>
        <family val="0"/>
        <charset val="1"/>
      </rPr>
      <t xml:space="preserve">. J</t>
    </r>
    <r>
      <rPr>
        <i val="true"/>
        <sz val="9"/>
        <color rgb="FFC00000"/>
        <rFont val="WenQuanYi Zen Hei"/>
        <family val="2"/>
      </rPr>
      <t xml:space="preserve">열부터는 참고용 누계입니다</t>
    </r>
    <r>
      <rPr>
        <i val="true"/>
        <sz val="9"/>
        <color rgb="FFC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</si>
  <si>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성질별 — 수출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월별 전년동월비 </t>
    </r>
    <r>
      <rPr>
        <b val="true"/>
        <sz val="11"/>
        <color rgb="FF1F3864"/>
        <rFont val="맑은 고딕"/>
        <family val="0"/>
        <charset val="1"/>
      </rPr>
      <t xml:space="preserve">+ </t>
    </r>
    <r>
      <rPr>
        <b val="true"/>
        <sz val="11"/>
        <color rgb="FF1F3864"/>
        <rFont val="WenQuanYi Zen Hei"/>
        <family val="2"/>
      </rPr>
      <t xml:space="preserve">누계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</si>
  <si>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단가 25</t>
  </si>
  <si>
    <t xml:space="preserve">단가 26</t>
  </si>
  <si>
    <t xml:space="preserve">대분류</t>
  </si>
  <si>
    <r>
      <rPr>
        <b val="true"/>
        <sz val="10"/>
        <color rgb="FF000000"/>
        <rFont val="맑은 고딕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식료 및 직접소비재</t>
    </r>
  </si>
  <si>
    <r>
      <rPr>
        <b val="true"/>
        <sz val="10"/>
        <color rgb="FF000000"/>
        <rFont val="맑은 고딕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원료 및 연료</t>
    </r>
  </si>
  <si>
    <r>
      <rPr>
        <b val="true"/>
        <sz val="10"/>
        <color rgb="FF000000"/>
        <rFont val="맑은 고딕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경공업품</t>
    </r>
  </si>
  <si>
    <t xml:space="preserve">중분류</t>
  </si>
  <si>
    <r>
      <rPr>
        <b val="true"/>
        <sz val="10"/>
        <color rgb="FF000000"/>
        <rFont val="맑은 고딕"/>
        <family val="0"/>
        <charset val="1"/>
      </rPr>
      <t xml:space="preserve">4. </t>
    </r>
    <r>
      <rPr>
        <b val="true"/>
        <sz val="10"/>
        <color rgb="FF000000"/>
        <rFont val="WenQuanYi Zen Hei"/>
        <family val="2"/>
      </rPr>
      <t xml:space="preserve">중화학 공업품</t>
    </r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</si>
  <si>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성질별 — 수입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월별 전년동월비 </t>
    </r>
    <r>
      <rPr>
        <b val="true"/>
        <sz val="11"/>
        <color rgb="FF1F3864"/>
        <rFont val="맑은 고딕"/>
        <family val="0"/>
        <charset val="1"/>
      </rPr>
      <t xml:space="preserve">+ </t>
    </r>
    <r>
      <rPr>
        <b val="true"/>
        <sz val="11"/>
        <color rgb="FF1F3864"/>
        <rFont val="WenQuanYi Zen Hei"/>
        <family val="2"/>
      </rPr>
      <t xml:space="preserve">누계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</si>
  <si>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수입 24(1~7)</t>
  </si>
  <si>
    <t xml:space="preserve">수입 25(1~7)</t>
  </si>
  <si>
    <t xml:space="preserve">수입 26(1~7)</t>
  </si>
  <si>
    <r>
      <rPr>
        <b val="true"/>
        <sz val="10"/>
        <color rgb="FF000000"/>
        <rFont val="맑은 고딕"/>
        <family val="0"/>
        <charset val="1"/>
      </rPr>
      <t xml:space="preserve">1. </t>
    </r>
    <r>
      <rPr>
        <b val="true"/>
        <sz val="10"/>
        <color rgb="FF000000"/>
        <rFont val="WenQuanYi Zen Hei"/>
        <family val="2"/>
      </rPr>
      <t xml:space="preserve">소비재</t>
    </r>
  </si>
  <si>
    <r>
      <rPr>
        <b val="true"/>
        <sz val="10"/>
        <color rgb="FF000000"/>
        <rFont val="맑은 고딕"/>
        <family val="0"/>
        <charset val="1"/>
      </rPr>
      <t xml:space="preserve">2. </t>
    </r>
    <r>
      <rPr>
        <b val="true"/>
        <sz val="10"/>
        <color rgb="FF000000"/>
        <rFont val="WenQuanYi Zen Hei"/>
        <family val="2"/>
      </rPr>
      <t xml:space="preserve">원자재</t>
    </r>
  </si>
  <si>
    <r>
      <rPr>
        <b val="true"/>
        <sz val="10"/>
        <color rgb="FF000000"/>
        <rFont val="맑은 고딕"/>
        <family val="0"/>
        <charset val="1"/>
      </rPr>
      <t xml:space="preserve">3. </t>
    </r>
    <r>
      <rPr>
        <b val="true"/>
        <sz val="10"/>
        <color rgb="FF000000"/>
        <rFont val="WenQuanYi Zen Hei"/>
        <family val="2"/>
      </rPr>
      <t xml:space="preserve">자본재</t>
    </r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</si>
  <si>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신성질별 — 수출 월별 </t>
    </r>
    <r>
      <rPr>
        <b val="true"/>
        <sz val="11"/>
        <color rgb="FF1F3864"/>
        <rFont val="맑은 고딕"/>
        <family val="0"/>
        <charset val="1"/>
      </rPr>
      <t xml:space="preserve">YoY · </t>
    </r>
    <r>
      <rPr>
        <b val="true"/>
        <sz val="11"/>
        <color rgb="FF1F3864"/>
        <rFont val="WenQuanYi Zen Hei"/>
        <family val="2"/>
      </rPr>
      <t xml:space="preserve">수입 월별 </t>
    </r>
    <r>
      <rPr>
        <b val="true"/>
        <sz val="11"/>
        <color rgb="FF1F3864"/>
        <rFont val="맑은 고딕"/>
        <family val="0"/>
        <charset val="1"/>
      </rPr>
      <t xml:space="preserve">YoY · </t>
    </r>
    <r>
      <rPr>
        <b val="true"/>
        <sz val="11"/>
        <color rgb="FF1F3864"/>
        <rFont val="WenQuanYi Zen Hei"/>
        <family val="2"/>
      </rPr>
      <t xml:space="preserve">무역수지</t>
    </r>
  </si>
  <si>
    <r>
      <rPr>
        <b val="true"/>
        <sz val="9"/>
        <color rgb="FFFFFFFF"/>
        <rFont val="맑은 고딕"/>
        <family val="0"/>
        <charset val="1"/>
      </rPr>
      <t xml:space="preserve">2026.01 </t>
    </r>
    <r>
      <rPr>
        <b val="true"/>
        <sz val="9"/>
        <color rgb="FFFFFFFF"/>
        <rFont val="WenQuanYi Zen Hei"/>
        <family val="2"/>
      </rPr>
      <t xml:space="preserve">수출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</si>
  <si>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2026.02 </t>
    </r>
    <r>
      <rPr>
        <b val="true"/>
        <sz val="9"/>
        <color rgb="FFFFFFFF"/>
        <rFont val="WenQuanYi Zen Hei"/>
        <family val="2"/>
      </rPr>
      <t xml:space="preserve">수출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</si>
  <si>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2026.03 </t>
    </r>
    <r>
      <rPr>
        <b val="true"/>
        <sz val="9"/>
        <color rgb="FFFFFFFF"/>
        <rFont val="WenQuanYi Zen Hei"/>
        <family val="2"/>
      </rPr>
      <t xml:space="preserve">수출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</si>
  <si>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2026.04 </t>
    </r>
    <r>
      <rPr>
        <b val="true"/>
        <sz val="9"/>
        <color rgb="FFFFFFFF"/>
        <rFont val="WenQuanYi Zen Hei"/>
        <family val="2"/>
      </rPr>
      <t xml:space="preserve">수출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</si>
  <si>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2026.05 </t>
    </r>
    <r>
      <rPr>
        <b val="true"/>
        <sz val="9"/>
        <color rgb="FFFFFFFF"/>
        <rFont val="WenQuanYi Zen Hei"/>
        <family val="2"/>
      </rPr>
      <t xml:space="preserve">수출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</si>
  <si>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2026.06 </t>
    </r>
    <r>
      <rPr>
        <b val="true"/>
        <sz val="9"/>
        <color rgb="FFFFFFFF"/>
        <rFont val="WenQuanYi Zen Hei"/>
        <family val="2"/>
      </rPr>
      <t xml:space="preserve">수출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</si>
  <si>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2026.07 </t>
    </r>
    <r>
      <rPr>
        <b val="true"/>
        <sz val="9"/>
        <color rgb="FFFFFFFF"/>
        <rFont val="WenQuanYi Zen Hei"/>
        <family val="2"/>
      </rPr>
      <t xml:space="preserve">수출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</si>
  <si>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t xml:space="preserve">수지 25</t>
  </si>
  <si>
    <t xml:space="preserve">수지 26</t>
  </si>
  <si>
    <t xml:space="preserve">수지 증감</t>
  </si>
  <si>
    <r>
      <rPr>
        <b val="true"/>
        <sz val="9"/>
        <color rgb="FFFFFFFF"/>
        <rFont val="맑은 고딕"/>
        <family val="0"/>
        <charset val="1"/>
      </rPr>
      <t xml:space="preserve">2026.01 </t>
    </r>
    <r>
      <rPr>
        <b val="true"/>
        <sz val="9"/>
        <color rgb="FFFFFFFF"/>
        <rFont val="WenQuanYi Zen Hei"/>
        <family val="2"/>
      </rPr>
      <t xml:space="preserve">수입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</si>
  <si>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2026.02 </t>
    </r>
    <r>
      <rPr>
        <b val="true"/>
        <sz val="9"/>
        <color rgb="FFFFFFFF"/>
        <rFont val="WenQuanYi Zen Hei"/>
        <family val="2"/>
      </rPr>
      <t xml:space="preserve">수입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</si>
  <si>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2026.03 </t>
    </r>
    <r>
      <rPr>
        <b val="true"/>
        <sz val="9"/>
        <color rgb="FFFFFFFF"/>
        <rFont val="WenQuanYi Zen Hei"/>
        <family val="2"/>
      </rPr>
      <t xml:space="preserve">수입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</si>
  <si>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2026.04 </t>
    </r>
    <r>
      <rPr>
        <b val="true"/>
        <sz val="9"/>
        <color rgb="FFFFFFFF"/>
        <rFont val="WenQuanYi Zen Hei"/>
        <family val="2"/>
      </rPr>
      <t xml:space="preserve">수입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</si>
  <si>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2026.05 </t>
    </r>
    <r>
      <rPr>
        <b val="true"/>
        <sz val="9"/>
        <color rgb="FFFFFFFF"/>
        <rFont val="WenQuanYi Zen Hei"/>
        <family val="2"/>
      </rPr>
      <t xml:space="preserve">수입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</si>
  <si>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2026.06 </t>
    </r>
    <r>
      <rPr>
        <b val="true"/>
        <sz val="9"/>
        <color rgb="FFFFFFFF"/>
        <rFont val="WenQuanYi Zen Hei"/>
        <family val="2"/>
      </rPr>
      <t xml:space="preserve">수입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</si>
  <si>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9"/>
        <color rgb="FFFFFFFF"/>
        <rFont val="맑은 고딕"/>
        <family val="0"/>
        <charset val="1"/>
      </rPr>
      <t xml:space="preserve">2026.07 </t>
    </r>
    <r>
      <rPr>
        <b val="true"/>
        <sz val="9"/>
        <color rgb="FFFFFFFF"/>
        <rFont val="WenQuanYi Zen Hei"/>
        <family val="2"/>
      </rPr>
      <t xml:space="preserve">수입</t>
    </r>
    <r>
      <rPr>
        <b val="true"/>
        <sz val="9"/>
        <color rgb="FFFFFFFF"/>
        <rFont val="맑은 고딕"/>
        <family val="0"/>
        <charset val="1"/>
      </rPr>
      <t xml:space="preserve">YoY</t>
    </r>
  </si>
  <si>
    <r>
      <rPr>
        <b val="true"/>
        <sz val="10"/>
        <color rgb="FF000000"/>
        <rFont val="맑은 고딕"/>
        <family val="0"/>
        <charset val="1"/>
      </rPr>
      <t xml:space="preserve">1.</t>
    </r>
    <r>
      <rPr>
        <b val="true"/>
        <sz val="10"/>
        <color rgb="FF000000"/>
        <rFont val="WenQuanYi Zen Hei"/>
        <family val="2"/>
      </rPr>
      <t xml:space="preserve">소비재</t>
    </r>
  </si>
  <si>
    <r>
      <rPr>
        <b val="true"/>
        <sz val="10"/>
        <color rgb="FF000000"/>
        <rFont val="맑은 고딕"/>
        <family val="0"/>
        <charset val="1"/>
      </rPr>
      <t xml:space="preserve">2.</t>
    </r>
    <r>
      <rPr>
        <b val="true"/>
        <sz val="10"/>
        <color rgb="FF000000"/>
        <rFont val="WenQuanYi Zen Hei"/>
        <family val="2"/>
      </rPr>
      <t xml:space="preserve">원자재</t>
    </r>
  </si>
  <si>
    <r>
      <rPr>
        <b val="true"/>
        <sz val="10"/>
        <color rgb="FF000000"/>
        <rFont val="맑은 고딕"/>
        <family val="0"/>
        <charset val="1"/>
      </rPr>
      <t xml:space="preserve">3.</t>
    </r>
    <r>
      <rPr>
        <b val="true"/>
        <sz val="10"/>
        <color rgb="FF000000"/>
        <rFont val="WenQuanYi Zen Hei"/>
        <family val="2"/>
      </rPr>
      <t xml:space="preserve">자본재</t>
    </r>
  </si>
  <si>
    <t xml:space="preserve">⑨ 물량·가격 분해 — 매달 따로 계산한다</t>
  </si>
  <si>
    <t xml:space="preserve">금액 증감 = 물량효과 (Q₁−Q₀)×P₀ + 가격효과 (P₁−P₀)×Q₀ + 교차효과. 세 값의 합은 실제 증감액과 일치합니다(검증 열).</t>
  </si>
  <si>
    <t xml:space="preserve">★ 아래 [A]는 2025.01~2026.07 각 달을 전년 동월과 비교해 따로 분해한 것입니다. 누계 분해는 [B]에 참고로 두었습니다.</t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</si>
  <si>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월별 </t>
    </r>
    <r>
      <rPr>
        <b val="true"/>
        <sz val="11"/>
        <color rgb="FF1F3864"/>
        <rFont val="맑은 고딕"/>
        <family val="0"/>
        <charset val="1"/>
      </rPr>
      <t xml:space="preserve">3</t>
    </r>
    <r>
      <rPr>
        <b val="true"/>
        <sz val="11"/>
        <color rgb="FF1F3864"/>
        <rFont val="WenQuanYi Zen Hei"/>
        <family val="2"/>
      </rPr>
      <t xml:space="preserve">효과 분해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전년 동월 대비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</si>
  <si>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금액 증감</t>
  </si>
  <si>
    <t xml:space="preserve">물량효과</t>
  </si>
  <si>
    <t xml:space="preserve">가격효과</t>
  </si>
  <si>
    <t xml:space="preserve">교차효과</t>
  </si>
  <si>
    <t xml:space="preserve">물량 기여</t>
  </si>
  <si>
    <t xml:space="preserve">가격 기여</t>
  </si>
  <si>
    <t xml:space="preserve">물량 증감률</t>
  </si>
  <si>
    <t xml:space="preserve">단가 증감률</t>
  </si>
  <si>
    <t xml:space="preserve">검증</t>
  </si>
  <si>
    <r>
      <rPr>
        <b val="true"/>
        <sz val="10"/>
        <color rgb="FF000000"/>
        <rFont val="맑은 고딕"/>
        <family val="0"/>
        <charset val="1"/>
      </rPr>
      <t xml:space="preserve">2026.01~07 </t>
    </r>
    <r>
      <rPr>
        <b val="true"/>
        <sz val="10"/>
        <color rgb="FF000000"/>
        <rFont val="WenQuanYi Zen Hei"/>
        <family val="2"/>
      </rPr>
      <t xml:space="preserve">합</t>
    </r>
  </si>
  <si>
    <r>
      <rPr>
        <b val="true"/>
        <sz val="10"/>
        <color rgb="FF000000"/>
        <rFont val="맑은 고딕"/>
        <family val="0"/>
        <charset val="1"/>
      </rPr>
      <t xml:space="preserve">2025.01~07 </t>
    </r>
    <r>
      <rPr>
        <b val="true"/>
        <sz val="10"/>
        <color rgb="FF000000"/>
        <rFont val="WenQuanYi Zen Hei"/>
        <family val="2"/>
      </rPr>
      <t xml:space="preserve">합</t>
    </r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</si>
  <si>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참고 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누계 구간 분해 </t>
    </r>
    <r>
      <rPr>
        <b val="true"/>
        <sz val="11"/>
        <color rgb="FF1F3864"/>
        <rFont val="맑은 고딕"/>
        <family val="0"/>
        <charset val="1"/>
      </rPr>
      <t xml:space="preserve">(1~7</t>
    </r>
    <r>
      <rPr>
        <b val="true"/>
        <sz val="11"/>
        <color rgb="FF1F3864"/>
        <rFont val="WenQuanYi Zen Hei"/>
        <family val="2"/>
      </rPr>
      <t xml:space="preserve">월 동기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</si>
  <si>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구간</t>
  </si>
  <si>
    <t xml:space="preserve">2024 → 2025</t>
  </si>
  <si>
    <t xml:space="preserve">2025 → 2026</t>
  </si>
  <si>
    <r>
      <rPr>
        <b val="true"/>
        <sz val="11"/>
        <color rgb="FF1F3864"/>
        <rFont val="맑은 고딕"/>
        <family val="0"/>
        <charset val="1"/>
      </rPr>
      <t xml:space="preserve">[C] </t>
    </r>
    <r>
      <rPr>
        <b val="true"/>
        <sz val="11"/>
        <color rgb="FF1F3864"/>
        <rFont val="WenQuanYi Zen Hei"/>
        <family val="2"/>
      </rPr>
      <t xml:space="preserve">신성질별 중분류 분해 </t>
    </r>
    <r>
      <rPr>
        <b val="true"/>
        <sz val="11"/>
        <color rgb="FF1F3864"/>
        <rFont val="맑은 고딕"/>
        <family val="0"/>
        <charset val="1"/>
      </rPr>
      <t xml:space="preserve">(2025→2026, 1~7</t>
    </r>
    <r>
      <rPr>
        <b val="true"/>
        <sz val="11"/>
        <color rgb="FF1F3864"/>
        <rFont val="WenQuanYi Zen Hei"/>
        <family val="2"/>
      </rPr>
      <t xml:space="preserve">월 누계 기준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</si>
  <si>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품목</t>
  </si>
  <si>
    <t xml:space="preserve">중량 2025</t>
  </si>
  <si>
    <t xml:space="preserve">금액 2025</t>
  </si>
  <si>
    <t xml:space="preserve">중량 2026</t>
  </si>
  <si>
    <t xml:space="preserve">금액 2026</t>
  </si>
  <si>
    <r>
      <rPr>
        <b val="true"/>
        <sz val="9"/>
        <color rgb="FFFFFFFF"/>
        <rFont val="맑은 고딕"/>
        <family val="0"/>
        <charset val="1"/>
      </rPr>
      <t xml:space="preserve">Δ</t>
    </r>
    <r>
      <rPr>
        <b val="true"/>
        <sz val="9"/>
        <color rgb="FFFFFFFF"/>
        <rFont val="WenQuanYi Zen Hei"/>
        <family val="2"/>
      </rPr>
      <t xml:space="preserve">금액</t>
    </r>
  </si>
  <si>
    <r>
      <rPr>
        <b val="true"/>
        <sz val="11"/>
        <color rgb="FF1F3864"/>
        <rFont val="맑은 고딕"/>
        <family val="0"/>
        <charset val="1"/>
      </rPr>
      <t xml:space="preserve">[D] </t>
    </r>
    <r>
      <rPr>
        <b val="true"/>
        <sz val="11"/>
        <color rgb="FF1F3864"/>
        <rFont val="WenQuanYi Zen Hei"/>
        <family val="2"/>
      </rPr>
      <t xml:space="preserve">지수 분해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라스파이레스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파셰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피셔</t>
    </r>
    <r>
      <rPr>
        <b val="true"/>
        <sz val="11"/>
        <color rgb="FF1F3864"/>
        <rFont val="맑은 고딕"/>
        <family val="0"/>
        <charset val="1"/>
      </rPr>
      <t xml:space="preserve">, 2025→2026 </t>
    </r>
    <r>
      <rPr>
        <b val="true"/>
        <sz val="11"/>
        <color rgb="FF1F3864"/>
        <rFont val="WenQuanYi Zen Hei"/>
        <family val="2"/>
      </rPr>
      <t xml:space="preserve">누계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</si>
  <si>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지수</t>
  </si>
  <si>
    <t xml:space="preserve">값</t>
  </si>
  <si>
    <t xml:space="preserve">증감률</t>
  </si>
  <si>
    <t xml:space="preserve">의미</t>
  </si>
  <si>
    <t xml:space="preserve">라스파이레스 물량지수</t>
  </si>
  <si>
    <t xml:space="preserve">기준연도 가격 고정, 물량만 변화</t>
  </si>
  <si>
    <t xml:space="preserve">파셰 물량지수</t>
  </si>
  <si>
    <t xml:space="preserve">비교연도 가격 고정, 물량만 변화</t>
  </si>
  <si>
    <t xml:space="preserve">피셔 물량지수</t>
  </si>
  <si>
    <t xml:space="preserve">두 지수의 기하평균 (권장)</t>
  </si>
  <si>
    <t xml:space="preserve">라스파이레스 가격지수</t>
  </si>
  <si>
    <t xml:space="preserve">기준연도 물량 고정, 가격만 변화</t>
  </si>
  <si>
    <t xml:space="preserve">파셰 가격지수</t>
  </si>
  <si>
    <t xml:space="preserve">비교연도 물량 고정, 가격만 변화</t>
  </si>
  <si>
    <t xml:space="preserve">피셔 가격지수</t>
  </si>
  <si>
    <t xml:space="preserve">금액지수</t>
  </si>
  <si>
    <t xml:space="preserve">피셔 물량 × 피셔 가격과 일치해야 함</t>
  </si>
  <si>
    <t xml:space="preserve">구성(믹스)효과</t>
  </si>
  <si>
    <t xml:space="preserve">단순 단가 상승분 중 품목 구성 변화가 만든 몫</t>
  </si>
  <si>
    <t xml:space="preserve">⑩ 연도 오버레이 그래프 — 1~12월을 한 축에 놓고 2024·2025·2026을 겹쳐 비교</t>
  </si>
  <si>
    <t xml:space="preserve">회색 = 2024년, 파랑 = 2025년, 초록 = 2026년. 2026년은 7월에서 선이 끊깁니다. 같은 달끼리 비교하므로 계절성이 통제되며, 세 선의 간격이 곧 그 달의 전년 대비 증감입니다.</t>
  </si>
  <si>
    <t xml:space="preserve">원본 데이터는 「분석4_연도별계절비교」의 각 블록입니다.</t>
  </si>
  <si>
    <t xml:space="preserve">⑪ 구조 분석 그래프 — 월별 분해 · 반도체 · 부문 · 분기</t>
  </si>
  <si>
    <t xml:space="preserve">보조표는 분석3·5·6·7·9·13을 참조하는 수식입니다.</t>
  </si>
  <si>
    <t xml:space="preserve">보조표 A. HS 부문별 1~7월 수출 증감액 (2026 vs 2025, 천달러)</t>
  </si>
  <si>
    <t xml:space="preserve">부문</t>
  </si>
  <si>
    <t xml:space="preserve">증감액</t>
  </si>
  <si>
    <t xml:space="preserve">보조표 B. 성장 유형별 Δ금액 (HS 97류, 천달러)</t>
  </si>
  <si>
    <t xml:space="preserve">보조표 C. HS 류별 1~7월 수출 증감액 상위 15 / 하위 10 (천달러)</t>
  </si>
  <si>
    <r>
      <rPr>
        <b val="true"/>
        <sz val="9"/>
        <color rgb="FFFFFFFF"/>
        <rFont val="맑은 고딕"/>
        <family val="0"/>
        <charset val="1"/>
      </rPr>
      <t xml:space="preserve">HS</t>
    </r>
    <r>
      <rPr>
        <b val="true"/>
        <sz val="9"/>
        <color rgb="FFFFFFFF"/>
        <rFont val="WenQuanYi Zen Hei"/>
        <family val="2"/>
      </rPr>
      <t xml:space="preserve">류</t>
    </r>
  </si>
  <si>
    <r>
      <rPr>
        <sz val="9"/>
        <color rgb="FF000000"/>
        <rFont val="맑은 고딕"/>
        <family val="0"/>
        <charset val="1"/>
      </rPr>
      <t xml:space="preserve">85. </t>
    </r>
    <r>
      <rPr>
        <sz val="9"/>
        <color rgb="FF000000"/>
        <rFont val="WenQuanYi Zen Hei"/>
        <family val="2"/>
      </rPr>
      <t xml:space="preserve">전기기기와 그 부분품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녹음기ㆍ음</t>
    </r>
  </si>
  <si>
    <r>
      <rPr>
        <sz val="9"/>
        <color rgb="FF000000"/>
        <rFont val="맑은 고딕"/>
        <family val="0"/>
        <charset val="1"/>
      </rPr>
      <t xml:space="preserve">84. </t>
    </r>
    <r>
      <rPr>
        <sz val="9"/>
        <color rgb="FF000000"/>
        <rFont val="WenQuanYi Zen Hei"/>
        <family val="2"/>
      </rPr>
      <t xml:space="preserve">원자로ㆍ보일러ㆍ기계류와 이들의 부</t>
    </r>
  </si>
  <si>
    <r>
      <rPr>
        <sz val="9"/>
        <color rgb="FF000000"/>
        <rFont val="맑은 고딕"/>
        <family val="0"/>
        <charset val="1"/>
      </rPr>
      <t xml:space="preserve">27. </t>
    </r>
    <r>
      <rPr>
        <sz val="9"/>
        <color rgb="FF000000"/>
        <rFont val="WenQuanYi Zen Hei"/>
        <family val="2"/>
      </rPr>
      <t xml:space="preserve">광물성 연료ㆍ광물유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鑛物油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와 이</t>
    </r>
  </si>
  <si>
    <r>
      <rPr>
        <sz val="9"/>
        <color rgb="FF000000"/>
        <rFont val="맑은 고딕"/>
        <family val="0"/>
        <charset val="1"/>
      </rPr>
      <t xml:space="preserve">71. </t>
    </r>
    <r>
      <rPr>
        <sz val="9"/>
        <color rgb="FF000000"/>
        <rFont val="WenQuanYi Zen Hei"/>
        <family val="2"/>
      </rPr>
      <t xml:space="preserve">천연진주ㆍ양식진주ㆍ귀석ㆍ반귀석ㆍ귀</t>
    </r>
  </si>
  <si>
    <r>
      <rPr>
        <sz val="9"/>
        <color rgb="FF000000"/>
        <rFont val="맑은 고딕"/>
        <family val="0"/>
        <charset val="1"/>
      </rPr>
      <t xml:space="preserve">89. </t>
    </r>
    <r>
      <rPr>
        <sz val="9"/>
        <color rgb="FF000000"/>
        <rFont val="WenQuanYi Zen Hei"/>
        <family val="2"/>
      </rPr>
      <t xml:space="preserve">선박과 수상 구조물</t>
    </r>
  </si>
  <si>
    <r>
      <rPr>
        <sz val="9"/>
        <color rgb="FF000000"/>
        <rFont val="맑은 고딕"/>
        <family val="0"/>
        <charset val="1"/>
      </rPr>
      <t xml:space="preserve">33. </t>
    </r>
    <r>
      <rPr>
        <sz val="9"/>
        <color rgb="FF000000"/>
        <rFont val="WenQuanYi Zen Hei"/>
        <family val="2"/>
      </rPr>
      <t xml:space="preserve">정유</t>
    </r>
    <r>
      <rPr>
        <sz val="9"/>
        <color rgb="FF000000"/>
        <rFont val="맑은 고딕"/>
        <family val="0"/>
        <charset val="1"/>
      </rPr>
      <t xml:space="preserve">(essential oil)</t>
    </r>
    <r>
      <rPr>
        <sz val="9"/>
        <color rgb="FF000000"/>
        <rFont val="WenQuanYi Zen Hei"/>
        <family val="2"/>
      </rPr>
      <t xml:space="preserve">와</t>
    </r>
  </si>
  <si>
    <r>
      <rPr>
        <sz val="9"/>
        <color rgb="FF000000"/>
        <rFont val="맑은 고딕"/>
        <family val="0"/>
        <charset val="1"/>
      </rPr>
      <t xml:space="preserve">74. </t>
    </r>
    <r>
      <rPr>
        <sz val="9"/>
        <color rgb="FF000000"/>
        <rFont val="WenQuanYi Zen Hei"/>
        <family val="2"/>
      </rPr>
      <t xml:space="preserve">구리와 그 제품</t>
    </r>
  </si>
  <si>
    <r>
      <rPr>
        <sz val="9"/>
        <color rgb="FF000000"/>
        <rFont val="맑은 고딕"/>
        <family val="0"/>
        <charset val="1"/>
      </rPr>
      <t xml:space="preserve">28. </t>
    </r>
    <r>
      <rPr>
        <sz val="9"/>
        <color rgb="FF000000"/>
        <rFont val="WenQuanYi Zen Hei"/>
        <family val="2"/>
      </rPr>
      <t xml:space="preserve">무기화학품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귀금속ㆍ희토류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稀土類</t>
    </r>
  </si>
  <si>
    <r>
      <rPr>
        <sz val="9"/>
        <color rgb="FF000000"/>
        <rFont val="맑은 고딕"/>
        <family val="0"/>
        <charset val="1"/>
      </rPr>
      <t xml:space="preserve">39. </t>
    </r>
    <r>
      <rPr>
        <sz val="9"/>
        <color rgb="FF000000"/>
        <rFont val="WenQuanYi Zen Hei"/>
        <family val="2"/>
      </rPr>
      <t xml:space="preserve">플라스틱과 그 제품</t>
    </r>
  </si>
  <si>
    <r>
      <rPr>
        <sz val="9"/>
        <color rgb="FF000000"/>
        <rFont val="맑은 고딕"/>
        <family val="0"/>
        <charset val="1"/>
      </rPr>
      <t xml:space="preserve">30. </t>
    </r>
    <r>
      <rPr>
        <sz val="9"/>
        <color rgb="FF000000"/>
        <rFont val="WenQuanYi Zen Hei"/>
        <family val="2"/>
      </rPr>
      <t xml:space="preserve">의료용품</t>
    </r>
  </si>
  <si>
    <r>
      <rPr>
        <sz val="9"/>
        <color rgb="FF000000"/>
        <rFont val="맑은 고딕"/>
        <family val="0"/>
        <charset val="1"/>
      </rPr>
      <t xml:space="preserve">76. </t>
    </r>
    <r>
      <rPr>
        <sz val="9"/>
        <color rgb="FF000000"/>
        <rFont val="WenQuanYi Zen Hei"/>
        <family val="2"/>
      </rPr>
      <t xml:space="preserve">알루미늄과 그 제품</t>
    </r>
  </si>
  <si>
    <r>
      <rPr>
        <sz val="9"/>
        <color rgb="FF000000"/>
        <rFont val="맑은 고딕"/>
        <family val="0"/>
        <charset val="1"/>
      </rPr>
      <t xml:space="preserve">29. </t>
    </r>
    <r>
      <rPr>
        <sz val="9"/>
        <color rgb="FF000000"/>
        <rFont val="WenQuanYi Zen Hei"/>
        <family val="2"/>
      </rPr>
      <t xml:space="preserve">유기화학품</t>
    </r>
  </si>
  <si>
    <r>
      <rPr>
        <sz val="9"/>
        <color rgb="FF000000"/>
        <rFont val="맑은 고딕"/>
        <family val="0"/>
        <charset val="1"/>
      </rPr>
      <t xml:space="preserve">90. </t>
    </r>
    <r>
      <rPr>
        <sz val="9"/>
        <color rgb="FF000000"/>
        <rFont val="WenQuanYi Zen Hei"/>
        <family val="2"/>
      </rPr>
      <t xml:space="preserve">광학기기ㆍ사진용 기기ㆍ영화용 기기</t>
    </r>
  </si>
  <si>
    <r>
      <rPr>
        <sz val="9"/>
        <color rgb="FF000000"/>
        <rFont val="맑은 고딕"/>
        <family val="0"/>
        <charset val="1"/>
      </rPr>
      <t xml:space="preserve">38. </t>
    </r>
    <r>
      <rPr>
        <sz val="9"/>
        <color rgb="FF000000"/>
        <rFont val="WenQuanYi Zen Hei"/>
        <family val="2"/>
      </rPr>
      <t xml:space="preserve">각종 화학공업 생산품</t>
    </r>
  </si>
  <si>
    <r>
      <rPr>
        <sz val="9"/>
        <color rgb="FF000000"/>
        <rFont val="맑은 고딕"/>
        <family val="0"/>
        <charset val="1"/>
      </rPr>
      <t xml:space="preserve">03. </t>
    </r>
    <r>
      <rPr>
        <sz val="9"/>
        <color rgb="FF000000"/>
        <rFont val="WenQuanYi Zen Hei"/>
        <family val="2"/>
      </rPr>
      <t xml:space="preserve">어류ㆍ갑각류ㆍ연체동물과 그 밖의 </t>
    </r>
  </si>
  <si>
    <r>
      <rPr>
        <b val="true"/>
        <sz val="9"/>
        <color rgb="FFFFFFFF"/>
        <rFont val="맑은 고딕"/>
        <family val="0"/>
        <charset val="1"/>
      </rPr>
      <t xml:space="preserve">HS</t>
    </r>
    <r>
      <rPr>
        <b val="true"/>
        <sz val="9"/>
        <color rgb="FFFFFFFF"/>
        <rFont val="WenQuanYi Zen Hei"/>
        <family val="2"/>
      </rPr>
      <t xml:space="preserve">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감소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</si>
  <si>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63. </t>
    </r>
    <r>
      <rPr>
        <sz val="9"/>
        <color rgb="FF000000"/>
        <rFont val="WenQuanYi Zen Hei"/>
        <family val="2"/>
      </rPr>
      <t xml:space="preserve">제품으로 된 방직용 섬유의 그 밖</t>
    </r>
  </si>
  <si>
    <r>
      <rPr>
        <sz val="9"/>
        <color rgb="FF000000"/>
        <rFont val="맑은 고딕"/>
        <family val="0"/>
        <charset val="1"/>
      </rPr>
      <t xml:space="preserve">97. </t>
    </r>
    <r>
      <rPr>
        <sz val="9"/>
        <color rgb="FF000000"/>
        <rFont val="WenQuanYi Zen Hei"/>
        <family val="2"/>
      </rPr>
      <t xml:space="preserve">예술품ㆍ수집품ㆍ골동품</t>
    </r>
  </si>
  <si>
    <r>
      <rPr>
        <sz val="9"/>
        <color rgb="FF000000"/>
        <rFont val="맑은 고딕"/>
        <family val="0"/>
        <charset val="1"/>
      </rPr>
      <t xml:space="preserve">54. </t>
    </r>
    <r>
      <rPr>
        <sz val="9"/>
        <color rgb="FF000000"/>
        <rFont val="WenQuanYi Zen Hei"/>
        <family val="2"/>
      </rPr>
      <t xml:space="preserve">인조필라멘트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인조방직용 섬유재료</t>
    </r>
  </si>
  <si>
    <r>
      <rPr>
        <sz val="9"/>
        <color rgb="FF000000"/>
        <rFont val="맑은 고딕"/>
        <family val="0"/>
        <charset val="1"/>
      </rPr>
      <t xml:space="preserve">12. </t>
    </r>
    <r>
      <rPr>
        <sz val="9"/>
        <color rgb="FF000000"/>
        <rFont val="WenQuanYi Zen Hei"/>
        <family val="2"/>
      </rPr>
      <t xml:space="preserve">채유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採油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에 적합한 종자와 과실</t>
    </r>
  </si>
  <si>
    <r>
      <rPr>
        <sz val="9"/>
        <color rgb="FF000000"/>
        <rFont val="맑은 고딕"/>
        <family val="0"/>
        <charset val="1"/>
      </rPr>
      <t xml:space="preserve">88. </t>
    </r>
    <r>
      <rPr>
        <sz val="9"/>
        <color rgb="FF000000"/>
        <rFont val="WenQuanYi Zen Hei"/>
        <family val="2"/>
      </rPr>
      <t xml:space="preserve">항공기와 우주선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이들의 부분품</t>
    </r>
  </si>
  <si>
    <r>
      <rPr>
        <sz val="9"/>
        <color rgb="FF000000"/>
        <rFont val="맑은 고딕"/>
        <family val="0"/>
        <charset val="1"/>
      </rPr>
      <t xml:space="preserve">60. </t>
    </r>
    <r>
      <rPr>
        <sz val="9"/>
        <color rgb="FF000000"/>
        <rFont val="WenQuanYi Zen Hei"/>
        <family val="2"/>
      </rPr>
      <t xml:space="preserve">메리야스 편물과 뜨개질 편물</t>
    </r>
  </si>
  <si>
    <r>
      <rPr>
        <sz val="9"/>
        <color rgb="FF000000"/>
        <rFont val="맑은 고딕"/>
        <family val="0"/>
        <charset val="1"/>
      </rPr>
      <t xml:space="preserve">91. </t>
    </r>
    <r>
      <rPr>
        <sz val="9"/>
        <color rgb="FF000000"/>
        <rFont val="WenQuanYi Zen Hei"/>
        <family val="2"/>
      </rPr>
      <t xml:space="preserve">시계와 그 부분품</t>
    </r>
  </si>
  <si>
    <r>
      <rPr>
        <sz val="9"/>
        <color rgb="FF000000"/>
        <rFont val="맑은 고딕"/>
        <family val="0"/>
        <charset val="1"/>
      </rPr>
      <t xml:space="preserve">70. </t>
    </r>
    <r>
      <rPr>
        <sz val="9"/>
        <color rgb="FF000000"/>
        <rFont val="WenQuanYi Zen Hei"/>
        <family val="2"/>
      </rPr>
      <t xml:space="preserve">유리와 유리제품</t>
    </r>
  </si>
  <si>
    <r>
      <rPr>
        <sz val="9"/>
        <color rgb="FF000000"/>
        <rFont val="맑은 고딕"/>
        <family val="0"/>
        <charset val="1"/>
      </rPr>
      <t xml:space="preserve">73. </t>
    </r>
    <r>
      <rPr>
        <sz val="9"/>
        <color rgb="FF000000"/>
        <rFont val="WenQuanYi Zen Hei"/>
        <family val="2"/>
      </rPr>
      <t xml:space="preserve">철강의 제품</t>
    </r>
  </si>
  <si>
    <r>
      <rPr>
        <sz val="9"/>
        <color rgb="FF000000"/>
        <rFont val="맑은 고딕"/>
        <family val="0"/>
        <charset val="1"/>
      </rPr>
      <t xml:space="preserve">87. </t>
    </r>
    <r>
      <rPr>
        <sz val="9"/>
        <color rgb="FF000000"/>
        <rFont val="WenQuanYi Zen Hei"/>
        <family val="2"/>
      </rPr>
      <t xml:space="preserve">철도용이나 궤도용 외의 차량과 그</t>
    </r>
  </si>
  <si>
    <t xml:space="preserve">보조표 D. 월별 증감액 분해 — 반도체 vs 비반도체 (천달러)</t>
  </si>
  <si>
    <t xml:space="preserve">비반도체</t>
  </si>
  <si>
    <t xml:space="preserve">전체 증감액</t>
  </si>
  <si>
    <t xml:space="preserve">⑫ 해설 — 월별로 쪼개서 본 2024~2026</t>
  </si>
  <si>
    <t xml:space="preserve">이 파일의 모든 증감 분석은 1~7월 누계가 아니라 각 달을 전년 동월과 비교하는 방식으로 재구성했습니다. 누계 수치는 참고용으로만 남겨 두었습니다.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</si>
  <si>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핵심 수치</t>
    </r>
    <r>
      <rPr>
        <b val="true"/>
        <sz val="11"/>
        <color rgb="FF1F3864"/>
        <rFont val="맑은 고딕"/>
        <family val="0"/>
        <charset val="1"/>
      </rPr>
      <t xml:space="preserve">] </t>
    </r>
    <r>
      <rPr>
        <b val="true"/>
        <sz val="11"/>
        <color rgb="FF1F3864"/>
        <rFont val="WenQuanYi Zen Hei"/>
        <family val="2"/>
      </rPr>
      <t xml:space="preserve">월별 전년동월비 </t>
    </r>
    <r>
      <rPr>
        <b val="true"/>
        <sz val="11"/>
        <color rgb="FF1F3864"/>
        <rFont val="맑은 고딕"/>
        <family val="0"/>
        <charset val="1"/>
      </rPr>
      <t xml:space="preserve">(2026</t>
    </r>
    <r>
      <rPr>
        <b val="true"/>
        <sz val="11"/>
        <color rgb="FF1F3864"/>
        <rFont val="WenQuanYi Zen Hei"/>
        <family val="2"/>
      </rPr>
      <t xml:space="preserve">년</t>
    </r>
    <r>
      <rPr>
        <b val="true"/>
        <sz val="11"/>
        <color rgb="FF1F3864"/>
        <rFont val="맑은 고딕"/>
        <family val="0"/>
        <charset val="1"/>
      </rPr>
      <t xml:space="preserve">, %)</t>
    </r>
  </si>
  <si>
    <t xml:space="preserve">반도체가 만든 몫</t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</si>
  <si>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이번 개편 — 누계를 걷어내고 월별로 다시 짰습니다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</si>
  <si>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이전 버전은 </t>
    </r>
    <r>
      <rPr>
        <sz val="10"/>
        <color rgb="FF000000"/>
        <rFont val="맑은 고딕"/>
        <family val="0"/>
        <charset val="1"/>
      </rPr>
      <t xml:space="preserve">1~7</t>
    </r>
    <r>
      <rPr>
        <sz val="10"/>
        <color rgb="FF000000"/>
        <rFont val="WenQuanYi Zen Hei"/>
        <family val="2"/>
      </rPr>
      <t xml:space="preserve">월을 합산해 전년 동기와 비교했습니다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그렇게 하면 </t>
    </r>
    <r>
      <rPr>
        <sz val="10"/>
        <color rgb="FF000000"/>
        <rFont val="맑은 고딕"/>
        <family val="0"/>
        <charset val="1"/>
      </rPr>
      <t xml:space="preserve">"7</t>
    </r>
    <r>
      <rPr>
        <sz val="10"/>
        <color rgb="FF000000"/>
        <rFont val="WenQuanYi Zen Hei"/>
        <family val="2"/>
      </rPr>
      <t xml:space="preserve">개월 평균 </t>
    </r>
    <r>
      <rPr>
        <sz val="10"/>
        <color rgb="FF000000"/>
        <rFont val="맑은 고딕"/>
        <family val="0"/>
        <charset val="1"/>
      </rPr>
      <t xml:space="preserve">+50.5%"</t>
    </r>
    <r>
      <rPr>
        <sz val="10"/>
        <color rgb="FF000000"/>
        <rFont val="WenQuanYi Zen Hei"/>
        <family val="2"/>
      </rPr>
      <t xml:space="preserve">처럼 뭉뚱그려져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어느 달에 무엇이 달라졌는지가 사라집니다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</si>
  <si>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이번에는 분석</t>
    </r>
    <r>
      <rPr>
        <sz val="10"/>
        <color rgb="FF000000"/>
        <rFont val="맑은 고딕"/>
        <family val="0"/>
        <charset val="1"/>
      </rPr>
      <t xml:space="preserve">4B</t>
    </r>
    <r>
      <rPr>
        <sz val="10"/>
        <color rgb="FF000000"/>
        <rFont val="WenQuanYi Zen Hei"/>
        <family val="2"/>
      </rPr>
      <t xml:space="preserve">에 모든 항목의 </t>
    </r>
    <r>
      <rPr>
        <sz val="10"/>
        <color rgb="FF000000"/>
        <rFont val="맑은 고딕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개월 월별 값을 한 번에 계산해 두고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5~9·13</t>
    </r>
    <r>
      <rPr>
        <sz val="10"/>
        <color rgb="FF000000"/>
        <rFont val="WenQuanYi Zen Hei"/>
        <family val="2"/>
      </rPr>
      <t xml:space="preserve">이 그 표를 참조하도록 바꿨습니다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품목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부문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성질별 모든 항목이 매달 따로 전년 동월과 비교됩니다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</si>
  <si>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새로 넣은 분석</t>
    </r>
    <r>
      <rPr>
        <sz val="10"/>
        <color rgb="FF000000"/>
        <rFont val="맑은 고딕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은 한 행이 한 달입니다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 달의 증감액을 누가 만들었는지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증가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감소 상위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</t>
    </r>
    <r>
      <rPr>
        <sz val="10"/>
        <color rgb="FF000000"/>
        <rFont val="맑은 고딕"/>
        <family val="0"/>
        <charset val="1"/>
      </rPr>
      <t xml:space="preserve">HS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와 반도체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비반도체의 몫을 한 줄로 읽을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</si>
  <si>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2. 2025</t>
    </r>
    <r>
      <rPr>
        <b val="true"/>
        <sz val="11"/>
        <color rgb="FF1F3864"/>
        <rFont val="WenQuanYi Zen Hei"/>
        <family val="2"/>
      </rPr>
      <t xml:space="preserve">년 — 월별로 보면 </t>
    </r>
    <r>
      <rPr>
        <b val="true"/>
        <sz val="11"/>
        <color rgb="FF1F3864"/>
        <rFont val="맑은 고딕"/>
        <family val="0"/>
        <charset val="1"/>
      </rPr>
      <t xml:space="preserve">"</t>
    </r>
    <r>
      <rPr>
        <b val="true"/>
        <sz val="11"/>
        <color rgb="FF1F3864"/>
        <rFont val="WenQuanYi Zen Hei"/>
        <family val="2"/>
      </rPr>
      <t xml:space="preserve">정체</t>
    </r>
    <r>
      <rPr>
        <b val="true"/>
        <sz val="11"/>
        <color rgb="FF1F3864"/>
        <rFont val="맑은 고딕"/>
        <family val="0"/>
        <charset val="1"/>
      </rPr>
      <t xml:space="preserve">"</t>
    </r>
    <r>
      <rPr>
        <b val="true"/>
        <sz val="11"/>
        <color rgb="FF1F3864"/>
        <rFont val="WenQuanYi Zen Hei"/>
        <family val="2"/>
      </rPr>
      <t xml:space="preserve">가 아니라 </t>
    </r>
    <r>
      <rPr>
        <b val="true"/>
        <sz val="11"/>
        <color rgb="FF1F3864"/>
        <rFont val="맑은 고딕"/>
        <family val="0"/>
        <charset val="1"/>
      </rPr>
      <t xml:space="preserve">"1</t>
    </r>
    <r>
      <rPr>
        <b val="true"/>
        <sz val="11"/>
        <color rgb="FF1F3864"/>
        <rFont val="WenQuanYi Zen Hei"/>
        <family val="2"/>
      </rPr>
      <t xml:space="preserve">월 급락 후 회복</t>
    </r>
    <r>
      <rPr>
        <b val="true"/>
        <sz val="11"/>
        <color rgb="FF1F3864"/>
        <rFont val="맑은 고딕"/>
        <family val="0"/>
        <charset val="1"/>
      </rPr>
      <t xml:space="preserve">"</t>
    </r>
  </si>
  <si>
    <r>
      <rPr>
        <sz val="10"/>
        <color rgb="FF000000"/>
        <rFont val="맑은 고딕"/>
        <family val="0"/>
        <charset val="1"/>
      </rPr>
      <t xml:space="preserve">· 1~7</t>
    </r>
    <r>
      <rPr>
        <sz val="10"/>
        <color rgb="FF000000"/>
        <rFont val="WenQuanYi Zen Hei"/>
        <family val="2"/>
      </rPr>
      <t xml:space="preserve">월 누계로는 </t>
    </r>
    <r>
      <rPr>
        <sz val="10"/>
        <color rgb="FF000000"/>
        <rFont val="맑은 고딕"/>
        <family val="0"/>
        <charset val="1"/>
      </rPr>
      <t xml:space="preserve">+0.8%</t>
    </r>
    <r>
      <rPr>
        <sz val="10"/>
        <color rgb="FF000000"/>
        <rFont val="WenQuanYi Zen Hei"/>
        <family val="2"/>
      </rPr>
      <t xml:space="preserve">라 정체처럼 보이지만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월별로 쪼개면 완전히 다른 그림입니다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월은 −</t>
    </r>
    <r>
      <rPr>
        <sz val="10"/>
        <color rgb="FF000000"/>
        <rFont val="맑은 고딕"/>
        <family val="0"/>
        <charset val="1"/>
      </rPr>
      <t xml:space="preserve">10.1%</t>
    </r>
    <r>
      <rPr>
        <sz val="10"/>
        <color rgb="FF000000"/>
        <rFont val="WenQuanYi Zen Hei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개월 중 최악이었고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자동차</t>
    </r>
    <r>
      <rPr>
        <sz val="10"/>
        <color rgb="FF000000"/>
        <rFont val="맑은 고딕"/>
        <family val="0"/>
        <charset val="1"/>
      </rPr>
      <t xml:space="preserve">(−16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$)·</t>
    </r>
    <r>
      <rPr>
        <sz val="10"/>
        <color rgb="FF000000"/>
        <rFont val="WenQuanYi Zen Hei"/>
        <family val="2"/>
      </rPr>
      <t xml:space="preserve">광물성연료</t>
    </r>
    <r>
      <rPr>
        <sz val="10"/>
        <color rgb="FF000000"/>
        <rFont val="맑은 고딕"/>
        <family val="0"/>
        <charset val="1"/>
      </rPr>
      <t xml:space="preserve">(−14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$)·</t>
    </r>
    <r>
      <rPr>
        <sz val="10"/>
        <color rgb="FF000000"/>
        <rFont val="WenQuanYi Zen Hei"/>
        <family val="2"/>
      </rPr>
      <t xml:space="preserve">전기기기</t>
    </r>
    <r>
      <rPr>
        <sz val="10"/>
        <color rgb="FF000000"/>
        <rFont val="맑은 고딕"/>
        <family val="0"/>
        <charset val="1"/>
      </rPr>
      <t xml:space="preserve">(−6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$)</t>
    </r>
    <r>
      <rPr>
        <sz val="10"/>
        <color rgb="FF000000"/>
        <rFont val="WenQuanYi Zen Hei"/>
        <family val="2"/>
      </rPr>
      <t xml:space="preserve">가 동시에 빠졌습니다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달 하나가 상반기 누계를 통째로 깎아먹었습니다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</si>
  <si>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</t>
    </r>
    <r>
      <rPr>
        <sz val="10"/>
        <color rgb="FF000000"/>
        <rFont val="WenQuanYi Zen Hei"/>
        <family val="2"/>
      </rPr>
      <t xml:space="preserve">월부터 회복이 시작됩니다</t>
    </r>
    <r>
      <rPr>
        <sz val="10"/>
        <color rgb="FF000000"/>
        <rFont val="맑은 고딕"/>
        <family val="0"/>
        <charset val="1"/>
      </rPr>
      <t xml:space="preserve">. 2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+0.4%, 3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+2.7%, 4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+3.4%</t>
    </r>
    <r>
      <rPr>
        <sz val="10"/>
        <color rgb="FF000000"/>
        <rFont val="WenQuanYi Zen Hei"/>
        <family val="2"/>
      </rPr>
      <t xml:space="preserve">로 완만하게 올라오다가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월에 −</t>
    </r>
    <r>
      <rPr>
        <sz val="10"/>
        <color rgb="FF000000"/>
        <rFont val="맑은 고딕"/>
        <family val="0"/>
        <charset val="1"/>
      </rPr>
      <t xml:space="preserve">1.3%</t>
    </r>
    <r>
      <rPr>
        <sz val="10"/>
        <color rgb="FF000000"/>
        <rFont val="WenQuanYi Zen Hei"/>
        <family val="2"/>
      </rPr>
      <t xml:space="preserve">로 한 번 더 주춤합니다</t>
    </r>
    <r>
      <rPr>
        <sz val="10"/>
        <color rgb="FF000000"/>
        <rFont val="맑은 고딕"/>
        <family val="0"/>
        <charset val="1"/>
      </rPr>
      <t xml:space="preserve">. 5</t>
    </r>
    <r>
      <rPr>
        <sz val="10"/>
        <color rgb="FF000000"/>
        <rFont val="WenQuanYi Zen Hei"/>
        <family val="2"/>
      </rPr>
      <t xml:space="preserve">월에는 반도체가 </t>
    </r>
    <r>
      <rPr>
        <sz val="10"/>
        <color rgb="FF000000"/>
        <rFont val="맑은 고딕"/>
        <family val="0"/>
        <charset val="1"/>
      </rPr>
      <t xml:space="preserve">+13.0%</t>
    </r>
    <r>
      <rPr>
        <sz val="10"/>
        <color rgb="FF000000"/>
        <rFont val="WenQuanYi Zen Hei"/>
        <family val="2"/>
      </rPr>
      <t xml:space="preserve">였는데도 전체가 마이너스였습니다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자동차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플라스틱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광물성연료가 동시에 줄었기 때문입니다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</si>
  <si>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하반기에 확실히 방향이 바뀝니다</t>
    </r>
    <r>
      <rPr>
        <sz val="10"/>
        <color rgb="FF000000"/>
        <rFont val="맑은 고딕"/>
        <family val="0"/>
        <charset val="1"/>
      </rPr>
      <t xml:space="preserve">. 9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+12.6%(</t>
    </r>
    <r>
      <rPr>
        <sz val="10"/>
        <color rgb="FF000000"/>
        <rFont val="WenQuanYi Zen Hei"/>
        <family val="2"/>
      </rPr>
      <t xml:space="preserve">전기기기 </t>
    </r>
    <r>
      <rPr>
        <sz val="10"/>
        <color rgb="FF000000"/>
        <rFont val="맑은 고딕"/>
        <family val="0"/>
        <charset val="1"/>
      </rPr>
      <t xml:space="preserve">+23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기계 </t>
    </r>
    <r>
      <rPr>
        <sz val="10"/>
        <color rgb="FF000000"/>
        <rFont val="맑은 고딕"/>
        <family val="0"/>
        <charset val="1"/>
      </rPr>
      <t xml:space="preserve">+12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자동차 </t>
    </r>
    <r>
      <rPr>
        <sz val="10"/>
        <color rgb="FF000000"/>
        <rFont val="맑은 고딕"/>
        <family val="0"/>
        <charset val="1"/>
      </rPr>
      <t xml:space="preserve">+11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$), 11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+7.9%, 12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+13.3%(</t>
    </r>
    <r>
      <rPr>
        <sz val="10"/>
        <color rgb="FF000000"/>
        <rFont val="WenQuanYi Zen Hei"/>
        <family val="2"/>
      </rPr>
      <t xml:space="preserve">전기기기 </t>
    </r>
    <r>
      <rPr>
        <sz val="10"/>
        <color rgb="FF000000"/>
        <rFont val="맑은 고딕"/>
        <family val="0"/>
        <charset val="1"/>
      </rPr>
      <t xml:space="preserve">+61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$). </t>
    </r>
    <r>
      <rPr>
        <sz val="10"/>
        <color rgb="FF000000"/>
        <rFont val="WenQuanYi Zen Hei"/>
        <family val="2"/>
      </rPr>
      <t xml:space="preserve">특히 </t>
    </r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월은 비반도체도 </t>
    </r>
    <r>
      <rPr>
        <sz val="10"/>
        <color rgb="FF000000"/>
        <rFont val="맑은 고딕"/>
        <family val="0"/>
        <charset val="1"/>
      </rPr>
      <t xml:space="preserve">+11.6%</t>
    </r>
    <r>
      <rPr>
        <sz val="10"/>
        <color rgb="FF000000"/>
        <rFont val="WenQuanYi Zen Hei"/>
        <family val="2"/>
      </rPr>
      <t xml:space="preserve">로 이 기간 중 유일하게 두 자릿수를 기록한 달입니다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</si>
  <si>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10</t>
    </r>
    <r>
      <rPr>
        <sz val="10"/>
        <color rgb="FF000000"/>
        <rFont val="WenQuanYi Zen Hei"/>
        <family val="2"/>
      </rPr>
      <t xml:space="preserve">월은 선박</t>
    </r>
    <r>
      <rPr>
        <sz val="10"/>
        <color rgb="FF000000"/>
        <rFont val="맑은 고딕"/>
        <family val="0"/>
        <charset val="1"/>
      </rPr>
      <t xml:space="preserve">(+27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$)</t>
    </r>
    <r>
      <rPr>
        <sz val="10"/>
        <color rgb="FF000000"/>
        <rFont val="WenQuanYi Zen Hei"/>
        <family val="2"/>
      </rPr>
      <t xml:space="preserve">이 홀로 끌어올린 달입니다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선박은 인도 시점에 금액이 한꺼번에 잡히므로 이런 달은 추세로 읽으면 안 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같은 달 자동차는 −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였습니다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</si>
  <si>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3. 2026</t>
    </r>
    <r>
      <rPr>
        <b val="true"/>
        <sz val="11"/>
        <color rgb="FF1F3864"/>
        <rFont val="WenQuanYi Zen Hei"/>
        <family val="2"/>
      </rPr>
      <t xml:space="preserve">년 — </t>
    </r>
    <r>
      <rPr>
        <b val="true"/>
        <sz val="11"/>
        <color rgb="FF1F3864"/>
        <rFont val="맑은 고딕"/>
        <family val="0"/>
        <charset val="1"/>
      </rPr>
      <t xml:space="preserve">1</t>
    </r>
    <r>
      <rPr>
        <b val="true"/>
        <sz val="11"/>
        <color rgb="FF1F3864"/>
        <rFont val="WenQuanYi Zen Hei"/>
        <family val="2"/>
      </rPr>
      <t xml:space="preserve">월에 점프하고 </t>
    </r>
    <r>
      <rPr>
        <b val="true"/>
        <sz val="11"/>
        <color rgb="FF1F3864"/>
        <rFont val="맑은 고딕"/>
        <family val="0"/>
        <charset val="1"/>
      </rPr>
      <t xml:space="preserve">6</t>
    </r>
    <r>
      <rPr>
        <b val="true"/>
        <sz val="11"/>
        <color rgb="FF1F3864"/>
        <rFont val="WenQuanYi Zen Hei"/>
        <family val="2"/>
      </rPr>
      <t xml:space="preserve">월에 정점</t>
    </r>
  </si>
  <si>
    <r>
      <rPr>
        <sz val="10"/>
        <color rgb="FF000000"/>
        <rFont val="맑은 고딕"/>
        <family val="0"/>
        <charset val="1"/>
      </rPr>
      <t xml:space="preserve">·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전년동월비 </t>
    </r>
    <r>
      <rPr>
        <sz val="10"/>
        <color rgb="FF000000"/>
        <rFont val="맑은 고딕"/>
        <family val="0"/>
        <charset val="1"/>
      </rPr>
      <t xml:space="preserve">+33.9%</t>
    </r>
    <r>
      <rPr>
        <sz val="10"/>
        <color rgb="FF000000"/>
        <rFont val="WenQuanYi Zen Hei"/>
        <family val="2"/>
      </rPr>
      <t xml:space="preserve">로 계단을 한 칸 올라섭니다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전기기기 </t>
    </r>
    <r>
      <rPr>
        <sz val="10"/>
        <color rgb="FF000000"/>
        <rFont val="맑은 고딕"/>
        <family val="0"/>
        <charset val="1"/>
      </rPr>
      <t xml:space="preserve">+105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</t>
    </r>
    <r>
      <rPr>
        <sz val="10"/>
        <color rgb="FF000000"/>
        <rFont val="WenQuanYi Zen Hei"/>
        <family val="2"/>
      </rPr>
      <t xml:space="preserve">기계 </t>
    </r>
    <r>
      <rPr>
        <sz val="10"/>
        <color rgb="FF000000"/>
        <rFont val="맑은 고딕"/>
        <family val="0"/>
        <charset val="1"/>
      </rPr>
      <t xml:space="preserve">+26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가 주도했고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 두 품목만으로 그 달 증가액의 </t>
    </r>
    <r>
      <rPr>
        <sz val="10"/>
        <color rgb="FF000000"/>
        <rFont val="맑은 고딕"/>
        <family val="0"/>
        <charset val="1"/>
      </rPr>
      <t xml:space="preserve">78%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</si>
  <si>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</t>
    </r>
    <r>
      <rPr>
        <sz val="10"/>
        <color rgb="FF000000"/>
        <rFont val="WenQuanYi Zen Hei"/>
        <family val="2"/>
      </rPr>
      <t xml:space="preserve">월은 </t>
    </r>
    <r>
      <rPr>
        <sz val="10"/>
        <color rgb="FF000000"/>
        <rFont val="맑은 고딕"/>
        <family val="0"/>
        <charset val="1"/>
      </rPr>
      <t xml:space="preserve">+29.4%</t>
    </r>
    <r>
      <rPr>
        <sz val="10"/>
        <color rgb="FF000000"/>
        <rFont val="WenQuanYi Zen Hei"/>
        <family val="2"/>
      </rPr>
      <t xml:space="preserve">로 다소 낮아 보이지만 내용은 더 극단적입니다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반도체가 만든 몫이 </t>
    </r>
    <r>
      <rPr>
        <sz val="10"/>
        <color rgb="FF000000"/>
        <rFont val="맑은 고딕"/>
        <family val="0"/>
        <charset val="1"/>
      </rPr>
      <t xml:space="preserve">113%</t>
    </r>
    <r>
      <rPr>
        <sz val="10"/>
        <color rgb="FF000000"/>
        <rFont val="WenQuanYi Zen Hei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를 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반도체 외 품목이 순감소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비반도체 −</t>
    </r>
    <r>
      <rPr>
        <sz val="10"/>
        <color rgb="FF000000"/>
        <rFont val="맑은 고딕"/>
        <family val="0"/>
        <charset val="1"/>
      </rPr>
      <t xml:space="preserve">5.2%)</t>
    </r>
    <r>
      <rPr>
        <sz val="10"/>
        <color rgb="FF000000"/>
        <rFont val="WenQuanYi Zen Hei"/>
        <family val="2"/>
      </rPr>
      <t xml:space="preserve">했는데 반도체가 그것까지 메우고 전체를 끌어올렸다는 뜻입니다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달 자동차는 −</t>
    </r>
    <r>
      <rPr>
        <sz val="10"/>
        <color rgb="FF000000"/>
        <rFont val="맑은 고딕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였습니다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</si>
  <si>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3~5</t>
    </r>
    <r>
      <rPr>
        <sz val="10"/>
        <color rgb="FF000000"/>
        <rFont val="WenQuanYi Zen Hei"/>
        <family val="2"/>
      </rPr>
      <t xml:space="preserve">월은 </t>
    </r>
    <r>
      <rPr>
        <sz val="10"/>
        <color rgb="FF000000"/>
        <rFont val="맑은 고딕"/>
        <family val="0"/>
        <charset val="1"/>
      </rPr>
      <t xml:space="preserve">+50.4% → +47.8% → +52.9%</t>
    </r>
    <r>
      <rPr>
        <sz val="10"/>
        <color rgb="FF000000"/>
        <rFont val="WenQuanYi Zen Hei"/>
        <family val="2"/>
      </rPr>
      <t xml:space="preserve">로 높은 수준을 유지합니다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구간부터 광물성연료가 매달 </t>
    </r>
    <r>
      <rPr>
        <sz val="10"/>
        <color rgb="FF000000"/>
        <rFont val="맑은 고딕"/>
        <family val="0"/>
        <charset val="1"/>
      </rPr>
      <t xml:space="preserve">+13~29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씩 더해지며 두 번째 축으로 올라옵니다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 내내 마이너스였던 품목이 방향을 바꾼 시점입니다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</si>
  <si>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6</t>
    </r>
    <r>
      <rPr>
        <sz val="10"/>
        <color rgb="FF000000"/>
        <rFont val="WenQuanYi Zen Hei"/>
        <family val="2"/>
      </rPr>
      <t xml:space="preserve">월이 정점입니다</t>
    </r>
    <r>
      <rPr>
        <sz val="10"/>
        <color rgb="FF000000"/>
        <rFont val="맑은 고딕"/>
        <family val="0"/>
        <charset val="1"/>
      </rPr>
      <t xml:space="preserve">. +70.4%, </t>
    </r>
    <r>
      <rPr>
        <sz val="10"/>
        <color rgb="FF000000"/>
        <rFont val="WenQuanYi Zen Hei"/>
        <family val="2"/>
      </rPr>
      <t xml:space="preserve">증가액 </t>
    </r>
    <r>
      <rPr>
        <sz val="10"/>
        <color rgb="FF000000"/>
        <rFont val="맑은 고딕"/>
        <family val="0"/>
        <charset val="1"/>
      </rPr>
      <t xml:space="preserve">+421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로 </t>
    </r>
    <r>
      <rPr>
        <sz val="10"/>
        <color rgb="FF000000"/>
        <rFont val="맑은 고딕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개월 중 최대이며 전기기기 </t>
    </r>
    <r>
      <rPr>
        <sz val="10"/>
        <color rgb="FF000000"/>
        <rFont val="맑은 고딕"/>
        <family val="0"/>
        <charset val="1"/>
      </rPr>
      <t xml:space="preserve">+267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</t>
    </r>
    <r>
      <rPr>
        <sz val="10"/>
        <color rgb="FF000000"/>
        <rFont val="WenQuanYi Zen Hei"/>
        <family val="2"/>
      </rPr>
      <t xml:space="preserve">기계 </t>
    </r>
    <r>
      <rPr>
        <sz val="10"/>
        <color rgb="FF000000"/>
        <rFont val="맑은 고딕"/>
        <family val="0"/>
        <charset val="1"/>
      </rPr>
      <t xml:space="preserve">+89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7</t>
    </r>
    <r>
      <rPr>
        <sz val="10"/>
        <color rgb="FF000000"/>
        <rFont val="WenQuanYi Zen Hei"/>
        <family val="2"/>
      </rPr>
      <t xml:space="preserve">월은 </t>
    </r>
    <r>
      <rPr>
        <sz val="10"/>
        <color rgb="FF000000"/>
        <rFont val="맑은 고딕"/>
        <family val="0"/>
        <charset val="1"/>
      </rPr>
      <t xml:space="preserve">+63.0%</t>
    </r>
    <r>
      <rPr>
        <sz val="10"/>
        <color rgb="FF000000"/>
        <rFont val="WenQuanYi Zen Hei"/>
        <family val="2"/>
      </rPr>
      <t xml:space="preserve">로 여전히 높지만 전월비로는 −</t>
    </r>
    <r>
      <rPr>
        <sz val="10"/>
        <color rgb="FF000000"/>
        <rFont val="맑은 고딕"/>
        <family val="0"/>
        <charset val="1"/>
      </rPr>
      <t xml:space="preserve">2.9%, </t>
    </r>
    <r>
      <rPr>
        <sz val="10"/>
        <color rgb="FF000000"/>
        <rFont val="WenQuanYi Zen Hei"/>
        <family val="2"/>
      </rPr>
      <t xml:space="preserve">조업일수를 보정한 일평균 기준으로는 −</t>
    </r>
    <r>
      <rPr>
        <sz val="10"/>
        <color rgb="FF000000"/>
        <rFont val="맑은 고딕"/>
        <family val="0"/>
        <charset val="1"/>
      </rPr>
      <t xml:space="preserve">9.0%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월 합계만 보면 실제 둔화 폭을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분의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로 과소평가하게 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</si>
  <si>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4. </t>
    </r>
    <r>
      <rPr>
        <b val="true"/>
        <sz val="11"/>
        <color rgb="FF1F3864"/>
        <rFont val="WenQuanYi Zen Hei"/>
        <family val="2"/>
      </rPr>
      <t xml:space="preserve">반도체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비반도체 — </t>
    </r>
    <r>
      <rPr>
        <b val="true"/>
        <sz val="11"/>
        <color rgb="FF1F3864"/>
        <rFont val="맑은 고딕"/>
        <family val="0"/>
        <charset val="1"/>
      </rPr>
      <t xml:space="preserve">19</t>
    </r>
    <r>
      <rPr>
        <b val="true"/>
        <sz val="11"/>
        <color rgb="FF1F3864"/>
        <rFont val="WenQuanYi Zen Hei"/>
        <family val="2"/>
      </rPr>
      <t xml:space="preserve">개월 연속 반도체 우위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그러나 최근 격차는 축소</t>
    </r>
  </si>
  <si>
    <r>
      <rPr>
        <sz val="10"/>
        <color rgb="FF000000"/>
        <rFont val="맑은 고딕"/>
        <family val="0"/>
        <charset val="1"/>
      </rPr>
      <t xml:space="preserve">· 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월부터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월까지 </t>
    </r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개월 내내 반도체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광의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의 전년동월비가 비반도체를 앞섰습니다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 한 달의 예외도 없습니다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5-B</t>
    </r>
    <r>
      <rPr>
        <sz val="10"/>
        <color rgb="FF000000"/>
        <rFont val="WenQuanYi Zen Hei"/>
        <family val="2"/>
      </rPr>
      <t xml:space="preserve">의 「그 달의 우위」 행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</si>
  <si>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sz val="10"/>
        <color rgb="FF000000"/>
        <rFont val="맑은 고딕"/>
        <family val="0"/>
        <charset val="1"/>
      </rPr>
      <t xml:space="preserve">· 2025</t>
    </r>
    <r>
      <rPr>
        <sz val="10"/>
        <color rgb="FF000000"/>
        <rFont val="WenQuanYi Zen Hei"/>
        <family val="2"/>
      </rPr>
      <t xml:space="preserve">년에는 반도체 </t>
    </r>
    <r>
      <rPr>
        <sz val="10"/>
        <color rgb="FF000000"/>
        <rFont val="맑은 고딕"/>
        <family val="0"/>
        <charset val="1"/>
      </rPr>
      <t xml:space="preserve">+9.3%, </t>
    </r>
    <r>
      <rPr>
        <sz val="10"/>
        <color rgb="FF000000"/>
        <rFont val="WenQuanYi Zen Hei"/>
        <family val="2"/>
      </rPr>
      <t xml:space="preserve">비반도체 −</t>
    </r>
    <r>
      <rPr>
        <sz val="10"/>
        <color rgb="FF000000"/>
        <rFont val="맑은 고딕"/>
        <family val="0"/>
        <charset val="1"/>
      </rPr>
      <t xml:space="preserve">2.6%</t>
    </r>
    <r>
      <rPr>
        <sz val="10"/>
        <color rgb="FF000000"/>
        <rFont val="WenQuanYi Zen Hei"/>
        <family val="2"/>
      </rPr>
      <t xml:space="preserve">였습니다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그해 수출이 플러스를 지킨 것은 전적으로 반도체 덕분이며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비반도체만 놓고 보면 역성장한 해였습니다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</si>
  <si>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2026</t>
    </r>
    <r>
      <rPr>
        <sz val="10"/>
        <color rgb="FF000000"/>
        <rFont val="WenQuanYi Zen Hei"/>
        <family val="2"/>
      </rPr>
      <t xml:space="preserve">년에는 비반도체도 살아났습니다</t>
    </r>
    <r>
      <rPr>
        <sz val="10"/>
        <color rgb="FF000000"/>
        <rFont val="맑은 고딕"/>
        <family val="0"/>
        <charset val="1"/>
      </rPr>
      <t xml:space="preserve">. 1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+11.8% → 2</t>
    </r>
    <r>
      <rPr>
        <sz val="10"/>
        <color rgb="FF000000"/>
        <rFont val="WenQuanYi Zen Hei"/>
        <family val="2"/>
      </rPr>
      <t xml:space="preserve">월 −</t>
    </r>
    <r>
      <rPr>
        <sz val="10"/>
        <color rgb="FF000000"/>
        <rFont val="맑은 고딕"/>
        <family val="0"/>
        <charset val="1"/>
      </rPr>
      <t xml:space="preserve">5.2%(</t>
    </r>
    <r>
      <rPr>
        <sz val="10"/>
        <color rgb="FF000000"/>
        <rFont val="WenQuanYi Zen Hei"/>
        <family val="2"/>
      </rPr>
      <t xml:space="preserve">일시 후퇴</t>
    </r>
    <r>
      <rPr>
        <sz val="10"/>
        <color rgb="FF000000"/>
        <rFont val="맑은 고딕"/>
        <family val="0"/>
        <charset val="1"/>
      </rPr>
      <t xml:space="preserve">) → 3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+16.7% → 6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+17.7% → 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+17.8%</t>
    </r>
    <r>
      <rPr>
        <sz val="10"/>
        <color rgb="FF000000"/>
        <rFont val="WenQuanYi Zen Hei"/>
        <family val="2"/>
      </rPr>
      <t xml:space="preserve">로</t>
    </r>
    <r>
      <rPr>
        <sz val="10"/>
        <color rgb="FF000000"/>
        <rFont val="맑은 고딕"/>
        <family val="0"/>
        <charset val="1"/>
      </rPr>
      <t xml:space="preserve">, 2</t>
    </r>
    <r>
      <rPr>
        <sz val="10"/>
        <color rgb="FF000000"/>
        <rFont val="WenQuanYi Zen Hei"/>
        <family val="2"/>
      </rPr>
      <t xml:space="preserve">월을 제외하면 꾸준히 올라옵니다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반도체가 만든 몫도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113%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81%</t>
    </r>
    <r>
      <rPr>
        <sz val="10"/>
        <color rgb="FF000000"/>
        <rFont val="WenQuanYi Zen Hei"/>
        <family val="2"/>
      </rPr>
      <t xml:space="preserve">로 낮아졌습니다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여전히 반도체가 압도적이지만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온기가 밖으로 번지기 시작한 것은 분명합니다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</si>
  <si>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반도체 비중은 </t>
    </r>
    <r>
      <rPr>
        <sz val="10"/>
        <color rgb="FF000000"/>
        <rFont val="맑은 고딕"/>
        <family val="0"/>
        <charset val="1"/>
      </rPr>
      <t xml:space="preserve">2024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25.4%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53.7%</t>
    </r>
    <r>
      <rPr>
        <sz val="10"/>
        <color rgb="FF000000"/>
        <rFont val="WenQuanYi Zen Hei"/>
        <family val="2"/>
      </rPr>
      <t xml:space="preserve">까지 올라갔다가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51.3%</t>
    </r>
    <r>
      <rPr>
        <sz val="10"/>
        <color rgb="FF000000"/>
        <rFont val="WenQuanYi Zen Hei"/>
        <family val="2"/>
      </rPr>
      <t xml:space="preserve">로 소폭 내려왔습니다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월별 비중 추이는 분석</t>
    </r>
    <r>
      <rPr>
        <sz val="10"/>
        <color rgb="FF000000"/>
        <rFont val="맑은 고딕"/>
        <family val="0"/>
        <charset val="1"/>
      </rPr>
      <t xml:space="preserve">5-A </t>
    </r>
    <r>
      <rPr>
        <sz val="10"/>
        <color rgb="FF000000"/>
        <rFont val="WenQuanYi Zen Hei"/>
        <family val="2"/>
      </rPr>
      <t xml:space="preserve">마지막 행에서 볼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</si>
  <si>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5. HS </t>
    </r>
    <r>
      <rPr>
        <b val="true"/>
        <sz val="11"/>
        <color rgb="FF1F3864"/>
        <rFont val="WenQuanYi Zen Hei"/>
        <family val="2"/>
      </rPr>
      <t xml:space="preserve">부문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류 — 어느 달에 무엇이 달라졌나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</si>
  <si>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6-A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21</t>
    </r>
    <r>
      <rPr>
        <sz val="10"/>
        <color rgb="FF000000"/>
        <rFont val="WenQuanYi Zen Hei"/>
        <family val="2"/>
      </rPr>
      <t xml:space="preserve">개 부문의 월별 전년동월비를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6-B</t>
    </r>
    <r>
      <rPr>
        <sz val="10"/>
        <color rgb="FF000000"/>
        <rFont val="WenQuanYi Zen Hei"/>
        <family val="2"/>
      </rPr>
      <t xml:space="preserve">는 월별 증감액을 담고 있습니다</t>
    </r>
    <r>
      <rPr>
        <sz val="10"/>
        <color rgb="FF000000"/>
        <rFont val="맑은 고딕"/>
        <family val="0"/>
        <charset val="1"/>
      </rPr>
      <t xml:space="preserve">. XVI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기계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전기전자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월부터 단 한 달도 빠짐없이 플러스이고</t>
    </r>
    <r>
      <rPr>
        <sz val="10"/>
        <color rgb="FF000000"/>
        <rFont val="맑은 고딕"/>
        <family val="0"/>
        <charset val="1"/>
      </rPr>
      <t xml:space="preserve">, 2026</t>
    </r>
    <r>
      <rPr>
        <sz val="10"/>
        <color rgb="FF000000"/>
        <rFont val="WenQuanYi Zen Hei"/>
        <family val="2"/>
      </rPr>
      <t xml:space="preserve">년 들어 매달 </t>
    </r>
    <r>
      <rPr>
        <sz val="10"/>
        <color rgb="FF000000"/>
        <rFont val="맑은 고딕"/>
        <family val="0"/>
        <charset val="1"/>
      </rPr>
      <t xml:space="preserve">+100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 </t>
    </r>
    <r>
      <rPr>
        <sz val="10"/>
        <color rgb="FF000000"/>
        <rFont val="WenQuanYi Zen Hei"/>
        <family val="2"/>
      </rPr>
      <t xml:space="preserve">이상을 더합니다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</si>
  <si>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V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광물성 생산품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의 전환 시점이 뚜렷합니다</t>
    </r>
    <r>
      <rPr>
        <sz val="10"/>
        <color rgb="FF000000"/>
        <rFont val="맑은 고딕"/>
        <family val="0"/>
        <charset val="1"/>
      </rPr>
      <t xml:space="preserve">. 2025</t>
    </r>
    <r>
      <rPr>
        <sz val="10"/>
        <color rgb="FF000000"/>
        <rFont val="WenQuanYi Zen Hei"/>
        <family val="2"/>
      </rPr>
      <t xml:space="preserve">년에는 </t>
    </r>
    <r>
      <rPr>
        <sz val="10"/>
        <color rgb="FF000000"/>
        <rFont val="맑은 고딕"/>
        <family val="0"/>
        <charset val="1"/>
      </rPr>
      <t xml:space="preserve">1·3·4·5·7</t>
    </r>
    <r>
      <rPr>
        <sz val="10"/>
        <color rgb="FF000000"/>
        <rFont val="WenQuanYi Zen Hei"/>
        <family val="2"/>
      </rPr>
      <t xml:space="preserve">월 모두 두 자릿수 마이너스였는데</t>
    </r>
    <r>
      <rPr>
        <sz val="10"/>
        <color rgb="FF000000"/>
        <rFont val="맑은 고딕"/>
        <family val="0"/>
        <charset val="1"/>
      </rPr>
      <t xml:space="preserve">,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월부터 </t>
    </r>
    <r>
      <rPr>
        <sz val="10"/>
        <color rgb="FF000000"/>
        <rFont val="맑은 고딕"/>
        <family val="0"/>
        <charset val="1"/>
      </rPr>
      <t xml:space="preserve">+29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+13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+15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+16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+15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로 다섯 달 연속 플러스입니다</t>
    </r>
    <r>
      <rPr>
        <sz val="10"/>
        <color rgb="FF000000"/>
        <rFont val="맑은 고딕"/>
        <family val="0"/>
        <charset val="1"/>
      </rPr>
      <t xml:space="preserve">.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월이 이 부문의 변곡점입니다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</si>
  <si>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XVII</t>
    </r>
    <r>
      <rPr>
        <sz val="10"/>
        <color rgb="FF000000"/>
        <rFont val="WenQuanYi Zen Hei"/>
        <family val="2"/>
      </rPr>
      <t xml:space="preserve">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수송기기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반대입니다</t>
    </r>
    <r>
      <rPr>
        <sz val="10"/>
        <color rgb="FF000000"/>
        <rFont val="맑은 고딕"/>
        <family val="0"/>
        <charset val="1"/>
      </rPr>
      <t xml:space="preserve">.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월 −</t>
    </r>
    <r>
      <rPr>
        <sz val="10"/>
        <color rgb="FF000000"/>
        <rFont val="맑은 고딕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4</t>
    </r>
    <r>
      <rPr>
        <sz val="10"/>
        <color rgb="FF000000"/>
        <rFont val="WenQuanYi Zen Hei"/>
        <family val="2"/>
      </rPr>
      <t xml:space="preserve">월 −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5</t>
    </r>
    <r>
      <rPr>
        <sz val="10"/>
        <color rgb="FF000000"/>
        <rFont val="WenQuanYi Zen Hei"/>
        <family val="2"/>
      </rPr>
      <t xml:space="preserve">월 −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로 감소한 달이 더 많습니다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자동차</t>
    </r>
    <r>
      <rPr>
        <sz val="10"/>
        <color rgb="FF000000"/>
        <rFont val="맑은 고딕"/>
        <family val="0"/>
        <charset val="1"/>
      </rPr>
      <t xml:space="preserve">(HS87)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년 연속 감소한 결과이며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수출 전체가 </t>
    </r>
    <r>
      <rPr>
        <sz val="10"/>
        <color rgb="FF000000"/>
        <rFont val="맑은 고딕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늘어난 국면에서 최대 소비재 품목이 뒤처졌다는 사실이 이번 호황의 성격을 압축해 보여줍니다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</si>
  <si>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97</t>
    </r>
    <r>
      <rPr>
        <sz val="10"/>
        <color rgb="FF000000"/>
        <rFont val="WenQuanYi Zen Hei"/>
        <family val="2"/>
      </rPr>
      <t xml:space="preserve">개 류마다 </t>
    </r>
    <r>
      <rPr>
        <sz val="10"/>
        <color rgb="FF000000"/>
        <rFont val="맑은 고딕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개월의 전년동월비와 증감액을 각각 열로 나눠 놓았습니다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해석 열에는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월별로는 몇 개월 증가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몇 개월 감소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최대 몇 </t>
    </r>
    <r>
      <rPr>
        <sz val="10"/>
        <color rgb="FF000000"/>
        <rFont val="맑은 고딕"/>
        <family val="0"/>
        <charset val="1"/>
      </rPr>
      <t xml:space="preserve">%(</t>
    </r>
    <r>
      <rPr>
        <sz val="10"/>
        <color rgb="FF000000"/>
        <rFont val="WenQuanYi Zen Hei"/>
        <family val="2"/>
      </rPr>
      <t xml:space="preserve">어느 달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최소 몇 </t>
    </r>
    <r>
      <rPr>
        <sz val="10"/>
        <color rgb="FF000000"/>
        <rFont val="맑은 고딕"/>
        <family val="0"/>
        <charset val="1"/>
      </rPr>
      <t xml:space="preserve">%(</t>
    </r>
    <r>
      <rPr>
        <sz val="10"/>
        <color rgb="FF000000"/>
        <rFont val="WenQuanYi Zen Hei"/>
        <family val="2"/>
      </rPr>
      <t xml:space="preserve">어느 달</t>
    </r>
    <r>
      <rPr>
        <sz val="10"/>
        <color rgb="FF000000"/>
        <rFont val="맑은 고딕"/>
        <family val="0"/>
        <charset val="1"/>
      </rPr>
      <t xml:space="preserve">)"</t>
    </r>
    <r>
      <rPr>
        <sz val="10"/>
        <color rgb="FF000000"/>
        <rFont val="WenQuanYi Zen Hei"/>
        <family val="2"/>
      </rPr>
      <t xml:space="preserve">까지 자동으로 계산해 넣었으므로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같은 증가율이라도 꾸준한 증가인지 한 달에 몰린 증가인지 구분할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</si>
  <si>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7 [</t>
    </r>
    <r>
      <rPr>
        <sz val="10"/>
        <color rgb="FF000000"/>
        <rFont val="WenQuanYi Zen Hei"/>
        <family val="2"/>
      </rPr>
      <t xml:space="preserve">요약 </t>
    </r>
    <r>
      <rPr>
        <sz val="10"/>
        <color rgb="FF000000"/>
        <rFont val="맑은 고딕"/>
        <family val="0"/>
        <charset val="1"/>
      </rPr>
      <t xml:space="preserve">2]</t>
    </r>
    <r>
      <rPr>
        <sz val="10"/>
        <color rgb="FF000000"/>
        <rFont val="WenQuanYi Zen Hei"/>
        <family val="2"/>
      </rPr>
      <t xml:space="preserve">는 매달 몇 개 류가 늘고 줄었는지를 셉니다</t>
    </r>
    <r>
      <rPr>
        <sz val="10"/>
        <color rgb="FF000000"/>
        <rFont val="맑은 고딕"/>
        <family val="0"/>
        <charset val="1"/>
      </rPr>
      <t xml:space="preserve">.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월은 증가 류가 가장 적었고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비반도체 후퇴와 일치</t>
    </r>
    <r>
      <rPr>
        <sz val="10"/>
        <color rgb="FF000000"/>
        <rFont val="맑은 고딕"/>
        <family val="0"/>
        <charset val="1"/>
      </rPr>
      <t xml:space="preserve">), 6</t>
    </r>
    <r>
      <rPr>
        <sz val="10"/>
        <color rgb="FF000000"/>
        <rFont val="WenQuanYi Zen Hei"/>
        <family val="2"/>
      </rPr>
      <t xml:space="preserve">월은 가장 많았습니다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개수 기준 확산과 금액 기준 확산을 함께 보면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큰 품목만 늘었는지</t>
    </r>
    <r>
      <rPr>
        <sz val="10"/>
        <color rgb="FF000000"/>
        <rFont val="맑은 고딕"/>
        <family val="0"/>
        <charset val="1"/>
      </rPr>
      <t xml:space="preserve">" </t>
    </r>
    <r>
      <rPr>
        <sz val="10"/>
        <color rgb="FF000000"/>
        <rFont val="WenQuanYi Zen Hei"/>
        <family val="2"/>
      </rPr>
      <t xml:space="preserve">여부를 판별할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</si>
  <si>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6. </t>
    </r>
    <r>
      <rPr>
        <b val="true"/>
        <sz val="11"/>
        <color rgb="FF1F3864"/>
        <rFont val="WenQuanYi Zen Hei"/>
        <family val="2"/>
      </rPr>
      <t xml:space="preserve">물량인가 가격인가 — 월별로도 답은 같습니다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</si>
  <si>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9-A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개 달을 각각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효과로 분해합니다</t>
    </r>
    <r>
      <rPr>
        <sz val="10"/>
        <color rgb="FF000000"/>
        <rFont val="맑은 고딕"/>
        <family val="0"/>
        <charset val="1"/>
      </rPr>
      <t xml:space="preserve">. 2026</t>
    </r>
    <r>
      <rPr>
        <sz val="10"/>
        <color rgb="FF000000"/>
        <rFont val="WenQuanYi Zen Hei"/>
        <family val="2"/>
      </rPr>
      <t xml:space="preserve">년 모든 달에서 가격효과가 물량효과를 압도합니다</t>
    </r>
    <r>
      <rPr>
        <sz val="10"/>
        <color rgb="FF000000"/>
        <rFont val="맑은 고딕"/>
        <family val="0"/>
        <charset val="1"/>
      </rPr>
      <t xml:space="preserve">. 2026</t>
    </r>
    <r>
      <rPr>
        <sz val="10"/>
        <color rgb="FF000000"/>
        <rFont val="WenQuanYi Zen Hei"/>
        <family val="2"/>
      </rPr>
      <t xml:space="preserve">년 </t>
    </r>
    <r>
      <rPr>
        <sz val="10"/>
        <color rgb="FF000000"/>
        <rFont val="맑은 고딕"/>
        <family val="0"/>
        <charset val="1"/>
      </rPr>
      <t xml:space="preserve">1~7</t>
    </r>
    <r>
      <rPr>
        <sz val="10"/>
        <color rgb="FF000000"/>
        <rFont val="WenQuanYi Zen Hei"/>
        <family val="2"/>
      </rPr>
      <t xml:space="preserve">월 합계로는 가격효과 </t>
    </r>
    <r>
      <rPr>
        <sz val="10"/>
        <color rgb="FF000000"/>
        <rFont val="맑은 고딕"/>
        <family val="0"/>
        <charset val="1"/>
      </rPr>
      <t xml:space="preserve">+2,260.5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</t>
    </r>
    <r>
      <rPr>
        <sz val="10"/>
        <color rgb="FF000000"/>
        <rFont val="WenQuanYi Zen Hei"/>
        <family val="2"/>
      </rPr>
      <t xml:space="preserve">물량효과 −</t>
    </r>
    <r>
      <rPr>
        <sz val="10"/>
        <color rgb="FF000000"/>
        <rFont val="맑은 고딕"/>
        <family val="0"/>
        <charset val="1"/>
      </rPr>
      <t xml:space="preserve">167.8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$, </t>
    </r>
    <r>
      <rPr>
        <sz val="10"/>
        <color rgb="FF000000"/>
        <rFont val="WenQuanYi Zen Hei"/>
        <family val="2"/>
      </rPr>
      <t xml:space="preserve">교차효과 −</t>
    </r>
    <r>
      <rPr>
        <sz val="10"/>
        <color rgb="FF000000"/>
        <rFont val="맑은 고딕"/>
        <family val="0"/>
        <charset val="1"/>
      </rPr>
      <t xml:space="preserve">95.9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</si>
  <si>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2025</t>
    </r>
    <r>
      <rPr>
        <sz val="10"/>
        <color rgb="FF000000"/>
        <rFont val="WenQuanYi Zen Hei"/>
        <family val="2"/>
      </rPr>
      <t xml:space="preserve">년은 성격이 다릅니다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물량효과와 가격효과가 달마다 부호를 바꿔가며 서로 상쇄해 순증가가 거의 나오지 않았습니다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즉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년의 정체는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물량도 가격도 방향을 못 잡은 해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였고</t>
    </r>
    <r>
      <rPr>
        <sz val="10"/>
        <color rgb="FF000000"/>
        <rFont val="맑은 고딕"/>
        <family val="0"/>
        <charset val="1"/>
      </rPr>
      <t xml:space="preserve">, 2026</t>
    </r>
    <r>
      <rPr>
        <sz val="10"/>
        <color rgb="FF000000"/>
        <rFont val="WenQuanYi Zen Hei"/>
        <family val="2"/>
      </rPr>
      <t xml:space="preserve">년의 급증은 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가격이 한 방향으로 몰린 해</t>
    </r>
    <r>
      <rPr>
        <sz val="10"/>
        <color rgb="FF000000"/>
        <rFont val="맑은 고딕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</si>
  <si>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신성질별 중분류로 계산한 피셔 가격지수는 </t>
    </r>
    <r>
      <rPr>
        <sz val="10"/>
        <color rgb="FF000000"/>
        <rFont val="맑은 고딕"/>
        <family val="0"/>
        <charset val="1"/>
      </rPr>
      <t xml:space="preserve">1.514(+51.4%), </t>
    </r>
    <r>
      <rPr>
        <sz val="10"/>
        <color rgb="FF000000"/>
        <rFont val="WenQuanYi Zen Hei"/>
        <family val="2"/>
      </rPr>
      <t xml:space="preserve">물량지수는 </t>
    </r>
    <r>
      <rPr>
        <sz val="10"/>
        <color rgb="FF000000"/>
        <rFont val="맑은 고딕"/>
        <family val="0"/>
        <charset val="1"/>
      </rPr>
      <t xml:space="preserve">0.994(−0.6%)</t>
    </r>
    <r>
      <rPr>
        <sz val="10"/>
        <color rgb="FF000000"/>
        <rFont val="WenQuanYi Zen Hei"/>
        <family val="2"/>
      </rPr>
      <t xml:space="preserve">이며 구성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믹스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효과는 </t>
    </r>
    <r>
      <rPr>
        <sz val="10"/>
        <color rgb="FF000000"/>
        <rFont val="맑은 고딕"/>
        <family val="0"/>
        <charset val="1"/>
      </rPr>
      <t xml:space="preserve">+3.8%p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품목 구성이 바뀌어 평균 단가가 올라 보이는 것이 아니라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팔던 품목의 값 자체가 오른 것입니다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</si>
  <si>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7. </t>
    </r>
    <r>
      <rPr>
        <b val="true"/>
        <sz val="11"/>
        <color rgb="FF1F3864"/>
        <rFont val="WenQuanYi Zen Hei"/>
        <family val="2"/>
      </rPr>
      <t xml:space="preserve">이 파일을 쓰는 방법과 한계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</si>
  <si>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매월 갱신 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원본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 시트에 새 달 데이터를 같은 형식으로 붙이고 「데이터</t>
    </r>
    <r>
      <rPr>
        <sz val="10"/>
        <color rgb="FF000000"/>
        <rFont val="맑은 고딕"/>
        <family val="0"/>
        <charset val="1"/>
      </rPr>
      <t xml:space="preserve">_○○</t>
    </r>
    <r>
      <rPr>
        <sz val="10"/>
        <color rgb="FF000000"/>
        <rFont val="WenQuanYi Zen Hei"/>
        <family val="2"/>
      </rPr>
      <t xml:space="preserve">」 정제 시트의 참조 범위와 분석</t>
    </r>
    <r>
      <rPr>
        <sz val="10"/>
        <color rgb="FF000000"/>
        <rFont val="맑은 고딕"/>
        <family val="0"/>
        <charset val="1"/>
      </rPr>
      <t xml:space="preserve">4B</t>
    </r>
    <r>
      <rPr>
        <sz val="10"/>
        <color rgb="FF000000"/>
        <rFont val="WenQuanYi Zen Hei"/>
        <family val="2"/>
      </rPr>
      <t xml:space="preserve">의 월 열만 늘리면 나머지 분석과 그래프가 자동으로 다시 계산됩니다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</si>
  <si>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반도체 정의 </t>
    </r>
    <r>
      <rPr>
        <sz val="10"/>
        <color rgb="FF000000"/>
        <rFont val="맑은 고딕"/>
        <family val="0"/>
        <charset val="1"/>
      </rPr>
      <t xml:space="preserve">: HS 2</t>
    </r>
    <r>
      <rPr>
        <sz val="10"/>
        <color rgb="FF000000"/>
        <rFont val="WenQuanYi Zen Hei"/>
        <family val="2"/>
      </rPr>
      <t xml:space="preserve">단위 자료라 반도체</t>
    </r>
    <r>
      <rPr>
        <sz val="10"/>
        <color rgb="FF000000"/>
        <rFont val="맑은 고딕"/>
        <family val="0"/>
        <charset val="1"/>
      </rPr>
      <t xml:space="preserve">(HS 8541·8542)</t>
    </r>
    <r>
      <rPr>
        <sz val="10"/>
        <color rgb="FF000000"/>
        <rFont val="WenQuanYi Zen Hei"/>
        <family val="2"/>
      </rPr>
      <t xml:space="preserve">를 단독으로 뽑을 수 없어 세 가지 대용 정의를 병기했습니다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정밀한 반도체 분석에는 </t>
    </r>
    <r>
      <rPr>
        <sz val="10"/>
        <color rgb="FF000000"/>
        <rFont val="맑은 고딕"/>
        <family val="0"/>
        <charset val="1"/>
      </rPr>
      <t xml:space="preserve">HS 4</t>
    </r>
    <r>
      <rPr>
        <sz val="10"/>
        <color rgb="FF000000"/>
        <rFont val="WenQuanYi Zen Hei"/>
        <family val="2"/>
      </rPr>
      <t xml:space="preserve">단위 이상 자료가 필요합니다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</si>
  <si>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품목별 시트는 </t>
    </r>
    <r>
      <rPr>
        <sz val="10"/>
        <color rgb="FF000000"/>
        <rFont val="맑은 고딕"/>
        <family val="0"/>
        <charset val="1"/>
      </rPr>
      <t xml:space="preserve">98</t>
    </r>
    <r>
      <rPr>
        <sz val="10"/>
        <color rgb="FF000000"/>
        <rFont val="WenQuanYi Zen Hei"/>
        <family val="2"/>
      </rPr>
      <t xml:space="preserve">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특수분류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가 없어 총괄보다 매년 </t>
    </r>
    <r>
      <rPr>
        <sz val="10"/>
        <color rgb="FF000000"/>
        <rFont val="맑은 고딕"/>
        <family val="0"/>
        <charset val="1"/>
      </rPr>
      <t xml:space="preserve">0.03~0.05% </t>
    </r>
    <r>
      <rPr>
        <sz val="10"/>
        <color rgb="FF000000"/>
        <rFont val="WenQuanYi Zen Hei"/>
        <family val="2"/>
      </rPr>
      <t xml:space="preserve">작습니다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품목 간 비교에는 영향이 없지만 총액 인용 시에는 총괄 시트를 쓰십시오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</si>
  <si>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2026</t>
    </r>
    <r>
      <rPr>
        <sz val="10"/>
        <color rgb="FF000000"/>
        <rFont val="WenQuanYi Zen Hei"/>
        <family val="2"/>
      </rPr>
      <t xml:space="preserve">년은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개월치입니다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분기 분석에서 </t>
    </r>
    <r>
      <rPr>
        <sz val="10"/>
        <color rgb="FF000000"/>
        <rFont val="맑은 고딕"/>
        <family val="0"/>
        <charset val="1"/>
      </rPr>
      <t xml:space="preserve">2026 Q3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월만 포함된 부분분기라 증감률 계산에서 제외했고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연도 오버레이 그래프에서는 </t>
    </r>
    <r>
      <rPr>
        <sz val="10"/>
        <color rgb="FF000000"/>
        <rFont val="맑은 고딕"/>
        <family val="0"/>
        <charset val="1"/>
      </rPr>
      <t xml:space="preserve">8~12</t>
    </r>
    <r>
      <rPr>
        <sz val="10"/>
        <color rgb="FF000000"/>
        <rFont val="WenQuanYi Zen Hei"/>
        <family val="2"/>
      </rPr>
      <t xml:space="preserve">월을 비워 선이 끊기게 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</si>
  <si>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13</t>
    </r>
    <r>
      <rPr>
        <sz val="10"/>
        <color rgb="FF000000"/>
        <rFont val="WenQuanYi Zen Hei"/>
        <family val="2"/>
      </rPr>
      <t xml:space="preserve">의 상위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품목은 작성 시점 값 기준으로 고정되어 있습니다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수식 자동 재정렬 아님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데이터가 크게 바뀌면 순위가 달라질 수 있으니 분석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의 월별 열로 교차 확인하십시오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</si>
  <si>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국가별 자료가 없어 지역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상대국 분석은 포함되지 않았습니다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</si>
  <si>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작성 : 업로드된 5개 원본 파일만을 근거로 산출했으며 외부 자료를 참조하지 않았습니다.</t>
  </si>
  <si>
    <t xml:space="preserve">⑬ 월별 변화 요약 — 그 달에 정확히 무엇이 달라졌나 (2025.01~2026.07)</t>
  </si>
  <si>
    <t xml:space="preserve">각 행이 한 달입니다. 그 달의 전년 동월 대비 증감액을 누가 만들었는지(증가·감소 상위 3개 HS류)와 반도체/비반도체의 몫을 함께 보여줍니다.</t>
  </si>
  <si>
    <t xml:space="preserve">상위 3개 품목의 선정은 작성 시점의 값 기준으로 고정되어 있습니다(수식 자동 재정렬 아님). 증감액은 모두 수식이며 원본이 바뀌면 갱신됩니다.</t>
  </si>
  <si>
    <t xml:space="preserve">반도체 몫</t>
  </si>
  <si>
    <t xml:space="preserve">비반도체 몫</t>
  </si>
  <si>
    <t xml:space="preserve">증가 1위</t>
  </si>
  <si>
    <t xml:space="preserve">Δ</t>
  </si>
  <si>
    <t xml:space="preserve">증가 2위</t>
  </si>
  <si>
    <t xml:space="preserve">증가 3위</t>
  </si>
  <si>
    <t xml:space="preserve">감소 1위</t>
  </si>
  <si>
    <t xml:space="preserve">감소 2위</t>
  </si>
  <si>
    <t xml:space="preserve">감소 3위</t>
  </si>
  <si>
    <t xml:space="preserve">한 줄 해석</t>
  </si>
  <si>
    <r>
      <rPr>
        <sz val="9"/>
        <color rgb="FF000000"/>
        <rFont val="맑은 고딕"/>
        <family val="0"/>
        <charset val="1"/>
      </rPr>
      <t xml:space="preserve">88. </t>
    </r>
    <r>
      <rPr>
        <sz val="9"/>
        <color rgb="FF000000"/>
        <rFont val="WenQuanYi Zen Hei"/>
        <family val="2"/>
      </rPr>
      <t xml:space="preserve">항공기와 우주선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이들</t>
    </r>
  </si>
  <si>
    <r>
      <rPr>
        <sz val="9"/>
        <color rgb="FF000000"/>
        <rFont val="맑은 고딕"/>
        <family val="0"/>
        <charset val="1"/>
      </rPr>
      <t xml:space="preserve">71. </t>
    </r>
    <r>
      <rPr>
        <sz val="9"/>
        <color rgb="FF000000"/>
        <rFont val="WenQuanYi Zen Hei"/>
        <family val="2"/>
      </rPr>
      <t xml:space="preserve">천연진주ㆍ양식진주ㆍ귀석</t>
    </r>
  </si>
  <si>
    <r>
      <rPr>
        <sz val="9"/>
        <color rgb="FF000000"/>
        <rFont val="맑은 고딕"/>
        <family val="0"/>
        <charset val="1"/>
      </rPr>
      <t xml:space="preserve">87. </t>
    </r>
    <r>
      <rPr>
        <sz val="9"/>
        <color rgb="FF000000"/>
        <rFont val="WenQuanYi Zen Hei"/>
        <family val="2"/>
      </rPr>
      <t xml:space="preserve">철도용이나 궤도용 외의</t>
    </r>
  </si>
  <si>
    <r>
      <rPr>
        <sz val="9"/>
        <color rgb="FF000000"/>
        <rFont val="맑은 고딕"/>
        <family val="0"/>
        <charset val="1"/>
      </rPr>
      <t xml:space="preserve">27. </t>
    </r>
    <r>
      <rPr>
        <sz val="9"/>
        <color rgb="FF000000"/>
        <rFont val="WenQuanYi Zen Hei"/>
        <family val="2"/>
      </rPr>
      <t xml:space="preserve">광물성 연료ㆍ광물유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鑛</t>
    </r>
  </si>
  <si>
    <r>
      <rPr>
        <sz val="9"/>
        <color rgb="FF000000"/>
        <rFont val="맑은 고딕"/>
        <family val="0"/>
        <charset val="1"/>
      </rPr>
      <t xml:space="preserve">85. </t>
    </r>
    <r>
      <rPr>
        <sz val="9"/>
        <color rgb="FF000000"/>
        <rFont val="WenQuanYi Zen Hei"/>
        <family val="2"/>
      </rPr>
      <t xml:space="preserve">전기기기와 그 부분품</t>
    </r>
    <r>
      <rPr>
        <sz val="9"/>
        <color rgb="FF000000"/>
        <rFont val="맑은 고딕"/>
        <family val="0"/>
        <charset val="1"/>
      </rPr>
      <t xml:space="preserve">,</t>
    </r>
  </si>
  <si>
    <r>
      <rPr>
        <sz val="9"/>
        <color rgb="FF000000"/>
        <rFont val="맑은 고딕"/>
        <family val="0"/>
        <charset val="1"/>
      </rPr>
      <t xml:space="preserve">93. </t>
    </r>
    <r>
      <rPr>
        <sz val="9"/>
        <color rgb="FF000000"/>
        <rFont val="WenQuanYi Zen Hei"/>
        <family val="2"/>
      </rPr>
      <t xml:space="preserve">무기ㆍ총포탄과 이들의 </t>
    </r>
  </si>
  <si>
    <r>
      <rPr>
        <sz val="9"/>
        <color rgb="FF000000"/>
        <rFont val="맑은 고딕"/>
        <family val="0"/>
        <charset val="1"/>
      </rPr>
      <t xml:space="preserve">28. </t>
    </r>
    <r>
      <rPr>
        <sz val="9"/>
        <color rgb="FF000000"/>
        <rFont val="WenQuanYi Zen Hei"/>
        <family val="2"/>
      </rPr>
      <t xml:space="preserve">무기화학품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귀금속ㆍ희</t>
    </r>
  </si>
  <si>
    <r>
      <rPr>
        <sz val="9"/>
        <color rgb="FF000000"/>
        <rFont val="맑은 고딕"/>
        <family val="0"/>
        <charset val="1"/>
      </rPr>
      <t xml:space="preserve">84. </t>
    </r>
    <r>
      <rPr>
        <sz val="9"/>
        <color rgb="FF000000"/>
        <rFont val="WenQuanYi Zen Hei"/>
        <family val="2"/>
      </rPr>
      <t xml:space="preserve">원자로ㆍ보일러ㆍ기계류와</t>
    </r>
  </si>
  <si>
    <r>
      <rPr>
        <sz val="9"/>
        <color rgb="FF000000"/>
        <rFont val="맑은 고딕"/>
        <family val="0"/>
        <charset val="1"/>
      </rPr>
      <t xml:space="preserve">72. </t>
    </r>
    <r>
      <rPr>
        <sz val="9"/>
        <color rgb="FF000000"/>
        <rFont val="WenQuanYi Zen Hei"/>
        <family val="2"/>
      </rPr>
      <t xml:space="preserve">철강</t>
    </r>
  </si>
  <si>
    <r>
      <rPr>
        <sz val="9"/>
        <color rgb="FF000000"/>
        <rFont val="맑은 고딕"/>
        <family val="0"/>
        <charset val="1"/>
      </rPr>
      <t xml:space="preserve">26. </t>
    </r>
    <r>
      <rPr>
        <sz val="9"/>
        <color rgb="FF000000"/>
        <rFont val="WenQuanYi Zen Hei"/>
        <family val="2"/>
      </rPr>
      <t xml:space="preserve">광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鑛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ㆍ슬래그</t>
    </r>
    <r>
      <rPr>
        <sz val="9"/>
        <color rgb="FF000000"/>
        <rFont val="맑은 고딕"/>
        <family val="0"/>
        <charset val="1"/>
      </rPr>
      <t xml:space="preserve">(sla</t>
    </r>
  </si>
  <si>
    <r>
      <rPr>
        <sz val="9"/>
        <color rgb="FF000000"/>
        <rFont val="맑은 고딕"/>
        <family val="0"/>
        <charset val="1"/>
      </rPr>
      <t xml:space="preserve">15. </t>
    </r>
    <r>
      <rPr>
        <sz val="9"/>
        <color rgb="FF000000"/>
        <rFont val="WenQuanYi Zen Hei"/>
        <family val="2"/>
      </rPr>
      <t xml:space="preserve">동물성ㆍ식물성ㆍ미생물성</t>
    </r>
  </si>
  <si>
    <r>
      <rPr>
        <sz val="9"/>
        <color rgb="FF000000"/>
        <rFont val="맑은 고딕"/>
        <family val="0"/>
        <charset val="1"/>
      </rPr>
      <t xml:space="preserve">90. </t>
    </r>
    <r>
      <rPr>
        <sz val="9"/>
        <color rgb="FF000000"/>
        <rFont val="WenQuanYi Zen Hei"/>
        <family val="2"/>
      </rPr>
      <t xml:space="preserve">광학기기ㆍ사진용 기기ㆍ</t>
    </r>
  </si>
  <si>
    <r>
      <rPr>
        <sz val="9"/>
        <color rgb="FF000000"/>
        <rFont val="맑은 고딕"/>
        <family val="0"/>
        <charset val="1"/>
      </rPr>
      <t xml:space="preserve">24. </t>
    </r>
    <r>
      <rPr>
        <sz val="9"/>
        <color rgb="FF000000"/>
        <rFont val="WenQuanYi Zen Hei"/>
        <family val="2"/>
      </rPr>
      <t xml:space="preserve">담배와 제조한 담배 대</t>
    </r>
  </si>
  <si>
    <r>
      <rPr>
        <sz val="9"/>
        <color rgb="FF000000"/>
        <rFont val="맑은 고딕"/>
        <family val="0"/>
        <charset val="1"/>
      </rPr>
      <t xml:space="preserve">12. </t>
    </r>
    <r>
      <rPr>
        <sz val="9"/>
        <color rgb="FF000000"/>
        <rFont val="WenQuanYi Zen Hei"/>
        <family val="2"/>
      </rPr>
      <t xml:space="preserve">채유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採油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WenQuanYi Zen Hei"/>
        <family val="2"/>
      </rPr>
      <t xml:space="preserve">에 적합한 </t>
    </r>
  </si>
  <si>
    <r>
      <rPr>
        <sz val="9"/>
        <color rgb="FF000000"/>
        <rFont val="맑은 고딕"/>
        <family val="0"/>
        <charset val="1"/>
      </rPr>
      <t xml:space="preserve">79. </t>
    </r>
    <r>
      <rPr>
        <sz val="9"/>
        <color rgb="FF000000"/>
        <rFont val="WenQuanYi Zen Hei"/>
        <family val="2"/>
      </rPr>
      <t xml:space="preserve">아연과 그 제품</t>
    </r>
  </si>
  <si>
    <t xml:space="preserve">단위 : 금액·증감액은 천달러. 반도체는 광의(IT부품+IT제품) 기준입니다. 전체가 감소한 달에는 기여도 부호가 뒤집혀 보일 수 있습니다.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</si>
</sst>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"/>
    <numFmt numFmtId="167" formatCode="#,##0.0"/>
    <numFmt numFmtId="168" formatCode="#,##0"/>
    <numFmt numFmtId="169" formatCode="0.00%"/>
    <numFmt numFmtId="170" formatCode="0.0%;[RED]\-0.0%;\-"/>
    <numFmt numFmtId="171" formatCode="#,##0.000"/>
    <numFmt numFmtId="172" formatCode="0.000"/>
    <numFmt numFmtId="173" formatCode="\+0.00&quot;%p&quot;;[RED]\-0.00&quot;%p&quot;;\-"/>
    <numFmt numFmtId="174" formatCode="0.000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  <charset val="1"/>
    </font>
    <font>
      <i val="true"/>
      <sz val="9"/>
      <color rgb="FF595959"/>
      <name val="WenQuanYi Zen Hei"/>
      <family val="2"/>
      <charset val="1"/>
    </font>
    <font>
      <b val="true"/>
      <sz val="11"/>
      <color rgb="FF1F3864"/>
      <name val="WenQuanYi Zen Hei"/>
      <family val="2"/>
      <charset val="1"/>
    </font>
    <font>
      <b val="true"/>
      <sz val="9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sz val="10"/>
      <name val="WenQuanYi Zen Hei"/>
      <family val="2"/>
      <charset val="1"/>
    </font>
    <font>
      <b val="true"/>
      <sz val="10"/>
      <name val="WenQuanYi Zen Hei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b val="true"/>
      <sz val="10"/>
      <color rgb="FFFFFFFF"/>
      <name val="WenQuanYi Zen Hei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11"/>
      <color rgb="FF1F3864"/>
      <name val="WenQuanYi Zen Hei"/>
      <family val="2"/>
    </font>
    <font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008000"/>
      <name val="WenQuanYi Zen Hei"/>
      <family val="2"/>
      <charset val="1"/>
    </font>
    <font>
      <i val="true"/>
      <sz val="9"/>
      <color rgb="FFC00000"/>
      <name val="WenQuanYi Zen Hei"/>
      <family val="2"/>
      <charset val="1"/>
    </font>
    <font>
      <b val="true"/>
      <sz val="10"/>
      <color rgb="FF000000"/>
      <name val="WenQuanYi Zen Hei"/>
      <family val="2"/>
    </font>
    <font>
      <b val="true"/>
      <sz val="14"/>
      <color rgb="FF1F3864"/>
      <name val="맑은 고딕"/>
      <family val="0"/>
      <charset val="1"/>
    </font>
    <font>
      <b val="true"/>
      <sz val="14"/>
      <color rgb="FF1F3864"/>
      <name val="WenQuanYi Zen Hei"/>
      <family val="2"/>
    </font>
    <font>
      <i val="true"/>
      <sz val="9"/>
      <color rgb="FF595959"/>
      <name val="맑은 고딕"/>
      <family val="0"/>
      <charset val="1"/>
    </font>
    <font>
      <i val="true"/>
      <sz val="9"/>
      <color rgb="FF595959"/>
      <name val="WenQuanYi Zen Hei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WenQuanYi Zen Hei"/>
      <family val="2"/>
    </font>
    <font>
      <sz val="9"/>
      <color rgb="FF000000"/>
      <name val="맑은 고딕"/>
      <family val="0"/>
      <charset val="1"/>
    </font>
    <font>
      <sz val="9"/>
      <color rgb="FF000000"/>
      <name val="WenQuanYi Zen Hei"/>
      <family val="2"/>
    </font>
    <font>
      <sz val="9"/>
      <color rgb="FF000000"/>
      <name val="WenQuanYi Zen Hei"/>
      <family val="2"/>
      <charset val="1"/>
    </font>
    <font>
      <sz val="8"/>
      <color rgb="FF000000"/>
      <name val="맑은 고딕"/>
      <family val="0"/>
      <charset val="1"/>
    </font>
    <font>
      <i val="true"/>
      <sz val="9"/>
      <color rgb="FFC00000"/>
      <name val="맑은 고딕"/>
      <family val="0"/>
      <charset val="1"/>
    </font>
    <font>
      <i val="true"/>
      <sz val="9"/>
      <color rgb="FFC00000"/>
      <name val="WenQuanYi Zen Hei"/>
      <family val="2"/>
    </font>
    <font>
      <b val="true"/>
      <sz val="9"/>
      <color rgb="FF000000"/>
      <name val="맑은 고딕"/>
      <family val="0"/>
      <charset val="1"/>
    </font>
    <font>
      <b val="true"/>
      <sz val="9"/>
      <color rgb="FF000000"/>
      <name val="WenQuanYi Zen Hei"/>
      <family val="2"/>
      <charset val="1"/>
    </font>
    <font>
      <sz val="8"/>
      <color rgb="FF000000"/>
      <name val="WenQuanYi Zen Hei"/>
      <family val="2"/>
      <charset val="1"/>
    </font>
    <font>
      <sz val="8"/>
      <color rgb="FF00000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7F7F7F"/>
        <bgColor rgb="FF548235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EDEDED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B3B3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수출 금액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분석4_연도별계절비교!B6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분석4_연도별계절비교!$B$7:$B$18</c:f>
              <c:numCache>
                <c:formatCode>#,##0</c:formatCode>
                <c:ptCount val="12"/>
                <c:pt idx="0">
                  <c:v>54709823</c:v>
                </c:pt>
                <c:pt idx="1">
                  <c:v>52076390</c:v>
                </c:pt>
                <c:pt idx="2">
                  <c:v>56518309</c:v>
                </c:pt>
                <c:pt idx="3">
                  <c:v>56148299</c:v>
                </c:pt>
                <c:pt idx="4">
                  <c:v>58020557</c:v>
                </c:pt>
                <c:pt idx="5">
                  <c:v>57341634</c:v>
                </c:pt>
                <c:pt idx="6">
                  <c:v>57458788</c:v>
                </c:pt>
                <c:pt idx="7">
                  <c:v>57642924</c:v>
                </c:pt>
                <c:pt idx="8">
                  <c:v>58544693</c:v>
                </c:pt>
                <c:pt idx="9">
                  <c:v>57500192</c:v>
                </c:pt>
                <c:pt idx="10">
                  <c:v>56288629</c:v>
                </c:pt>
                <c:pt idx="11">
                  <c:v>61359250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분석4_연도별계절비교!C6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분석4_연도별계절비교!$C$7:$C$18</c:f>
              <c:numCache>
                <c:formatCode>#,##0</c:formatCode>
                <c:ptCount val="12"/>
                <c:pt idx="0">
                  <c:v>49176984</c:v>
                </c:pt>
                <c:pt idx="1">
                  <c:v>52292301</c:v>
                </c:pt>
                <c:pt idx="2">
                  <c:v>58064562</c:v>
                </c:pt>
                <c:pt idx="3">
                  <c:v>58035745</c:v>
                </c:pt>
                <c:pt idx="4">
                  <c:v>57261063</c:v>
                </c:pt>
                <c:pt idx="5">
                  <c:v>59833797</c:v>
                </c:pt>
                <c:pt idx="6">
                  <c:v>60724322</c:v>
                </c:pt>
                <c:pt idx="7">
                  <c:v>58259332</c:v>
                </c:pt>
                <c:pt idx="8">
                  <c:v>65904118</c:v>
                </c:pt>
                <c:pt idx="9">
                  <c:v>59511578</c:v>
                </c:pt>
                <c:pt idx="10">
                  <c:v>60752618</c:v>
                </c:pt>
                <c:pt idx="11">
                  <c:v>69513624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분석4_연도별계절비교!D6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분석4_연도별계절비교!$A$7:$A$18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분석4_연도별계절비교!$D$7:$D$18</c:f>
              <c:numCache>
                <c:formatCode>#,##0</c:formatCode>
                <c:ptCount val="12"/>
                <c:pt idx="0">
                  <c:v>65843937</c:v>
                </c:pt>
                <c:pt idx="1">
                  <c:v>67642547</c:v>
                </c:pt>
                <c:pt idx="2">
                  <c:v>87333128</c:v>
                </c:pt>
                <c:pt idx="3">
                  <c:v>85751883</c:v>
                </c:pt>
                <c:pt idx="4">
                  <c:v>87576083</c:v>
                </c:pt>
                <c:pt idx="5">
                  <c:v>101956159</c:v>
                </c:pt>
                <c:pt idx="6">
                  <c:v>98959099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728230"/>
        <c:axId val="83167080"/>
      </c:lineChart>
      <c:catAx>
        <c:axId val="237282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67080"/>
        <c:crosses val="autoZero"/>
        <c:auto val="1"/>
        <c:lblAlgn val="ctr"/>
        <c:lblOffset val="100"/>
        <c:noMultiLvlLbl val="0"/>
      </c:catAx>
      <c:valAx>
        <c:axId val="831670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282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수입 금액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분석4_연도별계절비교!B23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분석4_연도별계절비교!$A$24:$A$35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분석4_연도별계절비교!$B$24:$B$35</c:f>
              <c:numCache>
                <c:formatCode>#,##0</c:formatCode>
                <c:ptCount val="12"/>
                <c:pt idx="0">
                  <c:v>54474611</c:v>
                </c:pt>
                <c:pt idx="1">
                  <c:v>48221860</c:v>
                </c:pt>
                <c:pt idx="2">
                  <c:v>52112905</c:v>
                </c:pt>
                <c:pt idx="3">
                  <c:v>54821181</c:v>
                </c:pt>
                <c:pt idx="4">
                  <c:v>53132937</c:v>
                </c:pt>
                <c:pt idx="5">
                  <c:v>49090193</c:v>
                </c:pt>
                <c:pt idx="6">
                  <c:v>53838742</c:v>
                </c:pt>
                <c:pt idx="7">
                  <c:v>54054894</c:v>
                </c:pt>
                <c:pt idx="8">
                  <c:v>52102925</c:v>
                </c:pt>
                <c:pt idx="9">
                  <c:v>54331589</c:v>
                </c:pt>
                <c:pt idx="10">
                  <c:v>50718992</c:v>
                </c:pt>
                <c:pt idx="11">
                  <c:v>54866380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분석4_연도별계절비교!C23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분석4_연도별계절비교!$A$24:$A$35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분석4_연도별계절비교!$C$24:$C$35</c:f>
              <c:numCache>
                <c:formatCode>#,##0</c:formatCode>
                <c:ptCount val="12"/>
                <c:pt idx="0">
                  <c:v>51172292</c:v>
                </c:pt>
                <c:pt idx="1">
                  <c:v>48328741</c:v>
                </c:pt>
                <c:pt idx="2">
                  <c:v>53341032</c:v>
                </c:pt>
                <c:pt idx="3">
                  <c:v>53232716</c:v>
                </c:pt>
                <c:pt idx="4">
                  <c:v>50345116</c:v>
                </c:pt>
                <c:pt idx="5">
                  <c:v>50825746</c:v>
                </c:pt>
                <c:pt idx="6">
                  <c:v>54210371</c:v>
                </c:pt>
                <c:pt idx="7">
                  <c:v>51856624</c:v>
                </c:pt>
                <c:pt idx="8">
                  <c:v>56419614</c:v>
                </c:pt>
                <c:pt idx="9">
                  <c:v>53510827</c:v>
                </c:pt>
                <c:pt idx="10">
                  <c:v>51284605</c:v>
                </c:pt>
                <c:pt idx="11">
                  <c:v>57367684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분석4_연도별계절비교!D23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분석4_연도별계절비교!$A$24:$A$35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분석4_연도별계절비교!$D$24:$D$35</c:f>
              <c:numCache>
                <c:formatCode>#,##0</c:formatCode>
                <c:ptCount val="12"/>
                <c:pt idx="0">
                  <c:v>57143469</c:v>
                </c:pt>
                <c:pt idx="1">
                  <c:v>51933913</c:v>
                </c:pt>
                <c:pt idx="2">
                  <c:v>60753446</c:v>
                </c:pt>
                <c:pt idx="3">
                  <c:v>62104908</c:v>
                </c:pt>
                <c:pt idx="4">
                  <c:v>60748350</c:v>
                </c:pt>
                <c:pt idx="5">
                  <c:v>66051586</c:v>
                </c:pt>
                <c:pt idx="6">
                  <c:v>68567473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153356"/>
        <c:axId val="98360592"/>
      </c:lineChart>
      <c:catAx>
        <c:axId val="611533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60592"/>
        <c:crosses val="autoZero"/>
        <c:auto val="1"/>
        <c:lblAlgn val="ctr"/>
        <c:lblOffset val="100"/>
        <c:noMultiLvlLbl val="0"/>
      </c:catAx>
      <c:valAx>
        <c:axId val="983605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53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무역수지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분석4_연도별계절비교!B40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분석4_연도별계절비교!$A$41:$A$52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분석4_연도별계절비교!$B$41:$B$52</c:f>
              <c:numCache>
                <c:formatCode>#,##0</c:formatCode>
                <c:ptCount val="12"/>
                <c:pt idx="0">
                  <c:v>235213</c:v>
                </c:pt>
                <c:pt idx="1">
                  <c:v>3854529</c:v>
                </c:pt>
                <c:pt idx="2">
                  <c:v>4405404</c:v>
                </c:pt>
                <c:pt idx="3">
                  <c:v>1327118</c:v>
                </c:pt>
                <c:pt idx="4">
                  <c:v>4887620</c:v>
                </c:pt>
                <c:pt idx="5">
                  <c:v>8251441</c:v>
                </c:pt>
                <c:pt idx="6">
                  <c:v>3620046</c:v>
                </c:pt>
                <c:pt idx="7">
                  <c:v>3588030</c:v>
                </c:pt>
                <c:pt idx="8">
                  <c:v>6441768</c:v>
                </c:pt>
                <c:pt idx="9">
                  <c:v>3168604</c:v>
                </c:pt>
                <c:pt idx="10">
                  <c:v>5569637</c:v>
                </c:pt>
                <c:pt idx="11">
                  <c:v>6492870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분석4_연도별계절비교!C40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분석4_연도별계절비교!$A$41:$A$52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분석4_연도별계절비교!$C$41:$C$52</c:f>
              <c:numCache>
                <c:formatCode>#,##0</c:formatCode>
                <c:ptCount val="12"/>
                <c:pt idx="0">
                  <c:v>-1995308</c:v>
                </c:pt>
                <c:pt idx="1">
                  <c:v>3963560</c:v>
                </c:pt>
                <c:pt idx="2">
                  <c:v>4723530</c:v>
                </c:pt>
                <c:pt idx="3">
                  <c:v>4803029</c:v>
                </c:pt>
                <c:pt idx="4">
                  <c:v>6915946</c:v>
                </c:pt>
                <c:pt idx="5">
                  <c:v>9008051</c:v>
                </c:pt>
                <c:pt idx="6">
                  <c:v>6513951</c:v>
                </c:pt>
                <c:pt idx="7">
                  <c:v>6402708</c:v>
                </c:pt>
                <c:pt idx="8">
                  <c:v>9484504</c:v>
                </c:pt>
                <c:pt idx="9">
                  <c:v>6000751</c:v>
                </c:pt>
                <c:pt idx="10">
                  <c:v>9468013</c:v>
                </c:pt>
                <c:pt idx="11">
                  <c:v>12145941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분석4_연도별계절비교!D40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분석4_연도별계절비교!$A$41:$A$52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분석4_연도별계절비교!$D$41:$D$52</c:f>
              <c:numCache>
                <c:formatCode>#,##0</c:formatCode>
                <c:ptCount val="12"/>
                <c:pt idx="0">
                  <c:v>8700468</c:v>
                </c:pt>
                <c:pt idx="1">
                  <c:v>15708634</c:v>
                </c:pt>
                <c:pt idx="2">
                  <c:v>26579682</c:v>
                </c:pt>
                <c:pt idx="3">
                  <c:v>23646975</c:v>
                </c:pt>
                <c:pt idx="4">
                  <c:v>26827733</c:v>
                </c:pt>
                <c:pt idx="5">
                  <c:v>35904573</c:v>
                </c:pt>
                <c:pt idx="6">
                  <c:v>30391625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313272"/>
        <c:axId val="57024455"/>
      </c:lineChart>
      <c:catAx>
        <c:axId val="69313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24455"/>
        <c:crosses val="autoZero"/>
        <c:auto val="1"/>
        <c:lblAlgn val="ctr"/>
        <c:lblOffset val="100"/>
        <c:noMultiLvlLbl val="0"/>
      </c:catAx>
      <c:valAx>
        <c:axId val="570244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13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수출 단가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분석4_연도별계절비교!B74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분석4_연도별계절비교!$A$75:$A$86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분석4_연도별계절비교!$B$75:$B$86</c:f>
              <c:numCache>
                <c:formatCode>#,##0.000</c:formatCode>
                <c:ptCount val="12"/>
                <c:pt idx="0">
                  <c:v>3.1983217823424</c:v>
                </c:pt>
                <c:pt idx="1">
                  <c:v>3.32141317456898</c:v>
                </c:pt>
                <c:pt idx="2">
                  <c:v>3.36305773454571</c:v>
                </c:pt>
                <c:pt idx="3">
                  <c:v>3.404683347792</c:v>
                </c:pt>
                <c:pt idx="4">
                  <c:v>3.45487992758089</c:v>
                </c:pt>
                <c:pt idx="5">
                  <c:v>3.91639450412871</c:v>
                </c:pt>
                <c:pt idx="6">
                  <c:v>3.44124082813764</c:v>
                </c:pt>
                <c:pt idx="7">
                  <c:v>3.37684744504625</c:v>
                </c:pt>
                <c:pt idx="8">
                  <c:v>3.55899649547799</c:v>
                </c:pt>
                <c:pt idx="9">
                  <c:v>3.59491608040294</c:v>
                </c:pt>
                <c:pt idx="10">
                  <c:v>3.5415115657801</c:v>
                </c:pt>
                <c:pt idx="11">
                  <c:v>3.48230620067952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분석4_연도별계절비교!C74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분석4_연도별계절비교!$A$75:$A$86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분석4_연도별계절비교!$C$75:$C$86</c:f>
              <c:numCache>
                <c:formatCode>#,##0.000</c:formatCode>
                <c:ptCount val="12"/>
                <c:pt idx="0">
                  <c:v>3.28146229699887</c:v>
                </c:pt>
                <c:pt idx="1">
                  <c:v>3.23753347060804</c:v>
                </c:pt>
                <c:pt idx="2">
                  <c:v>3.69789463797475</c:v>
                </c:pt>
                <c:pt idx="3">
                  <c:v>3.31106749140048</c:v>
                </c:pt>
                <c:pt idx="4">
                  <c:v>3.45498483602965</c:v>
                </c:pt>
                <c:pt idx="5">
                  <c:v>3.68862695799073</c:v>
                </c:pt>
                <c:pt idx="6">
                  <c:v>3.4540060584028</c:v>
                </c:pt>
                <c:pt idx="7">
                  <c:v>3.40326197813722</c:v>
                </c:pt>
                <c:pt idx="8">
                  <c:v>3.64580406453761</c:v>
                </c:pt>
                <c:pt idx="9">
                  <c:v>3.71545213571618</c:v>
                </c:pt>
                <c:pt idx="10">
                  <c:v>4.15968620378295</c:v>
                </c:pt>
                <c:pt idx="11">
                  <c:v>3.8666162477146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분석4_연도별계절비교!D74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분석4_연도별계절비교!$A$75:$A$86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분석4_연도별계절비교!$D$75:$D$86</c:f>
              <c:numCache>
                <c:formatCode>#,##0.000</c:formatCode>
                <c:ptCount val="12"/>
                <c:pt idx="0">
                  <c:v>3.93334183515196</c:v>
                </c:pt>
                <c:pt idx="1">
                  <c:v>4.33563886970023</c:v>
                </c:pt>
                <c:pt idx="2">
                  <c:v>5.3975134627075</c:v>
                </c:pt>
                <c:pt idx="3">
                  <c:v>5.94933001330775</c:v>
                </c:pt>
                <c:pt idx="4">
                  <c:v>6.44438795970537</c:v>
                </c:pt>
                <c:pt idx="5">
                  <c:v>6.49902094450867</c:v>
                </c:pt>
                <c:pt idx="6">
                  <c:v>5.6033570099028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695651"/>
        <c:axId val="94441005"/>
      </c:lineChart>
      <c:catAx>
        <c:axId val="726956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41005"/>
        <c:crosses val="autoZero"/>
        <c:auto val="1"/>
        <c:lblAlgn val="ctr"/>
        <c:lblOffset val="100"/>
        <c:noMultiLvlLbl val="0"/>
      </c:catAx>
      <c:valAx>
        <c:axId val="944410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천달러/톤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95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일평균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분석4_연도별계절비교!B91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분석4_연도별계절비교!$A$92:$A$103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분석4_연도별계절비교!$B$92:$B$103</c:f>
              <c:numCache>
                <c:formatCode>#,##0</c:formatCode>
                <c:ptCount val="12"/>
                <c:pt idx="0">
                  <c:v>2279575.95833333</c:v>
                </c:pt>
                <c:pt idx="1">
                  <c:v>2540311.70731707</c:v>
                </c:pt>
                <c:pt idx="2">
                  <c:v>2511924.84444444</c:v>
                </c:pt>
                <c:pt idx="3">
                  <c:v>2441230.39130435</c:v>
                </c:pt>
                <c:pt idx="4">
                  <c:v>2637298.04545455</c:v>
                </c:pt>
                <c:pt idx="5">
                  <c:v>2667052.74418605</c:v>
                </c:pt>
                <c:pt idx="6">
                  <c:v>2298351.52</c:v>
                </c:pt>
                <c:pt idx="7">
                  <c:v>2452890.38297872</c:v>
                </c:pt>
                <c:pt idx="8">
                  <c:v>2927234.65</c:v>
                </c:pt>
                <c:pt idx="9">
                  <c:v>2613645.09090909</c:v>
                </c:pt>
                <c:pt idx="10">
                  <c:v>2395260.80851064</c:v>
                </c:pt>
                <c:pt idx="11">
                  <c:v>2667793.47826087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분석4_연도별계절비교!C91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분석4_연도별계절비교!$A$92:$A$103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분석4_연도별계절비교!$C$92:$C$103</c:f>
              <c:numCache>
                <c:formatCode>#,##0</c:formatCode>
                <c:ptCount val="12"/>
                <c:pt idx="0">
                  <c:v>2458849.2</c:v>
                </c:pt>
                <c:pt idx="1">
                  <c:v>2376922.77272727</c:v>
                </c:pt>
                <c:pt idx="2">
                  <c:v>2639298.27272727</c:v>
                </c:pt>
                <c:pt idx="3">
                  <c:v>2418156.04166667</c:v>
                </c:pt>
                <c:pt idx="4">
                  <c:v>2663305.25581395</c:v>
                </c:pt>
                <c:pt idx="5">
                  <c:v>2849228.42857143</c:v>
                </c:pt>
                <c:pt idx="6">
                  <c:v>2428972.88</c:v>
                </c:pt>
                <c:pt idx="7">
                  <c:v>2589303.64444444</c:v>
                </c:pt>
                <c:pt idx="8">
                  <c:v>2746004.91666667</c:v>
                </c:pt>
                <c:pt idx="9">
                  <c:v>2975578.9</c:v>
                </c:pt>
                <c:pt idx="10">
                  <c:v>2700116.35555556</c:v>
                </c:pt>
                <c:pt idx="11">
                  <c:v>2896401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분석4_연도별계절비교!D91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분석4_연도별계절비교!$A$92:$A$103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분석4_연도별계절비교!$D$92:$D$103</c:f>
              <c:numCache>
                <c:formatCode>#,##0</c:formatCode>
                <c:ptCount val="12"/>
                <c:pt idx="0">
                  <c:v>2801869.65957447</c:v>
                </c:pt>
                <c:pt idx="1">
                  <c:v>3560134.05263158</c:v>
                </c:pt>
                <c:pt idx="2">
                  <c:v>3797092.52173913</c:v>
                </c:pt>
                <c:pt idx="3">
                  <c:v>3572995.125</c:v>
                </c:pt>
                <c:pt idx="4">
                  <c:v>4272004.04878049</c:v>
                </c:pt>
                <c:pt idx="5">
                  <c:v>4531384.84444444</c:v>
                </c:pt>
                <c:pt idx="6">
                  <c:v>4123295.79166667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960407"/>
        <c:axId val="66676515"/>
      </c:lineChart>
      <c:catAx>
        <c:axId val="299604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76515"/>
        <c:crosses val="autoZero"/>
        <c:auto val="1"/>
        <c:lblAlgn val="ctr"/>
        <c:lblOffset val="100"/>
        <c:noMultiLvlLbl val="0"/>
      </c:catAx>
      <c:valAx>
        <c:axId val="666765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천달러/일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604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수출 중량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분석4_연도별계절비교!B57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분석4_연도별계절비교!$A$58:$A$69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분석4_연도별계절비교!$B$58:$B$69</c:f>
              <c:numCache>
                <c:formatCode>#,##0.0</c:formatCode>
                <c:ptCount val="12"/>
                <c:pt idx="0">
                  <c:v>17105790.7</c:v>
                </c:pt>
                <c:pt idx="1">
                  <c:v>15678985.8</c:v>
                </c:pt>
                <c:pt idx="2">
                  <c:v>16805631.5</c:v>
                </c:pt>
                <c:pt idx="3">
                  <c:v>16491489.3</c:v>
                </c:pt>
                <c:pt idx="4">
                  <c:v>16793798.4</c:v>
                </c:pt>
                <c:pt idx="5">
                  <c:v>14641434.6</c:v>
                </c:pt>
                <c:pt idx="6">
                  <c:v>16697113.3</c:v>
                </c:pt>
                <c:pt idx="7">
                  <c:v>17070040.9</c:v>
                </c:pt>
                <c:pt idx="8">
                  <c:v>16449775.4</c:v>
                </c:pt>
                <c:pt idx="9">
                  <c:v>15994863.5</c:v>
                </c:pt>
                <c:pt idx="10">
                  <c:v>15893956</c:v>
                </c:pt>
                <c:pt idx="11">
                  <c:v>17620291.4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분석4_연도별계절비교!C57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분석4_연도별계절비교!$A$58:$A$69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분석4_연도별계절비교!$C$58:$C$69</c:f>
              <c:numCache>
                <c:formatCode>#,##0.0</c:formatCode>
                <c:ptCount val="12"/>
                <c:pt idx="0">
                  <c:v>14986301.7</c:v>
                </c:pt>
                <c:pt idx="1">
                  <c:v>16151895.1</c:v>
                </c:pt>
                <c:pt idx="2">
                  <c:v>15702059.6</c:v>
                </c:pt>
                <c:pt idx="3">
                  <c:v>17527804.9</c:v>
                </c:pt>
                <c:pt idx="4">
                  <c:v>16573462.9</c:v>
                </c:pt>
                <c:pt idx="5">
                  <c:v>16221157</c:v>
                </c:pt>
                <c:pt idx="6">
                  <c:v>17580838.3</c:v>
                </c:pt>
                <c:pt idx="7">
                  <c:v>17118673.9</c:v>
                </c:pt>
                <c:pt idx="8">
                  <c:v>18076703.2</c:v>
                </c:pt>
                <c:pt idx="9">
                  <c:v>16017317.9</c:v>
                </c:pt>
                <c:pt idx="10">
                  <c:v>14605096.4</c:v>
                </c:pt>
                <c:pt idx="11">
                  <c:v>17977895.8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분석4_연도별계절비교!D57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분석4_연도별계절비교!$A$58:$A$69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분석4_연도별계절비교!$D$58:$D$69</c:f>
              <c:numCache>
                <c:formatCode>#,##0.0</c:formatCode>
                <c:ptCount val="12"/>
                <c:pt idx="0">
                  <c:v>16739947.8</c:v>
                </c:pt>
                <c:pt idx="1">
                  <c:v>15601517.8</c:v>
                </c:pt>
                <c:pt idx="2">
                  <c:v>16180252</c:v>
                </c:pt>
                <c:pt idx="3">
                  <c:v>14413704.2</c:v>
                </c:pt>
                <c:pt idx="4">
                  <c:v>13589511.3</c:v>
                </c:pt>
                <c:pt idx="5">
                  <c:v>15687925.9</c:v>
                </c:pt>
                <c:pt idx="6">
                  <c:v>17660680.7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002360"/>
        <c:axId val="25115516"/>
      </c:lineChart>
      <c:catAx>
        <c:axId val="18002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15516"/>
        <c:crosses val="autoZero"/>
        <c:auto val="1"/>
        <c:lblAlgn val="ctr"/>
        <c:lblOffset val="100"/>
        <c:noMultiLvlLbl val="0"/>
      </c:catAx>
      <c:valAx>
        <c:axId val="251155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02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IT부품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분석4_연도별계절비교!B108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분석4_연도별계절비교!$A$109:$A$120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분석4_연도별계절비교!$B$109:$B$120</c:f>
              <c:numCache>
                <c:formatCode>#,##0</c:formatCode>
                <c:ptCount val="12"/>
                <c:pt idx="0">
                  <c:v>10906032</c:v>
                </c:pt>
                <c:pt idx="1">
                  <c:v>11337326</c:v>
                </c:pt>
                <c:pt idx="2">
                  <c:v>13100458</c:v>
                </c:pt>
                <c:pt idx="3">
                  <c:v>11462315</c:v>
                </c:pt>
                <c:pt idx="4">
                  <c:v>12885210</c:v>
                </c:pt>
                <c:pt idx="5">
                  <c:v>14858944</c:v>
                </c:pt>
                <c:pt idx="6">
                  <c:v>12779175</c:v>
                </c:pt>
                <c:pt idx="7">
                  <c:v>13355124</c:v>
                </c:pt>
                <c:pt idx="8">
                  <c:v>15012173</c:v>
                </c:pt>
                <c:pt idx="9">
                  <c:v>13966592</c:v>
                </c:pt>
                <c:pt idx="10">
                  <c:v>13853750</c:v>
                </c:pt>
                <c:pt idx="11">
                  <c:v>16007494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분석4_연도별계절비교!C108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분석4_연도별계절비교!$A$109:$A$120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분석4_연도별계절비교!$C$109:$C$120</c:f>
              <c:numCache>
                <c:formatCode>#,##0</c:formatCode>
                <c:ptCount val="12"/>
                <c:pt idx="0">
                  <c:v>11401866</c:v>
                </c:pt>
                <c:pt idx="1">
                  <c:v>11047722</c:v>
                </c:pt>
                <c:pt idx="2">
                  <c:v>14496027</c:v>
                </c:pt>
                <c:pt idx="3">
                  <c:v>13164080</c:v>
                </c:pt>
                <c:pt idx="4">
                  <c:v>15232758</c:v>
                </c:pt>
                <c:pt idx="5">
                  <c:v>16460523</c:v>
                </c:pt>
                <c:pt idx="6">
                  <c:v>16315529</c:v>
                </c:pt>
                <c:pt idx="7">
                  <c:v>16619686</c:v>
                </c:pt>
                <c:pt idx="8">
                  <c:v>18213352</c:v>
                </c:pt>
                <c:pt idx="9">
                  <c:v>17140440</c:v>
                </c:pt>
                <c:pt idx="10">
                  <c:v>18753711</c:v>
                </c:pt>
                <c:pt idx="11">
                  <c:v>22382239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분석4_연도별계절비교!D108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분석4_연도별계절비교!$A$109:$A$120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분석4_연도별계절비교!$D$109:$D$120</c:f>
              <c:numCache>
                <c:formatCode>#,##0</c:formatCode>
                <c:ptCount val="12"/>
                <c:pt idx="0">
                  <c:v>22116584</c:v>
                </c:pt>
                <c:pt idx="1">
                  <c:v>26464502</c:v>
                </c:pt>
                <c:pt idx="2">
                  <c:v>34380761</c:v>
                </c:pt>
                <c:pt idx="3">
                  <c:v>33505272</c:v>
                </c:pt>
                <c:pt idx="4">
                  <c:v>38640678</c:v>
                </c:pt>
                <c:pt idx="5">
                  <c:v>46467096</c:v>
                </c:pt>
                <c:pt idx="6">
                  <c:v>42761535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486786"/>
        <c:axId val="79773587"/>
      </c:lineChart>
      <c:catAx>
        <c:axId val="114867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73587"/>
        <c:crosses val="autoZero"/>
        <c:auto val="1"/>
        <c:lblAlgn val="ctr"/>
        <c:lblOffset val="100"/>
        <c:noMultiLvlLbl val="0"/>
      </c:catAx>
      <c:valAx>
        <c:axId val="797735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867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IT제품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분석4_연도별계절비교!B125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분석4_연도별계절비교!$A$126:$A$137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분석4_연도별계절비교!$B$126:$B$137</c:f>
              <c:numCache>
                <c:formatCode>#,##0</c:formatCode>
                <c:ptCount val="12"/>
                <c:pt idx="0">
                  <c:v>3114163</c:v>
                </c:pt>
                <c:pt idx="1">
                  <c:v>2808720</c:v>
                </c:pt>
                <c:pt idx="2">
                  <c:v>3232430</c:v>
                </c:pt>
                <c:pt idx="3">
                  <c:v>3144964</c:v>
                </c:pt>
                <c:pt idx="4">
                  <c:v>3707430</c:v>
                </c:pt>
                <c:pt idx="5">
                  <c:v>3790198</c:v>
                </c:pt>
                <c:pt idx="6">
                  <c:v>4153118</c:v>
                </c:pt>
                <c:pt idx="7">
                  <c:v>4877249</c:v>
                </c:pt>
                <c:pt idx="8">
                  <c:v>4926301</c:v>
                </c:pt>
                <c:pt idx="9">
                  <c:v>4421318</c:v>
                </c:pt>
                <c:pt idx="10">
                  <c:v>4343246</c:v>
                </c:pt>
                <c:pt idx="11">
                  <c:v>4136134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분석4_연도별계절비교!C125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분석4_연도별계절비교!$A$126:$A$137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분석4_연도별계절비교!$C$126:$C$137</c:f>
              <c:numCache>
                <c:formatCode>#,##0</c:formatCode>
                <c:ptCount val="12"/>
                <c:pt idx="0">
                  <c:v>2960976</c:v>
                </c:pt>
                <c:pt idx="1">
                  <c:v>3197859</c:v>
                </c:pt>
                <c:pt idx="2">
                  <c:v>3719157</c:v>
                </c:pt>
                <c:pt idx="3">
                  <c:v>3238072</c:v>
                </c:pt>
                <c:pt idx="4">
                  <c:v>3514373</c:v>
                </c:pt>
                <c:pt idx="5">
                  <c:v>3295580</c:v>
                </c:pt>
                <c:pt idx="6">
                  <c:v>3534929</c:v>
                </c:pt>
                <c:pt idx="7">
                  <c:v>4225294</c:v>
                </c:pt>
                <c:pt idx="8">
                  <c:v>4619191</c:v>
                </c:pt>
                <c:pt idx="9">
                  <c:v>4120522</c:v>
                </c:pt>
                <c:pt idx="10">
                  <c:v>4413268</c:v>
                </c:pt>
                <c:pt idx="11">
                  <c:v>5051752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분석4_연도별계절비교!D125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분석4_연도별계절비교!$A$126:$A$137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분석4_연도별계절비교!$D$126:$D$137</c:f>
              <c:numCache>
                <c:formatCode>#,##0</c:formatCode>
                <c:ptCount val="12"/>
                <c:pt idx="0">
                  <c:v>4797650</c:v>
                </c:pt>
                <c:pt idx="1">
                  <c:v>5117377</c:v>
                </c:pt>
                <c:pt idx="2">
                  <c:v>6460687</c:v>
                </c:pt>
                <c:pt idx="3">
                  <c:v>6821884</c:v>
                </c:pt>
                <c:pt idx="4">
                  <c:v>6917946</c:v>
                </c:pt>
                <c:pt idx="5">
                  <c:v>8325417</c:v>
                </c:pt>
                <c:pt idx="6">
                  <c:v>8032683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923554"/>
        <c:axId val="33198097"/>
      </c:lineChart>
      <c:catAx>
        <c:axId val="949235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98097"/>
        <c:crosses val="autoZero"/>
        <c:auto val="1"/>
        <c:lblAlgn val="ctr"/>
        <c:lblOffset val="100"/>
        <c:noMultiLvlLbl val="0"/>
      </c:catAx>
      <c:valAx>
        <c:axId val="331980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235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 제외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분석4_연도별계절비교!B142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분석4_연도별계절비교!$A$143:$A$154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분석4_연도별계절비교!$B$143:$B$154</c:f>
              <c:numCache>
                <c:formatCode>#,##0</c:formatCode>
                <c:ptCount val="12"/>
                <c:pt idx="0">
                  <c:v>40689628</c:v>
                </c:pt>
                <c:pt idx="1">
                  <c:v>37930344</c:v>
                </c:pt>
                <c:pt idx="2">
                  <c:v>40185421</c:v>
                </c:pt>
                <c:pt idx="3">
                  <c:v>41541020</c:v>
                </c:pt>
                <c:pt idx="4">
                  <c:v>41427917</c:v>
                </c:pt>
                <c:pt idx="5">
                  <c:v>38692492</c:v>
                </c:pt>
                <c:pt idx="6">
                  <c:v>40526495</c:v>
                </c:pt>
                <c:pt idx="7">
                  <c:v>39410551</c:v>
                </c:pt>
                <c:pt idx="8">
                  <c:v>38606219</c:v>
                </c:pt>
                <c:pt idx="9">
                  <c:v>39112282</c:v>
                </c:pt>
                <c:pt idx="10">
                  <c:v>38091633</c:v>
                </c:pt>
                <c:pt idx="11">
                  <c:v>41215622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분석4_연도별계절비교!C142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분석4_연도별계절비교!$A$143:$A$154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분석4_연도별계절비교!$C$143:$C$154</c:f>
              <c:numCache>
                <c:formatCode>#,##0</c:formatCode>
                <c:ptCount val="12"/>
                <c:pt idx="0">
                  <c:v>34814142</c:v>
                </c:pt>
                <c:pt idx="1">
                  <c:v>38046720</c:v>
                </c:pt>
                <c:pt idx="2">
                  <c:v>39849378</c:v>
                </c:pt>
                <c:pt idx="3">
                  <c:v>41633593</c:v>
                </c:pt>
                <c:pt idx="4">
                  <c:v>38513932</c:v>
                </c:pt>
                <c:pt idx="5">
                  <c:v>40077694</c:v>
                </c:pt>
                <c:pt idx="6">
                  <c:v>40873864</c:v>
                </c:pt>
                <c:pt idx="7">
                  <c:v>37414352</c:v>
                </c:pt>
                <c:pt idx="8">
                  <c:v>43071575</c:v>
                </c:pt>
                <c:pt idx="9">
                  <c:v>38250616</c:v>
                </c:pt>
                <c:pt idx="10">
                  <c:v>37585639</c:v>
                </c:pt>
                <c:pt idx="11">
                  <c:v>42079633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분석4_연도별계절비교!D142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분석4_연도별계절비교!$A$143:$A$154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분석4_연도별계절비교!$D$143:$D$154</c:f>
              <c:numCache>
                <c:formatCode>#,##0</c:formatCode>
                <c:ptCount val="12"/>
                <c:pt idx="0">
                  <c:v>38929703</c:v>
                </c:pt>
                <c:pt idx="1">
                  <c:v>36060668</c:v>
                </c:pt>
                <c:pt idx="2">
                  <c:v>46491680</c:v>
                </c:pt>
                <c:pt idx="3">
                  <c:v>45424727</c:v>
                </c:pt>
                <c:pt idx="4">
                  <c:v>42017459</c:v>
                </c:pt>
                <c:pt idx="5">
                  <c:v>47163646</c:v>
                </c:pt>
                <c:pt idx="6">
                  <c:v>48164881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291691"/>
        <c:axId val="49689833"/>
      </c:lineChart>
      <c:catAx>
        <c:axId val="782916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89833"/>
        <c:crosses val="autoZero"/>
        <c:auto val="1"/>
        <c:lblAlgn val="ctr"/>
        <c:lblOffset val="100"/>
        <c:noMultiLvlLbl val="0"/>
      </c:catAx>
      <c:valAx>
        <c:axId val="496898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91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HS85 전기기기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분석4_연도별계절비교!B159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분석4_연도별계절비교!$A$160:$A$171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분석4_연도별계절비교!$B$160:$B$171</c:f>
              <c:numCache>
                <c:formatCode>#,##0</c:formatCode>
                <c:ptCount val="12"/>
                <c:pt idx="0">
                  <c:v>15092049</c:v>
                </c:pt>
                <c:pt idx="1">
                  <c:v>15252575</c:v>
                </c:pt>
                <c:pt idx="2">
                  <c:v>16651262</c:v>
                </c:pt>
                <c:pt idx="3">
                  <c:v>15588503</c:v>
                </c:pt>
                <c:pt idx="4">
                  <c:v>17412613</c:v>
                </c:pt>
                <c:pt idx="5">
                  <c:v>18947322</c:v>
                </c:pt>
                <c:pt idx="6">
                  <c:v>17884638</c:v>
                </c:pt>
                <c:pt idx="7">
                  <c:v>18743622</c:v>
                </c:pt>
                <c:pt idx="8">
                  <c:v>20007957</c:v>
                </c:pt>
                <c:pt idx="9">
                  <c:v>19050286</c:v>
                </c:pt>
                <c:pt idx="10">
                  <c:v>18411009</c:v>
                </c:pt>
                <c:pt idx="11">
                  <c:v>19866706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분석4_연도별계절비교!C159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분석4_연도별계절비교!$A$160:$A$171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분석4_연도별계절비교!$C$160:$C$171</c:f>
              <c:numCache>
                <c:formatCode>#,##0</c:formatCode>
                <c:ptCount val="12"/>
                <c:pt idx="0">
                  <c:v>14503290</c:v>
                </c:pt>
                <c:pt idx="1">
                  <c:v>15082652</c:v>
                </c:pt>
                <c:pt idx="2">
                  <c:v>18113797</c:v>
                </c:pt>
                <c:pt idx="3">
                  <c:v>17098985</c:v>
                </c:pt>
                <c:pt idx="4">
                  <c:v>18809466</c:v>
                </c:pt>
                <c:pt idx="5">
                  <c:v>19535265</c:v>
                </c:pt>
                <c:pt idx="6">
                  <c:v>19989877</c:v>
                </c:pt>
                <c:pt idx="7">
                  <c:v>20463780</c:v>
                </c:pt>
                <c:pt idx="8">
                  <c:v>22344339</c:v>
                </c:pt>
                <c:pt idx="9">
                  <c:v>20790549</c:v>
                </c:pt>
                <c:pt idx="10">
                  <c:v>22241662</c:v>
                </c:pt>
                <c:pt idx="11">
                  <c:v>25992347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분석4_연도별계절비교!D159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분석4_연도별계절비교!$A$160:$A$171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분석4_연도별계절비교!$D$160:$D$171</c:f>
              <c:numCache>
                <c:formatCode>#,##0</c:formatCode>
                <c:ptCount val="12"/>
                <c:pt idx="0">
                  <c:v>25047980</c:v>
                </c:pt>
                <c:pt idx="1">
                  <c:v>28041015</c:v>
                </c:pt>
                <c:pt idx="2">
                  <c:v>35645727</c:v>
                </c:pt>
                <c:pt idx="3">
                  <c:v>36211589</c:v>
                </c:pt>
                <c:pt idx="4">
                  <c:v>40230637</c:v>
                </c:pt>
                <c:pt idx="5">
                  <c:v>46280277</c:v>
                </c:pt>
                <c:pt idx="6">
                  <c:v>45417101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593971"/>
        <c:axId val="81504037"/>
      </c:lineChart>
      <c:catAx>
        <c:axId val="265939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04037"/>
        <c:crosses val="autoZero"/>
        <c:auto val="1"/>
        <c:lblAlgn val="ctr"/>
        <c:lblOffset val="100"/>
        <c:noMultiLvlLbl val="0"/>
      </c:catAx>
      <c:valAx>
        <c:axId val="815040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939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HS84 기계류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분석4_연도별계절비교!B176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분석4_연도별계절비교!$A$177:$A$188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분석4_연도별계절비교!$B$177:$B$188</c:f>
              <c:numCache>
                <c:formatCode>#,##0</c:formatCode>
                <c:ptCount val="12"/>
                <c:pt idx="0">
                  <c:v>5981471</c:v>
                </c:pt>
                <c:pt idx="1">
                  <c:v>6139483</c:v>
                </c:pt>
                <c:pt idx="2">
                  <c:v>7019144</c:v>
                </c:pt>
                <c:pt idx="3">
                  <c:v>6609237</c:v>
                </c:pt>
                <c:pt idx="4">
                  <c:v>6647432</c:v>
                </c:pt>
                <c:pt idx="5">
                  <c:v>7171890</c:v>
                </c:pt>
                <c:pt idx="6">
                  <c:v>7310070</c:v>
                </c:pt>
                <c:pt idx="7">
                  <c:v>6295152</c:v>
                </c:pt>
                <c:pt idx="8">
                  <c:v>6623701</c:v>
                </c:pt>
                <c:pt idx="9">
                  <c:v>6223215</c:v>
                </c:pt>
                <c:pt idx="10">
                  <c:v>6654815</c:v>
                </c:pt>
                <c:pt idx="11">
                  <c:v>7773055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분석4_연도별계절비교!C176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분석4_연도별계절비교!$A$177:$A$188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분석4_연도별계절비교!$C$177:$C$188</c:f>
              <c:numCache>
                <c:formatCode>#,##0</c:formatCode>
                <c:ptCount val="12"/>
                <c:pt idx="0">
                  <c:v>5702602</c:v>
                </c:pt>
                <c:pt idx="1">
                  <c:v>6017125</c:v>
                </c:pt>
                <c:pt idx="2">
                  <c:v>7421429</c:v>
                </c:pt>
                <c:pt idx="3">
                  <c:v>7038785</c:v>
                </c:pt>
                <c:pt idx="4">
                  <c:v>6838785</c:v>
                </c:pt>
                <c:pt idx="5">
                  <c:v>7429562</c:v>
                </c:pt>
                <c:pt idx="6">
                  <c:v>7485072</c:v>
                </c:pt>
                <c:pt idx="7">
                  <c:v>6462986</c:v>
                </c:pt>
                <c:pt idx="8">
                  <c:v>7805028</c:v>
                </c:pt>
                <c:pt idx="9">
                  <c:v>6307730</c:v>
                </c:pt>
                <c:pt idx="10">
                  <c:v>7692368</c:v>
                </c:pt>
                <c:pt idx="11">
                  <c:v>8929338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분석4_연도별계절비교!D176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분석4_연도별계절비교!$A$177:$A$188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분석4_연도별계절비교!$D$177:$D$188</c:f>
              <c:numCache>
                <c:formatCode>#,##0</c:formatCode>
                <c:ptCount val="12"/>
                <c:pt idx="0">
                  <c:v>8277088</c:v>
                </c:pt>
                <c:pt idx="1">
                  <c:v>9458905</c:v>
                </c:pt>
                <c:pt idx="2">
                  <c:v>12701168</c:v>
                </c:pt>
                <c:pt idx="3">
                  <c:v>11623503</c:v>
                </c:pt>
                <c:pt idx="4">
                  <c:v>12074910</c:v>
                </c:pt>
                <c:pt idx="5">
                  <c:v>16352067</c:v>
                </c:pt>
                <c:pt idx="6">
                  <c:v>13644786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180388"/>
        <c:axId val="9743215"/>
      </c:lineChart>
      <c:catAx>
        <c:axId val="921803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3215"/>
        <c:crosses val="autoZero"/>
        <c:auto val="1"/>
        <c:lblAlgn val="ctr"/>
        <c:lblOffset val="100"/>
        <c:noMultiLvlLbl val="0"/>
      </c:catAx>
      <c:valAx>
        <c:axId val="97432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80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HS87 차량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분석4_연도별계절비교!B193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분석4_연도별계절비교!$A$194:$A$205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분석4_연도별계절비교!$B$194:$B$205</c:f>
              <c:numCache>
                <c:formatCode>#,##0</c:formatCode>
                <c:ptCount val="12"/>
                <c:pt idx="0">
                  <c:v>8118538</c:v>
                </c:pt>
                <c:pt idx="1">
                  <c:v>6910254</c:v>
                </c:pt>
                <c:pt idx="2">
                  <c:v>7885263</c:v>
                </c:pt>
                <c:pt idx="3">
                  <c:v>8537047</c:v>
                </c:pt>
                <c:pt idx="4">
                  <c:v>8086139</c:v>
                </c:pt>
                <c:pt idx="5">
                  <c:v>7771785</c:v>
                </c:pt>
                <c:pt idx="6">
                  <c:v>7399270</c:v>
                </c:pt>
                <c:pt idx="7">
                  <c:v>6715246</c:v>
                </c:pt>
                <c:pt idx="8">
                  <c:v>7342939</c:v>
                </c:pt>
                <c:pt idx="9">
                  <c:v>7933147</c:v>
                </c:pt>
                <c:pt idx="10">
                  <c:v>7197545</c:v>
                </c:pt>
                <c:pt idx="11">
                  <c:v>7972166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분석4_연도별계절비교!C193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분석4_연도별계절비교!$A$194:$A$205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분석4_연도별계절비교!$C$194:$C$205</c:f>
              <c:numCache>
                <c:formatCode>#,##0</c:formatCode>
                <c:ptCount val="12"/>
                <c:pt idx="0">
                  <c:v>6545132</c:v>
                </c:pt>
                <c:pt idx="1">
                  <c:v>7721370</c:v>
                </c:pt>
                <c:pt idx="2">
                  <c:v>8087252</c:v>
                </c:pt>
                <c:pt idx="3">
                  <c:v>8497645</c:v>
                </c:pt>
                <c:pt idx="4">
                  <c:v>7679192</c:v>
                </c:pt>
                <c:pt idx="5">
                  <c:v>8230226</c:v>
                </c:pt>
                <c:pt idx="6">
                  <c:v>7697863</c:v>
                </c:pt>
                <c:pt idx="7">
                  <c:v>7000138</c:v>
                </c:pt>
                <c:pt idx="8">
                  <c:v>8461889</c:v>
                </c:pt>
                <c:pt idx="9">
                  <c:v>6909678</c:v>
                </c:pt>
                <c:pt idx="10">
                  <c:v>7861930</c:v>
                </c:pt>
                <c:pt idx="11">
                  <c:v>7644009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분석4_연도별계절비교!D193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분석4_연도별계절비교!$A$194:$A$205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분석4_연도별계절비교!$D$194:$D$205</c:f>
              <c:numCache>
                <c:formatCode>#,##0</c:formatCode>
                <c:ptCount val="12"/>
                <c:pt idx="0">
                  <c:v>7562422</c:v>
                </c:pt>
                <c:pt idx="1">
                  <c:v>6152886</c:v>
                </c:pt>
                <c:pt idx="2">
                  <c:v>8020422</c:v>
                </c:pt>
                <c:pt idx="3">
                  <c:v>7859533</c:v>
                </c:pt>
                <c:pt idx="4">
                  <c:v>7227360</c:v>
                </c:pt>
                <c:pt idx="5">
                  <c:v>8746465</c:v>
                </c:pt>
                <c:pt idx="6">
                  <c:v>8335789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010650"/>
        <c:axId val="48619083"/>
      </c:lineChart>
      <c:catAx>
        <c:axId val="810106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19083"/>
        <c:crosses val="autoZero"/>
        <c:auto val="1"/>
        <c:lblAlgn val="ctr"/>
        <c:lblOffset val="100"/>
        <c:noMultiLvlLbl val="0"/>
      </c:catAx>
      <c:valAx>
        <c:axId val="486190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10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HS27 광물성연료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분석4_연도별계절비교!B210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분석4_연도별계절비교!$A$211:$A$222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분석4_연도별계절비교!$B$211:$B$222</c:f>
              <c:numCache>
                <c:formatCode>#,##0</c:formatCode>
                <c:ptCount val="12"/>
                <c:pt idx="0">
                  <c:v>4964732</c:v>
                </c:pt>
                <c:pt idx="1">
                  <c:v>4589485</c:v>
                </c:pt>
                <c:pt idx="2">
                  <c:v>4878428</c:v>
                </c:pt>
                <c:pt idx="3">
                  <c:v>4524006</c:v>
                </c:pt>
                <c:pt idx="4">
                  <c:v>4762891</c:v>
                </c:pt>
                <c:pt idx="5">
                  <c:v>3866671</c:v>
                </c:pt>
                <c:pt idx="6">
                  <c:v>4683150</c:v>
                </c:pt>
                <c:pt idx="7">
                  <c:v>4604299</c:v>
                </c:pt>
                <c:pt idx="8">
                  <c:v>4165466</c:v>
                </c:pt>
                <c:pt idx="9">
                  <c:v>3618298</c:v>
                </c:pt>
                <c:pt idx="10">
                  <c:v>3835069</c:v>
                </c:pt>
                <c:pt idx="11">
                  <c:v>4124226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분석4_연도별계절비교!C210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분석4_연도별계절비교!$A$211:$A$222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분석4_연도별계절비교!$C$211:$C$222</c:f>
              <c:numCache>
                <c:formatCode>#,##0</c:formatCode>
                <c:ptCount val="12"/>
                <c:pt idx="0">
                  <c:v>3606096</c:v>
                </c:pt>
                <c:pt idx="1">
                  <c:v>4072937</c:v>
                </c:pt>
                <c:pt idx="2">
                  <c:v>3466285</c:v>
                </c:pt>
                <c:pt idx="3">
                  <c:v>3842945</c:v>
                </c:pt>
                <c:pt idx="4">
                  <c:v>3755662</c:v>
                </c:pt>
                <c:pt idx="5">
                  <c:v>3907126</c:v>
                </c:pt>
                <c:pt idx="6">
                  <c:v>4407315</c:v>
                </c:pt>
                <c:pt idx="7">
                  <c:v>4260591</c:v>
                </c:pt>
                <c:pt idx="8">
                  <c:v>4322838</c:v>
                </c:pt>
                <c:pt idx="9">
                  <c:v>3933652</c:v>
                </c:pt>
                <c:pt idx="10">
                  <c:v>3380154</c:v>
                </c:pt>
                <c:pt idx="11">
                  <c:v>4279615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분석4_연도별계절비교!D210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분석4_연도별계절비교!$A$211:$A$222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분석4_연도별계절비교!$D$211:$D$222</c:f>
              <c:numCache>
                <c:formatCode>#,##0</c:formatCode>
                <c:ptCount val="12"/>
                <c:pt idx="0">
                  <c:v>3868333</c:v>
                </c:pt>
                <c:pt idx="1">
                  <c:v>4210226</c:v>
                </c:pt>
                <c:pt idx="2">
                  <c:v>6411300</c:v>
                </c:pt>
                <c:pt idx="3">
                  <c:v>5156235</c:v>
                </c:pt>
                <c:pt idx="4">
                  <c:v>5298536</c:v>
                </c:pt>
                <c:pt idx="5">
                  <c:v>5500624</c:v>
                </c:pt>
                <c:pt idx="6">
                  <c:v>5896407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51852"/>
        <c:axId val="42408621"/>
      </c:lineChart>
      <c:catAx>
        <c:axId val="10518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08621"/>
        <c:crosses val="autoZero"/>
        <c:auto val="1"/>
        <c:lblAlgn val="ctr"/>
        <c:lblOffset val="100"/>
        <c:noMultiLvlLbl val="0"/>
      </c:catAx>
      <c:valAx>
        <c:axId val="424086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18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HS89 선박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분석4_연도별계절비교!B227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분석4_연도별계절비교!$A$228:$A$239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분석4_연도별계절비교!$B$228:$B$239</c:f>
              <c:numCache>
                <c:formatCode>#,##0</c:formatCode>
                <c:ptCount val="12"/>
                <c:pt idx="0">
                  <c:v>2407768</c:v>
                </c:pt>
                <c:pt idx="1">
                  <c:v>1610777</c:v>
                </c:pt>
                <c:pt idx="2">
                  <c:v>1962701</c:v>
                </c:pt>
                <c:pt idx="3">
                  <c:v>1558389</c:v>
                </c:pt>
                <c:pt idx="4">
                  <c:v>2005371</c:v>
                </c:pt>
                <c:pt idx="5">
                  <c:v>1379609</c:v>
                </c:pt>
                <c:pt idx="6">
                  <c:v>947649</c:v>
                </c:pt>
                <c:pt idx="7">
                  <c:v>2697894</c:v>
                </c:pt>
                <c:pt idx="8">
                  <c:v>2201612</c:v>
                </c:pt>
                <c:pt idx="9">
                  <c:v>1917169</c:v>
                </c:pt>
                <c:pt idx="10">
                  <c:v>2397600</c:v>
                </c:pt>
                <c:pt idx="11">
                  <c:v>2942884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분석4_연도별계절비교!C227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분석4_연도별계절비교!$A$228:$A$239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분석4_연도별계절비교!$C$228:$C$239</c:f>
              <c:numCache>
                <c:formatCode>#,##0</c:formatCode>
                <c:ptCount val="12"/>
                <c:pt idx="0">
                  <c:v>2356716</c:v>
                </c:pt>
                <c:pt idx="1">
                  <c:v>1435746</c:v>
                </c:pt>
                <c:pt idx="2">
                  <c:v>3020110</c:v>
                </c:pt>
                <c:pt idx="3">
                  <c:v>1806786</c:v>
                </c:pt>
                <c:pt idx="4">
                  <c:v>2123018</c:v>
                </c:pt>
                <c:pt idx="5">
                  <c:v>2293326</c:v>
                </c:pt>
                <c:pt idx="6">
                  <c:v>2062824</c:v>
                </c:pt>
                <c:pt idx="7">
                  <c:v>2941546</c:v>
                </c:pt>
                <c:pt idx="8">
                  <c:v>2724561</c:v>
                </c:pt>
                <c:pt idx="9">
                  <c:v>4582113</c:v>
                </c:pt>
                <c:pt idx="10">
                  <c:v>1682410</c:v>
                </c:pt>
                <c:pt idx="11">
                  <c:v>2838894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분석4_연도별계절비교!D227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분석4_연도별계절비교!$A$228:$A$239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분석4_연도별계절비교!$D$228:$D$239</c:f>
              <c:numCache>
                <c:formatCode>#,##0</c:formatCode>
                <c:ptCount val="12"/>
                <c:pt idx="0">
                  <c:v>2314307</c:v>
                </c:pt>
                <c:pt idx="1">
                  <c:v>2104220</c:v>
                </c:pt>
                <c:pt idx="2">
                  <c:v>3353562</c:v>
                </c:pt>
                <c:pt idx="3">
                  <c:v>2723853</c:v>
                </c:pt>
                <c:pt idx="4">
                  <c:v>2457847</c:v>
                </c:pt>
                <c:pt idx="5">
                  <c:v>2662952</c:v>
                </c:pt>
                <c:pt idx="6">
                  <c:v>3066991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320960"/>
        <c:axId val="77546109"/>
      </c:lineChart>
      <c:catAx>
        <c:axId val="43320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46109"/>
        <c:crosses val="autoZero"/>
        <c:auto val="1"/>
        <c:lblAlgn val="ctr"/>
        <c:lblOffset val="100"/>
        <c:noMultiLvlLbl val="0"/>
      </c:catAx>
      <c:valAx>
        <c:axId val="775461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20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중화학공업품 수출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분석4_연도별계절비교!B244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분석4_연도별계절비교!$A$245:$A$256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분석4_연도별계절비교!$B$245:$B$256</c:f>
              <c:numCache>
                <c:formatCode>#,##0</c:formatCode>
                <c:ptCount val="12"/>
                <c:pt idx="0">
                  <c:v>45513218</c:v>
                </c:pt>
                <c:pt idx="1">
                  <c:v>43464479</c:v>
                </c:pt>
                <c:pt idx="2">
                  <c:v>47391743</c:v>
                </c:pt>
                <c:pt idx="3">
                  <c:v>46884877</c:v>
                </c:pt>
                <c:pt idx="4">
                  <c:v>48445875</c:v>
                </c:pt>
                <c:pt idx="5">
                  <c:v>48971465</c:v>
                </c:pt>
                <c:pt idx="6">
                  <c:v>47898408</c:v>
                </c:pt>
                <c:pt idx="7">
                  <c:v>48479858</c:v>
                </c:pt>
                <c:pt idx="8">
                  <c:v>49962689</c:v>
                </c:pt>
                <c:pt idx="9">
                  <c:v>49371296</c:v>
                </c:pt>
                <c:pt idx="10">
                  <c:v>47958418</c:v>
                </c:pt>
                <c:pt idx="11">
                  <c:v>52570544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분석4_연도별계절비교!C244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분석4_연도별계절비교!$A$245:$A$256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분석4_연도별계절비교!$C$245:$C$256</c:f>
              <c:numCache>
                <c:formatCode>#,##0</c:formatCode>
                <c:ptCount val="12"/>
                <c:pt idx="0">
                  <c:v>41670482</c:v>
                </c:pt>
                <c:pt idx="1">
                  <c:v>43812695</c:v>
                </c:pt>
                <c:pt idx="2">
                  <c:v>50208489</c:v>
                </c:pt>
                <c:pt idx="3">
                  <c:v>49234895</c:v>
                </c:pt>
                <c:pt idx="4">
                  <c:v>48790323</c:v>
                </c:pt>
                <c:pt idx="5">
                  <c:v>51243762</c:v>
                </c:pt>
                <c:pt idx="6">
                  <c:v>51374607</c:v>
                </c:pt>
                <c:pt idx="7">
                  <c:v>49624221</c:v>
                </c:pt>
                <c:pt idx="8">
                  <c:v>56633281</c:v>
                </c:pt>
                <c:pt idx="9">
                  <c:v>50942462</c:v>
                </c:pt>
                <c:pt idx="10">
                  <c:v>52323214</c:v>
                </c:pt>
                <c:pt idx="11">
                  <c:v>60006340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분석4_연도별계절비교!D244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분석4_연도별계절비교!$A$245:$A$256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분석4_연도별계절비교!$D$245:$D$256</c:f>
              <c:numCache>
                <c:formatCode>#,##0</c:formatCode>
                <c:ptCount val="12"/>
                <c:pt idx="0">
                  <c:v>57089106</c:v>
                </c:pt>
                <c:pt idx="1">
                  <c:v>58704727</c:v>
                </c:pt>
                <c:pt idx="2">
                  <c:v>74771554</c:v>
                </c:pt>
                <c:pt idx="3">
                  <c:v>74317921</c:v>
                </c:pt>
                <c:pt idx="4">
                  <c:v>76244252</c:v>
                </c:pt>
                <c:pt idx="5">
                  <c:v>90134786</c:v>
                </c:pt>
                <c:pt idx="6">
                  <c:v>87202818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735838"/>
        <c:axId val="50510605"/>
      </c:lineChart>
      <c:catAx>
        <c:axId val="407358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10605"/>
        <c:crosses val="autoZero"/>
        <c:auto val="1"/>
        <c:lblAlgn val="ctr"/>
        <c:lblOffset val="100"/>
        <c:noMultiLvlLbl val="0"/>
      </c:catAx>
      <c:valAx>
        <c:axId val="505106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35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수입 원자재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분석4_연도별계절비교!B261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분석4_연도별계절비교!$A$262:$A$273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분석4_연도별계절비교!$B$262:$B$273</c:f>
              <c:numCache>
                <c:formatCode>#,##0</c:formatCode>
                <c:ptCount val="12"/>
                <c:pt idx="0">
                  <c:v>28106321</c:v>
                </c:pt>
                <c:pt idx="1">
                  <c:v>24864662</c:v>
                </c:pt>
                <c:pt idx="2">
                  <c:v>25792586</c:v>
                </c:pt>
                <c:pt idx="3">
                  <c:v>27567785</c:v>
                </c:pt>
                <c:pt idx="4">
                  <c:v>27005809</c:v>
                </c:pt>
                <c:pt idx="5">
                  <c:v>23953834</c:v>
                </c:pt>
                <c:pt idx="6">
                  <c:v>25696113</c:v>
                </c:pt>
                <c:pt idx="7">
                  <c:v>27175717</c:v>
                </c:pt>
                <c:pt idx="8">
                  <c:v>24388559</c:v>
                </c:pt>
                <c:pt idx="9">
                  <c:v>25204179</c:v>
                </c:pt>
                <c:pt idx="10">
                  <c:v>23730222</c:v>
                </c:pt>
                <c:pt idx="11">
                  <c:v>24801745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분석4_연도별계절비교!C261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분석4_연도별계절비교!$A$262:$A$273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분석4_연도별계절비교!$C$262:$C$273</c:f>
              <c:numCache>
                <c:formatCode>#,##0</c:formatCode>
                <c:ptCount val="12"/>
                <c:pt idx="0">
                  <c:v>25519184</c:v>
                </c:pt>
                <c:pt idx="1">
                  <c:v>22604209</c:v>
                </c:pt>
                <c:pt idx="2">
                  <c:v>23875142</c:v>
                </c:pt>
                <c:pt idx="3">
                  <c:v>24616883</c:v>
                </c:pt>
                <c:pt idx="4">
                  <c:v>23319698</c:v>
                </c:pt>
                <c:pt idx="5">
                  <c:v>22509706</c:v>
                </c:pt>
                <c:pt idx="6">
                  <c:v>24495339</c:v>
                </c:pt>
                <c:pt idx="7">
                  <c:v>24284869</c:v>
                </c:pt>
                <c:pt idx="8">
                  <c:v>24488105</c:v>
                </c:pt>
                <c:pt idx="9">
                  <c:v>23570523</c:v>
                </c:pt>
                <c:pt idx="10">
                  <c:v>21849251</c:v>
                </c:pt>
                <c:pt idx="11">
                  <c:v>24558340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분석4_연도별계절비교!D261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분석4_연도별계절비교!$A$262:$A$273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분석4_연도별계절비교!$D$262:$D$273</c:f>
              <c:numCache>
                <c:formatCode>#,##0</c:formatCode>
                <c:ptCount val="12"/>
                <c:pt idx="0">
                  <c:v>25446510</c:v>
                </c:pt>
                <c:pt idx="1">
                  <c:v>22237363</c:v>
                </c:pt>
                <c:pt idx="2">
                  <c:v>26198227</c:v>
                </c:pt>
                <c:pt idx="3">
                  <c:v>27622728</c:v>
                </c:pt>
                <c:pt idx="4">
                  <c:v>28424410</c:v>
                </c:pt>
                <c:pt idx="5">
                  <c:v>29348553</c:v>
                </c:pt>
                <c:pt idx="6">
                  <c:v>31627152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165673"/>
        <c:axId val="22342012"/>
      </c:lineChart>
      <c:catAx>
        <c:axId val="621656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42012"/>
        <c:crosses val="autoZero"/>
        <c:auto val="1"/>
        <c:lblAlgn val="ctr"/>
        <c:lblOffset val="100"/>
        <c:noMultiLvlLbl val="0"/>
      </c:catAx>
      <c:valAx>
        <c:axId val="223420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656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수입 자본재 — 연도 비교 (2024·2025·2026)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분석4_연도별계절비교!B278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rgbClr val="a6a6a6"/>
            </a:solidFill>
            <a:ln w="2412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분석4_연도별계절비교!$A$279:$A$290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분석4_연도별계절비교!$B$279:$B$290</c:f>
              <c:numCache>
                <c:formatCode>#,##0</c:formatCode>
                <c:ptCount val="12"/>
                <c:pt idx="0">
                  <c:v>17621984</c:v>
                </c:pt>
                <c:pt idx="1">
                  <c:v>16058968</c:v>
                </c:pt>
                <c:pt idx="2">
                  <c:v>17881046</c:v>
                </c:pt>
                <c:pt idx="3">
                  <c:v>17906335</c:v>
                </c:pt>
                <c:pt idx="4">
                  <c:v>17479022</c:v>
                </c:pt>
                <c:pt idx="5">
                  <c:v>17251329</c:v>
                </c:pt>
                <c:pt idx="6">
                  <c:v>19276448</c:v>
                </c:pt>
                <c:pt idx="7">
                  <c:v>18258464</c:v>
                </c:pt>
                <c:pt idx="8">
                  <c:v>19466868</c:v>
                </c:pt>
                <c:pt idx="9">
                  <c:v>19876876</c:v>
                </c:pt>
                <c:pt idx="10">
                  <c:v>19163786</c:v>
                </c:pt>
                <c:pt idx="11">
                  <c:v>21820098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분석4_연도별계절비교!C278</c:f>
              <c:strCache>
                <c:ptCount val="1"/>
                <c:pt idx="0">
                  <c:v>2025년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분석4_연도별계절비교!$A$279:$A$290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분석4_연도별계절비교!$C$279:$C$290</c:f>
              <c:numCache>
                <c:formatCode>#,##0</c:formatCode>
                <c:ptCount val="12"/>
                <c:pt idx="0">
                  <c:v>17803820</c:v>
                </c:pt>
                <c:pt idx="1">
                  <c:v>17570203</c:v>
                </c:pt>
                <c:pt idx="2">
                  <c:v>20423375</c:v>
                </c:pt>
                <c:pt idx="3">
                  <c:v>19463751</c:v>
                </c:pt>
                <c:pt idx="4">
                  <c:v>18341591</c:v>
                </c:pt>
                <c:pt idx="5">
                  <c:v>19827208</c:v>
                </c:pt>
                <c:pt idx="6">
                  <c:v>20474060</c:v>
                </c:pt>
                <c:pt idx="7">
                  <c:v>18833326</c:v>
                </c:pt>
                <c:pt idx="8">
                  <c:v>21850546</c:v>
                </c:pt>
                <c:pt idx="9">
                  <c:v>19760310</c:v>
                </c:pt>
                <c:pt idx="10">
                  <c:v>20053600</c:v>
                </c:pt>
                <c:pt idx="11">
                  <c:v>23088968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분석4_연도별계절비교!D278</c:f>
              <c:strCache>
                <c:ptCount val="1"/>
                <c:pt idx="0">
                  <c:v>2026년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분석4_연도별계절비교!$A$279:$A$290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분석4_연도별계절비교!$D$279:$D$290</c:f>
              <c:numCache>
                <c:formatCode>#,##0</c:formatCode>
                <c:ptCount val="12"/>
                <c:pt idx="0">
                  <c:v>21671520</c:v>
                </c:pt>
                <c:pt idx="1">
                  <c:v>20422881</c:v>
                </c:pt>
                <c:pt idx="2">
                  <c:v>25311968</c:v>
                </c:pt>
                <c:pt idx="3">
                  <c:v>24865788</c:v>
                </c:pt>
                <c:pt idx="4">
                  <c:v>23487604</c:v>
                </c:pt>
                <c:pt idx="5">
                  <c:v>26828263</c:v>
                </c:pt>
                <c:pt idx="6">
                  <c:v>27980796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129474"/>
        <c:axId val="81210640"/>
      </c:lineChart>
      <c:catAx>
        <c:axId val="381294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10640"/>
        <c:crosses val="autoZero"/>
        <c:auto val="1"/>
        <c:lblAlgn val="ctr"/>
        <c:lblOffset val="100"/>
        <c:noMultiLvlLbl val="0"/>
      </c:catAx>
      <c:valAx>
        <c:axId val="812106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294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월별 전년동월비 — 반도체(광의) vs 비반도체 vs 전체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분석5_반도체vs비반도체!A17</c:f>
              <c:strCache>
                <c:ptCount val="1"/>
                <c:pt idx="0">
                  <c:v>② 반도체(광의) YoY</c:v>
                </c:pt>
              </c:strCache>
            </c:strRef>
          </c:tx>
          <c:spPr>
            <a:solidFill>
              <a:srgbClr val="ed7d31"/>
            </a:solidFill>
            <a:ln w="241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분석5_반도체vs비반도체!$B$15:$T$15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분석5_반도체vs비반도체!$B$17:$T$17</c:f>
              <c:numCache>
                <c:formatCode>0.0%;[RED]\-0.0%;\-</c:formatCode>
                <c:ptCount val="19"/>
                <c:pt idx="0">
                  <c:v>0.0244395316898232</c:v>
                </c:pt>
                <c:pt idx="1">
                  <c:v>0.0070362417879879</c:v>
                </c:pt>
                <c:pt idx="2">
                  <c:v>0.115245754455672</c:v>
                </c:pt>
                <c:pt idx="3">
                  <c:v>0.1228752459647</c:v>
                </c:pt>
                <c:pt idx="4">
                  <c:v>0.129846184814472</c:v>
                </c:pt>
                <c:pt idx="5">
                  <c:v>0.0593572079616318</c:v>
                </c:pt>
                <c:pt idx="6">
                  <c:v>0.172343166988665</c:v>
                </c:pt>
                <c:pt idx="7">
                  <c:v>0.143294951238657</c:v>
                </c:pt>
                <c:pt idx="8">
                  <c:v>0.145149974867685</c:v>
                </c:pt>
                <c:pt idx="9">
                  <c:v>0.156246794768954</c:v>
                </c:pt>
                <c:pt idx="10">
                  <c:v>0.273121068994025</c:v>
                </c:pt>
                <c:pt idx="11">
                  <c:v>0.361919064430697</c:v>
                </c:pt>
                <c:pt idx="12">
                  <c:v>0.87387941745791</c:v>
                </c:pt>
                <c:pt idx="13">
                  <c:v>1.21695970139793</c:v>
                </c:pt>
                <c:pt idx="14">
                  <c:v>1.24216499816856</c:v>
                </c:pt>
                <c:pt idx="15">
                  <c:v>1.45865030393573</c:v>
                </c:pt>
                <c:pt idx="16">
                  <c:v>1.43016512766673</c:v>
                </c:pt>
                <c:pt idx="17">
                  <c:v>1.77344742533484</c:v>
                </c:pt>
                <c:pt idx="18">
                  <c:v>1.55884362970366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분석5_반도체vs비반도체!A19</c:f>
              <c:strCache>
                <c:ptCount val="1"/>
                <c:pt idx="0">
                  <c:v>비반도체(광의) YoY</c:v>
                </c:pt>
              </c:strCache>
            </c:strRef>
          </c:tx>
          <c:spPr>
            <a:solidFill>
              <a:srgbClr val="c00000"/>
            </a:solidFill>
            <a:ln w="24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분석5_반도체vs비반도체!$B$15:$T$15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분석5_반도체vs비반도체!$B$19:$T$19</c:f>
              <c:numCache>
                <c:formatCode>0.0%;[RED]\-0.0%;\-</c:formatCode>
                <c:ptCount val="19"/>
                <c:pt idx="0">
                  <c:v>-0.144397633716386</c:v>
                </c:pt>
                <c:pt idx="1">
                  <c:v>0.00306815039694874</c:v>
                </c:pt>
                <c:pt idx="2">
                  <c:v>-0.00836231129692533</c:v>
                </c:pt>
                <c:pt idx="3">
                  <c:v>0.00222847200189125</c:v>
                </c:pt>
                <c:pt idx="4">
                  <c:v>-0.0703386800741153</c:v>
                </c:pt>
                <c:pt idx="5">
                  <c:v>0.0358002787724296</c:v>
                </c:pt>
                <c:pt idx="6">
                  <c:v>0.00857140495372222</c:v>
                </c:pt>
                <c:pt idx="7">
                  <c:v>-0.0506513852090015</c:v>
                </c:pt>
                <c:pt idx="8">
                  <c:v>0.115664162812732</c:v>
                </c:pt>
                <c:pt idx="9">
                  <c:v>-0.0220305734142539</c:v>
                </c:pt>
                <c:pt idx="10">
                  <c:v>-0.0132835995768414</c:v>
                </c:pt>
                <c:pt idx="11">
                  <c:v>0.0209631920634366</c:v>
                </c:pt>
                <c:pt idx="12">
                  <c:v>0.11821520691218</c:v>
                </c:pt>
                <c:pt idx="13">
                  <c:v>-0.0522003473624008</c:v>
                </c:pt>
                <c:pt idx="14">
                  <c:v>0.166685211498157</c:v>
                </c:pt>
                <c:pt idx="15">
                  <c:v>0.0910594961141116</c:v>
                </c:pt>
                <c:pt idx="16">
                  <c:v>0.0909677827753344</c:v>
                </c:pt>
                <c:pt idx="17">
                  <c:v>0.176805382066144</c:v>
                </c:pt>
                <c:pt idx="18">
                  <c:v>0.178378462090102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분석5_반도체vs비반도체!A20</c:f>
              <c:strCache>
                <c:ptCount val="1"/>
                <c:pt idx="0">
                  <c:v>전체 수출 YoY</c:v>
                </c:pt>
              </c:strCache>
            </c:strRef>
          </c:tx>
          <c:spPr>
            <a:solidFill>
              <a:srgbClr val="7030a0"/>
            </a:solidFill>
            <a:ln w="2412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분석5_반도체vs비반도체!$B$15:$T$15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분석5_반도체vs비반도체!$B$20:$T$20</c:f>
              <c:numCache>
                <c:formatCode>0.0%;[RED]\-0.0%;\-</c:formatCode>
                <c:ptCount val="19"/>
                <c:pt idx="0">
                  <c:v>-0.101130632427745</c:v>
                </c:pt>
                <c:pt idx="1">
                  <c:v>0.00414604391740681</c:v>
                </c:pt>
                <c:pt idx="2">
                  <c:v>0.0273584441459493</c:v>
                </c:pt>
                <c:pt idx="3">
                  <c:v>0.0336153727470889</c:v>
                </c:pt>
                <c:pt idx="4">
                  <c:v>-0.0130900846057028</c:v>
                </c:pt>
                <c:pt idx="5">
                  <c:v>0.0434616669626122</c:v>
                </c:pt>
                <c:pt idx="6">
                  <c:v>0.0568326293273016</c:v>
                </c:pt>
                <c:pt idx="7">
                  <c:v>0.0106935588486108</c:v>
                </c:pt>
                <c:pt idx="8">
                  <c:v>0.125706099440986</c:v>
                </c:pt>
                <c:pt idx="9">
                  <c:v>0.0349805092824733</c:v>
                </c:pt>
                <c:pt idx="10">
                  <c:v>0.0793053424697909</c:v>
                </c:pt>
                <c:pt idx="11">
                  <c:v>0.132895594388784</c:v>
                </c:pt>
                <c:pt idx="12">
                  <c:v>0.338917754695977</c:v>
                </c:pt>
                <c:pt idx="13">
                  <c:v>0.293546960192094</c:v>
                </c:pt>
                <c:pt idx="14">
                  <c:v>0.504069349562992</c:v>
                </c:pt>
                <c:pt idx="15">
                  <c:v>0.477570125101349</c:v>
                </c:pt>
                <c:pt idx="16">
                  <c:v>0.529417695232099</c:v>
                </c:pt>
                <c:pt idx="17">
                  <c:v>0.70398945264998</c:v>
                </c:pt>
                <c:pt idx="18">
                  <c:v>0.629645185663827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188042"/>
        <c:axId val="63173548"/>
      </c:lineChart>
      <c:catAx>
        <c:axId val="451880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73548"/>
        <c:crosses val="autoZero"/>
        <c:auto val="1"/>
        <c:lblAlgn val="ctr"/>
        <c:lblOffset val="100"/>
        <c:noMultiLvlLbl val="0"/>
      </c:catAx>
      <c:valAx>
        <c:axId val="631735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전년동월비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-0.0%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880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반도체(광의) 비중 추이 (2024.01~2026.07)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분석5_반도체vs비반도체!A12</c:f>
              <c:strCache>
                <c:ptCount val="1"/>
                <c:pt idx="0">
                  <c:v>반도체(광의) 비중</c:v>
                </c:pt>
              </c:strCache>
            </c:strRef>
          </c:tx>
          <c:spPr>
            <a:solidFill>
              <a:srgbClr val="c00000"/>
            </a:solidFill>
            <a:ln w="24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분석5_반도체vs비반도체!$B$6:$AF$6</c:f>
              <c:strCache>
                <c:ptCount val="31"/>
                <c:pt idx="0">
                  <c:v>2024.01</c:v>
                </c:pt>
                <c:pt idx="1">
                  <c:v>2024.02</c:v>
                </c:pt>
                <c:pt idx="2">
                  <c:v>2024.03</c:v>
                </c:pt>
                <c:pt idx="3">
                  <c:v>2024.04</c:v>
                </c:pt>
                <c:pt idx="4">
                  <c:v>2024.05</c:v>
                </c:pt>
                <c:pt idx="5">
                  <c:v>2024.06</c:v>
                </c:pt>
                <c:pt idx="6">
                  <c:v>2024.07</c:v>
                </c:pt>
                <c:pt idx="7">
                  <c:v>2024.08</c:v>
                </c:pt>
                <c:pt idx="8">
                  <c:v>2024.09</c:v>
                </c:pt>
                <c:pt idx="9">
                  <c:v>2024.10</c:v>
                </c:pt>
                <c:pt idx="10">
                  <c:v>2024.11</c:v>
                </c:pt>
                <c:pt idx="11">
                  <c:v>2024.12</c:v>
                </c:pt>
                <c:pt idx="12">
                  <c:v>2025.01</c:v>
                </c:pt>
                <c:pt idx="13">
                  <c:v>2025.02</c:v>
                </c:pt>
                <c:pt idx="14">
                  <c:v>2025.03</c:v>
                </c:pt>
                <c:pt idx="15">
                  <c:v>2025.04</c:v>
                </c:pt>
                <c:pt idx="16">
                  <c:v>2025.05</c:v>
                </c:pt>
                <c:pt idx="17">
                  <c:v>2025.06</c:v>
                </c:pt>
                <c:pt idx="18">
                  <c:v>2025.07</c:v>
                </c:pt>
                <c:pt idx="19">
                  <c:v>2025.08</c:v>
                </c:pt>
                <c:pt idx="20">
                  <c:v>2025.09</c:v>
                </c:pt>
                <c:pt idx="21">
                  <c:v>2025.10</c:v>
                </c:pt>
                <c:pt idx="22">
                  <c:v>2025.11</c:v>
                </c:pt>
                <c:pt idx="23">
                  <c:v>2025.12</c:v>
                </c:pt>
                <c:pt idx="24">
                  <c:v>2026.01</c:v>
                </c:pt>
                <c:pt idx="25">
                  <c:v>2026.02</c:v>
                </c:pt>
                <c:pt idx="26">
                  <c:v>2026.03</c:v>
                </c:pt>
                <c:pt idx="27">
                  <c:v>2026.04</c:v>
                </c:pt>
                <c:pt idx="28">
                  <c:v>2026.05</c:v>
                </c:pt>
                <c:pt idx="29">
                  <c:v>2026.06</c:v>
                </c:pt>
                <c:pt idx="30">
                  <c:v>2026.07</c:v>
                </c:pt>
              </c:strCache>
            </c:strRef>
          </c:cat>
          <c:val>
            <c:numRef>
              <c:f>분석5_반도체vs비반도체!$B$12:$AF$12</c:f>
              <c:numCache>
                <c:formatCode>0.00%</c:formatCode>
                <c:ptCount val="31"/>
                <c:pt idx="0">
                  <c:v>0.25626467480986</c:v>
                </c:pt>
                <c:pt idx="1">
                  <c:v>0.271640296111155</c:v>
                </c:pt>
                <c:pt idx="2">
                  <c:v>0.288984017550844</c:v>
                </c:pt>
                <c:pt idx="3">
                  <c:v>0.260155325453403</c:v>
                </c:pt>
                <c:pt idx="4">
                  <c:v>0.28597864029468</c:v>
                </c:pt>
                <c:pt idx="5">
                  <c:v>0.325228646257273</c:v>
                </c:pt>
                <c:pt idx="6">
                  <c:v>0.294685871202156</c:v>
                </c:pt>
                <c:pt idx="7">
                  <c:v>0.316298545160547</c:v>
                </c:pt>
                <c:pt idx="8">
                  <c:v>0.340568426928125</c:v>
                </c:pt>
                <c:pt idx="9">
                  <c:v>0.31978867131435</c:v>
                </c:pt>
                <c:pt idx="10">
                  <c:v>0.323280142424503</c:v>
                </c:pt>
                <c:pt idx="11">
                  <c:v>0.328289997025713</c:v>
                </c:pt>
                <c:pt idx="12">
                  <c:v>0.292064312036704</c:v>
                </c:pt>
                <c:pt idx="13">
                  <c:v>0.272422148721281</c:v>
                </c:pt>
                <c:pt idx="14">
                  <c:v>0.313705698839165</c:v>
                </c:pt>
                <c:pt idx="15">
                  <c:v>0.282621546427982</c:v>
                </c:pt>
                <c:pt idx="16">
                  <c:v>0.327397537136186</c:v>
                </c:pt>
                <c:pt idx="17">
                  <c:v>0.33018300677124</c:v>
                </c:pt>
                <c:pt idx="18">
                  <c:v>0.326894683155129</c:v>
                </c:pt>
                <c:pt idx="19">
                  <c:v>0.357796412770404</c:v>
                </c:pt>
                <c:pt idx="20">
                  <c:v>0.346450930425926</c:v>
                </c:pt>
                <c:pt idx="21">
                  <c:v>0.357257574316043</c:v>
                </c:pt>
                <c:pt idx="22">
                  <c:v>0.381333015146771</c:v>
                </c:pt>
                <c:pt idx="23">
                  <c:v>0.394656319457607</c:v>
                </c:pt>
                <c:pt idx="24">
                  <c:v>0.40875796962141</c:v>
                </c:pt>
                <c:pt idx="25">
                  <c:v>0.466893699316201</c:v>
                </c:pt>
                <c:pt idx="26">
                  <c:v>0.467651267454888</c:v>
                </c:pt>
                <c:pt idx="27">
                  <c:v>0.470277206624139</c:v>
                </c:pt>
                <c:pt idx="28">
                  <c:v>0.520217648921339</c:v>
                </c:pt>
                <c:pt idx="29">
                  <c:v>0.537412487263276</c:v>
                </c:pt>
                <c:pt idx="30">
                  <c:v>0.513284968368598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556183"/>
        <c:axId val="17215923"/>
      </c:lineChart>
      <c:catAx>
        <c:axId val="11556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15923"/>
        <c:crosses val="autoZero"/>
        <c:auto val="1"/>
        <c:lblAlgn val="ctr"/>
        <c:lblOffset val="100"/>
        <c:noMultiLvlLbl val="0"/>
      </c:catAx>
      <c:valAx>
        <c:axId val="172159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전체 수출 대비 비중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56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월별 수출 증감액 분해 — 반도체와 비반도체가 각각 만든 몫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분석11_그래프_구조분석!B68</c:f>
              <c:strCache>
                <c:ptCount val="1"/>
                <c:pt idx="0">
                  <c:v>반도체(광의)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분석11_그래프_구조분석!$A$69:$A$87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분석11_그래프_구조분석!$B$69:$B$87</c:f>
              <c:numCache>
                <c:formatCode>#,##0</c:formatCode>
                <c:ptCount val="19"/>
                <c:pt idx="0">
                  <c:v>342647</c:v>
                </c:pt>
                <c:pt idx="1">
                  <c:v>99535</c:v>
                </c:pt>
                <c:pt idx="2">
                  <c:v>1882296</c:v>
                </c:pt>
                <c:pt idx="3">
                  <c:v>1794873</c:v>
                </c:pt>
                <c:pt idx="4">
                  <c:v>2154491</c:v>
                </c:pt>
                <c:pt idx="5">
                  <c:v>1106961</c:v>
                </c:pt>
                <c:pt idx="6">
                  <c:v>2918165</c:v>
                </c:pt>
                <c:pt idx="7">
                  <c:v>2612607</c:v>
                </c:pt>
                <c:pt idx="8">
                  <c:v>2894069</c:v>
                </c:pt>
                <c:pt idx="9">
                  <c:v>2873052</c:v>
                </c:pt>
                <c:pt idx="10">
                  <c:v>4969983</c:v>
                </c:pt>
                <c:pt idx="11">
                  <c:v>7290363</c:v>
                </c:pt>
                <c:pt idx="12">
                  <c:v>12551392</c:v>
                </c:pt>
                <c:pt idx="13">
                  <c:v>17336298</c:v>
                </c:pt>
                <c:pt idx="14">
                  <c:v>22626264</c:v>
                </c:pt>
                <c:pt idx="15">
                  <c:v>23925004</c:v>
                </c:pt>
                <c:pt idx="16">
                  <c:v>26811493</c:v>
                </c:pt>
                <c:pt idx="17">
                  <c:v>35036410</c:v>
                </c:pt>
                <c:pt idx="18">
                  <c:v>30943760</c:v>
                </c:pt>
              </c:numCache>
            </c:numRef>
          </c:val>
        </c:ser>
        <c:ser>
          <c:idx val="1"/>
          <c:order val="1"/>
          <c:tx>
            <c:strRef>
              <c:f>분석11_그래프_구조분석!C68</c:f>
              <c:strCache>
                <c:ptCount val="1"/>
                <c:pt idx="0">
                  <c:v>비반도체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분석11_그래프_구조분석!$A$69:$A$87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분석11_그래프_구조분석!$C$69:$C$87</c:f>
              <c:numCache>
                <c:formatCode>#,##0</c:formatCode>
                <c:ptCount val="19"/>
                <c:pt idx="0">
                  <c:v>-5875486</c:v>
                </c:pt>
                <c:pt idx="1">
                  <c:v>116376</c:v>
                </c:pt>
                <c:pt idx="2">
                  <c:v>-336043</c:v>
                </c:pt>
                <c:pt idx="3">
                  <c:v>92573</c:v>
                </c:pt>
                <c:pt idx="4">
                  <c:v>-2913985</c:v>
                </c:pt>
                <c:pt idx="5">
                  <c:v>1385202</c:v>
                </c:pt>
                <c:pt idx="6">
                  <c:v>347369</c:v>
                </c:pt>
                <c:pt idx="7">
                  <c:v>-1996199</c:v>
                </c:pt>
                <c:pt idx="8">
                  <c:v>4465356</c:v>
                </c:pt>
                <c:pt idx="9">
                  <c:v>-861666</c:v>
                </c:pt>
                <c:pt idx="10">
                  <c:v>-505994</c:v>
                </c:pt>
                <c:pt idx="11">
                  <c:v>864011</c:v>
                </c:pt>
                <c:pt idx="12">
                  <c:v>4115561</c:v>
                </c:pt>
                <c:pt idx="13">
                  <c:v>-1986052</c:v>
                </c:pt>
                <c:pt idx="14">
                  <c:v>6642302</c:v>
                </c:pt>
                <c:pt idx="15">
                  <c:v>3791134</c:v>
                </c:pt>
                <c:pt idx="16">
                  <c:v>3503527</c:v>
                </c:pt>
                <c:pt idx="17">
                  <c:v>7085952</c:v>
                </c:pt>
                <c:pt idx="18">
                  <c:v>7291017</c:v>
                </c:pt>
              </c:numCache>
            </c:numRef>
          </c:val>
        </c:ser>
        <c:gapWidth val="150"/>
        <c:overlap val="100"/>
        <c:axId val="75201817"/>
        <c:axId val="81302132"/>
      </c:barChart>
      <c:catAx>
        <c:axId val="752018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02132"/>
        <c:crosses val="autoZero"/>
        <c:auto val="1"/>
        <c:lblAlgn val="ctr"/>
        <c:lblOffset val="100"/>
        <c:noMultiLvlLbl val="0"/>
      </c:catAx>
      <c:valAx>
        <c:axId val="813021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018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HS 부문별 1~7월 수출 증감액 (2026 vs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분석11_그래프_구조분석!B5</c:f>
              <c:strCache>
                <c:ptCount val="1"/>
                <c:pt idx="0">
                  <c:v>증감액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분석11_그래프_구조분석!$A$6:$A$27</c:f>
              <c:strCache>
                <c:ptCount val="22"/>
                <c:pt idx="0">
                  <c:v>XVI. 기계·전기전자기기</c:v>
                </c:pt>
                <c:pt idx="1">
                  <c:v>V. 광물성 생산품</c:v>
                </c:pt>
                <c:pt idx="2">
                  <c:v>XIV. 귀금속·보석</c:v>
                </c:pt>
                <c:pt idx="3">
                  <c:v>VI. 화학공업 생산품</c:v>
                </c:pt>
                <c:pt idx="4">
                  <c:v>XVII. 수송기기</c:v>
                </c:pt>
                <c:pt idx="5">
                  <c:v>XV. 비금속(卑金屬)과 그 제품</c:v>
                </c:pt>
                <c:pt idx="6">
                  <c:v>VII. 플라스틱·고무</c:v>
                </c:pt>
                <c:pt idx="7">
                  <c:v>XVIII. 광학·의료·정밀기기</c:v>
                </c:pt>
                <c:pt idx="8">
                  <c:v>I. 동물성 생산품</c:v>
                </c:pt>
                <c:pt idx="9">
                  <c:v>IV. 조제식료품·음료·담배</c:v>
                </c:pt>
                <c:pt idx="10">
                  <c:v>VIII. 원피·가죽·모피</c:v>
                </c:pt>
                <c:pt idx="11">
                  <c:v>XIX. 무기·탄약</c:v>
                </c:pt>
                <c:pt idx="12">
                  <c:v>XX. 잡품(가구·완구 등)</c:v>
                </c:pt>
                <c:pt idx="13">
                  <c:v>XII. 신발·모자·우산</c:v>
                </c:pt>
                <c:pt idx="14">
                  <c:v>X. 펄프·종이·인쇄물</c:v>
                </c:pt>
                <c:pt idx="15">
                  <c:v>IX. 목재·목탄·코르크</c:v>
                </c:pt>
                <c:pt idx="16">
                  <c:v>기타. 특수분류</c:v>
                </c:pt>
                <c:pt idx="17">
                  <c:v>XIII. 석·시멘트·도자·유리</c:v>
                </c:pt>
                <c:pt idx="18">
                  <c:v>III. 동식물성 유지</c:v>
                </c:pt>
                <c:pt idx="19">
                  <c:v>II. 식물성 생산품</c:v>
                </c:pt>
                <c:pt idx="20">
                  <c:v>XXI. 예술품·골동품</c:v>
                </c:pt>
                <c:pt idx="21">
                  <c:v>XI. 방직용 섬유</c:v>
                </c:pt>
              </c:strCache>
            </c:strRef>
          </c:cat>
          <c:val>
            <c:numRef>
              <c:f>분석11_그래프_구조분석!$B$6:$B$27</c:f>
              <c:numCache>
                <c:formatCode>#,##0</c:formatCode>
                <c:ptCount val="22"/>
                <c:pt idx="0">
                  <c:v>169940061</c:v>
                </c:pt>
                <c:pt idx="1">
                  <c:v>9543479</c:v>
                </c:pt>
                <c:pt idx="2">
                  <c:v>6049489</c:v>
                </c:pt>
                <c:pt idx="3">
                  <c:v>5542971</c:v>
                </c:pt>
                <c:pt idx="4">
                  <c:v>3218274</c:v>
                </c:pt>
                <c:pt idx="5">
                  <c:v>2914348</c:v>
                </c:pt>
                <c:pt idx="6">
                  <c:v>1270022</c:v>
                </c:pt>
                <c:pt idx="7">
                  <c:v>446031</c:v>
                </c:pt>
                <c:pt idx="8">
                  <c:v>333823</c:v>
                </c:pt>
                <c:pt idx="9">
                  <c:v>303935</c:v>
                </c:pt>
                <c:pt idx="10">
                  <c:v>110758</c:v>
                </c:pt>
                <c:pt idx="11">
                  <c:v>66218</c:v>
                </c:pt>
                <c:pt idx="12">
                  <c:v>61967</c:v>
                </c:pt>
                <c:pt idx="13">
                  <c:v>47143</c:v>
                </c:pt>
                <c:pt idx="14">
                  <c:v>43477</c:v>
                </c:pt>
                <c:pt idx="15">
                  <c:v>8245</c:v>
                </c:pt>
                <c:pt idx="16">
                  <c:v>0</c:v>
                </c:pt>
                <c:pt idx="17">
                  <c:v>-22671</c:v>
                </c:pt>
                <c:pt idx="18">
                  <c:v>-36240</c:v>
                </c:pt>
                <c:pt idx="19">
                  <c:v>-45008</c:v>
                </c:pt>
                <c:pt idx="20">
                  <c:v>-48509</c:v>
                </c:pt>
                <c:pt idx="21">
                  <c:v>-90986</c:v>
                </c:pt>
              </c:numCache>
            </c:numRef>
          </c:val>
        </c:ser>
        <c:gapWidth val="150"/>
        <c:overlap val="0"/>
        <c:axId val="22294623"/>
        <c:axId val="82656023"/>
      </c:barChart>
      <c:catAx>
        <c:axId val="222946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56023"/>
        <c:crosses val="autoZero"/>
        <c:auto val="1"/>
        <c:lblAlgn val="ctr"/>
        <c:lblOffset val="100"/>
        <c:noMultiLvlLbl val="0"/>
      </c:catAx>
      <c:valAx>
        <c:axId val="826560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946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5. HS 류별 수출 증감액 상위 15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분석11_그래프_구조분석!B38</c:f>
              <c:strCache>
                <c:ptCount val="1"/>
                <c:pt idx="0">
                  <c:v>증감액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분석11_그래프_구조분석!$A$39:$A$53</c:f>
              <c:strCache>
                <c:ptCount val="15"/>
                <c:pt idx="0">
                  <c:v>85. 전기기기와 그 부분품, 녹음기ㆍ음</c:v>
                </c:pt>
                <c:pt idx="1">
                  <c:v>84. 원자로ㆍ보일러ㆍ기계류와 이들의 부</c:v>
                </c:pt>
                <c:pt idx="2">
                  <c:v>27. 광물성 연료ㆍ광물유(鑛物油)와 이</c:v>
                </c:pt>
                <c:pt idx="3">
                  <c:v>71. 천연진주ㆍ양식진주ㆍ귀석ㆍ반귀석ㆍ귀</c:v>
                </c:pt>
                <c:pt idx="4">
                  <c:v>89. 선박과 수상 구조물</c:v>
                </c:pt>
                <c:pt idx="5">
                  <c:v>33. 정유(essential oil)와</c:v>
                </c:pt>
                <c:pt idx="6">
                  <c:v>74. 구리와 그 제품</c:v>
                </c:pt>
                <c:pt idx="7">
                  <c:v>28. 무기화학품, 귀금속ㆍ희토류(稀土類</c:v>
                </c:pt>
                <c:pt idx="8">
                  <c:v>39. 플라스틱과 그 제품</c:v>
                </c:pt>
                <c:pt idx="9">
                  <c:v>30. 의료용품</c:v>
                </c:pt>
                <c:pt idx="10">
                  <c:v>76. 알루미늄과 그 제품</c:v>
                </c:pt>
                <c:pt idx="11">
                  <c:v>29. 유기화학품</c:v>
                </c:pt>
                <c:pt idx="12">
                  <c:v>90. 광학기기ㆍ사진용 기기ㆍ영화용 기기</c:v>
                </c:pt>
                <c:pt idx="13">
                  <c:v>38. 각종 화학공업 생산품</c:v>
                </c:pt>
                <c:pt idx="14">
                  <c:v>03. 어류ㆍ갑각류ㆍ연체동물과 그 밖의 </c:v>
                </c:pt>
              </c:strCache>
            </c:strRef>
          </c:cat>
          <c:val>
            <c:numRef>
              <c:f>분석11_그래프_구조분석!$B$39:$B$53</c:f>
              <c:numCache>
                <c:formatCode>#,##0</c:formatCode>
                <c:ptCount val="15"/>
                <c:pt idx="0">
                  <c:v>133740994</c:v>
                </c:pt>
                <c:pt idx="1">
                  <c:v>36199067</c:v>
                </c:pt>
                <c:pt idx="2">
                  <c:v>9283295</c:v>
                </c:pt>
                <c:pt idx="3">
                  <c:v>6049489</c:v>
                </c:pt>
                <c:pt idx="4">
                  <c:v>3585206</c:v>
                </c:pt>
                <c:pt idx="5">
                  <c:v>1778567</c:v>
                </c:pt>
                <c:pt idx="6">
                  <c:v>1584570</c:v>
                </c:pt>
                <c:pt idx="7">
                  <c:v>1183000</c:v>
                </c:pt>
                <c:pt idx="8">
                  <c:v>1088824</c:v>
                </c:pt>
                <c:pt idx="9">
                  <c:v>944613</c:v>
                </c:pt>
                <c:pt idx="10">
                  <c:v>886200</c:v>
                </c:pt>
                <c:pt idx="11">
                  <c:v>813796</c:v>
                </c:pt>
                <c:pt idx="12">
                  <c:v>542804</c:v>
                </c:pt>
                <c:pt idx="13">
                  <c:v>460078</c:v>
                </c:pt>
                <c:pt idx="14">
                  <c:v>327754</c:v>
                </c:pt>
              </c:numCache>
            </c:numRef>
          </c:val>
        </c:ser>
        <c:gapWidth val="150"/>
        <c:overlap val="0"/>
        <c:axId val="10098987"/>
        <c:axId val="66211803"/>
      </c:barChart>
      <c:catAx>
        <c:axId val="100989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11803"/>
        <c:crosses val="autoZero"/>
        <c:auto val="1"/>
        <c:lblAlgn val="ctr"/>
        <c:lblOffset val="100"/>
        <c:noMultiLvlLbl val="0"/>
      </c:catAx>
      <c:valAx>
        <c:axId val="662118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989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6. HS 류별 수출 감소액 하위 10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분석11_그래프_구조분석!B55</c:f>
              <c:strCache>
                <c:ptCount val="1"/>
                <c:pt idx="0">
                  <c:v>증감액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분석11_그래프_구조분석!$A$56:$A$65</c:f>
              <c:strCache>
                <c:ptCount val="10"/>
                <c:pt idx="0">
                  <c:v>63. 제품으로 된 방직용 섬유의 그 밖</c:v>
                </c:pt>
                <c:pt idx="1">
                  <c:v>97. 예술품ㆍ수집품ㆍ골동품</c:v>
                </c:pt>
                <c:pt idx="2">
                  <c:v>54. 인조필라멘트, 인조방직용 섬유재료</c:v>
                </c:pt>
                <c:pt idx="3">
                  <c:v>12. 채유(採油)에 적합한 종자와 과실</c:v>
                </c:pt>
                <c:pt idx="4">
                  <c:v>88. 항공기와 우주선, 이들의 부분품</c:v>
                </c:pt>
                <c:pt idx="5">
                  <c:v>60. 메리야스 편물과 뜨개질 편물</c:v>
                </c:pt>
                <c:pt idx="6">
                  <c:v>91. 시계와 그 부분품</c:v>
                </c:pt>
                <c:pt idx="7">
                  <c:v>70. 유리와 유리제품</c:v>
                </c:pt>
                <c:pt idx="8">
                  <c:v>73. 철강의 제품</c:v>
                </c:pt>
                <c:pt idx="9">
                  <c:v>87. 철도용이나 궤도용 외의 차량과 그</c:v>
                </c:pt>
              </c:strCache>
            </c:strRef>
          </c:cat>
          <c:val>
            <c:numRef>
              <c:f>분석11_그래프_구조분석!$B$56:$B$65</c:f>
              <c:numCache>
                <c:formatCode>#,##0</c:formatCode>
                <c:ptCount val="10"/>
                <c:pt idx="0">
                  <c:v>-45294</c:v>
                </c:pt>
                <c:pt idx="1">
                  <c:v>-48509</c:v>
                </c:pt>
                <c:pt idx="2">
                  <c:v>-49222</c:v>
                </c:pt>
                <c:pt idx="3">
                  <c:v>-50609</c:v>
                </c:pt>
                <c:pt idx="4">
                  <c:v>-57178</c:v>
                </c:pt>
                <c:pt idx="5">
                  <c:v>-70785</c:v>
                </c:pt>
                <c:pt idx="6">
                  <c:v>-90340</c:v>
                </c:pt>
                <c:pt idx="7">
                  <c:v>-135254</c:v>
                </c:pt>
                <c:pt idx="8">
                  <c:v>-229520</c:v>
                </c:pt>
                <c:pt idx="9">
                  <c:v>-553803</c:v>
                </c:pt>
              </c:numCache>
            </c:numRef>
          </c:val>
        </c:ser>
        <c:gapWidth val="150"/>
        <c:overlap val="0"/>
        <c:axId val="1626127"/>
        <c:axId val="79895087"/>
      </c:barChart>
      <c:catAx>
        <c:axId val="1626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95087"/>
        <c:crosses val="autoZero"/>
        <c:auto val="1"/>
        <c:lblAlgn val="ctr"/>
        <c:lblOffset val="100"/>
        <c:noMultiLvlLbl val="0"/>
      </c:catAx>
      <c:valAx>
        <c:axId val="798950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61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7. 성장 유형별 수출 증감액 (HS 97류 분류)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분석11_그래프_구조분석!B30</c:f>
              <c:strCache>
                <c:ptCount val="1"/>
                <c:pt idx="0">
                  <c:v>Δ금액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분석11_그래프_구조분석!$A$31:$A$35</c:f>
              <c:strCache>
                <c:ptCount val="5"/>
                <c:pt idx="0">
                  <c:v>가격 주도</c:v>
                </c:pt>
                <c:pt idx="1">
                  <c:v>물량 주도</c:v>
                </c:pt>
                <c:pt idx="2">
                  <c:v>혼합</c:v>
                </c:pt>
                <c:pt idx="3">
                  <c:v>감소</c:v>
                </c:pt>
                <c:pt idx="4">
                  <c:v>단가 불안정</c:v>
                </c:pt>
              </c:strCache>
            </c:strRef>
          </c:cat>
          <c:val>
            <c:numRef>
              <c:f>분석11_그래프_구조분석!$B$31:$B$35</c:f>
              <c:numCache>
                <c:formatCode>#,##0</c:formatCode>
                <c:ptCount val="5"/>
                <c:pt idx="0">
                  <c:v>199448022</c:v>
                </c:pt>
                <c:pt idx="1">
                  <c:v>908433</c:v>
                </c:pt>
                <c:pt idx="2">
                  <c:v>912449</c:v>
                </c:pt>
                <c:pt idx="3">
                  <c:v>-1564341</c:v>
                </c:pt>
                <c:pt idx="4">
                  <c:v>-47736</c:v>
                </c:pt>
              </c:numCache>
            </c:numRef>
          </c:val>
        </c:ser>
        <c:gapWidth val="150"/>
        <c:overlap val="0"/>
        <c:axId val="89548609"/>
        <c:axId val="14221557"/>
      </c:barChart>
      <c:catAx>
        <c:axId val="895486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21557"/>
        <c:crosses val="autoZero"/>
        <c:auto val="1"/>
        <c:lblAlgn val="ctr"/>
        <c:lblOffset val="100"/>
        <c:noMultiLvlLbl val="0"/>
      </c:catAx>
      <c:valAx>
        <c:axId val="142215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486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8. 분기별 수출·수입·무역수지 (2024 Q1~2026 Q3)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분석3_MoM·QoQ·YoY!B39</c:f>
              <c:strCache>
                <c:ptCount val="1"/>
                <c:pt idx="0">
                  <c:v>수출 금액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분석3_MoM·QoQ·YoY!$B$40:$B$50</c:f>
              <c:numCache>
                <c:formatCode>#,##0</c:formatCode>
                <c:ptCount val="11"/>
                <c:pt idx="0">
                  <c:v>163304522</c:v>
                </c:pt>
                <c:pt idx="1">
                  <c:v>171510490</c:v>
                </c:pt>
                <c:pt idx="2">
                  <c:v>173646405</c:v>
                </c:pt>
                <c:pt idx="3">
                  <c:v>175148071</c:v>
                </c:pt>
                <c:pt idx="4">
                  <c:v>159533847</c:v>
                </c:pt>
                <c:pt idx="5">
                  <c:v>175130605</c:v>
                </c:pt>
                <c:pt idx="6">
                  <c:v>184887772</c:v>
                </c:pt>
                <c:pt idx="7">
                  <c:v>189777820</c:v>
                </c:pt>
                <c:pt idx="8">
                  <c:v>220819612</c:v>
                </c:pt>
                <c:pt idx="9">
                  <c:v>275284125</c:v>
                </c:pt>
                <c:pt idx="10">
                  <c:v>98959099</c:v>
                </c:pt>
              </c:numCache>
            </c:numRef>
          </c:val>
        </c:ser>
        <c:ser>
          <c:idx val="1"/>
          <c:order val="1"/>
          <c:tx>
            <c:strRef>
              <c:f>분석3_MoM·QoQ·YoY!E39</c:f>
              <c:strCache>
                <c:ptCount val="1"/>
                <c:pt idx="0">
                  <c:v>수입 금액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분석3_MoM·QoQ·YoY!$E$40:$E$50</c:f>
              <c:numCache>
                <c:formatCode>#,##0</c:formatCode>
                <c:ptCount val="11"/>
                <c:pt idx="0">
                  <c:v>154809376</c:v>
                </c:pt>
                <c:pt idx="1">
                  <c:v>157044311</c:v>
                </c:pt>
                <c:pt idx="2">
                  <c:v>159996561</c:v>
                </c:pt>
                <c:pt idx="3">
                  <c:v>159916961</c:v>
                </c:pt>
                <c:pt idx="4">
                  <c:v>152842065</c:v>
                </c:pt>
                <c:pt idx="5">
                  <c:v>154403578</c:v>
                </c:pt>
                <c:pt idx="6">
                  <c:v>162486609</c:v>
                </c:pt>
                <c:pt idx="7">
                  <c:v>162163116</c:v>
                </c:pt>
                <c:pt idx="8">
                  <c:v>169830828</c:v>
                </c:pt>
                <c:pt idx="9">
                  <c:v>188904844</c:v>
                </c:pt>
                <c:pt idx="10">
                  <c:v>68567473</c:v>
                </c:pt>
              </c:numCache>
            </c:numRef>
          </c:val>
        </c:ser>
        <c:gapWidth val="150"/>
        <c:overlap val="0"/>
        <c:axId val="69912083"/>
        <c:axId val="65535884"/>
      </c:barChart>
      <c:lineChart>
        <c:grouping val="standard"/>
        <c:varyColors val="0"/>
        <c:ser>
          <c:idx val="2"/>
          <c:order val="2"/>
          <c:tx>
            <c:strRef>
              <c:f>분석3_MoM·QoQ·YoY!H39</c:f>
              <c:strCache>
                <c:ptCount val="1"/>
                <c:pt idx="0">
                  <c:v>무역수지</c:v>
                </c:pt>
              </c:strCache>
            </c:strRef>
          </c:tx>
          <c:spPr>
            <a:solidFill>
              <a:srgbClr val="c00000"/>
            </a:solidFill>
            <a:ln w="24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분석3_MoM·QoQ·YoY!$H$40:$H$50</c:f>
              <c:numCache>
                <c:formatCode>#,##0</c:formatCode>
                <c:ptCount val="11"/>
                <c:pt idx="0">
                  <c:v>8495146</c:v>
                </c:pt>
                <c:pt idx="1">
                  <c:v>14466179</c:v>
                </c:pt>
                <c:pt idx="2">
                  <c:v>13649844</c:v>
                </c:pt>
                <c:pt idx="3">
                  <c:v>15231110</c:v>
                </c:pt>
                <c:pt idx="4">
                  <c:v>6691782</c:v>
                </c:pt>
                <c:pt idx="5">
                  <c:v>20727027</c:v>
                </c:pt>
                <c:pt idx="6">
                  <c:v>22401163</c:v>
                </c:pt>
                <c:pt idx="7">
                  <c:v>27614704</c:v>
                </c:pt>
                <c:pt idx="8">
                  <c:v>50988784</c:v>
                </c:pt>
                <c:pt idx="9">
                  <c:v>86379281</c:v>
                </c:pt>
                <c:pt idx="10">
                  <c:v>30391626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36909"/>
        <c:axId val="2756433"/>
      </c:lineChart>
      <c:catAx>
        <c:axId val="699120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35884"/>
        <c:crosses val="autoZero"/>
        <c:auto val="1"/>
        <c:lblAlgn val="ctr"/>
        <c:lblOffset val="100"/>
        <c:noMultiLvlLbl val="0"/>
      </c:catAx>
      <c:valAx>
        <c:axId val="655358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12083"/>
        <c:crosses val="autoZero"/>
        <c:crossBetween val="between"/>
      </c:valAx>
      <c:catAx>
        <c:axId val="4736909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6433"/>
        <c:crosses val="autoZero"/>
        <c:auto val="1"/>
        <c:lblAlgn val="ctr"/>
        <c:lblOffset val="100"/>
        <c:noMultiLvlLbl val="0"/>
      </c:catAx>
      <c:valAx>
        <c:axId val="275643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무역수지(천$)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690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9. 분기별 수출 YoY와 QoQ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분석3_MoM·QoQ·YoY!D39</c:f>
              <c:strCache>
                <c:ptCount val="1"/>
                <c:pt idx="0">
                  <c:v>YoY</c:v>
                </c:pt>
              </c:strCache>
            </c:strRef>
          </c:tx>
          <c:spPr>
            <a:solidFill>
              <a:srgbClr val="2e75b6"/>
            </a:solidFill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분석3_MoM·QoQ·YoY!$D$40:$D$50</c:f>
              <c:numCache>
                <c:formatCode>0.0%;[RED]\-0.0%;\-</c:formatCode>
                <c:ptCount val="11"/>
                <c:pt idx="4">
                  <c:v>-0.0230898382593472</c:v>
                </c:pt>
                <c:pt idx="5">
                  <c:v>0.0211072512241088</c:v>
                </c:pt>
                <c:pt idx="6">
                  <c:v>0.0647371133309671</c:v>
                </c:pt>
                <c:pt idx="7">
                  <c:v>0.0835278910950723</c:v>
                </c:pt>
                <c:pt idx="8">
                  <c:v>0.384155250766316</c:v>
                </c:pt>
                <c:pt idx="9">
                  <c:v>0.571879027083815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분석3_MoM·QoQ·YoY!C39</c:f>
              <c:strCache>
                <c:ptCount val="1"/>
                <c:pt idx="0">
                  <c:v>QoQ</c:v>
                </c:pt>
              </c:strCache>
            </c:strRef>
          </c:tx>
          <c:spPr>
            <a:solidFill>
              <a:srgbClr val="548235"/>
            </a:solidFill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분석3_MoM·QoQ·YoY!$A$40:$A$50</c:f>
              <c:strCache>
                <c:ptCount val="11"/>
                <c:pt idx="0">
                  <c:v>2024 Q1</c:v>
                </c:pt>
                <c:pt idx="1">
                  <c:v>2024 Q2</c:v>
                </c:pt>
                <c:pt idx="2">
                  <c:v>2024 Q3</c:v>
                </c:pt>
                <c:pt idx="3">
                  <c:v>2024 Q4</c:v>
                </c:pt>
                <c:pt idx="4">
                  <c:v>2025 Q1</c:v>
                </c:pt>
                <c:pt idx="5">
                  <c:v>2025 Q2</c:v>
                </c:pt>
                <c:pt idx="6">
                  <c:v>2025 Q3</c:v>
                </c:pt>
                <c:pt idx="7">
                  <c:v>2025 Q4</c:v>
                </c:pt>
                <c:pt idx="8">
                  <c:v>2026 Q1</c:v>
                </c:pt>
                <c:pt idx="9">
                  <c:v>2026 Q2</c:v>
                </c:pt>
                <c:pt idx="10">
                  <c:v>2026 Q3</c:v>
                </c:pt>
              </c:strCache>
            </c:strRef>
          </c:cat>
          <c:val>
            <c:numRef>
              <c:f>분석3_MoM·QoQ·YoY!$C$40:$C$50</c:f>
              <c:numCache>
                <c:formatCode>0.0%;[RED]\-0.0%;\-</c:formatCode>
                <c:ptCount val="11"/>
                <c:pt idx="1">
                  <c:v>0.0502494842120784</c:v>
                </c:pt>
                <c:pt idx="2">
                  <c:v>0.0124535531325227</c:v>
                </c:pt>
                <c:pt idx="3">
                  <c:v>0.00864783811677539</c:v>
                </c:pt>
                <c:pt idx="4">
                  <c:v>-0.0891487066391956</c:v>
                </c:pt>
                <c:pt idx="5">
                  <c:v>0.0977645702983643</c:v>
                </c:pt>
                <c:pt idx="6">
                  <c:v>0.0557136600995583</c:v>
                </c:pt>
                <c:pt idx="7">
                  <c:v>0.0264487366963349</c:v>
                </c:pt>
                <c:pt idx="8">
                  <c:v>0.163569125201249</c:v>
                </c:pt>
                <c:pt idx="9">
                  <c:v>0.246647082234707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570192"/>
        <c:axId val="9885156"/>
      </c:lineChart>
      <c:catAx>
        <c:axId val="21570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5156"/>
        <c:crosses val="autoZero"/>
        <c:auto val="1"/>
        <c:lblAlgn val="ctr"/>
        <c:lblOffset val="100"/>
        <c:noMultiLvlLbl val="0"/>
      </c:catAx>
      <c:valAx>
        <c:axId val="98851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-0.0%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70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10. 월별 물량효과·가격효과·교차효과 (전년 동월 대비)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분석9_물량·가격분해!D6</c:f>
              <c:strCache>
                <c:ptCount val="1"/>
                <c:pt idx="0">
                  <c:v>물량효과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분석9_물량·가격분해!$A$7:$A$25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분석9_물량·가격분해!$D$7:$D$25</c:f>
              <c:numCache>
                <c:formatCode>#,##0</c:formatCode>
                <c:ptCount val="19"/>
                <c:pt idx="0">
                  <c:v>-6778807.83613511</c:v>
                </c:pt>
                <c:pt idx="1">
                  <c:v>1570727.17939619</c:v>
                </c:pt>
                <c:pt idx="2">
                  <c:v>-3711376.0139223</c:v>
                </c:pt>
                <c:pt idx="3">
                  <c:v>3528326.46637707</c:v>
                </c:pt>
                <c:pt idx="4">
                  <c:v>-761232.696283492</c:v>
                </c:pt>
                <c:pt idx="5">
                  <c:v>6186816.12540902</c:v>
                </c:pt>
                <c:pt idx="6">
                  <c:v>3041110.55084594</c:v>
                </c:pt>
                <c:pt idx="7">
                  <c:v>164226.221794934</c:v>
                </c:pt>
                <c:pt idx="8">
                  <c:v>5790230.33859571</c:v>
                </c:pt>
                <c:pt idx="9">
                  <c:v>80721.6836358011</c:v>
                </c:pt>
                <c:pt idx="10">
                  <c:v>-4564511.18006671</c:v>
                </c:pt>
                <c:pt idx="11">
                  <c:v>1245288.01951029</c:v>
                </c:pt>
                <c:pt idx="12">
                  <c:v>5754523.55942911</c:v>
                </c:pt>
                <c:pt idx="13">
                  <c:v>-1781864.93021288</c:v>
                </c:pt>
                <c:pt idx="14">
                  <c:v>1768305.11188028</c:v>
                </c:pt>
                <c:pt idx="15">
                  <c:v>-10310997.5927175</c:v>
                </c:pt>
                <c:pt idx="16">
                  <c:v>-10309507.5294464</c:v>
                </c:pt>
                <c:pt idx="17">
                  <c:v>-1966890.61029905</c:v>
                </c:pt>
                <c:pt idx="18">
                  <c:v>275776.133317415</c:v>
                </c:pt>
              </c:numCache>
            </c:numRef>
          </c:val>
        </c:ser>
        <c:ser>
          <c:idx val="1"/>
          <c:order val="1"/>
          <c:tx>
            <c:strRef>
              <c:f>분석9_물량·가격분해!E6</c:f>
              <c:strCache>
                <c:ptCount val="1"/>
                <c:pt idx="0">
                  <c:v>가격효과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분석9_물량·가격분해!$A$7:$A$25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분석9_물량·가격분해!$E$7:$E$25</c:f>
              <c:numCache>
                <c:formatCode>#,##0</c:formatCode>
                <c:ptCount val="19"/>
                <c:pt idx="0">
                  <c:v>1422184.24240383</c:v>
                </c:pt>
                <c:pt idx="1">
                  <c:v>-1315148.68731181</c:v>
                </c:pt>
                <c:pt idx="2">
                  <c:v>5627145.61162961</c:v>
                </c:pt>
                <c:pt idx="3">
                  <c:v>-1543864.89399117</c:v>
                </c:pt>
                <c:pt idx="4">
                  <c:v>1761.81133900096</c:v>
                </c:pt>
                <c:pt idx="5">
                  <c:v>-3334843.63078181</c:v>
                </c:pt>
                <c:pt idx="6">
                  <c:v>213142.496037984</c:v>
                </c:pt>
                <c:pt idx="7">
                  <c:v>450897.160217253</c:v>
                </c:pt>
                <c:pt idx="8">
                  <c:v>1427965.01405078</c:v>
                </c:pt>
                <c:pt idx="9">
                  <c:v>1927957.75156378</c:v>
                </c:pt>
                <c:pt idx="10">
                  <c:v>9825240.4967332</c:v>
                </c:pt>
                <c:pt idx="11">
                  <c:v>6771655.01670576</c:v>
                </c:pt>
                <c:pt idx="12">
                  <c:v>9769263.43081892</c:v>
                </c:pt>
                <c:pt idx="13">
                  <c:v>17736483.2148807</c:v>
                </c:pt>
                <c:pt idx="14">
                  <c:v>26687516.0832356</c:v>
                </c:pt>
                <c:pt idx="15">
                  <c:v>46242950.7589727</c:v>
                </c:pt>
                <c:pt idx="16">
                  <c:v>49544761.7633836</c:v>
                </c:pt>
                <c:pt idx="17">
                  <c:v>45587842.0871634</c:v>
                </c:pt>
                <c:pt idx="18">
                  <c:v>37787391.5282725</c:v>
                </c:pt>
              </c:numCache>
            </c:numRef>
          </c:val>
        </c:ser>
        <c:ser>
          <c:idx val="2"/>
          <c:order val="2"/>
          <c:tx>
            <c:strRef>
              <c:f>분석9_물량·가격분해!F6</c:f>
              <c:strCache>
                <c:ptCount val="1"/>
                <c:pt idx="0">
                  <c:v>교차효과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분석9_물량·가격분해!$A$7:$A$25</c:f>
              <c:strCache>
                <c:ptCount val="19"/>
                <c:pt idx="0">
                  <c:v>2025.01</c:v>
                </c:pt>
                <c:pt idx="1">
                  <c:v>2025.02</c:v>
                </c:pt>
                <c:pt idx="2">
                  <c:v>2025.03</c:v>
                </c:pt>
                <c:pt idx="3">
                  <c:v>2025.04</c:v>
                </c:pt>
                <c:pt idx="4">
                  <c:v>2025.05</c:v>
                </c:pt>
                <c:pt idx="5">
                  <c:v>2025.06</c:v>
                </c:pt>
                <c:pt idx="6">
                  <c:v>2025.07</c:v>
                </c:pt>
                <c:pt idx="7">
                  <c:v>2025.08</c:v>
                </c:pt>
                <c:pt idx="8">
                  <c:v>2025.09</c:v>
                </c:pt>
                <c:pt idx="9">
                  <c:v>2025.10</c:v>
                </c:pt>
                <c:pt idx="10">
                  <c:v>2025.11</c:v>
                </c:pt>
                <c:pt idx="11">
                  <c:v>2025.12</c:v>
                </c:pt>
                <c:pt idx="12">
                  <c:v>2026.01</c:v>
                </c:pt>
                <c:pt idx="13">
                  <c:v>2026.02</c:v>
                </c:pt>
                <c:pt idx="14">
                  <c:v>2026.03</c:v>
                </c:pt>
                <c:pt idx="15">
                  <c:v>2026.04</c:v>
                </c:pt>
                <c:pt idx="16">
                  <c:v>2026.05</c:v>
                </c:pt>
                <c:pt idx="17">
                  <c:v>2026.06</c:v>
                </c:pt>
                <c:pt idx="18">
                  <c:v>2026.07</c:v>
                </c:pt>
              </c:strCache>
            </c:strRef>
          </c:cat>
          <c:val>
            <c:numRef>
              <c:f>분석9_물량·가격분해!$F$7:$F$25</c:f>
              <c:numCache>
                <c:formatCode>#,##0</c:formatCode>
                <c:ptCount val="19"/>
                <c:pt idx="0">
                  <c:v>-176215.406268723</c:v>
                </c:pt>
                <c:pt idx="1">
                  <c:v>-39667.4920843762</c:v>
                </c:pt>
                <c:pt idx="2">
                  <c:v>-369516.597707307</c:v>
                </c:pt>
                <c:pt idx="3">
                  <c:v>-97015.5723858969</c:v>
                </c:pt>
                <c:pt idx="4">
                  <c:v>-23.1150555126613</c:v>
                </c:pt>
                <c:pt idx="5">
                  <c:v>-359809.494627211</c:v>
                </c:pt>
                <c:pt idx="6">
                  <c:v>11280.9531160795</c:v>
                </c:pt>
                <c:pt idx="7">
                  <c:v>1284.61798781312</c:v>
                </c:pt>
                <c:pt idx="8">
                  <c:v>141229.647353519</c:v>
                </c:pt>
                <c:pt idx="9">
                  <c:v>2706.56480042574</c:v>
                </c:pt>
                <c:pt idx="10">
                  <c:v>-796740.316666496</c:v>
                </c:pt>
                <c:pt idx="11">
                  <c:v>137430.963783951</c:v>
                </c:pt>
                <c:pt idx="12">
                  <c:v>1143166.00975198</c:v>
                </c:pt>
                <c:pt idx="13">
                  <c:v>-604372.28466778</c:v>
                </c:pt>
                <c:pt idx="14">
                  <c:v>812744.804884133</c:v>
                </c:pt>
                <c:pt idx="15">
                  <c:v>-8215815.16625521</c:v>
                </c:pt>
                <c:pt idx="16">
                  <c:v>-8920234.23393714</c:v>
                </c:pt>
                <c:pt idx="17">
                  <c:v>-1498589.47686435</c:v>
                </c:pt>
                <c:pt idx="18">
                  <c:v>171609.33841004</c:v>
                </c:pt>
              </c:numCache>
            </c:numRef>
          </c:val>
        </c:ser>
        <c:gapWidth val="150"/>
        <c:overlap val="100"/>
        <c:axId val="42877155"/>
        <c:axId val="50605854"/>
      </c:barChart>
      <c:catAx>
        <c:axId val="428771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05854"/>
        <c:crosses val="autoZero"/>
        <c:auto val="1"/>
        <c:lblAlgn val="ctr"/>
        <c:lblOffset val="100"/>
        <c:noMultiLvlLbl val="0"/>
      </c:catAx>
      <c:valAx>
        <c:axId val="506058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771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<Relationship Id="rId8" Type="http://schemas.openxmlformats.org/officeDocument/2006/relationships/chart" Target="../charts/chart25.xml"/><Relationship Id="rId9" Type="http://schemas.openxmlformats.org/officeDocument/2006/relationships/chart" Target="../charts/chart26.xml"/><Relationship Id="rId10" Type="http://schemas.openxmlformats.org/officeDocument/2006/relationships/chart" Target="../charts/chart2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7</xdr:col>
      <xdr:colOff>816120</xdr:colOff>
      <xdr:row>24</xdr:row>
      <xdr:rowOff>149400</xdr:rowOff>
    </xdr:to>
    <xdr:graphicFrame>
      <xdr:nvGraphicFramePr>
        <xdr:cNvPr id="0" name="Chart 1"/>
        <xdr:cNvGraphicFramePr/>
      </xdr:nvGraphicFramePr>
      <xdr:xfrm>
        <a:off x="0" y="84780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816120</xdr:colOff>
      <xdr:row>46</xdr:row>
      <xdr:rowOff>149040</xdr:rowOff>
    </xdr:to>
    <xdr:graphicFrame>
      <xdr:nvGraphicFramePr>
        <xdr:cNvPr id="1" name="Chart 2"/>
        <xdr:cNvGraphicFramePr/>
      </xdr:nvGraphicFramePr>
      <xdr:xfrm>
        <a:off x="0" y="503856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7</xdr:col>
      <xdr:colOff>816120</xdr:colOff>
      <xdr:row>68</xdr:row>
      <xdr:rowOff>149400</xdr:rowOff>
    </xdr:to>
    <xdr:graphicFrame>
      <xdr:nvGraphicFramePr>
        <xdr:cNvPr id="2" name="Chart 3"/>
        <xdr:cNvGraphicFramePr/>
      </xdr:nvGraphicFramePr>
      <xdr:xfrm>
        <a:off x="0" y="922968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816120</xdr:colOff>
      <xdr:row>90</xdr:row>
      <xdr:rowOff>149400</xdr:rowOff>
    </xdr:to>
    <xdr:graphicFrame>
      <xdr:nvGraphicFramePr>
        <xdr:cNvPr id="3" name="Chart 4"/>
        <xdr:cNvGraphicFramePr/>
      </xdr:nvGraphicFramePr>
      <xdr:xfrm>
        <a:off x="0" y="1342080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92</xdr:row>
      <xdr:rowOff>0</xdr:rowOff>
    </xdr:from>
    <xdr:to>
      <xdr:col>7</xdr:col>
      <xdr:colOff>816120</xdr:colOff>
      <xdr:row>112</xdr:row>
      <xdr:rowOff>149040</xdr:rowOff>
    </xdr:to>
    <xdr:graphicFrame>
      <xdr:nvGraphicFramePr>
        <xdr:cNvPr id="4" name="Chart 5"/>
        <xdr:cNvGraphicFramePr/>
      </xdr:nvGraphicFramePr>
      <xdr:xfrm>
        <a:off x="0" y="1761156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114</xdr:row>
      <xdr:rowOff>0</xdr:rowOff>
    </xdr:from>
    <xdr:to>
      <xdr:col>7</xdr:col>
      <xdr:colOff>816120</xdr:colOff>
      <xdr:row>134</xdr:row>
      <xdr:rowOff>149400</xdr:rowOff>
    </xdr:to>
    <xdr:graphicFrame>
      <xdr:nvGraphicFramePr>
        <xdr:cNvPr id="5" name="Chart 6"/>
        <xdr:cNvGraphicFramePr/>
      </xdr:nvGraphicFramePr>
      <xdr:xfrm>
        <a:off x="0" y="2180268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136</xdr:row>
      <xdr:rowOff>0</xdr:rowOff>
    </xdr:from>
    <xdr:to>
      <xdr:col>7</xdr:col>
      <xdr:colOff>816120</xdr:colOff>
      <xdr:row>156</xdr:row>
      <xdr:rowOff>149400</xdr:rowOff>
    </xdr:to>
    <xdr:graphicFrame>
      <xdr:nvGraphicFramePr>
        <xdr:cNvPr id="6" name="Chart 7"/>
        <xdr:cNvGraphicFramePr/>
      </xdr:nvGraphicFramePr>
      <xdr:xfrm>
        <a:off x="0" y="2599380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158</xdr:row>
      <xdr:rowOff>0</xdr:rowOff>
    </xdr:from>
    <xdr:to>
      <xdr:col>7</xdr:col>
      <xdr:colOff>816120</xdr:colOff>
      <xdr:row>178</xdr:row>
      <xdr:rowOff>149040</xdr:rowOff>
    </xdr:to>
    <xdr:graphicFrame>
      <xdr:nvGraphicFramePr>
        <xdr:cNvPr id="7" name="Chart 8"/>
        <xdr:cNvGraphicFramePr/>
      </xdr:nvGraphicFramePr>
      <xdr:xfrm>
        <a:off x="0" y="3018456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180</xdr:row>
      <xdr:rowOff>0</xdr:rowOff>
    </xdr:from>
    <xdr:to>
      <xdr:col>7</xdr:col>
      <xdr:colOff>816120</xdr:colOff>
      <xdr:row>200</xdr:row>
      <xdr:rowOff>149400</xdr:rowOff>
    </xdr:to>
    <xdr:graphicFrame>
      <xdr:nvGraphicFramePr>
        <xdr:cNvPr id="8" name="Chart 9"/>
        <xdr:cNvGraphicFramePr/>
      </xdr:nvGraphicFramePr>
      <xdr:xfrm>
        <a:off x="0" y="3437568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202</xdr:row>
      <xdr:rowOff>0</xdr:rowOff>
    </xdr:from>
    <xdr:to>
      <xdr:col>7</xdr:col>
      <xdr:colOff>816120</xdr:colOff>
      <xdr:row>222</xdr:row>
      <xdr:rowOff>149400</xdr:rowOff>
    </xdr:to>
    <xdr:graphicFrame>
      <xdr:nvGraphicFramePr>
        <xdr:cNvPr id="9" name="Chart 10"/>
        <xdr:cNvGraphicFramePr/>
      </xdr:nvGraphicFramePr>
      <xdr:xfrm>
        <a:off x="0" y="3856680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816120</xdr:colOff>
      <xdr:row>244</xdr:row>
      <xdr:rowOff>149040</xdr:rowOff>
    </xdr:to>
    <xdr:graphicFrame>
      <xdr:nvGraphicFramePr>
        <xdr:cNvPr id="10" name="Chart 11"/>
        <xdr:cNvGraphicFramePr/>
      </xdr:nvGraphicFramePr>
      <xdr:xfrm>
        <a:off x="0" y="4275756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246</xdr:row>
      <xdr:rowOff>0</xdr:rowOff>
    </xdr:from>
    <xdr:to>
      <xdr:col>7</xdr:col>
      <xdr:colOff>816120</xdr:colOff>
      <xdr:row>266</xdr:row>
      <xdr:rowOff>149400</xdr:rowOff>
    </xdr:to>
    <xdr:graphicFrame>
      <xdr:nvGraphicFramePr>
        <xdr:cNvPr id="11" name="Chart 12"/>
        <xdr:cNvGraphicFramePr/>
      </xdr:nvGraphicFramePr>
      <xdr:xfrm>
        <a:off x="0" y="4694868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268</xdr:row>
      <xdr:rowOff>0</xdr:rowOff>
    </xdr:from>
    <xdr:to>
      <xdr:col>7</xdr:col>
      <xdr:colOff>816120</xdr:colOff>
      <xdr:row>288</xdr:row>
      <xdr:rowOff>149400</xdr:rowOff>
    </xdr:to>
    <xdr:graphicFrame>
      <xdr:nvGraphicFramePr>
        <xdr:cNvPr id="12" name="Chart 13"/>
        <xdr:cNvGraphicFramePr/>
      </xdr:nvGraphicFramePr>
      <xdr:xfrm>
        <a:off x="0" y="5113980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290</xdr:row>
      <xdr:rowOff>0</xdr:rowOff>
    </xdr:from>
    <xdr:to>
      <xdr:col>7</xdr:col>
      <xdr:colOff>816120</xdr:colOff>
      <xdr:row>310</xdr:row>
      <xdr:rowOff>149040</xdr:rowOff>
    </xdr:to>
    <xdr:graphicFrame>
      <xdr:nvGraphicFramePr>
        <xdr:cNvPr id="13" name="Chart 14"/>
        <xdr:cNvGraphicFramePr/>
      </xdr:nvGraphicFramePr>
      <xdr:xfrm>
        <a:off x="0" y="5533056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312</xdr:row>
      <xdr:rowOff>0</xdr:rowOff>
    </xdr:from>
    <xdr:to>
      <xdr:col>7</xdr:col>
      <xdr:colOff>816120</xdr:colOff>
      <xdr:row>332</xdr:row>
      <xdr:rowOff>149400</xdr:rowOff>
    </xdr:to>
    <xdr:graphicFrame>
      <xdr:nvGraphicFramePr>
        <xdr:cNvPr id="14" name="Chart 15"/>
        <xdr:cNvGraphicFramePr/>
      </xdr:nvGraphicFramePr>
      <xdr:xfrm>
        <a:off x="0" y="5952168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0</xdr:colOff>
      <xdr:row>334</xdr:row>
      <xdr:rowOff>0</xdr:rowOff>
    </xdr:from>
    <xdr:to>
      <xdr:col>7</xdr:col>
      <xdr:colOff>816120</xdr:colOff>
      <xdr:row>354</xdr:row>
      <xdr:rowOff>149400</xdr:rowOff>
    </xdr:to>
    <xdr:graphicFrame>
      <xdr:nvGraphicFramePr>
        <xdr:cNvPr id="15" name="Chart 16"/>
        <xdr:cNvGraphicFramePr/>
      </xdr:nvGraphicFramePr>
      <xdr:xfrm>
        <a:off x="0" y="6371280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0</xdr:colOff>
      <xdr:row>356</xdr:row>
      <xdr:rowOff>0</xdr:rowOff>
    </xdr:from>
    <xdr:to>
      <xdr:col>7</xdr:col>
      <xdr:colOff>816120</xdr:colOff>
      <xdr:row>376</xdr:row>
      <xdr:rowOff>149040</xdr:rowOff>
    </xdr:to>
    <xdr:graphicFrame>
      <xdr:nvGraphicFramePr>
        <xdr:cNvPr id="16" name="Chart 17"/>
        <xdr:cNvGraphicFramePr/>
      </xdr:nvGraphicFramePr>
      <xdr:xfrm>
        <a:off x="0" y="67903560"/>
        <a:ext cx="863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89</xdr:row>
      <xdr:rowOff>5040</xdr:rowOff>
    </xdr:from>
    <xdr:to>
      <xdr:col>7</xdr:col>
      <xdr:colOff>646920</xdr:colOff>
      <xdr:row>111</xdr:row>
      <xdr:rowOff>133200</xdr:rowOff>
    </xdr:to>
    <xdr:graphicFrame>
      <xdr:nvGraphicFramePr>
        <xdr:cNvPr id="17" name="Chart 1"/>
        <xdr:cNvGraphicFramePr/>
      </xdr:nvGraphicFramePr>
      <xdr:xfrm>
        <a:off x="0" y="1700712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113</xdr:row>
      <xdr:rowOff>5040</xdr:rowOff>
    </xdr:from>
    <xdr:to>
      <xdr:col>7</xdr:col>
      <xdr:colOff>646920</xdr:colOff>
      <xdr:row>135</xdr:row>
      <xdr:rowOff>133200</xdr:rowOff>
    </xdr:to>
    <xdr:graphicFrame>
      <xdr:nvGraphicFramePr>
        <xdr:cNvPr id="18" name="Chart 2"/>
        <xdr:cNvGraphicFramePr/>
      </xdr:nvGraphicFramePr>
      <xdr:xfrm>
        <a:off x="0" y="2157912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137</xdr:row>
      <xdr:rowOff>5040</xdr:rowOff>
    </xdr:from>
    <xdr:to>
      <xdr:col>7</xdr:col>
      <xdr:colOff>646920</xdr:colOff>
      <xdr:row>159</xdr:row>
      <xdr:rowOff>133200</xdr:rowOff>
    </xdr:to>
    <xdr:graphicFrame>
      <xdr:nvGraphicFramePr>
        <xdr:cNvPr id="19" name="Chart 3"/>
        <xdr:cNvGraphicFramePr/>
      </xdr:nvGraphicFramePr>
      <xdr:xfrm>
        <a:off x="0" y="2615112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161</xdr:row>
      <xdr:rowOff>5040</xdr:rowOff>
    </xdr:from>
    <xdr:to>
      <xdr:col>7</xdr:col>
      <xdr:colOff>646920</xdr:colOff>
      <xdr:row>189</xdr:row>
      <xdr:rowOff>70200</xdr:rowOff>
    </xdr:to>
    <xdr:graphicFrame>
      <xdr:nvGraphicFramePr>
        <xdr:cNvPr id="20" name="Chart 4"/>
        <xdr:cNvGraphicFramePr/>
      </xdr:nvGraphicFramePr>
      <xdr:xfrm>
        <a:off x="0" y="30723120"/>
        <a:ext cx="9359280" cy="53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191</xdr:row>
      <xdr:rowOff>5040</xdr:rowOff>
    </xdr:from>
    <xdr:to>
      <xdr:col>7</xdr:col>
      <xdr:colOff>646920</xdr:colOff>
      <xdr:row>217</xdr:row>
      <xdr:rowOff>91440</xdr:rowOff>
    </xdr:to>
    <xdr:graphicFrame>
      <xdr:nvGraphicFramePr>
        <xdr:cNvPr id="21" name="Chart 5"/>
        <xdr:cNvGraphicFramePr/>
      </xdr:nvGraphicFramePr>
      <xdr:xfrm>
        <a:off x="0" y="36438120"/>
        <a:ext cx="935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219</xdr:row>
      <xdr:rowOff>5040</xdr:rowOff>
    </xdr:from>
    <xdr:to>
      <xdr:col>7</xdr:col>
      <xdr:colOff>646920</xdr:colOff>
      <xdr:row>241</xdr:row>
      <xdr:rowOff>133560</xdr:rowOff>
    </xdr:to>
    <xdr:graphicFrame>
      <xdr:nvGraphicFramePr>
        <xdr:cNvPr id="22" name="Chart 6"/>
        <xdr:cNvGraphicFramePr/>
      </xdr:nvGraphicFramePr>
      <xdr:xfrm>
        <a:off x="0" y="4177224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243</xdr:row>
      <xdr:rowOff>5040</xdr:rowOff>
    </xdr:from>
    <xdr:to>
      <xdr:col>7</xdr:col>
      <xdr:colOff>646920</xdr:colOff>
      <xdr:row>263</xdr:row>
      <xdr:rowOff>154440</xdr:rowOff>
    </xdr:to>
    <xdr:graphicFrame>
      <xdr:nvGraphicFramePr>
        <xdr:cNvPr id="23" name="Chart 7"/>
        <xdr:cNvGraphicFramePr/>
      </xdr:nvGraphicFramePr>
      <xdr:xfrm>
        <a:off x="0" y="46344240"/>
        <a:ext cx="935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267</xdr:row>
      <xdr:rowOff>5040</xdr:rowOff>
    </xdr:from>
    <xdr:to>
      <xdr:col>7</xdr:col>
      <xdr:colOff>646920</xdr:colOff>
      <xdr:row>289</xdr:row>
      <xdr:rowOff>133560</xdr:rowOff>
    </xdr:to>
    <xdr:graphicFrame>
      <xdr:nvGraphicFramePr>
        <xdr:cNvPr id="24" name="Chart 8"/>
        <xdr:cNvGraphicFramePr/>
      </xdr:nvGraphicFramePr>
      <xdr:xfrm>
        <a:off x="0" y="5091624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291</xdr:row>
      <xdr:rowOff>5040</xdr:rowOff>
    </xdr:from>
    <xdr:to>
      <xdr:col>7</xdr:col>
      <xdr:colOff>646920</xdr:colOff>
      <xdr:row>313</xdr:row>
      <xdr:rowOff>133560</xdr:rowOff>
    </xdr:to>
    <xdr:graphicFrame>
      <xdr:nvGraphicFramePr>
        <xdr:cNvPr id="25" name="Chart 9"/>
        <xdr:cNvGraphicFramePr/>
      </xdr:nvGraphicFramePr>
      <xdr:xfrm>
        <a:off x="0" y="5548824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315</xdr:row>
      <xdr:rowOff>5040</xdr:rowOff>
    </xdr:from>
    <xdr:to>
      <xdr:col>7</xdr:col>
      <xdr:colOff>646920</xdr:colOff>
      <xdr:row>337</xdr:row>
      <xdr:rowOff>133560</xdr:rowOff>
    </xdr:to>
    <xdr:graphicFrame>
      <xdr:nvGraphicFramePr>
        <xdr:cNvPr id="26" name="Chart 10"/>
        <xdr:cNvGraphicFramePr/>
      </xdr:nvGraphicFramePr>
      <xdr:xfrm>
        <a:off x="0" y="6006024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  <col collapsed="false" customWidth="true" hidden="false" outlineLevel="0" max="3" min="3" style="1" width="24"/>
  </cols>
  <sheetData>
    <row r="1" customFormat="false" ht="21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3.5" hidden="false" customHeight="true" outlineLevel="0" collapsed="false">
      <c r="A6" s="6" t="s">
        <v>6</v>
      </c>
      <c r="B6" s="7" t="s">
        <v>7</v>
      </c>
      <c r="C6" s="8" t="s">
        <v>8</v>
      </c>
    </row>
    <row r="7" customFormat="false" ht="13.5" hidden="false" customHeight="true" outlineLevel="0" collapsed="false">
      <c r="A7" s="6" t="s">
        <v>9</v>
      </c>
      <c r="B7" s="7" t="s">
        <v>10</v>
      </c>
      <c r="C7" s="8" t="s">
        <v>11</v>
      </c>
    </row>
    <row r="8" customFormat="false" ht="15" hidden="false" customHeight="true" outlineLevel="0" collapsed="false">
      <c r="A8" s="6" t="s">
        <v>12</v>
      </c>
      <c r="B8" s="7" t="s">
        <v>13</v>
      </c>
      <c r="C8" s="8"/>
    </row>
    <row r="9" customFormat="false" ht="15" hidden="false" customHeight="true" outlineLevel="0" collapsed="false">
      <c r="A9" s="6" t="s">
        <v>14</v>
      </c>
      <c r="B9" s="9" t="s">
        <v>15</v>
      </c>
      <c r="C9" s="8"/>
    </row>
    <row r="10" customFormat="false" ht="15" hidden="false" customHeight="true" outlineLevel="0" collapsed="false">
      <c r="A10" s="6" t="s">
        <v>16</v>
      </c>
      <c r="B10" s="7" t="s">
        <v>17</v>
      </c>
      <c r="C10" s="8"/>
    </row>
    <row r="11" customFormat="false" ht="15" hidden="false" customHeight="true" outlineLevel="0" collapsed="false">
      <c r="A11" s="6" t="s">
        <v>18</v>
      </c>
      <c r="B11" s="9" t="s">
        <v>19</v>
      </c>
      <c r="C11" s="8" t="s">
        <v>20</v>
      </c>
    </row>
    <row r="12" customFormat="false" ht="15" hidden="false" customHeight="true" outlineLevel="0" collapsed="false">
      <c r="A12" s="6" t="s">
        <v>21</v>
      </c>
      <c r="B12" s="9" t="s">
        <v>22</v>
      </c>
      <c r="C12" s="8" t="s">
        <v>23</v>
      </c>
    </row>
    <row r="13" customFormat="false" ht="15" hidden="false" customHeight="true" outlineLevel="0" collapsed="false">
      <c r="A13" s="6" t="s">
        <v>24</v>
      </c>
      <c r="B13" s="7" t="s">
        <v>25</v>
      </c>
      <c r="C13" s="8" t="s">
        <v>26</v>
      </c>
    </row>
    <row r="14" customFormat="false" ht="15" hidden="false" customHeight="true" outlineLevel="0" collapsed="false">
      <c r="A14" s="6" t="s">
        <v>27</v>
      </c>
      <c r="B14" s="9" t="s">
        <v>28</v>
      </c>
      <c r="C14" s="8" t="s">
        <v>26</v>
      </c>
    </row>
    <row r="15" customFormat="false" ht="15" hidden="false" customHeight="true" outlineLevel="0" collapsed="false">
      <c r="A15" s="6" t="s">
        <v>29</v>
      </c>
      <c r="B15" s="9" t="s">
        <v>30</v>
      </c>
      <c r="C15" s="8" t="s">
        <v>26</v>
      </c>
    </row>
    <row r="16" customFormat="false" ht="15" hidden="false" customHeight="true" outlineLevel="0" collapsed="false">
      <c r="A16" s="6" t="s">
        <v>31</v>
      </c>
      <c r="B16" s="7" t="s">
        <v>32</v>
      </c>
      <c r="C16" s="8" t="s">
        <v>26</v>
      </c>
    </row>
    <row r="17" customFormat="false" ht="15" hidden="false" customHeight="true" outlineLevel="0" collapsed="false">
      <c r="A17" s="6" t="s">
        <v>33</v>
      </c>
      <c r="B17" s="9" t="s">
        <v>34</v>
      </c>
      <c r="C17" s="8" t="s">
        <v>26</v>
      </c>
    </row>
    <row r="18" customFormat="false" ht="15" hidden="false" customHeight="true" outlineLevel="0" collapsed="false">
      <c r="A18" s="6" t="s">
        <v>35</v>
      </c>
      <c r="B18" s="9" t="s">
        <v>36</v>
      </c>
      <c r="C18" s="8"/>
    </row>
    <row r="19" customFormat="false" ht="15" hidden="false" customHeight="true" outlineLevel="0" collapsed="false">
      <c r="A19" s="6" t="s">
        <v>37</v>
      </c>
      <c r="B19" s="7" t="s">
        <v>38</v>
      </c>
      <c r="C19" s="8"/>
    </row>
    <row r="20" customFormat="false" ht="15" hidden="false" customHeight="true" outlineLevel="0" collapsed="false">
      <c r="A20" s="6" t="s">
        <v>39</v>
      </c>
      <c r="B20" s="7" t="s">
        <v>40</v>
      </c>
      <c r="C20" s="8" t="s">
        <v>41</v>
      </c>
    </row>
    <row r="21" customFormat="false" ht="15" hidden="false" customHeight="true" outlineLevel="0" collapsed="false">
      <c r="A21" s="6" t="s">
        <v>42</v>
      </c>
      <c r="B21" s="7" t="s">
        <v>43</v>
      </c>
      <c r="C21" s="8" t="s">
        <v>44</v>
      </c>
    </row>
    <row r="23" customFormat="false" ht="15" hidden="false" customHeight="true" outlineLevel="0" collapsed="false">
      <c r="A23" s="4" t="s">
        <v>45</v>
      </c>
      <c r="B23" s="4"/>
      <c r="C23" s="4"/>
    </row>
    <row r="24" customFormat="false" ht="13.5" hidden="false" customHeight="true" outlineLevel="0" collapsed="false">
      <c r="A24" s="10" t="s">
        <v>46</v>
      </c>
      <c r="B24" s="10"/>
      <c r="C24" s="10"/>
    </row>
    <row r="25" customFormat="false" ht="13.5" hidden="false" customHeight="true" outlineLevel="0" collapsed="false">
      <c r="A25" s="10" t="s">
        <v>47</v>
      </c>
      <c r="B25" s="10"/>
      <c r="C25" s="10"/>
    </row>
    <row r="26" customFormat="false" ht="13.5" hidden="false" customHeight="true" outlineLevel="0" collapsed="false">
      <c r="A26" s="10" t="s">
        <v>48</v>
      </c>
      <c r="B26" s="10"/>
      <c r="C26" s="10"/>
    </row>
    <row r="27" customFormat="false" ht="13.5" hidden="false" customHeight="true" outlineLevel="0" collapsed="false">
      <c r="A27" s="10" t="s">
        <v>49</v>
      </c>
      <c r="B27" s="10"/>
      <c r="C27" s="10"/>
    </row>
    <row r="28" customFormat="false" ht="13.5" hidden="false" customHeight="true" outlineLevel="0" collapsed="false">
      <c r="A28" s="10" t="s">
        <v>50</v>
      </c>
      <c r="B28" s="10"/>
      <c r="C28" s="10"/>
    </row>
    <row r="29" customFormat="false" ht="15" hidden="false" customHeight="true" outlineLevel="0" collapsed="false">
      <c r="A29" s="10" t="s">
        <v>51</v>
      </c>
      <c r="B29" s="10"/>
      <c r="C29" s="10"/>
    </row>
    <row r="31" customFormat="false" ht="15" hidden="false" customHeight="true" outlineLevel="0" collapsed="false">
      <c r="A31" s="3" t="s">
        <v>52</v>
      </c>
      <c r="B31" s="3"/>
      <c r="C31" s="3"/>
    </row>
  </sheetData>
  <mergeCells count="11">
    <mergeCell ref="A1:C1"/>
    <mergeCell ref="A2:C2"/>
    <mergeCell ref="A4:C4"/>
    <mergeCell ref="A23:C23"/>
    <mergeCell ref="A24:C24"/>
    <mergeCell ref="A25:C25"/>
    <mergeCell ref="A26:C26"/>
    <mergeCell ref="A27:C27"/>
    <mergeCell ref="A28:C28"/>
    <mergeCell ref="A29:C29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" width="23.43"/>
    <col collapsed="false" customWidth="true" hidden="false" outlineLevel="0" max="5" min="5" style="1" width="31.25"/>
    <col collapsed="false" customWidth="true" hidden="false" outlineLevel="0" max="9" min="6" style="1" width="23.43"/>
  </cols>
  <sheetData>
    <row r="1" customFormat="false" ht="15" hidden="false" customHeight="true" outlineLevel="0" collapsed="false">
      <c r="A1" s="11" t="s">
        <v>53</v>
      </c>
    </row>
    <row r="3" customFormat="false" ht="15" hidden="false" customHeight="true" outlineLevel="0" collapsed="false">
      <c r="A3" s="11" t="s">
        <v>54</v>
      </c>
    </row>
    <row r="4" customFormat="false" ht="15" hidden="false" customHeight="true" outlineLevel="0" collapsed="false">
      <c r="I4" s="11" t="s">
        <v>55</v>
      </c>
    </row>
    <row r="5" customFormat="false" ht="15" hidden="false" customHeight="true" outlineLevel="0" collapsed="false">
      <c r="A5" s="12" t="s">
        <v>56</v>
      </c>
      <c r="B5" s="12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2" t="s">
        <v>64</v>
      </c>
    </row>
    <row r="6" customFormat="false" ht="15" hidden="false" customHeight="true" outlineLevel="0" collapsed="false">
      <c r="A6" s="11" t="s">
        <v>65</v>
      </c>
      <c r="B6" s="13" t="s">
        <v>66</v>
      </c>
      <c r="C6" s="13" t="s">
        <v>67</v>
      </c>
      <c r="D6" s="13" t="s">
        <v>68</v>
      </c>
      <c r="E6" s="13" t="s">
        <v>69</v>
      </c>
      <c r="F6" s="13" t="s">
        <v>70</v>
      </c>
      <c r="G6" s="13" t="s">
        <v>71</v>
      </c>
      <c r="H6" s="13" t="s">
        <v>72</v>
      </c>
      <c r="I6" s="13" t="s">
        <v>73</v>
      </c>
    </row>
    <row r="7" customFormat="false" ht="15" hidden="false" customHeight="true" outlineLevel="0" collapsed="false">
      <c r="A7" s="13" t="s">
        <v>74</v>
      </c>
      <c r="B7" s="13" t="s">
        <v>75</v>
      </c>
      <c r="C7" s="13" t="s">
        <v>76</v>
      </c>
      <c r="D7" s="13" t="s">
        <v>77</v>
      </c>
      <c r="E7" s="13" t="s">
        <v>78</v>
      </c>
      <c r="F7" s="13" t="s">
        <v>79</v>
      </c>
      <c r="G7" s="13" t="s">
        <v>80</v>
      </c>
      <c r="H7" s="13" t="s">
        <v>81</v>
      </c>
      <c r="I7" s="13" t="s">
        <v>82</v>
      </c>
    </row>
    <row r="8" customFormat="false" ht="15" hidden="false" customHeight="true" outlineLevel="0" collapsed="false">
      <c r="A8" s="13" t="s">
        <v>83</v>
      </c>
      <c r="B8" s="13" t="s">
        <v>84</v>
      </c>
      <c r="C8" s="13" t="s">
        <v>85</v>
      </c>
      <c r="D8" s="13" t="s">
        <v>86</v>
      </c>
      <c r="E8" s="13" t="s">
        <v>87</v>
      </c>
      <c r="F8" s="13" t="s">
        <v>88</v>
      </c>
      <c r="G8" s="13" t="s">
        <v>89</v>
      </c>
      <c r="H8" s="13" t="s">
        <v>90</v>
      </c>
      <c r="I8" s="13" t="s">
        <v>91</v>
      </c>
    </row>
    <row r="9" customFormat="false" ht="15" hidden="false" customHeight="true" outlineLevel="0" collapsed="false">
      <c r="A9" s="13" t="s">
        <v>92</v>
      </c>
      <c r="B9" s="13" t="s">
        <v>93</v>
      </c>
      <c r="C9" s="13" t="s">
        <v>94</v>
      </c>
      <c r="D9" s="13" t="s">
        <v>95</v>
      </c>
      <c r="E9" s="13" t="s">
        <v>96</v>
      </c>
      <c r="F9" s="13" t="s">
        <v>97</v>
      </c>
      <c r="G9" s="13" t="s">
        <v>98</v>
      </c>
      <c r="H9" s="13" t="s">
        <v>99</v>
      </c>
      <c r="I9" s="13" t="s">
        <v>100</v>
      </c>
    </row>
    <row r="10" customFormat="false" ht="15" hidden="false" customHeight="true" outlineLevel="0" collapsed="false">
      <c r="A10" s="13" t="s">
        <v>101</v>
      </c>
      <c r="B10" s="13" t="s">
        <v>102</v>
      </c>
      <c r="C10" s="13" t="s">
        <v>103</v>
      </c>
      <c r="D10" s="13" t="s">
        <v>104</v>
      </c>
      <c r="E10" s="13" t="s">
        <v>105</v>
      </c>
      <c r="F10" s="13" t="s">
        <v>106</v>
      </c>
      <c r="G10" s="13" t="s">
        <v>107</v>
      </c>
      <c r="H10" s="13" t="s">
        <v>108</v>
      </c>
      <c r="I10" s="13" t="s">
        <v>109</v>
      </c>
    </row>
    <row r="11" customFormat="false" ht="15" hidden="false" customHeight="true" outlineLevel="0" collapsed="false">
      <c r="A11" s="13" t="s">
        <v>110</v>
      </c>
      <c r="B11" s="13" t="s">
        <v>111</v>
      </c>
      <c r="C11" s="13" t="s">
        <v>112</v>
      </c>
      <c r="D11" s="13" t="s">
        <v>113</v>
      </c>
      <c r="E11" s="13" t="s">
        <v>114</v>
      </c>
      <c r="F11" s="13" t="s">
        <v>115</v>
      </c>
      <c r="G11" s="13" t="s">
        <v>116</v>
      </c>
      <c r="H11" s="13" t="s">
        <v>117</v>
      </c>
      <c r="I11" s="13" t="s">
        <v>118</v>
      </c>
    </row>
    <row r="12" customFormat="false" ht="15" hidden="false" customHeight="true" outlineLevel="0" collapsed="false">
      <c r="A12" s="13" t="s">
        <v>119</v>
      </c>
      <c r="B12" s="13" t="s">
        <v>120</v>
      </c>
      <c r="C12" s="13" t="s">
        <v>121</v>
      </c>
      <c r="D12" s="13" t="s">
        <v>122</v>
      </c>
      <c r="E12" s="13" t="s">
        <v>123</v>
      </c>
      <c r="F12" s="13" t="s">
        <v>124</v>
      </c>
      <c r="G12" s="13" t="s">
        <v>125</v>
      </c>
      <c r="H12" s="13" t="s">
        <v>126</v>
      </c>
      <c r="I12" s="13" t="s">
        <v>127</v>
      </c>
    </row>
    <row r="13" customFormat="false" ht="15" hidden="false" customHeight="true" outlineLevel="0" collapsed="false">
      <c r="A13" s="13" t="s">
        <v>128</v>
      </c>
      <c r="B13" s="13" t="s">
        <v>129</v>
      </c>
      <c r="C13" s="13" t="s">
        <v>130</v>
      </c>
      <c r="D13" s="13" t="s">
        <v>131</v>
      </c>
      <c r="E13" s="13" t="s">
        <v>132</v>
      </c>
      <c r="F13" s="13" t="s">
        <v>133</v>
      </c>
      <c r="G13" s="13" t="s">
        <v>134</v>
      </c>
      <c r="H13" s="13" t="s">
        <v>135</v>
      </c>
      <c r="I13" s="13" t="s">
        <v>136</v>
      </c>
    </row>
    <row r="14" customFormat="false" ht="15" hidden="false" customHeight="true" outlineLevel="0" collapsed="false">
      <c r="A14" s="13" t="s">
        <v>137</v>
      </c>
      <c r="B14" s="13" t="s">
        <v>138</v>
      </c>
      <c r="C14" s="13" t="s">
        <v>139</v>
      </c>
      <c r="D14" s="13" t="s">
        <v>140</v>
      </c>
      <c r="E14" s="13" t="s">
        <v>141</v>
      </c>
      <c r="F14" s="13" t="s">
        <v>142</v>
      </c>
      <c r="G14" s="13" t="s">
        <v>143</v>
      </c>
      <c r="H14" s="13" t="s">
        <v>144</v>
      </c>
      <c r="I14" s="13" t="s">
        <v>145</v>
      </c>
    </row>
    <row r="15" customFormat="false" ht="15" hidden="false" customHeight="true" outlineLevel="0" collapsed="false">
      <c r="A15" s="13" t="s">
        <v>146</v>
      </c>
      <c r="B15" s="13" t="s">
        <v>147</v>
      </c>
      <c r="C15" s="13" t="s">
        <v>148</v>
      </c>
      <c r="D15" s="13" t="s">
        <v>149</v>
      </c>
      <c r="E15" s="13" t="s">
        <v>150</v>
      </c>
      <c r="F15" s="13" t="s">
        <v>151</v>
      </c>
      <c r="G15" s="13" t="s">
        <v>152</v>
      </c>
      <c r="H15" s="13" t="s">
        <v>153</v>
      </c>
      <c r="I15" s="13" t="s">
        <v>154</v>
      </c>
    </row>
    <row r="16" customFormat="false" ht="15" hidden="false" customHeight="true" outlineLevel="0" collapsed="false">
      <c r="A16" s="13" t="s">
        <v>155</v>
      </c>
      <c r="B16" s="13" t="s">
        <v>111</v>
      </c>
      <c r="C16" s="13" t="s">
        <v>156</v>
      </c>
      <c r="D16" s="13" t="s">
        <v>157</v>
      </c>
      <c r="E16" s="13" t="s">
        <v>158</v>
      </c>
      <c r="F16" s="13" t="s">
        <v>159</v>
      </c>
      <c r="G16" s="13" t="s">
        <v>160</v>
      </c>
      <c r="H16" s="13" t="s">
        <v>161</v>
      </c>
      <c r="I16" s="13" t="s">
        <v>162</v>
      </c>
    </row>
    <row r="17" customFormat="false" ht="15" hidden="false" customHeight="true" outlineLevel="0" collapsed="false">
      <c r="A17" s="13" t="s">
        <v>163</v>
      </c>
      <c r="B17" s="13" t="s">
        <v>138</v>
      </c>
      <c r="C17" s="13" t="s">
        <v>164</v>
      </c>
      <c r="D17" s="13" t="s">
        <v>165</v>
      </c>
      <c r="E17" s="13" t="s">
        <v>166</v>
      </c>
      <c r="F17" s="13" t="s">
        <v>167</v>
      </c>
      <c r="G17" s="13" t="s">
        <v>168</v>
      </c>
      <c r="H17" s="13" t="s">
        <v>169</v>
      </c>
      <c r="I17" s="13" t="s">
        <v>170</v>
      </c>
    </row>
    <row r="18" customFormat="false" ht="15" hidden="false" customHeight="true" outlineLevel="0" collapsed="false">
      <c r="A18" s="13" t="s">
        <v>171</v>
      </c>
      <c r="B18" s="13" t="s">
        <v>102</v>
      </c>
      <c r="C18" s="13" t="s">
        <v>172</v>
      </c>
      <c r="D18" s="13" t="s">
        <v>173</v>
      </c>
      <c r="E18" s="13" t="s">
        <v>174</v>
      </c>
      <c r="F18" s="13" t="s">
        <v>175</v>
      </c>
      <c r="G18" s="13" t="s">
        <v>176</v>
      </c>
      <c r="H18" s="13" t="s">
        <v>177</v>
      </c>
      <c r="I18" s="13" t="s">
        <v>178</v>
      </c>
    </row>
    <row r="19" customFormat="false" ht="15" hidden="false" customHeight="true" outlineLevel="0" collapsed="false">
      <c r="A19" s="13" t="s">
        <v>179</v>
      </c>
      <c r="B19" s="13" t="s">
        <v>147</v>
      </c>
      <c r="C19" s="13" t="s">
        <v>180</v>
      </c>
      <c r="D19" s="13" t="s">
        <v>181</v>
      </c>
      <c r="E19" s="13" t="s">
        <v>182</v>
      </c>
      <c r="F19" s="13" t="s">
        <v>183</v>
      </c>
      <c r="G19" s="13" t="s">
        <v>184</v>
      </c>
      <c r="H19" s="13" t="s">
        <v>185</v>
      </c>
      <c r="I19" s="13" t="s">
        <v>186</v>
      </c>
    </row>
    <row r="20" customFormat="false" ht="15" hidden="false" customHeight="true" outlineLevel="0" collapsed="false">
      <c r="A20" s="13" t="s">
        <v>187</v>
      </c>
      <c r="B20" s="13" t="s">
        <v>111</v>
      </c>
      <c r="C20" s="13" t="s">
        <v>188</v>
      </c>
      <c r="D20" s="13" t="s">
        <v>189</v>
      </c>
      <c r="E20" s="13" t="s">
        <v>190</v>
      </c>
      <c r="F20" s="13" t="s">
        <v>191</v>
      </c>
      <c r="G20" s="13" t="s">
        <v>192</v>
      </c>
      <c r="H20" s="13" t="s">
        <v>193</v>
      </c>
      <c r="I20" s="13" t="s">
        <v>194</v>
      </c>
    </row>
    <row r="21" customFormat="false" ht="15" hidden="false" customHeight="true" outlineLevel="0" collapsed="false">
      <c r="A21" s="13" t="s">
        <v>195</v>
      </c>
      <c r="B21" s="13" t="s">
        <v>111</v>
      </c>
      <c r="C21" s="13" t="s">
        <v>196</v>
      </c>
      <c r="D21" s="13" t="s">
        <v>197</v>
      </c>
      <c r="E21" s="13" t="s">
        <v>198</v>
      </c>
      <c r="F21" s="13" t="s">
        <v>199</v>
      </c>
      <c r="G21" s="13" t="s">
        <v>200</v>
      </c>
      <c r="H21" s="13" t="s">
        <v>201</v>
      </c>
      <c r="I21" s="13" t="s">
        <v>202</v>
      </c>
    </row>
    <row r="22" customFormat="false" ht="15" hidden="false" customHeight="true" outlineLevel="0" collapsed="false">
      <c r="A22" s="13" t="s">
        <v>203</v>
      </c>
      <c r="B22" s="13" t="s">
        <v>75</v>
      </c>
      <c r="C22" s="13" t="s">
        <v>204</v>
      </c>
      <c r="D22" s="13" t="s">
        <v>205</v>
      </c>
      <c r="E22" s="13" t="s">
        <v>206</v>
      </c>
      <c r="F22" s="13" t="s">
        <v>207</v>
      </c>
      <c r="G22" s="13" t="s">
        <v>208</v>
      </c>
      <c r="H22" s="13" t="s">
        <v>209</v>
      </c>
      <c r="I22" s="13" t="s">
        <v>210</v>
      </c>
    </row>
    <row r="23" customFormat="false" ht="15" hidden="false" customHeight="true" outlineLevel="0" collapsed="false">
      <c r="A23" s="13" t="s">
        <v>211</v>
      </c>
      <c r="B23" s="13" t="s">
        <v>120</v>
      </c>
      <c r="C23" s="13" t="s">
        <v>212</v>
      </c>
      <c r="D23" s="13" t="s">
        <v>213</v>
      </c>
      <c r="E23" s="13" t="s">
        <v>214</v>
      </c>
      <c r="F23" s="13" t="s">
        <v>215</v>
      </c>
      <c r="G23" s="13" t="s">
        <v>216</v>
      </c>
      <c r="H23" s="13" t="s">
        <v>217</v>
      </c>
      <c r="I23" s="13" t="s">
        <v>218</v>
      </c>
    </row>
    <row r="24" customFormat="false" ht="15" hidden="false" customHeight="true" outlineLevel="0" collapsed="false">
      <c r="A24" s="13" t="s">
        <v>219</v>
      </c>
      <c r="B24" s="13" t="s">
        <v>220</v>
      </c>
      <c r="C24" s="13" t="s">
        <v>221</v>
      </c>
      <c r="D24" s="13" t="s">
        <v>222</v>
      </c>
      <c r="E24" s="13" t="s">
        <v>223</v>
      </c>
      <c r="F24" s="13" t="s">
        <v>224</v>
      </c>
      <c r="G24" s="13" t="s">
        <v>225</v>
      </c>
      <c r="H24" s="13" t="s">
        <v>226</v>
      </c>
      <c r="I24" s="13" t="s">
        <v>227</v>
      </c>
    </row>
    <row r="25" customFormat="false" ht="15" hidden="false" customHeight="true" outlineLevel="0" collapsed="false">
      <c r="A25" s="13" t="s">
        <v>228</v>
      </c>
      <c r="B25" s="13" t="s">
        <v>129</v>
      </c>
      <c r="C25" s="13" t="s">
        <v>229</v>
      </c>
      <c r="D25" s="13" t="s">
        <v>230</v>
      </c>
      <c r="E25" s="13" t="s">
        <v>231</v>
      </c>
      <c r="F25" s="13" t="s">
        <v>232</v>
      </c>
      <c r="G25" s="13" t="s">
        <v>233</v>
      </c>
      <c r="H25" s="13" t="s">
        <v>234</v>
      </c>
      <c r="I25" s="13" t="s">
        <v>235</v>
      </c>
    </row>
    <row r="26" customFormat="false" ht="15" hidden="false" customHeight="true" outlineLevel="0" collapsed="false">
      <c r="A26" s="13" t="s">
        <v>236</v>
      </c>
      <c r="B26" s="13" t="s">
        <v>93</v>
      </c>
      <c r="C26" s="13" t="s">
        <v>237</v>
      </c>
      <c r="D26" s="13" t="s">
        <v>238</v>
      </c>
      <c r="E26" s="13" t="s">
        <v>239</v>
      </c>
      <c r="F26" s="13" t="s">
        <v>240</v>
      </c>
      <c r="G26" s="13" t="s">
        <v>241</v>
      </c>
      <c r="H26" s="13" t="s">
        <v>242</v>
      </c>
      <c r="I26" s="13" t="s">
        <v>243</v>
      </c>
    </row>
    <row r="27" customFormat="false" ht="15" hidden="false" customHeight="true" outlineLevel="0" collapsed="false">
      <c r="A27" s="13" t="s">
        <v>244</v>
      </c>
      <c r="B27" s="13" t="s">
        <v>75</v>
      </c>
      <c r="C27" s="13" t="s">
        <v>245</v>
      </c>
      <c r="D27" s="13" t="s">
        <v>246</v>
      </c>
      <c r="E27" s="13" t="s">
        <v>247</v>
      </c>
      <c r="F27" s="13" t="s">
        <v>248</v>
      </c>
      <c r="G27" s="13" t="s">
        <v>249</v>
      </c>
      <c r="H27" s="13" t="s">
        <v>250</v>
      </c>
      <c r="I27" s="13" t="s">
        <v>251</v>
      </c>
    </row>
    <row r="28" customFormat="false" ht="15" hidden="false" customHeight="true" outlineLevel="0" collapsed="false">
      <c r="A28" s="13" t="s">
        <v>252</v>
      </c>
      <c r="B28" s="13" t="s">
        <v>147</v>
      </c>
      <c r="C28" s="13" t="s">
        <v>253</v>
      </c>
      <c r="D28" s="13" t="s">
        <v>254</v>
      </c>
      <c r="E28" s="13" t="s">
        <v>255</v>
      </c>
      <c r="F28" s="13" t="s">
        <v>256</v>
      </c>
      <c r="G28" s="13" t="s">
        <v>257</v>
      </c>
      <c r="H28" s="13" t="s">
        <v>258</v>
      </c>
      <c r="I28" s="13" t="s">
        <v>259</v>
      </c>
    </row>
    <row r="29" customFormat="false" ht="15" hidden="false" customHeight="true" outlineLevel="0" collapsed="false">
      <c r="A29" s="13" t="s">
        <v>260</v>
      </c>
      <c r="B29" s="13" t="s">
        <v>93</v>
      </c>
      <c r="C29" s="13" t="s">
        <v>261</v>
      </c>
      <c r="D29" s="13" t="s">
        <v>262</v>
      </c>
      <c r="E29" s="13" t="s">
        <v>263</v>
      </c>
      <c r="F29" s="13" t="s">
        <v>264</v>
      </c>
      <c r="G29" s="13" t="s">
        <v>265</v>
      </c>
      <c r="H29" s="13" t="s">
        <v>266</v>
      </c>
      <c r="I29" s="13" t="s">
        <v>267</v>
      </c>
    </row>
    <row r="30" customFormat="false" ht="15" hidden="false" customHeight="true" outlineLevel="0" collapsed="false">
      <c r="A30" s="13" t="s">
        <v>268</v>
      </c>
      <c r="B30" s="13" t="s">
        <v>75</v>
      </c>
      <c r="C30" s="13" t="s">
        <v>269</v>
      </c>
      <c r="D30" s="13" t="s">
        <v>270</v>
      </c>
      <c r="E30" s="13" t="s">
        <v>271</v>
      </c>
      <c r="F30" s="13" t="s">
        <v>272</v>
      </c>
      <c r="G30" s="13" t="s">
        <v>273</v>
      </c>
      <c r="H30" s="13" t="s">
        <v>274</v>
      </c>
      <c r="I30" s="13" t="s">
        <v>275</v>
      </c>
    </row>
    <row r="31" customFormat="false" ht="15" hidden="false" customHeight="true" outlineLevel="0" collapsed="false">
      <c r="A31" s="13" t="s">
        <v>276</v>
      </c>
      <c r="B31" s="13" t="s">
        <v>138</v>
      </c>
      <c r="C31" s="13" t="s">
        <v>277</v>
      </c>
      <c r="D31" s="13" t="s">
        <v>278</v>
      </c>
      <c r="E31" s="13" t="s">
        <v>279</v>
      </c>
      <c r="F31" s="13" t="s">
        <v>280</v>
      </c>
      <c r="G31" s="13" t="s">
        <v>281</v>
      </c>
      <c r="H31" s="13" t="s">
        <v>282</v>
      </c>
      <c r="I31" s="13" t="s">
        <v>283</v>
      </c>
    </row>
    <row r="32" customFormat="false" ht="15" hidden="false" customHeight="true" outlineLevel="0" collapsed="false">
      <c r="A32" s="13" t="s">
        <v>284</v>
      </c>
      <c r="B32" s="13" t="s">
        <v>285</v>
      </c>
      <c r="C32" s="13" t="s">
        <v>286</v>
      </c>
      <c r="D32" s="13" t="s">
        <v>287</v>
      </c>
      <c r="E32" s="13" t="s">
        <v>288</v>
      </c>
      <c r="F32" s="13" t="s">
        <v>289</v>
      </c>
      <c r="G32" s="13" t="s">
        <v>290</v>
      </c>
      <c r="H32" s="13" t="s">
        <v>291</v>
      </c>
      <c r="I32" s="13" t="s">
        <v>292</v>
      </c>
    </row>
    <row r="33" customFormat="false" ht="15" hidden="false" customHeight="true" outlineLevel="0" collapsed="false">
      <c r="A33" s="13" t="s">
        <v>293</v>
      </c>
      <c r="B33" s="13" t="s">
        <v>102</v>
      </c>
      <c r="C33" s="13" t="s">
        <v>294</v>
      </c>
      <c r="D33" s="13" t="s">
        <v>295</v>
      </c>
      <c r="E33" s="13" t="s">
        <v>296</v>
      </c>
      <c r="F33" s="13" t="s">
        <v>297</v>
      </c>
      <c r="G33" s="13" t="s">
        <v>298</v>
      </c>
      <c r="H33" s="13" t="s">
        <v>299</v>
      </c>
      <c r="I33" s="13" t="s">
        <v>300</v>
      </c>
    </row>
    <row r="34" customFormat="false" ht="15" hidden="false" customHeight="true" outlineLevel="0" collapsed="false">
      <c r="A34" s="13" t="s">
        <v>301</v>
      </c>
      <c r="B34" s="13" t="s">
        <v>75</v>
      </c>
      <c r="C34" s="13" t="s">
        <v>302</v>
      </c>
      <c r="D34" s="13" t="s">
        <v>303</v>
      </c>
      <c r="E34" s="13" t="s">
        <v>304</v>
      </c>
      <c r="F34" s="13" t="s">
        <v>305</v>
      </c>
      <c r="G34" s="13" t="s">
        <v>306</v>
      </c>
      <c r="H34" s="13" t="s">
        <v>307</v>
      </c>
      <c r="I34" s="13" t="s">
        <v>308</v>
      </c>
    </row>
    <row r="35" customFormat="false" ht="15" hidden="false" customHeight="true" outlineLevel="0" collapsed="false">
      <c r="A35" s="13" t="s">
        <v>309</v>
      </c>
      <c r="B35" s="13" t="s">
        <v>84</v>
      </c>
      <c r="C35" s="13" t="s">
        <v>310</v>
      </c>
      <c r="D35" s="13" t="s">
        <v>311</v>
      </c>
      <c r="E35" s="13" t="s">
        <v>312</v>
      </c>
      <c r="F35" s="13" t="s">
        <v>313</v>
      </c>
      <c r="G35" s="13" t="s">
        <v>314</v>
      </c>
      <c r="H35" s="13" t="s">
        <v>315</v>
      </c>
      <c r="I35" s="13" t="s">
        <v>316</v>
      </c>
    </row>
    <row r="36" customFormat="false" ht="15" hidden="false" customHeight="true" outlineLevel="0" collapsed="false">
      <c r="A36" s="13" t="s">
        <v>317</v>
      </c>
      <c r="B36" s="13" t="s">
        <v>93</v>
      </c>
      <c r="C36" s="13" t="s">
        <v>318</v>
      </c>
      <c r="D36" s="13" t="s">
        <v>319</v>
      </c>
      <c r="E36" s="13" t="s">
        <v>320</v>
      </c>
      <c r="F36" s="13" t="s">
        <v>321</v>
      </c>
      <c r="G36" s="13" t="s">
        <v>322</v>
      </c>
      <c r="H36" s="13" t="s">
        <v>323</v>
      </c>
      <c r="I36" s="13" t="s">
        <v>324</v>
      </c>
    </row>
    <row r="37" customFormat="false" ht="15" hidden="false" customHeight="true" outlineLevel="0" collapsed="false">
      <c r="A37" s="13" t="s">
        <v>325</v>
      </c>
      <c r="B37" s="13" t="s">
        <v>75</v>
      </c>
      <c r="C37" s="13" t="s">
        <v>326</v>
      </c>
      <c r="D37" s="13" t="s">
        <v>327</v>
      </c>
      <c r="E37" s="13" t="s">
        <v>328</v>
      </c>
      <c r="F37" s="13" t="s">
        <v>329</v>
      </c>
      <c r="G37" s="13" t="s">
        <v>330</v>
      </c>
      <c r="H37" s="13" t="s">
        <v>331</v>
      </c>
      <c r="I37" s="13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1" width="23.43"/>
  </cols>
  <sheetData>
    <row r="1" customFormat="false" ht="15" hidden="false" customHeight="true" outlineLevel="0" collapsed="false">
      <c r="A1" s="11" t="s">
        <v>333</v>
      </c>
    </row>
    <row r="3" customFormat="false" ht="15" hidden="false" customHeight="true" outlineLevel="0" collapsed="false">
      <c r="A3" s="11" t="s">
        <v>334</v>
      </c>
    </row>
    <row r="4" customFormat="false" ht="15" hidden="false" customHeight="true" outlineLevel="0" collapsed="false">
      <c r="H4" s="11" t="s">
        <v>335</v>
      </c>
    </row>
    <row r="5" customFormat="false" ht="15" hidden="false" customHeight="true" outlineLevel="0" collapsed="false">
      <c r="A5" s="12" t="s">
        <v>56</v>
      </c>
      <c r="B5" s="14" t="s">
        <v>336</v>
      </c>
      <c r="C5" s="12" t="s">
        <v>337</v>
      </c>
      <c r="D5" s="12" t="s">
        <v>59</v>
      </c>
      <c r="E5" s="12" t="s">
        <v>60</v>
      </c>
      <c r="F5" s="12" t="s">
        <v>338</v>
      </c>
      <c r="G5" s="12" t="s">
        <v>339</v>
      </c>
      <c r="H5" s="12" t="s">
        <v>64</v>
      </c>
    </row>
    <row r="6" customFormat="false" ht="15" hidden="false" customHeight="true" outlineLevel="0" collapsed="false">
      <c r="A6" s="11" t="s">
        <v>65</v>
      </c>
      <c r="B6" s="11"/>
      <c r="C6" s="11"/>
      <c r="D6" s="13" t="s">
        <v>340</v>
      </c>
      <c r="E6" s="13" t="s">
        <v>341</v>
      </c>
      <c r="F6" s="13" t="s">
        <v>342</v>
      </c>
      <c r="G6" s="13" t="s">
        <v>343</v>
      </c>
      <c r="H6" s="13" t="s">
        <v>344</v>
      </c>
    </row>
    <row r="7" customFormat="false" ht="15" hidden="false" customHeight="true" outlineLevel="0" collapsed="false">
      <c r="A7" s="13" t="s">
        <v>74</v>
      </c>
      <c r="B7" s="13" t="s">
        <v>345</v>
      </c>
      <c r="C7" s="11" t="s">
        <v>346</v>
      </c>
      <c r="D7" s="13" t="s">
        <v>347</v>
      </c>
      <c r="E7" s="13" t="s">
        <v>348</v>
      </c>
      <c r="F7" s="13" t="s">
        <v>349</v>
      </c>
      <c r="G7" s="13" t="s">
        <v>350</v>
      </c>
      <c r="H7" s="13" t="s">
        <v>351</v>
      </c>
    </row>
    <row r="8" customFormat="false" ht="15" hidden="false" customHeight="true" outlineLevel="0" collapsed="false">
      <c r="A8" s="13" t="s">
        <v>74</v>
      </c>
      <c r="B8" s="13" t="s">
        <v>352</v>
      </c>
      <c r="C8" s="11" t="s">
        <v>353</v>
      </c>
      <c r="D8" s="13" t="s">
        <v>354</v>
      </c>
      <c r="E8" s="13" t="s">
        <v>355</v>
      </c>
      <c r="F8" s="13" t="s">
        <v>356</v>
      </c>
      <c r="G8" s="13" t="s">
        <v>357</v>
      </c>
      <c r="H8" s="13" t="s">
        <v>358</v>
      </c>
    </row>
    <row r="9" customFormat="false" ht="15" hidden="false" customHeight="true" outlineLevel="0" collapsed="false">
      <c r="A9" s="13" t="s">
        <v>74</v>
      </c>
      <c r="B9" s="13" t="s">
        <v>359</v>
      </c>
      <c r="C9" s="11" t="s">
        <v>360</v>
      </c>
      <c r="D9" s="13" t="s">
        <v>361</v>
      </c>
      <c r="E9" s="13" t="s">
        <v>362</v>
      </c>
      <c r="F9" s="13" t="s">
        <v>363</v>
      </c>
      <c r="G9" s="13" t="s">
        <v>364</v>
      </c>
      <c r="H9" s="13" t="s">
        <v>365</v>
      </c>
    </row>
    <row r="10" customFormat="false" ht="15" hidden="false" customHeight="true" outlineLevel="0" collapsed="false">
      <c r="A10" s="13" t="s">
        <v>74</v>
      </c>
      <c r="B10" s="13" t="s">
        <v>366</v>
      </c>
      <c r="C10" s="11" t="s">
        <v>367</v>
      </c>
      <c r="D10" s="13" t="s">
        <v>368</v>
      </c>
      <c r="E10" s="13" t="s">
        <v>369</v>
      </c>
      <c r="F10" s="13" t="s">
        <v>370</v>
      </c>
      <c r="G10" s="13" t="s">
        <v>371</v>
      </c>
      <c r="H10" s="13" t="s">
        <v>372</v>
      </c>
    </row>
    <row r="11" customFormat="false" ht="15" hidden="false" customHeight="true" outlineLevel="0" collapsed="false">
      <c r="A11" s="13" t="s">
        <v>74</v>
      </c>
      <c r="B11" s="13" t="s">
        <v>373</v>
      </c>
      <c r="C11" s="11" t="s">
        <v>374</v>
      </c>
      <c r="D11" s="13" t="s">
        <v>375</v>
      </c>
      <c r="E11" s="13" t="s">
        <v>376</v>
      </c>
      <c r="F11" s="13" t="s">
        <v>377</v>
      </c>
      <c r="G11" s="13" t="s">
        <v>378</v>
      </c>
      <c r="H11" s="13" t="s">
        <v>379</v>
      </c>
    </row>
    <row r="12" customFormat="false" ht="15" hidden="false" customHeight="true" outlineLevel="0" collapsed="false">
      <c r="A12" s="13" t="s">
        <v>74</v>
      </c>
      <c r="B12" s="13" t="s">
        <v>380</v>
      </c>
      <c r="C12" s="11" t="s">
        <v>381</v>
      </c>
      <c r="D12" s="13" t="s">
        <v>382</v>
      </c>
      <c r="E12" s="13" t="s">
        <v>383</v>
      </c>
      <c r="F12" s="13" t="s">
        <v>384</v>
      </c>
      <c r="G12" s="13" t="s">
        <v>385</v>
      </c>
      <c r="H12" s="13" t="s">
        <v>386</v>
      </c>
    </row>
    <row r="13" customFormat="false" ht="15" hidden="false" customHeight="true" outlineLevel="0" collapsed="false">
      <c r="A13" s="13" t="s">
        <v>74</v>
      </c>
      <c r="B13" s="13" t="s">
        <v>387</v>
      </c>
      <c r="C13" s="11" t="s">
        <v>388</v>
      </c>
      <c r="D13" s="13" t="s">
        <v>389</v>
      </c>
      <c r="E13" s="13" t="s">
        <v>390</v>
      </c>
      <c r="F13" s="13" t="s">
        <v>391</v>
      </c>
      <c r="G13" s="13" t="s">
        <v>392</v>
      </c>
      <c r="H13" s="13" t="s">
        <v>393</v>
      </c>
    </row>
    <row r="14" customFormat="false" ht="15" hidden="false" customHeight="true" outlineLevel="0" collapsed="false">
      <c r="A14" s="13" t="s">
        <v>74</v>
      </c>
      <c r="B14" s="13" t="s">
        <v>394</v>
      </c>
      <c r="C14" s="11" t="s">
        <v>395</v>
      </c>
      <c r="D14" s="13" t="s">
        <v>396</v>
      </c>
      <c r="E14" s="13" t="s">
        <v>397</v>
      </c>
      <c r="F14" s="13" t="s">
        <v>398</v>
      </c>
      <c r="G14" s="13" t="s">
        <v>399</v>
      </c>
      <c r="H14" s="13" t="s">
        <v>400</v>
      </c>
    </row>
    <row r="15" customFormat="false" ht="15" hidden="false" customHeight="true" outlineLevel="0" collapsed="false">
      <c r="A15" s="13" t="s">
        <v>74</v>
      </c>
      <c r="B15" s="13" t="s">
        <v>401</v>
      </c>
      <c r="C15" s="11" t="s">
        <v>402</v>
      </c>
      <c r="D15" s="13" t="s">
        <v>403</v>
      </c>
      <c r="E15" s="13" t="s">
        <v>404</v>
      </c>
      <c r="F15" s="13" t="s">
        <v>405</v>
      </c>
      <c r="G15" s="13" t="s">
        <v>406</v>
      </c>
      <c r="H15" s="13" t="s">
        <v>407</v>
      </c>
    </row>
    <row r="16" customFormat="false" ht="15" hidden="false" customHeight="true" outlineLevel="0" collapsed="false">
      <c r="A16" s="13" t="s">
        <v>74</v>
      </c>
      <c r="B16" s="13" t="s">
        <v>408</v>
      </c>
      <c r="C16" s="11" t="s">
        <v>409</v>
      </c>
      <c r="D16" s="13" t="s">
        <v>410</v>
      </c>
      <c r="E16" s="13" t="s">
        <v>411</v>
      </c>
      <c r="F16" s="13" t="s">
        <v>412</v>
      </c>
      <c r="G16" s="13" t="s">
        <v>413</v>
      </c>
      <c r="H16" s="13" t="s">
        <v>414</v>
      </c>
    </row>
    <row r="17" customFormat="false" ht="15" hidden="false" customHeight="true" outlineLevel="0" collapsed="false">
      <c r="A17" s="13" t="s">
        <v>74</v>
      </c>
      <c r="B17" s="13" t="s">
        <v>415</v>
      </c>
      <c r="C17" s="11" t="s">
        <v>416</v>
      </c>
      <c r="D17" s="13" t="s">
        <v>417</v>
      </c>
      <c r="E17" s="13" t="s">
        <v>418</v>
      </c>
      <c r="F17" s="13" t="s">
        <v>419</v>
      </c>
      <c r="G17" s="13" t="s">
        <v>420</v>
      </c>
      <c r="H17" s="13" t="s">
        <v>421</v>
      </c>
    </row>
    <row r="18" customFormat="false" ht="15" hidden="false" customHeight="true" outlineLevel="0" collapsed="false">
      <c r="A18" s="13" t="s">
        <v>74</v>
      </c>
      <c r="B18" s="13" t="s">
        <v>422</v>
      </c>
      <c r="C18" s="11" t="s">
        <v>423</v>
      </c>
      <c r="D18" s="13" t="s">
        <v>424</v>
      </c>
      <c r="E18" s="13" t="s">
        <v>425</v>
      </c>
      <c r="F18" s="13" t="s">
        <v>426</v>
      </c>
      <c r="G18" s="13" t="s">
        <v>427</v>
      </c>
      <c r="H18" s="13" t="s">
        <v>428</v>
      </c>
    </row>
    <row r="19" customFormat="false" ht="15" hidden="false" customHeight="true" outlineLevel="0" collapsed="false">
      <c r="A19" s="13" t="s">
        <v>74</v>
      </c>
      <c r="B19" s="13" t="s">
        <v>429</v>
      </c>
      <c r="C19" s="11" t="s">
        <v>430</v>
      </c>
      <c r="D19" s="13" t="s">
        <v>431</v>
      </c>
      <c r="E19" s="13" t="s">
        <v>432</v>
      </c>
      <c r="F19" s="13" t="s">
        <v>433</v>
      </c>
      <c r="G19" s="13" t="s">
        <v>434</v>
      </c>
      <c r="H19" s="13" t="s">
        <v>435</v>
      </c>
    </row>
    <row r="20" customFormat="false" ht="15" hidden="false" customHeight="true" outlineLevel="0" collapsed="false">
      <c r="A20" s="13" t="s">
        <v>74</v>
      </c>
      <c r="B20" s="13" t="s">
        <v>436</v>
      </c>
      <c r="C20" s="11" t="s">
        <v>437</v>
      </c>
      <c r="D20" s="13" t="s">
        <v>438</v>
      </c>
      <c r="E20" s="13" t="s">
        <v>439</v>
      </c>
      <c r="F20" s="13" t="s">
        <v>440</v>
      </c>
      <c r="G20" s="13" t="s">
        <v>441</v>
      </c>
      <c r="H20" s="13" t="s">
        <v>442</v>
      </c>
    </row>
    <row r="21" customFormat="false" ht="15" hidden="false" customHeight="true" outlineLevel="0" collapsed="false">
      <c r="A21" s="13" t="s">
        <v>74</v>
      </c>
      <c r="B21" s="13" t="s">
        <v>443</v>
      </c>
      <c r="C21" s="11" t="s">
        <v>444</v>
      </c>
      <c r="D21" s="13" t="s">
        <v>445</v>
      </c>
      <c r="E21" s="13" t="s">
        <v>446</v>
      </c>
      <c r="F21" s="13" t="s">
        <v>447</v>
      </c>
      <c r="G21" s="13" t="s">
        <v>448</v>
      </c>
      <c r="H21" s="13" t="s">
        <v>449</v>
      </c>
    </row>
    <row r="22" customFormat="false" ht="15" hidden="false" customHeight="true" outlineLevel="0" collapsed="false">
      <c r="A22" s="13" t="s">
        <v>74</v>
      </c>
      <c r="B22" s="13" t="s">
        <v>450</v>
      </c>
      <c r="C22" s="11" t="s">
        <v>451</v>
      </c>
      <c r="D22" s="13" t="s">
        <v>452</v>
      </c>
      <c r="E22" s="13" t="s">
        <v>453</v>
      </c>
      <c r="F22" s="13" t="s">
        <v>454</v>
      </c>
      <c r="G22" s="13" t="s">
        <v>455</v>
      </c>
      <c r="H22" s="13" t="s">
        <v>456</v>
      </c>
    </row>
    <row r="23" customFormat="false" ht="15" hidden="false" customHeight="true" outlineLevel="0" collapsed="false">
      <c r="A23" s="13" t="s">
        <v>74</v>
      </c>
      <c r="B23" s="13" t="s">
        <v>457</v>
      </c>
      <c r="C23" s="11" t="s">
        <v>458</v>
      </c>
      <c r="D23" s="13" t="s">
        <v>459</v>
      </c>
      <c r="E23" s="13" t="s">
        <v>460</v>
      </c>
      <c r="F23" s="13" t="s">
        <v>461</v>
      </c>
      <c r="G23" s="13" t="s">
        <v>462</v>
      </c>
      <c r="H23" s="13" t="s">
        <v>463</v>
      </c>
    </row>
    <row r="24" customFormat="false" ht="15" hidden="false" customHeight="true" outlineLevel="0" collapsed="false">
      <c r="A24" s="13" t="s">
        <v>74</v>
      </c>
      <c r="B24" s="13" t="s">
        <v>464</v>
      </c>
      <c r="C24" s="11" t="s">
        <v>465</v>
      </c>
      <c r="D24" s="13" t="s">
        <v>466</v>
      </c>
      <c r="E24" s="13" t="s">
        <v>467</v>
      </c>
      <c r="F24" s="13" t="s">
        <v>468</v>
      </c>
      <c r="G24" s="13" t="s">
        <v>469</v>
      </c>
      <c r="H24" s="13" t="s">
        <v>470</v>
      </c>
    </row>
    <row r="25" customFormat="false" ht="15" hidden="false" customHeight="true" outlineLevel="0" collapsed="false">
      <c r="A25" s="13" t="s">
        <v>74</v>
      </c>
      <c r="B25" s="13" t="s">
        <v>471</v>
      </c>
      <c r="C25" s="11" t="s">
        <v>472</v>
      </c>
      <c r="D25" s="13" t="s">
        <v>473</v>
      </c>
      <c r="E25" s="13" t="s">
        <v>474</v>
      </c>
      <c r="F25" s="13" t="s">
        <v>475</v>
      </c>
      <c r="G25" s="13" t="s">
        <v>476</v>
      </c>
      <c r="H25" s="13" t="s">
        <v>477</v>
      </c>
    </row>
    <row r="26" customFormat="false" ht="15" hidden="false" customHeight="true" outlineLevel="0" collapsed="false">
      <c r="A26" s="13" t="s">
        <v>74</v>
      </c>
      <c r="B26" s="13" t="s">
        <v>478</v>
      </c>
      <c r="C26" s="11" t="s">
        <v>479</v>
      </c>
      <c r="D26" s="13" t="s">
        <v>480</v>
      </c>
      <c r="E26" s="13" t="s">
        <v>481</v>
      </c>
      <c r="F26" s="13" t="s">
        <v>482</v>
      </c>
      <c r="G26" s="13" t="s">
        <v>483</v>
      </c>
      <c r="H26" s="13" t="s">
        <v>484</v>
      </c>
    </row>
    <row r="27" customFormat="false" ht="15" hidden="false" customHeight="true" outlineLevel="0" collapsed="false">
      <c r="A27" s="13" t="s">
        <v>74</v>
      </c>
      <c r="B27" s="13" t="s">
        <v>485</v>
      </c>
      <c r="C27" s="11" t="s">
        <v>486</v>
      </c>
      <c r="D27" s="13" t="s">
        <v>487</v>
      </c>
      <c r="E27" s="13" t="s">
        <v>488</v>
      </c>
      <c r="F27" s="13" t="s">
        <v>489</v>
      </c>
      <c r="G27" s="13" t="s">
        <v>490</v>
      </c>
      <c r="H27" s="13" t="s">
        <v>491</v>
      </c>
    </row>
    <row r="28" customFormat="false" ht="15" hidden="false" customHeight="true" outlineLevel="0" collapsed="false">
      <c r="A28" s="13" t="s">
        <v>74</v>
      </c>
      <c r="B28" s="13" t="s">
        <v>492</v>
      </c>
      <c r="C28" s="11" t="s">
        <v>493</v>
      </c>
      <c r="D28" s="13" t="s">
        <v>494</v>
      </c>
      <c r="E28" s="13" t="s">
        <v>495</v>
      </c>
      <c r="F28" s="13" t="s">
        <v>496</v>
      </c>
      <c r="G28" s="13" t="s">
        <v>497</v>
      </c>
      <c r="H28" s="13" t="s">
        <v>498</v>
      </c>
    </row>
    <row r="29" customFormat="false" ht="15" hidden="false" customHeight="true" outlineLevel="0" collapsed="false">
      <c r="A29" s="13" t="s">
        <v>74</v>
      </c>
      <c r="B29" s="13" t="s">
        <v>499</v>
      </c>
      <c r="C29" s="11" t="s">
        <v>500</v>
      </c>
      <c r="D29" s="13" t="s">
        <v>501</v>
      </c>
      <c r="E29" s="13" t="s">
        <v>502</v>
      </c>
      <c r="F29" s="13" t="s">
        <v>503</v>
      </c>
      <c r="G29" s="13" t="s">
        <v>504</v>
      </c>
      <c r="H29" s="13" t="s">
        <v>505</v>
      </c>
    </row>
    <row r="30" customFormat="false" ht="15" hidden="false" customHeight="true" outlineLevel="0" collapsed="false">
      <c r="A30" s="13" t="s">
        <v>74</v>
      </c>
      <c r="B30" s="13" t="s">
        <v>506</v>
      </c>
      <c r="C30" s="11" t="s">
        <v>507</v>
      </c>
      <c r="D30" s="13" t="s">
        <v>508</v>
      </c>
      <c r="E30" s="13" t="s">
        <v>509</v>
      </c>
      <c r="F30" s="13" t="s">
        <v>510</v>
      </c>
      <c r="G30" s="13" t="s">
        <v>511</v>
      </c>
      <c r="H30" s="13" t="s">
        <v>512</v>
      </c>
    </row>
    <row r="31" customFormat="false" ht="15" hidden="false" customHeight="true" outlineLevel="0" collapsed="false">
      <c r="A31" s="13" t="s">
        <v>74</v>
      </c>
      <c r="B31" s="13" t="s">
        <v>513</v>
      </c>
      <c r="C31" s="11" t="s">
        <v>514</v>
      </c>
      <c r="D31" s="13" t="s">
        <v>515</v>
      </c>
      <c r="E31" s="13" t="s">
        <v>516</v>
      </c>
      <c r="F31" s="13" t="s">
        <v>517</v>
      </c>
      <c r="G31" s="13" t="s">
        <v>518</v>
      </c>
      <c r="H31" s="13" t="s">
        <v>519</v>
      </c>
    </row>
    <row r="32" customFormat="false" ht="15" hidden="false" customHeight="true" outlineLevel="0" collapsed="false">
      <c r="A32" s="13" t="s">
        <v>74</v>
      </c>
      <c r="B32" s="13" t="s">
        <v>520</v>
      </c>
      <c r="C32" s="11" t="s">
        <v>521</v>
      </c>
      <c r="D32" s="13" t="s">
        <v>522</v>
      </c>
      <c r="E32" s="13" t="s">
        <v>523</v>
      </c>
      <c r="F32" s="13" t="s">
        <v>524</v>
      </c>
      <c r="G32" s="13" t="s">
        <v>525</v>
      </c>
      <c r="H32" s="13" t="s">
        <v>526</v>
      </c>
    </row>
    <row r="33" customFormat="false" ht="15" hidden="false" customHeight="true" outlineLevel="0" collapsed="false">
      <c r="A33" s="13" t="s">
        <v>74</v>
      </c>
      <c r="B33" s="13" t="s">
        <v>527</v>
      </c>
      <c r="C33" s="11" t="s">
        <v>528</v>
      </c>
      <c r="D33" s="13" t="s">
        <v>529</v>
      </c>
      <c r="E33" s="13" t="s">
        <v>530</v>
      </c>
      <c r="F33" s="13" t="s">
        <v>531</v>
      </c>
      <c r="G33" s="13" t="s">
        <v>532</v>
      </c>
      <c r="H33" s="13" t="s">
        <v>533</v>
      </c>
    </row>
    <row r="34" customFormat="false" ht="15" hidden="false" customHeight="true" outlineLevel="0" collapsed="false">
      <c r="A34" s="13" t="s">
        <v>74</v>
      </c>
      <c r="B34" s="13" t="s">
        <v>534</v>
      </c>
      <c r="C34" s="11" t="s">
        <v>535</v>
      </c>
      <c r="D34" s="13" t="s">
        <v>536</v>
      </c>
      <c r="E34" s="13" t="s">
        <v>537</v>
      </c>
      <c r="F34" s="13" t="s">
        <v>538</v>
      </c>
      <c r="G34" s="13" t="s">
        <v>539</v>
      </c>
      <c r="H34" s="13" t="s">
        <v>540</v>
      </c>
    </row>
    <row r="35" customFormat="false" ht="15" hidden="false" customHeight="true" outlineLevel="0" collapsed="false">
      <c r="A35" s="13" t="s">
        <v>74</v>
      </c>
      <c r="B35" s="13" t="s">
        <v>541</v>
      </c>
      <c r="C35" s="11" t="s">
        <v>542</v>
      </c>
      <c r="D35" s="13" t="s">
        <v>543</v>
      </c>
      <c r="E35" s="13" t="s">
        <v>544</v>
      </c>
      <c r="F35" s="13" t="s">
        <v>545</v>
      </c>
      <c r="G35" s="13" t="s">
        <v>546</v>
      </c>
      <c r="H35" s="13" t="s">
        <v>547</v>
      </c>
    </row>
    <row r="36" customFormat="false" ht="15" hidden="false" customHeight="true" outlineLevel="0" collapsed="false">
      <c r="A36" s="13" t="s">
        <v>74</v>
      </c>
      <c r="B36" s="13" t="s">
        <v>548</v>
      </c>
      <c r="C36" s="11" t="s">
        <v>549</v>
      </c>
      <c r="D36" s="13" t="s">
        <v>550</v>
      </c>
      <c r="E36" s="13" t="s">
        <v>551</v>
      </c>
      <c r="F36" s="13" t="s">
        <v>552</v>
      </c>
      <c r="G36" s="13" t="s">
        <v>553</v>
      </c>
      <c r="H36" s="13" t="s">
        <v>554</v>
      </c>
    </row>
    <row r="37" customFormat="false" ht="15" hidden="false" customHeight="true" outlineLevel="0" collapsed="false">
      <c r="A37" s="13" t="s">
        <v>74</v>
      </c>
      <c r="B37" s="13" t="s">
        <v>555</v>
      </c>
      <c r="C37" s="11" t="s">
        <v>556</v>
      </c>
      <c r="D37" s="13" t="s">
        <v>557</v>
      </c>
      <c r="E37" s="13" t="s">
        <v>558</v>
      </c>
      <c r="F37" s="13" t="s">
        <v>559</v>
      </c>
      <c r="G37" s="13" t="s">
        <v>560</v>
      </c>
      <c r="H37" s="13" t="s">
        <v>561</v>
      </c>
    </row>
    <row r="38" customFormat="false" ht="15" hidden="false" customHeight="true" outlineLevel="0" collapsed="false">
      <c r="A38" s="13" t="s">
        <v>74</v>
      </c>
      <c r="B38" s="13" t="s">
        <v>562</v>
      </c>
      <c r="C38" s="11" t="s">
        <v>563</v>
      </c>
      <c r="D38" s="13" t="s">
        <v>564</v>
      </c>
      <c r="E38" s="13" t="s">
        <v>565</v>
      </c>
      <c r="F38" s="13" t="s">
        <v>566</v>
      </c>
      <c r="G38" s="13" t="s">
        <v>567</v>
      </c>
      <c r="H38" s="13" t="s">
        <v>568</v>
      </c>
    </row>
    <row r="39" customFormat="false" ht="15" hidden="false" customHeight="true" outlineLevel="0" collapsed="false">
      <c r="A39" s="13" t="s">
        <v>74</v>
      </c>
      <c r="B39" s="13" t="s">
        <v>569</v>
      </c>
      <c r="C39" s="11" t="s">
        <v>570</v>
      </c>
      <c r="D39" s="13" t="s">
        <v>571</v>
      </c>
      <c r="E39" s="13" t="s">
        <v>572</v>
      </c>
      <c r="F39" s="13" t="s">
        <v>573</v>
      </c>
      <c r="G39" s="13" t="s">
        <v>574</v>
      </c>
      <c r="H39" s="13" t="s">
        <v>575</v>
      </c>
    </row>
    <row r="40" customFormat="false" ht="15" hidden="false" customHeight="true" outlineLevel="0" collapsed="false">
      <c r="A40" s="13" t="s">
        <v>74</v>
      </c>
      <c r="B40" s="13" t="s">
        <v>576</v>
      </c>
      <c r="C40" s="11" t="s">
        <v>577</v>
      </c>
      <c r="D40" s="13" t="s">
        <v>578</v>
      </c>
      <c r="E40" s="13" t="s">
        <v>579</v>
      </c>
      <c r="F40" s="13" t="s">
        <v>580</v>
      </c>
      <c r="G40" s="13" t="s">
        <v>581</v>
      </c>
      <c r="H40" s="13" t="s">
        <v>582</v>
      </c>
    </row>
    <row r="41" customFormat="false" ht="15" hidden="false" customHeight="true" outlineLevel="0" collapsed="false">
      <c r="A41" s="13" t="s">
        <v>74</v>
      </c>
      <c r="B41" s="13" t="s">
        <v>583</v>
      </c>
      <c r="C41" s="11" t="s">
        <v>584</v>
      </c>
      <c r="D41" s="13" t="s">
        <v>585</v>
      </c>
      <c r="E41" s="13" t="s">
        <v>586</v>
      </c>
      <c r="F41" s="13" t="s">
        <v>587</v>
      </c>
      <c r="G41" s="13" t="s">
        <v>588</v>
      </c>
      <c r="H41" s="13" t="s">
        <v>589</v>
      </c>
    </row>
    <row r="42" customFormat="false" ht="15" hidden="false" customHeight="true" outlineLevel="0" collapsed="false">
      <c r="A42" s="13" t="s">
        <v>74</v>
      </c>
      <c r="B42" s="13" t="s">
        <v>590</v>
      </c>
      <c r="C42" s="11" t="s">
        <v>591</v>
      </c>
      <c r="D42" s="13" t="s">
        <v>592</v>
      </c>
      <c r="E42" s="13" t="s">
        <v>593</v>
      </c>
      <c r="F42" s="13" t="s">
        <v>594</v>
      </c>
      <c r="G42" s="13" t="s">
        <v>595</v>
      </c>
      <c r="H42" s="13" t="s">
        <v>596</v>
      </c>
    </row>
    <row r="43" customFormat="false" ht="15" hidden="false" customHeight="true" outlineLevel="0" collapsed="false">
      <c r="A43" s="13" t="s">
        <v>74</v>
      </c>
      <c r="B43" s="13" t="s">
        <v>597</v>
      </c>
      <c r="C43" s="11" t="s">
        <v>598</v>
      </c>
      <c r="D43" s="13" t="s">
        <v>599</v>
      </c>
      <c r="E43" s="13" t="s">
        <v>600</v>
      </c>
      <c r="F43" s="13" t="s">
        <v>601</v>
      </c>
      <c r="G43" s="13" t="s">
        <v>602</v>
      </c>
      <c r="H43" s="13" t="s">
        <v>603</v>
      </c>
    </row>
    <row r="44" customFormat="false" ht="15" hidden="false" customHeight="true" outlineLevel="0" collapsed="false">
      <c r="A44" s="13" t="s">
        <v>74</v>
      </c>
      <c r="B44" s="13" t="s">
        <v>604</v>
      </c>
      <c r="C44" s="11" t="s">
        <v>605</v>
      </c>
      <c r="D44" s="13" t="s">
        <v>606</v>
      </c>
      <c r="E44" s="13" t="s">
        <v>607</v>
      </c>
      <c r="F44" s="13" t="s">
        <v>608</v>
      </c>
      <c r="G44" s="13" t="s">
        <v>609</v>
      </c>
      <c r="H44" s="13" t="s">
        <v>610</v>
      </c>
    </row>
    <row r="45" customFormat="false" ht="15" hidden="false" customHeight="true" outlineLevel="0" collapsed="false">
      <c r="A45" s="13" t="s">
        <v>74</v>
      </c>
      <c r="B45" s="13" t="s">
        <v>611</v>
      </c>
      <c r="C45" s="11" t="s">
        <v>612</v>
      </c>
      <c r="D45" s="13" t="s">
        <v>613</v>
      </c>
      <c r="E45" s="13" t="s">
        <v>614</v>
      </c>
      <c r="F45" s="13" t="s">
        <v>615</v>
      </c>
      <c r="G45" s="13" t="s">
        <v>616</v>
      </c>
      <c r="H45" s="13" t="s">
        <v>617</v>
      </c>
    </row>
    <row r="46" customFormat="false" ht="15" hidden="false" customHeight="true" outlineLevel="0" collapsed="false">
      <c r="A46" s="13" t="s">
        <v>74</v>
      </c>
      <c r="B46" s="13" t="s">
        <v>618</v>
      </c>
      <c r="C46" s="11" t="s">
        <v>619</v>
      </c>
      <c r="D46" s="13" t="s">
        <v>620</v>
      </c>
      <c r="E46" s="13" t="s">
        <v>621</v>
      </c>
      <c r="F46" s="13" t="s">
        <v>622</v>
      </c>
      <c r="G46" s="13" t="s">
        <v>623</v>
      </c>
      <c r="H46" s="13" t="s">
        <v>624</v>
      </c>
    </row>
    <row r="47" customFormat="false" ht="15" hidden="false" customHeight="true" outlineLevel="0" collapsed="false">
      <c r="A47" s="13" t="s">
        <v>74</v>
      </c>
      <c r="B47" s="13" t="s">
        <v>625</v>
      </c>
      <c r="C47" s="11" t="s">
        <v>626</v>
      </c>
      <c r="D47" s="13" t="s">
        <v>627</v>
      </c>
      <c r="E47" s="13" t="s">
        <v>628</v>
      </c>
      <c r="F47" s="13" t="s">
        <v>629</v>
      </c>
      <c r="G47" s="13" t="s">
        <v>630</v>
      </c>
      <c r="H47" s="13" t="s">
        <v>631</v>
      </c>
    </row>
    <row r="48" customFormat="false" ht="15" hidden="false" customHeight="true" outlineLevel="0" collapsed="false">
      <c r="A48" s="13" t="s">
        <v>74</v>
      </c>
      <c r="B48" s="13" t="s">
        <v>632</v>
      </c>
      <c r="C48" s="11" t="s">
        <v>633</v>
      </c>
      <c r="D48" s="13" t="s">
        <v>634</v>
      </c>
      <c r="E48" s="13" t="s">
        <v>635</v>
      </c>
      <c r="F48" s="13" t="s">
        <v>636</v>
      </c>
      <c r="G48" s="13" t="s">
        <v>637</v>
      </c>
      <c r="H48" s="13" t="s">
        <v>638</v>
      </c>
    </row>
    <row r="49" customFormat="false" ht="15" hidden="false" customHeight="true" outlineLevel="0" collapsed="false">
      <c r="A49" s="13" t="s">
        <v>74</v>
      </c>
      <c r="B49" s="13" t="s">
        <v>639</v>
      </c>
      <c r="C49" s="11" t="s">
        <v>640</v>
      </c>
      <c r="D49" s="13" t="s">
        <v>641</v>
      </c>
      <c r="E49" s="13" t="s">
        <v>642</v>
      </c>
      <c r="F49" s="13" t="s">
        <v>643</v>
      </c>
      <c r="G49" s="13" t="s">
        <v>644</v>
      </c>
      <c r="H49" s="13" t="s">
        <v>645</v>
      </c>
    </row>
    <row r="50" customFormat="false" ht="15" hidden="false" customHeight="true" outlineLevel="0" collapsed="false">
      <c r="A50" s="13" t="s">
        <v>74</v>
      </c>
      <c r="B50" s="13" t="s">
        <v>646</v>
      </c>
      <c r="C50" s="11" t="s">
        <v>647</v>
      </c>
      <c r="D50" s="13" t="s">
        <v>648</v>
      </c>
      <c r="E50" s="13" t="s">
        <v>649</v>
      </c>
      <c r="F50" s="13" t="s">
        <v>650</v>
      </c>
      <c r="G50" s="13" t="s">
        <v>651</v>
      </c>
      <c r="H50" s="13" t="s">
        <v>652</v>
      </c>
    </row>
    <row r="51" customFormat="false" ht="15" hidden="false" customHeight="true" outlineLevel="0" collapsed="false">
      <c r="A51" s="13" t="s">
        <v>74</v>
      </c>
      <c r="B51" s="13" t="s">
        <v>653</v>
      </c>
      <c r="C51" s="11" t="s">
        <v>654</v>
      </c>
      <c r="D51" s="13" t="s">
        <v>655</v>
      </c>
      <c r="E51" s="13" t="s">
        <v>656</v>
      </c>
      <c r="F51" s="13" t="s">
        <v>657</v>
      </c>
      <c r="G51" s="13" t="s">
        <v>658</v>
      </c>
      <c r="H51" s="13" t="s">
        <v>659</v>
      </c>
    </row>
    <row r="52" customFormat="false" ht="15" hidden="false" customHeight="true" outlineLevel="0" collapsed="false">
      <c r="A52" s="13" t="s">
        <v>74</v>
      </c>
      <c r="B52" s="13" t="s">
        <v>660</v>
      </c>
      <c r="C52" s="11" t="s">
        <v>661</v>
      </c>
      <c r="D52" s="13" t="s">
        <v>662</v>
      </c>
      <c r="E52" s="13" t="s">
        <v>663</v>
      </c>
      <c r="F52" s="13" t="s">
        <v>664</v>
      </c>
      <c r="G52" s="13" t="s">
        <v>665</v>
      </c>
      <c r="H52" s="13" t="s">
        <v>666</v>
      </c>
    </row>
    <row r="53" customFormat="false" ht="15" hidden="false" customHeight="true" outlineLevel="0" collapsed="false">
      <c r="A53" s="13" t="s">
        <v>74</v>
      </c>
      <c r="B53" s="13" t="s">
        <v>667</v>
      </c>
      <c r="C53" s="11" t="s">
        <v>668</v>
      </c>
      <c r="D53" s="13" t="s">
        <v>669</v>
      </c>
      <c r="E53" s="13" t="s">
        <v>670</v>
      </c>
      <c r="F53" s="13" t="s">
        <v>671</v>
      </c>
      <c r="G53" s="13" t="s">
        <v>672</v>
      </c>
      <c r="H53" s="13" t="s">
        <v>673</v>
      </c>
    </row>
    <row r="54" customFormat="false" ht="15" hidden="false" customHeight="true" outlineLevel="0" collapsed="false">
      <c r="A54" s="13" t="s">
        <v>74</v>
      </c>
      <c r="B54" s="13" t="s">
        <v>674</v>
      </c>
      <c r="C54" s="11" t="s">
        <v>675</v>
      </c>
      <c r="D54" s="13" t="s">
        <v>676</v>
      </c>
      <c r="E54" s="13" t="s">
        <v>677</v>
      </c>
      <c r="F54" s="13" t="s">
        <v>678</v>
      </c>
      <c r="G54" s="13" t="s">
        <v>679</v>
      </c>
      <c r="H54" s="13" t="s">
        <v>680</v>
      </c>
    </row>
    <row r="55" customFormat="false" ht="15" hidden="false" customHeight="true" outlineLevel="0" collapsed="false">
      <c r="A55" s="13" t="s">
        <v>74</v>
      </c>
      <c r="B55" s="13" t="s">
        <v>681</v>
      </c>
      <c r="C55" s="11" t="s">
        <v>682</v>
      </c>
      <c r="D55" s="13" t="s">
        <v>683</v>
      </c>
      <c r="E55" s="13" t="s">
        <v>684</v>
      </c>
      <c r="F55" s="13" t="s">
        <v>685</v>
      </c>
      <c r="G55" s="13" t="s">
        <v>686</v>
      </c>
      <c r="H55" s="13" t="s">
        <v>687</v>
      </c>
    </row>
    <row r="56" customFormat="false" ht="15" hidden="false" customHeight="true" outlineLevel="0" collapsed="false">
      <c r="A56" s="13" t="s">
        <v>74</v>
      </c>
      <c r="B56" s="13" t="s">
        <v>688</v>
      </c>
      <c r="C56" s="11" t="s">
        <v>689</v>
      </c>
      <c r="D56" s="13" t="s">
        <v>690</v>
      </c>
      <c r="E56" s="13" t="s">
        <v>691</v>
      </c>
      <c r="F56" s="13" t="s">
        <v>692</v>
      </c>
      <c r="G56" s="13" t="s">
        <v>693</v>
      </c>
      <c r="H56" s="13" t="s">
        <v>694</v>
      </c>
    </row>
    <row r="57" customFormat="false" ht="15" hidden="false" customHeight="true" outlineLevel="0" collapsed="false">
      <c r="A57" s="13" t="s">
        <v>74</v>
      </c>
      <c r="B57" s="13" t="s">
        <v>695</v>
      </c>
      <c r="C57" s="11" t="s">
        <v>696</v>
      </c>
      <c r="D57" s="13" t="s">
        <v>697</v>
      </c>
      <c r="E57" s="13" t="s">
        <v>698</v>
      </c>
      <c r="F57" s="13" t="s">
        <v>699</v>
      </c>
      <c r="G57" s="13" t="s">
        <v>700</v>
      </c>
      <c r="H57" s="13" t="s">
        <v>701</v>
      </c>
    </row>
    <row r="58" customFormat="false" ht="15" hidden="false" customHeight="true" outlineLevel="0" collapsed="false">
      <c r="A58" s="13" t="s">
        <v>74</v>
      </c>
      <c r="B58" s="13" t="s">
        <v>702</v>
      </c>
      <c r="C58" s="11" t="s">
        <v>703</v>
      </c>
      <c r="D58" s="13" t="s">
        <v>704</v>
      </c>
      <c r="E58" s="13" t="s">
        <v>705</v>
      </c>
      <c r="F58" s="13" t="s">
        <v>706</v>
      </c>
      <c r="G58" s="13" t="s">
        <v>707</v>
      </c>
      <c r="H58" s="13" t="s">
        <v>708</v>
      </c>
    </row>
    <row r="59" customFormat="false" ht="15" hidden="false" customHeight="true" outlineLevel="0" collapsed="false">
      <c r="A59" s="13" t="s">
        <v>74</v>
      </c>
      <c r="B59" s="13" t="s">
        <v>709</v>
      </c>
      <c r="C59" s="11" t="s">
        <v>710</v>
      </c>
      <c r="D59" s="13" t="s">
        <v>711</v>
      </c>
      <c r="E59" s="13" t="s">
        <v>712</v>
      </c>
      <c r="F59" s="13" t="s">
        <v>713</v>
      </c>
      <c r="G59" s="13" t="s">
        <v>714</v>
      </c>
      <c r="H59" s="13" t="s">
        <v>715</v>
      </c>
    </row>
    <row r="60" customFormat="false" ht="15" hidden="false" customHeight="true" outlineLevel="0" collapsed="false">
      <c r="A60" s="13" t="s">
        <v>74</v>
      </c>
      <c r="B60" s="13" t="s">
        <v>716</v>
      </c>
      <c r="C60" s="11" t="s">
        <v>717</v>
      </c>
      <c r="D60" s="13" t="s">
        <v>718</v>
      </c>
      <c r="E60" s="13" t="s">
        <v>719</v>
      </c>
      <c r="F60" s="13" t="s">
        <v>720</v>
      </c>
      <c r="G60" s="13" t="s">
        <v>721</v>
      </c>
      <c r="H60" s="13" t="s">
        <v>722</v>
      </c>
    </row>
    <row r="61" customFormat="false" ht="15" hidden="false" customHeight="true" outlineLevel="0" collapsed="false">
      <c r="A61" s="13" t="s">
        <v>74</v>
      </c>
      <c r="B61" s="13" t="s">
        <v>723</v>
      </c>
      <c r="C61" s="11" t="s">
        <v>724</v>
      </c>
      <c r="D61" s="13" t="s">
        <v>725</v>
      </c>
      <c r="E61" s="13" t="s">
        <v>726</v>
      </c>
      <c r="F61" s="13" t="s">
        <v>727</v>
      </c>
      <c r="G61" s="13" t="s">
        <v>728</v>
      </c>
      <c r="H61" s="13" t="s">
        <v>729</v>
      </c>
    </row>
    <row r="62" customFormat="false" ht="15" hidden="false" customHeight="true" outlineLevel="0" collapsed="false">
      <c r="A62" s="13" t="s">
        <v>74</v>
      </c>
      <c r="B62" s="13" t="s">
        <v>730</v>
      </c>
      <c r="C62" s="11" t="s">
        <v>731</v>
      </c>
      <c r="D62" s="13" t="s">
        <v>732</v>
      </c>
      <c r="E62" s="13" t="s">
        <v>733</v>
      </c>
      <c r="F62" s="13" t="s">
        <v>734</v>
      </c>
      <c r="G62" s="13" t="s">
        <v>735</v>
      </c>
      <c r="H62" s="13" t="s">
        <v>736</v>
      </c>
    </row>
    <row r="63" customFormat="false" ht="15" hidden="false" customHeight="true" outlineLevel="0" collapsed="false">
      <c r="A63" s="13" t="s">
        <v>74</v>
      </c>
      <c r="B63" s="13" t="s">
        <v>737</v>
      </c>
      <c r="C63" s="11" t="s">
        <v>738</v>
      </c>
      <c r="D63" s="13" t="s">
        <v>739</v>
      </c>
      <c r="E63" s="13" t="s">
        <v>740</v>
      </c>
      <c r="F63" s="13" t="s">
        <v>741</v>
      </c>
      <c r="G63" s="13" t="s">
        <v>742</v>
      </c>
      <c r="H63" s="13" t="s">
        <v>743</v>
      </c>
    </row>
    <row r="64" customFormat="false" ht="15" hidden="false" customHeight="true" outlineLevel="0" collapsed="false">
      <c r="A64" s="13" t="s">
        <v>74</v>
      </c>
      <c r="B64" s="13" t="s">
        <v>744</v>
      </c>
      <c r="C64" s="11" t="s">
        <v>745</v>
      </c>
      <c r="D64" s="13" t="s">
        <v>746</v>
      </c>
      <c r="E64" s="13" t="s">
        <v>747</v>
      </c>
      <c r="F64" s="13" t="s">
        <v>748</v>
      </c>
      <c r="G64" s="13" t="s">
        <v>749</v>
      </c>
      <c r="H64" s="13" t="s">
        <v>750</v>
      </c>
    </row>
    <row r="65" customFormat="false" ht="15" hidden="false" customHeight="true" outlineLevel="0" collapsed="false">
      <c r="A65" s="13" t="s">
        <v>74</v>
      </c>
      <c r="B65" s="13" t="s">
        <v>751</v>
      </c>
      <c r="C65" s="11" t="s">
        <v>752</v>
      </c>
      <c r="D65" s="13" t="s">
        <v>753</v>
      </c>
      <c r="E65" s="13" t="s">
        <v>754</v>
      </c>
      <c r="F65" s="13" t="s">
        <v>755</v>
      </c>
      <c r="G65" s="13" t="s">
        <v>756</v>
      </c>
      <c r="H65" s="13" t="s">
        <v>757</v>
      </c>
    </row>
    <row r="66" customFormat="false" ht="15" hidden="false" customHeight="true" outlineLevel="0" collapsed="false">
      <c r="A66" s="13" t="s">
        <v>74</v>
      </c>
      <c r="B66" s="13" t="s">
        <v>758</v>
      </c>
      <c r="C66" s="11" t="s">
        <v>759</v>
      </c>
      <c r="D66" s="13" t="s">
        <v>760</v>
      </c>
      <c r="E66" s="13" t="s">
        <v>761</v>
      </c>
      <c r="F66" s="13" t="s">
        <v>762</v>
      </c>
      <c r="G66" s="13" t="s">
        <v>763</v>
      </c>
      <c r="H66" s="13" t="s">
        <v>764</v>
      </c>
    </row>
    <row r="67" customFormat="false" ht="15" hidden="false" customHeight="true" outlineLevel="0" collapsed="false">
      <c r="A67" s="13" t="s">
        <v>74</v>
      </c>
      <c r="B67" s="13" t="s">
        <v>765</v>
      </c>
      <c r="C67" s="11" t="s">
        <v>766</v>
      </c>
      <c r="D67" s="13" t="s">
        <v>767</v>
      </c>
      <c r="E67" s="13" t="s">
        <v>768</v>
      </c>
      <c r="F67" s="13" t="s">
        <v>769</v>
      </c>
      <c r="G67" s="13" t="s">
        <v>770</v>
      </c>
      <c r="H67" s="13" t="s">
        <v>771</v>
      </c>
    </row>
    <row r="68" customFormat="false" ht="15" hidden="false" customHeight="true" outlineLevel="0" collapsed="false">
      <c r="A68" s="13" t="s">
        <v>74</v>
      </c>
      <c r="B68" s="13" t="s">
        <v>772</v>
      </c>
      <c r="C68" s="11" t="s">
        <v>773</v>
      </c>
      <c r="D68" s="13" t="s">
        <v>774</v>
      </c>
      <c r="E68" s="13" t="s">
        <v>775</v>
      </c>
      <c r="F68" s="13" t="s">
        <v>776</v>
      </c>
      <c r="G68" s="13" t="s">
        <v>777</v>
      </c>
      <c r="H68" s="13" t="s">
        <v>778</v>
      </c>
    </row>
    <row r="69" customFormat="false" ht="15" hidden="false" customHeight="true" outlineLevel="0" collapsed="false">
      <c r="A69" s="13" t="s">
        <v>74</v>
      </c>
      <c r="B69" s="13" t="s">
        <v>779</v>
      </c>
      <c r="C69" s="11" t="s">
        <v>780</v>
      </c>
      <c r="D69" s="13" t="s">
        <v>781</v>
      </c>
      <c r="E69" s="13" t="s">
        <v>782</v>
      </c>
      <c r="F69" s="13" t="s">
        <v>783</v>
      </c>
      <c r="G69" s="13" t="s">
        <v>784</v>
      </c>
      <c r="H69" s="13" t="s">
        <v>785</v>
      </c>
    </row>
    <row r="70" customFormat="false" ht="15" hidden="false" customHeight="true" outlineLevel="0" collapsed="false">
      <c r="A70" s="13" t="s">
        <v>74</v>
      </c>
      <c r="B70" s="13" t="s">
        <v>786</v>
      </c>
      <c r="C70" s="11" t="s">
        <v>787</v>
      </c>
      <c r="D70" s="13" t="s">
        <v>788</v>
      </c>
      <c r="E70" s="13" t="s">
        <v>789</v>
      </c>
      <c r="F70" s="13" t="s">
        <v>790</v>
      </c>
      <c r="G70" s="13" t="s">
        <v>791</v>
      </c>
      <c r="H70" s="13" t="s">
        <v>792</v>
      </c>
    </row>
    <row r="71" customFormat="false" ht="15" hidden="false" customHeight="true" outlineLevel="0" collapsed="false">
      <c r="A71" s="13" t="s">
        <v>74</v>
      </c>
      <c r="B71" s="13" t="s">
        <v>793</v>
      </c>
      <c r="C71" s="11" t="s">
        <v>794</v>
      </c>
      <c r="D71" s="13" t="s">
        <v>795</v>
      </c>
      <c r="E71" s="13" t="s">
        <v>796</v>
      </c>
      <c r="F71" s="13" t="s">
        <v>797</v>
      </c>
      <c r="G71" s="13" t="s">
        <v>798</v>
      </c>
      <c r="H71" s="13" t="s">
        <v>799</v>
      </c>
    </row>
    <row r="72" customFormat="false" ht="15" hidden="false" customHeight="true" outlineLevel="0" collapsed="false">
      <c r="A72" s="13" t="s">
        <v>74</v>
      </c>
      <c r="B72" s="13" t="s">
        <v>800</v>
      </c>
      <c r="C72" s="11" t="s">
        <v>801</v>
      </c>
      <c r="D72" s="13" t="s">
        <v>641</v>
      </c>
      <c r="E72" s="13" t="s">
        <v>802</v>
      </c>
      <c r="F72" s="13" t="s">
        <v>803</v>
      </c>
      <c r="G72" s="13" t="s">
        <v>804</v>
      </c>
      <c r="H72" s="13" t="s">
        <v>805</v>
      </c>
    </row>
    <row r="73" customFormat="false" ht="15" hidden="false" customHeight="true" outlineLevel="0" collapsed="false">
      <c r="A73" s="13" t="s">
        <v>74</v>
      </c>
      <c r="B73" s="13" t="s">
        <v>806</v>
      </c>
      <c r="C73" s="11" t="s">
        <v>807</v>
      </c>
      <c r="D73" s="13" t="s">
        <v>808</v>
      </c>
      <c r="E73" s="13" t="s">
        <v>809</v>
      </c>
      <c r="F73" s="13" t="s">
        <v>810</v>
      </c>
      <c r="G73" s="13" t="s">
        <v>811</v>
      </c>
      <c r="H73" s="13" t="s">
        <v>812</v>
      </c>
    </row>
    <row r="74" customFormat="false" ht="15" hidden="false" customHeight="true" outlineLevel="0" collapsed="false">
      <c r="A74" s="13" t="s">
        <v>74</v>
      </c>
      <c r="B74" s="13" t="s">
        <v>813</v>
      </c>
      <c r="C74" s="11" t="s">
        <v>814</v>
      </c>
      <c r="D74" s="13" t="s">
        <v>815</v>
      </c>
      <c r="E74" s="13" t="s">
        <v>816</v>
      </c>
      <c r="F74" s="13" t="s">
        <v>817</v>
      </c>
      <c r="G74" s="13" t="s">
        <v>818</v>
      </c>
      <c r="H74" s="13" t="s">
        <v>819</v>
      </c>
    </row>
    <row r="75" customFormat="false" ht="15" hidden="false" customHeight="true" outlineLevel="0" collapsed="false">
      <c r="A75" s="13" t="s">
        <v>74</v>
      </c>
      <c r="B75" s="13" t="s">
        <v>820</v>
      </c>
      <c r="C75" s="11" t="s">
        <v>821</v>
      </c>
      <c r="D75" s="13" t="s">
        <v>822</v>
      </c>
      <c r="E75" s="13" t="s">
        <v>823</v>
      </c>
      <c r="F75" s="13" t="s">
        <v>824</v>
      </c>
      <c r="G75" s="13" t="s">
        <v>825</v>
      </c>
      <c r="H75" s="13" t="s">
        <v>826</v>
      </c>
    </row>
    <row r="76" customFormat="false" ht="15" hidden="false" customHeight="true" outlineLevel="0" collapsed="false">
      <c r="A76" s="13" t="s">
        <v>74</v>
      </c>
      <c r="B76" s="13" t="s">
        <v>827</v>
      </c>
      <c r="C76" s="11" t="s">
        <v>828</v>
      </c>
      <c r="D76" s="13" t="s">
        <v>829</v>
      </c>
      <c r="E76" s="13" t="s">
        <v>830</v>
      </c>
      <c r="F76" s="13" t="s">
        <v>831</v>
      </c>
      <c r="G76" s="13" t="s">
        <v>832</v>
      </c>
      <c r="H76" s="13" t="s">
        <v>833</v>
      </c>
    </row>
    <row r="77" customFormat="false" ht="15" hidden="false" customHeight="true" outlineLevel="0" collapsed="false">
      <c r="A77" s="13" t="s">
        <v>74</v>
      </c>
      <c r="B77" s="13" t="s">
        <v>834</v>
      </c>
      <c r="C77" s="11" t="s">
        <v>835</v>
      </c>
      <c r="D77" s="13" t="s">
        <v>836</v>
      </c>
      <c r="E77" s="13" t="s">
        <v>837</v>
      </c>
      <c r="F77" s="13" t="s">
        <v>838</v>
      </c>
      <c r="G77" s="13" t="s">
        <v>839</v>
      </c>
      <c r="H77" s="13" t="s">
        <v>840</v>
      </c>
    </row>
    <row r="78" customFormat="false" ht="15" hidden="false" customHeight="true" outlineLevel="0" collapsed="false">
      <c r="A78" s="13" t="s">
        <v>74</v>
      </c>
      <c r="B78" s="13" t="s">
        <v>841</v>
      </c>
      <c r="C78" s="11" t="s">
        <v>842</v>
      </c>
      <c r="D78" s="13" t="s">
        <v>843</v>
      </c>
      <c r="E78" s="13" t="s">
        <v>844</v>
      </c>
      <c r="F78" s="13" t="s">
        <v>845</v>
      </c>
      <c r="G78" s="13" t="s">
        <v>846</v>
      </c>
      <c r="H78" s="13" t="s">
        <v>847</v>
      </c>
    </row>
    <row r="79" customFormat="false" ht="15" hidden="false" customHeight="true" outlineLevel="0" collapsed="false">
      <c r="A79" s="13" t="s">
        <v>74</v>
      </c>
      <c r="B79" s="13" t="s">
        <v>848</v>
      </c>
      <c r="C79" s="11" t="s">
        <v>849</v>
      </c>
      <c r="D79" s="13" t="s">
        <v>850</v>
      </c>
      <c r="E79" s="13" t="s">
        <v>851</v>
      </c>
      <c r="F79" s="13" t="s">
        <v>852</v>
      </c>
      <c r="G79" s="13" t="s">
        <v>853</v>
      </c>
      <c r="H79" s="13" t="s">
        <v>854</v>
      </c>
    </row>
    <row r="80" customFormat="false" ht="15" hidden="false" customHeight="true" outlineLevel="0" collapsed="false">
      <c r="A80" s="13" t="s">
        <v>74</v>
      </c>
      <c r="B80" s="13" t="s">
        <v>855</v>
      </c>
      <c r="C80" s="11" t="s">
        <v>856</v>
      </c>
      <c r="D80" s="13" t="s">
        <v>857</v>
      </c>
      <c r="E80" s="13" t="s">
        <v>858</v>
      </c>
      <c r="F80" s="13" t="s">
        <v>859</v>
      </c>
      <c r="G80" s="13" t="s">
        <v>860</v>
      </c>
      <c r="H80" s="13" t="s">
        <v>861</v>
      </c>
    </row>
    <row r="81" customFormat="false" ht="15" hidden="false" customHeight="true" outlineLevel="0" collapsed="false">
      <c r="A81" s="13" t="s">
        <v>74</v>
      </c>
      <c r="B81" s="13" t="s">
        <v>862</v>
      </c>
      <c r="C81" s="11" t="s">
        <v>863</v>
      </c>
      <c r="D81" s="13" t="s">
        <v>864</v>
      </c>
      <c r="E81" s="13" t="s">
        <v>865</v>
      </c>
      <c r="F81" s="13" t="s">
        <v>866</v>
      </c>
      <c r="G81" s="13" t="s">
        <v>867</v>
      </c>
      <c r="H81" s="13" t="s">
        <v>868</v>
      </c>
    </row>
    <row r="82" customFormat="false" ht="15" hidden="false" customHeight="true" outlineLevel="0" collapsed="false">
      <c r="A82" s="13" t="s">
        <v>74</v>
      </c>
      <c r="B82" s="13" t="s">
        <v>869</v>
      </c>
      <c r="C82" s="11" t="s">
        <v>870</v>
      </c>
      <c r="D82" s="13" t="s">
        <v>871</v>
      </c>
      <c r="E82" s="13" t="s">
        <v>872</v>
      </c>
      <c r="F82" s="13" t="s">
        <v>873</v>
      </c>
      <c r="G82" s="13" t="s">
        <v>874</v>
      </c>
      <c r="H82" s="13" t="s">
        <v>875</v>
      </c>
    </row>
    <row r="83" customFormat="false" ht="15" hidden="false" customHeight="true" outlineLevel="0" collapsed="false">
      <c r="A83" s="13" t="s">
        <v>74</v>
      </c>
      <c r="B83" s="13" t="s">
        <v>876</v>
      </c>
      <c r="C83" s="11" t="s">
        <v>877</v>
      </c>
      <c r="D83" s="13" t="s">
        <v>878</v>
      </c>
      <c r="E83" s="13" t="s">
        <v>879</v>
      </c>
      <c r="F83" s="13" t="s">
        <v>880</v>
      </c>
      <c r="G83" s="13" t="s">
        <v>881</v>
      </c>
      <c r="H83" s="13" t="s">
        <v>882</v>
      </c>
    </row>
    <row r="84" customFormat="false" ht="15" hidden="false" customHeight="true" outlineLevel="0" collapsed="false">
      <c r="A84" s="13" t="s">
        <v>74</v>
      </c>
      <c r="B84" s="13" t="s">
        <v>883</v>
      </c>
      <c r="C84" s="11" t="s">
        <v>884</v>
      </c>
      <c r="D84" s="13" t="s">
        <v>885</v>
      </c>
      <c r="E84" s="13" t="s">
        <v>886</v>
      </c>
      <c r="F84" s="13" t="s">
        <v>887</v>
      </c>
      <c r="G84" s="13" t="s">
        <v>888</v>
      </c>
      <c r="H84" s="13" t="s">
        <v>889</v>
      </c>
    </row>
    <row r="85" customFormat="false" ht="15" hidden="false" customHeight="true" outlineLevel="0" collapsed="false">
      <c r="A85" s="13" t="s">
        <v>74</v>
      </c>
      <c r="B85" s="13" t="s">
        <v>890</v>
      </c>
      <c r="C85" s="11" t="s">
        <v>891</v>
      </c>
      <c r="D85" s="13" t="s">
        <v>892</v>
      </c>
      <c r="E85" s="13" t="s">
        <v>893</v>
      </c>
      <c r="F85" s="13" t="s">
        <v>894</v>
      </c>
      <c r="G85" s="13" t="s">
        <v>895</v>
      </c>
      <c r="H85" s="13" t="s">
        <v>896</v>
      </c>
    </row>
    <row r="86" customFormat="false" ht="15" hidden="false" customHeight="true" outlineLevel="0" collapsed="false">
      <c r="A86" s="13" t="s">
        <v>74</v>
      </c>
      <c r="B86" s="13" t="s">
        <v>897</v>
      </c>
      <c r="C86" s="11" t="s">
        <v>898</v>
      </c>
      <c r="D86" s="13" t="s">
        <v>899</v>
      </c>
      <c r="E86" s="13" t="s">
        <v>900</v>
      </c>
      <c r="F86" s="13" t="s">
        <v>901</v>
      </c>
      <c r="G86" s="13" t="s">
        <v>902</v>
      </c>
      <c r="H86" s="13" t="s">
        <v>903</v>
      </c>
    </row>
    <row r="87" customFormat="false" ht="15" hidden="false" customHeight="true" outlineLevel="0" collapsed="false">
      <c r="A87" s="13" t="s">
        <v>74</v>
      </c>
      <c r="B87" s="13" t="s">
        <v>904</v>
      </c>
      <c r="C87" s="11" t="s">
        <v>905</v>
      </c>
      <c r="D87" s="13" t="s">
        <v>906</v>
      </c>
      <c r="E87" s="13" t="s">
        <v>907</v>
      </c>
      <c r="F87" s="13" t="s">
        <v>908</v>
      </c>
      <c r="G87" s="13" t="s">
        <v>909</v>
      </c>
      <c r="H87" s="13" t="s">
        <v>910</v>
      </c>
    </row>
    <row r="88" customFormat="false" ht="15" hidden="false" customHeight="true" outlineLevel="0" collapsed="false">
      <c r="A88" s="13" t="s">
        <v>74</v>
      </c>
      <c r="B88" s="13" t="s">
        <v>911</v>
      </c>
      <c r="C88" s="11" t="s">
        <v>912</v>
      </c>
      <c r="D88" s="13" t="s">
        <v>913</v>
      </c>
      <c r="E88" s="13" t="s">
        <v>914</v>
      </c>
      <c r="F88" s="13" t="s">
        <v>915</v>
      </c>
      <c r="G88" s="13" t="s">
        <v>916</v>
      </c>
      <c r="H88" s="13" t="s">
        <v>917</v>
      </c>
    </row>
    <row r="89" customFormat="false" ht="15" hidden="false" customHeight="true" outlineLevel="0" collapsed="false">
      <c r="A89" s="13" t="s">
        <v>74</v>
      </c>
      <c r="B89" s="13" t="s">
        <v>918</v>
      </c>
      <c r="C89" s="11" t="s">
        <v>919</v>
      </c>
      <c r="D89" s="13" t="s">
        <v>920</v>
      </c>
      <c r="E89" s="13" t="s">
        <v>921</v>
      </c>
      <c r="F89" s="13" t="s">
        <v>922</v>
      </c>
      <c r="G89" s="13" t="s">
        <v>923</v>
      </c>
      <c r="H89" s="13" t="s">
        <v>924</v>
      </c>
    </row>
    <row r="90" customFormat="false" ht="15" hidden="false" customHeight="true" outlineLevel="0" collapsed="false">
      <c r="A90" s="13" t="s">
        <v>74</v>
      </c>
      <c r="B90" s="13" t="s">
        <v>925</v>
      </c>
      <c r="C90" s="11" t="s">
        <v>926</v>
      </c>
      <c r="D90" s="13" t="s">
        <v>927</v>
      </c>
      <c r="E90" s="13" t="s">
        <v>928</v>
      </c>
      <c r="F90" s="13" t="s">
        <v>929</v>
      </c>
      <c r="G90" s="13" t="s">
        <v>930</v>
      </c>
      <c r="H90" s="13" t="s">
        <v>931</v>
      </c>
    </row>
    <row r="91" customFormat="false" ht="15" hidden="false" customHeight="true" outlineLevel="0" collapsed="false">
      <c r="A91" s="13" t="s">
        <v>74</v>
      </c>
      <c r="B91" s="13" t="s">
        <v>932</v>
      </c>
      <c r="C91" s="11" t="s">
        <v>933</v>
      </c>
      <c r="D91" s="13" t="s">
        <v>934</v>
      </c>
      <c r="E91" s="13" t="s">
        <v>935</v>
      </c>
      <c r="F91" s="13" t="s">
        <v>936</v>
      </c>
      <c r="G91" s="13" t="s">
        <v>937</v>
      </c>
      <c r="H91" s="13" t="s">
        <v>938</v>
      </c>
    </row>
    <row r="92" customFormat="false" ht="15" hidden="false" customHeight="true" outlineLevel="0" collapsed="false">
      <c r="A92" s="13" t="s">
        <v>74</v>
      </c>
      <c r="B92" s="13" t="s">
        <v>939</v>
      </c>
      <c r="C92" s="11" t="s">
        <v>940</v>
      </c>
      <c r="D92" s="13" t="s">
        <v>941</v>
      </c>
      <c r="E92" s="13" t="s">
        <v>942</v>
      </c>
      <c r="F92" s="13" t="s">
        <v>943</v>
      </c>
      <c r="G92" s="13" t="s">
        <v>944</v>
      </c>
      <c r="H92" s="13" t="s">
        <v>945</v>
      </c>
    </row>
    <row r="93" customFormat="false" ht="15" hidden="false" customHeight="true" outlineLevel="0" collapsed="false">
      <c r="A93" s="13" t="s">
        <v>74</v>
      </c>
      <c r="B93" s="13" t="s">
        <v>946</v>
      </c>
      <c r="C93" s="11" t="s">
        <v>947</v>
      </c>
      <c r="D93" s="13" t="s">
        <v>948</v>
      </c>
      <c r="E93" s="13" t="s">
        <v>949</v>
      </c>
      <c r="F93" s="13" t="s">
        <v>950</v>
      </c>
      <c r="G93" s="13" t="s">
        <v>951</v>
      </c>
      <c r="H93" s="13" t="s">
        <v>952</v>
      </c>
    </row>
    <row r="94" customFormat="false" ht="15" hidden="false" customHeight="true" outlineLevel="0" collapsed="false">
      <c r="A94" s="13" t="s">
        <v>74</v>
      </c>
      <c r="B94" s="13" t="s">
        <v>953</v>
      </c>
      <c r="C94" s="11" t="s">
        <v>954</v>
      </c>
      <c r="D94" s="13" t="s">
        <v>955</v>
      </c>
      <c r="E94" s="13" t="s">
        <v>956</v>
      </c>
      <c r="F94" s="13" t="s">
        <v>957</v>
      </c>
      <c r="G94" s="13" t="s">
        <v>958</v>
      </c>
      <c r="H94" s="13" t="s">
        <v>959</v>
      </c>
    </row>
    <row r="95" customFormat="false" ht="15" hidden="false" customHeight="true" outlineLevel="0" collapsed="false">
      <c r="A95" s="13" t="s">
        <v>74</v>
      </c>
      <c r="B95" s="13" t="s">
        <v>960</v>
      </c>
      <c r="C95" s="11" t="s">
        <v>961</v>
      </c>
      <c r="D95" s="13" t="s">
        <v>962</v>
      </c>
      <c r="E95" s="13" t="s">
        <v>963</v>
      </c>
      <c r="F95" s="13" t="s">
        <v>964</v>
      </c>
      <c r="G95" s="13" t="s">
        <v>965</v>
      </c>
      <c r="H95" s="13" t="s">
        <v>966</v>
      </c>
    </row>
    <row r="96" customFormat="false" ht="15" hidden="false" customHeight="true" outlineLevel="0" collapsed="false">
      <c r="A96" s="13" t="s">
        <v>74</v>
      </c>
      <c r="B96" s="13" t="s">
        <v>967</v>
      </c>
      <c r="C96" s="11" t="s">
        <v>968</v>
      </c>
      <c r="D96" s="13" t="s">
        <v>969</v>
      </c>
      <c r="E96" s="13" t="s">
        <v>970</v>
      </c>
      <c r="F96" s="13" t="s">
        <v>971</v>
      </c>
      <c r="G96" s="13" t="s">
        <v>972</v>
      </c>
      <c r="H96" s="13" t="s">
        <v>973</v>
      </c>
    </row>
    <row r="97" customFormat="false" ht="15" hidden="false" customHeight="true" outlineLevel="0" collapsed="false">
      <c r="A97" s="13" t="s">
        <v>74</v>
      </c>
      <c r="B97" s="13" t="s">
        <v>974</v>
      </c>
      <c r="C97" s="11" t="s">
        <v>975</v>
      </c>
      <c r="D97" s="13" t="s">
        <v>976</v>
      </c>
      <c r="E97" s="13" t="s">
        <v>977</v>
      </c>
      <c r="F97" s="13" t="s">
        <v>978</v>
      </c>
      <c r="G97" s="13" t="s">
        <v>979</v>
      </c>
      <c r="H97" s="13" t="s">
        <v>980</v>
      </c>
    </row>
    <row r="98" customFormat="false" ht="15" hidden="false" customHeight="true" outlineLevel="0" collapsed="false">
      <c r="A98" s="13" t="s">
        <v>74</v>
      </c>
      <c r="B98" s="13" t="s">
        <v>981</v>
      </c>
      <c r="C98" s="11" t="s">
        <v>982</v>
      </c>
      <c r="D98" s="13" t="s">
        <v>983</v>
      </c>
      <c r="E98" s="13" t="s">
        <v>984</v>
      </c>
      <c r="F98" s="13" t="s">
        <v>985</v>
      </c>
      <c r="G98" s="13" t="s">
        <v>986</v>
      </c>
      <c r="H98" s="13" t="s">
        <v>987</v>
      </c>
    </row>
    <row r="99" customFormat="false" ht="15" hidden="false" customHeight="true" outlineLevel="0" collapsed="false">
      <c r="A99" s="13" t="s">
        <v>74</v>
      </c>
      <c r="B99" s="13" t="s">
        <v>988</v>
      </c>
      <c r="C99" s="11" t="s">
        <v>989</v>
      </c>
      <c r="D99" s="13" t="s">
        <v>990</v>
      </c>
      <c r="E99" s="13" t="s">
        <v>991</v>
      </c>
      <c r="F99" s="13" t="s">
        <v>992</v>
      </c>
      <c r="G99" s="13" t="s">
        <v>993</v>
      </c>
      <c r="H99" s="13" t="s">
        <v>994</v>
      </c>
    </row>
    <row r="100" customFormat="false" ht="15" hidden="false" customHeight="true" outlineLevel="0" collapsed="false">
      <c r="A100" s="13" t="s">
        <v>74</v>
      </c>
      <c r="B100" s="13" t="s">
        <v>995</v>
      </c>
      <c r="C100" s="11" t="s">
        <v>996</v>
      </c>
      <c r="D100" s="13" t="s">
        <v>997</v>
      </c>
      <c r="E100" s="13" t="s">
        <v>998</v>
      </c>
      <c r="F100" s="13" t="s">
        <v>999</v>
      </c>
      <c r="G100" s="13" t="s">
        <v>1000</v>
      </c>
      <c r="H100" s="13" t="s">
        <v>1001</v>
      </c>
    </row>
    <row r="101" customFormat="false" ht="15" hidden="false" customHeight="true" outlineLevel="0" collapsed="false">
      <c r="A101" s="13" t="s">
        <v>74</v>
      </c>
      <c r="B101" s="13" t="s">
        <v>1002</v>
      </c>
      <c r="C101" s="11" t="s">
        <v>1003</v>
      </c>
      <c r="D101" s="13" t="s">
        <v>1004</v>
      </c>
      <c r="E101" s="13" t="s">
        <v>1005</v>
      </c>
      <c r="F101" s="13" t="s">
        <v>1006</v>
      </c>
      <c r="G101" s="13" t="s">
        <v>1007</v>
      </c>
      <c r="H101" s="13" t="s">
        <v>1008</v>
      </c>
    </row>
    <row r="102" customFormat="false" ht="15" hidden="false" customHeight="true" outlineLevel="0" collapsed="false">
      <c r="A102" s="13" t="s">
        <v>74</v>
      </c>
      <c r="B102" s="13" t="s">
        <v>1009</v>
      </c>
      <c r="C102" s="11" t="s">
        <v>1010</v>
      </c>
      <c r="D102" s="13" t="s">
        <v>1011</v>
      </c>
      <c r="E102" s="13" t="s">
        <v>1012</v>
      </c>
      <c r="F102" s="13" t="s">
        <v>1013</v>
      </c>
      <c r="G102" s="13" t="s">
        <v>1014</v>
      </c>
      <c r="H102" s="13" t="s">
        <v>1015</v>
      </c>
    </row>
    <row r="103" customFormat="false" ht="15" hidden="false" customHeight="true" outlineLevel="0" collapsed="false">
      <c r="A103" s="13" t="s">
        <v>74</v>
      </c>
      <c r="B103" s="13" t="s">
        <v>1016</v>
      </c>
      <c r="C103" s="11" t="s">
        <v>1017</v>
      </c>
      <c r="D103" s="13" t="s">
        <v>1018</v>
      </c>
      <c r="E103" s="13" t="s">
        <v>1019</v>
      </c>
      <c r="F103" s="13" t="s">
        <v>1020</v>
      </c>
      <c r="G103" s="13" t="s">
        <v>1019</v>
      </c>
      <c r="H103" s="13" t="s">
        <v>1019</v>
      </c>
    </row>
    <row r="104" customFormat="false" ht="15" hidden="false" customHeight="true" outlineLevel="0" collapsed="false">
      <c r="A104" s="13" t="s">
        <v>83</v>
      </c>
      <c r="B104" s="13" t="s">
        <v>345</v>
      </c>
      <c r="C104" s="11" t="s">
        <v>346</v>
      </c>
      <c r="D104" s="13" t="s">
        <v>1021</v>
      </c>
      <c r="E104" s="13" t="s">
        <v>1022</v>
      </c>
      <c r="F104" s="13" t="s">
        <v>1023</v>
      </c>
      <c r="G104" s="13" t="s">
        <v>1024</v>
      </c>
      <c r="H104" s="13" t="s">
        <v>1025</v>
      </c>
    </row>
    <row r="105" customFormat="false" ht="15" hidden="false" customHeight="true" outlineLevel="0" collapsed="false">
      <c r="A105" s="13" t="s">
        <v>83</v>
      </c>
      <c r="B105" s="13" t="s">
        <v>352</v>
      </c>
      <c r="C105" s="11" t="s">
        <v>353</v>
      </c>
      <c r="D105" s="13" t="s">
        <v>1026</v>
      </c>
      <c r="E105" s="13" t="s">
        <v>1027</v>
      </c>
      <c r="F105" s="13" t="s">
        <v>1028</v>
      </c>
      <c r="G105" s="13" t="s">
        <v>1029</v>
      </c>
      <c r="H105" s="13" t="s">
        <v>1030</v>
      </c>
    </row>
    <row r="106" customFormat="false" ht="15" hidden="false" customHeight="true" outlineLevel="0" collapsed="false">
      <c r="A106" s="13" t="s">
        <v>83</v>
      </c>
      <c r="B106" s="13" t="s">
        <v>359</v>
      </c>
      <c r="C106" s="11" t="s">
        <v>360</v>
      </c>
      <c r="D106" s="13" t="s">
        <v>1031</v>
      </c>
      <c r="E106" s="13" t="s">
        <v>1032</v>
      </c>
      <c r="F106" s="13" t="s">
        <v>1033</v>
      </c>
      <c r="G106" s="13" t="s">
        <v>1034</v>
      </c>
      <c r="H106" s="13" t="s">
        <v>1035</v>
      </c>
    </row>
    <row r="107" customFormat="false" ht="15" hidden="false" customHeight="true" outlineLevel="0" collapsed="false">
      <c r="A107" s="13" t="s">
        <v>83</v>
      </c>
      <c r="B107" s="13" t="s">
        <v>366</v>
      </c>
      <c r="C107" s="11" t="s">
        <v>367</v>
      </c>
      <c r="D107" s="13" t="s">
        <v>1036</v>
      </c>
      <c r="E107" s="13" t="s">
        <v>1037</v>
      </c>
      <c r="F107" s="13" t="s">
        <v>1038</v>
      </c>
      <c r="G107" s="13" t="s">
        <v>1039</v>
      </c>
      <c r="H107" s="13" t="s">
        <v>1040</v>
      </c>
    </row>
    <row r="108" customFormat="false" ht="15" hidden="false" customHeight="true" outlineLevel="0" collapsed="false">
      <c r="A108" s="13" t="s">
        <v>83</v>
      </c>
      <c r="B108" s="13" t="s">
        <v>373</v>
      </c>
      <c r="C108" s="11" t="s">
        <v>374</v>
      </c>
      <c r="D108" s="13" t="s">
        <v>1041</v>
      </c>
      <c r="E108" s="13" t="s">
        <v>1042</v>
      </c>
      <c r="F108" s="13" t="s">
        <v>1043</v>
      </c>
      <c r="G108" s="13" t="s">
        <v>1044</v>
      </c>
      <c r="H108" s="13" t="s">
        <v>1045</v>
      </c>
    </row>
    <row r="109" customFormat="false" ht="15" hidden="false" customHeight="true" outlineLevel="0" collapsed="false">
      <c r="A109" s="13" t="s">
        <v>83</v>
      </c>
      <c r="B109" s="13" t="s">
        <v>380</v>
      </c>
      <c r="C109" s="11" t="s">
        <v>381</v>
      </c>
      <c r="D109" s="13" t="s">
        <v>1046</v>
      </c>
      <c r="E109" s="13" t="s">
        <v>1047</v>
      </c>
      <c r="F109" s="13" t="s">
        <v>1048</v>
      </c>
      <c r="G109" s="13" t="s">
        <v>1049</v>
      </c>
      <c r="H109" s="13" t="s">
        <v>1050</v>
      </c>
    </row>
    <row r="110" customFormat="false" ht="15" hidden="false" customHeight="true" outlineLevel="0" collapsed="false">
      <c r="A110" s="13" t="s">
        <v>83</v>
      </c>
      <c r="B110" s="13" t="s">
        <v>387</v>
      </c>
      <c r="C110" s="11" t="s">
        <v>388</v>
      </c>
      <c r="D110" s="13" t="s">
        <v>1051</v>
      </c>
      <c r="E110" s="13" t="s">
        <v>1052</v>
      </c>
      <c r="F110" s="13" t="s">
        <v>1053</v>
      </c>
      <c r="G110" s="13" t="s">
        <v>1054</v>
      </c>
      <c r="H110" s="13" t="s">
        <v>1055</v>
      </c>
    </row>
    <row r="111" customFormat="false" ht="15" hidden="false" customHeight="true" outlineLevel="0" collapsed="false">
      <c r="A111" s="13" t="s">
        <v>83</v>
      </c>
      <c r="B111" s="13" t="s">
        <v>394</v>
      </c>
      <c r="C111" s="11" t="s">
        <v>395</v>
      </c>
      <c r="D111" s="13" t="s">
        <v>1056</v>
      </c>
      <c r="E111" s="13" t="s">
        <v>1057</v>
      </c>
      <c r="F111" s="13" t="s">
        <v>1058</v>
      </c>
      <c r="G111" s="13" t="s">
        <v>1059</v>
      </c>
      <c r="H111" s="13" t="s">
        <v>1060</v>
      </c>
    </row>
    <row r="112" customFormat="false" ht="15" hidden="false" customHeight="true" outlineLevel="0" collapsed="false">
      <c r="A112" s="13" t="s">
        <v>83</v>
      </c>
      <c r="B112" s="13" t="s">
        <v>401</v>
      </c>
      <c r="C112" s="11" t="s">
        <v>402</v>
      </c>
      <c r="D112" s="13" t="s">
        <v>1061</v>
      </c>
      <c r="E112" s="13" t="s">
        <v>1062</v>
      </c>
      <c r="F112" s="13" t="s">
        <v>1063</v>
      </c>
      <c r="G112" s="13" t="s">
        <v>1064</v>
      </c>
      <c r="H112" s="13" t="s">
        <v>1065</v>
      </c>
    </row>
    <row r="113" customFormat="false" ht="15" hidden="false" customHeight="true" outlineLevel="0" collapsed="false">
      <c r="A113" s="13" t="s">
        <v>83</v>
      </c>
      <c r="B113" s="13" t="s">
        <v>408</v>
      </c>
      <c r="C113" s="11" t="s">
        <v>409</v>
      </c>
      <c r="D113" s="13" t="s">
        <v>1066</v>
      </c>
      <c r="E113" s="13" t="s">
        <v>1067</v>
      </c>
      <c r="F113" s="13" t="s">
        <v>1068</v>
      </c>
      <c r="G113" s="13" t="s">
        <v>1069</v>
      </c>
      <c r="H113" s="13" t="s">
        <v>1070</v>
      </c>
    </row>
    <row r="114" customFormat="false" ht="15" hidden="false" customHeight="true" outlineLevel="0" collapsed="false">
      <c r="A114" s="13" t="s">
        <v>83</v>
      </c>
      <c r="B114" s="13" t="s">
        <v>415</v>
      </c>
      <c r="C114" s="11" t="s">
        <v>416</v>
      </c>
      <c r="D114" s="13" t="s">
        <v>1071</v>
      </c>
      <c r="E114" s="13" t="s">
        <v>1072</v>
      </c>
      <c r="F114" s="13" t="s">
        <v>1073</v>
      </c>
      <c r="G114" s="13" t="s">
        <v>1074</v>
      </c>
      <c r="H114" s="13" t="s">
        <v>1075</v>
      </c>
    </row>
    <row r="115" customFormat="false" ht="15" hidden="false" customHeight="true" outlineLevel="0" collapsed="false">
      <c r="A115" s="13" t="s">
        <v>83</v>
      </c>
      <c r="B115" s="13" t="s">
        <v>422</v>
      </c>
      <c r="C115" s="11" t="s">
        <v>423</v>
      </c>
      <c r="D115" s="13" t="s">
        <v>1076</v>
      </c>
      <c r="E115" s="13" t="s">
        <v>1077</v>
      </c>
      <c r="F115" s="13" t="s">
        <v>1078</v>
      </c>
      <c r="G115" s="13" t="s">
        <v>1079</v>
      </c>
      <c r="H115" s="13" t="s">
        <v>1080</v>
      </c>
    </row>
    <row r="116" customFormat="false" ht="15" hidden="false" customHeight="true" outlineLevel="0" collapsed="false">
      <c r="A116" s="13" t="s">
        <v>83</v>
      </c>
      <c r="B116" s="13" t="s">
        <v>429</v>
      </c>
      <c r="C116" s="11" t="s">
        <v>430</v>
      </c>
      <c r="D116" s="13" t="s">
        <v>1081</v>
      </c>
      <c r="E116" s="13" t="s">
        <v>1082</v>
      </c>
      <c r="F116" s="13" t="s">
        <v>1083</v>
      </c>
      <c r="G116" s="13" t="s">
        <v>1084</v>
      </c>
      <c r="H116" s="13" t="s">
        <v>1085</v>
      </c>
    </row>
    <row r="117" customFormat="false" ht="15" hidden="false" customHeight="true" outlineLevel="0" collapsed="false">
      <c r="A117" s="13" t="s">
        <v>83</v>
      </c>
      <c r="B117" s="13" t="s">
        <v>436</v>
      </c>
      <c r="C117" s="11" t="s">
        <v>437</v>
      </c>
      <c r="D117" s="13" t="s">
        <v>1086</v>
      </c>
      <c r="E117" s="13" t="s">
        <v>1087</v>
      </c>
      <c r="F117" s="13" t="s">
        <v>1088</v>
      </c>
      <c r="G117" s="13" t="s">
        <v>1089</v>
      </c>
      <c r="H117" s="13" t="s">
        <v>1090</v>
      </c>
    </row>
    <row r="118" customFormat="false" ht="15" hidden="false" customHeight="true" outlineLevel="0" collapsed="false">
      <c r="A118" s="13" t="s">
        <v>83</v>
      </c>
      <c r="B118" s="13" t="s">
        <v>443</v>
      </c>
      <c r="C118" s="11" t="s">
        <v>444</v>
      </c>
      <c r="D118" s="13" t="s">
        <v>1091</v>
      </c>
      <c r="E118" s="13" t="s">
        <v>1092</v>
      </c>
      <c r="F118" s="13" t="s">
        <v>1093</v>
      </c>
      <c r="G118" s="13" t="s">
        <v>1094</v>
      </c>
      <c r="H118" s="13" t="s">
        <v>1095</v>
      </c>
    </row>
    <row r="119" customFormat="false" ht="15" hidden="false" customHeight="true" outlineLevel="0" collapsed="false">
      <c r="A119" s="13" t="s">
        <v>83</v>
      </c>
      <c r="B119" s="13" t="s">
        <v>450</v>
      </c>
      <c r="C119" s="11" t="s">
        <v>451</v>
      </c>
      <c r="D119" s="13" t="s">
        <v>1096</v>
      </c>
      <c r="E119" s="13" t="s">
        <v>1097</v>
      </c>
      <c r="F119" s="13" t="s">
        <v>1098</v>
      </c>
      <c r="G119" s="13" t="s">
        <v>1099</v>
      </c>
      <c r="H119" s="13" t="s">
        <v>1100</v>
      </c>
    </row>
    <row r="120" customFormat="false" ht="15" hidden="false" customHeight="true" outlineLevel="0" collapsed="false">
      <c r="A120" s="13" t="s">
        <v>83</v>
      </c>
      <c r="B120" s="13" t="s">
        <v>457</v>
      </c>
      <c r="C120" s="11" t="s">
        <v>458</v>
      </c>
      <c r="D120" s="13" t="s">
        <v>1101</v>
      </c>
      <c r="E120" s="13" t="s">
        <v>1102</v>
      </c>
      <c r="F120" s="13" t="s">
        <v>1103</v>
      </c>
      <c r="G120" s="13" t="s">
        <v>1104</v>
      </c>
      <c r="H120" s="13" t="s">
        <v>1105</v>
      </c>
    </row>
    <row r="121" customFormat="false" ht="15" hidden="false" customHeight="true" outlineLevel="0" collapsed="false">
      <c r="A121" s="13" t="s">
        <v>83</v>
      </c>
      <c r="B121" s="13" t="s">
        <v>464</v>
      </c>
      <c r="C121" s="11" t="s">
        <v>465</v>
      </c>
      <c r="D121" s="13" t="s">
        <v>1106</v>
      </c>
      <c r="E121" s="13" t="s">
        <v>1107</v>
      </c>
      <c r="F121" s="13" t="s">
        <v>1108</v>
      </c>
      <c r="G121" s="13" t="s">
        <v>1109</v>
      </c>
      <c r="H121" s="13" t="s">
        <v>1110</v>
      </c>
    </row>
    <row r="122" customFormat="false" ht="15" hidden="false" customHeight="true" outlineLevel="0" collapsed="false">
      <c r="A122" s="13" t="s">
        <v>83</v>
      </c>
      <c r="B122" s="13" t="s">
        <v>471</v>
      </c>
      <c r="C122" s="11" t="s">
        <v>472</v>
      </c>
      <c r="D122" s="13" t="s">
        <v>1111</v>
      </c>
      <c r="E122" s="13" t="s">
        <v>1112</v>
      </c>
      <c r="F122" s="13" t="s">
        <v>1113</v>
      </c>
      <c r="G122" s="13" t="s">
        <v>1114</v>
      </c>
      <c r="H122" s="13" t="s">
        <v>1115</v>
      </c>
    </row>
    <row r="123" customFormat="false" ht="15" hidden="false" customHeight="true" outlineLevel="0" collapsed="false">
      <c r="A123" s="13" t="s">
        <v>83</v>
      </c>
      <c r="B123" s="13" t="s">
        <v>478</v>
      </c>
      <c r="C123" s="11" t="s">
        <v>479</v>
      </c>
      <c r="D123" s="13" t="s">
        <v>1116</v>
      </c>
      <c r="E123" s="13" t="s">
        <v>1117</v>
      </c>
      <c r="F123" s="13" t="s">
        <v>1118</v>
      </c>
      <c r="G123" s="13" t="s">
        <v>1119</v>
      </c>
      <c r="H123" s="13" t="s">
        <v>1120</v>
      </c>
    </row>
    <row r="124" customFormat="false" ht="15" hidden="false" customHeight="true" outlineLevel="0" collapsed="false">
      <c r="A124" s="13" t="s">
        <v>83</v>
      </c>
      <c r="B124" s="13" t="s">
        <v>485</v>
      </c>
      <c r="C124" s="11" t="s">
        <v>486</v>
      </c>
      <c r="D124" s="13" t="s">
        <v>1121</v>
      </c>
      <c r="E124" s="13" t="s">
        <v>1122</v>
      </c>
      <c r="F124" s="13" t="s">
        <v>1123</v>
      </c>
      <c r="G124" s="13" t="s">
        <v>1124</v>
      </c>
      <c r="H124" s="13" t="s">
        <v>1125</v>
      </c>
    </row>
    <row r="125" customFormat="false" ht="15" hidden="false" customHeight="true" outlineLevel="0" collapsed="false">
      <c r="A125" s="13" t="s">
        <v>83</v>
      </c>
      <c r="B125" s="13" t="s">
        <v>492</v>
      </c>
      <c r="C125" s="11" t="s">
        <v>493</v>
      </c>
      <c r="D125" s="13" t="s">
        <v>1126</v>
      </c>
      <c r="E125" s="13" t="s">
        <v>1127</v>
      </c>
      <c r="F125" s="13" t="s">
        <v>1128</v>
      </c>
      <c r="G125" s="13" t="s">
        <v>1129</v>
      </c>
      <c r="H125" s="13" t="s">
        <v>1130</v>
      </c>
    </row>
    <row r="126" customFormat="false" ht="15" hidden="false" customHeight="true" outlineLevel="0" collapsed="false">
      <c r="A126" s="13" t="s">
        <v>83</v>
      </c>
      <c r="B126" s="13" t="s">
        <v>499</v>
      </c>
      <c r="C126" s="11" t="s">
        <v>500</v>
      </c>
      <c r="D126" s="13" t="s">
        <v>1131</v>
      </c>
      <c r="E126" s="13" t="s">
        <v>1132</v>
      </c>
      <c r="F126" s="13" t="s">
        <v>1133</v>
      </c>
      <c r="G126" s="13" t="s">
        <v>1134</v>
      </c>
      <c r="H126" s="13" t="s">
        <v>1135</v>
      </c>
    </row>
    <row r="127" customFormat="false" ht="15" hidden="false" customHeight="true" outlineLevel="0" collapsed="false">
      <c r="A127" s="13" t="s">
        <v>83</v>
      </c>
      <c r="B127" s="13" t="s">
        <v>506</v>
      </c>
      <c r="C127" s="11" t="s">
        <v>507</v>
      </c>
      <c r="D127" s="13" t="s">
        <v>1136</v>
      </c>
      <c r="E127" s="13" t="s">
        <v>1137</v>
      </c>
      <c r="F127" s="13" t="s">
        <v>1138</v>
      </c>
      <c r="G127" s="13" t="s">
        <v>1139</v>
      </c>
      <c r="H127" s="13" t="s">
        <v>1140</v>
      </c>
    </row>
    <row r="128" customFormat="false" ht="15" hidden="false" customHeight="true" outlineLevel="0" collapsed="false">
      <c r="A128" s="13" t="s">
        <v>83</v>
      </c>
      <c r="B128" s="13" t="s">
        <v>513</v>
      </c>
      <c r="C128" s="11" t="s">
        <v>514</v>
      </c>
      <c r="D128" s="13" t="s">
        <v>1141</v>
      </c>
      <c r="E128" s="13" t="s">
        <v>1142</v>
      </c>
      <c r="F128" s="13" t="s">
        <v>1143</v>
      </c>
      <c r="G128" s="13" t="s">
        <v>1144</v>
      </c>
      <c r="H128" s="13" t="s">
        <v>1145</v>
      </c>
    </row>
    <row r="129" customFormat="false" ht="15" hidden="false" customHeight="true" outlineLevel="0" collapsed="false">
      <c r="A129" s="13" t="s">
        <v>83</v>
      </c>
      <c r="B129" s="13" t="s">
        <v>520</v>
      </c>
      <c r="C129" s="11" t="s">
        <v>521</v>
      </c>
      <c r="D129" s="13" t="s">
        <v>1146</v>
      </c>
      <c r="E129" s="13" t="s">
        <v>1147</v>
      </c>
      <c r="F129" s="13" t="s">
        <v>1148</v>
      </c>
      <c r="G129" s="13" t="s">
        <v>1149</v>
      </c>
      <c r="H129" s="13" t="s">
        <v>1150</v>
      </c>
    </row>
    <row r="130" customFormat="false" ht="15" hidden="false" customHeight="true" outlineLevel="0" collapsed="false">
      <c r="A130" s="13" t="s">
        <v>83</v>
      </c>
      <c r="B130" s="13" t="s">
        <v>527</v>
      </c>
      <c r="C130" s="11" t="s">
        <v>528</v>
      </c>
      <c r="D130" s="13" t="s">
        <v>1151</v>
      </c>
      <c r="E130" s="13" t="s">
        <v>1152</v>
      </c>
      <c r="F130" s="13" t="s">
        <v>1153</v>
      </c>
      <c r="G130" s="13" t="s">
        <v>1154</v>
      </c>
      <c r="H130" s="13" t="s">
        <v>1155</v>
      </c>
    </row>
    <row r="131" customFormat="false" ht="15" hidden="false" customHeight="true" outlineLevel="0" collapsed="false">
      <c r="A131" s="13" t="s">
        <v>83</v>
      </c>
      <c r="B131" s="13" t="s">
        <v>534</v>
      </c>
      <c r="C131" s="11" t="s">
        <v>535</v>
      </c>
      <c r="D131" s="13" t="s">
        <v>1156</v>
      </c>
      <c r="E131" s="13" t="s">
        <v>1157</v>
      </c>
      <c r="F131" s="13" t="s">
        <v>1158</v>
      </c>
      <c r="G131" s="13" t="s">
        <v>1159</v>
      </c>
      <c r="H131" s="13" t="s">
        <v>1160</v>
      </c>
    </row>
    <row r="132" customFormat="false" ht="15" hidden="false" customHeight="true" outlineLevel="0" collapsed="false">
      <c r="A132" s="13" t="s">
        <v>83</v>
      </c>
      <c r="B132" s="13" t="s">
        <v>541</v>
      </c>
      <c r="C132" s="11" t="s">
        <v>542</v>
      </c>
      <c r="D132" s="13" t="s">
        <v>1161</v>
      </c>
      <c r="E132" s="13" t="s">
        <v>1162</v>
      </c>
      <c r="F132" s="13" t="s">
        <v>1163</v>
      </c>
      <c r="G132" s="13" t="s">
        <v>1164</v>
      </c>
      <c r="H132" s="13" t="s">
        <v>1165</v>
      </c>
    </row>
    <row r="133" customFormat="false" ht="15" hidden="false" customHeight="true" outlineLevel="0" collapsed="false">
      <c r="A133" s="13" t="s">
        <v>83</v>
      </c>
      <c r="B133" s="13" t="s">
        <v>548</v>
      </c>
      <c r="C133" s="11" t="s">
        <v>549</v>
      </c>
      <c r="D133" s="13" t="s">
        <v>1166</v>
      </c>
      <c r="E133" s="13" t="s">
        <v>1167</v>
      </c>
      <c r="F133" s="13" t="s">
        <v>1168</v>
      </c>
      <c r="G133" s="13" t="s">
        <v>1169</v>
      </c>
      <c r="H133" s="13" t="s">
        <v>1170</v>
      </c>
    </row>
    <row r="134" customFormat="false" ht="15" hidden="false" customHeight="true" outlineLevel="0" collapsed="false">
      <c r="A134" s="13" t="s">
        <v>83</v>
      </c>
      <c r="B134" s="13" t="s">
        <v>555</v>
      </c>
      <c r="C134" s="11" t="s">
        <v>556</v>
      </c>
      <c r="D134" s="13" t="s">
        <v>1171</v>
      </c>
      <c r="E134" s="13" t="s">
        <v>1172</v>
      </c>
      <c r="F134" s="13" t="s">
        <v>1173</v>
      </c>
      <c r="G134" s="13" t="s">
        <v>1174</v>
      </c>
      <c r="H134" s="13" t="s">
        <v>1175</v>
      </c>
    </row>
    <row r="135" customFormat="false" ht="15" hidden="false" customHeight="true" outlineLevel="0" collapsed="false">
      <c r="A135" s="13" t="s">
        <v>83</v>
      </c>
      <c r="B135" s="13" t="s">
        <v>562</v>
      </c>
      <c r="C135" s="11" t="s">
        <v>563</v>
      </c>
      <c r="D135" s="13" t="s">
        <v>1176</v>
      </c>
      <c r="E135" s="13" t="s">
        <v>1177</v>
      </c>
      <c r="F135" s="13" t="s">
        <v>1178</v>
      </c>
      <c r="G135" s="13" t="s">
        <v>1179</v>
      </c>
      <c r="H135" s="13" t="s">
        <v>1180</v>
      </c>
    </row>
    <row r="136" customFormat="false" ht="15" hidden="false" customHeight="true" outlineLevel="0" collapsed="false">
      <c r="A136" s="13" t="s">
        <v>83</v>
      </c>
      <c r="B136" s="13" t="s">
        <v>569</v>
      </c>
      <c r="C136" s="11" t="s">
        <v>570</v>
      </c>
      <c r="D136" s="13" t="s">
        <v>1181</v>
      </c>
      <c r="E136" s="13" t="s">
        <v>1182</v>
      </c>
      <c r="F136" s="13" t="s">
        <v>1183</v>
      </c>
      <c r="G136" s="13" t="s">
        <v>1184</v>
      </c>
      <c r="H136" s="13" t="s">
        <v>1185</v>
      </c>
    </row>
    <row r="137" customFormat="false" ht="15" hidden="false" customHeight="true" outlineLevel="0" collapsed="false">
      <c r="A137" s="13" t="s">
        <v>83</v>
      </c>
      <c r="B137" s="13" t="s">
        <v>576</v>
      </c>
      <c r="C137" s="11" t="s">
        <v>577</v>
      </c>
      <c r="D137" s="13" t="s">
        <v>1186</v>
      </c>
      <c r="E137" s="13" t="s">
        <v>1187</v>
      </c>
      <c r="F137" s="13" t="s">
        <v>1188</v>
      </c>
      <c r="G137" s="13" t="s">
        <v>1189</v>
      </c>
      <c r="H137" s="13" t="s">
        <v>1190</v>
      </c>
    </row>
    <row r="138" customFormat="false" ht="15" hidden="false" customHeight="true" outlineLevel="0" collapsed="false">
      <c r="A138" s="13" t="s">
        <v>83</v>
      </c>
      <c r="B138" s="13" t="s">
        <v>583</v>
      </c>
      <c r="C138" s="11" t="s">
        <v>584</v>
      </c>
      <c r="D138" s="13" t="s">
        <v>1191</v>
      </c>
      <c r="E138" s="13" t="s">
        <v>1192</v>
      </c>
      <c r="F138" s="13" t="s">
        <v>1193</v>
      </c>
      <c r="G138" s="13" t="s">
        <v>1194</v>
      </c>
      <c r="H138" s="13" t="s">
        <v>1195</v>
      </c>
    </row>
    <row r="139" customFormat="false" ht="15" hidden="false" customHeight="true" outlineLevel="0" collapsed="false">
      <c r="A139" s="13" t="s">
        <v>83</v>
      </c>
      <c r="B139" s="13" t="s">
        <v>590</v>
      </c>
      <c r="C139" s="11" t="s">
        <v>591</v>
      </c>
      <c r="D139" s="13" t="s">
        <v>1196</v>
      </c>
      <c r="E139" s="13" t="s">
        <v>1197</v>
      </c>
      <c r="F139" s="13" t="s">
        <v>1198</v>
      </c>
      <c r="G139" s="13" t="s">
        <v>1199</v>
      </c>
      <c r="H139" s="13" t="s">
        <v>1200</v>
      </c>
    </row>
    <row r="140" customFormat="false" ht="15" hidden="false" customHeight="true" outlineLevel="0" collapsed="false">
      <c r="A140" s="13" t="s">
        <v>83</v>
      </c>
      <c r="B140" s="13" t="s">
        <v>597</v>
      </c>
      <c r="C140" s="11" t="s">
        <v>598</v>
      </c>
      <c r="D140" s="13" t="s">
        <v>1201</v>
      </c>
      <c r="E140" s="13" t="s">
        <v>1202</v>
      </c>
      <c r="F140" s="13" t="s">
        <v>1203</v>
      </c>
      <c r="G140" s="13" t="s">
        <v>1204</v>
      </c>
      <c r="H140" s="13" t="s">
        <v>1205</v>
      </c>
    </row>
    <row r="141" customFormat="false" ht="15" hidden="false" customHeight="true" outlineLevel="0" collapsed="false">
      <c r="A141" s="13" t="s">
        <v>83</v>
      </c>
      <c r="B141" s="13" t="s">
        <v>604</v>
      </c>
      <c r="C141" s="11" t="s">
        <v>605</v>
      </c>
      <c r="D141" s="13" t="s">
        <v>1206</v>
      </c>
      <c r="E141" s="13" t="s">
        <v>1207</v>
      </c>
      <c r="F141" s="13" t="s">
        <v>1208</v>
      </c>
      <c r="G141" s="13" t="s">
        <v>1209</v>
      </c>
      <c r="H141" s="13" t="s">
        <v>1210</v>
      </c>
    </row>
    <row r="142" customFormat="false" ht="15" hidden="false" customHeight="true" outlineLevel="0" collapsed="false">
      <c r="A142" s="13" t="s">
        <v>83</v>
      </c>
      <c r="B142" s="13" t="s">
        <v>611</v>
      </c>
      <c r="C142" s="11" t="s">
        <v>612</v>
      </c>
      <c r="D142" s="13" t="s">
        <v>1211</v>
      </c>
      <c r="E142" s="13" t="s">
        <v>1212</v>
      </c>
      <c r="F142" s="13" t="s">
        <v>1213</v>
      </c>
      <c r="G142" s="13" t="s">
        <v>1214</v>
      </c>
      <c r="H142" s="13" t="s">
        <v>1215</v>
      </c>
    </row>
    <row r="143" customFormat="false" ht="15" hidden="false" customHeight="true" outlineLevel="0" collapsed="false">
      <c r="A143" s="13" t="s">
        <v>83</v>
      </c>
      <c r="B143" s="13" t="s">
        <v>618</v>
      </c>
      <c r="C143" s="11" t="s">
        <v>619</v>
      </c>
      <c r="D143" s="13" t="s">
        <v>1216</v>
      </c>
      <c r="E143" s="13" t="s">
        <v>1217</v>
      </c>
      <c r="F143" s="13" t="s">
        <v>1218</v>
      </c>
      <c r="G143" s="13" t="s">
        <v>1219</v>
      </c>
      <c r="H143" s="13" t="s">
        <v>1220</v>
      </c>
    </row>
    <row r="144" customFormat="false" ht="15" hidden="false" customHeight="true" outlineLevel="0" collapsed="false">
      <c r="A144" s="13" t="s">
        <v>83</v>
      </c>
      <c r="B144" s="13" t="s">
        <v>625</v>
      </c>
      <c r="C144" s="11" t="s">
        <v>626</v>
      </c>
      <c r="D144" s="13" t="s">
        <v>1221</v>
      </c>
      <c r="E144" s="13" t="s">
        <v>1222</v>
      </c>
      <c r="F144" s="13" t="s">
        <v>1223</v>
      </c>
      <c r="G144" s="13" t="s">
        <v>1224</v>
      </c>
      <c r="H144" s="13" t="s">
        <v>1225</v>
      </c>
    </row>
    <row r="145" customFormat="false" ht="15" hidden="false" customHeight="true" outlineLevel="0" collapsed="false">
      <c r="A145" s="13" t="s">
        <v>83</v>
      </c>
      <c r="B145" s="13" t="s">
        <v>632</v>
      </c>
      <c r="C145" s="11" t="s">
        <v>633</v>
      </c>
      <c r="D145" s="13" t="s">
        <v>1226</v>
      </c>
      <c r="E145" s="13" t="s">
        <v>1227</v>
      </c>
      <c r="F145" s="13" t="s">
        <v>1228</v>
      </c>
      <c r="G145" s="13" t="s">
        <v>1229</v>
      </c>
      <c r="H145" s="13" t="s">
        <v>1230</v>
      </c>
    </row>
    <row r="146" customFormat="false" ht="15" hidden="false" customHeight="true" outlineLevel="0" collapsed="false">
      <c r="A146" s="13" t="s">
        <v>83</v>
      </c>
      <c r="B146" s="13" t="s">
        <v>639</v>
      </c>
      <c r="C146" s="11" t="s">
        <v>640</v>
      </c>
      <c r="D146" s="13" t="s">
        <v>1231</v>
      </c>
      <c r="E146" s="13" t="s">
        <v>1232</v>
      </c>
      <c r="F146" s="13" t="s">
        <v>1233</v>
      </c>
      <c r="G146" s="13" t="s">
        <v>1234</v>
      </c>
      <c r="H146" s="13" t="s">
        <v>1235</v>
      </c>
    </row>
    <row r="147" customFormat="false" ht="15" hidden="false" customHeight="true" outlineLevel="0" collapsed="false">
      <c r="A147" s="13" t="s">
        <v>83</v>
      </c>
      <c r="B147" s="13" t="s">
        <v>646</v>
      </c>
      <c r="C147" s="11" t="s">
        <v>647</v>
      </c>
      <c r="D147" s="13" t="s">
        <v>1236</v>
      </c>
      <c r="E147" s="13" t="s">
        <v>1237</v>
      </c>
      <c r="F147" s="13" t="s">
        <v>1238</v>
      </c>
      <c r="G147" s="13" t="s">
        <v>1239</v>
      </c>
      <c r="H147" s="13" t="s">
        <v>1240</v>
      </c>
    </row>
    <row r="148" customFormat="false" ht="15" hidden="false" customHeight="true" outlineLevel="0" collapsed="false">
      <c r="A148" s="13" t="s">
        <v>83</v>
      </c>
      <c r="B148" s="13" t="s">
        <v>653</v>
      </c>
      <c r="C148" s="11" t="s">
        <v>654</v>
      </c>
      <c r="D148" s="13" t="s">
        <v>1241</v>
      </c>
      <c r="E148" s="13" t="s">
        <v>1242</v>
      </c>
      <c r="F148" s="13" t="s">
        <v>1243</v>
      </c>
      <c r="G148" s="13" t="s">
        <v>1244</v>
      </c>
      <c r="H148" s="13" t="s">
        <v>1245</v>
      </c>
    </row>
    <row r="149" customFormat="false" ht="15" hidden="false" customHeight="true" outlineLevel="0" collapsed="false">
      <c r="A149" s="13" t="s">
        <v>83</v>
      </c>
      <c r="B149" s="13" t="s">
        <v>660</v>
      </c>
      <c r="C149" s="11" t="s">
        <v>661</v>
      </c>
      <c r="D149" s="13" t="s">
        <v>347</v>
      </c>
      <c r="E149" s="13" t="s">
        <v>1246</v>
      </c>
      <c r="F149" s="13" t="s">
        <v>1247</v>
      </c>
      <c r="G149" s="13" t="s">
        <v>1248</v>
      </c>
      <c r="H149" s="13" t="s">
        <v>1249</v>
      </c>
    </row>
    <row r="150" customFormat="false" ht="15" hidden="false" customHeight="true" outlineLevel="0" collapsed="false">
      <c r="A150" s="13" t="s">
        <v>83</v>
      </c>
      <c r="B150" s="13" t="s">
        <v>667</v>
      </c>
      <c r="C150" s="11" t="s">
        <v>668</v>
      </c>
      <c r="D150" s="13" t="s">
        <v>1250</v>
      </c>
      <c r="E150" s="13" t="s">
        <v>1251</v>
      </c>
      <c r="F150" s="13" t="s">
        <v>1252</v>
      </c>
      <c r="G150" s="13" t="s">
        <v>1253</v>
      </c>
      <c r="H150" s="13" t="s">
        <v>1254</v>
      </c>
    </row>
    <row r="151" customFormat="false" ht="15" hidden="false" customHeight="true" outlineLevel="0" collapsed="false">
      <c r="A151" s="13" t="s">
        <v>83</v>
      </c>
      <c r="B151" s="13" t="s">
        <v>674</v>
      </c>
      <c r="C151" s="11" t="s">
        <v>675</v>
      </c>
      <c r="D151" s="13" t="s">
        <v>1255</v>
      </c>
      <c r="E151" s="13" t="s">
        <v>1256</v>
      </c>
      <c r="F151" s="13" t="s">
        <v>1257</v>
      </c>
      <c r="G151" s="13" t="s">
        <v>1258</v>
      </c>
      <c r="H151" s="13" t="s">
        <v>1259</v>
      </c>
    </row>
    <row r="152" customFormat="false" ht="15" hidden="false" customHeight="true" outlineLevel="0" collapsed="false">
      <c r="A152" s="13" t="s">
        <v>83</v>
      </c>
      <c r="B152" s="13" t="s">
        <v>681</v>
      </c>
      <c r="C152" s="11" t="s">
        <v>682</v>
      </c>
      <c r="D152" s="13" t="s">
        <v>1260</v>
      </c>
      <c r="E152" s="13" t="s">
        <v>1261</v>
      </c>
      <c r="F152" s="13" t="s">
        <v>1262</v>
      </c>
      <c r="G152" s="13" t="s">
        <v>1263</v>
      </c>
      <c r="H152" s="13" t="s">
        <v>1264</v>
      </c>
    </row>
    <row r="153" customFormat="false" ht="15" hidden="false" customHeight="true" outlineLevel="0" collapsed="false">
      <c r="A153" s="13" t="s">
        <v>83</v>
      </c>
      <c r="B153" s="13" t="s">
        <v>688</v>
      </c>
      <c r="C153" s="11" t="s">
        <v>689</v>
      </c>
      <c r="D153" s="13" t="s">
        <v>1265</v>
      </c>
      <c r="E153" s="13" t="s">
        <v>1266</v>
      </c>
      <c r="F153" s="13" t="s">
        <v>1267</v>
      </c>
      <c r="G153" s="13" t="s">
        <v>1268</v>
      </c>
      <c r="H153" s="13" t="s">
        <v>1269</v>
      </c>
    </row>
    <row r="154" customFormat="false" ht="15" hidden="false" customHeight="true" outlineLevel="0" collapsed="false">
      <c r="A154" s="13" t="s">
        <v>83</v>
      </c>
      <c r="B154" s="13" t="s">
        <v>695</v>
      </c>
      <c r="C154" s="11" t="s">
        <v>696</v>
      </c>
      <c r="D154" s="13" t="s">
        <v>1270</v>
      </c>
      <c r="E154" s="13" t="s">
        <v>1271</v>
      </c>
      <c r="F154" s="13" t="s">
        <v>1272</v>
      </c>
      <c r="G154" s="13" t="s">
        <v>1273</v>
      </c>
      <c r="H154" s="13" t="s">
        <v>1274</v>
      </c>
    </row>
    <row r="155" customFormat="false" ht="15" hidden="false" customHeight="true" outlineLevel="0" collapsed="false">
      <c r="A155" s="13" t="s">
        <v>83</v>
      </c>
      <c r="B155" s="13" t="s">
        <v>702</v>
      </c>
      <c r="C155" s="11" t="s">
        <v>703</v>
      </c>
      <c r="D155" s="13" t="s">
        <v>1275</v>
      </c>
      <c r="E155" s="13" t="s">
        <v>1276</v>
      </c>
      <c r="F155" s="13" t="s">
        <v>1277</v>
      </c>
      <c r="G155" s="13" t="s">
        <v>1278</v>
      </c>
      <c r="H155" s="13" t="s">
        <v>1279</v>
      </c>
    </row>
    <row r="156" customFormat="false" ht="15" hidden="false" customHeight="true" outlineLevel="0" collapsed="false">
      <c r="A156" s="13" t="s">
        <v>83</v>
      </c>
      <c r="B156" s="13" t="s">
        <v>709</v>
      </c>
      <c r="C156" s="11" t="s">
        <v>710</v>
      </c>
      <c r="D156" s="13" t="s">
        <v>1280</v>
      </c>
      <c r="E156" s="13" t="s">
        <v>1281</v>
      </c>
      <c r="F156" s="13" t="s">
        <v>1282</v>
      </c>
      <c r="G156" s="13" t="s">
        <v>1283</v>
      </c>
      <c r="H156" s="13" t="s">
        <v>1284</v>
      </c>
    </row>
    <row r="157" customFormat="false" ht="15" hidden="false" customHeight="true" outlineLevel="0" collapsed="false">
      <c r="A157" s="13" t="s">
        <v>83</v>
      </c>
      <c r="B157" s="13" t="s">
        <v>716</v>
      </c>
      <c r="C157" s="11" t="s">
        <v>717</v>
      </c>
      <c r="D157" s="13" t="s">
        <v>1285</v>
      </c>
      <c r="E157" s="13" t="s">
        <v>1286</v>
      </c>
      <c r="F157" s="13" t="s">
        <v>1287</v>
      </c>
      <c r="G157" s="13" t="s">
        <v>1288</v>
      </c>
      <c r="H157" s="13" t="s">
        <v>1289</v>
      </c>
    </row>
    <row r="158" customFormat="false" ht="15" hidden="false" customHeight="true" outlineLevel="0" collapsed="false">
      <c r="A158" s="13" t="s">
        <v>83</v>
      </c>
      <c r="B158" s="13" t="s">
        <v>723</v>
      </c>
      <c r="C158" s="11" t="s">
        <v>724</v>
      </c>
      <c r="D158" s="13" t="s">
        <v>1290</v>
      </c>
      <c r="E158" s="13" t="s">
        <v>1291</v>
      </c>
      <c r="F158" s="13" t="s">
        <v>1292</v>
      </c>
      <c r="G158" s="13" t="s">
        <v>1293</v>
      </c>
      <c r="H158" s="13" t="s">
        <v>1294</v>
      </c>
    </row>
    <row r="159" customFormat="false" ht="15" hidden="false" customHeight="true" outlineLevel="0" collapsed="false">
      <c r="A159" s="13" t="s">
        <v>83</v>
      </c>
      <c r="B159" s="13" t="s">
        <v>730</v>
      </c>
      <c r="C159" s="11" t="s">
        <v>731</v>
      </c>
      <c r="D159" s="13" t="s">
        <v>1295</v>
      </c>
      <c r="E159" s="13" t="s">
        <v>1296</v>
      </c>
      <c r="F159" s="13" t="s">
        <v>1297</v>
      </c>
      <c r="G159" s="13" t="s">
        <v>1298</v>
      </c>
      <c r="H159" s="13" t="s">
        <v>1299</v>
      </c>
    </row>
    <row r="160" customFormat="false" ht="15" hidden="false" customHeight="true" outlineLevel="0" collapsed="false">
      <c r="A160" s="13" t="s">
        <v>83</v>
      </c>
      <c r="B160" s="13" t="s">
        <v>737</v>
      </c>
      <c r="C160" s="11" t="s">
        <v>738</v>
      </c>
      <c r="D160" s="13" t="s">
        <v>1300</v>
      </c>
      <c r="E160" s="13" t="s">
        <v>1301</v>
      </c>
      <c r="F160" s="13" t="s">
        <v>1302</v>
      </c>
      <c r="G160" s="13" t="s">
        <v>1303</v>
      </c>
      <c r="H160" s="13" t="s">
        <v>1304</v>
      </c>
    </row>
    <row r="161" customFormat="false" ht="15" hidden="false" customHeight="true" outlineLevel="0" collapsed="false">
      <c r="A161" s="13" t="s">
        <v>83</v>
      </c>
      <c r="B161" s="13" t="s">
        <v>744</v>
      </c>
      <c r="C161" s="11" t="s">
        <v>745</v>
      </c>
      <c r="D161" s="13" t="s">
        <v>1305</v>
      </c>
      <c r="E161" s="13" t="s">
        <v>1306</v>
      </c>
      <c r="F161" s="13" t="s">
        <v>1307</v>
      </c>
      <c r="G161" s="13" t="s">
        <v>1308</v>
      </c>
      <c r="H161" s="13" t="s">
        <v>1309</v>
      </c>
    </row>
    <row r="162" customFormat="false" ht="15" hidden="false" customHeight="true" outlineLevel="0" collapsed="false">
      <c r="A162" s="13" t="s">
        <v>83</v>
      </c>
      <c r="B162" s="13" t="s">
        <v>751</v>
      </c>
      <c r="C162" s="11" t="s">
        <v>752</v>
      </c>
      <c r="D162" s="13" t="s">
        <v>1310</v>
      </c>
      <c r="E162" s="13" t="s">
        <v>1311</v>
      </c>
      <c r="F162" s="13" t="s">
        <v>1312</v>
      </c>
      <c r="G162" s="13" t="s">
        <v>1313</v>
      </c>
      <c r="H162" s="13" t="s">
        <v>1314</v>
      </c>
    </row>
    <row r="163" customFormat="false" ht="15" hidden="false" customHeight="true" outlineLevel="0" collapsed="false">
      <c r="A163" s="13" t="s">
        <v>83</v>
      </c>
      <c r="B163" s="13" t="s">
        <v>758</v>
      </c>
      <c r="C163" s="11" t="s">
        <v>759</v>
      </c>
      <c r="D163" s="13" t="s">
        <v>1315</v>
      </c>
      <c r="E163" s="13" t="s">
        <v>1316</v>
      </c>
      <c r="F163" s="13" t="s">
        <v>1317</v>
      </c>
      <c r="G163" s="13" t="s">
        <v>1318</v>
      </c>
      <c r="H163" s="13" t="s">
        <v>1319</v>
      </c>
    </row>
    <row r="164" customFormat="false" ht="15" hidden="false" customHeight="true" outlineLevel="0" collapsed="false">
      <c r="A164" s="13" t="s">
        <v>83</v>
      </c>
      <c r="B164" s="13" t="s">
        <v>765</v>
      </c>
      <c r="C164" s="11" t="s">
        <v>766</v>
      </c>
      <c r="D164" s="13" t="s">
        <v>1320</v>
      </c>
      <c r="E164" s="13" t="s">
        <v>1321</v>
      </c>
      <c r="F164" s="13" t="s">
        <v>1322</v>
      </c>
      <c r="G164" s="13" t="s">
        <v>1323</v>
      </c>
      <c r="H164" s="13" t="s">
        <v>1324</v>
      </c>
    </row>
    <row r="165" customFormat="false" ht="15" hidden="false" customHeight="true" outlineLevel="0" collapsed="false">
      <c r="A165" s="13" t="s">
        <v>83</v>
      </c>
      <c r="B165" s="13" t="s">
        <v>772</v>
      </c>
      <c r="C165" s="11" t="s">
        <v>773</v>
      </c>
      <c r="D165" s="13" t="s">
        <v>1325</v>
      </c>
      <c r="E165" s="13" t="s">
        <v>1326</v>
      </c>
      <c r="F165" s="13" t="s">
        <v>1327</v>
      </c>
      <c r="G165" s="13" t="s">
        <v>1328</v>
      </c>
      <c r="H165" s="13" t="s">
        <v>1329</v>
      </c>
    </row>
    <row r="166" customFormat="false" ht="15" hidden="false" customHeight="true" outlineLevel="0" collapsed="false">
      <c r="A166" s="13" t="s">
        <v>83</v>
      </c>
      <c r="B166" s="13" t="s">
        <v>779</v>
      </c>
      <c r="C166" s="11" t="s">
        <v>780</v>
      </c>
      <c r="D166" s="13" t="s">
        <v>1330</v>
      </c>
      <c r="E166" s="13" t="s">
        <v>1331</v>
      </c>
      <c r="F166" s="13" t="s">
        <v>1332</v>
      </c>
      <c r="G166" s="13" t="s">
        <v>1333</v>
      </c>
      <c r="H166" s="13" t="s">
        <v>1334</v>
      </c>
    </row>
    <row r="167" customFormat="false" ht="15" hidden="false" customHeight="true" outlineLevel="0" collapsed="false">
      <c r="A167" s="13" t="s">
        <v>83</v>
      </c>
      <c r="B167" s="13" t="s">
        <v>786</v>
      </c>
      <c r="C167" s="11" t="s">
        <v>787</v>
      </c>
      <c r="D167" s="13" t="s">
        <v>1335</v>
      </c>
      <c r="E167" s="13" t="s">
        <v>1336</v>
      </c>
      <c r="F167" s="13" t="s">
        <v>1337</v>
      </c>
      <c r="G167" s="13" t="s">
        <v>1338</v>
      </c>
      <c r="H167" s="13" t="s">
        <v>1339</v>
      </c>
    </row>
    <row r="168" customFormat="false" ht="15" hidden="false" customHeight="true" outlineLevel="0" collapsed="false">
      <c r="A168" s="13" t="s">
        <v>83</v>
      </c>
      <c r="B168" s="13" t="s">
        <v>793</v>
      </c>
      <c r="C168" s="11" t="s">
        <v>794</v>
      </c>
      <c r="D168" s="13" t="s">
        <v>1340</v>
      </c>
      <c r="E168" s="13" t="s">
        <v>1341</v>
      </c>
      <c r="F168" s="13" t="s">
        <v>1342</v>
      </c>
      <c r="G168" s="13" t="s">
        <v>1343</v>
      </c>
      <c r="H168" s="13" t="s">
        <v>1344</v>
      </c>
    </row>
    <row r="169" customFormat="false" ht="15" hidden="false" customHeight="true" outlineLevel="0" collapsed="false">
      <c r="A169" s="13" t="s">
        <v>83</v>
      </c>
      <c r="B169" s="13" t="s">
        <v>800</v>
      </c>
      <c r="C169" s="11" t="s">
        <v>801</v>
      </c>
      <c r="D169" s="13" t="s">
        <v>1345</v>
      </c>
      <c r="E169" s="13" t="s">
        <v>1346</v>
      </c>
      <c r="F169" s="13" t="s">
        <v>1347</v>
      </c>
      <c r="G169" s="13" t="s">
        <v>1348</v>
      </c>
      <c r="H169" s="13" t="s">
        <v>1349</v>
      </c>
    </row>
    <row r="170" customFormat="false" ht="15" hidden="false" customHeight="true" outlineLevel="0" collapsed="false">
      <c r="A170" s="13" t="s">
        <v>83</v>
      </c>
      <c r="B170" s="13" t="s">
        <v>806</v>
      </c>
      <c r="C170" s="11" t="s">
        <v>807</v>
      </c>
      <c r="D170" s="13" t="s">
        <v>1350</v>
      </c>
      <c r="E170" s="13" t="s">
        <v>1351</v>
      </c>
      <c r="F170" s="13" t="s">
        <v>1352</v>
      </c>
      <c r="G170" s="13" t="s">
        <v>1353</v>
      </c>
      <c r="H170" s="13" t="s">
        <v>1354</v>
      </c>
    </row>
    <row r="171" customFormat="false" ht="15" hidden="false" customHeight="true" outlineLevel="0" collapsed="false">
      <c r="A171" s="13" t="s">
        <v>83</v>
      </c>
      <c r="B171" s="13" t="s">
        <v>813</v>
      </c>
      <c r="C171" s="11" t="s">
        <v>814</v>
      </c>
      <c r="D171" s="13" t="s">
        <v>1355</v>
      </c>
      <c r="E171" s="13" t="s">
        <v>1356</v>
      </c>
      <c r="F171" s="13" t="s">
        <v>1357</v>
      </c>
      <c r="G171" s="13" t="s">
        <v>1358</v>
      </c>
      <c r="H171" s="13" t="s">
        <v>1359</v>
      </c>
    </row>
    <row r="172" customFormat="false" ht="15" hidden="false" customHeight="true" outlineLevel="0" collapsed="false">
      <c r="A172" s="13" t="s">
        <v>83</v>
      </c>
      <c r="B172" s="13" t="s">
        <v>820</v>
      </c>
      <c r="C172" s="11" t="s">
        <v>821</v>
      </c>
      <c r="D172" s="13" t="s">
        <v>1360</v>
      </c>
      <c r="E172" s="13" t="s">
        <v>1361</v>
      </c>
      <c r="F172" s="13" t="s">
        <v>1362</v>
      </c>
      <c r="G172" s="13" t="s">
        <v>1363</v>
      </c>
      <c r="H172" s="13" t="s">
        <v>1364</v>
      </c>
    </row>
    <row r="173" customFormat="false" ht="15" hidden="false" customHeight="true" outlineLevel="0" collapsed="false">
      <c r="A173" s="13" t="s">
        <v>83</v>
      </c>
      <c r="B173" s="13" t="s">
        <v>827</v>
      </c>
      <c r="C173" s="11" t="s">
        <v>828</v>
      </c>
      <c r="D173" s="13" t="s">
        <v>1365</v>
      </c>
      <c r="E173" s="13" t="s">
        <v>1366</v>
      </c>
      <c r="F173" s="13" t="s">
        <v>1367</v>
      </c>
      <c r="G173" s="13" t="s">
        <v>1368</v>
      </c>
      <c r="H173" s="13" t="s">
        <v>1369</v>
      </c>
    </row>
    <row r="174" customFormat="false" ht="15" hidden="false" customHeight="true" outlineLevel="0" collapsed="false">
      <c r="A174" s="13" t="s">
        <v>83</v>
      </c>
      <c r="B174" s="13" t="s">
        <v>834</v>
      </c>
      <c r="C174" s="11" t="s">
        <v>835</v>
      </c>
      <c r="D174" s="13" t="s">
        <v>1370</v>
      </c>
      <c r="E174" s="13" t="s">
        <v>1371</v>
      </c>
      <c r="F174" s="13" t="s">
        <v>1372</v>
      </c>
      <c r="G174" s="13" t="s">
        <v>1373</v>
      </c>
      <c r="H174" s="13" t="s">
        <v>1374</v>
      </c>
    </row>
    <row r="175" customFormat="false" ht="15" hidden="false" customHeight="true" outlineLevel="0" collapsed="false">
      <c r="A175" s="13" t="s">
        <v>83</v>
      </c>
      <c r="B175" s="13" t="s">
        <v>841</v>
      </c>
      <c r="C175" s="11" t="s">
        <v>842</v>
      </c>
      <c r="D175" s="13" t="s">
        <v>1375</v>
      </c>
      <c r="E175" s="13" t="s">
        <v>1376</v>
      </c>
      <c r="F175" s="13" t="s">
        <v>1377</v>
      </c>
      <c r="G175" s="13" t="s">
        <v>1378</v>
      </c>
      <c r="H175" s="13" t="s">
        <v>1379</v>
      </c>
    </row>
    <row r="176" customFormat="false" ht="15" hidden="false" customHeight="true" outlineLevel="0" collapsed="false">
      <c r="A176" s="13" t="s">
        <v>83</v>
      </c>
      <c r="B176" s="13" t="s">
        <v>848</v>
      </c>
      <c r="C176" s="11" t="s">
        <v>849</v>
      </c>
      <c r="D176" s="13" t="s">
        <v>1380</v>
      </c>
      <c r="E176" s="13" t="s">
        <v>1381</v>
      </c>
      <c r="F176" s="13" t="s">
        <v>1382</v>
      </c>
      <c r="G176" s="13" t="s">
        <v>1383</v>
      </c>
      <c r="H176" s="13" t="s">
        <v>1384</v>
      </c>
    </row>
    <row r="177" customFormat="false" ht="15" hidden="false" customHeight="true" outlineLevel="0" collapsed="false">
      <c r="A177" s="13" t="s">
        <v>83</v>
      </c>
      <c r="B177" s="13" t="s">
        <v>855</v>
      </c>
      <c r="C177" s="11" t="s">
        <v>856</v>
      </c>
      <c r="D177" s="13" t="s">
        <v>1385</v>
      </c>
      <c r="E177" s="13" t="s">
        <v>1386</v>
      </c>
      <c r="F177" s="13" t="s">
        <v>1387</v>
      </c>
      <c r="G177" s="13" t="s">
        <v>1388</v>
      </c>
      <c r="H177" s="13" t="s">
        <v>1389</v>
      </c>
    </row>
    <row r="178" customFormat="false" ht="15" hidden="false" customHeight="true" outlineLevel="0" collapsed="false">
      <c r="A178" s="13" t="s">
        <v>83</v>
      </c>
      <c r="B178" s="13" t="s">
        <v>862</v>
      </c>
      <c r="C178" s="11" t="s">
        <v>863</v>
      </c>
      <c r="D178" s="13" t="s">
        <v>1390</v>
      </c>
      <c r="E178" s="13" t="s">
        <v>1391</v>
      </c>
      <c r="F178" s="13" t="s">
        <v>1392</v>
      </c>
      <c r="G178" s="13" t="s">
        <v>1393</v>
      </c>
      <c r="H178" s="13" t="s">
        <v>1394</v>
      </c>
    </row>
    <row r="179" customFormat="false" ht="15" hidden="false" customHeight="true" outlineLevel="0" collapsed="false">
      <c r="A179" s="13" t="s">
        <v>83</v>
      </c>
      <c r="B179" s="13" t="s">
        <v>869</v>
      </c>
      <c r="C179" s="11" t="s">
        <v>870</v>
      </c>
      <c r="D179" s="13" t="s">
        <v>1395</v>
      </c>
      <c r="E179" s="13" t="s">
        <v>1396</v>
      </c>
      <c r="F179" s="13" t="s">
        <v>1397</v>
      </c>
      <c r="G179" s="13" t="s">
        <v>1398</v>
      </c>
      <c r="H179" s="13" t="s">
        <v>1399</v>
      </c>
    </row>
    <row r="180" customFormat="false" ht="15" hidden="false" customHeight="true" outlineLevel="0" collapsed="false">
      <c r="A180" s="13" t="s">
        <v>83</v>
      </c>
      <c r="B180" s="13" t="s">
        <v>876</v>
      </c>
      <c r="C180" s="11" t="s">
        <v>877</v>
      </c>
      <c r="D180" s="13" t="s">
        <v>1400</v>
      </c>
      <c r="E180" s="13" t="s">
        <v>1401</v>
      </c>
      <c r="F180" s="13" t="s">
        <v>1402</v>
      </c>
      <c r="G180" s="13" t="s">
        <v>1403</v>
      </c>
      <c r="H180" s="13" t="s">
        <v>1404</v>
      </c>
    </row>
    <row r="181" customFormat="false" ht="15" hidden="false" customHeight="true" outlineLevel="0" collapsed="false">
      <c r="A181" s="13" t="s">
        <v>83</v>
      </c>
      <c r="B181" s="13" t="s">
        <v>883</v>
      </c>
      <c r="C181" s="11" t="s">
        <v>884</v>
      </c>
      <c r="D181" s="13" t="s">
        <v>1405</v>
      </c>
      <c r="E181" s="13" t="s">
        <v>1406</v>
      </c>
      <c r="F181" s="13" t="s">
        <v>1407</v>
      </c>
      <c r="G181" s="13" t="s">
        <v>1408</v>
      </c>
      <c r="H181" s="13" t="s">
        <v>1409</v>
      </c>
    </row>
    <row r="182" customFormat="false" ht="15" hidden="false" customHeight="true" outlineLevel="0" collapsed="false">
      <c r="A182" s="13" t="s">
        <v>83</v>
      </c>
      <c r="B182" s="13" t="s">
        <v>890</v>
      </c>
      <c r="C182" s="11" t="s">
        <v>891</v>
      </c>
      <c r="D182" s="13" t="s">
        <v>1410</v>
      </c>
      <c r="E182" s="13" t="s">
        <v>1411</v>
      </c>
      <c r="F182" s="13" t="s">
        <v>1412</v>
      </c>
      <c r="G182" s="13" t="s">
        <v>1413</v>
      </c>
      <c r="H182" s="13" t="s">
        <v>1414</v>
      </c>
    </row>
    <row r="183" customFormat="false" ht="15" hidden="false" customHeight="true" outlineLevel="0" collapsed="false">
      <c r="A183" s="13" t="s">
        <v>83</v>
      </c>
      <c r="B183" s="13" t="s">
        <v>897</v>
      </c>
      <c r="C183" s="11" t="s">
        <v>898</v>
      </c>
      <c r="D183" s="13" t="s">
        <v>1415</v>
      </c>
      <c r="E183" s="13" t="s">
        <v>1416</v>
      </c>
      <c r="F183" s="13" t="s">
        <v>1417</v>
      </c>
      <c r="G183" s="13" t="s">
        <v>1418</v>
      </c>
      <c r="H183" s="13" t="s">
        <v>1419</v>
      </c>
    </row>
    <row r="184" customFormat="false" ht="15" hidden="false" customHeight="true" outlineLevel="0" collapsed="false">
      <c r="A184" s="13" t="s">
        <v>83</v>
      </c>
      <c r="B184" s="13" t="s">
        <v>904</v>
      </c>
      <c r="C184" s="11" t="s">
        <v>905</v>
      </c>
      <c r="D184" s="13" t="s">
        <v>1420</v>
      </c>
      <c r="E184" s="13" t="s">
        <v>1421</v>
      </c>
      <c r="F184" s="13" t="s">
        <v>1422</v>
      </c>
      <c r="G184" s="13" t="s">
        <v>1423</v>
      </c>
      <c r="H184" s="13" t="s">
        <v>1424</v>
      </c>
    </row>
    <row r="185" customFormat="false" ht="15" hidden="false" customHeight="true" outlineLevel="0" collapsed="false">
      <c r="A185" s="13" t="s">
        <v>83</v>
      </c>
      <c r="B185" s="13" t="s">
        <v>911</v>
      </c>
      <c r="C185" s="11" t="s">
        <v>912</v>
      </c>
      <c r="D185" s="13" t="s">
        <v>1425</v>
      </c>
      <c r="E185" s="13" t="s">
        <v>1426</v>
      </c>
      <c r="F185" s="13" t="s">
        <v>1427</v>
      </c>
      <c r="G185" s="13" t="s">
        <v>1428</v>
      </c>
      <c r="H185" s="13" t="s">
        <v>1429</v>
      </c>
    </row>
    <row r="186" customFormat="false" ht="15" hidden="false" customHeight="true" outlineLevel="0" collapsed="false">
      <c r="A186" s="13" t="s">
        <v>83</v>
      </c>
      <c r="B186" s="13" t="s">
        <v>918</v>
      </c>
      <c r="C186" s="11" t="s">
        <v>919</v>
      </c>
      <c r="D186" s="13" t="s">
        <v>1430</v>
      </c>
      <c r="E186" s="13" t="s">
        <v>1431</v>
      </c>
      <c r="F186" s="13" t="s">
        <v>1432</v>
      </c>
      <c r="G186" s="13" t="s">
        <v>1433</v>
      </c>
      <c r="H186" s="13" t="s">
        <v>1434</v>
      </c>
    </row>
    <row r="187" customFormat="false" ht="15" hidden="false" customHeight="true" outlineLevel="0" collapsed="false">
      <c r="A187" s="13" t="s">
        <v>83</v>
      </c>
      <c r="B187" s="13" t="s">
        <v>925</v>
      </c>
      <c r="C187" s="11" t="s">
        <v>926</v>
      </c>
      <c r="D187" s="13" t="s">
        <v>1435</v>
      </c>
      <c r="E187" s="13" t="s">
        <v>1436</v>
      </c>
      <c r="F187" s="13" t="s">
        <v>1437</v>
      </c>
      <c r="G187" s="13" t="s">
        <v>1438</v>
      </c>
      <c r="H187" s="13" t="s">
        <v>1439</v>
      </c>
    </row>
    <row r="188" customFormat="false" ht="15" hidden="false" customHeight="true" outlineLevel="0" collapsed="false">
      <c r="A188" s="13" t="s">
        <v>83</v>
      </c>
      <c r="B188" s="13" t="s">
        <v>932</v>
      </c>
      <c r="C188" s="11" t="s">
        <v>933</v>
      </c>
      <c r="D188" s="13" t="s">
        <v>1440</v>
      </c>
      <c r="E188" s="13" t="s">
        <v>1441</v>
      </c>
      <c r="F188" s="13" t="s">
        <v>1442</v>
      </c>
      <c r="G188" s="13" t="s">
        <v>1443</v>
      </c>
      <c r="H188" s="13" t="s">
        <v>1444</v>
      </c>
    </row>
    <row r="189" customFormat="false" ht="15" hidden="false" customHeight="true" outlineLevel="0" collapsed="false">
      <c r="A189" s="13" t="s">
        <v>83</v>
      </c>
      <c r="B189" s="13" t="s">
        <v>939</v>
      </c>
      <c r="C189" s="11" t="s">
        <v>940</v>
      </c>
      <c r="D189" s="13" t="s">
        <v>1445</v>
      </c>
      <c r="E189" s="13" t="s">
        <v>1446</v>
      </c>
      <c r="F189" s="13" t="s">
        <v>1447</v>
      </c>
      <c r="G189" s="13" t="s">
        <v>1448</v>
      </c>
      <c r="H189" s="13" t="s">
        <v>1449</v>
      </c>
    </row>
    <row r="190" customFormat="false" ht="15" hidden="false" customHeight="true" outlineLevel="0" collapsed="false">
      <c r="A190" s="13" t="s">
        <v>83</v>
      </c>
      <c r="B190" s="13" t="s">
        <v>946</v>
      </c>
      <c r="C190" s="11" t="s">
        <v>947</v>
      </c>
      <c r="D190" s="13" t="s">
        <v>1450</v>
      </c>
      <c r="E190" s="13" t="s">
        <v>1451</v>
      </c>
      <c r="F190" s="13" t="s">
        <v>1452</v>
      </c>
      <c r="G190" s="13" t="s">
        <v>1453</v>
      </c>
      <c r="H190" s="13" t="s">
        <v>1454</v>
      </c>
    </row>
    <row r="191" customFormat="false" ht="15" hidden="false" customHeight="true" outlineLevel="0" collapsed="false">
      <c r="A191" s="13" t="s">
        <v>83</v>
      </c>
      <c r="B191" s="13" t="s">
        <v>953</v>
      </c>
      <c r="C191" s="11" t="s">
        <v>954</v>
      </c>
      <c r="D191" s="13" t="s">
        <v>1455</v>
      </c>
      <c r="E191" s="13" t="s">
        <v>1456</v>
      </c>
      <c r="F191" s="13" t="s">
        <v>1457</v>
      </c>
      <c r="G191" s="13" t="s">
        <v>1458</v>
      </c>
      <c r="H191" s="13" t="s">
        <v>1459</v>
      </c>
    </row>
    <row r="192" customFormat="false" ht="15" hidden="false" customHeight="true" outlineLevel="0" collapsed="false">
      <c r="A192" s="13" t="s">
        <v>83</v>
      </c>
      <c r="B192" s="13" t="s">
        <v>960</v>
      </c>
      <c r="C192" s="11" t="s">
        <v>961</v>
      </c>
      <c r="D192" s="13" t="s">
        <v>1460</v>
      </c>
      <c r="E192" s="13" t="s">
        <v>1461</v>
      </c>
      <c r="F192" s="13" t="s">
        <v>1462</v>
      </c>
      <c r="G192" s="13" t="s">
        <v>1463</v>
      </c>
      <c r="H192" s="13" t="s">
        <v>1464</v>
      </c>
    </row>
    <row r="193" customFormat="false" ht="15" hidden="false" customHeight="true" outlineLevel="0" collapsed="false">
      <c r="A193" s="13" t="s">
        <v>83</v>
      </c>
      <c r="B193" s="13" t="s">
        <v>967</v>
      </c>
      <c r="C193" s="11" t="s">
        <v>968</v>
      </c>
      <c r="D193" s="13" t="s">
        <v>1465</v>
      </c>
      <c r="E193" s="13" t="s">
        <v>1466</v>
      </c>
      <c r="F193" s="13" t="s">
        <v>1467</v>
      </c>
      <c r="G193" s="13" t="s">
        <v>1468</v>
      </c>
      <c r="H193" s="13" t="s">
        <v>1469</v>
      </c>
    </row>
    <row r="194" customFormat="false" ht="15" hidden="false" customHeight="true" outlineLevel="0" collapsed="false">
      <c r="A194" s="13" t="s">
        <v>83</v>
      </c>
      <c r="B194" s="13" t="s">
        <v>974</v>
      </c>
      <c r="C194" s="11" t="s">
        <v>975</v>
      </c>
      <c r="D194" s="13" t="s">
        <v>1470</v>
      </c>
      <c r="E194" s="13" t="s">
        <v>1471</v>
      </c>
      <c r="F194" s="13" t="s">
        <v>1472</v>
      </c>
      <c r="G194" s="13" t="s">
        <v>1473</v>
      </c>
      <c r="H194" s="13" t="s">
        <v>1474</v>
      </c>
    </row>
    <row r="195" customFormat="false" ht="15" hidden="false" customHeight="true" outlineLevel="0" collapsed="false">
      <c r="A195" s="13" t="s">
        <v>83</v>
      </c>
      <c r="B195" s="13" t="s">
        <v>981</v>
      </c>
      <c r="C195" s="11" t="s">
        <v>982</v>
      </c>
      <c r="D195" s="13" t="s">
        <v>1475</v>
      </c>
      <c r="E195" s="13" t="s">
        <v>1476</v>
      </c>
      <c r="F195" s="13" t="s">
        <v>1477</v>
      </c>
      <c r="G195" s="13" t="s">
        <v>1478</v>
      </c>
      <c r="H195" s="13" t="s">
        <v>1479</v>
      </c>
    </row>
    <row r="196" customFormat="false" ht="15" hidden="false" customHeight="true" outlineLevel="0" collapsed="false">
      <c r="A196" s="13" t="s">
        <v>83</v>
      </c>
      <c r="B196" s="13" t="s">
        <v>988</v>
      </c>
      <c r="C196" s="11" t="s">
        <v>989</v>
      </c>
      <c r="D196" s="13" t="s">
        <v>1480</v>
      </c>
      <c r="E196" s="13" t="s">
        <v>1481</v>
      </c>
      <c r="F196" s="13" t="s">
        <v>1482</v>
      </c>
      <c r="G196" s="13" t="s">
        <v>1483</v>
      </c>
      <c r="H196" s="13" t="s">
        <v>1484</v>
      </c>
    </row>
    <row r="197" customFormat="false" ht="15" hidden="false" customHeight="true" outlineLevel="0" collapsed="false">
      <c r="A197" s="13" t="s">
        <v>83</v>
      </c>
      <c r="B197" s="13" t="s">
        <v>995</v>
      </c>
      <c r="C197" s="11" t="s">
        <v>996</v>
      </c>
      <c r="D197" s="13" t="s">
        <v>1485</v>
      </c>
      <c r="E197" s="13" t="s">
        <v>1486</v>
      </c>
      <c r="F197" s="13" t="s">
        <v>1487</v>
      </c>
      <c r="G197" s="13" t="s">
        <v>1488</v>
      </c>
      <c r="H197" s="13" t="s">
        <v>1489</v>
      </c>
    </row>
    <row r="198" customFormat="false" ht="15" hidden="false" customHeight="true" outlineLevel="0" collapsed="false">
      <c r="A198" s="13" t="s">
        <v>83</v>
      </c>
      <c r="B198" s="13" t="s">
        <v>1002</v>
      </c>
      <c r="C198" s="11" t="s">
        <v>1003</v>
      </c>
      <c r="D198" s="13" t="s">
        <v>1490</v>
      </c>
      <c r="E198" s="13" t="s">
        <v>1491</v>
      </c>
      <c r="F198" s="13" t="s">
        <v>1492</v>
      </c>
      <c r="G198" s="13" t="s">
        <v>1493</v>
      </c>
      <c r="H198" s="13" t="s">
        <v>1494</v>
      </c>
    </row>
    <row r="199" customFormat="false" ht="15" hidden="false" customHeight="true" outlineLevel="0" collapsed="false">
      <c r="A199" s="13" t="s">
        <v>83</v>
      </c>
      <c r="B199" s="13" t="s">
        <v>1009</v>
      </c>
      <c r="C199" s="11" t="s">
        <v>1010</v>
      </c>
      <c r="D199" s="13" t="s">
        <v>1495</v>
      </c>
      <c r="E199" s="13" t="s">
        <v>1496</v>
      </c>
      <c r="F199" s="13" t="s">
        <v>1497</v>
      </c>
      <c r="G199" s="13" t="s">
        <v>1498</v>
      </c>
      <c r="H199" s="13" t="s">
        <v>1499</v>
      </c>
    </row>
    <row r="200" customFormat="false" ht="15" hidden="false" customHeight="true" outlineLevel="0" collapsed="false">
      <c r="A200" s="13" t="s">
        <v>83</v>
      </c>
      <c r="B200" s="13" t="s">
        <v>1016</v>
      </c>
      <c r="C200" s="11" t="s">
        <v>1017</v>
      </c>
      <c r="D200" s="13" t="s">
        <v>1018</v>
      </c>
      <c r="E200" s="13" t="s">
        <v>1019</v>
      </c>
      <c r="F200" s="13" t="s">
        <v>1500</v>
      </c>
      <c r="G200" s="13" t="s">
        <v>1019</v>
      </c>
      <c r="H200" s="13" t="s">
        <v>1019</v>
      </c>
    </row>
    <row r="201" customFormat="false" ht="15" hidden="false" customHeight="true" outlineLevel="0" collapsed="false">
      <c r="A201" s="13" t="s">
        <v>92</v>
      </c>
      <c r="B201" s="13" t="s">
        <v>345</v>
      </c>
      <c r="C201" s="11" t="s">
        <v>346</v>
      </c>
      <c r="D201" s="13" t="s">
        <v>1501</v>
      </c>
      <c r="E201" s="13" t="s">
        <v>1502</v>
      </c>
      <c r="F201" s="13" t="s">
        <v>1503</v>
      </c>
      <c r="G201" s="13" t="s">
        <v>1504</v>
      </c>
      <c r="H201" s="13" t="s">
        <v>1505</v>
      </c>
    </row>
    <row r="202" customFormat="false" ht="15" hidden="false" customHeight="true" outlineLevel="0" collapsed="false">
      <c r="A202" s="13" t="s">
        <v>92</v>
      </c>
      <c r="B202" s="13" t="s">
        <v>352</v>
      </c>
      <c r="C202" s="11" t="s">
        <v>353</v>
      </c>
      <c r="D202" s="13" t="s">
        <v>1506</v>
      </c>
      <c r="E202" s="13" t="s">
        <v>1507</v>
      </c>
      <c r="F202" s="13" t="s">
        <v>1508</v>
      </c>
      <c r="G202" s="13" t="s">
        <v>1509</v>
      </c>
      <c r="H202" s="13" t="s">
        <v>1510</v>
      </c>
    </row>
    <row r="203" customFormat="false" ht="15" hidden="false" customHeight="true" outlineLevel="0" collapsed="false">
      <c r="A203" s="13" t="s">
        <v>92</v>
      </c>
      <c r="B203" s="13" t="s">
        <v>359</v>
      </c>
      <c r="C203" s="11" t="s">
        <v>360</v>
      </c>
      <c r="D203" s="13" t="s">
        <v>1511</v>
      </c>
      <c r="E203" s="13" t="s">
        <v>1512</v>
      </c>
      <c r="F203" s="13" t="s">
        <v>1513</v>
      </c>
      <c r="G203" s="13" t="s">
        <v>1514</v>
      </c>
      <c r="H203" s="13" t="s">
        <v>1515</v>
      </c>
    </row>
    <row r="204" customFormat="false" ht="15" hidden="false" customHeight="true" outlineLevel="0" collapsed="false">
      <c r="A204" s="13" t="s">
        <v>92</v>
      </c>
      <c r="B204" s="13" t="s">
        <v>366</v>
      </c>
      <c r="C204" s="11" t="s">
        <v>367</v>
      </c>
      <c r="D204" s="13" t="s">
        <v>1516</v>
      </c>
      <c r="E204" s="13" t="s">
        <v>1517</v>
      </c>
      <c r="F204" s="13" t="s">
        <v>1518</v>
      </c>
      <c r="G204" s="13" t="s">
        <v>1519</v>
      </c>
      <c r="H204" s="13" t="s">
        <v>1520</v>
      </c>
    </row>
    <row r="205" customFormat="false" ht="15" hidden="false" customHeight="true" outlineLevel="0" collapsed="false">
      <c r="A205" s="13" t="s">
        <v>92</v>
      </c>
      <c r="B205" s="13" t="s">
        <v>373</v>
      </c>
      <c r="C205" s="11" t="s">
        <v>374</v>
      </c>
      <c r="D205" s="13" t="s">
        <v>1521</v>
      </c>
      <c r="E205" s="13" t="s">
        <v>1522</v>
      </c>
      <c r="F205" s="13" t="s">
        <v>1523</v>
      </c>
      <c r="G205" s="13" t="s">
        <v>1524</v>
      </c>
      <c r="H205" s="13" t="s">
        <v>1525</v>
      </c>
    </row>
    <row r="206" customFormat="false" ht="15" hidden="false" customHeight="true" outlineLevel="0" collapsed="false">
      <c r="A206" s="13" t="s">
        <v>92</v>
      </c>
      <c r="B206" s="13" t="s">
        <v>380</v>
      </c>
      <c r="C206" s="11" t="s">
        <v>381</v>
      </c>
      <c r="D206" s="13" t="s">
        <v>1526</v>
      </c>
      <c r="E206" s="13" t="s">
        <v>1527</v>
      </c>
      <c r="F206" s="13" t="s">
        <v>1528</v>
      </c>
      <c r="G206" s="13" t="s">
        <v>1529</v>
      </c>
      <c r="H206" s="13" t="s">
        <v>1530</v>
      </c>
    </row>
    <row r="207" customFormat="false" ht="15" hidden="false" customHeight="true" outlineLevel="0" collapsed="false">
      <c r="A207" s="13" t="s">
        <v>92</v>
      </c>
      <c r="B207" s="13" t="s">
        <v>387</v>
      </c>
      <c r="C207" s="11" t="s">
        <v>388</v>
      </c>
      <c r="D207" s="13" t="s">
        <v>1531</v>
      </c>
      <c r="E207" s="13" t="s">
        <v>1532</v>
      </c>
      <c r="F207" s="13" t="s">
        <v>1533</v>
      </c>
      <c r="G207" s="13" t="s">
        <v>1534</v>
      </c>
      <c r="H207" s="13" t="s">
        <v>1535</v>
      </c>
    </row>
    <row r="208" customFormat="false" ht="15" hidden="false" customHeight="true" outlineLevel="0" collapsed="false">
      <c r="A208" s="13" t="s">
        <v>92</v>
      </c>
      <c r="B208" s="13" t="s">
        <v>394</v>
      </c>
      <c r="C208" s="11" t="s">
        <v>395</v>
      </c>
      <c r="D208" s="13" t="s">
        <v>1536</v>
      </c>
      <c r="E208" s="13" t="s">
        <v>1537</v>
      </c>
      <c r="F208" s="13" t="s">
        <v>1538</v>
      </c>
      <c r="G208" s="13" t="s">
        <v>1539</v>
      </c>
      <c r="H208" s="13" t="s">
        <v>1540</v>
      </c>
    </row>
    <row r="209" customFormat="false" ht="15" hidden="false" customHeight="true" outlineLevel="0" collapsed="false">
      <c r="A209" s="13" t="s">
        <v>92</v>
      </c>
      <c r="B209" s="13" t="s">
        <v>401</v>
      </c>
      <c r="C209" s="11" t="s">
        <v>402</v>
      </c>
      <c r="D209" s="13" t="s">
        <v>1541</v>
      </c>
      <c r="E209" s="13" t="s">
        <v>1542</v>
      </c>
      <c r="F209" s="13" t="s">
        <v>1543</v>
      </c>
      <c r="G209" s="13" t="s">
        <v>1544</v>
      </c>
      <c r="H209" s="13" t="s">
        <v>1545</v>
      </c>
    </row>
    <row r="210" customFormat="false" ht="15" hidden="false" customHeight="true" outlineLevel="0" collapsed="false">
      <c r="A210" s="13" t="s">
        <v>92</v>
      </c>
      <c r="B210" s="13" t="s">
        <v>408</v>
      </c>
      <c r="C210" s="11" t="s">
        <v>409</v>
      </c>
      <c r="D210" s="13" t="s">
        <v>1546</v>
      </c>
      <c r="E210" s="13" t="s">
        <v>1547</v>
      </c>
      <c r="F210" s="13" t="s">
        <v>1548</v>
      </c>
      <c r="G210" s="13" t="s">
        <v>1549</v>
      </c>
      <c r="H210" s="13" t="s">
        <v>1550</v>
      </c>
    </row>
    <row r="211" customFormat="false" ht="15" hidden="false" customHeight="true" outlineLevel="0" collapsed="false">
      <c r="A211" s="13" t="s">
        <v>92</v>
      </c>
      <c r="B211" s="13" t="s">
        <v>415</v>
      </c>
      <c r="C211" s="11" t="s">
        <v>416</v>
      </c>
      <c r="D211" s="13" t="s">
        <v>1551</v>
      </c>
      <c r="E211" s="13" t="s">
        <v>1552</v>
      </c>
      <c r="F211" s="13" t="s">
        <v>1553</v>
      </c>
      <c r="G211" s="13" t="s">
        <v>1554</v>
      </c>
      <c r="H211" s="13" t="s">
        <v>1555</v>
      </c>
    </row>
    <row r="212" customFormat="false" ht="15" hidden="false" customHeight="true" outlineLevel="0" collapsed="false">
      <c r="A212" s="13" t="s">
        <v>92</v>
      </c>
      <c r="B212" s="13" t="s">
        <v>422</v>
      </c>
      <c r="C212" s="11" t="s">
        <v>423</v>
      </c>
      <c r="D212" s="13" t="s">
        <v>1556</v>
      </c>
      <c r="E212" s="13" t="s">
        <v>1557</v>
      </c>
      <c r="F212" s="13" t="s">
        <v>1558</v>
      </c>
      <c r="G212" s="13" t="s">
        <v>1559</v>
      </c>
      <c r="H212" s="13" t="s">
        <v>1560</v>
      </c>
    </row>
    <row r="213" customFormat="false" ht="15" hidden="false" customHeight="true" outlineLevel="0" collapsed="false">
      <c r="A213" s="13" t="s">
        <v>92</v>
      </c>
      <c r="B213" s="13" t="s">
        <v>429</v>
      </c>
      <c r="C213" s="11" t="s">
        <v>430</v>
      </c>
      <c r="D213" s="13" t="s">
        <v>1561</v>
      </c>
      <c r="E213" s="13" t="s">
        <v>1562</v>
      </c>
      <c r="F213" s="13" t="s">
        <v>1563</v>
      </c>
      <c r="G213" s="13" t="s">
        <v>1564</v>
      </c>
      <c r="H213" s="13" t="s">
        <v>1565</v>
      </c>
    </row>
    <row r="214" customFormat="false" ht="15" hidden="false" customHeight="true" outlineLevel="0" collapsed="false">
      <c r="A214" s="13" t="s">
        <v>92</v>
      </c>
      <c r="B214" s="13" t="s">
        <v>436</v>
      </c>
      <c r="C214" s="11" t="s">
        <v>437</v>
      </c>
      <c r="D214" s="13" t="s">
        <v>1566</v>
      </c>
      <c r="E214" s="13" t="s">
        <v>1567</v>
      </c>
      <c r="F214" s="13" t="s">
        <v>1568</v>
      </c>
      <c r="G214" s="13" t="s">
        <v>1569</v>
      </c>
      <c r="H214" s="13" t="s">
        <v>1570</v>
      </c>
    </row>
    <row r="215" customFormat="false" ht="15" hidden="false" customHeight="true" outlineLevel="0" collapsed="false">
      <c r="A215" s="13" t="s">
        <v>92</v>
      </c>
      <c r="B215" s="13" t="s">
        <v>443</v>
      </c>
      <c r="C215" s="11" t="s">
        <v>444</v>
      </c>
      <c r="D215" s="13" t="s">
        <v>1571</v>
      </c>
      <c r="E215" s="13" t="s">
        <v>1572</v>
      </c>
      <c r="F215" s="13" t="s">
        <v>1573</v>
      </c>
      <c r="G215" s="13" t="s">
        <v>1574</v>
      </c>
      <c r="H215" s="13" t="s">
        <v>1575</v>
      </c>
    </row>
    <row r="216" customFormat="false" ht="15" hidden="false" customHeight="true" outlineLevel="0" collapsed="false">
      <c r="A216" s="13" t="s">
        <v>92</v>
      </c>
      <c r="B216" s="13" t="s">
        <v>450</v>
      </c>
      <c r="C216" s="11" t="s">
        <v>451</v>
      </c>
      <c r="D216" s="13" t="s">
        <v>1576</v>
      </c>
      <c r="E216" s="13" t="s">
        <v>1577</v>
      </c>
      <c r="F216" s="13" t="s">
        <v>1578</v>
      </c>
      <c r="G216" s="13" t="s">
        <v>1579</v>
      </c>
      <c r="H216" s="13" t="s">
        <v>1580</v>
      </c>
    </row>
    <row r="217" customFormat="false" ht="15" hidden="false" customHeight="true" outlineLevel="0" collapsed="false">
      <c r="A217" s="13" t="s">
        <v>92</v>
      </c>
      <c r="B217" s="13" t="s">
        <v>457</v>
      </c>
      <c r="C217" s="11" t="s">
        <v>458</v>
      </c>
      <c r="D217" s="13" t="s">
        <v>1581</v>
      </c>
      <c r="E217" s="13" t="s">
        <v>1582</v>
      </c>
      <c r="F217" s="13" t="s">
        <v>1583</v>
      </c>
      <c r="G217" s="13" t="s">
        <v>1584</v>
      </c>
      <c r="H217" s="13" t="s">
        <v>1585</v>
      </c>
    </row>
    <row r="218" customFormat="false" ht="15" hidden="false" customHeight="true" outlineLevel="0" collapsed="false">
      <c r="A218" s="13" t="s">
        <v>92</v>
      </c>
      <c r="B218" s="13" t="s">
        <v>464</v>
      </c>
      <c r="C218" s="11" t="s">
        <v>465</v>
      </c>
      <c r="D218" s="13" t="s">
        <v>1586</v>
      </c>
      <c r="E218" s="13" t="s">
        <v>1353</v>
      </c>
      <c r="F218" s="13" t="s">
        <v>1587</v>
      </c>
      <c r="G218" s="13" t="s">
        <v>1588</v>
      </c>
      <c r="H218" s="13" t="s">
        <v>1589</v>
      </c>
    </row>
    <row r="219" customFormat="false" ht="15" hidden="false" customHeight="true" outlineLevel="0" collapsed="false">
      <c r="A219" s="13" t="s">
        <v>92</v>
      </c>
      <c r="B219" s="13" t="s">
        <v>471</v>
      </c>
      <c r="C219" s="11" t="s">
        <v>472</v>
      </c>
      <c r="D219" s="13" t="s">
        <v>1590</v>
      </c>
      <c r="E219" s="13" t="s">
        <v>1591</v>
      </c>
      <c r="F219" s="13" t="s">
        <v>1592</v>
      </c>
      <c r="G219" s="13" t="s">
        <v>1593</v>
      </c>
      <c r="H219" s="13" t="s">
        <v>1594</v>
      </c>
    </row>
    <row r="220" customFormat="false" ht="15" hidden="false" customHeight="true" outlineLevel="0" collapsed="false">
      <c r="A220" s="13" t="s">
        <v>92</v>
      </c>
      <c r="B220" s="13" t="s">
        <v>478</v>
      </c>
      <c r="C220" s="11" t="s">
        <v>479</v>
      </c>
      <c r="D220" s="13" t="s">
        <v>1595</v>
      </c>
      <c r="E220" s="13" t="s">
        <v>1137</v>
      </c>
      <c r="F220" s="13" t="s">
        <v>1596</v>
      </c>
      <c r="G220" s="13" t="s">
        <v>1597</v>
      </c>
      <c r="H220" s="13" t="s">
        <v>1598</v>
      </c>
    </row>
    <row r="221" customFormat="false" ht="15" hidden="false" customHeight="true" outlineLevel="0" collapsed="false">
      <c r="A221" s="13" t="s">
        <v>92</v>
      </c>
      <c r="B221" s="13" t="s">
        <v>485</v>
      </c>
      <c r="C221" s="11" t="s">
        <v>486</v>
      </c>
      <c r="D221" s="13" t="s">
        <v>1599</v>
      </c>
      <c r="E221" s="13" t="s">
        <v>1600</v>
      </c>
      <c r="F221" s="13" t="s">
        <v>1601</v>
      </c>
      <c r="G221" s="13" t="s">
        <v>1602</v>
      </c>
      <c r="H221" s="13" t="s">
        <v>1603</v>
      </c>
    </row>
    <row r="222" customFormat="false" ht="15" hidden="false" customHeight="true" outlineLevel="0" collapsed="false">
      <c r="A222" s="13" t="s">
        <v>92</v>
      </c>
      <c r="B222" s="13" t="s">
        <v>492</v>
      </c>
      <c r="C222" s="11" t="s">
        <v>493</v>
      </c>
      <c r="D222" s="13" t="s">
        <v>1604</v>
      </c>
      <c r="E222" s="13" t="s">
        <v>1605</v>
      </c>
      <c r="F222" s="13" t="s">
        <v>1606</v>
      </c>
      <c r="G222" s="13" t="s">
        <v>1607</v>
      </c>
      <c r="H222" s="13" t="s">
        <v>1608</v>
      </c>
    </row>
    <row r="223" customFormat="false" ht="15" hidden="false" customHeight="true" outlineLevel="0" collapsed="false">
      <c r="A223" s="13" t="s">
        <v>92</v>
      </c>
      <c r="B223" s="13" t="s">
        <v>499</v>
      </c>
      <c r="C223" s="11" t="s">
        <v>500</v>
      </c>
      <c r="D223" s="13" t="s">
        <v>1609</v>
      </c>
      <c r="E223" s="13" t="s">
        <v>1610</v>
      </c>
      <c r="F223" s="13" t="s">
        <v>1611</v>
      </c>
      <c r="G223" s="13" t="s">
        <v>1612</v>
      </c>
      <c r="H223" s="13" t="s">
        <v>1613</v>
      </c>
    </row>
    <row r="224" customFormat="false" ht="15" hidden="false" customHeight="true" outlineLevel="0" collapsed="false">
      <c r="A224" s="13" t="s">
        <v>92</v>
      </c>
      <c r="B224" s="13" t="s">
        <v>506</v>
      </c>
      <c r="C224" s="11" t="s">
        <v>507</v>
      </c>
      <c r="D224" s="13" t="s">
        <v>1614</v>
      </c>
      <c r="E224" s="13" t="s">
        <v>1615</v>
      </c>
      <c r="F224" s="13" t="s">
        <v>1616</v>
      </c>
      <c r="G224" s="13" t="s">
        <v>1617</v>
      </c>
      <c r="H224" s="13" t="s">
        <v>1618</v>
      </c>
    </row>
    <row r="225" customFormat="false" ht="15" hidden="false" customHeight="true" outlineLevel="0" collapsed="false">
      <c r="A225" s="13" t="s">
        <v>92</v>
      </c>
      <c r="B225" s="13" t="s">
        <v>513</v>
      </c>
      <c r="C225" s="11" t="s">
        <v>514</v>
      </c>
      <c r="D225" s="13" t="s">
        <v>1619</v>
      </c>
      <c r="E225" s="13" t="s">
        <v>1620</v>
      </c>
      <c r="F225" s="13" t="s">
        <v>1621</v>
      </c>
      <c r="G225" s="13" t="s">
        <v>1622</v>
      </c>
      <c r="H225" s="13" t="s">
        <v>1623</v>
      </c>
    </row>
    <row r="226" customFormat="false" ht="15" hidden="false" customHeight="true" outlineLevel="0" collapsed="false">
      <c r="A226" s="13" t="s">
        <v>92</v>
      </c>
      <c r="B226" s="13" t="s">
        <v>520</v>
      </c>
      <c r="C226" s="11" t="s">
        <v>521</v>
      </c>
      <c r="D226" s="13" t="s">
        <v>1624</v>
      </c>
      <c r="E226" s="13" t="s">
        <v>1625</v>
      </c>
      <c r="F226" s="13" t="s">
        <v>1626</v>
      </c>
      <c r="G226" s="13" t="s">
        <v>1627</v>
      </c>
      <c r="H226" s="13" t="s">
        <v>1628</v>
      </c>
    </row>
    <row r="227" customFormat="false" ht="15" hidden="false" customHeight="true" outlineLevel="0" collapsed="false">
      <c r="A227" s="13" t="s">
        <v>92</v>
      </c>
      <c r="B227" s="13" t="s">
        <v>527</v>
      </c>
      <c r="C227" s="11" t="s">
        <v>528</v>
      </c>
      <c r="D227" s="13" t="s">
        <v>1629</v>
      </c>
      <c r="E227" s="13" t="s">
        <v>1630</v>
      </c>
      <c r="F227" s="13" t="s">
        <v>1631</v>
      </c>
      <c r="G227" s="13" t="s">
        <v>1632</v>
      </c>
      <c r="H227" s="13" t="s">
        <v>1633</v>
      </c>
    </row>
    <row r="228" customFormat="false" ht="15" hidden="false" customHeight="true" outlineLevel="0" collapsed="false">
      <c r="A228" s="13" t="s">
        <v>92</v>
      </c>
      <c r="B228" s="13" t="s">
        <v>534</v>
      </c>
      <c r="C228" s="11" t="s">
        <v>535</v>
      </c>
      <c r="D228" s="13" t="s">
        <v>1634</v>
      </c>
      <c r="E228" s="13" t="s">
        <v>1635</v>
      </c>
      <c r="F228" s="13" t="s">
        <v>1636</v>
      </c>
      <c r="G228" s="13" t="s">
        <v>1637</v>
      </c>
      <c r="H228" s="13" t="s">
        <v>1638</v>
      </c>
    </row>
    <row r="229" customFormat="false" ht="15" hidden="false" customHeight="true" outlineLevel="0" collapsed="false">
      <c r="A229" s="13" t="s">
        <v>92</v>
      </c>
      <c r="B229" s="13" t="s">
        <v>541</v>
      </c>
      <c r="C229" s="11" t="s">
        <v>542</v>
      </c>
      <c r="D229" s="13" t="s">
        <v>1639</v>
      </c>
      <c r="E229" s="13" t="s">
        <v>1640</v>
      </c>
      <c r="F229" s="13" t="s">
        <v>1641</v>
      </c>
      <c r="G229" s="13" t="s">
        <v>1642</v>
      </c>
      <c r="H229" s="13" t="s">
        <v>1643</v>
      </c>
    </row>
    <row r="230" customFormat="false" ht="15" hidden="false" customHeight="true" outlineLevel="0" collapsed="false">
      <c r="A230" s="13" t="s">
        <v>92</v>
      </c>
      <c r="B230" s="13" t="s">
        <v>548</v>
      </c>
      <c r="C230" s="11" t="s">
        <v>549</v>
      </c>
      <c r="D230" s="13" t="s">
        <v>1644</v>
      </c>
      <c r="E230" s="13" t="s">
        <v>1645</v>
      </c>
      <c r="F230" s="13" t="s">
        <v>1646</v>
      </c>
      <c r="G230" s="13" t="s">
        <v>1647</v>
      </c>
      <c r="H230" s="13" t="s">
        <v>1648</v>
      </c>
    </row>
    <row r="231" customFormat="false" ht="15" hidden="false" customHeight="true" outlineLevel="0" collapsed="false">
      <c r="A231" s="13" t="s">
        <v>92</v>
      </c>
      <c r="B231" s="13" t="s">
        <v>555</v>
      </c>
      <c r="C231" s="11" t="s">
        <v>556</v>
      </c>
      <c r="D231" s="13" t="s">
        <v>1649</v>
      </c>
      <c r="E231" s="13" t="s">
        <v>1650</v>
      </c>
      <c r="F231" s="13" t="s">
        <v>1651</v>
      </c>
      <c r="G231" s="13" t="s">
        <v>1652</v>
      </c>
      <c r="H231" s="13" t="s">
        <v>1653</v>
      </c>
    </row>
    <row r="232" customFormat="false" ht="15" hidden="false" customHeight="true" outlineLevel="0" collapsed="false">
      <c r="A232" s="13" t="s">
        <v>92</v>
      </c>
      <c r="B232" s="13" t="s">
        <v>562</v>
      </c>
      <c r="C232" s="11" t="s">
        <v>563</v>
      </c>
      <c r="D232" s="13" t="s">
        <v>1654</v>
      </c>
      <c r="E232" s="13" t="s">
        <v>1655</v>
      </c>
      <c r="F232" s="13" t="s">
        <v>1656</v>
      </c>
      <c r="G232" s="13" t="s">
        <v>1657</v>
      </c>
      <c r="H232" s="13" t="s">
        <v>1658</v>
      </c>
    </row>
    <row r="233" customFormat="false" ht="15" hidden="false" customHeight="true" outlineLevel="0" collapsed="false">
      <c r="A233" s="13" t="s">
        <v>92</v>
      </c>
      <c r="B233" s="13" t="s">
        <v>569</v>
      </c>
      <c r="C233" s="11" t="s">
        <v>570</v>
      </c>
      <c r="D233" s="13" t="s">
        <v>1659</v>
      </c>
      <c r="E233" s="13" t="s">
        <v>1660</v>
      </c>
      <c r="F233" s="13" t="s">
        <v>1661</v>
      </c>
      <c r="G233" s="13" t="s">
        <v>1662</v>
      </c>
      <c r="H233" s="13" t="s">
        <v>1663</v>
      </c>
    </row>
    <row r="234" customFormat="false" ht="15" hidden="false" customHeight="true" outlineLevel="0" collapsed="false">
      <c r="A234" s="13" t="s">
        <v>92</v>
      </c>
      <c r="B234" s="13" t="s">
        <v>576</v>
      </c>
      <c r="C234" s="11" t="s">
        <v>577</v>
      </c>
      <c r="D234" s="13" t="s">
        <v>1664</v>
      </c>
      <c r="E234" s="13" t="s">
        <v>1665</v>
      </c>
      <c r="F234" s="13" t="s">
        <v>1666</v>
      </c>
      <c r="G234" s="13" t="s">
        <v>1667</v>
      </c>
      <c r="H234" s="13" t="s">
        <v>1668</v>
      </c>
    </row>
    <row r="235" customFormat="false" ht="15" hidden="false" customHeight="true" outlineLevel="0" collapsed="false">
      <c r="A235" s="13" t="s">
        <v>92</v>
      </c>
      <c r="B235" s="13" t="s">
        <v>583</v>
      </c>
      <c r="C235" s="11" t="s">
        <v>584</v>
      </c>
      <c r="D235" s="13" t="s">
        <v>1669</v>
      </c>
      <c r="E235" s="13" t="s">
        <v>1670</v>
      </c>
      <c r="F235" s="13" t="s">
        <v>1671</v>
      </c>
      <c r="G235" s="13" t="s">
        <v>1672</v>
      </c>
      <c r="H235" s="13" t="s">
        <v>1673</v>
      </c>
    </row>
    <row r="236" customFormat="false" ht="15" hidden="false" customHeight="true" outlineLevel="0" collapsed="false">
      <c r="A236" s="13" t="s">
        <v>92</v>
      </c>
      <c r="B236" s="13" t="s">
        <v>590</v>
      </c>
      <c r="C236" s="11" t="s">
        <v>591</v>
      </c>
      <c r="D236" s="13" t="s">
        <v>1674</v>
      </c>
      <c r="E236" s="13" t="s">
        <v>1675</v>
      </c>
      <c r="F236" s="13" t="s">
        <v>1676</v>
      </c>
      <c r="G236" s="13" t="s">
        <v>1677</v>
      </c>
      <c r="H236" s="13" t="s">
        <v>1678</v>
      </c>
    </row>
    <row r="237" customFormat="false" ht="15" hidden="false" customHeight="true" outlineLevel="0" collapsed="false">
      <c r="A237" s="13" t="s">
        <v>92</v>
      </c>
      <c r="B237" s="13" t="s">
        <v>597</v>
      </c>
      <c r="C237" s="11" t="s">
        <v>598</v>
      </c>
      <c r="D237" s="13" t="s">
        <v>1679</v>
      </c>
      <c r="E237" s="13" t="s">
        <v>1680</v>
      </c>
      <c r="F237" s="13" t="s">
        <v>1681</v>
      </c>
      <c r="G237" s="13" t="s">
        <v>1682</v>
      </c>
      <c r="H237" s="13" t="s">
        <v>1683</v>
      </c>
    </row>
    <row r="238" customFormat="false" ht="15" hidden="false" customHeight="true" outlineLevel="0" collapsed="false">
      <c r="A238" s="13" t="s">
        <v>92</v>
      </c>
      <c r="B238" s="13" t="s">
        <v>604</v>
      </c>
      <c r="C238" s="11" t="s">
        <v>605</v>
      </c>
      <c r="D238" s="13" t="s">
        <v>1684</v>
      </c>
      <c r="E238" s="13" t="s">
        <v>1685</v>
      </c>
      <c r="F238" s="13" t="s">
        <v>1686</v>
      </c>
      <c r="G238" s="13" t="s">
        <v>1687</v>
      </c>
      <c r="H238" s="13" t="s">
        <v>1688</v>
      </c>
    </row>
    <row r="239" customFormat="false" ht="15" hidden="false" customHeight="true" outlineLevel="0" collapsed="false">
      <c r="A239" s="13" t="s">
        <v>92</v>
      </c>
      <c r="B239" s="13" t="s">
        <v>611</v>
      </c>
      <c r="C239" s="11" t="s">
        <v>612</v>
      </c>
      <c r="D239" s="13" t="s">
        <v>1689</v>
      </c>
      <c r="E239" s="13" t="s">
        <v>1690</v>
      </c>
      <c r="F239" s="13" t="s">
        <v>1691</v>
      </c>
      <c r="G239" s="13" t="s">
        <v>1692</v>
      </c>
      <c r="H239" s="13" t="s">
        <v>1693</v>
      </c>
    </row>
    <row r="240" customFormat="false" ht="15" hidden="false" customHeight="true" outlineLevel="0" collapsed="false">
      <c r="A240" s="13" t="s">
        <v>92</v>
      </c>
      <c r="B240" s="13" t="s">
        <v>618</v>
      </c>
      <c r="C240" s="11" t="s">
        <v>619</v>
      </c>
      <c r="D240" s="13" t="s">
        <v>1694</v>
      </c>
      <c r="E240" s="13" t="s">
        <v>1695</v>
      </c>
      <c r="F240" s="13" t="s">
        <v>1696</v>
      </c>
      <c r="G240" s="13" t="s">
        <v>1697</v>
      </c>
      <c r="H240" s="13" t="s">
        <v>1698</v>
      </c>
    </row>
    <row r="241" customFormat="false" ht="15" hidden="false" customHeight="true" outlineLevel="0" collapsed="false">
      <c r="A241" s="13" t="s">
        <v>92</v>
      </c>
      <c r="B241" s="13" t="s">
        <v>625</v>
      </c>
      <c r="C241" s="11" t="s">
        <v>626</v>
      </c>
      <c r="D241" s="13" t="s">
        <v>1699</v>
      </c>
      <c r="E241" s="13" t="s">
        <v>1700</v>
      </c>
      <c r="F241" s="13" t="s">
        <v>1701</v>
      </c>
      <c r="G241" s="13" t="s">
        <v>1702</v>
      </c>
      <c r="H241" s="13" t="s">
        <v>1703</v>
      </c>
    </row>
    <row r="242" customFormat="false" ht="15" hidden="false" customHeight="true" outlineLevel="0" collapsed="false">
      <c r="A242" s="13" t="s">
        <v>92</v>
      </c>
      <c r="B242" s="13" t="s">
        <v>632</v>
      </c>
      <c r="C242" s="11" t="s">
        <v>633</v>
      </c>
      <c r="D242" s="13" t="s">
        <v>1704</v>
      </c>
      <c r="E242" s="13" t="s">
        <v>1705</v>
      </c>
      <c r="F242" s="13" t="s">
        <v>1706</v>
      </c>
      <c r="G242" s="13" t="s">
        <v>1707</v>
      </c>
      <c r="H242" s="13" t="s">
        <v>1708</v>
      </c>
    </row>
    <row r="243" customFormat="false" ht="15" hidden="false" customHeight="true" outlineLevel="0" collapsed="false">
      <c r="A243" s="13" t="s">
        <v>92</v>
      </c>
      <c r="B243" s="13" t="s">
        <v>639</v>
      </c>
      <c r="C243" s="11" t="s">
        <v>640</v>
      </c>
      <c r="D243" s="13" t="s">
        <v>1709</v>
      </c>
      <c r="E243" s="13" t="s">
        <v>1710</v>
      </c>
      <c r="F243" s="13" t="s">
        <v>1711</v>
      </c>
      <c r="G243" s="13" t="s">
        <v>1712</v>
      </c>
      <c r="H243" s="13" t="s">
        <v>1713</v>
      </c>
    </row>
    <row r="244" customFormat="false" ht="15" hidden="false" customHeight="true" outlineLevel="0" collapsed="false">
      <c r="A244" s="13" t="s">
        <v>92</v>
      </c>
      <c r="B244" s="13" t="s">
        <v>646</v>
      </c>
      <c r="C244" s="11" t="s">
        <v>647</v>
      </c>
      <c r="D244" s="13" t="s">
        <v>1714</v>
      </c>
      <c r="E244" s="13" t="s">
        <v>1715</v>
      </c>
      <c r="F244" s="13" t="s">
        <v>1716</v>
      </c>
      <c r="G244" s="13" t="s">
        <v>1717</v>
      </c>
      <c r="H244" s="13" t="s">
        <v>1718</v>
      </c>
    </row>
    <row r="245" customFormat="false" ht="15" hidden="false" customHeight="true" outlineLevel="0" collapsed="false">
      <c r="A245" s="13" t="s">
        <v>92</v>
      </c>
      <c r="B245" s="13" t="s">
        <v>653</v>
      </c>
      <c r="C245" s="11" t="s">
        <v>654</v>
      </c>
      <c r="D245" s="13" t="s">
        <v>1719</v>
      </c>
      <c r="E245" s="13" t="s">
        <v>1720</v>
      </c>
      <c r="F245" s="13" t="s">
        <v>1721</v>
      </c>
      <c r="G245" s="13" t="s">
        <v>1722</v>
      </c>
      <c r="H245" s="13" t="s">
        <v>1723</v>
      </c>
    </row>
    <row r="246" customFormat="false" ht="15" hidden="false" customHeight="true" outlineLevel="0" collapsed="false">
      <c r="A246" s="13" t="s">
        <v>92</v>
      </c>
      <c r="B246" s="13" t="s">
        <v>660</v>
      </c>
      <c r="C246" s="11" t="s">
        <v>661</v>
      </c>
      <c r="D246" s="13" t="s">
        <v>1724</v>
      </c>
      <c r="E246" s="13" t="s">
        <v>1725</v>
      </c>
      <c r="F246" s="13" t="s">
        <v>1726</v>
      </c>
      <c r="G246" s="13" t="s">
        <v>1727</v>
      </c>
      <c r="H246" s="13" t="s">
        <v>1728</v>
      </c>
    </row>
    <row r="247" customFormat="false" ht="15" hidden="false" customHeight="true" outlineLevel="0" collapsed="false">
      <c r="A247" s="13" t="s">
        <v>92</v>
      </c>
      <c r="B247" s="13" t="s">
        <v>667</v>
      </c>
      <c r="C247" s="11" t="s">
        <v>668</v>
      </c>
      <c r="D247" s="13" t="s">
        <v>1729</v>
      </c>
      <c r="E247" s="13" t="s">
        <v>1730</v>
      </c>
      <c r="F247" s="13" t="s">
        <v>1731</v>
      </c>
      <c r="G247" s="13" t="s">
        <v>1732</v>
      </c>
      <c r="H247" s="13" t="s">
        <v>1733</v>
      </c>
    </row>
    <row r="248" customFormat="false" ht="15" hidden="false" customHeight="true" outlineLevel="0" collapsed="false">
      <c r="A248" s="13" t="s">
        <v>92</v>
      </c>
      <c r="B248" s="13" t="s">
        <v>674</v>
      </c>
      <c r="C248" s="11" t="s">
        <v>675</v>
      </c>
      <c r="D248" s="13" t="s">
        <v>1734</v>
      </c>
      <c r="E248" s="13" t="s">
        <v>1735</v>
      </c>
      <c r="F248" s="13" t="s">
        <v>1736</v>
      </c>
      <c r="G248" s="13" t="s">
        <v>1737</v>
      </c>
      <c r="H248" s="13" t="s">
        <v>1738</v>
      </c>
    </row>
    <row r="249" customFormat="false" ht="15" hidden="false" customHeight="true" outlineLevel="0" collapsed="false">
      <c r="A249" s="13" t="s">
        <v>92</v>
      </c>
      <c r="B249" s="13" t="s">
        <v>681</v>
      </c>
      <c r="C249" s="11" t="s">
        <v>682</v>
      </c>
      <c r="D249" s="13" t="s">
        <v>1739</v>
      </c>
      <c r="E249" s="13" t="s">
        <v>1740</v>
      </c>
      <c r="F249" s="13" t="s">
        <v>1741</v>
      </c>
      <c r="G249" s="13" t="s">
        <v>1742</v>
      </c>
      <c r="H249" s="13" t="s">
        <v>1743</v>
      </c>
    </row>
    <row r="250" customFormat="false" ht="15" hidden="false" customHeight="true" outlineLevel="0" collapsed="false">
      <c r="A250" s="13" t="s">
        <v>92</v>
      </c>
      <c r="B250" s="13" t="s">
        <v>688</v>
      </c>
      <c r="C250" s="11" t="s">
        <v>689</v>
      </c>
      <c r="D250" s="13" t="s">
        <v>1744</v>
      </c>
      <c r="E250" s="13" t="s">
        <v>1745</v>
      </c>
      <c r="F250" s="13" t="s">
        <v>1746</v>
      </c>
      <c r="G250" s="13" t="s">
        <v>1747</v>
      </c>
      <c r="H250" s="13" t="s">
        <v>1748</v>
      </c>
    </row>
    <row r="251" customFormat="false" ht="15" hidden="false" customHeight="true" outlineLevel="0" collapsed="false">
      <c r="A251" s="13" t="s">
        <v>92</v>
      </c>
      <c r="B251" s="13" t="s">
        <v>695</v>
      </c>
      <c r="C251" s="11" t="s">
        <v>696</v>
      </c>
      <c r="D251" s="13" t="s">
        <v>1749</v>
      </c>
      <c r="E251" s="13" t="s">
        <v>1750</v>
      </c>
      <c r="F251" s="13" t="s">
        <v>1751</v>
      </c>
      <c r="G251" s="13" t="s">
        <v>1752</v>
      </c>
      <c r="H251" s="13" t="s">
        <v>1753</v>
      </c>
    </row>
    <row r="252" customFormat="false" ht="15" hidden="false" customHeight="true" outlineLevel="0" collapsed="false">
      <c r="A252" s="13" t="s">
        <v>92</v>
      </c>
      <c r="B252" s="13" t="s">
        <v>702</v>
      </c>
      <c r="C252" s="11" t="s">
        <v>703</v>
      </c>
      <c r="D252" s="13" t="s">
        <v>1754</v>
      </c>
      <c r="E252" s="13" t="s">
        <v>1755</v>
      </c>
      <c r="F252" s="13" t="s">
        <v>1756</v>
      </c>
      <c r="G252" s="13" t="s">
        <v>1757</v>
      </c>
      <c r="H252" s="13" t="s">
        <v>1758</v>
      </c>
    </row>
    <row r="253" customFormat="false" ht="15" hidden="false" customHeight="true" outlineLevel="0" collapsed="false">
      <c r="A253" s="13" t="s">
        <v>92</v>
      </c>
      <c r="B253" s="13" t="s">
        <v>709</v>
      </c>
      <c r="C253" s="11" t="s">
        <v>710</v>
      </c>
      <c r="D253" s="13" t="s">
        <v>1759</v>
      </c>
      <c r="E253" s="13" t="s">
        <v>1760</v>
      </c>
      <c r="F253" s="13" t="s">
        <v>1761</v>
      </c>
      <c r="G253" s="13" t="s">
        <v>1762</v>
      </c>
      <c r="H253" s="13" t="s">
        <v>1763</v>
      </c>
    </row>
    <row r="254" customFormat="false" ht="15" hidden="false" customHeight="true" outlineLevel="0" collapsed="false">
      <c r="A254" s="13" t="s">
        <v>92</v>
      </c>
      <c r="B254" s="13" t="s">
        <v>716</v>
      </c>
      <c r="C254" s="11" t="s">
        <v>717</v>
      </c>
      <c r="D254" s="13" t="s">
        <v>1764</v>
      </c>
      <c r="E254" s="13" t="s">
        <v>1765</v>
      </c>
      <c r="F254" s="13" t="s">
        <v>1766</v>
      </c>
      <c r="G254" s="13" t="s">
        <v>1767</v>
      </c>
      <c r="H254" s="13" t="s">
        <v>1768</v>
      </c>
    </row>
    <row r="255" customFormat="false" ht="15" hidden="false" customHeight="true" outlineLevel="0" collapsed="false">
      <c r="A255" s="13" t="s">
        <v>92</v>
      </c>
      <c r="B255" s="13" t="s">
        <v>723</v>
      </c>
      <c r="C255" s="11" t="s">
        <v>724</v>
      </c>
      <c r="D255" s="13" t="s">
        <v>1769</v>
      </c>
      <c r="E255" s="13" t="s">
        <v>1770</v>
      </c>
      <c r="F255" s="13" t="s">
        <v>1771</v>
      </c>
      <c r="G255" s="13" t="s">
        <v>1772</v>
      </c>
      <c r="H255" s="13" t="s">
        <v>1773</v>
      </c>
    </row>
    <row r="256" customFormat="false" ht="15" hidden="false" customHeight="true" outlineLevel="0" collapsed="false">
      <c r="A256" s="13" t="s">
        <v>92</v>
      </c>
      <c r="B256" s="13" t="s">
        <v>730</v>
      </c>
      <c r="C256" s="11" t="s">
        <v>731</v>
      </c>
      <c r="D256" s="13" t="s">
        <v>1774</v>
      </c>
      <c r="E256" s="13" t="s">
        <v>1775</v>
      </c>
      <c r="F256" s="13" t="s">
        <v>1776</v>
      </c>
      <c r="G256" s="13" t="s">
        <v>1777</v>
      </c>
      <c r="H256" s="13" t="s">
        <v>1778</v>
      </c>
    </row>
    <row r="257" customFormat="false" ht="15" hidden="false" customHeight="true" outlineLevel="0" collapsed="false">
      <c r="A257" s="13" t="s">
        <v>92</v>
      </c>
      <c r="B257" s="13" t="s">
        <v>737</v>
      </c>
      <c r="C257" s="11" t="s">
        <v>738</v>
      </c>
      <c r="D257" s="13" t="s">
        <v>1779</v>
      </c>
      <c r="E257" s="13" t="s">
        <v>1780</v>
      </c>
      <c r="F257" s="13" t="s">
        <v>1781</v>
      </c>
      <c r="G257" s="13" t="s">
        <v>1782</v>
      </c>
      <c r="H257" s="13" t="s">
        <v>1783</v>
      </c>
    </row>
    <row r="258" customFormat="false" ht="15" hidden="false" customHeight="true" outlineLevel="0" collapsed="false">
      <c r="A258" s="13" t="s">
        <v>92</v>
      </c>
      <c r="B258" s="13" t="s">
        <v>744</v>
      </c>
      <c r="C258" s="11" t="s">
        <v>745</v>
      </c>
      <c r="D258" s="13" t="s">
        <v>1784</v>
      </c>
      <c r="E258" s="13" t="s">
        <v>1785</v>
      </c>
      <c r="F258" s="13" t="s">
        <v>1786</v>
      </c>
      <c r="G258" s="13" t="s">
        <v>1787</v>
      </c>
      <c r="H258" s="13" t="s">
        <v>1788</v>
      </c>
    </row>
    <row r="259" customFormat="false" ht="15" hidden="false" customHeight="true" outlineLevel="0" collapsed="false">
      <c r="A259" s="13" t="s">
        <v>92</v>
      </c>
      <c r="B259" s="13" t="s">
        <v>751</v>
      </c>
      <c r="C259" s="11" t="s">
        <v>752</v>
      </c>
      <c r="D259" s="13" t="s">
        <v>1789</v>
      </c>
      <c r="E259" s="13" t="s">
        <v>1790</v>
      </c>
      <c r="F259" s="13" t="s">
        <v>1791</v>
      </c>
      <c r="G259" s="13" t="s">
        <v>1792</v>
      </c>
      <c r="H259" s="13" t="s">
        <v>1793</v>
      </c>
    </row>
    <row r="260" customFormat="false" ht="15" hidden="false" customHeight="true" outlineLevel="0" collapsed="false">
      <c r="A260" s="13" t="s">
        <v>92</v>
      </c>
      <c r="B260" s="13" t="s">
        <v>758</v>
      </c>
      <c r="C260" s="11" t="s">
        <v>759</v>
      </c>
      <c r="D260" s="13" t="s">
        <v>1794</v>
      </c>
      <c r="E260" s="13" t="s">
        <v>1795</v>
      </c>
      <c r="F260" s="13" t="s">
        <v>1796</v>
      </c>
      <c r="G260" s="13" t="s">
        <v>1797</v>
      </c>
      <c r="H260" s="13" t="s">
        <v>1798</v>
      </c>
    </row>
    <row r="261" customFormat="false" ht="15" hidden="false" customHeight="true" outlineLevel="0" collapsed="false">
      <c r="A261" s="13" t="s">
        <v>92</v>
      </c>
      <c r="B261" s="13" t="s">
        <v>765</v>
      </c>
      <c r="C261" s="11" t="s">
        <v>766</v>
      </c>
      <c r="D261" s="13" t="s">
        <v>1799</v>
      </c>
      <c r="E261" s="13" t="s">
        <v>1800</v>
      </c>
      <c r="F261" s="13" t="s">
        <v>1801</v>
      </c>
      <c r="G261" s="13" t="s">
        <v>1802</v>
      </c>
      <c r="H261" s="13" t="s">
        <v>1803</v>
      </c>
    </row>
    <row r="262" customFormat="false" ht="15" hidden="false" customHeight="true" outlineLevel="0" collapsed="false">
      <c r="A262" s="13" t="s">
        <v>92</v>
      </c>
      <c r="B262" s="13" t="s">
        <v>772</v>
      </c>
      <c r="C262" s="11" t="s">
        <v>773</v>
      </c>
      <c r="D262" s="13" t="s">
        <v>1804</v>
      </c>
      <c r="E262" s="13" t="s">
        <v>1805</v>
      </c>
      <c r="F262" s="13" t="s">
        <v>1806</v>
      </c>
      <c r="G262" s="13" t="s">
        <v>1807</v>
      </c>
      <c r="H262" s="13" t="s">
        <v>1808</v>
      </c>
    </row>
    <row r="263" customFormat="false" ht="15" hidden="false" customHeight="true" outlineLevel="0" collapsed="false">
      <c r="A263" s="13" t="s">
        <v>92</v>
      </c>
      <c r="B263" s="13" t="s">
        <v>779</v>
      </c>
      <c r="C263" s="11" t="s">
        <v>780</v>
      </c>
      <c r="D263" s="13" t="s">
        <v>1809</v>
      </c>
      <c r="E263" s="13" t="s">
        <v>1810</v>
      </c>
      <c r="F263" s="13" t="s">
        <v>1811</v>
      </c>
      <c r="G263" s="13" t="s">
        <v>1812</v>
      </c>
      <c r="H263" s="13" t="s">
        <v>1813</v>
      </c>
    </row>
    <row r="264" customFormat="false" ht="15" hidden="false" customHeight="true" outlineLevel="0" collapsed="false">
      <c r="A264" s="13" t="s">
        <v>92</v>
      </c>
      <c r="B264" s="13" t="s">
        <v>786</v>
      </c>
      <c r="C264" s="11" t="s">
        <v>787</v>
      </c>
      <c r="D264" s="13" t="s">
        <v>1814</v>
      </c>
      <c r="E264" s="13" t="s">
        <v>1815</v>
      </c>
      <c r="F264" s="13" t="s">
        <v>1816</v>
      </c>
      <c r="G264" s="13" t="s">
        <v>1817</v>
      </c>
      <c r="H264" s="13" t="s">
        <v>1818</v>
      </c>
    </row>
    <row r="265" customFormat="false" ht="15" hidden="false" customHeight="true" outlineLevel="0" collapsed="false">
      <c r="A265" s="13" t="s">
        <v>92</v>
      </c>
      <c r="B265" s="13" t="s">
        <v>793</v>
      </c>
      <c r="C265" s="11" t="s">
        <v>794</v>
      </c>
      <c r="D265" s="13" t="s">
        <v>1819</v>
      </c>
      <c r="E265" s="13" t="s">
        <v>1820</v>
      </c>
      <c r="F265" s="13" t="s">
        <v>1821</v>
      </c>
      <c r="G265" s="13" t="s">
        <v>1822</v>
      </c>
      <c r="H265" s="13" t="s">
        <v>1823</v>
      </c>
    </row>
    <row r="266" customFormat="false" ht="15" hidden="false" customHeight="true" outlineLevel="0" collapsed="false">
      <c r="A266" s="13" t="s">
        <v>92</v>
      </c>
      <c r="B266" s="13" t="s">
        <v>800</v>
      </c>
      <c r="C266" s="11" t="s">
        <v>801</v>
      </c>
      <c r="D266" s="13" t="s">
        <v>1566</v>
      </c>
      <c r="E266" s="13" t="s">
        <v>1824</v>
      </c>
      <c r="F266" s="13" t="s">
        <v>1825</v>
      </c>
      <c r="G266" s="13" t="s">
        <v>1826</v>
      </c>
      <c r="H266" s="13" t="s">
        <v>1827</v>
      </c>
    </row>
    <row r="267" customFormat="false" ht="15" hidden="false" customHeight="true" outlineLevel="0" collapsed="false">
      <c r="A267" s="13" t="s">
        <v>92</v>
      </c>
      <c r="B267" s="13" t="s">
        <v>806</v>
      </c>
      <c r="C267" s="11" t="s">
        <v>807</v>
      </c>
      <c r="D267" s="13" t="s">
        <v>1828</v>
      </c>
      <c r="E267" s="13" t="s">
        <v>1829</v>
      </c>
      <c r="F267" s="13" t="s">
        <v>1830</v>
      </c>
      <c r="G267" s="13" t="s">
        <v>1831</v>
      </c>
      <c r="H267" s="13" t="s">
        <v>1832</v>
      </c>
    </row>
    <row r="268" customFormat="false" ht="15" hidden="false" customHeight="true" outlineLevel="0" collapsed="false">
      <c r="A268" s="13" t="s">
        <v>92</v>
      </c>
      <c r="B268" s="13" t="s">
        <v>813</v>
      </c>
      <c r="C268" s="11" t="s">
        <v>814</v>
      </c>
      <c r="D268" s="13" t="s">
        <v>1833</v>
      </c>
      <c r="E268" s="13" t="s">
        <v>1834</v>
      </c>
      <c r="F268" s="13" t="s">
        <v>1835</v>
      </c>
      <c r="G268" s="13" t="s">
        <v>1836</v>
      </c>
      <c r="H268" s="13" t="s">
        <v>1837</v>
      </c>
    </row>
    <row r="269" customFormat="false" ht="15" hidden="false" customHeight="true" outlineLevel="0" collapsed="false">
      <c r="A269" s="13" t="s">
        <v>92</v>
      </c>
      <c r="B269" s="13" t="s">
        <v>820</v>
      </c>
      <c r="C269" s="11" t="s">
        <v>821</v>
      </c>
      <c r="D269" s="13" t="s">
        <v>1838</v>
      </c>
      <c r="E269" s="13" t="s">
        <v>1839</v>
      </c>
      <c r="F269" s="13" t="s">
        <v>1840</v>
      </c>
      <c r="G269" s="13" t="s">
        <v>1841</v>
      </c>
      <c r="H269" s="13" t="s">
        <v>1842</v>
      </c>
    </row>
    <row r="270" customFormat="false" ht="15" hidden="false" customHeight="true" outlineLevel="0" collapsed="false">
      <c r="A270" s="13" t="s">
        <v>92</v>
      </c>
      <c r="B270" s="13" t="s">
        <v>827</v>
      </c>
      <c r="C270" s="11" t="s">
        <v>828</v>
      </c>
      <c r="D270" s="13" t="s">
        <v>1843</v>
      </c>
      <c r="E270" s="13" t="s">
        <v>1844</v>
      </c>
      <c r="F270" s="13" t="s">
        <v>1845</v>
      </c>
      <c r="G270" s="13" t="s">
        <v>1846</v>
      </c>
      <c r="H270" s="13" t="s">
        <v>1847</v>
      </c>
    </row>
    <row r="271" customFormat="false" ht="15" hidden="false" customHeight="true" outlineLevel="0" collapsed="false">
      <c r="A271" s="13" t="s">
        <v>92</v>
      </c>
      <c r="B271" s="13" t="s">
        <v>834</v>
      </c>
      <c r="C271" s="11" t="s">
        <v>835</v>
      </c>
      <c r="D271" s="13" t="s">
        <v>1848</v>
      </c>
      <c r="E271" s="13" t="s">
        <v>1849</v>
      </c>
      <c r="F271" s="13" t="s">
        <v>1850</v>
      </c>
      <c r="G271" s="13" t="s">
        <v>1851</v>
      </c>
      <c r="H271" s="13" t="s">
        <v>1852</v>
      </c>
    </row>
    <row r="272" customFormat="false" ht="15" hidden="false" customHeight="true" outlineLevel="0" collapsed="false">
      <c r="A272" s="13" t="s">
        <v>92</v>
      </c>
      <c r="B272" s="13" t="s">
        <v>841</v>
      </c>
      <c r="C272" s="11" t="s">
        <v>842</v>
      </c>
      <c r="D272" s="13" t="s">
        <v>1853</v>
      </c>
      <c r="E272" s="13" t="s">
        <v>1854</v>
      </c>
      <c r="F272" s="13" t="s">
        <v>1855</v>
      </c>
      <c r="G272" s="13" t="s">
        <v>1856</v>
      </c>
      <c r="H272" s="13" t="s">
        <v>1857</v>
      </c>
    </row>
    <row r="273" customFormat="false" ht="15" hidden="false" customHeight="true" outlineLevel="0" collapsed="false">
      <c r="A273" s="13" t="s">
        <v>92</v>
      </c>
      <c r="B273" s="13" t="s">
        <v>848</v>
      </c>
      <c r="C273" s="11" t="s">
        <v>849</v>
      </c>
      <c r="D273" s="13" t="s">
        <v>1858</v>
      </c>
      <c r="E273" s="13" t="s">
        <v>1859</v>
      </c>
      <c r="F273" s="13" t="s">
        <v>1860</v>
      </c>
      <c r="G273" s="13" t="s">
        <v>1861</v>
      </c>
      <c r="H273" s="13" t="s">
        <v>1862</v>
      </c>
    </row>
    <row r="274" customFormat="false" ht="15" hidden="false" customHeight="true" outlineLevel="0" collapsed="false">
      <c r="A274" s="13" t="s">
        <v>92</v>
      </c>
      <c r="B274" s="13" t="s">
        <v>855</v>
      </c>
      <c r="C274" s="11" t="s">
        <v>856</v>
      </c>
      <c r="D274" s="13" t="s">
        <v>1863</v>
      </c>
      <c r="E274" s="13" t="s">
        <v>1864</v>
      </c>
      <c r="F274" s="13" t="s">
        <v>1865</v>
      </c>
      <c r="G274" s="13" t="s">
        <v>1866</v>
      </c>
      <c r="H274" s="13" t="s">
        <v>1867</v>
      </c>
    </row>
    <row r="275" customFormat="false" ht="15" hidden="false" customHeight="true" outlineLevel="0" collapsed="false">
      <c r="A275" s="13" t="s">
        <v>92</v>
      </c>
      <c r="B275" s="13" t="s">
        <v>862</v>
      </c>
      <c r="C275" s="11" t="s">
        <v>863</v>
      </c>
      <c r="D275" s="13" t="s">
        <v>1868</v>
      </c>
      <c r="E275" s="13" t="s">
        <v>1869</v>
      </c>
      <c r="F275" s="13" t="s">
        <v>1870</v>
      </c>
      <c r="G275" s="13" t="s">
        <v>1871</v>
      </c>
      <c r="H275" s="13" t="s">
        <v>1872</v>
      </c>
    </row>
    <row r="276" customFormat="false" ht="15" hidden="false" customHeight="true" outlineLevel="0" collapsed="false">
      <c r="A276" s="13" t="s">
        <v>92</v>
      </c>
      <c r="B276" s="13" t="s">
        <v>869</v>
      </c>
      <c r="C276" s="11" t="s">
        <v>870</v>
      </c>
      <c r="D276" s="13" t="s">
        <v>1873</v>
      </c>
      <c r="E276" s="13" t="s">
        <v>1874</v>
      </c>
      <c r="F276" s="13" t="s">
        <v>1875</v>
      </c>
      <c r="G276" s="13" t="s">
        <v>1876</v>
      </c>
      <c r="H276" s="13" t="s">
        <v>1877</v>
      </c>
    </row>
    <row r="277" customFormat="false" ht="15" hidden="false" customHeight="true" outlineLevel="0" collapsed="false">
      <c r="A277" s="13" t="s">
        <v>92</v>
      </c>
      <c r="B277" s="13" t="s">
        <v>876</v>
      </c>
      <c r="C277" s="11" t="s">
        <v>877</v>
      </c>
      <c r="D277" s="13" t="s">
        <v>1878</v>
      </c>
      <c r="E277" s="13" t="s">
        <v>1879</v>
      </c>
      <c r="F277" s="13" t="s">
        <v>1880</v>
      </c>
      <c r="G277" s="13" t="s">
        <v>1881</v>
      </c>
      <c r="H277" s="13" t="s">
        <v>1882</v>
      </c>
    </row>
    <row r="278" customFormat="false" ht="15" hidden="false" customHeight="true" outlineLevel="0" collapsed="false">
      <c r="A278" s="13" t="s">
        <v>92</v>
      </c>
      <c r="B278" s="13" t="s">
        <v>883</v>
      </c>
      <c r="C278" s="11" t="s">
        <v>884</v>
      </c>
      <c r="D278" s="13" t="s">
        <v>1883</v>
      </c>
      <c r="E278" s="13" t="s">
        <v>1884</v>
      </c>
      <c r="F278" s="13" t="s">
        <v>1885</v>
      </c>
      <c r="G278" s="13" t="s">
        <v>1886</v>
      </c>
      <c r="H278" s="13" t="s">
        <v>1887</v>
      </c>
    </row>
    <row r="279" customFormat="false" ht="15" hidden="false" customHeight="true" outlineLevel="0" collapsed="false">
      <c r="A279" s="13" t="s">
        <v>92</v>
      </c>
      <c r="B279" s="13" t="s">
        <v>890</v>
      </c>
      <c r="C279" s="11" t="s">
        <v>891</v>
      </c>
      <c r="D279" s="13" t="s">
        <v>1888</v>
      </c>
      <c r="E279" s="13" t="s">
        <v>1889</v>
      </c>
      <c r="F279" s="13" t="s">
        <v>1890</v>
      </c>
      <c r="G279" s="13" t="s">
        <v>1891</v>
      </c>
      <c r="H279" s="13" t="s">
        <v>1892</v>
      </c>
    </row>
    <row r="280" customFormat="false" ht="15" hidden="false" customHeight="true" outlineLevel="0" collapsed="false">
      <c r="A280" s="13" t="s">
        <v>92</v>
      </c>
      <c r="B280" s="13" t="s">
        <v>897</v>
      </c>
      <c r="C280" s="11" t="s">
        <v>898</v>
      </c>
      <c r="D280" s="13" t="s">
        <v>1893</v>
      </c>
      <c r="E280" s="13" t="s">
        <v>1894</v>
      </c>
      <c r="F280" s="13" t="s">
        <v>1895</v>
      </c>
      <c r="G280" s="13" t="s">
        <v>1896</v>
      </c>
      <c r="H280" s="13" t="s">
        <v>1897</v>
      </c>
    </row>
    <row r="281" customFormat="false" ht="15" hidden="false" customHeight="true" outlineLevel="0" collapsed="false">
      <c r="A281" s="13" t="s">
        <v>92</v>
      </c>
      <c r="B281" s="13" t="s">
        <v>904</v>
      </c>
      <c r="C281" s="11" t="s">
        <v>905</v>
      </c>
      <c r="D281" s="13" t="s">
        <v>1898</v>
      </c>
      <c r="E281" s="13" t="s">
        <v>1899</v>
      </c>
      <c r="F281" s="13" t="s">
        <v>1900</v>
      </c>
      <c r="G281" s="13" t="s">
        <v>1901</v>
      </c>
      <c r="H281" s="13" t="s">
        <v>1902</v>
      </c>
    </row>
    <row r="282" customFormat="false" ht="15" hidden="false" customHeight="true" outlineLevel="0" collapsed="false">
      <c r="A282" s="13" t="s">
        <v>92</v>
      </c>
      <c r="B282" s="13" t="s">
        <v>911</v>
      </c>
      <c r="C282" s="11" t="s">
        <v>912</v>
      </c>
      <c r="D282" s="13" t="s">
        <v>1903</v>
      </c>
      <c r="E282" s="13" t="s">
        <v>1904</v>
      </c>
      <c r="F282" s="13" t="s">
        <v>1905</v>
      </c>
      <c r="G282" s="13" t="s">
        <v>1906</v>
      </c>
      <c r="H282" s="13" t="s">
        <v>1907</v>
      </c>
    </row>
    <row r="283" customFormat="false" ht="15" hidden="false" customHeight="true" outlineLevel="0" collapsed="false">
      <c r="A283" s="13" t="s">
        <v>92</v>
      </c>
      <c r="B283" s="13" t="s">
        <v>918</v>
      </c>
      <c r="C283" s="11" t="s">
        <v>919</v>
      </c>
      <c r="D283" s="13" t="s">
        <v>1908</v>
      </c>
      <c r="E283" s="13" t="s">
        <v>1909</v>
      </c>
      <c r="F283" s="13" t="s">
        <v>1910</v>
      </c>
      <c r="G283" s="13" t="s">
        <v>1911</v>
      </c>
      <c r="H283" s="13" t="s">
        <v>1912</v>
      </c>
    </row>
    <row r="284" customFormat="false" ht="15" hidden="false" customHeight="true" outlineLevel="0" collapsed="false">
      <c r="A284" s="13" t="s">
        <v>92</v>
      </c>
      <c r="B284" s="13" t="s">
        <v>925</v>
      </c>
      <c r="C284" s="11" t="s">
        <v>926</v>
      </c>
      <c r="D284" s="13" t="s">
        <v>1913</v>
      </c>
      <c r="E284" s="13" t="s">
        <v>1914</v>
      </c>
      <c r="F284" s="13" t="s">
        <v>1915</v>
      </c>
      <c r="G284" s="13" t="s">
        <v>1916</v>
      </c>
      <c r="H284" s="13" t="s">
        <v>1917</v>
      </c>
    </row>
    <row r="285" customFormat="false" ht="15" hidden="false" customHeight="true" outlineLevel="0" collapsed="false">
      <c r="A285" s="13" t="s">
        <v>92</v>
      </c>
      <c r="B285" s="13" t="s">
        <v>932</v>
      </c>
      <c r="C285" s="11" t="s">
        <v>933</v>
      </c>
      <c r="D285" s="13" t="s">
        <v>1918</v>
      </c>
      <c r="E285" s="13" t="s">
        <v>1919</v>
      </c>
      <c r="F285" s="13" t="s">
        <v>1920</v>
      </c>
      <c r="G285" s="13" t="s">
        <v>1921</v>
      </c>
      <c r="H285" s="13" t="s">
        <v>1922</v>
      </c>
    </row>
    <row r="286" customFormat="false" ht="15" hidden="false" customHeight="true" outlineLevel="0" collapsed="false">
      <c r="A286" s="13" t="s">
        <v>92</v>
      </c>
      <c r="B286" s="13" t="s">
        <v>939</v>
      </c>
      <c r="C286" s="11" t="s">
        <v>940</v>
      </c>
      <c r="D286" s="13" t="s">
        <v>1923</v>
      </c>
      <c r="E286" s="13" t="s">
        <v>1924</v>
      </c>
      <c r="F286" s="13" t="s">
        <v>1925</v>
      </c>
      <c r="G286" s="13" t="s">
        <v>1926</v>
      </c>
      <c r="H286" s="13" t="s">
        <v>1927</v>
      </c>
    </row>
    <row r="287" customFormat="false" ht="15" hidden="false" customHeight="true" outlineLevel="0" collapsed="false">
      <c r="A287" s="13" t="s">
        <v>92</v>
      </c>
      <c r="B287" s="13" t="s">
        <v>946</v>
      </c>
      <c r="C287" s="11" t="s">
        <v>947</v>
      </c>
      <c r="D287" s="13" t="s">
        <v>1928</v>
      </c>
      <c r="E287" s="13" t="s">
        <v>1929</v>
      </c>
      <c r="F287" s="13" t="s">
        <v>1930</v>
      </c>
      <c r="G287" s="13" t="s">
        <v>1931</v>
      </c>
      <c r="H287" s="13" t="s">
        <v>1932</v>
      </c>
    </row>
    <row r="288" customFormat="false" ht="15" hidden="false" customHeight="true" outlineLevel="0" collapsed="false">
      <c r="A288" s="13" t="s">
        <v>92</v>
      </c>
      <c r="B288" s="13" t="s">
        <v>953</v>
      </c>
      <c r="C288" s="11" t="s">
        <v>954</v>
      </c>
      <c r="D288" s="13" t="s">
        <v>1933</v>
      </c>
      <c r="E288" s="13" t="s">
        <v>1934</v>
      </c>
      <c r="F288" s="13" t="s">
        <v>1935</v>
      </c>
      <c r="G288" s="13" t="s">
        <v>1936</v>
      </c>
      <c r="H288" s="13" t="s">
        <v>1937</v>
      </c>
    </row>
    <row r="289" customFormat="false" ht="15" hidden="false" customHeight="true" outlineLevel="0" collapsed="false">
      <c r="A289" s="13" t="s">
        <v>92</v>
      </c>
      <c r="B289" s="13" t="s">
        <v>960</v>
      </c>
      <c r="C289" s="11" t="s">
        <v>961</v>
      </c>
      <c r="D289" s="13" t="s">
        <v>1938</v>
      </c>
      <c r="E289" s="13" t="s">
        <v>1939</v>
      </c>
      <c r="F289" s="13" t="s">
        <v>1940</v>
      </c>
      <c r="G289" s="13" t="s">
        <v>1941</v>
      </c>
      <c r="H289" s="13" t="s">
        <v>1942</v>
      </c>
    </row>
    <row r="290" customFormat="false" ht="15" hidden="false" customHeight="true" outlineLevel="0" collapsed="false">
      <c r="A290" s="13" t="s">
        <v>92</v>
      </c>
      <c r="B290" s="13" t="s">
        <v>967</v>
      </c>
      <c r="C290" s="11" t="s">
        <v>968</v>
      </c>
      <c r="D290" s="13" t="s">
        <v>1711</v>
      </c>
      <c r="E290" s="13" t="s">
        <v>1943</v>
      </c>
      <c r="F290" s="13" t="s">
        <v>1944</v>
      </c>
      <c r="G290" s="13" t="s">
        <v>1945</v>
      </c>
      <c r="H290" s="13" t="s">
        <v>1946</v>
      </c>
    </row>
    <row r="291" customFormat="false" ht="15" hidden="false" customHeight="true" outlineLevel="0" collapsed="false">
      <c r="A291" s="13" t="s">
        <v>92</v>
      </c>
      <c r="B291" s="13" t="s">
        <v>974</v>
      </c>
      <c r="C291" s="11" t="s">
        <v>975</v>
      </c>
      <c r="D291" s="13" t="s">
        <v>1947</v>
      </c>
      <c r="E291" s="13" t="s">
        <v>1948</v>
      </c>
      <c r="F291" s="13" t="s">
        <v>1949</v>
      </c>
      <c r="G291" s="13" t="s">
        <v>1950</v>
      </c>
      <c r="H291" s="13" t="s">
        <v>1951</v>
      </c>
    </row>
    <row r="292" customFormat="false" ht="15" hidden="false" customHeight="true" outlineLevel="0" collapsed="false">
      <c r="A292" s="13" t="s">
        <v>92</v>
      </c>
      <c r="B292" s="13" t="s">
        <v>981</v>
      </c>
      <c r="C292" s="11" t="s">
        <v>982</v>
      </c>
      <c r="D292" s="13" t="s">
        <v>1952</v>
      </c>
      <c r="E292" s="13" t="s">
        <v>1953</v>
      </c>
      <c r="F292" s="13" t="s">
        <v>1270</v>
      </c>
      <c r="G292" s="13" t="s">
        <v>1954</v>
      </c>
      <c r="H292" s="13" t="s">
        <v>1955</v>
      </c>
    </row>
    <row r="293" customFormat="false" ht="15" hidden="false" customHeight="true" outlineLevel="0" collapsed="false">
      <c r="A293" s="13" t="s">
        <v>92</v>
      </c>
      <c r="B293" s="13" t="s">
        <v>988</v>
      </c>
      <c r="C293" s="11" t="s">
        <v>989</v>
      </c>
      <c r="D293" s="13" t="s">
        <v>1956</v>
      </c>
      <c r="E293" s="13" t="s">
        <v>1957</v>
      </c>
      <c r="F293" s="13" t="s">
        <v>1958</v>
      </c>
      <c r="G293" s="13" t="s">
        <v>1959</v>
      </c>
      <c r="H293" s="13" t="s">
        <v>1960</v>
      </c>
    </row>
    <row r="294" customFormat="false" ht="15" hidden="false" customHeight="true" outlineLevel="0" collapsed="false">
      <c r="A294" s="13" t="s">
        <v>92</v>
      </c>
      <c r="B294" s="13" t="s">
        <v>995</v>
      </c>
      <c r="C294" s="11" t="s">
        <v>996</v>
      </c>
      <c r="D294" s="13" t="s">
        <v>1961</v>
      </c>
      <c r="E294" s="13" t="s">
        <v>1962</v>
      </c>
      <c r="F294" s="13" t="s">
        <v>1963</v>
      </c>
      <c r="G294" s="13" t="s">
        <v>1964</v>
      </c>
      <c r="H294" s="13" t="s">
        <v>1965</v>
      </c>
    </row>
    <row r="295" customFormat="false" ht="15" hidden="false" customHeight="true" outlineLevel="0" collapsed="false">
      <c r="A295" s="13" t="s">
        <v>92</v>
      </c>
      <c r="B295" s="13" t="s">
        <v>1002</v>
      </c>
      <c r="C295" s="11" t="s">
        <v>1003</v>
      </c>
      <c r="D295" s="13" t="s">
        <v>1966</v>
      </c>
      <c r="E295" s="13" t="s">
        <v>1967</v>
      </c>
      <c r="F295" s="13" t="s">
        <v>1968</v>
      </c>
      <c r="G295" s="13" t="s">
        <v>1969</v>
      </c>
      <c r="H295" s="13" t="s">
        <v>1970</v>
      </c>
    </row>
    <row r="296" customFormat="false" ht="15" hidden="false" customHeight="true" outlineLevel="0" collapsed="false">
      <c r="A296" s="13" t="s">
        <v>92</v>
      </c>
      <c r="B296" s="13" t="s">
        <v>1009</v>
      </c>
      <c r="C296" s="11" t="s">
        <v>1010</v>
      </c>
      <c r="D296" s="13" t="s">
        <v>1971</v>
      </c>
      <c r="E296" s="13" t="s">
        <v>1972</v>
      </c>
      <c r="F296" s="13" t="s">
        <v>1973</v>
      </c>
      <c r="G296" s="13" t="s">
        <v>1974</v>
      </c>
      <c r="H296" s="13" t="s">
        <v>1975</v>
      </c>
    </row>
    <row r="297" customFormat="false" ht="15" hidden="false" customHeight="true" outlineLevel="0" collapsed="false">
      <c r="A297" s="13" t="s">
        <v>101</v>
      </c>
      <c r="B297" s="13" t="s">
        <v>345</v>
      </c>
      <c r="C297" s="11" t="s">
        <v>346</v>
      </c>
      <c r="D297" s="13" t="s">
        <v>1976</v>
      </c>
      <c r="E297" s="13" t="s">
        <v>1281</v>
      </c>
      <c r="F297" s="13" t="s">
        <v>1977</v>
      </c>
      <c r="G297" s="13" t="s">
        <v>1978</v>
      </c>
      <c r="H297" s="13" t="s">
        <v>1979</v>
      </c>
    </row>
    <row r="298" customFormat="false" ht="15" hidden="false" customHeight="true" outlineLevel="0" collapsed="false">
      <c r="A298" s="13" t="s">
        <v>101</v>
      </c>
      <c r="B298" s="13" t="s">
        <v>352</v>
      </c>
      <c r="C298" s="11" t="s">
        <v>353</v>
      </c>
      <c r="D298" s="13" t="s">
        <v>1980</v>
      </c>
      <c r="E298" s="13" t="s">
        <v>1981</v>
      </c>
      <c r="F298" s="13" t="s">
        <v>1982</v>
      </c>
      <c r="G298" s="13" t="s">
        <v>1983</v>
      </c>
      <c r="H298" s="13" t="s">
        <v>1984</v>
      </c>
    </row>
    <row r="299" customFormat="false" ht="15" hidden="false" customHeight="true" outlineLevel="0" collapsed="false">
      <c r="A299" s="13" t="s">
        <v>101</v>
      </c>
      <c r="B299" s="13" t="s">
        <v>359</v>
      </c>
      <c r="C299" s="11" t="s">
        <v>360</v>
      </c>
      <c r="D299" s="13" t="s">
        <v>1985</v>
      </c>
      <c r="E299" s="13" t="s">
        <v>1986</v>
      </c>
      <c r="F299" s="13" t="s">
        <v>1987</v>
      </c>
      <c r="G299" s="13" t="s">
        <v>1988</v>
      </c>
      <c r="H299" s="13" t="s">
        <v>1989</v>
      </c>
    </row>
    <row r="300" customFormat="false" ht="15" hidden="false" customHeight="true" outlineLevel="0" collapsed="false">
      <c r="A300" s="13" t="s">
        <v>101</v>
      </c>
      <c r="B300" s="13" t="s">
        <v>366</v>
      </c>
      <c r="C300" s="11" t="s">
        <v>367</v>
      </c>
      <c r="D300" s="13" t="s">
        <v>1990</v>
      </c>
      <c r="E300" s="13" t="s">
        <v>1991</v>
      </c>
      <c r="F300" s="13" t="s">
        <v>1992</v>
      </c>
      <c r="G300" s="13" t="s">
        <v>1993</v>
      </c>
      <c r="H300" s="13" t="s">
        <v>1994</v>
      </c>
    </row>
    <row r="301" customFormat="false" ht="15" hidden="false" customHeight="true" outlineLevel="0" collapsed="false">
      <c r="A301" s="13" t="s">
        <v>101</v>
      </c>
      <c r="B301" s="13" t="s">
        <v>373</v>
      </c>
      <c r="C301" s="11" t="s">
        <v>374</v>
      </c>
      <c r="D301" s="13" t="s">
        <v>1995</v>
      </c>
      <c r="E301" s="13" t="s">
        <v>1996</v>
      </c>
      <c r="F301" s="13" t="s">
        <v>1997</v>
      </c>
      <c r="G301" s="13" t="s">
        <v>1998</v>
      </c>
      <c r="H301" s="13" t="s">
        <v>1999</v>
      </c>
    </row>
    <row r="302" customFormat="false" ht="15" hidden="false" customHeight="true" outlineLevel="0" collapsed="false">
      <c r="A302" s="13" t="s">
        <v>101</v>
      </c>
      <c r="B302" s="13" t="s">
        <v>380</v>
      </c>
      <c r="C302" s="11" t="s">
        <v>381</v>
      </c>
      <c r="D302" s="13" t="s">
        <v>2000</v>
      </c>
      <c r="E302" s="13" t="s">
        <v>2001</v>
      </c>
      <c r="F302" s="13" t="s">
        <v>2002</v>
      </c>
      <c r="G302" s="13" t="s">
        <v>2003</v>
      </c>
      <c r="H302" s="13" t="s">
        <v>2004</v>
      </c>
    </row>
    <row r="303" customFormat="false" ht="15" hidden="false" customHeight="true" outlineLevel="0" collapsed="false">
      <c r="A303" s="13" t="s">
        <v>101</v>
      </c>
      <c r="B303" s="13" t="s">
        <v>387</v>
      </c>
      <c r="C303" s="11" t="s">
        <v>388</v>
      </c>
      <c r="D303" s="13" t="s">
        <v>2005</v>
      </c>
      <c r="E303" s="13" t="s">
        <v>2006</v>
      </c>
      <c r="F303" s="13" t="s">
        <v>2007</v>
      </c>
      <c r="G303" s="13" t="s">
        <v>2008</v>
      </c>
      <c r="H303" s="13" t="s">
        <v>2009</v>
      </c>
    </row>
    <row r="304" customFormat="false" ht="15" hidden="false" customHeight="true" outlineLevel="0" collapsed="false">
      <c r="A304" s="13" t="s">
        <v>101</v>
      </c>
      <c r="B304" s="13" t="s">
        <v>394</v>
      </c>
      <c r="C304" s="11" t="s">
        <v>395</v>
      </c>
      <c r="D304" s="13" t="s">
        <v>2010</v>
      </c>
      <c r="E304" s="13" t="s">
        <v>2011</v>
      </c>
      <c r="F304" s="13" t="s">
        <v>2012</v>
      </c>
      <c r="G304" s="13" t="s">
        <v>2013</v>
      </c>
      <c r="H304" s="13" t="s">
        <v>2014</v>
      </c>
    </row>
    <row r="305" customFormat="false" ht="15" hidden="false" customHeight="true" outlineLevel="0" collapsed="false">
      <c r="A305" s="13" t="s">
        <v>101</v>
      </c>
      <c r="B305" s="13" t="s">
        <v>401</v>
      </c>
      <c r="C305" s="11" t="s">
        <v>402</v>
      </c>
      <c r="D305" s="13" t="s">
        <v>2015</v>
      </c>
      <c r="E305" s="13" t="s">
        <v>2016</v>
      </c>
      <c r="F305" s="13" t="s">
        <v>370</v>
      </c>
      <c r="G305" s="13" t="s">
        <v>2017</v>
      </c>
      <c r="H305" s="13" t="s">
        <v>2018</v>
      </c>
    </row>
    <row r="306" customFormat="false" ht="15" hidden="false" customHeight="true" outlineLevel="0" collapsed="false">
      <c r="A306" s="13" t="s">
        <v>101</v>
      </c>
      <c r="B306" s="13" t="s">
        <v>408</v>
      </c>
      <c r="C306" s="11" t="s">
        <v>409</v>
      </c>
      <c r="D306" s="13" t="s">
        <v>2019</v>
      </c>
      <c r="E306" s="13" t="s">
        <v>2020</v>
      </c>
      <c r="F306" s="13" t="s">
        <v>2021</v>
      </c>
      <c r="G306" s="13" t="s">
        <v>2022</v>
      </c>
      <c r="H306" s="13" t="s">
        <v>2023</v>
      </c>
    </row>
    <row r="307" customFormat="false" ht="15" hidden="false" customHeight="true" outlineLevel="0" collapsed="false">
      <c r="A307" s="13" t="s">
        <v>101</v>
      </c>
      <c r="B307" s="13" t="s">
        <v>415</v>
      </c>
      <c r="C307" s="11" t="s">
        <v>416</v>
      </c>
      <c r="D307" s="13" t="s">
        <v>2024</v>
      </c>
      <c r="E307" s="13" t="s">
        <v>2025</v>
      </c>
      <c r="F307" s="13" t="s">
        <v>2026</v>
      </c>
      <c r="G307" s="13" t="s">
        <v>2027</v>
      </c>
      <c r="H307" s="13" t="s">
        <v>2028</v>
      </c>
    </row>
    <row r="308" customFormat="false" ht="15" hidden="false" customHeight="true" outlineLevel="0" collapsed="false">
      <c r="A308" s="13" t="s">
        <v>101</v>
      </c>
      <c r="B308" s="13" t="s">
        <v>422</v>
      </c>
      <c r="C308" s="11" t="s">
        <v>423</v>
      </c>
      <c r="D308" s="13" t="s">
        <v>2029</v>
      </c>
      <c r="E308" s="13" t="s">
        <v>2030</v>
      </c>
      <c r="F308" s="13" t="s">
        <v>2031</v>
      </c>
      <c r="G308" s="13" t="s">
        <v>2032</v>
      </c>
      <c r="H308" s="13" t="s">
        <v>2033</v>
      </c>
    </row>
    <row r="309" customFormat="false" ht="15" hidden="false" customHeight="true" outlineLevel="0" collapsed="false">
      <c r="A309" s="13" t="s">
        <v>101</v>
      </c>
      <c r="B309" s="13" t="s">
        <v>429</v>
      </c>
      <c r="C309" s="11" t="s">
        <v>430</v>
      </c>
      <c r="D309" s="13" t="s">
        <v>2034</v>
      </c>
      <c r="E309" s="13" t="s">
        <v>2035</v>
      </c>
      <c r="F309" s="13" t="s">
        <v>2036</v>
      </c>
      <c r="G309" s="13" t="s">
        <v>2037</v>
      </c>
      <c r="H309" s="13" t="s">
        <v>2038</v>
      </c>
    </row>
    <row r="310" customFormat="false" ht="15" hidden="false" customHeight="true" outlineLevel="0" collapsed="false">
      <c r="A310" s="13" t="s">
        <v>101</v>
      </c>
      <c r="B310" s="13" t="s">
        <v>436</v>
      </c>
      <c r="C310" s="11" t="s">
        <v>437</v>
      </c>
      <c r="D310" s="13" t="s">
        <v>2039</v>
      </c>
      <c r="E310" s="13" t="s">
        <v>2040</v>
      </c>
      <c r="F310" s="13" t="s">
        <v>2041</v>
      </c>
      <c r="G310" s="13" t="s">
        <v>2042</v>
      </c>
      <c r="H310" s="13" t="s">
        <v>2043</v>
      </c>
    </row>
    <row r="311" customFormat="false" ht="15" hidden="false" customHeight="true" outlineLevel="0" collapsed="false">
      <c r="A311" s="13" t="s">
        <v>101</v>
      </c>
      <c r="B311" s="13" t="s">
        <v>443</v>
      </c>
      <c r="C311" s="11" t="s">
        <v>444</v>
      </c>
      <c r="D311" s="13" t="s">
        <v>2044</v>
      </c>
      <c r="E311" s="13" t="s">
        <v>2045</v>
      </c>
      <c r="F311" s="13" t="s">
        <v>2046</v>
      </c>
      <c r="G311" s="13" t="s">
        <v>2047</v>
      </c>
      <c r="H311" s="13" t="s">
        <v>2048</v>
      </c>
    </row>
    <row r="312" customFormat="false" ht="15" hidden="false" customHeight="true" outlineLevel="0" collapsed="false">
      <c r="A312" s="13" t="s">
        <v>101</v>
      </c>
      <c r="B312" s="13" t="s">
        <v>450</v>
      </c>
      <c r="C312" s="11" t="s">
        <v>451</v>
      </c>
      <c r="D312" s="13" t="s">
        <v>2049</v>
      </c>
      <c r="E312" s="13" t="s">
        <v>2050</v>
      </c>
      <c r="F312" s="13" t="s">
        <v>2051</v>
      </c>
      <c r="G312" s="13" t="s">
        <v>2052</v>
      </c>
      <c r="H312" s="13" t="s">
        <v>2053</v>
      </c>
    </row>
    <row r="313" customFormat="false" ht="15" hidden="false" customHeight="true" outlineLevel="0" collapsed="false">
      <c r="A313" s="13" t="s">
        <v>101</v>
      </c>
      <c r="B313" s="13" t="s">
        <v>457</v>
      </c>
      <c r="C313" s="11" t="s">
        <v>458</v>
      </c>
      <c r="D313" s="13" t="s">
        <v>2054</v>
      </c>
      <c r="E313" s="13" t="s">
        <v>2055</v>
      </c>
      <c r="F313" s="13" t="s">
        <v>2056</v>
      </c>
      <c r="G313" s="13" t="s">
        <v>2057</v>
      </c>
      <c r="H313" s="13" t="s">
        <v>2058</v>
      </c>
    </row>
    <row r="314" customFormat="false" ht="15" hidden="false" customHeight="true" outlineLevel="0" collapsed="false">
      <c r="A314" s="13" t="s">
        <v>101</v>
      </c>
      <c r="B314" s="13" t="s">
        <v>464</v>
      </c>
      <c r="C314" s="11" t="s">
        <v>465</v>
      </c>
      <c r="D314" s="13" t="s">
        <v>2059</v>
      </c>
      <c r="E314" s="13" t="s">
        <v>2060</v>
      </c>
      <c r="F314" s="13" t="s">
        <v>2061</v>
      </c>
      <c r="G314" s="13" t="s">
        <v>2062</v>
      </c>
      <c r="H314" s="13" t="s">
        <v>2063</v>
      </c>
    </row>
    <row r="315" customFormat="false" ht="15" hidden="false" customHeight="true" outlineLevel="0" collapsed="false">
      <c r="A315" s="13" t="s">
        <v>101</v>
      </c>
      <c r="B315" s="13" t="s">
        <v>471</v>
      </c>
      <c r="C315" s="11" t="s">
        <v>472</v>
      </c>
      <c r="D315" s="13" t="s">
        <v>2064</v>
      </c>
      <c r="E315" s="13" t="s">
        <v>2065</v>
      </c>
      <c r="F315" s="13" t="s">
        <v>2066</v>
      </c>
      <c r="G315" s="13" t="s">
        <v>2067</v>
      </c>
      <c r="H315" s="13" t="s">
        <v>2068</v>
      </c>
    </row>
    <row r="316" customFormat="false" ht="15" hidden="false" customHeight="true" outlineLevel="0" collapsed="false">
      <c r="A316" s="13" t="s">
        <v>101</v>
      </c>
      <c r="B316" s="13" t="s">
        <v>478</v>
      </c>
      <c r="C316" s="11" t="s">
        <v>479</v>
      </c>
      <c r="D316" s="13" t="s">
        <v>2069</v>
      </c>
      <c r="E316" s="13" t="s">
        <v>2070</v>
      </c>
      <c r="F316" s="13" t="s">
        <v>2071</v>
      </c>
      <c r="G316" s="13" t="s">
        <v>2072</v>
      </c>
      <c r="H316" s="13" t="s">
        <v>2073</v>
      </c>
    </row>
    <row r="317" customFormat="false" ht="15" hidden="false" customHeight="true" outlineLevel="0" collapsed="false">
      <c r="A317" s="13" t="s">
        <v>101</v>
      </c>
      <c r="B317" s="13" t="s">
        <v>485</v>
      </c>
      <c r="C317" s="11" t="s">
        <v>486</v>
      </c>
      <c r="D317" s="13" t="s">
        <v>2074</v>
      </c>
      <c r="E317" s="13" t="s">
        <v>2075</v>
      </c>
      <c r="F317" s="13" t="s">
        <v>2076</v>
      </c>
      <c r="G317" s="13" t="s">
        <v>2077</v>
      </c>
      <c r="H317" s="13" t="s">
        <v>2078</v>
      </c>
    </row>
    <row r="318" customFormat="false" ht="15" hidden="false" customHeight="true" outlineLevel="0" collapsed="false">
      <c r="A318" s="13" t="s">
        <v>101</v>
      </c>
      <c r="B318" s="13" t="s">
        <v>492</v>
      </c>
      <c r="C318" s="11" t="s">
        <v>493</v>
      </c>
      <c r="D318" s="13" t="s">
        <v>2079</v>
      </c>
      <c r="E318" s="13" t="s">
        <v>2080</v>
      </c>
      <c r="F318" s="13" t="s">
        <v>2081</v>
      </c>
      <c r="G318" s="13" t="s">
        <v>2082</v>
      </c>
      <c r="H318" s="13" t="s">
        <v>2083</v>
      </c>
    </row>
    <row r="319" customFormat="false" ht="15" hidden="false" customHeight="true" outlineLevel="0" collapsed="false">
      <c r="A319" s="13" t="s">
        <v>101</v>
      </c>
      <c r="B319" s="13" t="s">
        <v>499</v>
      </c>
      <c r="C319" s="11" t="s">
        <v>500</v>
      </c>
      <c r="D319" s="13" t="s">
        <v>2084</v>
      </c>
      <c r="E319" s="13" t="s">
        <v>2085</v>
      </c>
      <c r="F319" s="13" t="s">
        <v>2086</v>
      </c>
      <c r="G319" s="13" t="s">
        <v>2087</v>
      </c>
      <c r="H319" s="13" t="s">
        <v>2088</v>
      </c>
    </row>
    <row r="320" customFormat="false" ht="15" hidden="false" customHeight="true" outlineLevel="0" collapsed="false">
      <c r="A320" s="13" t="s">
        <v>101</v>
      </c>
      <c r="B320" s="13" t="s">
        <v>506</v>
      </c>
      <c r="C320" s="11" t="s">
        <v>507</v>
      </c>
      <c r="D320" s="13" t="s">
        <v>2089</v>
      </c>
      <c r="E320" s="13" t="s">
        <v>2090</v>
      </c>
      <c r="F320" s="13" t="s">
        <v>2091</v>
      </c>
      <c r="G320" s="13" t="s">
        <v>2092</v>
      </c>
      <c r="H320" s="13" t="s">
        <v>2093</v>
      </c>
    </row>
    <row r="321" customFormat="false" ht="15" hidden="false" customHeight="true" outlineLevel="0" collapsed="false">
      <c r="A321" s="13" t="s">
        <v>101</v>
      </c>
      <c r="B321" s="13" t="s">
        <v>513</v>
      </c>
      <c r="C321" s="11" t="s">
        <v>514</v>
      </c>
      <c r="D321" s="13" t="s">
        <v>2094</v>
      </c>
      <c r="E321" s="13" t="s">
        <v>2095</v>
      </c>
      <c r="F321" s="13" t="s">
        <v>2096</v>
      </c>
      <c r="G321" s="13" t="s">
        <v>2097</v>
      </c>
      <c r="H321" s="13" t="s">
        <v>2098</v>
      </c>
    </row>
    <row r="322" customFormat="false" ht="15" hidden="false" customHeight="true" outlineLevel="0" collapsed="false">
      <c r="A322" s="13" t="s">
        <v>101</v>
      </c>
      <c r="B322" s="13" t="s">
        <v>520</v>
      </c>
      <c r="C322" s="11" t="s">
        <v>521</v>
      </c>
      <c r="D322" s="13" t="s">
        <v>2099</v>
      </c>
      <c r="E322" s="13" t="s">
        <v>2100</v>
      </c>
      <c r="F322" s="13" t="s">
        <v>2101</v>
      </c>
      <c r="G322" s="13" t="s">
        <v>2102</v>
      </c>
      <c r="H322" s="13" t="s">
        <v>2103</v>
      </c>
    </row>
    <row r="323" customFormat="false" ht="15" hidden="false" customHeight="true" outlineLevel="0" collapsed="false">
      <c r="A323" s="13" t="s">
        <v>101</v>
      </c>
      <c r="B323" s="13" t="s">
        <v>527</v>
      </c>
      <c r="C323" s="11" t="s">
        <v>528</v>
      </c>
      <c r="D323" s="13" t="s">
        <v>2104</v>
      </c>
      <c r="E323" s="13" t="s">
        <v>2105</v>
      </c>
      <c r="F323" s="13" t="s">
        <v>2106</v>
      </c>
      <c r="G323" s="13" t="s">
        <v>2107</v>
      </c>
      <c r="H323" s="13" t="s">
        <v>2108</v>
      </c>
    </row>
    <row r="324" customFormat="false" ht="15" hidden="false" customHeight="true" outlineLevel="0" collapsed="false">
      <c r="A324" s="13" t="s">
        <v>101</v>
      </c>
      <c r="B324" s="13" t="s">
        <v>534</v>
      </c>
      <c r="C324" s="11" t="s">
        <v>535</v>
      </c>
      <c r="D324" s="13" t="s">
        <v>2109</v>
      </c>
      <c r="E324" s="13" t="s">
        <v>2110</v>
      </c>
      <c r="F324" s="13" t="s">
        <v>2111</v>
      </c>
      <c r="G324" s="13" t="s">
        <v>2112</v>
      </c>
      <c r="H324" s="13" t="s">
        <v>2113</v>
      </c>
    </row>
    <row r="325" customFormat="false" ht="15" hidden="false" customHeight="true" outlineLevel="0" collapsed="false">
      <c r="A325" s="13" t="s">
        <v>101</v>
      </c>
      <c r="B325" s="13" t="s">
        <v>541</v>
      </c>
      <c r="C325" s="11" t="s">
        <v>542</v>
      </c>
      <c r="D325" s="13" t="s">
        <v>2114</v>
      </c>
      <c r="E325" s="13" t="s">
        <v>2115</v>
      </c>
      <c r="F325" s="13" t="s">
        <v>2116</v>
      </c>
      <c r="G325" s="13" t="s">
        <v>2117</v>
      </c>
      <c r="H325" s="13" t="s">
        <v>2118</v>
      </c>
    </row>
    <row r="326" customFormat="false" ht="15" hidden="false" customHeight="true" outlineLevel="0" collapsed="false">
      <c r="A326" s="13" t="s">
        <v>101</v>
      </c>
      <c r="B326" s="13" t="s">
        <v>548</v>
      </c>
      <c r="C326" s="11" t="s">
        <v>549</v>
      </c>
      <c r="D326" s="13" t="s">
        <v>2119</v>
      </c>
      <c r="E326" s="13" t="s">
        <v>2120</v>
      </c>
      <c r="F326" s="13" t="s">
        <v>2121</v>
      </c>
      <c r="G326" s="13" t="s">
        <v>2122</v>
      </c>
      <c r="H326" s="13" t="s">
        <v>2123</v>
      </c>
    </row>
    <row r="327" customFormat="false" ht="15" hidden="false" customHeight="true" outlineLevel="0" collapsed="false">
      <c r="A327" s="13" t="s">
        <v>101</v>
      </c>
      <c r="B327" s="13" t="s">
        <v>555</v>
      </c>
      <c r="C327" s="11" t="s">
        <v>556</v>
      </c>
      <c r="D327" s="13" t="s">
        <v>2124</v>
      </c>
      <c r="E327" s="13" t="s">
        <v>2125</v>
      </c>
      <c r="F327" s="13" t="s">
        <v>2126</v>
      </c>
      <c r="G327" s="13" t="s">
        <v>2127</v>
      </c>
      <c r="H327" s="13" t="s">
        <v>2128</v>
      </c>
    </row>
    <row r="328" customFormat="false" ht="15" hidden="false" customHeight="true" outlineLevel="0" collapsed="false">
      <c r="A328" s="13" t="s">
        <v>101</v>
      </c>
      <c r="B328" s="13" t="s">
        <v>562</v>
      </c>
      <c r="C328" s="11" t="s">
        <v>563</v>
      </c>
      <c r="D328" s="13" t="s">
        <v>2129</v>
      </c>
      <c r="E328" s="13" t="s">
        <v>2130</v>
      </c>
      <c r="F328" s="13" t="s">
        <v>2131</v>
      </c>
      <c r="G328" s="13" t="s">
        <v>2132</v>
      </c>
      <c r="H328" s="13" t="s">
        <v>2133</v>
      </c>
    </row>
    <row r="329" customFormat="false" ht="15" hidden="false" customHeight="true" outlineLevel="0" collapsed="false">
      <c r="A329" s="13" t="s">
        <v>101</v>
      </c>
      <c r="B329" s="13" t="s">
        <v>569</v>
      </c>
      <c r="C329" s="11" t="s">
        <v>570</v>
      </c>
      <c r="D329" s="13" t="s">
        <v>2134</v>
      </c>
      <c r="E329" s="13" t="s">
        <v>2135</v>
      </c>
      <c r="F329" s="13" t="s">
        <v>2136</v>
      </c>
      <c r="G329" s="13" t="s">
        <v>2137</v>
      </c>
      <c r="H329" s="13" t="s">
        <v>2138</v>
      </c>
    </row>
    <row r="330" customFormat="false" ht="15" hidden="false" customHeight="true" outlineLevel="0" collapsed="false">
      <c r="A330" s="13" t="s">
        <v>101</v>
      </c>
      <c r="B330" s="13" t="s">
        <v>576</v>
      </c>
      <c r="C330" s="11" t="s">
        <v>577</v>
      </c>
      <c r="D330" s="13" t="s">
        <v>2139</v>
      </c>
      <c r="E330" s="13" t="s">
        <v>2140</v>
      </c>
      <c r="F330" s="13" t="s">
        <v>2141</v>
      </c>
      <c r="G330" s="13" t="s">
        <v>2142</v>
      </c>
      <c r="H330" s="13" t="s">
        <v>2143</v>
      </c>
    </row>
    <row r="331" customFormat="false" ht="15" hidden="false" customHeight="true" outlineLevel="0" collapsed="false">
      <c r="A331" s="13" t="s">
        <v>101</v>
      </c>
      <c r="B331" s="13" t="s">
        <v>583</v>
      </c>
      <c r="C331" s="11" t="s">
        <v>584</v>
      </c>
      <c r="D331" s="13" t="s">
        <v>2144</v>
      </c>
      <c r="E331" s="13" t="s">
        <v>2145</v>
      </c>
      <c r="F331" s="13" t="s">
        <v>2146</v>
      </c>
      <c r="G331" s="13" t="s">
        <v>2147</v>
      </c>
      <c r="H331" s="13" t="s">
        <v>2148</v>
      </c>
    </row>
    <row r="332" customFormat="false" ht="15" hidden="false" customHeight="true" outlineLevel="0" collapsed="false">
      <c r="A332" s="13" t="s">
        <v>101</v>
      </c>
      <c r="B332" s="13" t="s">
        <v>590</v>
      </c>
      <c r="C332" s="11" t="s">
        <v>591</v>
      </c>
      <c r="D332" s="13" t="s">
        <v>2149</v>
      </c>
      <c r="E332" s="13" t="s">
        <v>2150</v>
      </c>
      <c r="F332" s="13" t="s">
        <v>2151</v>
      </c>
      <c r="G332" s="13" t="s">
        <v>2152</v>
      </c>
      <c r="H332" s="13" t="s">
        <v>2153</v>
      </c>
    </row>
    <row r="333" customFormat="false" ht="15" hidden="false" customHeight="true" outlineLevel="0" collapsed="false">
      <c r="A333" s="13" t="s">
        <v>101</v>
      </c>
      <c r="B333" s="13" t="s">
        <v>597</v>
      </c>
      <c r="C333" s="11" t="s">
        <v>598</v>
      </c>
      <c r="D333" s="13" t="s">
        <v>2154</v>
      </c>
      <c r="E333" s="13" t="s">
        <v>2155</v>
      </c>
      <c r="F333" s="13" t="s">
        <v>2156</v>
      </c>
      <c r="G333" s="13" t="s">
        <v>2157</v>
      </c>
      <c r="H333" s="13" t="s">
        <v>2158</v>
      </c>
    </row>
    <row r="334" customFormat="false" ht="15" hidden="false" customHeight="true" outlineLevel="0" collapsed="false">
      <c r="A334" s="13" t="s">
        <v>101</v>
      </c>
      <c r="B334" s="13" t="s">
        <v>604</v>
      </c>
      <c r="C334" s="11" t="s">
        <v>605</v>
      </c>
      <c r="D334" s="13" t="s">
        <v>2159</v>
      </c>
      <c r="E334" s="13" t="s">
        <v>2160</v>
      </c>
      <c r="F334" s="13" t="s">
        <v>2161</v>
      </c>
      <c r="G334" s="13" t="s">
        <v>2162</v>
      </c>
      <c r="H334" s="13" t="s">
        <v>2163</v>
      </c>
    </row>
    <row r="335" customFormat="false" ht="15" hidden="false" customHeight="true" outlineLevel="0" collapsed="false">
      <c r="A335" s="13" t="s">
        <v>101</v>
      </c>
      <c r="B335" s="13" t="s">
        <v>611</v>
      </c>
      <c r="C335" s="11" t="s">
        <v>612</v>
      </c>
      <c r="D335" s="13" t="s">
        <v>2164</v>
      </c>
      <c r="E335" s="13" t="s">
        <v>2165</v>
      </c>
      <c r="F335" s="13" t="s">
        <v>2166</v>
      </c>
      <c r="G335" s="13" t="s">
        <v>2167</v>
      </c>
      <c r="H335" s="13" t="s">
        <v>2168</v>
      </c>
    </row>
    <row r="336" customFormat="false" ht="15" hidden="false" customHeight="true" outlineLevel="0" collapsed="false">
      <c r="A336" s="13" t="s">
        <v>101</v>
      </c>
      <c r="B336" s="13" t="s">
        <v>618</v>
      </c>
      <c r="C336" s="11" t="s">
        <v>619</v>
      </c>
      <c r="D336" s="13" t="s">
        <v>2169</v>
      </c>
      <c r="E336" s="13" t="s">
        <v>2170</v>
      </c>
      <c r="F336" s="13" t="s">
        <v>2171</v>
      </c>
      <c r="G336" s="13" t="s">
        <v>2172</v>
      </c>
      <c r="H336" s="13" t="s">
        <v>2173</v>
      </c>
    </row>
    <row r="337" customFormat="false" ht="15" hidden="false" customHeight="true" outlineLevel="0" collapsed="false">
      <c r="A337" s="13" t="s">
        <v>101</v>
      </c>
      <c r="B337" s="13" t="s">
        <v>625</v>
      </c>
      <c r="C337" s="11" t="s">
        <v>626</v>
      </c>
      <c r="D337" s="13" t="s">
        <v>2174</v>
      </c>
      <c r="E337" s="13" t="s">
        <v>2175</v>
      </c>
      <c r="F337" s="13" t="s">
        <v>2176</v>
      </c>
      <c r="G337" s="13" t="s">
        <v>2177</v>
      </c>
      <c r="H337" s="13" t="s">
        <v>2178</v>
      </c>
    </row>
    <row r="338" customFormat="false" ht="15" hidden="false" customHeight="true" outlineLevel="0" collapsed="false">
      <c r="A338" s="13" t="s">
        <v>101</v>
      </c>
      <c r="B338" s="13" t="s">
        <v>632</v>
      </c>
      <c r="C338" s="11" t="s">
        <v>633</v>
      </c>
      <c r="D338" s="13" t="s">
        <v>2179</v>
      </c>
      <c r="E338" s="13" t="s">
        <v>2180</v>
      </c>
      <c r="F338" s="13" t="s">
        <v>2181</v>
      </c>
      <c r="G338" s="13" t="s">
        <v>2182</v>
      </c>
      <c r="H338" s="13" t="s">
        <v>2183</v>
      </c>
    </row>
    <row r="339" customFormat="false" ht="15" hidden="false" customHeight="true" outlineLevel="0" collapsed="false">
      <c r="A339" s="13" t="s">
        <v>101</v>
      </c>
      <c r="B339" s="13" t="s">
        <v>639</v>
      </c>
      <c r="C339" s="11" t="s">
        <v>640</v>
      </c>
      <c r="D339" s="13" t="s">
        <v>641</v>
      </c>
      <c r="E339" s="13" t="s">
        <v>2184</v>
      </c>
      <c r="F339" s="13" t="s">
        <v>2185</v>
      </c>
      <c r="G339" s="13" t="s">
        <v>2186</v>
      </c>
      <c r="H339" s="13" t="s">
        <v>2187</v>
      </c>
    </row>
    <row r="340" customFormat="false" ht="15" hidden="false" customHeight="true" outlineLevel="0" collapsed="false">
      <c r="A340" s="13" t="s">
        <v>101</v>
      </c>
      <c r="B340" s="13" t="s">
        <v>646</v>
      </c>
      <c r="C340" s="11" t="s">
        <v>647</v>
      </c>
      <c r="D340" s="13" t="s">
        <v>2188</v>
      </c>
      <c r="E340" s="13" t="s">
        <v>2189</v>
      </c>
      <c r="F340" s="13" t="s">
        <v>2190</v>
      </c>
      <c r="G340" s="13" t="s">
        <v>2191</v>
      </c>
      <c r="H340" s="13" t="s">
        <v>2192</v>
      </c>
    </row>
    <row r="341" customFormat="false" ht="15" hidden="false" customHeight="true" outlineLevel="0" collapsed="false">
      <c r="A341" s="13" t="s">
        <v>101</v>
      </c>
      <c r="B341" s="13" t="s">
        <v>653</v>
      </c>
      <c r="C341" s="11" t="s">
        <v>654</v>
      </c>
      <c r="D341" s="13" t="s">
        <v>2193</v>
      </c>
      <c r="E341" s="13" t="s">
        <v>2194</v>
      </c>
      <c r="F341" s="13" t="s">
        <v>2195</v>
      </c>
      <c r="G341" s="13" t="s">
        <v>2196</v>
      </c>
      <c r="H341" s="13" t="s">
        <v>2197</v>
      </c>
    </row>
    <row r="342" customFormat="false" ht="15" hidden="false" customHeight="true" outlineLevel="0" collapsed="false">
      <c r="A342" s="13" t="s">
        <v>101</v>
      </c>
      <c r="B342" s="13" t="s">
        <v>660</v>
      </c>
      <c r="C342" s="11" t="s">
        <v>661</v>
      </c>
      <c r="D342" s="13" t="s">
        <v>2198</v>
      </c>
      <c r="E342" s="13" t="s">
        <v>2199</v>
      </c>
      <c r="F342" s="13" t="s">
        <v>2200</v>
      </c>
      <c r="G342" s="13" t="s">
        <v>2201</v>
      </c>
      <c r="H342" s="13" t="s">
        <v>2202</v>
      </c>
    </row>
    <row r="343" customFormat="false" ht="15" hidden="false" customHeight="true" outlineLevel="0" collapsed="false">
      <c r="A343" s="13" t="s">
        <v>101</v>
      </c>
      <c r="B343" s="13" t="s">
        <v>667</v>
      </c>
      <c r="C343" s="11" t="s">
        <v>668</v>
      </c>
      <c r="D343" s="13" t="s">
        <v>2203</v>
      </c>
      <c r="E343" s="13" t="s">
        <v>2204</v>
      </c>
      <c r="F343" s="13" t="s">
        <v>2205</v>
      </c>
      <c r="G343" s="13" t="s">
        <v>2206</v>
      </c>
      <c r="H343" s="13" t="s">
        <v>2207</v>
      </c>
    </row>
    <row r="344" customFormat="false" ht="15" hidden="false" customHeight="true" outlineLevel="0" collapsed="false">
      <c r="A344" s="13" t="s">
        <v>101</v>
      </c>
      <c r="B344" s="13" t="s">
        <v>674</v>
      </c>
      <c r="C344" s="11" t="s">
        <v>675</v>
      </c>
      <c r="D344" s="13" t="s">
        <v>2208</v>
      </c>
      <c r="E344" s="13" t="s">
        <v>2209</v>
      </c>
      <c r="F344" s="13" t="s">
        <v>2210</v>
      </c>
      <c r="G344" s="13" t="s">
        <v>2211</v>
      </c>
      <c r="H344" s="13" t="s">
        <v>2212</v>
      </c>
    </row>
    <row r="345" customFormat="false" ht="15" hidden="false" customHeight="true" outlineLevel="0" collapsed="false">
      <c r="A345" s="13" t="s">
        <v>101</v>
      </c>
      <c r="B345" s="13" t="s">
        <v>681</v>
      </c>
      <c r="C345" s="11" t="s">
        <v>682</v>
      </c>
      <c r="D345" s="13" t="s">
        <v>2213</v>
      </c>
      <c r="E345" s="13" t="s">
        <v>2214</v>
      </c>
      <c r="F345" s="13" t="s">
        <v>2215</v>
      </c>
      <c r="G345" s="13" t="s">
        <v>2216</v>
      </c>
      <c r="H345" s="13" t="s">
        <v>2217</v>
      </c>
    </row>
    <row r="346" customFormat="false" ht="15" hidden="false" customHeight="true" outlineLevel="0" collapsed="false">
      <c r="A346" s="13" t="s">
        <v>101</v>
      </c>
      <c r="B346" s="13" t="s">
        <v>688</v>
      </c>
      <c r="C346" s="11" t="s">
        <v>689</v>
      </c>
      <c r="D346" s="13" t="s">
        <v>2218</v>
      </c>
      <c r="E346" s="13" t="s">
        <v>2219</v>
      </c>
      <c r="F346" s="13" t="s">
        <v>2220</v>
      </c>
      <c r="G346" s="13" t="s">
        <v>2221</v>
      </c>
      <c r="H346" s="13" t="s">
        <v>2222</v>
      </c>
    </row>
    <row r="347" customFormat="false" ht="15" hidden="false" customHeight="true" outlineLevel="0" collapsed="false">
      <c r="A347" s="13" t="s">
        <v>101</v>
      </c>
      <c r="B347" s="13" t="s">
        <v>695</v>
      </c>
      <c r="C347" s="11" t="s">
        <v>696</v>
      </c>
      <c r="D347" s="13" t="s">
        <v>2223</v>
      </c>
      <c r="E347" s="13" t="s">
        <v>2224</v>
      </c>
      <c r="F347" s="13" t="s">
        <v>2225</v>
      </c>
      <c r="G347" s="13" t="s">
        <v>2226</v>
      </c>
      <c r="H347" s="13" t="s">
        <v>2227</v>
      </c>
    </row>
    <row r="348" customFormat="false" ht="15" hidden="false" customHeight="true" outlineLevel="0" collapsed="false">
      <c r="A348" s="13" t="s">
        <v>101</v>
      </c>
      <c r="B348" s="13" t="s">
        <v>702</v>
      </c>
      <c r="C348" s="11" t="s">
        <v>703</v>
      </c>
      <c r="D348" s="13" t="s">
        <v>2228</v>
      </c>
      <c r="E348" s="13" t="s">
        <v>2229</v>
      </c>
      <c r="F348" s="13" t="s">
        <v>2230</v>
      </c>
      <c r="G348" s="13" t="s">
        <v>2231</v>
      </c>
      <c r="H348" s="13" t="s">
        <v>2232</v>
      </c>
    </row>
    <row r="349" customFormat="false" ht="15" hidden="false" customHeight="true" outlineLevel="0" collapsed="false">
      <c r="A349" s="13" t="s">
        <v>101</v>
      </c>
      <c r="B349" s="13" t="s">
        <v>709</v>
      </c>
      <c r="C349" s="11" t="s">
        <v>710</v>
      </c>
      <c r="D349" s="13" t="s">
        <v>2233</v>
      </c>
      <c r="E349" s="13" t="s">
        <v>2234</v>
      </c>
      <c r="F349" s="13" t="s">
        <v>2235</v>
      </c>
      <c r="G349" s="13" t="s">
        <v>2236</v>
      </c>
      <c r="H349" s="13" t="s">
        <v>2237</v>
      </c>
    </row>
    <row r="350" customFormat="false" ht="15" hidden="false" customHeight="true" outlineLevel="0" collapsed="false">
      <c r="A350" s="13" t="s">
        <v>101</v>
      </c>
      <c r="B350" s="13" t="s">
        <v>716</v>
      </c>
      <c r="C350" s="11" t="s">
        <v>717</v>
      </c>
      <c r="D350" s="13" t="s">
        <v>2238</v>
      </c>
      <c r="E350" s="13" t="s">
        <v>2239</v>
      </c>
      <c r="F350" s="13" t="s">
        <v>2240</v>
      </c>
      <c r="G350" s="13" t="s">
        <v>2241</v>
      </c>
      <c r="H350" s="13" t="s">
        <v>2242</v>
      </c>
    </row>
    <row r="351" customFormat="false" ht="15" hidden="false" customHeight="true" outlineLevel="0" collapsed="false">
      <c r="A351" s="13" t="s">
        <v>101</v>
      </c>
      <c r="B351" s="13" t="s">
        <v>723</v>
      </c>
      <c r="C351" s="11" t="s">
        <v>724</v>
      </c>
      <c r="D351" s="13" t="s">
        <v>2243</v>
      </c>
      <c r="E351" s="13" t="s">
        <v>2244</v>
      </c>
      <c r="F351" s="13" t="s">
        <v>2245</v>
      </c>
      <c r="G351" s="13" t="s">
        <v>2246</v>
      </c>
      <c r="H351" s="13" t="s">
        <v>2247</v>
      </c>
    </row>
    <row r="352" customFormat="false" ht="15" hidden="false" customHeight="true" outlineLevel="0" collapsed="false">
      <c r="A352" s="13" t="s">
        <v>101</v>
      </c>
      <c r="B352" s="13" t="s">
        <v>730</v>
      </c>
      <c r="C352" s="11" t="s">
        <v>731</v>
      </c>
      <c r="D352" s="13" t="s">
        <v>2248</v>
      </c>
      <c r="E352" s="13" t="s">
        <v>2249</v>
      </c>
      <c r="F352" s="13" t="s">
        <v>2250</v>
      </c>
      <c r="G352" s="13" t="s">
        <v>2251</v>
      </c>
      <c r="H352" s="13" t="s">
        <v>2252</v>
      </c>
    </row>
    <row r="353" customFormat="false" ht="15" hidden="false" customHeight="true" outlineLevel="0" collapsed="false">
      <c r="A353" s="13" t="s">
        <v>101</v>
      </c>
      <c r="B353" s="13" t="s">
        <v>737</v>
      </c>
      <c r="C353" s="11" t="s">
        <v>738</v>
      </c>
      <c r="D353" s="13" t="s">
        <v>2253</v>
      </c>
      <c r="E353" s="13" t="s">
        <v>2254</v>
      </c>
      <c r="F353" s="13" t="s">
        <v>2255</v>
      </c>
      <c r="G353" s="13" t="s">
        <v>2256</v>
      </c>
      <c r="H353" s="13" t="s">
        <v>2257</v>
      </c>
    </row>
    <row r="354" customFormat="false" ht="15" hidden="false" customHeight="true" outlineLevel="0" collapsed="false">
      <c r="A354" s="13" t="s">
        <v>101</v>
      </c>
      <c r="B354" s="13" t="s">
        <v>744</v>
      </c>
      <c r="C354" s="11" t="s">
        <v>745</v>
      </c>
      <c r="D354" s="13" t="s">
        <v>2258</v>
      </c>
      <c r="E354" s="13" t="s">
        <v>2259</v>
      </c>
      <c r="F354" s="13" t="s">
        <v>2260</v>
      </c>
      <c r="G354" s="13" t="s">
        <v>2261</v>
      </c>
      <c r="H354" s="13" t="s">
        <v>2262</v>
      </c>
    </row>
    <row r="355" customFormat="false" ht="15" hidden="false" customHeight="true" outlineLevel="0" collapsed="false">
      <c r="A355" s="13" t="s">
        <v>101</v>
      </c>
      <c r="B355" s="13" t="s">
        <v>751</v>
      </c>
      <c r="C355" s="11" t="s">
        <v>752</v>
      </c>
      <c r="D355" s="13" t="s">
        <v>2263</v>
      </c>
      <c r="E355" s="13" t="s">
        <v>2264</v>
      </c>
      <c r="F355" s="13" t="s">
        <v>2265</v>
      </c>
      <c r="G355" s="13" t="s">
        <v>2266</v>
      </c>
      <c r="H355" s="13" t="s">
        <v>2267</v>
      </c>
    </row>
    <row r="356" customFormat="false" ht="15" hidden="false" customHeight="true" outlineLevel="0" collapsed="false">
      <c r="A356" s="13" t="s">
        <v>101</v>
      </c>
      <c r="B356" s="13" t="s">
        <v>758</v>
      </c>
      <c r="C356" s="11" t="s">
        <v>759</v>
      </c>
      <c r="D356" s="13" t="s">
        <v>2268</v>
      </c>
      <c r="E356" s="13" t="s">
        <v>2269</v>
      </c>
      <c r="F356" s="13" t="s">
        <v>2270</v>
      </c>
      <c r="G356" s="13" t="s">
        <v>2271</v>
      </c>
      <c r="H356" s="13" t="s">
        <v>2272</v>
      </c>
    </row>
    <row r="357" customFormat="false" ht="15" hidden="false" customHeight="true" outlineLevel="0" collapsed="false">
      <c r="A357" s="13" t="s">
        <v>101</v>
      </c>
      <c r="B357" s="13" t="s">
        <v>765</v>
      </c>
      <c r="C357" s="11" t="s">
        <v>766</v>
      </c>
      <c r="D357" s="13" t="s">
        <v>2273</v>
      </c>
      <c r="E357" s="13" t="s">
        <v>2274</v>
      </c>
      <c r="F357" s="13" t="s">
        <v>2275</v>
      </c>
      <c r="G357" s="13" t="s">
        <v>2276</v>
      </c>
      <c r="H357" s="13" t="s">
        <v>2277</v>
      </c>
    </row>
    <row r="358" customFormat="false" ht="15" hidden="false" customHeight="true" outlineLevel="0" collapsed="false">
      <c r="A358" s="13" t="s">
        <v>101</v>
      </c>
      <c r="B358" s="13" t="s">
        <v>772</v>
      </c>
      <c r="C358" s="11" t="s">
        <v>773</v>
      </c>
      <c r="D358" s="13" t="s">
        <v>2278</v>
      </c>
      <c r="E358" s="13" t="s">
        <v>2279</v>
      </c>
      <c r="F358" s="13" t="s">
        <v>2280</v>
      </c>
      <c r="G358" s="13" t="s">
        <v>2281</v>
      </c>
      <c r="H358" s="13" t="s">
        <v>2282</v>
      </c>
    </row>
    <row r="359" customFormat="false" ht="15" hidden="false" customHeight="true" outlineLevel="0" collapsed="false">
      <c r="A359" s="13" t="s">
        <v>101</v>
      </c>
      <c r="B359" s="13" t="s">
        <v>779</v>
      </c>
      <c r="C359" s="11" t="s">
        <v>780</v>
      </c>
      <c r="D359" s="13" t="s">
        <v>2283</v>
      </c>
      <c r="E359" s="13" t="s">
        <v>2284</v>
      </c>
      <c r="F359" s="13" t="s">
        <v>2285</v>
      </c>
      <c r="G359" s="13" t="s">
        <v>2286</v>
      </c>
      <c r="H359" s="13" t="s">
        <v>2287</v>
      </c>
    </row>
    <row r="360" customFormat="false" ht="15" hidden="false" customHeight="true" outlineLevel="0" collapsed="false">
      <c r="A360" s="13" t="s">
        <v>101</v>
      </c>
      <c r="B360" s="13" t="s">
        <v>786</v>
      </c>
      <c r="C360" s="11" t="s">
        <v>787</v>
      </c>
      <c r="D360" s="13" t="s">
        <v>2288</v>
      </c>
      <c r="E360" s="13" t="s">
        <v>2289</v>
      </c>
      <c r="F360" s="13" t="s">
        <v>2290</v>
      </c>
      <c r="G360" s="13" t="s">
        <v>2291</v>
      </c>
      <c r="H360" s="13" t="s">
        <v>2292</v>
      </c>
    </row>
    <row r="361" customFormat="false" ht="15" hidden="false" customHeight="true" outlineLevel="0" collapsed="false">
      <c r="A361" s="13" t="s">
        <v>101</v>
      </c>
      <c r="B361" s="13" t="s">
        <v>793</v>
      </c>
      <c r="C361" s="11" t="s">
        <v>794</v>
      </c>
      <c r="D361" s="13" t="s">
        <v>2293</v>
      </c>
      <c r="E361" s="13" t="s">
        <v>2294</v>
      </c>
      <c r="F361" s="13" t="s">
        <v>2295</v>
      </c>
      <c r="G361" s="13" t="s">
        <v>2296</v>
      </c>
      <c r="H361" s="13" t="s">
        <v>2297</v>
      </c>
    </row>
    <row r="362" customFormat="false" ht="15" hidden="false" customHeight="true" outlineLevel="0" collapsed="false">
      <c r="A362" s="13" t="s">
        <v>101</v>
      </c>
      <c r="B362" s="13" t="s">
        <v>800</v>
      </c>
      <c r="C362" s="11" t="s">
        <v>801</v>
      </c>
      <c r="D362" s="13" t="s">
        <v>2298</v>
      </c>
      <c r="E362" s="13" t="s">
        <v>2299</v>
      </c>
      <c r="F362" s="13" t="s">
        <v>2300</v>
      </c>
      <c r="G362" s="13" t="s">
        <v>2301</v>
      </c>
      <c r="H362" s="13" t="s">
        <v>2302</v>
      </c>
    </row>
    <row r="363" customFormat="false" ht="15" hidden="false" customHeight="true" outlineLevel="0" collapsed="false">
      <c r="A363" s="13" t="s">
        <v>101</v>
      </c>
      <c r="B363" s="13" t="s">
        <v>806</v>
      </c>
      <c r="C363" s="11" t="s">
        <v>807</v>
      </c>
      <c r="D363" s="13" t="s">
        <v>2303</v>
      </c>
      <c r="E363" s="13" t="s">
        <v>2304</v>
      </c>
      <c r="F363" s="13" t="s">
        <v>2305</v>
      </c>
      <c r="G363" s="13" t="s">
        <v>2306</v>
      </c>
      <c r="H363" s="13" t="s">
        <v>2307</v>
      </c>
    </row>
    <row r="364" customFormat="false" ht="15" hidden="false" customHeight="true" outlineLevel="0" collapsed="false">
      <c r="A364" s="13" t="s">
        <v>101</v>
      </c>
      <c r="B364" s="13" t="s">
        <v>813</v>
      </c>
      <c r="C364" s="11" t="s">
        <v>814</v>
      </c>
      <c r="D364" s="13" t="s">
        <v>2308</v>
      </c>
      <c r="E364" s="13" t="s">
        <v>2309</v>
      </c>
      <c r="F364" s="13" t="s">
        <v>2310</v>
      </c>
      <c r="G364" s="13" t="s">
        <v>2311</v>
      </c>
      <c r="H364" s="13" t="s">
        <v>2312</v>
      </c>
    </row>
    <row r="365" customFormat="false" ht="15" hidden="false" customHeight="true" outlineLevel="0" collapsed="false">
      <c r="A365" s="13" t="s">
        <v>101</v>
      </c>
      <c r="B365" s="13" t="s">
        <v>820</v>
      </c>
      <c r="C365" s="11" t="s">
        <v>821</v>
      </c>
      <c r="D365" s="13" t="s">
        <v>2313</v>
      </c>
      <c r="E365" s="13" t="s">
        <v>2314</v>
      </c>
      <c r="F365" s="13" t="s">
        <v>2315</v>
      </c>
      <c r="G365" s="13" t="s">
        <v>2316</v>
      </c>
      <c r="H365" s="13" t="s">
        <v>2317</v>
      </c>
    </row>
    <row r="366" customFormat="false" ht="15" hidden="false" customHeight="true" outlineLevel="0" collapsed="false">
      <c r="A366" s="13" t="s">
        <v>101</v>
      </c>
      <c r="B366" s="13" t="s">
        <v>827</v>
      </c>
      <c r="C366" s="11" t="s">
        <v>828</v>
      </c>
      <c r="D366" s="13" t="s">
        <v>2318</v>
      </c>
      <c r="E366" s="13" t="s">
        <v>2319</v>
      </c>
      <c r="F366" s="13" t="s">
        <v>2320</v>
      </c>
      <c r="G366" s="13" t="s">
        <v>2321</v>
      </c>
      <c r="H366" s="13" t="s">
        <v>2322</v>
      </c>
    </row>
    <row r="367" customFormat="false" ht="15" hidden="false" customHeight="true" outlineLevel="0" collapsed="false">
      <c r="A367" s="13" t="s">
        <v>101</v>
      </c>
      <c r="B367" s="13" t="s">
        <v>834</v>
      </c>
      <c r="C367" s="11" t="s">
        <v>835</v>
      </c>
      <c r="D367" s="13" t="s">
        <v>2323</v>
      </c>
      <c r="E367" s="13" t="s">
        <v>2324</v>
      </c>
      <c r="F367" s="13" t="s">
        <v>2325</v>
      </c>
      <c r="G367" s="13" t="s">
        <v>2326</v>
      </c>
      <c r="H367" s="13" t="s">
        <v>2327</v>
      </c>
    </row>
    <row r="368" customFormat="false" ht="15" hidden="false" customHeight="true" outlineLevel="0" collapsed="false">
      <c r="A368" s="13" t="s">
        <v>101</v>
      </c>
      <c r="B368" s="13" t="s">
        <v>841</v>
      </c>
      <c r="C368" s="11" t="s">
        <v>842</v>
      </c>
      <c r="D368" s="13" t="s">
        <v>2328</v>
      </c>
      <c r="E368" s="13" t="s">
        <v>2329</v>
      </c>
      <c r="F368" s="13" t="s">
        <v>2330</v>
      </c>
      <c r="G368" s="13" t="s">
        <v>2331</v>
      </c>
      <c r="H368" s="13" t="s">
        <v>2332</v>
      </c>
    </row>
    <row r="369" customFormat="false" ht="15" hidden="false" customHeight="true" outlineLevel="0" collapsed="false">
      <c r="A369" s="13" t="s">
        <v>101</v>
      </c>
      <c r="B369" s="13" t="s">
        <v>848</v>
      </c>
      <c r="C369" s="11" t="s">
        <v>849</v>
      </c>
      <c r="D369" s="13" t="s">
        <v>2333</v>
      </c>
      <c r="E369" s="13" t="s">
        <v>2334</v>
      </c>
      <c r="F369" s="13" t="s">
        <v>2335</v>
      </c>
      <c r="G369" s="13" t="s">
        <v>2336</v>
      </c>
      <c r="H369" s="13" t="s">
        <v>2337</v>
      </c>
    </row>
    <row r="370" customFormat="false" ht="15" hidden="false" customHeight="true" outlineLevel="0" collapsed="false">
      <c r="A370" s="13" t="s">
        <v>101</v>
      </c>
      <c r="B370" s="13" t="s">
        <v>855</v>
      </c>
      <c r="C370" s="11" t="s">
        <v>856</v>
      </c>
      <c r="D370" s="13" t="s">
        <v>2338</v>
      </c>
      <c r="E370" s="13" t="s">
        <v>2339</v>
      </c>
      <c r="F370" s="13" t="s">
        <v>2340</v>
      </c>
      <c r="G370" s="13" t="s">
        <v>2341</v>
      </c>
      <c r="H370" s="13" t="s">
        <v>2342</v>
      </c>
    </row>
    <row r="371" customFormat="false" ht="15" hidden="false" customHeight="true" outlineLevel="0" collapsed="false">
      <c r="A371" s="13" t="s">
        <v>101</v>
      </c>
      <c r="B371" s="13" t="s">
        <v>862</v>
      </c>
      <c r="C371" s="11" t="s">
        <v>863</v>
      </c>
      <c r="D371" s="13" t="s">
        <v>2343</v>
      </c>
      <c r="E371" s="13" t="s">
        <v>2344</v>
      </c>
      <c r="F371" s="13" t="s">
        <v>2345</v>
      </c>
      <c r="G371" s="13" t="s">
        <v>2346</v>
      </c>
      <c r="H371" s="13" t="s">
        <v>2347</v>
      </c>
    </row>
    <row r="372" customFormat="false" ht="15" hidden="false" customHeight="true" outlineLevel="0" collapsed="false">
      <c r="A372" s="13" t="s">
        <v>101</v>
      </c>
      <c r="B372" s="13" t="s">
        <v>869</v>
      </c>
      <c r="C372" s="11" t="s">
        <v>870</v>
      </c>
      <c r="D372" s="13" t="s">
        <v>2348</v>
      </c>
      <c r="E372" s="13" t="s">
        <v>2349</v>
      </c>
      <c r="F372" s="13" t="s">
        <v>2350</v>
      </c>
      <c r="G372" s="13" t="s">
        <v>2351</v>
      </c>
      <c r="H372" s="13" t="s">
        <v>2352</v>
      </c>
    </row>
    <row r="373" customFormat="false" ht="15" hidden="false" customHeight="true" outlineLevel="0" collapsed="false">
      <c r="A373" s="13" t="s">
        <v>101</v>
      </c>
      <c r="B373" s="13" t="s">
        <v>876</v>
      </c>
      <c r="C373" s="11" t="s">
        <v>877</v>
      </c>
      <c r="D373" s="13" t="s">
        <v>2353</v>
      </c>
      <c r="E373" s="13" t="s">
        <v>2354</v>
      </c>
      <c r="F373" s="13" t="s">
        <v>2355</v>
      </c>
      <c r="G373" s="13" t="s">
        <v>2356</v>
      </c>
      <c r="H373" s="13" t="s">
        <v>2357</v>
      </c>
    </row>
    <row r="374" customFormat="false" ht="15" hidden="false" customHeight="true" outlineLevel="0" collapsed="false">
      <c r="A374" s="13" t="s">
        <v>101</v>
      </c>
      <c r="B374" s="13" t="s">
        <v>883</v>
      </c>
      <c r="C374" s="11" t="s">
        <v>884</v>
      </c>
      <c r="D374" s="13" t="s">
        <v>2358</v>
      </c>
      <c r="E374" s="13" t="s">
        <v>2359</v>
      </c>
      <c r="F374" s="13" t="s">
        <v>2360</v>
      </c>
      <c r="G374" s="13" t="s">
        <v>2361</v>
      </c>
      <c r="H374" s="13" t="s">
        <v>2362</v>
      </c>
    </row>
    <row r="375" customFormat="false" ht="15" hidden="false" customHeight="true" outlineLevel="0" collapsed="false">
      <c r="A375" s="13" t="s">
        <v>101</v>
      </c>
      <c r="B375" s="13" t="s">
        <v>890</v>
      </c>
      <c r="C375" s="11" t="s">
        <v>891</v>
      </c>
      <c r="D375" s="13" t="s">
        <v>2363</v>
      </c>
      <c r="E375" s="13" t="s">
        <v>2364</v>
      </c>
      <c r="F375" s="13" t="s">
        <v>2365</v>
      </c>
      <c r="G375" s="13" t="s">
        <v>2366</v>
      </c>
      <c r="H375" s="13" t="s">
        <v>2367</v>
      </c>
    </row>
    <row r="376" customFormat="false" ht="15" hidden="false" customHeight="true" outlineLevel="0" collapsed="false">
      <c r="A376" s="13" t="s">
        <v>101</v>
      </c>
      <c r="B376" s="13" t="s">
        <v>897</v>
      </c>
      <c r="C376" s="11" t="s">
        <v>898</v>
      </c>
      <c r="D376" s="13" t="s">
        <v>2368</v>
      </c>
      <c r="E376" s="13" t="s">
        <v>2369</v>
      </c>
      <c r="F376" s="13" t="s">
        <v>2370</v>
      </c>
      <c r="G376" s="13" t="s">
        <v>2371</v>
      </c>
      <c r="H376" s="13" t="s">
        <v>2372</v>
      </c>
    </row>
    <row r="377" customFormat="false" ht="15" hidden="false" customHeight="true" outlineLevel="0" collapsed="false">
      <c r="A377" s="13" t="s">
        <v>101</v>
      </c>
      <c r="B377" s="13" t="s">
        <v>904</v>
      </c>
      <c r="C377" s="11" t="s">
        <v>905</v>
      </c>
      <c r="D377" s="13" t="s">
        <v>2373</v>
      </c>
      <c r="E377" s="13" t="s">
        <v>2374</v>
      </c>
      <c r="F377" s="13" t="s">
        <v>2375</v>
      </c>
      <c r="G377" s="13" t="s">
        <v>2376</v>
      </c>
      <c r="H377" s="13" t="s">
        <v>2377</v>
      </c>
    </row>
    <row r="378" customFormat="false" ht="15" hidden="false" customHeight="true" outlineLevel="0" collapsed="false">
      <c r="A378" s="13" t="s">
        <v>101</v>
      </c>
      <c r="B378" s="13" t="s">
        <v>911</v>
      </c>
      <c r="C378" s="11" t="s">
        <v>912</v>
      </c>
      <c r="D378" s="13" t="s">
        <v>2378</v>
      </c>
      <c r="E378" s="13" t="s">
        <v>2379</v>
      </c>
      <c r="F378" s="13" t="s">
        <v>2380</v>
      </c>
      <c r="G378" s="13" t="s">
        <v>2381</v>
      </c>
      <c r="H378" s="13" t="s">
        <v>2382</v>
      </c>
    </row>
    <row r="379" customFormat="false" ht="15" hidden="false" customHeight="true" outlineLevel="0" collapsed="false">
      <c r="A379" s="13" t="s">
        <v>101</v>
      </c>
      <c r="B379" s="13" t="s">
        <v>918</v>
      </c>
      <c r="C379" s="11" t="s">
        <v>919</v>
      </c>
      <c r="D379" s="13" t="s">
        <v>2383</v>
      </c>
      <c r="E379" s="13" t="s">
        <v>2384</v>
      </c>
      <c r="F379" s="13" t="s">
        <v>2385</v>
      </c>
      <c r="G379" s="13" t="s">
        <v>2386</v>
      </c>
      <c r="H379" s="13" t="s">
        <v>2387</v>
      </c>
    </row>
    <row r="380" customFormat="false" ht="15" hidden="false" customHeight="true" outlineLevel="0" collapsed="false">
      <c r="A380" s="13" t="s">
        <v>101</v>
      </c>
      <c r="B380" s="13" t="s">
        <v>925</v>
      </c>
      <c r="C380" s="11" t="s">
        <v>926</v>
      </c>
      <c r="D380" s="13" t="s">
        <v>2388</v>
      </c>
      <c r="E380" s="13" t="s">
        <v>2389</v>
      </c>
      <c r="F380" s="13" t="s">
        <v>2390</v>
      </c>
      <c r="G380" s="13" t="s">
        <v>2391</v>
      </c>
      <c r="H380" s="13" t="s">
        <v>2392</v>
      </c>
    </row>
    <row r="381" customFormat="false" ht="15" hidden="false" customHeight="true" outlineLevel="0" collapsed="false">
      <c r="A381" s="13" t="s">
        <v>101</v>
      </c>
      <c r="B381" s="13" t="s">
        <v>932</v>
      </c>
      <c r="C381" s="11" t="s">
        <v>933</v>
      </c>
      <c r="D381" s="13" t="s">
        <v>2393</v>
      </c>
      <c r="E381" s="13" t="s">
        <v>2394</v>
      </c>
      <c r="F381" s="13" t="s">
        <v>1920</v>
      </c>
      <c r="G381" s="13" t="s">
        <v>2395</v>
      </c>
      <c r="H381" s="13" t="s">
        <v>2396</v>
      </c>
    </row>
    <row r="382" customFormat="false" ht="15" hidden="false" customHeight="true" outlineLevel="0" collapsed="false">
      <c r="A382" s="13" t="s">
        <v>101</v>
      </c>
      <c r="B382" s="13" t="s">
        <v>939</v>
      </c>
      <c r="C382" s="11" t="s">
        <v>940</v>
      </c>
      <c r="D382" s="13" t="s">
        <v>2397</v>
      </c>
      <c r="E382" s="13" t="s">
        <v>2398</v>
      </c>
      <c r="F382" s="13" t="s">
        <v>2399</v>
      </c>
      <c r="G382" s="13" t="s">
        <v>2400</v>
      </c>
      <c r="H382" s="13" t="s">
        <v>2401</v>
      </c>
    </row>
    <row r="383" customFormat="false" ht="15" hidden="false" customHeight="true" outlineLevel="0" collapsed="false">
      <c r="A383" s="13" t="s">
        <v>101</v>
      </c>
      <c r="B383" s="13" t="s">
        <v>946</v>
      </c>
      <c r="C383" s="11" t="s">
        <v>947</v>
      </c>
      <c r="D383" s="13" t="s">
        <v>2402</v>
      </c>
      <c r="E383" s="13" t="s">
        <v>2403</v>
      </c>
      <c r="F383" s="13" t="s">
        <v>2404</v>
      </c>
      <c r="G383" s="13" t="s">
        <v>2405</v>
      </c>
      <c r="H383" s="13" t="s">
        <v>2406</v>
      </c>
    </row>
    <row r="384" customFormat="false" ht="15" hidden="false" customHeight="true" outlineLevel="0" collapsed="false">
      <c r="A384" s="13" t="s">
        <v>101</v>
      </c>
      <c r="B384" s="13" t="s">
        <v>953</v>
      </c>
      <c r="C384" s="11" t="s">
        <v>954</v>
      </c>
      <c r="D384" s="13" t="s">
        <v>2407</v>
      </c>
      <c r="E384" s="13" t="s">
        <v>2408</v>
      </c>
      <c r="F384" s="13" t="s">
        <v>2409</v>
      </c>
      <c r="G384" s="13" t="s">
        <v>2410</v>
      </c>
      <c r="H384" s="13" t="s">
        <v>2411</v>
      </c>
    </row>
    <row r="385" customFormat="false" ht="15" hidden="false" customHeight="true" outlineLevel="0" collapsed="false">
      <c r="A385" s="13" t="s">
        <v>101</v>
      </c>
      <c r="B385" s="13" t="s">
        <v>960</v>
      </c>
      <c r="C385" s="11" t="s">
        <v>961</v>
      </c>
      <c r="D385" s="13" t="s">
        <v>2412</v>
      </c>
      <c r="E385" s="13" t="s">
        <v>2413</v>
      </c>
      <c r="F385" s="13" t="s">
        <v>2414</v>
      </c>
      <c r="G385" s="13" t="s">
        <v>2415</v>
      </c>
      <c r="H385" s="13" t="s">
        <v>2416</v>
      </c>
    </row>
    <row r="386" customFormat="false" ht="15" hidden="false" customHeight="true" outlineLevel="0" collapsed="false">
      <c r="A386" s="13" t="s">
        <v>101</v>
      </c>
      <c r="B386" s="13" t="s">
        <v>967</v>
      </c>
      <c r="C386" s="11" t="s">
        <v>968</v>
      </c>
      <c r="D386" s="13" t="s">
        <v>2417</v>
      </c>
      <c r="E386" s="13" t="s">
        <v>2418</v>
      </c>
      <c r="F386" s="13" t="s">
        <v>2419</v>
      </c>
      <c r="G386" s="13" t="s">
        <v>2420</v>
      </c>
      <c r="H386" s="13" t="s">
        <v>2421</v>
      </c>
    </row>
    <row r="387" customFormat="false" ht="15" hidden="false" customHeight="true" outlineLevel="0" collapsed="false">
      <c r="A387" s="13" t="s">
        <v>101</v>
      </c>
      <c r="B387" s="13" t="s">
        <v>974</v>
      </c>
      <c r="C387" s="11" t="s">
        <v>975</v>
      </c>
      <c r="D387" s="13" t="s">
        <v>2422</v>
      </c>
      <c r="E387" s="13" t="s">
        <v>2423</v>
      </c>
      <c r="F387" s="13" t="s">
        <v>2424</v>
      </c>
      <c r="G387" s="13" t="s">
        <v>2425</v>
      </c>
      <c r="H387" s="13" t="s">
        <v>2426</v>
      </c>
    </row>
    <row r="388" customFormat="false" ht="15" hidden="false" customHeight="true" outlineLevel="0" collapsed="false">
      <c r="A388" s="13" t="s">
        <v>101</v>
      </c>
      <c r="B388" s="13" t="s">
        <v>981</v>
      </c>
      <c r="C388" s="11" t="s">
        <v>982</v>
      </c>
      <c r="D388" s="13" t="s">
        <v>2427</v>
      </c>
      <c r="E388" s="13" t="s">
        <v>2428</v>
      </c>
      <c r="F388" s="13" t="s">
        <v>2429</v>
      </c>
      <c r="G388" s="13" t="s">
        <v>2430</v>
      </c>
      <c r="H388" s="13" t="s">
        <v>2431</v>
      </c>
    </row>
    <row r="389" customFormat="false" ht="15" hidden="false" customHeight="true" outlineLevel="0" collapsed="false">
      <c r="A389" s="13" t="s">
        <v>101</v>
      </c>
      <c r="B389" s="13" t="s">
        <v>988</v>
      </c>
      <c r="C389" s="11" t="s">
        <v>989</v>
      </c>
      <c r="D389" s="13" t="s">
        <v>2432</v>
      </c>
      <c r="E389" s="13" t="s">
        <v>2433</v>
      </c>
      <c r="F389" s="13" t="s">
        <v>2434</v>
      </c>
      <c r="G389" s="13" t="s">
        <v>2435</v>
      </c>
      <c r="H389" s="13" t="s">
        <v>2436</v>
      </c>
    </row>
    <row r="390" customFormat="false" ht="15" hidden="false" customHeight="true" outlineLevel="0" collapsed="false">
      <c r="A390" s="13" t="s">
        <v>101</v>
      </c>
      <c r="B390" s="13" t="s">
        <v>995</v>
      </c>
      <c r="C390" s="11" t="s">
        <v>996</v>
      </c>
      <c r="D390" s="13" t="s">
        <v>2437</v>
      </c>
      <c r="E390" s="13" t="s">
        <v>2438</v>
      </c>
      <c r="F390" s="13" t="s">
        <v>2439</v>
      </c>
      <c r="G390" s="13" t="s">
        <v>2440</v>
      </c>
      <c r="H390" s="13" t="s">
        <v>2441</v>
      </c>
    </row>
    <row r="391" customFormat="false" ht="15" hidden="false" customHeight="true" outlineLevel="0" collapsed="false">
      <c r="A391" s="13" t="s">
        <v>101</v>
      </c>
      <c r="B391" s="13" t="s">
        <v>1002</v>
      </c>
      <c r="C391" s="11" t="s">
        <v>1003</v>
      </c>
      <c r="D391" s="13" t="s">
        <v>2442</v>
      </c>
      <c r="E391" s="13" t="s">
        <v>2443</v>
      </c>
      <c r="F391" s="13" t="s">
        <v>2444</v>
      </c>
      <c r="G391" s="13" t="s">
        <v>2445</v>
      </c>
      <c r="H391" s="13" t="s">
        <v>2446</v>
      </c>
    </row>
    <row r="392" customFormat="false" ht="15" hidden="false" customHeight="true" outlineLevel="0" collapsed="false">
      <c r="A392" s="13" t="s">
        <v>101</v>
      </c>
      <c r="B392" s="13" t="s">
        <v>1009</v>
      </c>
      <c r="C392" s="11" t="s">
        <v>1010</v>
      </c>
      <c r="D392" s="13" t="s">
        <v>2447</v>
      </c>
      <c r="E392" s="13" t="s">
        <v>2448</v>
      </c>
      <c r="F392" s="13" t="s">
        <v>2449</v>
      </c>
      <c r="G392" s="13" t="s">
        <v>2450</v>
      </c>
      <c r="H392" s="13" t="s">
        <v>2451</v>
      </c>
    </row>
    <row r="393" customFormat="false" ht="15" hidden="false" customHeight="true" outlineLevel="0" collapsed="false">
      <c r="A393" s="13" t="s">
        <v>101</v>
      </c>
      <c r="B393" s="13" t="s">
        <v>1016</v>
      </c>
      <c r="C393" s="11" t="s">
        <v>1017</v>
      </c>
      <c r="D393" s="13" t="s">
        <v>1018</v>
      </c>
      <c r="E393" s="13" t="s">
        <v>1019</v>
      </c>
      <c r="F393" s="13" t="s">
        <v>1018</v>
      </c>
      <c r="G393" s="13" t="s">
        <v>1019</v>
      </c>
      <c r="H393" s="13" t="s">
        <v>1019</v>
      </c>
    </row>
    <row r="394" customFormat="false" ht="15" hidden="false" customHeight="true" outlineLevel="0" collapsed="false">
      <c r="A394" s="13" t="s">
        <v>110</v>
      </c>
      <c r="B394" s="13" t="s">
        <v>345</v>
      </c>
      <c r="C394" s="11" t="s">
        <v>346</v>
      </c>
      <c r="D394" s="13" t="s">
        <v>2452</v>
      </c>
      <c r="E394" s="13" t="s">
        <v>2453</v>
      </c>
      <c r="F394" s="13" t="s">
        <v>2454</v>
      </c>
      <c r="G394" s="13" t="s">
        <v>2455</v>
      </c>
      <c r="H394" s="13" t="s">
        <v>2456</v>
      </c>
    </row>
    <row r="395" customFormat="false" ht="15" hidden="false" customHeight="true" outlineLevel="0" collapsed="false">
      <c r="A395" s="13" t="s">
        <v>110</v>
      </c>
      <c r="B395" s="13" t="s">
        <v>352</v>
      </c>
      <c r="C395" s="11" t="s">
        <v>353</v>
      </c>
      <c r="D395" s="13" t="s">
        <v>2457</v>
      </c>
      <c r="E395" s="13" t="s">
        <v>2458</v>
      </c>
      <c r="F395" s="13" t="s">
        <v>2459</v>
      </c>
      <c r="G395" s="13" t="s">
        <v>2460</v>
      </c>
      <c r="H395" s="13" t="s">
        <v>2461</v>
      </c>
    </row>
    <row r="396" customFormat="false" ht="15" hidden="false" customHeight="true" outlineLevel="0" collapsed="false">
      <c r="A396" s="13" t="s">
        <v>110</v>
      </c>
      <c r="B396" s="13" t="s">
        <v>359</v>
      </c>
      <c r="C396" s="11" t="s">
        <v>360</v>
      </c>
      <c r="D396" s="13" t="s">
        <v>2462</v>
      </c>
      <c r="E396" s="13" t="s">
        <v>2463</v>
      </c>
      <c r="F396" s="13" t="s">
        <v>2464</v>
      </c>
      <c r="G396" s="13" t="s">
        <v>2465</v>
      </c>
      <c r="H396" s="13" t="s">
        <v>2466</v>
      </c>
    </row>
    <row r="397" customFormat="false" ht="15" hidden="false" customHeight="true" outlineLevel="0" collapsed="false">
      <c r="A397" s="13" t="s">
        <v>110</v>
      </c>
      <c r="B397" s="13" t="s">
        <v>366</v>
      </c>
      <c r="C397" s="11" t="s">
        <v>367</v>
      </c>
      <c r="D397" s="13" t="s">
        <v>2467</v>
      </c>
      <c r="E397" s="13" t="s">
        <v>2468</v>
      </c>
      <c r="F397" s="13" t="s">
        <v>2469</v>
      </c>
      <c r="G397" s="13" t="s">
        <v>2470</v>
      </c>
      <c r="H397" s="13" t="s">
        <v>2471</v>
      </c>
    </row>
    <row r="398" customFormat="false" ht="15" hidden="false" customHeight="true" outlineLevel="0" collapsed="false">
      <c r="A398" s="13" t="s">
        <v>110</v>
      </c>
      <c r="B398" s="13" t="s">
        <v>373</v>
      </c>
      <c r="C398" s="11" t="s">
        <v>374</v>
      </c>
      <c r="D398" s="13" t="s">
        <v>2472</v>
      </c>
      <c r="E398" s="13" t="s">
        <v>2473</v>
      </c>
      <c r="F398" s="13" t="s">
        <v>2474</v>
      </c>
      <c r="G398" s="13" t="s">
        <v>2475</v>
      </c>
      <c r="H398" s="13" t="s">
        <v>2476</v>
      </c>
    </row>
    <row r="399" customFormat="false" ht="15" hidden="false" customHeight="true" outlineLevel="0" collapsed="false">
      <c r="A399" s="13" t="s">
        <v>110</v>
      </c>
      <c r="B399" s="13" t="s">
        <v>380</v>
      </c>
      <c r="C399" s="11" t="s">
        <v>381</v>
      </c>
      <c r="D399" s="13" t="s">
        <v>2477</v>
      </c>
      <c r="E399" s="13" t="s">
        <v>2478</v>
      </c>
      <c r="F399" s="13" t="s">
        <v>2479</v>
      </c>
      <c r="G399" s="13" t="s">
        <v>2480</v>
      </c>
      <c r="H399" s="13" t="s">
        <v>2481</v>
      </c>
    </row>
    <row r="400" customFormat="false" ht="15" hidden="false" customHeight="true" outlineLevel="0" collapsed="false">
      <c r="A400" s="13" t="s">
        <v>110</v>
      </c>
      <c r="B400" s="13" t="s">
        <v>387</v>
      </c>
      <c r="C400" s="11" t="s">
        <v>388</v>
      </c>
      <c r="D400" s="13" t="s">
        <v>2482</v>
      </c>
      <c r="E400" s="13" t="s">
        <v>2483</v>
      </c>
      <c r="F400" s="13" t="s">
        <v>2484</v>
      </c>
      <c r="G400" s="13" t="s">
        <v>2485</v>
      </c>
      <c r="H400" s="13" t="s">
        <v>2486</v>
      </c>
    </row>
    <row r="401" customFormat="false" ht="15" hidden="false" customHeight="true" outlineLevel="0" collapsed="false">
      <c r="A401" s="13" t="s">
        <v>110</v>
      </c>
      <c r="B401" s="13" t="s">
        <v>394</v>
      </c>
      <c r="C401" s="11" t="s">
        <v>395</v>
      </c>
      <c r="D401" s="13" t="s">
        <v>2487</v>
      </c>
      <c r="E401" s="13" t="s">
        <v>2488</v>
      </c>
      <c r="F401" s="13" t="s">
        <v>2489</v>
      </c>
      <c r="G401" s="13" t="s">
        <v>2490</v>
      </c>
      <c r="H401" s="13" t="s">
        <v>2491</v>
      </c>
    </row>
    <row r="402" customFormat="false" ht="15" hidden="false" customHeight="true" outlineLevel="0" collapsed="false">
      <c r="A402" s="13" t="s">
        <v>110</v>
      </c>
      <c r="B402" s="13" t="s">
        <v>401</v>
      </c>
      <c r="C402" s="11" t="s">
        <v>402</v>
      </c>
      <c r="D402" s="13" t="s">
        <v>2492</v>
      </c>
      <c r="E402" s="13" t="s">
        <v>2493</v>
      </c>
      <c r="F402" s="13" t="s">
        <v>2494</v>
      </c>
      <c r="G402" s="13" t="s">
        <v>2495</v>
      </c>
      <c r="H402" s="13" t="s">
        <v>2496</v>
      </c>
    </row>
    <row r="403" customFormat="false" ht="15" hidden="false" customHeight="true" outlineLevel="0" collapsed="false">
      <c r="A403" s="13" t="s">
        <v>110</v>
      </c>
      <c r="B403" s="13" t="s">
        <v>408</v>
      </c>
      <c r="C403" s="11" t="s">
        <v>409</v>
      </c>
      <c r="D403" s="13" t="s">
        <v>2497</v>
      </c>
      <c r="E403" s="13" t="s">
        <v>2498</v>
      </c>
      <c r="F403" s="13" t="s">
        <v>2499</v>
      </c>
      <c r="G403" s="13" t="s">
        <v>2500</v>
      </c>
      <c r="H403" s="13" t="s">
        <v>2501</v>
      </c>
    </row>
    <row r="404" customFormat="false" ht="15" hidden="false" customHeight="true" outlineLevel="0" collapsed="false">
      <c r="A404" s="13" t="s">
        <v>110</v>
      </c>
      <c r="B404" s="13" t="s">
        <v>415</v>
      </c>
      <c r="C404" s="11" t="s">
        <v>416</v>
      </c>
      <c r="D404" s="13" t="s">
        <v>2502</v>
      </c>
      <c r="E404" s="13" t="s">
        <v>2503</v>
      </c>
      <c r="F404" s="13" t="s">
        <v>2504</v>
      </c>
      <c r="G404" s="13" t="s">
        <v>2505</v>
      </c>
      <c r="H404" s="13" t="s">
        <v>2506</v>
      </c>
    </row>
    <row r="405" customFormat="false" ht="15" hidden="false" customHeight="true" outlineLevel="0" collapsed="false">
      <c r="A405" s="13" t="s">
        <v>110</v>
      </c>
      <c r="B405" s="13" t="s">
        <v>422</v>
      </c>
      <c r="C405" s="11" t="s">
        <v>423</v>
      </c>
      <c r="D405" s="13" t="s">
        <v>2507</v>
      </c>
      <c r="E405" s="13" t="s">
        <v>2508</v>
      </c>
      <c r="F405" s="13" t="s">
        <v>2509</v>
      </c>
      <c r="G405" s="13" t="s">
        <v>2510</v>
      </c>
      <c r="H405" s="13" t="s">
        <v>2511</v>
      </c>
    </row>
    <row r="406" customFormat="false" ht="15" hidden="false" customHeight="true" outlineLevel="0" collapsed="false">
      <c r="A406" s="13" t="s">
        <v>110</v>
      </c>
      <c r="B406" s="13" t="s">
        <v>429</v>
      </c>
      <c r="C406" s="11" t="s">
        <v>430</v>
      </c>
      <c r="D406" s="13" t="s">
        <v>2512</v>
      </c>
      <c r="E406" s="13" t="s">
        <v>2513</v>
      </c>
      <c r="F406" s="13" t="s">
        <v>2514</v>
      </c>
      <c r="G406" s="13" t="s">
        <v>2515</v>
      </c>
      <c r="H406" s="13" t="s">
        <v>2516</v>
      </c>
    </row>
    <row r="407" customFormat="false" ht="15" hidden="false" customHeight="true" outlineLevel="0" collapsed="false">
      <c r="A407" s="13" t="s">
        <v>110</v>
      </c>
      <c r="B407" s="13" t="s">
        <v>436</v>
      </c>
      <c r="C407" s="11" t="s">
        <v>437</v>
      </c>
      <c r="D407" s="13" t="s">
        <v>2517</v>
      </c>
      <c r="E407" s="13" t="s">
        <v>2518</v>
      </c>
      <c r="F407" s="13" t="s">
        <v>2519</v>
      </c>
      <c r="G407" s="13" t="s">
        <v>2520</v>
      </c>
      <c r="H407" s="13" t="s">
        <v>2521</v>
      </c>
    </row>
    <row r="408" customFormat="false" ht="15" hidden="false" customHeight="true" outlineLevel="0" collapsed="false">
      <c r="A408" s="13" t="s">
        <v>110</v>
      </c>
      <c r="B408" s="13" t="s">
        <v>443</v>
      </c>
      <c r="C408" s="11" t="s">
        <v>444</v>
      </c>
      <c r="D408" s="13" t="s">
        <v>2522</v>
      </c>
      <c r="E408" s="13" t="s">
        <v>2523</v>
      </c>
      <c r="F408" s="13" t="s">
        <v>2524</v>
      </c>
      <c r="G408" s="13" t="s">
        <v>2525</v>
      </c>
      <c r="H408" s="13" t="s">
        <v>2526</v>
      </c>
    </row>
    <row r="409" customFormat="false" ht="15" hidden="false" customHeight="true" outlineLevel="0" collapsed="false">
      <c r="A409" s="13" t="s">
        <v>110</v>
      </c>
      <c r="B409" s="13" t="s">
        <v>450</v>
      </c>
      <c r="C409" s="11" t="s">
        <v>451</v>
      </c>
      <c r="D409" s="13" t="s">
        <v>2527</v>
      </c>
      <c r="E409" s="13" t="s">
        <v>2528</v>
      </c>
      <c r="F409" s="13" t="s">
        <v>2529</v>
      </c>
      <c r="G409" s="13" t="s">
        <v>2530</v>
      </c>
      <c r="H409" s="13" t="s">
        <v>2531</v>
      </c>
    </row>
    <row r="410" customFormat="false" ht="15" hidden="false" customHeight="true" outlineLevel="0" collapsed="false">
      <c r="A410" s="13" t="s">
        <v>110</v>
      </c>
      <c r="B410" s="13" t="s">
        <v>457</v>
      </c>
      <c r="C410" s="11" t="s">
        <v>458</v>
      </c>
      <c r="D410" s="13" t="s">
        <v>2532</v>
      </c>
      <c r="E410" s="13" t="s">
        <v>2533</v>
      </c>
      <c r="F410" s="13" t="s">
        <v>2534</v>
      </c>
      <c r="G410" s="13" t="s">
        <v>2535</v>
      </c>
      <c r="H410" s="13" t="s">
        <v>2536</v>
      </c>
    </row>
    <row r="411" customFormat="false" ht="15" hidden="false" customHeight="true" outlineLevel="0" collapsed="false">
      <c r="A411" s="13" t="s">
        <v>110</v>
      </c>
      <c r="B411" s="13" t="s">
        <v>464</v>
      </c>
      <c r="C411" s="11" t="s">
        <v>465</v>
      </c>
      <c r="D411" s="13" t="s">
        <v>2537</v>
      </c>
      <c r="E411" s="13" t="s">
        <v>2538</v>
      </c>
      <c r="F411" s="13" t="s">
        <v>2539</v>
      </c>
      <c r="G411" s="13" t="s">
        <v>2540</v>
      </c>
      <c r="H411" s="13" t="s">
        <v>2541</v>
      </c>
    </row>
    <row r="412" customFormat="false" ht="15" hidden="false" customHeight="true" outlineLevel="0" collapsed="false">
      <c r="A412" s="13" t="s">
        <v>110</v>
      </c>
      <c r="B412" s="13" t="s">
        <v>471</v>
      </c>
      <c r="C412" s="11" t="s">
        <v>472</v>
      </c>
      <c r="D412" s="13" t="s">
        <v>2542</v>
      </c>
      <c r="E412" s="13" t="s">
        <v>2543</v>
      </c>
      <c r="F412" s="13" t="s">
        <v>2544</v>
      </c>
      <c r="G412" s="13" t="s">
        <v>2545</v>
      </c>
      <c r="H412" s="13" t="s">
        <v>2546</v>
      </c>
    </row>
    <row r="413" customFormat="false" ht="15" hidden="false" customHeight="true" outlineLevel="0" collapsed="false">
      <c r="A413" s="13" t="s">
        <v>110</v>
      </c>
      <c r="B413" s="13" t="s">
        <v>478</v>
      </c>
      <c r="C413" s="11" t="s">
        <v>479</v>
      </c>
      <c r="D413" s="13" t="s">
        <v>2547</v>
      </c>
      <c r="E413" s="13" t="s">
        <v>2548</v>
      </c>
      <c r="F413" s="13" t="s">
        <v>2549</v>
      </c>
      <c r="G413" s="13" t="s">
        <v>2550</v>
      </c>
      <c r="H413" s="13" t="s">
        <v>2551</v>
      </c>
    </row>
    <row r="414" customFormat="false" ht="15" hidden="false" customHeight="true" outlineLevel="0" collapsed="false">
      <c r="A414" s="13" t="s">
        <v>110</v>
      </c>
      <c r="B414" s="13" t="s">
        <v>485</v>
      </c>
      <c r="C414" s="11" t="s">
        <v>486</v>
      </c>
      <c r="D414" s="13" t="s">
        <v>2552</v>
      </c>
      <c r="E414" s="13" t="s">
        <v>2553</v>
      </c>
      <c r="F414" s="13" t="s">
        <v>2554</v>
      </c>
      <c r="G414" s="13" t="s">
        <v>2555</v>
      </c>
      <c r="H414" s="13" t="s">
        <v>2556</v>
      </c>
    </row>
    <row r="415" customFormat="false" ht="15" hidden="false" customHeight="true" outlineLevel="0" collapsed="false">
      <c r="A415" s="13" t="s">
        <v>110</v>
      </c>
      <c r="B415" s="13" t="s">
        <v>492</v>
      </c>
      <c r="C415" s="11" t="s">
        <v>493</v>
      </c>
      <c r="D415" s="13" t="s">
        <v>2557</v>
      </c>
      <c r="E415" s="13" t="s">
        <v>2558</v>
      </c>
      <c r="F415" s="13" t="s">
        <v>2559</v>
      </c>
      <c r="G415" s="13" t="s">
        <v>2560</v>
      </c>
      <c r="H415" s="13" t="s">
        <v>2561</v>
      </c>
    </row>
    <row r="416" customFormat="false" ht="15" hidden="false" customHeight="true" outlineLevel="0" collapsed="false">
      <c r="A416" s="13" t="s">
        <v>110</v>
      </c>
      <c r="B416" s="13" t="s">
        <v>499</v>
      </c>
      <c r="C416" s="11" t="s">
        <v>500</v>
      </c>
      <c r="D416" s="13" t="s">
        <v>2562</v>
      </c>
      <c r="E416" s="13" t="s">
        <v>2563</v>
      </c>
      <c r="F416" s="13" t="s">
        <v>2564</v>
      </c>
      <c r="G416" s="13" t="s">
        <v>2565</v>
      </c>
      <c r="H416" s="13" t="s">
        <v>2566</v>
      </c>
    </row>
    <row r="417" customFormat="false" ht="15" hidden="false" customHeight="true" outlineLevel="0" collapsed="false">
      <c r="A417" s="13" t="s">
        <v>110</v>
      </c>
      <c r="B417" s="13" t="s">
        <v>506</v>
      </c>
      <c r="C417" s="11" t="s">
        <v>507</v>
      </c>
      <c r="D417" s="13" t="s">
        <v>2567</v>
      </c>
      <c r="E417" s="13" t="s">
        <v>2568</v>
      </c>
      <c r="F417" s="13" t="s">
        <v>2569</v>
      </c>
      <c r="G417" s="13" t="s">
        <v>2570</v>
      </c>
      <c r="H417" s="13" t="s">
        <v>2571</v>
      </c>
    </row>
    <row r="418" customFormat="false" ht="15" hidden="false" customHeight="true" outlineLevel="0" collapsed="false">
      <c r="A418" s="13" t="s">
        <v>110</v>
      </c>
      <c r="B418" s="13" t="s">
        <v>513</v>
      </c>
      <c r="C418" s="11" t="s">
        <v>514</v>
      </c>
      <c r="D418" s="13" t="s">
        <v>2572</v>
      </c>
      <c r="E418" s="13" t="s">
        <v>2573</v>
      </c>
      <c r="F418" s="13" t="s">
        <v>2574</v>
      </c>
      <c r="G418" s="13" t="s">
        <v>2575</v>
      </c>
      <c r="H418" s="13" t="s">
        <v>2576</v>
      </c>
    </row>
    <row r="419" customFormat="false" ht="15" hidden="false" customHeight="true" outlineLevel="0" collapsed="false">
      <c r="A419" s="13" t="s">
        <v>110</v>
      </c>
      <c r="B419" s="13" t="s">
        <v>520</v>
      </c>
      <c r="C419" s="11" t="s">
        <v>521</v>
      </c>
      <c r="D419" s="13" t="s">
        <v>2577</v>
      </c>
      <c r="E419" s="13" t="s">
        <v>2578</v>
      </c>
      <c r="F419" s="13" t="s">
        <v>2579</v>
      </c>
      <c r="G419" s="13" t="s">
        <v>2580</v>
      </c>
      <c r="H419" s="13" t="s">
        <v>2581</v>
      </c>
    </row>
    <row r="420" customFormat="false" ht="15" hidden="false" customHeight="true" outlineLevel="0" collapsed="false">
      <c r="A420" s="13" t="s">
        <v>110</v>
      </c>
      <c r="B420" s="13" t="s">
        <v>527</v>
      </c>
      <c r="C420" s="11" t="s">
        <v>528</v>
      </c>
      <c r="D420" s="13" t="s">
        <v>2582</v>
      </c>
      <c r="E420" s="13" t="s">
        <v>2583</v>
      </c>
      <c r="F420" s="13" t="s">
        <v>2584</v>
      </c>
      <c r="G420" s="13" t="s">
        <v>2585</v>
      </c>
      <c r="H420" s="13" t="s">
        <v>2586</v>
      </c>
    </row>
    <row r="421" customFormat="false" ht="15" hidden="false" customHeight="true" outlineLevel="0" collapsed="false">
      <c r="A421" s="13" t="s">
        <v>110</v>
      </c>
      <c r="B421" s="13" t="s">
        <v>534</v>
      </c>
      <c r="C421" s="11" t="s">
        <v>535</v>
      </c>
      <c r="D421" s="13" t="s">
        <v>2587</v>
      </c>
      <c r="E421" s="13" t="s">
        <v>2588</v>
      </c>
      <c r="F421" s="13" t="s">
        <v>2589</v>
      </c>
      <c r="G421" s="13" t="s">
        <v>2590</v>
      </c>
      <c r="H421" s="13" t="s">
        <v>2591</v>
      </c>
    </row>
    <row r="422" customFormat="false" ht="15" hidden="false" customHeight="true" outlineLevel="0" collapsed="false">
      <c r="A422" s="13" t="s">
        <v>110</v>
      </c>
      <c r="B422" s="13" t="s">
        <v>541</v>
      </c>
      <c r="C422" s="11" t="s">
        <v>542</v>
      </c>
      <c r="D422" s="13" t="s">
        <v>2592</v>
      </c>
      <c r="E422" s="13" t="s">
        <v>2593</v>
      </c>
      <c r="F422" s="13" t="s">
        <v>2594</v>
      </c>
      <c r="G422" s="13" t="s">
        <v>2595</v>
      </c>
      <c r="H422" s="13" t="s">
        <v>2596</v>
      </c>
    </row>
    <row r="423" customFormat="false" ht="15" hidden="false" customHeight="true" outlineLevel="0" collapsed="false">
      <c r="A423" s="13" t="s">
        <v>110</v>
      </c>
      <c r="B423" s="13" t="s">
        <v>548</v>
      </c>
      <c r="C423" s="11" t="s">
        <v>549</v>
      </c>
      <c r="D423" s="13" t="s">
        <v>2597</v>
      </c>
      <c r="E423" s="13" t="s">
        <v>2598</v>
      </c>
      <c r="F423" s="13" t="s">
        <v>2599</v>
      </c>
      <c r="G423" s="13" t="s">
        <v>2600</v>
      </c>
      <c r="H423" s="13" t="s">
        <v>2601</v>
      </c>
    </row>
    <row r="424" customFormat="false" ht="15" hidden="false" customHeight="true" outlineLevel="0" collapsed="false">
      <c r="A424" s="13" t="s">
        <v>110</v>
      </c>
      <c r="B424" s="13" t="s">
        <v>555</v>
      </c>
      <c r="C424" s="11" t="s">
        <v>556</v>
      </c>
      <c r="D424" s="13" t="s">
        <v>2602</v>
      </c>
      <c r="E424" s="13" t="s">
        <v>2603</v>
      </c>
      <c r="F424" s="13" t="s">
        <v>2604</v>
      </c>
      <c r="G424" s="13" t="s">
        <v>2605</v>
      </c>
      <c r="H424" s="13" t="s">
        <v>2606</v>
      </c>
    </row>
    <row r="425" customFormat="false" ht="15" hidden="false" customHeight="true" outlineLevel="0" collapsed="false">
      <c r="A425" s="13" t="s">
        <v>110</v>
      </c>
      <c r="B425" s="13" t="s">
        <v>562</v>
      </c>
      <c r="C425" s="11" t="s">
        <v>563</v>
      </c>
      <c r="D425" s="13" t="s">
        <v>2607</v>
      </c>
      <c r="E425" s="13" t="s">
        <v>2608</v>
      </c>
      <c r="F425" s="13" t="s">
        <v>2609</v>
      </c>
      <c r="G425" s="13" t="s">
        <v>2610</v>
      </c>
      <c r="H425" s="13" t="s">
        <v>2611</v>
      </c>
    </row>
    <row r="426" customFormat="false" ht="15" hidden="false" customHeight="true" outlineLevel="0" collapsed="false">
      <c r="A426" s="13" t="s">
        <v>110</v>
      </c>
      <c r="B426" s="13" t="s">
        <v>569</v>
      </c>
      <c r="C426" s="11" t="s">
        <v>570</v>
      </c>
      <c r="D426" s="13" t="s">
        <v>2612</v>
      </c>
      <c r="E426" s="13" t="s">
        <v>2613</v>
      </c>
      <c r="F426" s="13" t="s">
        <v>2614</v>
      </c>
      <c r="G426" s="13" t="s">
        <v>2615</v>
      </c>
      <c r="H426" s="13" t="s">
        <v>2616</v>
      </c>
    </row>
    <row r="427" customFormat="false" ht="15" hidden="false" customHeight="true" outlineLevel="0" collapsed="false">
      <c r="A427" s="13" t="s">
        <v>110</v>
      </c>
      <c r="B427" s="13" t="s">
        <v>576</v>
      </c>
      <c r="C427" s="11" t="s">
        <v>577</v>
      </c>
      <c r="D427" s="13" t="s">
        <v>2617</v>
      </c>
      <c r="E427" s="13" t="s">
        <v>2618</v>
      </c>
      <c r="F427" s="13" t="s">
        <v>2619</v>
      </c>
      <c r="G427" s="13" t="s">
        <v>2620</v>
      </c>
      <c r="H427" s="13" t="s">
        <v>2621</v>
      </c>
    </row>
    <row r="428" customFormat="false" ht="15" hidden="false" customHeight="true" outlineLevel="0" collapsed="false">
      <c r="A428" s="13" t="s">
        <v>110</v>
      </c>
      <c r="B428" s="13" t="s">
        <v>583</v>
      </c>
      <c r="C428" s="11" t="s">
        <v>584</v>
      </c>
      <c r="D428" s="13" t="s">
        <v>2622</v>
      </c>
      <c r="E428" s="13" t="s">
        <v>2623</v>
      </c>
      <c r="F428" s="13" t="s">
        <v>2624</v>
      </c>
      <c r="G428" s="13" t="s">
        <v>2625</v>
      </c>
      <c r="H428" s="13" t="s">
        <v>2626</v>
      </c>
    </row>
    <row r="429" customFormat="false" ht="15" hidden="false" customHeight="true" outlineLevel="0" collapsed="false">
      <c r="A429" s="13" t="s">
        <v>110</v>
      </c>
      <c r="B429" s="13" t="s">
        <v>590</v>
      </c>
      <c r="C429" s="11" t="s">
        <v>591</v>
      </c>
      <c r="D429" s="13" t="s">
        <v>2627</v>
      </c>
      <c r="E429" s="13" t="s">
        <v>2628</v>
      </c>
      <c r="F429" s="13" t="s">
        <v>2629</v>
      </c>
      <c r="G429" s="13" t="s">
        <v>2630</v>
      </c>
      <c r="H429" s="13" t="s">
        <v>2631</v>
      </c>
    </row>
    <row r="430" customFormat="false" ht="15" hidden="false" customHeight="true" outlineLevel="0" collapsed="false">
      <c r="A430" s="13" t="s">
        <v>110</v>
      </c>
      <c r="B430" s="13" t="s">
        <v>597</v>
      </c>
      <c r="C430" s="11" t="s">
        <v>598</v>
      </c>
      <c r="D430" s="13" t="s">
        <v>2632</v>
      </c>
      <c r="E430" s="13" t="s">
        <v>2633</v>
      </c>
      <c r="F430" s="13" t="s">
        <v>2634</v>
      </c>
      <c r="G430" s="13" t="s">
        <v>2635</v>
      </c>
      <c r="H430" s="13" t="s">
        <v>2636</v>
      </c>
    </row>
    <row r="431" customFormat="false" ht="15" hidden="false" customHeight="true" outlineLevel="0" collapsed="false">
      <c r="A431" s="13" t="s">
        <v>110</v>
      </c>
      <c r="B431" s="13" t="s">
        <v>604</v>
      </c>
      <c r="C431" s="11" t="s">
        <v>605</v>
      </c>
      <c r="D431" s="13" t="s">
        <v>2637</v>
      </c>
      <c r="E431" s="13" t="s">
        <v>2638</v>
      </c>
      <c r="F431" s="13" t="s">
        <v>2639</v>
      </c>
      <c r="G431" s="13" t="s">
        <v>2640</v>
      </c>
      <c r="H431" s="13" t="s">
        <v>2641</v>
      </c>
    </row>
    <row r="432" customFormat="false" ht="15" hidden="false" customHeight="true" outlineLevel="0" collapsed="false">
      <c r="A432" s="13" t="s">
        <v>110</v>
      </c>
      <c r="B432" s="13" t="s">
        <v>611</v>
      </c>
      <c r="C432" s="11" t="s">
        <v>612</v>
      </c>
      <c r="D432" s="13" t="s">
        <v>2642</v>
      </c>
      <c r="E432" s="13" t="s">
        <v>2643</v>
      </c>
      <c r="F432" s="13" t="s">
        <v>2644</v>
      </c>
      <c r="G432" s="13" t="s">
        <v>2645</v>
      </c>
      <c r="H432" s="13" t="s">
        <v>2646</v>
      </c>
    </row>
    <row r="433" customFormat="false" ht="15" hidden="false" customHeight="true" outlineLevel="0" collapsed="false">
      <c r="A433" s="13" t="s">
        <v>110</v>
      </c>
      <c r="B433" s="13" t="s">
        <v>618</v>
      </c>
      <c r="C433" s="11" t="s">
        <v>619</v>
      </c>
      <c r="D433" s="13" t="s">
        <v>2647</v>
      </c>
      <c r="E433" s="13" t="s">
        <v>2648</v>
      </c>
      <c r="F433" s="13" t="s">
        <v>2649</v>
      </c>
      <c r="G433" s="13" t="s">
        <v>2650</v>
      </c>
      <c r="H433" s="13" t="s">
        <v>2651</v>
      </c>
    </row>
    <row r="434" customFormat="false" ht="15" hidden="false" customHeight="true" outlineLevel="0" collapsed="false">
      <c r="A434" s="13" t="s">
        <v>110</v>
      </c>
      <c r="B434" s="13" t="s">
        <v>625</v>
      </c>
      <c r="C434" s="11" t="s">
        <v>626</v>
      </c>
      <c r="D434" s="13" t="s">
        <v>2652</v>
      </c>
      <c r="E434" s="13" t="s">
        <v>2653</v>
      </c>
      <c r="F434" s="13" t="s">
        <v>2654</v>
      </c>
      <c r="G434" s="13" t="s">
        <v>2655</v>
      </c>
      <c r="H434" s="13" t="s">
        <v>2656</v>
      </c>
    </row>
    <row r="435" customFormat="false" ht="15" hidden="false" customHeight="true" outlineLevel="0" collapsed="false">
      <c r="A435" s="13" t="s">
        <v>110</v>
      </c>
      <c r="B435" s="13" t="s">
        <v>632</v>
      </c>
      <c r="C435" s="11" t="s">
        <v>633</v>
      </c>
      <c r="D435" s="13" t="s">
        <v>2657</v>
      </c>
      <c r="E435" s="13" t="s">
        <v>2658</v>
      </c>
      <c r="F435" s="13" t="s">
        <v>2659</v>
      </c>
      <c r="G435" s="13" t="s">
        <v>2660</v>
      </c>
      <c r="H435" s="13" t="s">
        <v>2661</v>
      </c>
    </row>
    <row r="436" customFormat="false" ht="15" hidden="false" customHeight="true" outlineLevel="0" collapsed="false">
      <c r="A436" s="13" t="s">
        <v>110</v>
      </c>
      <c r="B436" s="13" t="s">
        <v>639</v>
      </c>
      <c r="C436" s="11" t="s">
        <v>640</v>
      </c>
      <c r="D436" s="13" t="s">
        <v>2662</v>
      </c>
      <c r="E436" s="13" t="s">
        <v>2663</v>
      </c>
      <c r="F436" s="13" t="s">
        <v>2664</v>
      </c>
      <c r="G436" s="13" t="s">
        <v>2665</v>
      </c>
      <c r="H436" s="13" t="s">
        <v>2666</v>
      </c>
    </row>
    <row r="437" customFormat="false" ht="15" hidden="false" customHeight="true" outlineLevel="0" collapsed="false">
      <c r="A437" s="13" t="s">
        <v>110</v>
      </c>
      <c r="B437" s="13" t="s">
        <v>646</v>
      </c>
      <c r="C437" s="11" t="s">
        <v>647</v>
      </c>
      <c r="D437" s="13" t="s">
        <v>2667</v>
      </c>
      <c r="E437" s="13" t="s">
        <v>2668</v>
      </c>
      <c r="F437" s="13" t="s">
        <v>2669</v>
      </c>
      <c r="G437" s="13" t="s">
        <v>2670</v>
      </c>
      <c r="H437" s="13" t="s">
        <v>2671</v>
      </c>
    </row>
    <row r="438" customFormat="false" ht="15" hidden="false" customHeight="true" outlineLevel="0" collapsed="false">
      <c r="A438" s="13" t="s">
        <v>110</v>
      </c>
      <c r="B438" s="13" t="s">
        <v>653</v>
      </c>
      <c r="C438" s="11" t="s">
        <v>654</v>
      </c>
      <c r="D438" s="13" t="s">
        <v>2672</v>
      </c>
      <c r="E438" s="13" t="s">
        <v>2673</v>
      </c>
      <c r="F438" s="13" t="s">
        <v>2674</v>
      </c>
      <c r="G438" s="13" t="s">
        <v>2675</v>
      </c>
      <c r="H438" s="13" t="s">
        <v>2676</v>
      </c>
    </row>
    <row r="439" customFormat="false" ht="15" hidden="false" customHeight="true" outlineLevel="0" collapsed="false">
      <c r="A439" s="13" t="s">
        <v>110</v>
      </c>
      <c r="B439" s="13" t="s">
        <v>660</v>
      </c>
      <c r="C439" s="11" t="s">
        <v>661</v>
      </c>
      <c r="D439" s="13" t="s">
        <v>2677</v>
      </c>
      <c r="E439" s="13" t="s">
        <v>2678</v>
      </c>
      <c r="F439" s="13" t="s">
        <v>2679</v>
      </c>
      <c r="G439" s="13" t="s">
        <v>2016</v>
      </c>
      <c r="H439" s="13" t="s">
        <v>2680</v>
      </c>
    </row>
    <row r="440" customFormat="false" ht="15" hidden="false" customHeight="true" outlineLevel="0" collapsed="false">
      <c r="A440" s="13" t="s">
        <v>110</v>
      </c>
      <c r="B440" s="13" t="s">
        <v>667</v>
      </c>
      <c r="C440" s="11" t="s">
        <v>668</v>
      </c>
      <c r="D440" s="13" t="s">
        <v>2681</v>
      </c>
      <c r="E440" s="13" t="s">
        <v>2682</v>
      </c>
      <c r="F440" s="13" t="s">
        <v>2683</v>
      </c>
      <c r="G440" s="13" t="s">
        <v>2684</v>
      </c>
      <c r="H440" s="13" t="s">
        <v>2685</v>
      </c>
    </row>
    <row r="441" customFormat="false" ht="15" hidden="false" customHeight="true" outlineLevel="0" collapsed="false">
      <c r="A441" s="13" t="s">
        <v>110</v>
      </c>
      <c r="B441" s="13" t="s">
        <v>674</v>
      </c>
      <c r="C441" s="11" t="s">
        <v>675</v>
      </c>
      <c r="D441" s="13" t="s">
        <v>2686</v>
      </c>
      <c r="E441" s="13" t="s">
        <v>2687</v>
      </c>
      <c r="F441" s="13" t="s">
        <v>2688</v>
      </c>
      <c r="G441" s="13" t="s">
        <v>2689</v>
      </c>
      <c r="H441" s="13" t="s">
        <v>2690</v>
      </c>
    </row>
    <row r="442" customFormat="false" ht="15" hidden="false" customHeight="true" outlineLevel="0" collapsed="false">
      <c r="A442" s="13" t="s">
        <v>110</v>
      </c>
      <c r="B442" s="13" t="s">
        <v>681</v>
      </c>
      <c r="C442" s="11" t="s">
        <v>682</v>
      </c>
      <c r="D442" s="13" t="s">
        <v>2691</v>
      </c>
      <c r="E442" s="13" t="s">
        <v>2692</v>
      </c>
      <c r="F442" s="13" t="s">
        <v>2693</v>
      </c>
      <c r="G442" s="13" t="s">
        <v>2694</v>
      </c>
      <c r="H442" s="13" t="s">
        <v>2695</v>
      </c>
    </row>
    <row r="443" customFormat="false" ht="15" hidden="false" customHeight="true" outlineLevel="0" collapsed="false">
      <c r="A443" s="13" t="s">
        <v>110</v>
      </c>
      <c r="B443" s="13" t="s">
        <v>688</v>
      </c>
      <c r="C443" s="11" t="s">
        <v>689</v>
      </c>
      <c r="D443" s="13" t="s">
        <v>2696</v>
      </c>
      <c r="E443" s="13" t="s">
        <v>2697</v>
      </c>
      <c r="F443" s="13" t="s">
        <v>2698</v>
      </c>
      <c r="G443" s="13" t="s">
        <v>2699</v>
      </c>
      <c r="H443" s="13" t="s">
        <v>2700</v>
      </c>
    </row>
    <row r="444" customFormat="false" ht="15" hidden="false" customHeight="true" outlineLevel="0" collapsed="false">
      <c r="A444" s="13" t="s">
        <v>110</v>
      </c>
      <c r="B444" s="13" t="s">
        <v>695</v>
      </c>
      <c r="C444" s="11" t="s">
        <v>696</v>
      </c>
      <c r="D444" s="13" t="s">
        <v>2701</v>
      </c>
      <c r="E444" s="13" t="s">
        <v>2702</v>
      </c>
      <c r="F444" s="13" t="s">
        <v>2703</v>
      </c>
      <c r="G444" s="13" t="s">
        <v>2704</v>
      </c>
      <c r="H444" s="13" t="s">
        <v>2705</v>
      </c>
    </row>
    <row r="445" customFormat="false" ht="15" hidden="false" customHeight="true" outlineLevel="0" collapsed="false">
      <c r="A445" s="13" t="s">
        <v>110</v>
      </c>
      <c r="B445" s="13" t="s">
        <v>702</v>
      </c>
      <c r="C445" s="11" t="s">
        <v>703</v>
      </c>
      <c r="D445" s="13" t="s">
        <v>2706</v>
      </c>
      <c r="E445" s="13" t="s">
        <v>2707</v>
      </c>
      <c r="F445" s="13" t="s">
        <v>2708</v>
      </c>
      <c r="G445" s="13" t="s">
        <v>2709</v>
      </c>
      <c r="H445" s="13" t="s">
        <v>2710</v>
      </c>
    </row>
    <row r="446" customFormat="false" ht="15" hidden="false" customHeight="true" outlineLevel="0" collapsed="false">
      <c r="A446" s="13" t="s">
        <v>110</v>
      </c>
      <c r="B446" s="13" t="s">
        <v>709</v>
      </c>
      <c r="C446" s="11" t="s">
        <v>710</v>
      </c>
      <c r="D446" s="13" t="s">
        <v>382</v>
      </c>
      <c r="E446" s="13" t="s">
        <v>2711</v>
      </c>
      <c r="F446" s="13" t="s">
        <v>2712</v>
      </c>
      <c r="G446" s="13" t="s">
        <v>2713</v>
      </c>
      <c r="H446" s="13" t="s">
        <v>2714</v>
      </c>
    </row>
    <row r="447" customFormat="false" ht="15" hidden="false" customHeight="true" outlineLevel="0" collapsed="false">
      <c r="A447" s="13" t="s">
        <v>110</v>
      </c>
      <c r="B447" s="13" t="s">
        <v>716</v>
      </c>
      <c r="C447" s="11" t="s">
        <v>717</v>
      </c>
      <c r="D447" s="13" t="s">
        <v>2715</v>
      </c>
      <c r="E447" s="13" t="s">
        <v>2716</v>
      </c>
      <c r="F447" s="13" t="s">
        <v>2717</v>
      </c>
      <c r="G447" s="13" t="s">
        <v>2718</v>
      </c>
      <c r="H447" s="13" t="s">
        <v>2719</v>
      </c>
    </row>
    <row r="448" customFormat="false" ht="15" hidden="false" customHeight="true" outlineLevel="0" collapsed="false">
      <c r="A448" s="13" t="s">
        <v>110</v>
      </c>
      <c r="B448" s="13" t="s">
        <v>723</v>
      </c>
      <c r="C448" s="11" t="s">
        <v>724</v>
      </c>
      <c r="D448" s="13" t="s">
        <v>2720</v>
      </c>
      <c r="E448" s="13" t="s">
        <v>2721</v>
      </c>
      <c r="F448" s="13" t="s">
        <v>2722</v>
      </c>
      <c r="G448" s="13" t="s">
        <v>2723</v>
      </c>
      <c r="H448" s="13" t="s">
        <v>2724</v>
      </c>
    </row>
    <row r="449" customFormat="false" ht="15" hidden="false" customHeight="true" outlineLevel="0" collapsed="false">
      <c r="A449" s="13" t="s">
        <v>110</v>
      </c>
      <c r="B449" s="13" t="s">
        <v>730</v>
      </c>
      <c r="C449" s="11" t="s">
        <v>731</v>
      </c>
      <c r="D449" s="13" t="s">
        <v>2725</v>
      </c>
      <c r="E449" s="13" t="s">
        <v>2726</v>
      </c>
      <c r="F449" s="13" t="s">
        <v>2727</v>
      </c>
      <c r="G449" s="13" t="s">
        <v>2728</v>
      </c>
      <c r="H449" s="13" t="s">
        <v>2729</v>
      </c>
    </row>
    <row r="450" customFormat="false" ht="15" hidden="false" customHeight="true" outlineLevel="0" collapsed="false">
      <c r="A450" s="13" t="s">
        <v>110</v>
      </c>
      <c r="B450" s="13" t="s">
        <v>737</v>
      </c>
      <c r="C450" s="11" t="s">
        <v>738</v>
      </c>
      <c r="D450" s="13" t="s">
        <v>2730</v>
      </c>
      <c r="E450" s="13" t="s">
        <v>2731</v>
      </c>
      <c r="F450" s="13" t="s">
        <v>2732</v>
      </c>
      <c r="G450" s="13" t="s">
        <v>2733</v>
      </c>
      <c r="H450" s="13" t="s">
        <v>2734</v>
      </c>
    </row>
    <row r="451" customFormat="false" ht="15" hidden="false" customHeight="true" outlineLevel="0" collapsed="false">
      <c r="A451" s="13" t="s">
        <v>110</v>
      </c>
      <c r="B451" s="13" t="s">
        <v>744</v>
      </c>
      <c r="C451" s="11" t="s">
        <v>745</v>
      </c>
      <c r="D451" s="13" t="s">
        <v>2735</v>
      </c>
      <c r="E451" s="13" t="s">
        <v>2736</v>
      </c>
      <c r="F451" s="13" t="s">
        <v>2737</v>
      </c>
      <c r="G451" s="13" t="s">
        <v>2738</v>
      </c>
      <c r="H451" s="13" t="s">
        <v>2739</v>
      </c>
    </row>
    <row r="452" customFormat="false" ht="15" hidden="false" customHeight="true" outlineLevel="0" collapsed="false">
      <c r="A452" s="13" t="s">
        <v>110</v>
      </c>
      <c r="B452" s="13" t="s">
        <v>751</v>
      </c>
      <c r="C452" s="11" t="s">
        <v>752</v>
      </c>
      <c r="D452" s="13" t="s">
        <v>2740</v>
      </c>
      <c r="E452" s="13" t="s">
        <v>2741</v>
      </c>
      <c r="F452" s="13" t="s">
        <v>2742</v>
      </c>
      <c r="G452" s="13" t="s">
        <v>2743</v>
      </c>
      <c r="H452" s="13" t="s">
        <v>2744</v>
      </c>
    </row>
    <row r="453" customFormat="false" ht="15" hidden="false" customHeight="true" outlineLevel="0" collapsed="false">
      <c r="A453" s="13" t="s">
        <v>110</v>
      </c>
      <c r="B453" s="13" t="s">
        <v>758</v>
      </c>
      <c r="C453" s="11" t="s">
        <v>759</v>
      </c>
      <c r="D453" s="13" t="s">
        <v>2745</v>
      </c>
      <c r="E453" s="13" t="s">
        <v>2746</v>
      </c>
      <c r="F453" s="13" t="s">
        <v>2747</v>
      </c>
      <c r="G453" s="13" t="s">
        <v>2748</v>
      </c>
      <c r="H453" s="13" t="s">
        <v>2749</v>
      </c>
    </row>
    <row r="454" customFormat="false" ht="15" hidden="false" customHeight="true" outlineLevel="0" collapsed="false">
      <c r="A454" s="13" t="s">
        <v>110</v>
      </c>
      <c r="B454" s="13" t="s">
        <v>765</v>
      </c>
      <c r="C454" s="11" t="s">
        <v>766</v>
      </c>
      <c r="D454" s="13" t="s">
        <v>2750</v>
      </c>
      <c r="E454" s="13" t="s">
        <v>2751</v>
      </c>
      <c r="F454" s="13" t="s">
        <v>2752</v>
      </c>
      <c r="G454" s="13" t="s">
        <v>2753</v>
      </c>
      <c r="H454" s="13" t="s">
        <v>2754</v>
      </c>
    </row>
    <row r="455" customFormat="false" ht="15" hidden="false" customHeight="true" outlineLevel="0" collapsed="false">
      <c r="A455" s="13" t="s">
        <v>110</v>
      </c>
      <c r="B455" s="13" t="s">
        <v>772</v>
      </c>
      <c r="C455" s="11" t="s">
        <v>773</v>
      </c>
      <c r="D455" s="13" t="s">
        <v>2755</v>
      </c>
      <c r="E455" s="13" t="s">
        <v>2756</v>
      </c>
      <c r="F455" s="13" t="s">
        <v>2757</v>
      </c>
      <c r="G455" s="13" t="s">
        <v>2758</v>
      </c>
      <c r="H455" s="13" t="s">
        <v>2759</v>
      </c>
    </row>
    <row r="456" customFormat="false" ht="15" hidden="false" customHeight="true" outlineLevel="0" collapsed="false">
      <c r="A456" s="13" t="s">
        <v>110</v>
      </c>
      <c r="B456" s="13" t="s">
        <v>779</v>
      </c>
      <c r="C456" s="11" t="s">
        <v>780</v>
      </c>
      <c r="D456" s="13" t="s">
        <v>2760</v>
      </c>
      <c r="E456" s="13" t="s">
        <v>2761</v>
      </c>
      <c r="F456" s="13" t="s">
        <v>2762</v>
      </c>
      <c r="G456" s="13" t="s">
        <v>2763</v>
      </c>
      <c r="H456" s="13" t="s">
        <v>2764</v>
      </c>
    </row>
    <row r="457" customFormat="false" ht="15" hidden="false" customHeight="true" outlineLevel="0" collapsed="false">
      <c r="A457" s="13" t="s">
        <v>110</v>
      </c>
      <c r="B457" s="13" t="s">
        <v>786</v>
      </c>
      <c r="C457" s="11" t="s">
        <v>787</v>
      </c>
      <c r="D457" s="13" t="s">
        <v>2765</v>
      </c>
      <c r="E457" s="13" t="s">
        <v>2766</v>
      </c>
      <c r="F457" s="13" t="s">
        <v>2767</v>
      </c>
      <c r="G457" s="13" t="s">
        <v>2768</v>
      </c>
      <c r="H457" s="13" t="s">
        <v>2769</v>
      </c>
    </row>
    <row r="458" customFormat="false" ht="15" hidden="false" customHeight="true" outlineLevel="0" collapsed="false">
      <c r="A458" s="13" t="s">
        <v>110</v>
      </c>
      <c r="B458" s="13" t="s">
        <v>793</v>
      </c>
      <c r="C458" s="11" t="s">
        <v>794</v>
      </c>
      <c r="D458" s="13" t="s">
        <v>2770</v>
      </c>
      <c r="E458" s="13" t="s">
        <v>2771</v>
      </c>
      <c r="F458" s="13" t="s">
        <v>2772</v>
      </c>
      <c r="G458" s="13" t="s">
        <v>2773</v>
      </c>
      <c r="H458" s="13" t="s">
        <v>2774</v>
      </c>
    </row>
    <row r="459" customFormat="false" ht="15" hidden="false" customHeight="true" outlineLevel="0" collapsed="false">
      <c r="A459" s="13" t="s">
        <v>110</v>
      </c>
      <c r="B459" s="13" t="s">
        <v>800</v>
      </c>
      <c r="C459" s="11" t="s">
        <v>801</v>
      </c>
      <c r="D459" s="13" t="s">
        <v>2775</v>
      </c>
      <c r="E459" s="13" t="s">
        <v>2776</v>
      </c>
      <c r="F459" s="13" t="s">
        <v>2777</v>
      </c>
      <c r="G459" s="13" t="s">
        <v>2778</v>
      </c>
      <c r="H459" s="13" t="s">
        <v>2779</v>
      </c>
    </row>
    <row r="460" customFormat="false" ht="15" hidden="false" customHeight="true" outlineLevel="0" collapsed="false">
      <c r="A460" s="13" t="s">
        <v>110</v>
      </c>
      <c r="B460" s="13" t="s">
        <v>806</v>
      </c>
      <c r="C460" s="11" t="s">
        <v>807</v>
      </c>
      <c r="D460" s="13" t="s">
        <v>2780</v>
      </c>
      <c r="E460" s="13" t="s">
        <v>2781</v>
      </c>
      <c r="F460" s="13" t="s">
        <v>2782</v>
      </c>
      <c r="G460" s="13" t="s">
        <v>2783</v>
      </c>
      <c r="H460" s="13" t="s">
        <v>2784</v>
      </c>
    </row>
    <row r="461" customFormat="false" ht="15" hidden="false" customHeight="true" outlineLevel="0" collapsed="false">
      <c r="A461" s="13" t="s">
        <v>110</v>
      </c>
      <c r="B461" s="13" t="s">
        <v>813</v>
      </c>
      <c r="C461" s="11" t="s">
        <v>814</v>
      </c>
      <c r="D461" s="13" t="s">
        <v>2785</v>
      </c>
      <c r="E461" s="13" t="s">
        <v>775</v>
      </c>
      <c r="F461" s="13" t="s">
        <v>2786</v>
      </c>
      <c r="G461" s="13" t="s">
        <v>2787</v>
      </c>
      <c r="H461" s="13" t="s">
        <v>2788</v>
      </c>
    </row>
    <row r="462" customFormat="false" ht="15" hidden="false" customHeight="true" outlineLevel="0" collapsed="false">
      <c r="A462" s="13" t="s">
        <v>110</v>
      </c>
      <c r="B462" s="13" t="s">
        <v>820</v>
      </c>
      <c r="C462" s="11" t="s">
        <v>821</v>
      </c>
      <c r="D462" s="13" t="s">
        <v>2789</v>
      </c>
      <c r="E462" s="13" t="s">
        <v>2790</v>
      </c>
      <c r="F462" s="13" t="s">
        <v>2791</v>
      </c>
      <c r="G462" s="13" t="s">
        <v>2792</v>
      </c>
      <c r="H462" s="13" t="s">
        <v>2793</v>
      </c>
    </row>
    <row r="463" customFormat="false" ht="15" hidden="false" customHeight="true" outlineLevel="0" collapsed="false">
      <c r="A463" s="13" t="s">
        <v>110</v>
      </c>
      <c r="B463" s="13" t="s">
        <v>827</v>
      </c>
      <c r="C463" s="11" t="s">
        <v>828</v>
      </c>
      <c r="D463" s="13" t="s">
        <v>2794</v>
      </c>
      <c r="E463" s="13" t="s">
        <v>2795</v>
      </c>
      <c r="F463" s="13" t="s">
        <v>2796</v>
      </c>
      <c r="G463" s="13" t="s">
        <v>2797</v>
      </c>
      <c r="H463" s="13" t="s">
        <v>2798</v>
      </c>
    </row>
    <row r="464" customFormat="false" ht="15" hidden="false" customHeight="true" outlineLevel="0" collapsed="false">
      <c r="A464" s="13" t="s">
        <v>110</v>
      </c>
      <c r="B464" s="13" t="s">
        <v>834</v>
      </c>
      <c r="C464" s="11" t="s">
        <v>835</v>
      </c>
      <c r="D464" s="13" t="s">
        <v>2799</v>
      </c>
      <c r="E464" s="13" t="s">
        <v>2800</v>
      </c>
      <c r="F464" s="13" t="s">
        <v>2801</v>
      </c>
      <c r="G464" s="13" t="s">
        <v>2802</v>
      </c>
      <c r="H464" s="13" t="s">
        <v>2803</v>
      </c>
    </row>
    <row r="465" customFormat="false" ht="15" hidden="false" customHeight="true" outlineLevel="0" collapsed="false">
      <c r="A465" s="13" t="s">
        <v>110</v>
      </c>
      <c r="B465" s="13" t="s">
        <v>841</v>
      </c>
      <c r="C465" s="11" t="s">
        <v>842</v>
      </c>
      <c r="D465" s="13" t="s">
        <v>2804</v>
      </c>
      <c r="E465" s="13" t="s">
        <v>2805</v>
      </c>
      <c r="F465" s="13" t="s">
        <v>2806</v>
      </c>
      <c r="G465" s="13" t="s">
        <v>2807</v>
      </c>
      <c r="H465" s="13" t="s">
        <v>2808</v>
      </c>
    </row>
    <row r="466" customFormat="false" ht="15" hidden="false" customHeight="true" outlineLevel="0" collapsed="false">
      <c r="A466" s="13" t="s">
        <v>110</v>
      </c>
      <c r="B466" s="13" t="s">
        <v>848</v>
      </c>
      <c r="C466" s="11" t="s">
        <v>849</v>
      </c>
      <c r="D466" s="13" t="s">
        <v>2809</v>
      </c>
      <c r="E466" s="13" t="s">
        <v>2810</v>
      </c>
      <c r="F466" s="13" t="s">
        <v>2811</v>
      </c>
      <c r="G466" s="13" t="s">
        <v>2812</v>
      </c>
      <c r="H466" s="13" t="s">
        <v>2813</v>
      </c>
    </row>
    <row r="467" customFormat="false" ht="15" hidden="false" customHeight="true" outlineLevel="0" collapsed="false">
      <c r="A467" s="13" t="s">
        <v>110</v>
      </c>
      <c r="B467" s="13" t="s">
        <v>855</v>
      </c>
      <c r="C467" s="11" t="s">
        <v>856</v>
      </c>
      <c r="D467" s="13" t="s">
        <v>2814</v>
      </c>
      <c r="E467" s="13" t="s">
        <v>2815</v>
      </c>
      <c r="F467" s="13" t="s">
        <v>2816</v>
      </c>
      <c r="G467" s="13" t="s">
        <v>2817</v>
      </c>
      <c r="H467" s="13" t="s">
        <v>2818</v>
      </c>
    </row>
    <row r="468" customFormat="false" ht="15" hidden="false" customHeight="true" outlineLevel="0" collapsed="false">
      <c r="A468" s="13" t="s">
        <v>110</v>
      </c>
      <c r="B468" s="13" t="s">
        <v>862</v>
      </c>
      <c r="C468" s="11" t="s">
        <v>863</v>
      </c>
      <c r="D468" s="13" t="s">
        <v>2819</v>
      </c>
      <c r="E468" s="13" t="s">
        <v>2820</v>
      </c>
      <c r="F468" s="13" t="s">
        <v>2821</v>
      </c>
      <c r="G468" s="13" t="s">
        <v>2822</v>
      </c>
      <c r="H468" s="13" t="s">
        <v>2823</v>
      </c>
    </row>
    <row r="469" customFormat="false" ht="15" hidden="false" customHeight="true" outlineLevel="0" collapsed="false">
      <c r="A469" s="13" t="s">
        <v>110</v>
      </c>
      <c r="B469" s="13" t="s">
        <v>869</v>
      </c>
      <c r="C469" s="11" t="s">
        <v>870</v>
      </c>
      <c r="D469" s="13" t="s">
        <v>2824</v>
      </c>
      <c r="E469" s="13" t="s">
        <v>2825</v>
      </c>
      <c r="F469" s="13" t="s">
        <v>2826</v>
      </c>
      <c r="G469" s="13" t="s">
        <v>2827</v>
      </c>
      <c r="H469" s="13" t="s">
        <v>2828</v>
      </c>
    </row>
    <row r="470" customFormat="false" ht="15" hidden="false" customHeight="true" outlineLevel="0" collapsed="false">
      <c r="A470" s="13" t="s">
        <v>110</v>
      </c>
      <c r="B470" s="13" t="s">
        <v>876</v>
      </c>
      <c r="C470" s="11" t="s">
        <v>877</v>
      </c>
      <c r="D470" s="13" t="s">
        <v>2829</v>
      </c>
      <c r="E470" s="13" t="s">
        <v>2830</v>
      </c>
      <c r="F470" s="13" t="s">
        <v>2831</v>
      </c>
      <c r="G470" s="13" t="s">
        <v>2832</v>
      </c>
      <c r="H470" s="13" t="s">
        <v>2833</v>
      </c>
    </row>
    <row r="471" customFormat="false" ht="15" hidden="false" customHeight="true" outlineLevel="0" collapsed="false">
      <c r="A471" s="13" t="s">
        <v>110</v>
      </c>
      <c r="B471" s="13" t="s">
        <v>883</v>
      </c>
      <c r="C471" s="11" t="s">
        <v>884</v>
      </c>
      <c r="D471" s="13" t="s">
        <v>2834</v>
      </c>
      <c r="E471" s="13" t="s">
        <v>2835</v>
      </c>
      <c r="F471" s="13" t="s">
        <v>2836</v>
      </c>
      <c r="G471" s="13" t="s">
        <v>2837</v>
      </c>
      <c r="H471" s="13" t="s">
        <v>2838</v>
      </c>
    </row>
    <row r="472" customFormat="false" ht="15" hidden="false" customHeight="true" outlineLevel="0" collapsed="false">
      <c r="A472" s="13" t="s">
        <v>110</v>
      </c>
      <c r="B472" s="13" t="s">
        <v>890</v>
      </c>
      <c r="C472" s="11" t="s">
        <v>891</v>
      </c>
      <c r="D472" s="13" t="s">
        <v>2839</v>
      </c>
      <c r="E472" s="13" t="s">
        <v>2840</v>
      </c>
      <c r="F472" s="13" t="s">
        <v>2841</v>
      </c>
      <c r="G472" s="13" t="s">
        <v>2842</v>
      </c>
      <c r="H472" s="13" t="s">
        <v>2843</v>
      </c>
    </row>
    <row r="473" customFormat="false" ht="15" hidden="false" customHeight="true" outlineLevel="0" collapsed="false">
      <c r="A473" s="13" t="s">
        <v>110</v>
      </c>
      <c r="B473" s="13" t="s">
        <v>897</v>
      </c>
      <c r="C473" s="11" t="s">
        <v>898</v>
      </c>
      <c r="D473" s="13" t="s">
        <v>2844</v>
      </c>
      <c r="E473" s="13" t="s">
        <v>2845</v>
      </c>
      <c r="F473" s="13" t="s">
        <v>2846</v>
      </c>
      <c r="G473" s="13" t="s">
        <v>2847</v>
      </c>
      <c r="H473" s="13" t="s">
        <v>2848</v>
      </c>
    </row>
    <row r="474" customFormat="false" ht="15" hidden="false" customHeight="true" outlineLevel="0" collapsed="false">
      <c r="A474" s="13" t="s">
        <v>110</v>
      </c>
      <c r="B474" s="13" t="s">
        <v>904</v>
      </c>
      <c r="C474" s="11" t="s">
        <v>905</v>
      </c>
      <c r="D474" s="13" t="s">
        <v>2849</v>
      </c>
      <c r="E474" s="13" t="s">
        <v>2850</v>
      </c>
      <c r="F474" s="13" t="s">
        <v>2851</v>
      </c>
      <c r="G474" s="13" t="s">
        <v>2852</v>
      </c>
      <c r="H474" s="13" t="s">
        <v>2853</v>
      </c>
    </row>
    <row r="475" customFormat="false" ht="15" hidden="false" customHeight="true" outlineLevel="0" collapsed="false">
      <c r="A475" s="13" t="s">
        <v>110</v>
      </c>
      <c r="B475" s="13" t="s">
        <v>911</v>
      </c>
      <c r="C475" s="11" t="s">
        <v>912</v>
      </c>
      <c r="D475" s="13" t="s">
        <v>2854</v>
      </c>
      <c r="E475" s="13" t="s">
        <v>2855</v>
      </c>
      <c r="F475" s="13" t="s">
        <v>2856</v>
      </c>
      <c r="G475" s="13" t="s">
        <v>2857</v>
      </c>
      <c r="H475" s="13" t="s">
        <v>2858</v>
      </c>
    </row>
    <row r="476" customFormat="false" ht="15" hidden="false" customHeight="true" outlineLevel="0" collapsed="false">
      <c r="A476" s="13" t="s">
        <v>110</v>
      </c>
      <c r="B476" s="13" t="s">
        <v>918</v>
      </c>
      <c r="C476" s="11" t="s">
        <v>919</v>
      </c>
      <c r="D476" s="13" t="s">
        <v>2859</v>
      </c>
      <c r="E476" s="13" t="s">
        <v>2860</v>
      </c>
      <c r="F476" s="13" t="s">
        <v>2861</v>
      </c>
      <c r="G476" s="13" t="s">
        <v>2862</v>
      </c>
      <c r="H476" s="13" t="s">
        <v>2863</v>
      </c>
    </row>
    <row r="477" customFormat="false" ht="15" hidden="false" customHeight="true" outlineLevel="0" collapsed="false">
      <c r="A477" s="13" t="s">
        <v>110</v>
      </c>
      <c r="B477" s="13" t="s">
        <v>925</v>
      </c>
      <c r="C477" s="11" t="s">
        <v>926</v>
      </c>
      <c r="D477" s="13" t="s">
        <v>2864</v>
      </c>
      <c r="E477" s="13" t="s">
        <v>2865</v>
      </c>
      <c r="F477" s="13" t="s">
        <v>2866</v>
      </c>
      <c r="G477" s="13" t="s">
        <v>2867</v>
      </c>
      <c r="H477" s="13" t="s">
        <v>2868</v>
      </c>
    </row>
    <row r="478" customFormat="false" ht="15" hidden="false" customHeight="true" outlineLevel="0" collapsed="false">
      <c r="A478" s="13" t="s">
        <v>110</v>
      </c>
      <c r="B478" s="13" t="s">
        <v>932</v>
      </c>
      <c r="C478" s="11" t="s">
        <v>933</v>
      </c>
      <c r="D478" s="13" t="s">
        <v>2869</v>
      </c>
      <c r="E478" s="13" t="s">
        <v>2870</v>
      </c>
      <c r="F478" s="13" t="s">
        <v>2871</v>
      </c>
      <c r="G478" s="13" t="s">
        <v>2872</v>
      </c>
      <c r="H478" s="13" t="s">
        <v>2873</v>
      </c>
    </row>
    <row r="479" customFormat="false" ht="15" hidden="false" customHeight="true" outlineLevel="0" collapsed="false">
      <c r="A479" s="13" t="s">
        <v>110</v>
      </c>
      <c r="B479" s="13" t="s">
        <v>939</v>
      </c>
      <c r="C479" s="11" t="s">
        <v>940</v>
      </c>
      <c r="D479" s="13" t="s">
        <v>2874</v>
      </c>
      <c r="E479" s="13" t="s">
        <v>2875</v>
      </c>
      <c r="F479" s="13" t="s">
        <v>2876</v>
      </c>
      <c r="G479" s="13" t="s">
        <v>2877</v>
      </c>
      <c r="H479" s="13" t="s">
        <v>2878</v>
      </c>
    </row>
    <row r="480" customFormat="false" ht="15" hidden="false" customHeight="true" outlineLevel="0" collapsed="false">
      <c r="A480" s="13" t="s">
        <v>110</v>
      </c>
      <c r="B480" s="13" t="s">
        <v>946</v>
      </c>
      <c r="C480" s="11" t="s">
        <v>947</v>
      </c>
      <c r="D480" s="13" t="s">
        <v>2879</v>
      </c>
      <c r="E480" s="13" t="s">
        <v>2880</v>
      </c>
      <c r="F480" s="13" t="s">
        <v>2881</v>
      </c>
      <c r="G480" s="13" t="s">
        <v>2882</v>
      </c>
      <c r="H480" s="13" t="s">
        <v>2883</v>
      </c>
    </row>
    <row r="481" customFormat="false" ht="15" hidden="false" customHeight="true" outlineLevel="0" collapsed="false">
      <c r="A481" s="13" t="s">
        <v>110</v>
      </c>
      <c r="B481" s="13" t="s">
        <v>953</v>
      </c>
      <c r="C481" s="11" t="s">
        <v>954</v>
      </c>
      <c r="D481" s="13" t="s">
        <v>2884</v>
      </c>
      <c r="E481" s="13" t="s">
        <v>2885</v>
      </c>
      <c r="F481" s="13" t="s">
        <v>2886</v>
      </c>
      <c r="G481" s="13" t="s">
        <v>2887</v>
      </c>
      <c r="H481" s="13" t="s">
        <v>2888</v>
      </c>
    </row>
    <row r="482" customFormat="false" ht="15" hidden="false" customHeight="true" outlineLevel="0" collapsed="false">
      <c r="A482" s="13" t="s">
        <v>110</v>
      </c>
      <c r="B482" s="13" t="s">
        <v>960</v>
      </c>
      <c r="C482" s="11" t="s">
        <v>961</v>
      </c>
      <c r="D482" s="13" t="s">
        <v>2889</v>
      </c>
      <c r="E482" s="13" t="s">
        <v>2890</v>
      </c>
      <c r="F482" s="13" t="s">
        <v>2891</v>
      </c>
      <c r="G482" s="13" t="s">
        <v>2892</v>
      </c>
      <c r="H482" s="13" t="s">
        <v>2893</v>
      </c>
    </row>
    <row r="483" customFormat="false" ht="15" hidden="false" customHeight="true" outlineLevel="0" collapsed="false">
      <c r="A483" s="13" t="s">
        <v>110</v>
      </c>
      <c r="B483" s="13" t="s">
        <v>967</v>
      </c>
      <c r="C483" s="11" t="s">
        <v>968</v>
      </c>
      <c r="D483" s="13" t="s">
        <v>2894</v>
      </c>
      <c r="E483" s="13" t="s">
        <v>2895</v>
      </c>
      <c r="F483" s="13" t="s">
        <v>2896</v>
      </c>
      <c r="G483" s="13" t="s">
        <v>2897</v>
      </c>
      <c r="H483" s="13" t="s">
        <v>2898</v>
      </c>
    </row>
    <row r="484" customFormat="false" ht="15" hidden="false" customHeight="true" outlineLevel="0" collapsed="false">
      <c r="A484" s="13" t="s">
        <v>110</v>
      </c>
      <c r="B484" s="13" t="s">
        <v>974</v>
      </c>
      <c r="C484" s="11" t="s">
        <v>975</v>
      </c>
      <c r="D484" s="13" t="s">
        <v>2899</v>
      </c>
      <c r="E484" s="13" t="s">
        <v>2900</v>
      </c>
      <c r="F484" s="13" t="s">
        <v>2901</v>
      </c>
      <c r="G484" s="13" t="s">
        <v>2902</v>
      </c>
      <c r="H484" s="13" t="s">
        <v>2903</v>
      </c>
    </row>
    <row r="485" customFormat="false" ht="15" hidden="false" customHeight="true" outlineLevel="0" collapsed="false">
      <c r="A485" s="13" t="s">
        <v>110</v>
      </c>
      <c r="B485" s="13" t="s">
        <v>981</v>
      </c>
      <c r="C485" s="11" t="s">
        <v>982</v>
      </c>
      <c r="D485" s="13" t="s">
        <v>2904</v>
      </c>
      <c r="E485" s="13" t="s">
        <v>2905</v>
      </c>
      <c r="F485" s="13" t="s">
        <v>2906</v>
      </c>
      <c r="G485" s="13" t="s">
        <v>2907</v>
      </c>
      <c r="H485" s="13" t="s">
        <v>2908</v>
      </c>
    </row>
    <row r="486" customFormat="false" ht="15" hidden="false" customHeight="true" outlineLevel="0" collapsed="false">
      <c r="A486" s="13" t="s">
        <v>110</v>
      </c>
      <c r="B486" s="13" t="s">
        <v>988</v>
      </c>
      <c r="C486" s="11" t="s">
        <v>989</v>
      </c>
      <c r="D486" s="13" t="s">
        <v>2909</v>
      </c>
      <c r="E486" s="13" t="s">
        <v>2910</v>
      </c>
      <c r="F486" s="13" t="s">
        <v>2911</v>
      </c>
      <c r="G486" s="13" t="s">
        <v>2912</v>
      </c>
      <c r="H486" s="13" t="s">
        <v>2913</v>
      </c>
    </row>
    <row r="487" customFormat="false" ht="15" hidden="false" customHeight="true" outlineLevel="0" collapsed="false">
      <c r="A487" s="13" t="s">
        <v>110</v>
      </c>
      <c r="B487" s="13" t="s">
        <v>995</v>
      </c>
      <c r="C487" s="11" t="s">
        <v>996</v>
      </c>
      <c r="D487" s="13" t="s">
        <v>2914</v>
      </c>
      <c r="E487" s="13" t="s">
        <v>2915</v>
      </c>
      <c r="F487" s="13" t="s">
        <v>2916</v>
      </c>
      <c r="G487" s="13" t="s">
        <v>2917</v>
      </c>
      <c r="H487" s="13" t="s">
        <v>2918</v>
      </c>
    </row>
    <row r="488" customFormat="false" ht="15" hidden="false" customHeight="true" outlineLevel="0" collapsed="false">
      <c r="A488" s="13" t="s">
        <v>110</v>
      </c>
      <c r="B488" s="13" t="s">
        <v>1002</v>
      </c>
      <c r="C488" s="11" t="s">
        <v>1003</v>
      </c>
      <c r="D488" s="13" t="s">
        <v>2919</v>
      </c>
      <c r="E488" s="13" t="s">
        <v>2920</v>
      </c>
      <c r="F488" s="13" t="s">
        <v>2921</v>
      </c>
      <c r="G488" s="13" t="s">
        <v>2922</v>
      </c>
      <c r="H488" s="13" t="s">
        <v>2923</v>
      </c>
    </row>
    <row r="489" customFormat="false" ht="15" hidden="false" customHeight="true" outlineLevel="0" collapsed="false">
      <c r="A489" s="13" t="s">
        <v>110</v>
      </c>
      <c r="B489" s="13" t="s">
        <v>1009</v>
      </c>
      <c r="C489" s="11" t="s">
        <v>1010</v>
      </c>
      <c r="D489" s="13" t="s">
        <v>2924</v>
      </c>
      <c r="E489" s="13" t="s">
        <v>2925</v>
      </c>
      <c r="F489" s="13" t="s">
        <v>2926</v>
      </c>
      <c r="G489" s="13" t="s">
        <v>2927</v>
      </c>
      <c r="H489" s="13" t="s">
        <v>2928</v>
      </c>
    </row>
    <row r="490" customFormat="false" ht="15" hidden="false" customHeight="true" outlineLevel="0" collapsed="false">
      <c r="A490" s="13" t="s">
        <v>119</v>
      </c>
      <c r="B490" s="13" t="s">
        <v>345</v>
      </c>
      <c r="C490" s="11" t="s">
        <v>346</v>
      </c>
      <c r="D490" s="13" t="s">
        <v>2929</v>
      </c>
      <c r="E490" s="13" t="s">
        <v>2930</v>
      </c>
      <c r="F490" s="13" t="s">
        <v>2931</v>
      </c>
      <c r="G490" s="13" t="s">
        <v>2932</v>
      </c>
      <c r="H490" s="13" t="s">
        <v>2933</v>
      </c>
    </row>
    <row r="491" customFormat="false" ht="15" hidden="false" customHeight="true" outlineLevel="0" collapsed="false">
      <c r="A491" s="13" t="s">
        <v>119</v>
      </c>
      <c r="B491" s="13" t="s">
        <v>352</v>
      </c>
      <c r="C491" s="11" t="s">
        <v>353</v>
      </c>
      <c r="D491" s="13" t="s">
        <v>2934</v>
      </c>
      <c r="E491" s="13" t="s">
        <v>2935</v>
      </c>
      <c r="F491" s="13" t="s">
        <v>2936</v>
      </c>
      <c r="G491" s="13" t="s">
        <v>2937</v>
      </c>
      <c r="H491" s="13" t="s">
        <v>2938</v>
      </c>
    </row>
    <row r="492" customFormat="false" ht="15" hidden="false" customHeight="true" outlineLevel="0" collapsed="false">
      <c r="A492" s="13" t="s">
        <v>119</v>
      </c>
      <c r="B492" s="13" t="s">
        <v>359</v>
      </c>
      <c r="C492" s="11" t="s">
        <v>360</v>
      </c>
      <c r="D492" s="13" t="s">
        <v>2939</v>
      </c>
      <c r="E492" s="13" t="s">
        <v>2940</v>
      </c>
      <c r="F492" s="13" t="s">
        <v>2941</v>
      </c>
      <c r="G492" s="13" t="s">
        <v>2942</v>
      </c>
      <c r="H492" s="13" t="s">
        <v>2943</v>
      </c>
    </row>
    <row r="493" customFormat="false" ht="15" hidden="false" customHeight="true" outlineLevel="0" collapsed="false">
      <c r="A493" s="13" t="s">
        <v>119</v>
      </c>
      <c r="B493" s="13" t="s">
        <v>366</v>
      </c>
      <c r="C493" s="11" t="s">
        <v>367</v>
      </c>
      <c r="D493" s="13" t="s">
        <v>2944</v>
      </c>
      <c r="E493" s="13" t="s">
        <v>2945</v>
      </c>
      <c r="F493" s="13" t="s">
        <v>2946</v>
      </c>
      <c r="G493" s="13" t="s">
        <v>2947</v>
      </c>
      <c r="H493" s="13" t="s">
        <v>2948</v>
      </c>
    </row>
    <row r="494" customFormat="false" ht="15" hidden="false" customHeight="true" outlineLevel="0" collapsed="false">
      <c r="A494" s="13" t="s">
        <v>119</v>
      </c>
      <c r="B494" s="13" t="s">
        <v>373</v>
      </c>
      <c r="C494" s="11" t="s">
        <v>374</v>
      </c>
      <c r="D494" s="13" t="s">
        <v>2949</v>
      </c>
      <c r="E494" s="13" t="s">
        <v>2950</v>
      </c>
      <c r="F494" s="13" t="s">
        <v>2951</v>
      </c>
      <c r="G494" s="13" t="s">
        <v>2952</v>
      </c>
      <c r="H494" s="13" t="s">
        <v>2953</v>
      </c>
    </row>
    <row r="495" customFormat="false" ht="15" hidden="false" customHeight="true" outlineLevel="0" collapsed="false">
      <c r="A495" s="13" t="s">
        <v>119</v>
      </c>
      <c r="B495" s="13" t="s">
        <v>380</v>
      </c>
      <c r="C495" s="11" t="s">
        <v>381</v>
      </c>
      <c r="D495" s="13" t="s">
        <v>2954</v>
      </c>
      <c r="E495" s="13" t="s">
        <v>2955</v>
      </c>
      <c r="F495" s="13" t="s">
        <v>2956</v>
      </c>
      <c r="G495" s="13" t="s">
        <v>2957</v>
      </c>
      <c r="H495" s="13" t="s">
        <v>2958</v>
      </c>
    </row>
    <row r="496" customFormat="false" ht="15" hidden="false" customHeight="true" outlineLevel="0" collapsed="false">
      <c r="A496" s="13" t="s">
        <v>119</v>
      </c>
      <c r="B496" s="13" t="s">
        <v>387</v>
      </c>
      <c r="C496" s="11" t="s">
        <v>388</v>
      </c>
      <c r="D496" s="13" t="s">
        <v>2959</v>
      </c>
      <c r="E496" s="13" t="s">
        <v>2960</v>
      </c>
      <c r="F496" s="13" t="s">
        <v>2961</v>
      </c>
      <c r="G496" s="13" t="s">
        <v>2962</v>
      </c>
      <c r="H496" s="13" t="s">
        <v>2963</v>
      </c>
    </row>
    <row r="497" customFormat="false" ht="15" hidden="false" customHeight="true" outlineLevel="0" collapsed="false">
      <c r="A497" s="13" t="s">
        <v>119</v>
      </c>
      <c r="B497" s="13" t="s">
        <v>394</v>
      </c>
      <c r="C497" s="11" t="s">
        <v>395</v>
      </c>
      <c r="D497" s="13" t="s">
        <v>2964</v>
      </c>
      <c r="E497" s="13" t="s">
        <v>2965</v>
      </c>
      <c r="F497" s="13" t="s">
        <v>2966</v>
      </c>
      <c r="G497" s="13" t="s">
        <v>2967</v>
      </c>
      <c r="H497" s="13" t="s">
        <v>2968</v>
      </c>
    </row>
    <row r="498" customFormat="false" ht="15" hidden="false" customHeight="true" outlineLevel="0" collapsed="false">
      <c r="A498" s="13" t="s">
        <v>119</v>
      </c>
      <c r="B498" s="13" t="s">
        <v>401</v>
      </c>
      <c r="C498" s="11" t="s">
        <v>402</v>
      </c>
      <c r="D498" s="13" t="s">
        <v>2969</v>
      </c>
      <c r="E498" s="13" t="s">
        <v>2970</v>
      </c>
      <c r="F498" s="13" t="s">
        <v>2971</v>
      </c>
      <c r="G498" s="13" t="s">
        <v>2972</v>
      </c>
      <c r="H498" s="13" t="s">
        <v>2973</v>
      </c>
    </row>
    <row r="499" customFormat="false" ht="15" hidden="false" customHeight="true" outlineLevel="0" collapsed="false">
      <c r="A499" s="13" t="s">
        <v>119</v>
      </c>
      <c r="B499" s="13" t="s">
        <v>408</v>
      </c>
      <c r="C499" s="11" t="s">
        <v>409</v>
      </c>
      <c r="D499" s="13" t="s">
        <v>2974</v>
      </c>
      <c r="E499" s="13" t="s">
        <v>2975</v>
      </c>
      <c r="F499" s="13" t="s">
        <v>2976</v>
      </c>
      <c r="G499" s="13" t="s">
        <v>2977</v>
      </c>
      <c r="H499" s="13" t="s">
        <v>2978</v>
      </c>
    </row>
    <row r="500" customFormat="false" ht="15" hidden="false" customHeight="true" outlineLevel="0" collapsed="false">
      <c r="A500" s="13" t="s">
        <v>119</v>
      </c>
      <c r="B500" s="13" t="s">
        <v>415</v>
      </c>
      <c r="C500" s="11" t="s">
        <v>416</v>
      </c>
      <c r="D500" s="13" t="s">
        <v>2979</v>
      </c>
      <c r="E500" s="13" t="s">
        <v>2980</v>
      </c>
      <c r="F500" s="13" t="s">
        <v>2981</v>
      </c>
      <c r="G500" s="13" t="s">
        <v>2982</v>
      </c>
      <c r="H500" s="13" t="s">
        <v>2983</v>
      </c>
    </row>
    <row r="501" customFormat="false" ht="15" hidden="false" customHeight="true" outlineLevel="0" collapsed="false">
      <c r="A501" s="13" t="s">
        <v>119</v>
      </c>
      <c r="B501" s="13" t="s">
        <v>422</v>
      </c>
      <c r="C501" s="11" t="s">
        <v>423</v>
      </c>
      <c r="D501" s="13" t="s">
        <v>2984</v>
      </c>
      <c r="E501" s="13" t="s">
        <v>2985</v>
      </c>
      <c r="F501" s="13" t="s">
        <v>2986</v>
      </c>
      <c r="G501" s="13" t="s">
        <v>2987</v>
      </c>
      <c r="H501" s="13" t="s">
        <v>2988</v>
      </c>
    </row>
    <row r="502" customFormat="false" ht="15" hidden="false" customHeight="true" outlineLevel="0" collapsed="false">
      <c r="A502" s="13" t="s">
        <v>119</v>
      </c>
      <c r="B502" s="13" t="s">
        <v>429</v>
      </c>
      <c r="C502" s="11" t="s">
        <v>430</v>
      </c>
      <c r="D502" s="13" t="s">
        <v>2989</v>
      </c>
      <c r="E502" s="13" t="s">
        <v>2990</v>
      </c>
      <c r="F502" s="13" t="s">
        <v>2991</v>
      </c>
      <c r="G502" s="13" t="s">
        <v>2992</v>
      </c>
      <c r="H502" s="13" t="s">
        <v>2993</v>
      </c>
    </row>
    <row r="503" customFormat="false" ht="15" hidden="false" customHeight="true" outlineLevel="0" collapsed="false">
      <c r="A503" s="13" t="s">
        <v>119</v>
      </c>
      <c r="B503" s="13" t="s">
        <v>436</v>
      </c>
      <c r="C503" s="11" t="s">
        <v>437</v>
      </c>
      <c r="D503" s="13" t="s">
        <v>2994</v>
      </c>
      <c r="E503" s="13" t="s">
        <v>2995</v>
      </c>
      <c r="F503" s="13" t="s">
        <v>2996</v>
      </c>
      <c r="G503" s="13" t="s">
        <v>2997</v>
      </c>
      <c r="H503" s="13" t="s">
        <v>2998</v>
      </c>
    </row>
    <row r="504" customFormat="false" ht="15" hidden="false" customHeight="true" outlineLevel="0" collapsed="false">
      <c r="A504" s="13" t="s">
        <v>119</v>
      </c>
      <c r="B504" s="13" t="s">
        <v>443</v>
      </c>
      <c r="C504" s="11" t="s">
        <v>444</v>
      </c>
      <c r="D504" s="13" t="s">
        <v>2999</v>
      </c>
      <c r="E504" s="13" t="s">
        <v>3000</v>
      </c>
      <c r="F504" s="13" t="s">
        <v>3001</v>
      </c>
      <c r="G504" s="13" t="s">
        <v>3002</v>
      </c>
      <c r="H504" s="13" t="s">
        <v>3003</v>
      </c>
    </row>
    <row r="505" customFormat="false" ht="15" hidden="false" customHeight="true" outlineLevel="0" collapsed="false">
      <c r="A505" s="13" t="s">
        <v>119</v>
      </c>
      <c r="B505" s="13" t="s">
        <v>450</v>
      </c>
      <c r="C505" s="11" t="s">
        <v>451</v>
      </c>
      <c r="D505" s="13" t="s">
        <v>3004</v>
      </c>
      <c r="E505" s="13" t="s">
        <v>3005</v>
      </c>
      <c r="F505" s="13" t="s">
        <v>3006</v>
      </c>
      <c r="G505" s="13" t="s">
        <v>3007</v>
      </c>
      <c r="H505" s="13" t="s">
        <v>3008</v>
      </c>
    </row>
    <row r="506" customFormat="false" ht="15" hidden="false" customHeight="true" outlineLevel="0" collapsed="false">
      <c r="A506" s="13" t="s">
        <v>119</v>
      </c>
      <c r="B506" s="13" t="s">
        <v>457</v>
      </c>
      <c r="C506" s="11" t="s">
        <v>458</v>
      </c>
      <c r="D506" s="13" t="s">
        <v>3009</v>
      </c>
      <c r="E506" s="13" t="s">
        <v>3010</v>
      </c>
      <c r="F506" s="13" t="s">
        <v>3011</v>
      </c>
      <c r="G506" s="13" t="s">
        <v>3012</v>
      </c>
      <c r="H506" s="13" t="s">
        <v>3013</v>
      </c>
    </row>
    <row r="507" customFormat="false" ht="15" hidden="false" customHeight="true" outlineLevel="0" collapsed="false">
      <c r="A507" s="13" t="s">
        <v>119</v>
      </c>
      <c r="B507" s="13" t="s">
        <v>464</v>
      </c>
      <c r="C507" s="11" t="s">
        <v>465</v>
      </c>
      <c r="D507" s="13" t="s">
        <v>3014</v>
      </c>
      <c r="E507" s="13" t="s">
        <v>3015</v>
      </c>
      <c r="F507" s="13" t="s">
        <v>3016</v>
      </c>
      <c r="G507" s="13" t="s">
        <v>3017</v>
      </c>
      <c r="H507" s="13" t="s">
        <v>3018</v>
      </c>
    </row>
    <row r="508" customFormat="false" ht="15" hidden="false" customHeight="true" outlineLevel="0" collapsed="false">
      <c r="A508" s="13" t="s">
        <v>119</v>
      </c>
      <c r="B508" s="13" t="s">
        <v>471</v>
      </c>
      <c r="C508" s="11" t="s">
        <v>472</v>
      </c>
      <c r="D508" s="13" t="s">
        <v>3019</v>
      </c>
      <c r="E508" s="13" t="s">
        <v>3020</v>
      </c>
      <c r="F508" s="13" t="s">
        <v>3021</v>
      </c>
      <c r="G508" s="13" t="s">
        <v>3022</v>
      </c>
      <c r="H508" s="13" t="s">
        <v>3023</v>
      </c>
    </row>
    <row r="509" customFormat="false" ht="15" hidden="false" customHeight="true" outlineLevel="0" collapsed="false">
      <c r="A509" s="13" t="s">
        <v>119</v>
      </c>
      <c r="B509" s="13" t="s">
        <v>478</v>
      </c>
      <c r="C509" s="11" t="s">
        <v>479</v>
      </c>
      <c r="D509" s="13" t="s">
        <v>3024</v>
      </c>
      <c r="E509" s="13" t="s">
        <v>3025</v>
      </c>
      <c r="F509" s="13" t="s">
        <v>3026</v>
      </c>
      <c r="G509" s="13" t="s">
        <v>3027</v>
      </c>
      <c r="H509" s="13" t="s">
        <v>3028</v>
      </c>
    </row>
    <row r="510" customFormat="false" ht="15" hidden="false" customHeight="true" outlineLevel="0" collapsed="false">
      <c r="A510" s="13" t="s">
        <v>119</v>
      </c>
      <c r="B510" s="13" t="s">
        <v>485</v>
      </c>
      <c r="C510" s="11" t="s">
        <v>486</v>
      </c>
      <c r="D510" s="13" t="s">
        <v>3029</v>
      </c>
      <c r="E510" s="13" t="s">
        <v>3030</v>
      </c>
      <c r="F510" s="13" t="s">
        <v>3031</v>
      </c>
      <c r="G510" s="13" t="s">
        <v>3032</v>
      </c>
      <c r="H510" s="13" t="s">
        <v>3033</v>
      </c>
    </row>
    <row r="511" customFormat="false" ht="15" hidden="false" customHeight="true" outlineLevel="0" collapsed="false">
      <c r="A511" s="13" t="s">
        <v>119</v>
      </c>
      <c r="B511" s="13" t="s">
        <v>492</v>
      </c>
      <c r="C511" s="11" t="s">
        <v>493</v>
      </c>
      <c r="D511" s="13" t="s">
        <v>3034</v>
      </c>
      <c r="E511" s="13" t="s">
        <v>3035</v>
      </c>
      <c r="F511" s="13" t="s">
        <v>3036</v>
      </c>
      <c r="G511" s="13" t="s">
        <v>3037</v>
      </c>
      <c r="H511" s="13" t="s">
        <v>3038</v>
      </c>
    </row>
    <row r="512" customFormat="false" ht="15" hidden="false" customHeight="true" outlineLevel="0" collapsed="false">
      <c r="A512" s="13" t="s">
        <v>119</v>
      </c>
      <c r="B512" s="13" t="s">
        <v>499</v>
      </c>
      <c r="C512" s="11" t="s">
        <v>500</v>
      </c>
      <c r="D512" s="13" t="s">
        <v>3039</v>
      </c>
      <c r="E512" s="13" t="s">
        <v>3040</v>
      </c>
      <c r="F512" s="13" t="s">
        <v>3041</v>
      </c>
      <c r="G512" s="13" t="s">
        <v>3042</v>
      </c>
      <c r="H512" s="13" t="s">
        <v>3043</v>
      </c>
    </row>
    <row r="513" customFormat="false" ht="15" hidden="false" customHeight="true" outlineLevel="0" collapsed="false">
      <c r="A513" s="13" t="s">
        <v>119</v>
      </c>
      <c r="B513" s="13" t="s">
        <v>506</v>
      </c>
      <c r="C513" s="11" t="s">
        <v>507</v>
      </c>
      <c r="D513" s="13" t="s">
        <v>3044</v>
      </c>
      <c r="E513" s="13" t="s">
        <v>3045</v>
      </c>
      <c r="F513" s="13" t="s">
        <v>3046</v>
      </c>
      <c r="G513" s="13" t="s">
        <v>3047</v>
      </c>
      <c r="H513" s="13" t="s">
        <v>3048</v>
      </c>
    </row>
    <row r="514" customFormat="false" ht="15" hidden="false" customHeight="true" outlineLevel="0" collapsed="false">
      <c r="A514" s="13" t="s">
        <v>119</v>
      </c>
      <c r="B514" s="13" t="s">
        <v>513</v>
      </c>
      <c r="C514" s="11" t="s">
        <v>514</v>
      </c>
      <c r="D514" s="13" t="s">
        <v>3049</v>
      </c>
      <c r="E514" s="13" t="s">
        <v>3050</v>
      </c>
      <c r="F514" s="13" t="s">
        <v>3051</v>
      </c>
      <c r="G514" s="13" t="s">
        <v>3052</v>
      </c>
      <c r="H514" s="13" t="s">
        <v>3053</v>
      </c>
    </row>
    <row r="515" customFormat="false" ht="15" hidden="false" customHeight="true" outlineLevel="0" collapsed="false">
      <c r="A515" s="13" t="s">
        <v>119</v>
      </c>
      <c r="B515" s="13" t="s">
        <v>520</v>
      </c>
      <c r="C515" s="11" t="s">
        <v>521</v>
      </c>
      <c r="D515" s="13" t="s">
        <v>3054</v>
      </c>
      <c r="E515" s="13" t="s">
        <v>3055</v>
      </c>
      <c r="F515" s="13" t="s">
        <v>3056</v>
      </c>
      <c r="G515" s="13" t="s">
        <v>3057</v>
      </c>
      <c r="H515" s="13" t="s">
        <v>3058</v>
      </c>
    </row>
    <row r="516" customFormat="false" ht="15" hidden="false" customHeight="true" outlineLevel="0" collapsed="false">
      <c r="A516" s="13" t="s">
        <v>119</v>
      </c>
      <c r="B516" s="13" t="s">
        <v>527</v>
      </c>
      <c r="C516" s="11" t="s">
        <v>528</v>
      </c>
      <c r="D516" s="13" t="s">
        <v>3059</v>
      </c>
      <c r="E516" s="13" t="s">
        <v>3060</v>
      </c>
      <c r="F516" s="13" t="s">
        <v>3061</v>
      </c>
      <c r="G516" s="13" t="s">
        <v>3062</v>
      </c>
      <c r="H516" s="13" t="s">
        <v>3063</v>
      </c>
    </row>
    <row r="517" customFormat="false" ht="15" hidden="false" customHeight="true" outlineLevel="0" collapsed="false">
      <c r="A517" s="13" t="s">
        <v>119</v>
      </c>
      <c r="B517" s="13" t="s">
        <v>534</v>
      </c>
      <c r="C517" s="11" t="s">
        <v>535</v>
      </c>
      <c r="D517" s="13" t="s">
        <v>3064</v>
      </c>
      <c r="E517" s="13" t="s">
        <v>3065</v>
      </c>
      <c r="F517" s="13" t="s">
        <v>3066</v>
      </c>
      <c r="G517" s="13" t="s">
        <v>3067</v>
      </c>
      <c r="H517" s="13" t="s">
        <v>3068</v>
      </c>
    </row>
    <row r="518" customFormat="false" ht="15" hidden="false" customHeight="true" outlineLevel="0" collapsed="false">
      <c r="A518" s="13" t="s">
        <v>119</v>
      </c>
      <c r="B518" s="13" t="s">
        <v>541</v>
      </c>
      <c r="C518" s="11" t="s">
        <v>542</v>
      </c>
      <c r="D518" s="13" t="s">
        <v>3069</v>
      </c>
      <c r="E518" s="13" t="s">
        <v>3070</v>
      </c>
      <c r="F518" s="13" t="s">
        <v>3071</v>
      </c>
      <c r="G518" s="13" t="s">
        <v>3072</v>
      </c>
      <c r="H518" s="13" t="s">
        <v>3073</v>
      </c>
    </row>
    <row r="519" customFormat="false" ht="15" hidden="false" customHeight="true" outlineLevel="0" collapsed="false">
      <c r="A519" s="13" t="s">
        <v>119</v>
      </c>
      <c r="B519" s="13" t="s">
        <v>548</v>
      </c>
      <c r="C519" s="11" t="s">
        <v>549</v>
      </c>
      <c r="D519" s="13" t="s">
        <v>3074</v>
      </c>
      <c r="E519" s="13" t="s">
        <v>3075</v>
      </c>
      <c r="F519" s="13" t="s">
        <v>3076</v>
      </c>
      <c r="G519" s="13" t="s">
        <v>3077</v>
      </c>
      <c r="H519" s="13" t="s">
        <v>3078</v>
      </c>
    </row>
    <row r="520" customFormat="false" ht="15" hidden="false" customHeight="true" outlineLevel="0" collapsed="false">
      <c r="A520" s="13" t="s">
        <v>119</v>
      </c>
      <c r="B520" s="13" t="s">
        <v>555</v>
      </c>
      <c r="C520" s="11" t="s">
        <v>556</v>
      </c>
      <c r="D520" s="13" t="s">
        <v>3079</v>
      </c>
      <c r="E520" s="13" t="s">
        <v>3080</v>
      </c>
      <c r="F520" s="13" t="s">
        <v>3081</v>
      </c>
      <c r="G520" s="13" t="s">
        <v>3082</v>
      </c>
      <c r="H520" s="13" t="s">
        <v>3083</v>
      </c>
    </row>
    <row r="521" customFormat="false" ht="15" hidden="false" customHeight="true" outlineLevel="0" collapsed="false">
      <c r="A521" s="13" t="s">
        <v>119</v>
      </c>
      <c r="B521" s="13" t="s">
        <v>562</v>
      </c>
      <c r="C521" s="11" t="s">
        <v>563</v>
      </c>
      <c r="D521" s="13" t="s">
        <v>3084</v>
      </c>
      <c r="E521" s="13" t="s">
        <v>3085</v>
      </c>
      <c r="F521" s="13" t="s">
        <v>3086</v>
      </c>
      <c r="G521" s="13" t="s">
        <v>3087</v>
      </c>
      <c r="H521" s="13" t="s">
        <v>3088</v>
      </c>
    </row>
    <row r="522" customFormat="false" ht="15" hidden="false" customHeight="true" outlineLevel="0" collapsed="false">
      <c r="A522" s="13" t="s">
        <v>119</v>
      </c>
      <c r="B522" s="13" t="s">
        <v>569</v>
      </c>
      <c r="C522" s="11" t="s">
        <v>570</v>
      </c>
      <c r="D522" s="13" t="s">
        <v>3089</v>
      </c>
      <c r="E522" s="13" t="s">
        <v>3090</v>
      </c>
      <c r="F522" s="13" t="s">
        <v>3091</v>
      </c>
      <c r="G522" s="13" t="s">
        <v>3092</v>
      </c>
      <c r="H522" s="13" t="s">
        <v>3093</v>
      </c>
    </row>
    <row r="523" customFormat="false" ht="15" hidden="false" customHeight="true" outlineLevel="0" collapsed="false">
      <c r="A523" s="13" t="s">
        <v>119</v>
      </c>
      <c r="B523" s="13" t="s">
        <v>576</v>
      </c>
      <c r="C523" s="11" t="s">
        <v>577</v>
      </c>
      <c r="D523" s="13" t="s">
        <v>3094</v>
      </c>
      <c r="E523" s="13" t="s">
        <v>3095</v>
      </c>
      <c r="F523" s="13" t="s">
        <v>3096</v>
      </c>
      <c r="G523" s="13" t="s">
        <v>3097</v>
      </c>
      <c r="H523" s="13" t="s">
        <v>3098</v>
      </c>
    </row>
    <row r="524" customFormat="false" ht="15" hidden="false" customHeight="true" outlineLevel="0" collapsed="false">
      <c r="A524" s="13" t="s">
        <v>119</v>
      </c>
      <c r="B524" s="13" t="s">
        <v>583</v>
      </c>
      <c r="C524" s="11" t="s">
        <v>584</v>
      </c>
      <c r="D524" s="13" t="s">
        <v>3099</v>
      </c>
      <c r="E524" s="13" t="s">
        <v>3100</v>
      </c>
      <c r="F524" s="13" t="s">
        <v>3101</v>
      </c>
      <c r="G524" s="13" t="s">
        <v>3102</v>
      </c>
      <c r="H524" s="13" t="s">
        <v>3103</v>
      </c>
    </row>
    <row r="525" customFormat="false" ht="15" hidden="false" customHeight="true" outlineLevel="0" collapsed="false">
      <c r="A525" s="13" t="s">
        <v>119</v>
      </c>
      <c r="B525" s="13" t="s">
        <v>590</v>
      </c>
      <c r="C525" s="11" t="s">
        <v>591</v>
      </c>
      <c r="D525" s="13" t="s">
        <v>3104</v>
      </c>
      <c r="E525" s="13" t="s">
        <v>3105</v>
      </c>
      <c r="F525" s="13" t="s">
        <v>3106</v>
      </c>
      <c r="G525" s="13" t="s">
        <v>3107</v>
      </c>
      <c r="H525" s="13" t="s">
        <v>3108</v>
      </c>
    </row>
    <row r="526" customFormat="false" ht="15" hidden="false" customHeight="true" outlineLevel="0" collapsed="false">
      <c r="A526" s="13" t="s">
        <v>119</v>
      </c>
      <c r="B526" s="13" t="s">
        <v>597</v>
      </c>
      <c r="C526" s="11" t="s">
        <v>598</v>
      </c>
      <c r="D526" s="13" t="s">
        <v>3109</v>
      </c>
      <c r="E526" s="13" t="s">
        <v>3110</v>
      </c>
      <c r="F526" s="13" t="s">
        <v>3111</v>
      </c>
      <c r="G526" s="13" t="s">
        <v>3112</v>
      </c>
      <c r="H526" s="13" t="s">
        <v>3113</v>
      </c>
    </row>
    <row r="527" customFormat="false" ht="15" hidden="false" customHeight="true" outlineLevel="0" collapsed="false">
      <c r="A527" s="13" t="s">
        <v>119</v>
      </c>
      <c r="B527" s="13" t="s">
        <v>604</v>
      </c>
      <c r="C527" s="11" t="s">
        <v>605</v>
      </c>
      <c r="D527" s="13" t="s">
        <v>3114</v>
      </c>
      <c r="E527" s="13" t="s">
        <v>3115</v>
      </c>
      <c r="F527" s="13" t="s">
        <v>3116</v>
      </c>
      <c r="G527" s="13" t="s">
        <v>3117</v>
      </c>
      <c r="H527" s="13" t="s">
        <v>3118</v>
      </c>
    </row>
    <row r="528" customFormat="false" ht="15" hidden="false" customHeight="true" outlineLevel="0" collapsed="false">
      <c r="A528" s="13" t="s">
        <v>119</v>
      </c>
      <c r="B528" s="13" t="s">
        <v>611</v>
      </c>
      <c r="C528" s="11" t="s">
        <v>612</v>
      </c>
      <c r="D528" s="13" t="s">
        <v>3119</v>
      </c>
      <c r="E528" s="13" t="s">
        <v>3120</v>
      </c>
      <c r="F528" s="13" t="s">
        <v>3121</v>
      </c>
      <c r="G528" s="13" t="s">
        <v>3122</v>
      </c>
      <c r="H528" s="13" t="s">
        <v>3123</v>
      </c>
    </row>
    <row r="529" customFormat="false" ht="15" hidden="false" customHeight="true" outlineLevel="0" collapsed="false">
      <c r="A529" s="13" t="s">
        <v>119</v>
      </c>
      <c r="B529" s="13" t="s">
        <v>618</v>
      </c>
      <c r="C529" s="11" t="s">
        <v>619</v>
      </c>
      <c r="D529" s="13" t="s">
        <v>3124</v>
      </c>
      <c r="E529" s="13" t="s">
        <v>3125</v>
      </c>
      <c r="F529" s="13" t="s">
        <v>3126</v>
      </c>
      <c r="G529" s="13" t="s">
        <v>3127</v>
      </c>
      <c r="H529" s="13" t="s">
        <v>3128</v>
      </c>
    </row>
    <row r="530" customFormat="false" ht="15" hidden="false" customHeight="true" outlineLevel="0" collapsed="false">
      <c r="A530" s="13" t="s">
        <v>119</v>
      </c>
      <c r="B530" s="13" t="s">
        <v>625</v>
      </c>
      <c r="C530" s="11" t="s">
        <v>626</v>
      </c>
      <c r="D530" s="13" t="s">
        <v>3129</v>
      </c>
      <c r="E530" s="13" t="s">
        <v>3130</v>
      </c>
      <c r="F530" s="13" t="s">
        <v>3131</v>
      </c>
      <c r="G530" s="13" t="s">
        <v>3132</v>
      </c>
      <c r="H530" s="13" t="s">
        <v>3133</v>
      </c>
    </row>
    <row r="531" customFormat="false" ht="15" hidden="false" customHeight="true" outlineLevel="0" collapsed="false">
      <c r="A531" s="13" t="s">
        <v>119</v>
      </c>
      <c r="B531" s="13" t="s">
        <v>632</v>
      </c>
      <c r="C531" s="11" t="s">
        <v>633</v>
      </c>
      <c r="D531" s="13" t="s">
        <v>3134</v>
      </c>
      <c r="E531" s="13" t="s">
        <v>3135</v>
      </c>
      <c r="F531" s="13" t="s">
        <v>3136</v>
      </c>
      <c r="G531" s="13" t="s">
        <v>3137</v>
      </c>
      <c r="H531" s="13" t="s">
        <v>3138</v>
      </c>
    </row>
    <row r="532" customFormat="false" ht="15" hidden="false" customHeight="true" outlineLevel="0" collapsed="false">
      <c r="A532" s="13" t="s">
        <v>119</v>
      </c>
      <c r="B532" s="13" t="s">
        <v>639</v>
      </c>
      <c r="C532" s="11" t="s">
        <v>640</v>
      </c>
      <c r="D532" s="13" t="s">
        <v>3139</v>
      </c>
      <c r="E532" s="13" t="s">
        <v>3140</v>
      </c>
      <c r="F532" s="13" t="s">
        <v>3141</v>
      </c>
      <c r="G532" s="13" t="s">
        <v>3142</v>
      </c>
      <c r="H532" s="13" t="s">
        <v>3143</v>
      </c>
    </row>
    <row r="533" customFormat="false" ht="15" hidden="false" customHeight="true" outlineLevel="0" collapsed="false">
      <c r="A533" s="13" t="s">
        <v>119</v>
      </c>
      <c r="B533" s="13" t="s">
        <v>646</v>
      </c>
      <c r="C533" s="11" t="s">
        <v>647</v>
      </c>
      <c r="D533" s="13" t="s">
        <v>3144</v>
      </c>
      <c r="E533" s="13" t="s">
        <v>3145</v>
      </c>
      <c r="F533" s="13" t="s">
        <v>3146</v>
      </c>
      <c r="G533" s="13" t="s">
        <v>3147</v>
      </c>
      <c r="H533" s="13" t="s">
        <v>3148</v>
      </c>
    </row>
    <row r="534" customFormat="false" ht="15" hidden="false" customHeight="true" outlineLevel="0" collapsed="false">
      <c r="A534" s="13" t="s">
        <v>119</v>
      </c>
      <c r="B534" s="13" t="s">
        <v>653</v>
      </c>
      <c r="C534" s="11" t="s">
        <v>654</v>
      </c>
      <c r="D534" s="13" t="s">
        <v>3149</v>
      </c>
      <c r="E534" s="13" t="s">
        <v>2194</v>
      </c>
      <c r="F534" s="13" t="s">
        <v>3150</v>
      </c>
      <c r="G534" s="13" t="s">
        <v>3151</v>
      </c>
      <c r="H534" s="13" t="s">
        <v>3152</v>
      </c>
    </row>
    <row r="535" customFormat="false" ht="15" hidden="false" customHeight="true" outlineLevel="0" collapsed="false">
      <c r="A535" s="13" t="s">
        <v>119</v>
      </c>
      <c r="B535" s="13" t="s">
        <v>660</v>
      </c>
      <c r="C535" s="11" t="s">
        <v>661</v>
      </c>
      <c r="D535" s="13" t="s">
        <v>2193</v>
      </c>
      <c r="E535" s="13" t="s">
        <v>3153</v>
      </c>
      <c r="F535" s="13" t="s">
        <v>3154</v>
      </c>
      <c r="G535" s="13" t="s">
        <v>3155</v>
      </c>
      <c r="H535" s="13" t="s">
        <v>3156</v>
      </c>
    </row>
    <row r="536" customFormat="false" ht="15" hidden="false" customHeight="true" outlineLevel="0" collapsed="false">
      <c r="A536" s="13" t="s">
        <v>119</v>
      </c>
      <c r="B536" s="13" t="s">
        <v>667</v>
      </c>
      <c r="C536" s="11" t="s">
        <v>668</v>
      </c>
      <c r="D536" s="13" t="s">
        <v>3157</v>
      </c>
      <c r="E536" s="13" t="s">
        <v>3158</v>
      </c>
      <c r="F536" s="13" t="s">
        <v>3159</v>
      </c>
      <c r="G536" s="13" t="s">
        <v>3160</v>
      </c>
      <c r="H536" s="13" t="s">
        <v>3161</v>
      </c>
    </row>
    <row r="537" customFormat="false" ht="15" hidden="false" customHeight="true" outlineLevel="0" collapsed="false">
      <c r="A537" s="13" t="s">
        <v>119</v>
      </c>
      <c r="B537" s="13" t="s">
        <v>674</v>
      </c>
      <c r="C537" s="11" t="s">
        <v>675</v>
      </c>
      <c r="D537" s="13" t="s">
        <v>3162</v>
      </c>
      <c r="E537" s="13" t="s">
        <v>3163</v>
      </c>
      <c r="F537" s="13" t="s">
        <v>3164</v>
      </c>
      <c r="G537" s="13" t="s">
        <v>3165</v>
      </c>
      <c r="H537" s="13" t="s">
        <v>3166</v>
      </c>
    </row>
    <row r="538" customFormat="false" ht="15" hidden="false" customHeight="true" outlineLevel="0" collapsed="false">
      <c r="A538" s="13" t="s">
        <v>119</v>
      </c>
      <c r="B538" s="13" t="s">
        <v>681</v>
      </c>
      <c r="C538" s="11" t="s">
        <v>682</v>
      </c>
      <c r="D538" s="13" t="s">
        <v>3167</v>
      </c>
      <c r="E538" s="13" t="s">
        <v>3168</v>
      </c>
      <c r="F538" s="13" t="s">
        <v>3169</v>
      </c>
      <c r="G538" s="13" t="s">
        <v>3170</v>
      </c>
      <c r="H538" s="13" t="s">
        <v>2692</v>
      </c>
    </row>
    <row r="539" customFormat="false" ht="15" hidden="false" customHeight="true" outlineLevel="0" collapsed="false">
      <c r="A539" s="13" t="s">
        <v>119</v>
      </c>
      <c r="B539" s="13" t="s">
        <v>688</v>
      </c>
      <c r="C539" s="11" t="s">
        <v>689</v>
      </c>
      <c r="D539" s="13" t="s">
        <v>3171</v>
      </c>
      <c r="E539" s="13" t="s">
        <v>3172</v>
      </c>
      <c r="F539" s="13" t="s">
        <v>3173</v>
      </c>
      <c r="G539" s="13" t="s">
        <v>3174</v>
      </c>
      <c r="H539" s="13" t="s">
        <v>3175</v>
      </c>
    </row>
    <row r="540" customFormat="false" ht="15" hidden="false" customHeight="true" outlineLevel="0" collapsed="false">
      <c r="A540" s="13" t="s">
        <v>119</v>
      </c>
      <c r="B540" s="13" t="s">
        <v>695</v>
      </c>
      <c r="C540" s="11" t="s">
        <v>696</v>
      </c>
      <c r="D540" s="13" t="s">
        <v>3176</v>
      </c>
      <c r="E540" s="13" t="s">
        <v>3177</v>
      </c>
      <c r="F540" s="13" t="s">
        <v>3178</v>
      </c>
      <c r="G540" s="13" t="s">
        <v>3179</v>
      </c>
      <c r="H540" s="13" t="s">
        <v>3180</v>
      </c>
    </row>
    <row r="541" customFormat="false" ht="15" hidden="false" customHeight="true" outlineLevel="0" collapsed="false">
      <c r="A541" s="13" t="s">
        <v>119</v>
      </c>
      <c r="B541" s="13" t="s">
        <v>702</v>
      </c>
      <c r="C541" s="11" t="s">
        <v>703</v>
      </c>
      <c r="D541" s="13" t="s">
        <v>3181</v>
      </c>
      <c r="E541" s="13" t="s">
        <v>3182</v>
      </c>
      <c r="F541" s="13" t="s">
        <v>3183</v>
      </c>
      <c r="G541" s="13" t="s">
        <v>3184</v>
      </c>
      <c r="H541" s="13" t="s">
        <v>3185</v>
      </c>
    </row>
    <row r="542" customFormat="false" ht="15" hidden="false" customHeight="true" outlineLevel="0" collapsed="false">
      <c r="A542" s="13" t="s">
        <v>119</v>
      </c>
      <c r="B542" s="13" t="s">
        <v>709</v>
      </c>
      <c r="C542" s="11" t="s">
        <v>710</v>
      </c>
      <c r="D542" s="13" t="s">
        <v>3186</v>
      </c>
      <c r="E542" s="13" t="s">
        <v>3187</v>
      </c>
      <c r="F542" s="13" t="s">
        <v>3188</v>
      </c>
      <c r="G542" s="13" t="s">
        <v>3189</v>
      </c>
      <c r="H542" s="13" t="s">
        <v>3190</v>
      </c>
    </row>
    <row r="543" customFormat="false" ht="15" hidden="false" customHeight="true" outlineLevel="0" collapsed="false">
      <c r="A543" s="13" t="s">
        <v>119</v>
      </c>
      <c r="B543" s="13" t="s">
        <v>716</v>
      </c>
      <c r="C543" s="11" t="s">
        <v>717</v>
      </c>
      <c r="D543" s="13" t="s">
        <v>3191</v>
      </c>
      <c r="E543" s="13" t="s">
        <v>3192</v>
      </c>
      <c r="F543" s="13" t="s">
        <v>3193</v>
      </c>
      <c r="G543" s="13" t="s">
        <v>3194</v>
      </c>
      <c r="H543" s="13" t="s">
        <v>3195</v>
      </c>
    </row>
    <row r="544" customFormat="false" ht="15" hidden="false" customHeight="true" outlineLevel="0" collapsed="false">
      <c r="A544" s="13" t="s">
        <v>119</v>
      </c>
      <c r="B544" s="13" t="s">
        <v>723</v>
      </c>
      <c r="C544" s="11" t="s">
        <v>724</v>
      </c>
      <c r="D544" s="13" t="s">
        <v>3196</v>
      </c>
      <c r="E544" s="13" t="s">
        <v>3197</v>
      </c>
      <c r="F544" s="13" t="s">
        <v>3198</v>
      </c>
      <c r="G544" s="13" t="s">
        <v>3199</v>
      </c>
      <c r="H544" s="13" t="s">
        <v>3200</v>
      </c>
    </row>
    <row r="545" customFormat="false" ht="15" hidden="false" customHeight="true" outlineLevel="0" collapsed="false">
      <c r="A545" s="13" t="s">
        <v>119</v>
      </c>
      <c r="B545" s="13" t="s">
        <v>730</v>
      </c>
      <c r="C545" s="11" t="s">
        <v>731</v>
      </c>
      <c r="D545" s="13" t="s">
        <v>3201</v>
      </c>
      <c r="E545" s="13" t="s">
        <v>3202</v>
      </c>
      <c r="F545" s="13" t="s">
        <v>3203</v>
      </c>
      <c r="G545" s="13" t="s">
        <v>3204</v>
      </c>
      <c r="H545" s="13" t="s">
        <v>3205</v>
      </c>
    </row>
    <row r="546" customFormat="false" ht="15" hidden="false" customHeight="true" outlineLevel="0" collapsed="false">
      <c r="A546" s="13" t="s">
        <v>119</v>
      </c>
      <c r="B546" s="13" t="s">
        <v>737</v>
      </c>
      <c r="C546" s="11" t="s">
        <v>738</v>
      </c>
      <c r="D546" s="13" t="s">
        <v>3206</v>
      </c>
      <c r="E546" s="13" t="s">
        <v>3207</v>
      </c>
      <c r="F546" s="13" t="s">
        <v>3208</v>
      </c>
      <c r="G546" s="13" t="s">
        <v>3209</v>
      </c>
      <c r="H546" s="13" t="s">
        <v>3210</v>
      </c>
    </row>
    <row r="547" customFormat="false" ht="15" hidden="false" customHeight="true" outlineLevel="0" collapsed="false">
      <c r="A547" s="13" t="s">
        <v>119</v>
      </c>
      <c r="B547" s="13" t="s">
        <v>744</v>
      </c>
      <c r="C547" s="11" t="s">
        <v>745</v>
      </c>
      <c r="D547" s="13" t="s">
        <v>3211</v>
      </c>
      <c r="E547" s="13" t="s">
        <v>3212</v>
      </c>
      <c r="F547" s="13" t="s">
        <v>3213</v>
      </c>
      <c r="G547" s="13" t="s">
        <v>3214</v>
      </c>
      <c r="H547" s="13" t="s">
        <v>3215</v>
      </c>
    </row>
    <row r="548" customFormat="false" ht="15" hidden="false" customHeight="true" outlineLevel="0" collapsed="false">
      <c r="A548" s="13" t="s">
        <v>119</v>
      </c>
      <c r="B548" s="13" t="s">
        <v>751</v>
      </c>
      <c r="C548" s="11" t="s">
        <v>752</v>
      </c>
      <c r="D548" s="13" t="s">
        <v>3216</v>
      </c>
      <c r="E548" s="13" t="s">
        <v>3217</v>
      </c>
      <c r="F548" s="13" t="s">
        <v>3218</v>
      </c>
      <c r="G548" s="13" t="s">
        <v>3219</v>
      </c>
      <c r="H548" s="13" t="s">
        <v>3220</v>
      </c>
    </row>
    <row r="549" customFormat="false" ht="15" hidden="false" customHeight="true" outlineLevel="0" collapsed="false">
      <c r="A549" s="13" t="s">
        <v>119</v>
      </c>
      <c r="B549" s="13" t="s">
        <v>758</v>
      </c>
      <c r="C549" s="11" t="s">
        <v>759</v>
      </c>
      <c r="D549" s="13" t="s">
        <v>3221</v>
      </c>
      <c r="E549" s="13" t="s">
        <v>3222</v>
      </c>
      <c r="F549" s="13" t="s">
        <v>3223</v>
      </c>
      <c r="G549" s="13" t="s">
        <v>3224</v>
      </c>
      <c r="H549" s="13" t="s">
        <v>3225</v>
      </c>
    </row>
    <row r="550" customFormat="false" ht="15" hidden="false" customHeight="true" outlineLevel="0" collapsed="false">
      <c r="A550" s="13" t="s">
        <v>119</v>
      </c>
      <c r="B550" s="13" t="s">
        <v>765</v>
      </c>
      <c r="C550" s="11" t="s">
        <v>766</v>
      </c>
      <c r="D550" s="13" t="s">
        <v>3226</v>
      </c>
      <c r="E550" s="13" t="s">
        <v>3227</v>
      </c>
      <c r="F550" s="13" t="s">
        <v>3228</v>
      </c>
      <c r="G550" s="13" t="s">
        <v>3229</v>
      </c>
      <c r="H550" s="13" t="s">
        <v>3230</v>
      </c>
    </row>
    <row r="551" customFormat="false" ht="15" hidden="false" customHeight="true" outlineLevel="0" collapsed="false">
      <c r="A551" s="13" t="s">
        <v>119</v>
      </c>
      <c r="B551" s="13" t="s">
        <v>772</v>
      </c>
      <c r="C551" s="11" t="s">
        <v>773</v>
      </c>
      <c r="D551" s="13" t="s">
        <v>3231</v>
      </c>
      <c r="E551" s="13" t="s">
        <v>3232</v>
      </c>
      <c r="F551" s="13" t="s">
        <v>3233</v>
      </c>
      <c r="G551" s="13" t="s">
        <v>3234</v>
      </c>
      <c r="H551" s="13" t="s">
        <v>3235</v>
      </c>
    </row>
    <row r="552" customFormat="false" ht="15" hidden="false" customHeight="true" outlineLevel="0" collapsed="false">
      <c r="A552" s="13" t="s">
        <v>119</v>
      </c>
      <c r="B552" s="13" t="s">
        <v>779</v>
      </c>
      <c r="C552" s="11" t="s">
        <v>780</v>
      </c>
      <c r="D552" s="13" t="s">
        <v>3236</v>
      </c>
      <c r="E552" s="13" t="s">
        <v>3237</v>
      </c>
      <c r="F552" s="13" t="s">
        <v>3238</v>
      </c>
      <c r="G552" s="13" t="s">
        <v>3239</v>
      </c>
      <c r="H552" s="13" t="s">
        <v>3240</v>
      </c>
    </row>
    <row r="553" customFormat="false" ht="15" hidden="false" customHeight="true" outlineLevel="0" collapsed="false">
      <c r="A553" s="13" t="s">
        <v>119</v>
      </c>
      <c r="B553" s="13" t="s">
        <v>786</v>
      </c>
      <c r="C553" s="11" t="s">
        <v>787</v>
      </c>
      <c r="D553" s="13" t="s">
        <v>3241</v>
      </c>
      <c r="E553" s="13" t="s">
        <v>3242</v>
      </c>
      <c r="F553" s="13" t="s">
        <v>3243</v>
      </c>
      <c r="G553" s="13" t="s">
        <v>3244</v>
      </c>
      <c r="H553" s="13" t="s">
        <v>3245</v>
      </c>
    </row>
    <row r="554" customFormat="false" ht="15" hidden="false" customHeight="true" outlineLevel="0" collapsed="false">
      <c r="A554" s="13" t="s">
        <v>119</v>
      </c>
      <c r="B554" s="13" t="s">
        <v>793</v>
      </c>
      <c r="C554" s="11" t="s">
        <v>794</v>
      </c>
      <c r="D554" s="13" t="s">
        <v>3246</v>
      </c>
      <c r="E554" s="13" t="s">
        <v>3247</v>
      </c>
      <c r="F554" s="13" t="s">
        <v>3248</v>
      </c>
      <c r="G554" s="13" t="s">
        <v>3249</v>
      </c>
      <c r="H554" s="13" t="s">
        <v>3250</v>
      </c>
    </row>
    <row r="555" customFormat="false" ht="15" hidden="false" customHeight="true" outlineLevel="0" collapsed="false">
      <c r="A555" s="13" t="s">
        <v>119</v>
      </c>
      <c r="B555" s="13" t="s">
        <v>800</v>
      </c>
      <c r="C555" s="11" t="s">
        <v>801</v>
      </c>
      <c r="D555" s="13" t="s">
        <v>3251</v>
      </c>
      <c r="E555" s="13" t="s">
        <v>3252</v>
      </c>
      <c r="F555" s="13" t="s">
        <v>3253</v>
      </c>
      <c r="G555" s="13" t="s">
        <v>3254</v>
      </c>
      <c r="H555" s="13" t="s">
        <v>3255</v>
      </c>
    </row>
    <row r="556" customFormat="false" ht="15" hidden="false" customHeight="true" outlineLevel="0" collapsed="false">
      <c r="A556" s="13" t="s">
        <v>119</v>
      </c>
      <c r="B556" s="13" t="s">
        <v>806</v>
      </c>
      <c r="C556" s="11" t="s">
        <v>807</v>
      </c>
      <c r="D556" s="13" t="s">
        <v>3256</v>
      </c>
      <c r="E556" s="13" t="s">
        <v>3257</v>
      </c>
      <c r="F556" s="13" t="s">
        <v>3258</v>
      </c>
      <c r="G556" s="13" t="s">
        <v>3259</v>
      </c>
      <c r="H556" s="13" t="s">
        <v>3260</v>
      </c>
    </row>
    <row r="557" customFormat="false" ht="15" hidden="false" customHeight="true" outlineLevel="0" collapsed="false">
      <c r="A557" s="13" t="s">
        <v>119</v>
      </c>
      <c r="B557" s="13" t="s">
        <v>813</v>
      </c>
      <c r="C557" s="11" t="s">
        <v>814</v>
      </c>
      <c r="D557" s="13" t="s">
        <v>3261</v>
      </c>
      <c r="E557" s="13" t="s">
        <v>3262</v>
      </c>
      <c r="F557" s="13" t="s">
        <v>3263</v>
      </c>
      <c r="G557" s="13" t="s">
        <v>3264</v>
      </c>
      <c r="H557" s="13" t="s">
        <v>3265</v>
      </c>
    </row>
    <row r="558" customFormat="false" ht="15" hidden="false" customHeight="true" outlineLevel="0" collapsed="false">
      <c r="A558" s="13" t="s">
        <v>119</v>
      </c>
      <c r="B558" s="13" t="s">
        <v>820</v>
      </c>
      <c r="C558" s="11" t="s">
        <v>821</v>
      </c>
      <c r="D558" s="13" t="s">
        <v>3266</v>
      </c>
      <c r="E558" s="13" t="s">
        <v>3267</v>
      </c>
      <c r="F558" s="13" t="s">
        <v>3268</v>
      </c>
      <c r="G558" s="13" t="s">
        <v>3269</v>
      </c>
      <c r="H558" s="13" t="s">
        <v>3270</v>
      </c>
    </row>
    <row r="559" customFormat="false" ht="15" hidden="false" customHeight="true" outlineLevel="0" collapsed="false">
      <c r="A559" s="13" t="s">
        <v>119</v>
      </c>
      <c r="B559" s="13" t="s">
        <v>827</v>
      </c>
      <c r="C559" s="11" t="s">
        <v>828</v>
      </c>
      <c r="D559" s="13" t="s">
        <v>3271</v>
      </c>
      <c r="E559" s="13" t="s">
        <v>3272</v>
      </c>
      <c r="F559" s="13" t="s">
        <v>3273</v>
      </c>
      <c r="G559" s="13" t="s">
        <v>3274</v>
      </c>
      <c r="H559" s="13" t="s">
        <v>3275</v>
      </c>
    </row>
    <row r="560" customFormat="false" ht="15" hidden="false" customHeight="true" outlineLevel="0" collapsed="false">
      <c r="A560" s="13" t="s">
        <v>119</v>
      </c>
      <c r="B560" s="13" t="s">
        <v>834</v>
      </c>
      <c r="C560" s="11" t="s">
        <v>835</v>
      </c>
      <c r="D560" s="13" t="s">
        <v>3276</v>
      </c>
      <c r="E560" s="13" t="s">
        <v>3277</v>
      </c>
      <c r="F560" s="13" t="s">
        <v>3278</v>
      </c>
      <c r="G560" s="13" t="s">
        <v>3279</v>
      </c>
      <c r="H560" s="13" t="s">
        <v>3280</v>
      </c>
    </row>
    <row r="561" customFormat="false" ht="15" hidden="false" customHeight="true" outlineLevel="0" collapsed="false">
      <c r="A561" s="13" t="s">
        <v>119</v>
      </c>
      <c r="B561" s="13" t="s">
        <v>841</v>
      </c>
      <c r="C561" s="11" t="s">
        <v>842</v>
      </c>
      <c r="D561" s="13" t="s">
        <v>3281</v>
      </c>
      <c r="E561" s="13" t="s">
        <v>3282</v>
      </c>
      <c r="F561" s="13" t="s">
        <v>3283</v>
      </c>
      <c r="G561" s="13" t="s">
        <v>3284</v>
      </c>
      <c r="H561" s="13" t="s">
        <v>3285</v>
      </c>
    </row>
    <row r="562" customFormat="false" ht="15" hidden="false" customHeight="true" outlineLevel="0" collapsed="false">
      <c r="A562" s="13" t="s">
        <v>119</v>
      </c>
      <c r="B562" s="13" t="s">
        <v>848</v>
      </c>
      <c r="C562" s="11" t="s">
        <v>849</v>
      </c>
      <c r="D562" s="13" t="s">
        <v>3286</v>
      </c>
      <c r="E562" s="13" t="s">
        <v>3287</v>
      </c>
      <c r="F562" s="13" t="s">
        <v>3288</v>
      </c>
      <c r="G562" s="13" t="s">
        <v>3289</v>
      </c>
      <c r="H562" s="13" t="s">
        <v>3290</v>
      </c>
    </row>
    <row r="563" customFormat="false" ht="15" hidden="false" customHeight="true" outlineLevel="0" collapsed="false">
      <c r="A563" s="13" t="s">
        <v>119</v>
      </c>
      <c r="B563" s="13" t="s">
        <v>855</v>
      </c>
      <c r="C563" s="11" t="s">
        <v>856</v>
      </c>
      <c r="D563" s="13" t="s">
        <v>3291</v>
      </c>
      <c r="E563" s="13" t="s">
        <v>3292</v>
      </c>
      <c r="F563" s="13" t="s">
        <v>3293</v>
      </c>
      <c r="G563" s="13" t="s">
        <v>3294</v>
      </c>
      <c r="H563" s="13" t="s">
        <v>3295</v>
      </c>
    </row>
    <row r="564" customFormat="false" ht="15" hidden="false" customHeight="true" outlineLevel="0" collapsed="false">
      <c r="A564" s="13" t="s">
        <v>119</v>
      </c>
      <c r="B564" s="13" t="s">
        <v>862</v>
      </c>
      <c r="C564" s="11" t="s">
        <v>863</v>
      </c>
      <c r="D564" s="13" t="s">
        <v>3296</v>
      </c>
      <c r="E564" s="13" t="s">
        <v>3297</v>
      </c>
      <c r="F564" s="13" t="s">
        <v>3298</v>
      </c>
      <c r="G564" s="13" t="s">
        <v>3299</v>
      </c>
      <c r="H564" s="13" t="s">
        <v>3300</v>
      </c>
    </row>
    <row r="565" customFormat="false" ht="15" hidden="false" customHeight="true" outlineLevel="0" collapsed="false">
      <c r="A565" s="13" t="s">
        <v>119</v>
      </c>
      <c r="B565" s="13" t="s">
        <v>869</v>
      </c>
      <c r="C565" s="11" t="s">
        <v>870</v>
      </c>
      <c r="D565" s="13" t="s">
        <v>3301</v>
      </c>
      <c r="E565" s="13" t="s">
        <v>3302</v>
      </c>
      <c r="F565" s="13" t="s">
        <v>3303</v>
      </c>
      <c r="G565" s="13" t="s">
        <v>3304</v>
      </c>
      <c r="H565" s="13" t="s">
        <v>3305</v>
      </c>
    </row>
    <row r="566" customFormat="false" ht="15" hidden="false" customHeight="true" outlineLevel="0" collapsed="false">
      <c r="A566" s="13" t="s">
        <v>119</v>
      </c>
      <c r="B566" s="13" t="s">
        <v>876</v>
      </c>
      <c r="C566" s="11" t="s">
        <v>877</v>
      </c>
      <c r="D566" s="13" t="s">
        <v>3306</v>
      </c>
      <c r="E566" s="13" t="s">
        <v>3307</v>
      </c>
      <c r="F566" s="13" t="s">
        <v>3308</v>
      </c>
      <c r="G566" s="13" t="s">
        <v>3309</v>
      </c>
      <c r="H566" s="13" t="s">
        <v>3310</v>
      </c>
    </row>
    <row r="567" customFormat="false" ht="15" hidden="false" customHeight="true" outlineLevel="0" collapsed="false">
      <c r="A567" s="13" t="s">
        <v>119</v>
      </c>
      <c r="B567" s="13" t="s">
        <v>883</v>
      </c>
      <c r="C567" s="11" t="s">
        <v>884</v>
      </c>
      <c r="D567" s="13" t="s">
        <v>3311</v>
      </c>
      <c r="E567" s="13" t="s">
        <v>3312</v>
      </c>
      <c r="F567" s="13" t="s">
        <v>3313</v>
      </c>
      <c r="G567" s="13" t="s">
        <v>3314</v>
      </c>
      <c r="H567" s="13" t="s">
        <v>3315</v>
      </c>
    </row>
    <row r="568" customFormat="false" ht="15" hidden="false" customHeight="true" outlineLevel="0" collapsed="false">
      <c r="A568" s="13" t="s">
        <v>119</v>
      </c>
      <c r="B568" s="13" t="s">
        <v>890</v>
      </c>
      <c r="C568" s="11" t="s">
        <v>891</v>
      </c>
      <c r="D568" s="13" t="s">
        <v>3316</v>
      </c>
      <c r="E568" s="13" t="s">
        <v>3317</v>
      </c>
      <c r="F568" s="13" t="s">
        <v>3318</v>
      </c>
      <c r="G568" s="13" t="s">
        <v>3319</v>
      </c>
      <c r="H568" s="13" t="s">
        <v>3320</v>
      </c>
    </row>
    <row r="569" customFormat="false" ht="15" hidden="false" customHeight="true" outlineLevel="0" collapsed="false">
      <c r="A569" s="13" t="s">
        <v>119</v>
      </c>
      <c r="B569" s="13" t="s">
        <v>897</v>
      </c>
      <c r="C569" s="11" t="s">
        <v>898</v>
      </c>
      <c r="D569" s="13" t="s">
        <v>3321</v>
      </c>
      <c r="E569" s="13" t="s">
        <v>3322</v>
      </c>
      <c r="F569" s="13" t="s">
        <v>3323</v>
      </c>
      <c r="G569" s="13" t="s">
        <v>3324</v>
      </c>
      <c r="H569" s="13" t="s">
        <v>3325</v>
      </c>
    </row>
    <row r="570" customFormat="false" ht="15" hidden="false" customHeight="true" outlineLevel="0" collapsed="false">
      <c r="A570" s="13" t="s">
        <v>119</v>
      </c>
      <c r="B570" s="13" t="s">
        <v>904</v>
      </c>
      <c r="C570" s="11" t="s">
        <v>905</v>
      </c>
      <c r="D570" s="13" t="s">
        <v>3326</v>
      </c>
      <c r="E570" s="13" t="s">
        <v>3327</v>
      </c>
      <c r="F570" s="13" t="s">
        <v>3328</v>
      </c>
      <c r="G570" s="13" t="s">
        <v>3329</v>
      </c>
      <c r="H570" s="13" t="s">
        <v>3330</v>
      </c>
    </row>
    <row r="571" customFormat="false" ht="15" hidden="false" customHeight="true" outlineLevel="0" collapsed="false">
      <c r="A571" s="13" t="s">
        <v>119</v>
      </c>
      <c r="B571" s="13" t="s">
        <v>911</v>
      </c>
      <c r="C571" s="11" t="s">
        <v>912</v>
      </c>
      <c r="D571" s="13" t="s">
        <v>3331</v>
      </c>
      <c r="E571" s="13" t="s">
        <v>3332</v>
      </c>
      <c r="F571" s="13" t="s">
        <v>3333</v>
      </c>
      <c r="G571" s="13" t="s">
        <v>3334</v>
      </c>
      <c r="H571" s="13" t="s">
        <v>3335</v>
      </c>
    </row>
    <row r="572" customFormat="false" ht="15" hidden="false" customHeight="true" outlineLevel="0" collapsed="false">
      <c r="A572" s="13" t="s">
        <v>119</v>
      </c>
      <c r="B572" s="13" t="s">
        <v>918</v>
      </c>
      <c r="C572" s="11" t="s">
        <v>919</v>
      </c>
      <c r="D572" s="13" t="s">
        <v>3336</v>
      </c>
      <c r="E572" s="13" t="s">
        <v>3337</v>
      </c>
      <c r="F572" s="13" t="s">
        <v>3338</v>
      </c>
      <c r="G572" s="13" t="s">
        <v>3339</v>
      </c>
      <c r="H572" s="13" t="s">
        <v>3340</v>
      </c>
    </row>
    <row r="573" customFormat="false" ht="15" hidden="false" customHeight="true" outlineLevel="0" collapsed="false">
      <c r="A573" s="13" t="s">
        <v>119</v>
      </c>
      <c r="B573" s="13" t="s">
        <v>925</v>
      </c>
      <c r="C573" s="11" t="s">
        <v>926</v>
      </c>
      <c r="D573" s="13" t="s">
        <v>3341</v>
      </c>
      <c r="E573" s="13" t="s">
        <v>3342</v>
      </c>
      <c r="F573" s="13" t="s">
        <v>3343</v>
      </c>
      <c r="G573" s="13" t="s">
        <v>3344</v>
      </c>
      <c r="H573" s="13" t="s">
        <v>3345</v>
      </c>
    </row>
    <row r="574" customFormat="false" ht="15" hidden="false" customHeight="true" outlineLevel="0" collapsed="false">
      <c r="A574" s="13" t="s">
        <v>119</v>
      </c>
      <c r="B574" s="13" t="s">
        <v>932</v>
      </c>
      <c r="C574" s="11" t="s">
        <v>933</v>
      </c>
      <c r="D574" s="13" t="s">
        <v>3346</v>
      </c>
      <c r="E574" s="13" t="s">
        <v>3347</v>
      </c>
      <c r="F574" s="13" t="s">
        <v>3348</v>
      </c>
      <c r="G574" s="13" t="s">
        <v>3349</v>
      </c>
      <c r="H574" s="13" t="s">
        <v>3350</v>
      </c>
    </row>
    <row r="575" customFormat="false" ht="15" hidden="false" customHeight="true" outlineLevel="0" collapsed="false">
      <c r="A575" s="13" t="s">
        <v>119</v>
      </c>
      <c r="B575" s="13" t="s">
        <v>939</v>
      </c>
      <c r="C575" s="11" t="s">
        <v>940</v>
      </c>
      <c r="D575" s="13" t="s">
        <v>3351</v>
      </c>
      <c r="E575" s="13" t="s">
        <v>3352</v>
      </c>
      <c r="F575" s="13" t="s">
        <v>3353</v>
      </c>
      <c r="G575" s="13" t="s">
        <v>3354</v>
      </c>
      <c r="H575" s="13" t="s">
        <v>3355</v>
      </c>
    </row>
    <row r="576" customFormat="false" ht="15" hidden="false" customHeight="true" outlineLevel="0" collapsed="false">
      <c r="A576" s="13" t="s">
        <v>119</v>
      </c>
      <c r="B576" s="13" t="s">
        <v>946</v>
      </c>
      <c r="C576" s="11" t="s">
        <v>947</v>
      </c>
      <c r="D576" s="13" t="s">
        <v>3356</v>
      </c>
      <c r="E576" s="13" t="s">
        <v>3357</v>
      </c>
      <c r="F576" s="13" t="s">
        <v>3358</v>
      </c>
      <c r="G576" s="13" t="s">
        <v>3359</v>
      </c>
      <c r="H576" s="13" t="s">
        <v>3360</v>
      </c>
    </row>
    <row r="577" customFormat="false" ht="15" hidden="false" customHeight="true" outlineLevel="0" collapsed="false">
      <c r="A577" s="13" t="s">
        <v>119</v>
      </c>
      <c r="B577" s="13" t="s">
        <v>953</v>
      </c>
      <c r="C577" s="11" t="s">
        <v>954</v>
      </c>
      <c r="D577" s="13" t="s">
        <v>3361</v>
      </c>
      <c r="E577" s="13" t="s">
        <v>3362</v>
      </c>
      <c r="F577" s="13" t="s">
        <v>3363</v>
      </c>
      <c r="G577" s="13" t="s">
        <v>3364</v>
      </c>
      <c r="H577" s="13" t="s">
        <v>3365</v>
      </c>
    </row>
    <row r="578" customFormat="false" ht="15" hidden="false" customHeight="true" outlineLevel="0" collapsed="false">
      <c r="A578" s="13" t="s">
        <v>119</v>
      </c>
      <c r="B578" s="13" t="s">
        <v>960</v>
      </c>
      <c r="C578" s="11" t="s">
        <v>961</v>
      </c>
      <c r="D578" s="13" t="s">
        <v>3366</v>
      </c>
      <c r="E578" s="13" t="s">
        <v>3367</v>
      </c>
      <c r="F578" s="13" t="s">
        <v>3368</v>
      </c>
      <c r="G578" s="13" t="s">
        <v>3369</v>
      </c>
      <c r="H578" s="13" t="s">
        <v>3370</v>
      </c>
    </row>
    <row r="579" customFormat="false" ht="15" hidden="false" customHeight="true" outlineLevel="0" collapsed="false">
      <c r="A579" s="13" t="s">
        <v>119</v>
      </c>
      <c r="B579" s="13" t="s">
        <v>967</v>
      </c>
      <c r="C579" s="11" t="s">
        <v>968</v>
      </c>
      <c r="D579" s="13" t="s">
        <v>3371</v>
      </c>
      <c r="E579" s="13" t="s">
        <v>3372</v>
      </c>
      <c r="F579" s="13" t="s">
        <v>3373</v>
      </c>
      <c r="G579" s="13" t="s">
        <v>3374</v>
      </c>
      <c r="H579" s="13" t="s">
        <v>3375</v>
      </c>
    </row>
    <row r="580" customFormat="false" ht="15" hidden="false" customHeight="true" outlineLevel="0" collapsed="false">
      <c r="A580" s="13" t="s">
        <v>119</v>
      </c>
      <c r="B580" s="13" t="s">
        <v>974</v>
      </c>
      <c r="C580" s="11" t="s">
        <v>975</v>
      </c>
      <c r="D580" s="13" t="s">
        <v>3376</v>
      </c>
      <c r="E580" s="13" t="s">
        <v>3377</v>
      </c>
      <c r="F580" s="13" t="s">
        <v>3378</v>
      </c>
      <c r="G580" s="13" t="s">
        <v>3379</v>
      </c>
      <c r="H580" s="13" t="s">
        <v>3380</v>
      </c>
    </row>
    <row r="581" customFormat="false" ht="15" hidden="false" customHeight="true" outlineLevel="0" collapsed="false">
      <c r="A581" s="13" t="s">
        <v>119</v>
      </c>
      <c r="B581" s="13" t="s">
        <v>981</v>
      </c>
      <c r="C581" s="11" t="s">
        <v>982</v>
      </c>
      <c r="D581" s="13" t="s">
        <v>3381</v>
      </c>
      <c r="E581" s="13" t="s">
        <v>3382</v>
      </c>
      <c r="F581" s="13" t="s">
        <v>3383</v>
      </c>
      <c r="G581" s="13" t="s">
        <v>3384</v>
      </c>
      <c r="H581" s="13" t="s">
        <v>3385</v>
      </c>
    </row>
    <row r="582" customFormat="false" ht="15" hidden="false" customHeight="true" outlineLevel="0" collapsed="false">
      <c r="A582" s="13" t="s">
        <v>119</v>
      </c>
      <c r="B582" s="13" t="s">
        <v>988</v>
      </c>
      <c r="C582" s="11" t="s">
        <v>989</v>
      </c>
      <c r="D582" s="13" t="s">
        <v>3386</v>
      </c>
      <c r="E582" s="13" t="s">
        <v>3387</v>
      </c>
      <c r="F582" s="13" t="s">
        <v>3388</v>
      </c>
      <c r="G582" s="13" t="s">
        <v>3389</v>
      </c>
      <c r="H582" s="13" t="s">
        <v>3390</v>
      </c>
    </row>
    <row r="583" customFormat="false" ht="15" hidden="false" customHeight="true" outlineLevel="0" collapsed="false">
      <c r="A583" s="13" t="s">
        <v>119</v>
      </c>
      <c r="B583" s="13" t="s">
        <v>995</v>
      </c>
      <c r="C583" s="11" t="s">
        <v>996</v>
      </c>
      <c r="D583" s="13" t="s">
        <v>3391</v>
      </c>
      <c r="E583" s="13" t="s">
        <v>3392</v>
      </c>
      <c r="F583" s="13" t="s">
        <v>3393</v>
      </c>
      <c r="G583" s="13" t="s">
        <v>3394</v>
      </c>
      <c r="H583" s="13" t="s">
        <v>3395</v>
      </c>
    </row>
    <row r="584" customFormat="false" ht="15" hidden="false" customHeight="true" outlineLevel="0" collapsed="false">
      <c r="A584" s="13" t="s">
        <v>119</v>
      </c>
      <c r="B584" s="13" t="s">
        <v>1002</v>
      </c>
      <c r="C584" s="11" t="s">
        <v>1003</v>
      </c>
      <c r="D584" s="13" t="s">
        <v>3396</v>
      </c>
      <c r="E584" s="13" t="s">
        <v>3397</v>
      </c>
      <c r="F584" s="13" t="s">
        <v>3398</v>
      </c>
      <c r="G584" s="13" t="s">
        <v>3399</v>
      </c>
      <c r="H584" s="13" t="s">
        <v>3400</v>
      </c>
    </row>
    <row r="585" customFormat="false" ht="15" hidden="false" customHeight="true" outlineLevel="0" collapsed="false">
      <c r="A585" s="13" t="s">
        <v>119</v>
      </c>
      <c r="B585" s="13" t="s">
        <v>1009</v>
      </c>
      <c r="C585" s="11" t="s">
        <v>1010</v>
      </c>
      <c r="D585" s="13" t="s">
        <v>3401</v>
      </c>
      <c r="E585" s="13" t="s">
        <v>3402</v>
      </c>
      <c r="F585" s="13" t="s">
        <v>3403</v>
      </c>
      <c r="G585" s="13" t="s">
        <v>3404</v>
      </c>
      <c r="H585" s="13" t="s">
        <v>3405</v>
      </c>
    </row>
    <row r="586" customFormat="false" ht="15" hidden="false" customHeight="true" outlineLevel="0" collapsed="false">
      <c r="A586" s="13" t="s">
        <v>128</v>
      </c>
      <c r="B586" s="13" t="s">
        <v>345</v>
      </c>
      <c r="C586" s="11" t="s">
        <v>346</v>
      </c>
      <c r="D586" s="13" t="s">
        <v>3406</v>
      </c>
      <c r="E586" s="13" t="s">
        <v>3407</v>
      </c>
      <c r="F586" s="13" t="s">
        <v>3408</v>
      </c>
      <c r="G586" s="13" t="s">
        <v>3409</v>
      </c>
      <c r="H586" s="13" t="s">
        <v>3410</v>
      </c>
    </row>
    <row r="587" customFormat="false" ht="15" hidden="false" customHeight="true" outlineLevel="0" collapsed="false">
      <c r="A587" s="13" t="s">
        <v>128</v>
      </c>
      <c r="B587" s="13" t="s">
        <v>352</v>
      </c>
      <c r="C587" s="11" t="s">
        <v>353</v>
      </c>
      <c r="D587" s="13" t="s">
        <v>3411</v>
      </c>
      <c r="E587" s="13" t="s">
        <v>3412</v>
      </c>
      <c r="F587" s="13" t="s">
        <v>3413</v>
      </c>
      <c r="G587" s="13" t="s">
        <v>3414</v>
      </c>
      <c r="H587" s="13" t="s">
        <v>3415</v>
      </c>
    </row>
    <row r="588" customFormat="false" ht="15" hidden="false" customHeight="true" outlineLevel="0" collapsed="false">
      <c r="A588" s="13" t="s">
        <v>128</v>
      </c>
      <c r="B588" s="13" t="s">
        <v>359</v>
      </c>
      <c r="C588" s="11" t="s">
        <v>360</v>
      </c>
      <c r="D588" s="13" t="s">
        <v>3416</v>
      </c>
      <c r="E588" s="13" t="s">
        <v>3417</v>
      </c>
      <c r="F588" s="13" t="s">
        <v>3418</v>
      </c>
      <c r="G588" s="13" t="s">
        <v>3419</v>
      </c>
      <c r="H588" s="13" t="s">
        <v>3420</v>
      </c>
    </row>
    <row r="589" customFormat="false" ht="15" hidden="false" customHeight="true" outlineLevel="0" collapsed="false">
      <c r="A589" s="13" t="s">
        <v>128</v>
      </c>
      <c r="B589" s="13" t="s">
        <v>366</v>
      </c>
      <c r="C589" s="11" t="s">
        <v>367</v>
      </c>
      <c r="D589" s="13" t="s">
        <v>3421</v>
      </c>
      <c r="E589" s="13" t="s">
        <v>3422</v>
      </c>
      <c r="F589" s="13" t="s">
        <v>3423</v>
      </c>
      <c r="G589" s="13" t="s">
        <v>3424</v>
      </c>
      <c r="H589" s="13" t="s">
        <v>3425</v>
      </c>
    </row>
    <row r="590" customFormat="false" ht="15" hidden="false" customHeight="true" outlineLevel="0" collapsed="false">
      <c r="A590" s="13" t="s">
        <v>128</v>
      </c>
      <c r="B590" s="13" t="s">
        <v>373</v>
      </c>
      <c r="C590" s="11" t="s">
        <v>374</v>
      </c>
      <c r="D590" s="13" t="s">
        <v>3426</v>
      </c>
      <c r="E590" s="13" t="s">
        <v>3427</v>
      </c>
      <c r="F590" s="13" t="s">
        <v>3428</v>
      </c>
      <c r="G590" s="13" t="s">
        <v>3429</v>
      </c>
      <c r="H590" s="13" t="s">
        <v>3430</v>
      </c>
    </row>
    <row r="591" customFormat="false" ht="15" hidden="false" customHeight="true" outlineLevel="0" collapsed="false">
      <c r="A591" s="13" t="s">
        <v>128</v>
      </c>
      <c r="B591" s="13" t="s">
        <v>380</v>
      </c>
      <c r="C591" s="11" t="s">
        <v>381</v>
      </c>
      <c r="D591" s="13" t="s">
        <v>3431</v>
      </c>
      <c r="E591" s="13" t="s">
        <v>3432</v>
      </c>
      <c r="F591" s="13" t="s">
        <v>3433</v>
      </c>
      <c r="G591" s="13" t="s">
        <v>3434</v>
      </c>
      <c r="H591" s="13" t="s">
        <v>3435</v>
      </c>
    </row>
    <row r="592" customFormat="false" ht="15" hidden="false" customHeight="true" outlineLevel="0" collapsed="false">
      <c r="A592" s="13" t="s">
        <v>128</v>
      </c>
      <c r="B592" s="13" t="s">
        <v>387</v>
      </c>
      <c r="C592" s="11" t="s">
        <v>388</v>
      </c>
      <c r="D592" s="13" t="s">
        <v>3436</v>
      </c>
      <c r="E592" s="13" t="s">
        <v>3437</v>
      </c>
      <c r="F592" s="13" t="s">
        <v>3438</v>
      </c>
      <c r="G592" s="13" t="s">
        <v>3439</v>
      </c>
      <c r="H592" s="13" t="s">
        <v>3440</v>
      </c>
    </row>
    <row r="593" customFormat="false" ht="15" hidden="false" customHeight="true" outlineLevel="0" collapsed="false">
      <c r="A593" s="13" t="s">
        <v>128</v>
      </c>
      <c r="B593" s="13" t="s">
        <v>394</v>
      </c>
      <c r="C593" s="11" t="s">
        <v>395</v>
      </c>
      <c r="D593" s="13" t="s">
        <v>3441</v>
      </c>
      <c r="E593" s="13" t="s">
        <v>3442</v>
      </c>
      <c r="F593" s="13" t="s">
        <v>3443</v>
      </c>
      <c r="G593" s="13" t="s">
        <v>3444</v>
      </c>
      <c r="H593" s="13" t="s">
        <v>3445</v>
      </c>
    </row>
    <row r="594" customFormat="false" ht="15" hidden="false" customHeight="true" outlineLevel="0" collapsed="false">
      <c r="A594" s="13" t="s">
        <v>128</v>
      </c>
      <c r="B594" s="13" t="s">
        <v>401</v>
      </c>
      <c r="C594" s="11" t="s">
        <v>402</v>
      </c>
      <c r="D594" s="13" t="s">
        <v>3446</v>
      </c>
      <c r="E594" s="13" t="s">
        <v>3447</v>
      </c>
      <c r="F594" s="13" t="s">
        <v>3448</v>
      </c>
      <c r="G594" s="13" t="s">
        <v>3449</v>
      </c>
      <c r="H594" s="13" t="s">
        <v>3450</v>
      </c>
    </row>
    <row r="595" customFormat="false" ht="15" hidden="false" customHeight="true" outlineLevel="0" collapsed="false">
      <c r="A595" s="13" t="s">
        <v>128</v>
      </c>
      <c r="B595" s="13" t="s">
        <v>408</v>
      </c>
      <c r="C595" s="11" t="s">
        <v>409</v>
      </c>
      <c r="D595" s="13" t="s">
        <v>3451</v>
      </c>
      <c r="E595" s="13" t="s">
        <v>3452</v>
      </c>
      <c r="F595" s="13" t="s">
        <v>3453</v>
      </c>
      <c r="G595" s="13" t="s">
        <v>3454</v>
      </c>
      <c r="H595" s="13" t="s">
        <v>3455</v>
      </c>
    </row>
    <row r="596" customFormat="false" ht="15" hidden="false" customHeight="true" outlineLevel="0" collapsed="false">
      <c r="A596" s="13" t="s">
        <v>128</v>
      </c>
      <c r="B596" s="13" t="s">
        <v>415</v>
      </c>
      <c r="C596" s="11" t="s">
        <v>416</v>
      </c>
      <c r="D596" s="13" t="s">
        <v>3456</v>
      </c>
      <c r="E596" s="13" t="s">
        <v>3457</v>
      </c>
      <c r="F596" s="13" t="s">
        <v>3458</v>
      </c>
      <c r="G596" s="13" t="s">
        <v>3459</v>
      </c>
      <c r="H596" s="13" t="s">
        <v>3460</v>
      </c>
    </row>
    <row r="597" customFormat="false" ht="15" hidden="false" customHeight="true" outlineLevel="0" collapsed="false">
      <c r="A597" s="13" t="s">
        <v>128</v>
      </c>
      <c r="B597" s="13" t="s">
        <v>422</v>
      </c>
      <c r="C597" s="11" t="s">
        <v>423</v>
      </c>
      <c r="D597" s="13" t="s">
        <v>3461</v>
      </c>
      <c r="E597" s="13" t="s">
        <v>3462</v>
      </c>
      <c r="F597" s="13" t="s">
        <v>3463</v>
      </c>
      <c r="G597" s="13" t="s">
        <v>3464</v>
      </c>
      <c r="H597" s="13" t="s">
        <v>3465</v>
      </c>
    </row>
    <row r="598" customFormat="false" ht="15" hidden="false" customHeight="true" outlineLevel="0" collapsed="false">
      <c r="A598" s="13" t="s">
        <v>128</v>
      </c>
      <c r="B598" s="13" t="s">
        <v>429</v>
      </c>
      <c r="C598" s="11" t="s">
        <v>430</v>
      </c>
      <c r="D598" s="13" t="s">
        <v>3466</v>
      </c>
      <c r="E598" s="13" t="s">
        <v>3467</v>
      </c>
      <c r="F598" s="13" t="s">
        <v>3468</v>
      </c>
      <c r="G598" s="13" t="s">
        <v>3469</v>
      </c>
      <c r="H598" s="13" t="s">
        <v>3470</v>
      </c>
    </row>
    <row r="599" customFormat="false" ht="15" hidden="false" customHeight="true" outlineLevel="0" collapsed="false">
      <c r="A599" s="13" t="s">
        <v>128</v>
      </c>
      <c r="B599" s="13" t="s">
        <v>436</v>
      </c>
      <c r="C599" s="11" t="s">
        <v>437</v>
      </c>
      <c r="D599" s="13" t="s">
        <v>2994</v>
      </c>
      <c r="E599" s="13" t="s">
        <v>3471</v>
      </c>
      <c r="F599" s="13" t="s">
        <v>3472</v>
      </c>
      <c r="G599" s="13" t="s">
        <v>3473</v>
      </c>
      <c r="H599" s="13" t="s">
        <v>3474</v>
      </c>
    </row>
    <row r="600" customFormat="false" ht="15" hidden="false" customHeight="true" outlineLevel="0" collapsed="false">
      <c r="A600" s="13" t="s">
        <v>128</v>
      </c>
      <c r="B600" s="13" t="s">
        <v>443</v>
      </c>
      <c r="C600" s="11" t="s">
        <v>444</v>
      </c>
      <c r="D600" s="13" t="s">
        <v>3475</v>
      </c>
      <c r="E600" s="13" t="s">
        <v>3476</v>
      </c>
      <c r="F600" s="13" t="s">
        <v>3477</v>
      </c>
      <c r="G600" s="13" t="s">
        <v>3478</v>
      </c>
      <c r="H600" s="13" t="s">
        <v>3479</v>
      </c>
    </row>
    <row r="601" customFormat="false" ht="15" hidden="false" customHeight="true" outlineLevel="0" collapsed="false">
      <c r="A601" s="13" t="s">
        <v>128</v>
      </c>
      <c r="B601" s="13" t="s">
        <v>450</v>
      </c>
      <c r="C601" s="11" t="s">
        <v>451</v>
      </c>
      <c r="D601" s="13" t="s">
        <v>3480</v>
      </c>
      <c r="E601" s="13" t="s">
        <v>3481</v>
      </c>
      <c r="F601" s="13" t="s">
        <v>3482</v>
      </c>
      <c r="G601" s="13" t="s">
        <v>3483</v>
      </c>
      <c r="H601" s="13" t="s">
        <v>3484</v>
      </c>
    </row>
    <row r="602" customFormat="false" ht="15" hidden="false" customHeight="true" outlineLevel="0" collapsed="false">
      <c r="A602" s="13" t="s">
        <v>128</v>
      </c>
      <c r="B602" s="13" t="s">
        <v>457</v>
      </c>
      <c r="C602" s="11" t="s">
        <v>458</v>
      </c>
      <c r="D602" s="13" t="s">
        <v>3485</v>
      </c>
      <c r="E602" s="13" t="s">
        <v>3486</v>
      </c>
      <c r="F602" s="13" t="s">
        <v>3487</v>
      </c>
      <c r="G602" s="13" t="s">
        <v>3488</v>
      </c>
      <c r="H602" s="13" t="s">
        <v>3489</v>
      </c>
    </row>
    <row r="603" customFormat="false" ht="15" hidden="false" customHeight="true" outlineLevel="0" collapsed="false">
      <c r="A603" s="13" t="s">
        <v>128</v>
      </c>
      <c r="B603" s="13" t="s">
        <v>464</v>
      </c>
      <c r="C603" s="11" t="s">
        <v>465</v>
      </c>
      <c r="D603" s="13" t="s">
        <v>3490</v>
      </c>
      <c r="E603" s="13" t="s">
        <v>3491</v>
      </c>
      <c r="F603" s="13" t="s">
        <v>3492</v>
      </c>
      <c r="G603" s="13" t="s">
        <v>3493</v>
      </c>
      <c r="H603" s="13" t="s">
        <v>3494</v>
      </c>
    </row>
    <row r="604" customFormat="false" ht="15" hidden="false" customHeight="true" outlineLevel="0" collapsed="false">
      <c r="A604" s="13" t="s">
        <v>128</v>
      </c>
      <c r="B604" s="13" t="s">
        <v>471</v>
      </c>
      <c r="C604" s="11" t="s">
        <v>472</v>
      </c>
      <c r="D604" s="13" t="s">
        <v>3495</v>
      </c>
      <c r="E604" s="13" t="s">
        <v>3496</v>
      </c>
      <c r="F604" s="13" t="s">
        <v>3497</v>
      </c>
      <c r="G604" s="13" t="s">
        <v>3498</v>
      </c>
      <c r="H604" s="13" t="s">
        <v>3499</v>
      </c>
    </row>
    <row r="605" customFormat="false" ht="15" hidden="false" customHeight="true" outlineLevel="0" collapsed="false">
      <c r="A605" s="13" t="s">
        <v>128</v>
      </c>
      <c r="B605" s="13" t="s">
        <v>478</v>
      </c>
      <c r="C605" s="11" t="s">
        <v>479</v>
      </c>
      <c r="D605" s="13" t="s">
        <v>3500</v>
      </c>
      <c r="E605" s="13" t="s">
        <v>3501</v>
      </c>
      <c r="F605" s="13" t="s">
        <v>3502</v>
      </c>
      <c r="G605" s="13" t="s">
        <v>3503</v>
      </c>
      <c r="H605" s="13" t="s">
        <v>3504</v>
      </c>
    </row>
    <row r="606" customFormat="false" ht="15" hidden="false" customHeight="true" outlineLevel="0" collapsed="false">
      <c r="A606" s="13" t="s">
        <v>128</v>
      </c>
      <c r="B606" s="13" t="s">
        <v>485</v>
      </c>
      <c r="C606" s="11" t="s">
        <v>486</v>
      </c>
      <c r="D606" s="13" t="s">
        <v>3505</v>
      </c>
      <c r="E606" s="13" t="s">
        <v>3506</v>
      </c>
      <c r="F606" s="13" t="s">
        <v>3507</v>
      </c>
      <c r="G606" s="13" t="s">
        <v>3508</v>
      </c>
      <c r="H606" s="13" t="s">
        <v>3509</v>
      </c>
    </row>
    <row r="607" customFormat="false" ht="15" hidden="false" customHeight="true" outlineLevel="0" collapsed="false">
      <c r="A607" s="13" t="s">
        <v>128</v>
      </c>
      <c r="B607" s="13" t="s">
        <v>492</v>
      </c>
      <c r="C607" s="11" t="s">
        <v>493</v>
      </c>
      <c r="D607" s="13" t="s">
        <v>3510</v>
      </c>
      <c r="E607" s="13" t="s">
        <v>3511</v>
      </c>
      <c r="F607" s="13" t="s">
        <v>3512</v>
      </c>
      <c r="G607" s="13" t="s">
        <v>3513</v>
      </c>
      <c r="H607" s="13" t="s">
        <v>3514</v>
      </c>
    </row>
    <row r="608" customFormat="false" ht="15" hidden="false" customHeight="true" outlineLevel="0" collapsed="false">
      <c r="A608" s="13" t="s">
        <v>128</v>
      </c>
      <c r="B608" s="13" t="s">
        <v>499</v>
      </c>
      <c r="C608" s="11" t="s">
        <v>500</v>
      </c>
      <c r="D608" s="13" t="s">
        <v>3515</v>
      </c>
      <c r="E608" s="13" t="s">
        <v>3516</v>
      </c>
      <c r="F608" s="13" t="s">
        <v>3517</v>
      </c>
      <c r="G608" s="13" t="s">
        <v>3518</v>
      </c>
      <c r="H608" s="13" t="s">
        <v>3519</v>
      </c>
    </row>
    <row r="609" customFormat="false" ht="15" hidden="false" customHeight="true" outlineLevel="0" collapsed="false">
      <c r="A609" s="13" t="s">
        <v>128</v>
      </c>
      <c r="B609" s="13" t="s">
        <v>506</v>
      </c>
      <c r="C609" s="11" t="s">
        <v>507</v>
      </c>
      <c r="D609" s="13" t="s">
        <v>3520</v>
      </c>
      <c r="E609" s="13" t="s">
        <v>3521</v>
      </c>
      <c r="F609" s="13" t="s">
        <v>3522</v>
      </c>
      <c r="G609" s="13" t="s">
        <v>3523</v>
      </c>
      <c r="H609" s="13" t="s">
        <v>3524</v>
      </c>
    </row>
    <row r="610" customFormat="false" ht="15" hidden="false" customHeight="true" outlineLevel="0" collapsed="false">
      <c r="A610" s="13" t="s">
        <v>128</v>
      </c>
      <c r="B610" s="13" t="s">
        <v>513</v>
      </c>
      <c r="C610" s="11" t="s">
        <v>514</v>
      </c>
      <c r="D610" s="13" t="s">
        <v>3525</v>
      </c>
      <c r="E610" s="13" t="s">
        <v>3526</v>
      </c>
      <c r="F610" s="13" t="s">
        <v>3527</v>
      </c>
      <c r="G610" s="13" t="s">
        <v>3528</v>
      </c>
      <c r="H610" s="13" t="s">
        <v>3529</v>
      </c>
    </row>
    <row r="611" customFormat="false" ht="15" hidden="false" customHeight="true" outlineLevel="0" collapsed="false">
      <c r="A611" s="13" t="s">
        <v>128</v>
      </c>
      <c r="B611" s="13" t="s">
        <v>520</v>
      </c>
      <c r="C611" s="11" t="s">
        <v>521</v>
      </c>
      <c r="D611" s="13" t="s">
        <v>3530</v>
      </c>
      <c r="E611" s="13" t="s">
        <v>3531</v>
      </c>
      <c r="F611" s="13" t="s">
        <v>3532</v>
      </c>
      <c r="G611" s="13" t="s">
        <v>3533</v>
      </c>
      <c r="H611" s="13" t="s">
        <v>3534</v>
      </c>
    </row>
    <row r="612" customFormat="false" ht="15" hidden="false" customHeight="true" outlineLevel="0" collapsed="false">
      <c r="A612" s="13" t="s">
        <v>128</v>
      </c>
      <c r="B612" s="13" t="s">
        <v>527</v>
      </c>
      <c r="C612" s="11" t="s">
        <v>528</v>
      </c>
      <c r="D612" s="13" t="s">
        <v>3535</v>
      </c>
      <c r="E612" s="13" t="s">
        <v>3536</v>
      </c>
      <c r="F612" s="13" t="s">
        <v>3537</v>
      </c>
      <c r="G612" s="13" t="s">
        <v>3538</v>
      </c>
      <c r="H612" s="13" t="s">
        <v>3539</v>
      </c>
    </row>
    <row r="613" customFormat="false" ht="15" hidden="false" customHeight="true" outlineLevel="0" collapsed="false">
      <c r="A613" s="13" t="s">
        <v>128</v>
      </c>
      <c r="B613" s="13" t="s">
        <v>534</v>
      </c>
      <c r="C613" s="11" t="s">
        <v>535</v>
      </c>
      <c r="D613" s="13" t="s">
        <v>3540</v>
      </c>
      <c r="E613" s="13" t="s">
        <v>3541</v>
      </c>
      <c r="F613" s="13" t="s">
        <v>3542</v>
      </c>
      <c r="G613" s="13" t="s">
        <v>3543</v>
      </c>
      <c r="H613" s="13" t="s">
        <v>3544</v>
      </c>
    </row>
    <row r="614" customFormat="false" ht="15" hidden="false" customHeight="true" outlineLevel="0" collapsed="false">
      <c r="A614" s="13" t="s">
        <v>128</v>
      </c>
      <c r="B614" s="13" t="s">
        <v>541</v>
      </c>
      <c r="C614" s="11" t="s">
        <v>542</v>
      </c>
      <c r="D614" s="13" t="s">
        <v>3545</v>
      </c>
      <c r="E614" s="13" t="s">
        <v>3546</v>
      </c>
      <c r="F614" s="13" t="s">
        <v>3547</v>
      </c>
      <c r="G614" s="13" t="s">
        <v>3548</v>
      </c>
      <c r="H614" s="13" t="s">
        <v>3549</v>
      </c>
    </row>
    <row r="615" customFormat="false" ht="15" hidden="false" customHeight="true" outlineLevel="0" collapsed="false">
      <c r="A615" s="13" t="s">
        <v>128</v>
      </c>
      <c r="B615" s="13" t="s">
        <v>548</v>
      </c>
      <c r="C615" s="11" t="s">
        <v>549</v>
      </c>
      <c r="D615" s="13" t="s">
        <v>3550</v>
      </c>
      <c r="E615" s="13" t="s">
        <v>3551</v>
      </c>
      <c r="F615" s="13" t="s">
        <v>3552</v>
      </c>
      <c r="G615" s="13" t="s">
        <v>3553</v>
      </c>
      <c r="H615" s="13" t="s">
        <v>3554</v>
      </c>
    </row>
    <row r="616" customFormat="false" ht="15" hidden="false" customHeight="true" outlineLevel="0" collapsed="false">
      <c r="A616" s="13" t="s">
        <v>128</v>
      </c>
      <c r="B616" s="13" t="s">
        <v>555</v>
      </c>
      <c r="C616" s="11" t="s">
        <v>556</v>
      </c>
      <c r="D616" s="13" t="s">
        <v>3555</v>
      </c>
      <c r="E616" s="13" t="s">
        <v>3556</v>
      </c>
      <c r="F616" s="13" t="s">
        <v>3557</v>
      </c>
      <c r="G616" s="13" t="s">
        <v>3558</v>
      </c>
      <c r="H616" s="13" t="s">
        <v>3559</v>
      </c>
    </row>
    <row r="617" customFormat="false" ht="15" hidden="false" customHeight="true" outlineLevel="0" collapsed="false">
      <c r="A617" s="13" t="s">
        <v>128</v>
      </c>
      <c r="B617" s="13" t="s">
        <v>562</v>
      </c>
      <c r="C617" s="11" t="s">
        <v>563</v>
      </c>
      <c r="D617" s="13" t="s">
        <v>3560</v>
      </c>
      <c r="E617" s="13" t="s">
        <v>3561</v>
      </c>
      <c r="F617" s="13" t="s">
        <v>3562</v>
      </c>
      <c r="G617" s="13" t="s">
        <v>3563</v>
      </c>
      <c r="H617" s="13" t="s">
        <v>3564</v>
      </c>
    </row>
    <row r="618" customFormat="false" ht="15" hidden="false" customHeight="true" outlineLevel="0" collapsed="false">
      <c r="A618" s="13" t="s">
        <v>128</v>
      </c>
      <c r="B618" s="13" t="s">
        <v>569</v>
      </c>
      <c r="C618" s="11" t="s">
        <v>570</v>
      </c>
      <c r="D618" s="13" t="s">
        <v>3565</v>
      </c>
      <c r="E618" s="13" t="s">
        <v>3566</v>
      </c>
      <c r="F618" s="13" t="s">
        <v>3567</v>
      </c>
      <c r="G618" s="13" t="s">
        <v>3568</v>
      </c>
      <c r="H618" s="13" t="s">
        <v>3569</v>
      </c>
    </row>
    <row r="619" customFormat="false" ht="15" hidden="false" customHeight="true" outlineLevel="0" collapsed="false">
      <c r="A619" s="13" t="s">
        <v>128</v>
      </c>
      <c r="B619" s="13" t="s">
        <v>576</v>
      </c>
      <c r="C619" s="11" t="s">
        <v>577</v>
      </c>
      <c r="D619" s="13" t="s">
        <v>3570</v>
      </c>
      <c r="E619" s="13" t="s">
        <v>3571</v>
      </c>
      <c r="F619" s="13" t="s">
        <v>3572</v>
      </c>
      <c r="G619" s="13" t="s">
        <v>3573</v>
      </c>
      <c r="H619" s="13" t="s">
        <v>3574</v>
      </c>
    </row>
    <row r="620" customFormat="false" ht="15" hidden="false" customHeight="true" outlineLevel="0" collapsed="false">
      <c r="A620" s="13" t="s">
        <v>128</v>
      </c>
      <c r="B620" s="13" t="s">
        <v>583</v>
      </c>
      <c r="C620" s="11" t="s">
        <v>584</v>
      </c>
      <c r="D620" s="13" t="s">
        <v>3575</v>
      </c>
      <c r="E620" s="13" t="s">
        <v>3576</v>
      </c>
      <c r="F620" s="13" t="s">
        <v>3577</v>
      </c>
      <c r="G620" s="13" t="s">
        <v>3578</v>
      </c>
      <c r="H620" s="13" t="s">
        <v>3579</v>
      </c>
    </row>
    <row r="621" customFormat="false" ht="15" hidden="false" customHeight="true" outlineLevel="0" collapsed="false">
      <c r="A621" s="13" t="s">
        <v>128</v>
      </c>
      <c r="B621" s="13" t="s">
        <v>590</v>
      </c>
      <c r="C621" s="11" t="s">
        <v>591</v>
      </c>
      <c r="D621" s="13" t="s">
        <v>3580</v>
      </c>
      <c r="E621" s="13" t="s">
        <v>3581</v>
      </c>
      <c r="F621" s="13" t="s">
        <v>3582</v>
      </c>
      <c r="G621" s="13" t="s">
        <v>3583</v>
      </c>
      <c r="H621" s="13" t="s">
        <v>3584</v>
      </c>
    </row>
    <row r="622" customFormat="false" ht="15" hidden="false" customHeight="true" outlineLevel="0" collapsed="false">
      <c r="A622" s="13" t="s">
        <v>128</v>
      </c>
      <c r="B622" s="13" t="s">
        <v>597</v>
      </c>
      <c r="C622" s="11" t="s">
        <v>598</v>
      </c>
      <c r="D622" s="13" t="s">
        <v>3585</v>
      </c>
      <c r="E622" s="13" t="s">
        <v>3586</v>
      </c>
      <c r="F622" s="13" t="s">
        <v>3587</v>
      </c>
      <c r="G622" s="13" t="s">
        <v>3588</v>
      </c>
      <c r="H622" s="13" t="s">
        <v>3589</v>
      </c>
    </row>
    <row r="623" customFormat="false" ht="15" hidden="false" customHeight="true" outlineLevel="0" collapsed="false">
      <c r="A623" s="13" t="s">
        <v>128</v>
      </c>
      <c r="B623" s="13" t="s">
        <v>604</v>
      </c>
      <c r="C623" s="11" t="s">
        <v>605</v>
      </c>
      <c r="D623" s="13" t="s">
        <v>3590</v>
      </c>
      <c r="E623" s="13" t="s">
        <v>3591</v>
      </c>
      <c r="F623" s="13" t="s">
        <v>3592</v>
      </c>
      <c r="G623" s="13" t="s">
        <v>3593</v>
      </c>
      <c r="H623" s="13" t="s">
        <v>3594</v>
      </c>
    </row>
    <row r="624" customFormat="false" ht="15" hidden="false" customHeight="true" outlineLevel="0" collapsed="false">
      <c r="A624" s="13" t="s">
        <v>128</v>
      </c>
      <c r="B624" s="13" t="s">
        <v>611</v>
      </c>
      <c r="C624" s="11" t="s">
        <v>612</v>
      </c>
      <c r="D624" s="13" t="s">
        <v>3595</v>
      </c>
      <c r="E624" s="13" t="s">
        <v>3596</v>
      </c>
      <c r="F624" s="13" t="s">
        <v>3597</v>
      </c>
      <c r="G624" s="13" t="s">
        <v>3598</v>
      </c>
      <c r="H624" s="13" t="s">
        <v>3599</v>
      </c>
    </row>
    <row r="625" customFormat="false" ht="15" hidden="false" customHeight="true" outlineLevel="0" collapsed="false">
      <c r="A625" s="13" t="s">
        <v>128</v>
      </c>
      <c r="B625" s="13" t="s">
        <v>618</v>
      </c>
      <c r="C625" s="11" t="s">
        <v>619</v>
      </c>
      <c r="D625" s="13" t="s">
        <v>3600</v>
      </c>
      <c r="E625" s="13" t="s">
        <v>3601</v>
      </c>
      <c r="F625" s="13" t="s">
        <v>3602</v>
      </c>
      <c r="G625" s="13" t="s">
        <v>3603</v>
      </c>
      <c r="H625" s="13" t="s">
        <v>3604</v>
      </c>
    </row>
    <row r="626" customFormat="false" ht="15" hidden="false" customHeight="true" outlineLevel="0" collapsed="false">
      <c r="A626" s="13" t="s">
        <v>128</v>
      </c>
      <c r="B626" s="13" t="s">
        <v>625</v>
      </c>
      <c r="C626" s="11" t="s">
        <v>626</v>
      </c>
      <c r="D626" s="13" t="s">
        <v>3605</v>
      </c>
      <c r="E626" s="13" t="s">
        <v>3606</v>
      </c>
      <c r="F626" s="13" t="s">
        <v>3607</v>
      </c>
      <c r="G626" s="13" t="s">
        <v>3608</v>
      </c>
      <c r="H626" s="13" t="s">
        <v>3609</v>
      </c>
    </row>
    <row r="627" customFormat="false" ht="15" hidden="false" customHeight="true" outlineLevel="0" collapsed="false">
      <c r="A627" s="13" t="s">
        <v>128</v>
      </c>
      <c r="B627" s="13" t="s">
        <v>632</v>
      </c>
      <c r="C627" s="11" t="s">
        <v>633</v>
      </c>
      <c r="D627" s="13" t="s">
        <v>3610</v>
      </c>
      <c r="E627" s="13" t="s">
        <v>3611</v>
      </c>
      <c r="F627" s="13" t="s">
        <v>3612</v>
      </c>
      <c r="G627" s="13" t="s">
        <v>3613</v>
      </c>
      <c r="H627" s="13" t="s">
        <v>3614</v>
      </c>
    </row>
    <row r="628" customFormat="false" ht="15" hidden="false" customHeight="true" outlineLevel="0" collapsed="false">
      <c r="A628" s="13" t="s">
        <v>128</v>
      </c>
      <c r="B628" s="13" t="s">
        <v>639</v>
      </c>
      <c r="C628" s="11" t="s">
        <v>640</v>
      </c>
      <c r="D628" s="13" t="s">
        <v>3615</v>
      </c>
      <c r="E628" s="13" t="s">
        <v>3616</v>
      </c>
      <c r="F628" s="13" t="s">
        <v>3617</v>
      </c>
      <c r="G628" s="13" t="s">
        <v>3618</v>
      </c>
      <c r="H628" s="13" t="s">
        <v>3619</v>
      </c>
    </row>
    <row r="629" customFormat="false" ht="15" hidden="false" customHeight="true" outlineLevel="0" collapsed="false">
      <c r="A629" s="13" t="s">
        <v>128</v>
      </c>
      <c r="B629" s="13" t="s">
        <v>646</v>
      </c>
      <c r="C629" s="11" t="s">
        <v>647</v>
      </c>
      <c r="D629" s="13" t="s">
        <v>3620</v>
      </c>
      <c r="E629" s="13" t="s">
        <v>3621</v>
      </c>
      <c r="F629" s="13" t="s">
        <v>3622</v>
      </c>
      <c r="G629" s="13" t="s">
        <v>3623</v>
      </c>
      <c r="H629" s="13" t="s">
        <v>3624</v>
      </c>
    </row>
    <row r="630" customFormat="false" ht="15" hidden="false" customHeight="true" outlineLevel="0" collapsed="false">
      <c r="A630" s="13" t="s">
        <v>128</v>
      </c>
      <c r="B630" s="13" t="s">
        <v>653</v>
      </c>
      <c r="C630" s="11" t="s">
        <v>654</v>
      </c>
      <c r="D630" s="13" t="s">
        <v>3625</v>
      </c>
      <c r="E630" s="13" t="s">
        <v>2673</v>
      </c>
      <c r="F630" s="13" t="s">
        <v>3626</v>
      </c>
      <c r="G630" s="13" t="s">
        <v>3627</v>
      </c>
      <c r="H630" s="13" t="s">
        <v>3628</v>
      </c>
    </row>
    <row r="631" customFormat="false" ht="15" hidden="false" customHeight="true" outlineLevel="0" collapsed="false">
      <c r="A631" s="13" t="s">
        <v>128</v>
      </c>
      <c r="B631" s="13" t="s">
        <v>660</v>
      </c>
      <c r="C631" s="11" t="s">
        <v>661</v>
      </c>
      <c r="D631" s="13" t="s">
        <v>3629</v>
      </c>
      <c r="E631" s="13" t="s">
        <v>3630</v>
      </c>
      <c r="F631" s="13" t="s">
        <v>3631</v>
      </c>
      <c r="G631" s="13" t="s">
        <v>3632</v>
      </c>
      <c r="H631" s="13" t="s">
        <v>3633</v>
      </c>
    </row>
    <row r="632" customFormat="false" ht="15" hidden="false" customHeight="true" outlineLevel="0" collapsed="false">
      <c r="A632" s="13" t="s">
        <v>128</v>
      </c>
      <c r="B632" s="13" t="s">
        <v>667</v>
      </c>
      <c r="C632" s="11" t="s">
        <v>668</v>
      </c>
      <c r="D632" s="13" t="s">
        <v>3634</v>
      </c>
      <c r="E632" s="13" t="s">
        <v>3635</v>
      </c>
      <c r="F632" s="13" t="s">
        <v>3636</v>
      </c>
      <c r="G632" s="13" t="s">
        <v>3637</v>
      </c>
      <c r="H632" s="13" t="s">
        <v>3638</v>
      </c>
    </row>
    <row r="633" customFormat="false" ht="15" hidden="false" customHeight="true" outlineLevel="0" collapsed="false">
      <c r="A633" s="13" t="s">
        <v>128</v>
      </c>
      <c r="B633" s="13" t="s">
        <v>674</v>
      </c>
      <c r="C633" s="11" t="s">
        <v>675</v>
      </c>
      <c r="D633" s="13" t="s">
        <v>3639</v>
      </c>
      <c r="E633" s="13" t="s">
        <v>3640</v>
      </c>
      <c r="F633" s="13" t="s">
        <v>3641</v>
      </c>
      <c r="G633" s="13" t="s">
        <v>3642</v>
      </c>
      <c r="H633" s="13" t="s">
        <v>3643</v>
      </c>
    </row>
    <row r="634" customFormat="false" ht="15" hidden="false" customHeight="true" outlineLevel="0" collapsed="false">
      <c r="A634" s="13" t="s">
        <v>128</v>
      </c>
      <c r="B634" s="13" t="s">
        <v>681</v>
      </c>
      <c r="C634" s="11" t="s">
        <v>682</v>
      </c>
      <c r="D634" s="13" t="s">
        <v>3644</v>
      </c>
      <c r="E634" s="13" t="s">
        <v>3645</v>
      </c>
      <c r="F634" s="13" t="s">
        <v>3646</v>
      </c>
      <c r="G634" s="13" t="s">
        <v>3647</v>
      </c>
      <c r="H634" s="13" t="s">
        <v>3648</v>
      </c>
    </row>
    <row r="635" customFormat="false" ht="15" hidden="false" customHeight="true" outlineLevel="0" collapsed="false">
      <c r="A635" s="13" t="s">
        <v>128</v>
      </c>
      <c r="B635" s="13" t="s">
        <v>688</v>
      </c>
      <c r="C635" s="11" t="s">
        <v>689</v>
      </c>
      <c r="D635" s="13" t="s">
        <v>3649</v>
      </c>
      <c r="E635" s="13" t="s">
        <v>3650</v>
      </c>
      <c r="F635" s="13" t="s">
        <v>3651</v>
      </c>
      <c r="G635" s="13" t="s">
        <v>3652</v>
      </c>
      <c r="H635" s="13" t="s">
        <v>3653</v>
      </c>
    </row>
    <row r="636" customFormat="false" ht="15" hidden="false" customHeight="true" outlineLevel="0" collapsed="false">
      <c r="A636" s="13" t="s">
        <v>128</v>
      </c>
      <c r="B636" s="13" t="s">
        <v>695</v>
      </c>
      <c r="C636" s="11" t="s">
        <v>696</v>
      </c>
      <c r="D636" s="13" t="s">
        <v>3654</v>
      </c>
      <c r="E636" s="13" t="s">
        <v>3655</v>
      </c>
      <c r="F636" s="13" t="s">
        <v>3656</v>
      </c>
      <c r="G636" s="13" t="s">
        <v>3657</v>
      </c>
      <c r="H636" s="13" t="s">
        <v>3658</v>
      </c>
    </row>
    <row r="637" customFormat="false" ht="15" hidden="false" customHeight="true" outlineLevel="0" collapsed="false">
      <c r="A637" s="13" t="s">
        <v>128</v>
      </c>
      <c r="B637" s="13" t="s">
        <v>702</v>
      </c>
      <c r="C637" s="11" t="s">
        <v>703</v>
      </c>
      <c r="D637" s="13" t="s">
        <v>3659</v>
      </c>
      <c r="E637" s="13" t="s">
        <v>3660</v>
      </c>
      <c r="F637" s="13" t="s">
        <v>3661</v>
      </c>
      <c r="G637" s="13" t="s">
        <v>3662</v>
      </c>
      <c r="H637" s="13" t="s">
        <v>3663</v>
      </c>
    </row>
    <row r="638" customFormat="false" ht="15" hidden="false" customHeight="true" outlineLevel="0" collapsed="false">
      <c r="A638" s="13" t="s">
        <v>128</v>
      </c>
      <c r="B638" s="13" t="s">
        <v>709</v>
      </c>
      <c r="C638" s="11" t="s">
        <v>710</v>
      </c>
      <c r="D638" s="13" t="s">
        <v>3664</v>
      </c>
      <c r="E638" s="13" t="s">
        <v>3665</v>
      </c>
      <c r="F638" s="13" t="s">
        <v>3666</v>
      </c>
      <c r="G638" s="13" t="s">
        <v>3667</v>
      </c>
      <c r="H638" s="13" t="s">
        <v>3668</v>
      </c>
    </row>
    <row r="639" customFormat="false" ht="15" hidden="false" customHeight="true" outlineLevel="0" collapsed="false">
      <c r="A639" s="13" t="s">
        <v>128</v>
      </c>
      <c r="B639" s="13" t="s">
        <v>716</v>
      </c>
      <c r="C639" s="11" t="s">
        <v>717</v>
      </c>
      <c r="D639" s="13" t="s">
        <v>3669</v>
      </c>
      <c r="E639" s="13" t="s">
        <v>3670</v>
      </c>
      <c r="F639" s="13" t="s">
        <v>3671</v>
      </c>
      <c r="G639" s="13" t="s">
        <v>3672</v>
      </c>
      <c r="H639" s="13" t="s">
        <v>3673</v>
      </c>
    </row>
    <row r="640" customFormat="false" ht="15" hidden="false" customHeight="true" outlineLevel="0" collapsed="false">
      <c r="A640" s="13" t="s">
        <v>128</v>
      </c>
      <c r="B640" s="13" t="s">
        <v>723</v>
      </c>
      <c r="C640" s="11" t="s">
        <v>724</v>
      </c>
      <c r="D640" s="13" t="s">
        <v>3674</v>
      </c>
      <c r="E640" s="13" t="s">
        <v>3675</v>
      </c>
      <c r="F640" s="13" t="s">
        <v>3676</v>
      </c>
      <c r="G640" s="13" t="s">
        <v>3677</v>
      </c>
      <c r="H640" s="13" t="s">
        <v>3678</v>
      </c>
    </row>
    <row r="641" customFormat="false" ht="15" hidden="false" customHeight="true" outlineLevel="0" collapsed="false">
      <c r="A641" s="13" t="s">
        <v>128</v>
      </c>
      <c r="B641" s="13" t="s">
        <v>730</v>
      </c>
      <c r="C641" s="11" t="s">
        <v>731</v>
      </c>
      <c r="D641" s="13" t="s">
        <v>3679</v>
      </c>
      <c r="E641" s="13" t="s">
        <v>3680</v>
      </c>
      <c r="F641" s="13" t="s">
        <v>3681</v>
      </c>
      <c r="G641" s="13" t="s">
        <v>3682</v>
      </c>
      <c r="H641" s="13" t="s">
        <v>3683</v>
      </c>
    </row>
    <row r="642" customFormat="false" ht="15" hidden="false" customHeight="true" outlineLevel="0" collapsed="false">
      <c r="A642" s="13" t="s">
        <v>128</v>
      </c>
      <c r="B642" s="13" t="s">
        <v>737</v>
      </c>
      <c r="C642" s="11" t="s">
        <v>738</v>
      </c>
      <c r="D642" s="13" t="s">
        <v>3684</v>
      </c>
      <c r="E642" s="13" t="s">
        <v>3685</v>
      </c>
      <c r="F642" s="13" t="s">
        <v>3686</v>
      </c>
      <c r="G642" s="13" t="s">
        <v>3687</v>
      </c>
      <c r="H642" s="13" t="s">
        <v>3688</v>
      </c>
    </row>
    <row r="643" customFormat="false" ht="15" hidden="false" customHeight="true" outlineLevel="0" collapsed="false">
      <c r="A643" s="13" t="s">
        <v>128</v>
      </c>
      <c r="B643" s="13" t="s">
        <v>744</v>
      </c>
      <c r="C643" s="11" t="s">
        <v>745</v>
      </c>
      <c r="D643" s="13" t="s">
        <v>3689</v>
      </c>
      <c r="E643" s="13" t="s">
        <v>3690</v>
      </c>
      <c r="F643" s="13" t="s">
        <v>3691</v>
      </c>
      <c r="G643" s="13" t="s">
        <v>3692</v>
      </c>
      <c r="H643" s="13" t="s">
        <v>3693</v>
      </c>
    </row>
    <row r="644" customFormat="false" ht="15" hidden="false" customHeight="true" outlineLevel="0" collapsed="false">
      <c r="A644" s="13" t="s">
        <v>128</v>
      </c>
      <c r="B644" s="13" t="s">
        <v>751</v>
      </c>
      <c r="C644" s="11" t="s">
        <v>752</v>
      </c>
      <c r="D644" s="13" t="s">
        <v>3694</v>
      </c>
      <c r="E644" s="13" t="s">
        <v>3695</v>
      </c>
      <c r="F644" s="13" t="s">
        <v>3696</v>
      </c>
      <c r="G644" s="13" t="s">
        <v>3697</v>
      </c>
      <c r="H644" s="13" t="s">
        <v>3698</v>
      </c>
    </row>
    <row r="645" customFormat="false" ht="15" hidden="false" customHeight="true" outlineLevel="0" collapsed="false">
      <c r="A645" s="13" t="s">
        <v>128</v>
      </c>
      <c r="B645" s="13" t="s">
        <v>758</v>
      </c>
      <c r="C645" s="11" t="s">
        <v>759</v>
      </c>
      <c r="D645" s="13" t="s">
        <v>3699</v>
      </c>
      <c r="E645" s="13" t="s">
        <v>3700</v>
      </c>
      <c r="F645" s="13" t="s">
        <v>3701</v>
      </c>
      <c r="G645" s="13" t="s">
        <v>3702</v>
      </c>
      <c r="H645" s="13" t="s">
        <v>3703</v>
      </c>
    </row>
    <row r="646" customFormat="false" ht="15" hidden="false" customHeight="true" outlineLevel="0" collapsed="false">
      <c r="A646" s="13" t="s">
        <v>128</v>
      </c>
      <c r="B646" s="13" t="s">
        <v>765</v>
      </c>
      <c r="C646" s="11" t="s">
        <v>766</v>
      </c>
      <c r="D646" s="13" t="s">
        <v>3704</v>
      </c>
      <c r="E646" s="13" t="s">
        <v>3705</v>
      </c>
      <c r="F646" s="13" t="s">
        <v>3706</v>
      </c>
      <c r="G646" s="13" t="s">
        <v>3707</v>
      </c>
      <c r="H646" s="13" t="s">
        <v>3708</v>
      </c>
    </row>
    <row r="647" customFormat="false" ht="15" hidden="false" customHeight="true" outlineLevel="0" collapsed="false">
      <c r="A647" s="13" t="s">
        <v>128</v>
      </c>
      <c r="B647" s="13" t="s">
        <v>772</v>
      </c>
      <c r="C647" s="11" t="s">
        <v>773</v>
      </c>
      <c r="D647" s="13" t="s">
        <v>3709</v>
      </c>
      <c r="E647" s="13" t="s">
        <v>3710</v>
      </c>
      <c r="F647" s="13" t="s">
        <v>3711</v>
      </c>
      <c r="G647" s="13" t="s">
        <v>3712</v>
      </c>
      <c r="H647" s="13" t="s">
        <v>3713</v>
      </c>
    </row>
    <row r="648" customFormat="false" ht="15" hidden="false" customHeight="true" outlineLevel="0" collapsed="false">
      <c r="A648" s="13" t="s">
        <v>128</v>
      </c>
      <c r="B648" s="13" t="s">
        <v>779</v>
      </c>
      <c r="C648" s="11" t="s">
        <v>780</v>
      </c>
      <c r="D648" s="13" t="s">
        <v>3714</v>
      </c>
      <c r="E648" s="13" t="s">
        <v>3715</v>
      </c>
      <c r="F648" s="13" t="s">
        <v>3716</v>
      </c>
      <c r="G648" s="13" t="s">
        <v>3717</v>
      </c>
      <c r="H648" s="13" t="s">
        <v>3718</v>
      </c>
    </row>
    <row r="649" customFormat="false" ht="15" hidden="false" customHeight="true" outlineLevel="0" collapsed="false">
      <c r="A649" s="13" t="s">
        <v>128</v>
      </c>
      <c r="B649" s="13" t="s">
        <v>786</v>
      </c>
      <c r="C649" s="11" t="s">
        <v>787</v>
      </c>
      <c r="D649" s="13" t="s">
        <v>3719</v>
      </c>
      <c r="E649" s="13" t="s">
        <v>3720</v>
      </c>
      <c r="F649" s="13" t="s">
        <v>3721</v>
      </c>
      <c r="G649" s="13" t="s">
        <v>3722</v>
      </c>
      <c r="H649" s="13" t="s">
        <v>3723</v>
      </c>
    </row>
    <row r="650" customFormat="false" ht="15" hidden="false" customHeight="true" outlineLevel="0" collapsed="false">
      <c r="A650" s="13" t="s">
        <v>128</v>
      </c>
      <c r="B650" s="13" t="s">
        <v>793</v>
      </c>
      <c r="C650" s="11" t="s">
        <v>794</v>
      </c>
      <c r="D650" s="13" t="s">
        <v>3724</v>
      </c>
      <c r="E650" s="13" t="s">
        <v>3725</v>
      </c>
      <c r="F650" s="13" t="s">
        <v>3726</v>
      </c>
      <c r="G650" s="13" t="s">
        <v>3727</v>
      </c>
      <c r="H650" s="13" t="s">
        <v>3728</v>
      </c>
    </row>
    <row r="651" customFormat="false" ht="15" hidden="false" customHeight="true" outlineLevel="0" collapsed="false">
      <c r="A651" s="13" t="s">
        <v>128</v>
      </c>
      <c r="B651" s="13" t="s">
        <v>800</v>
      </c>
      <c r="C651" s="11" t="s">
        <v>801</v>
      </c>
      <c r="D651" s="13" t="s">
        <v>3729</v>
      </c>
      <c r="E651" s="13" t="s">
        <v>3730</v>
      </c>
      <c r="F651" s="13" t="s">
        <v>3731</v>
      </c>
      <c r="G651" s="13" t="s">
        <v>3732</v>
      </c>
      <c r="H651" s="13" t="s">
        <v>3733</v>
      </c>
    </row>
    <row r="652" customFormat="false" ht="15" hidden="false" customHeight="true" outlineLevel="0" collapsed="false">
      <c r="A652" s="13" t="s">
        <v>128</v>
      </c>
      <c r="B652" s="13" t="s">
        <v>806</v>
      </c>
      <c r="C652" s="11" t="s">
        <v>807</v>
      </c>
      <c r="D652" s="13" t="s">
        <v>1497</v>
      </c>
      <c r="E652" s="13" t="s">
        <v>3734</v>
      </c>
      <c r="F652" s="13" t="s">
        <v>3735</v>
      </c>
      <c r="G652" s="13" t="s">
        <v>3736</v>
      </c>
      <c r="H652" s="13" t="s">
        <v>3737</v>
      </c>
    </row>
    <row r="653" customFormat="false" ht="15" hidden="false" customHeight="true" outlineLevel="0" collapsed="false">
      <c r="A653" s="13" t="s">
        <v>128</v>
      </c>
      <c r="B653" s="13" t="s">
        <v>813</v>
      </c>
      <c r="C653" s="11" t="s">
        <v>814</v>
      </c>
      <c r="D653" s="13" t="s">
        <v>3738</v>
      </c>
      <c r="E653" s="13" t="s">
        <v>3739</v>
      </c>
      <c r="F653" s="13" t="s">
        <v>3740</v>
      </c>
      <c r="G653" s="13" t="s">
        <v>3741</v>
      </c>
      <c r="H653" s="13" t="s">
        <v>3742</v>
      </c>
    </row>
    <row r="654" customFormat="false" ht="15" hidden="false" customHeight="true" outlineLevel="0" collapsed="false">
      <c r="A654" s="13" t="s">
        <v>128</v>
      </c>
      <c r="B654" s="13" t="s">
        <v>820</v>
      </c>
      <c r="C654" s="11" t="s">
        <v>821</v>
      </c>
      <c r="D654" s="13" t="s">
        <v>3743</v>
      </c>
      <c r="E654" s="13" t="s">
        <v>3744</v>
      </c>
      <c r="F654" s="13" t="s">
        <v>3745</v>
      </c>
      <c r="G654" s="13" t="s">
        <v>3746</v>
      </c>
      <c r="H654" s="13" t="s">
        <v>3747</v>
      </c>
    </row>
    <row r="655" customFormat="false" ht="15" hidden="false" customHeight="true" outlineLevel="0" collapsed="false">
      <c r="A655" s="13" t="s">
        <v>128</v>
      </c>
      <c r="B655" s="13" t="s">
        <v>827</v>
      </c>
      <c r="C655" s="11" t="s">
        <v>828</v>
      </c>
      <c r="D655" s="13" t="s">
        <v>3748</v>
      </c>
      <c r="E655" s="13" t="s">
        <v>3749</v>
      </c>
      <c r="F655" s="13" t="s">
        <v>3750</v>
      </c>
      <c r="G655" s="13" t="s">
        <v>3751</v>
      </c>
      <c r="H655" s="13" t="s">
        <v>3752</v>
      </c>
    </row>
    <row r="656" customFormat="false" ht="15" hidden="false" customHeight="true" outlineLevel="0" collapsed="false">
      <c r="A656" s="13" t="s">
        <v>128</v>
      </c>
      <c r="B656" s="13" t="s">
        <v>834</v>
      </c>
      <c r="C656" s="11" t="s">
        <v>835</v>
      </c>
      <c r="D656" s="13" t="s">
        <v>3753</v>
      </c>
      <c r="E656" s="13" t="s">
        <v>3754</v>
      </c>
      <c r="F656" s="13" t="s">
        <v>3755</v>
      </c>
      <c r="G656" s="13" t="s">
        <v>3756</v>
      </c>
      <c r="H656" s="13" t="s">
        <v>3757</v>
      </c>
    </row>
    <row r="657" customFormat="false" ht="15" hidden="false" customHeight="true" outlineLevel="0" collapsed="false">
      <c r="A657" s="13" t="s">
        <v>128</v>
      </c>
      <c r="B657" s="13" t="s">
        <v>841</v>
      </c>
      <c r="C657" s="11" t="s">
        <v>842</v>
      </c>
      <c r="D657" s="13" t="s">
        <v>3758</v>
      </c>
      <c r="E657" s="13" t="s">
        <v>3759</v>
      </c>
      <c r="F657" s="13" t="s">
        <v>3760</v>
      </c>
      <c r="G657" s="13" t="s">
        <v>3761</v>
      </c>
      <c r="H657" s="13" t="s">
        <v>3762</v>
      </c>
    </row>
    <row r="658" customFormat="false" ht="15" hidden="false" customHeight="true" outlineLevel="0" collapsed="false">
      <c r="A658" s="13" t="s">
        <v>128</v>
      </c>
      <c r="B658" s="13" t="s">
        <v>848</v>
      </c>
      <c r="C658" s="11" t="s">
        <v>849</v>
      </c>
      <c r="D658" s="13" t="s">
        <v>3763</v>
      </c>
      <c r="E658" s="13" t="s">
        <v>3764</v>
      </c>
      <c r="F658" s="13" t="s">
        <v>3765</v>
      </c>
      <c r="G658" s="13" t="s">
        <v>3766</v>
      </c>
      <c r="H658" s="13" t="s">
        <v>3767</v>
      </c>
    </row>
    <row r="659" customFormat="false" ht="15" hidden="false" customHeight="true" outlineLevel="0" collapsed="false">
      <c r="A659" s="13" t="s">
        <v>128</v>
      </c>
      <c r="B659" s="13" t="s">
        <v>855</v>
      </c>
      <c r="C659" s="11" t="s">
        <v>856</v>
      </c>
      <c r="D659" s="13" t="s">
        <v>3768</v>
      </c>
      <c r="E659" s="13" t="s">
        <v>3769</v>
      </c>
      <c r="F659" s="13" t="s">
        <v>3770</v>
      </c>
      <c r="G659" s="13" t="s">
        <v>3771</v>
      </c>
      <c r="H659" s="13" t="s">
        <v>3772</v>
      </c>
    </row>
    <row r="660" customFormat="false" ht="15" hidden="false" customHeight="true" outlineLevel="0" collapsed="false">
      <c r="A660" s="13" t="s">
        <v>128</v>
      </c>
      <c r="B660" s="13" t="s">
        <v>862</v>
      </c>
      <c r="C660" s="11" t="s">
        <v>863</v>
      </c>
      <c r="D660" s="13" t="s">
        <v>3773</v>
      </c>
      <c r="E660" s="13" t="s">
        <v>3774</v>
      </c>
      <c r="F660" s="13" t="s">
        <v>3775</v>
      </c>
      <c r="G660" s="13" t="s">
        <v>3776</v>
      </c>
      <c r="H660" s="13" t="s">
        <v>3777</v>
      </c>
    </row>
    <row r="661" customFormat="false" ht="15" hidden="false" customHeight="true" outlineLevel="0" collapsed="false">
      <c r="A661" s="13" t="s">
        <v>128</v>
      </c>
      <c r="B661" s="13" t="s">
        <v>869</v>
      </c>
      <c r="C661" s="11" t="s">
        <v>870</v>
      </c>
      <c r="D661" s="13" t="s">
        <v>3778</v>
      </c>
      <c r="E661" s="13" t="s">
        <v>3779</v>
      </c>
      <c r="F661" s="13" t="s">
        <v>3780</v>
      </c>
      <c r="G661" s="13" t="s">
        <v>3781</v>
      </c>
      <c r="H661" s="13" t="s">
        <v>3782</v>
      </c>
    </row>
    <row r="662" customFormat="false" ht="15" hidden="false" customHeight="true" outlineLevel="0" collapsed="false">
      <c r="A662" s="13" t="s">
        <v>128</v>
      </c>
      <c r="B662" s="13" t="s">
        <v>876</v>
      </c>
      <c r="C662" s="11" t="s">
        <v>877</v>
      </c>
      <c r="D662" s="13" t="s">
        <v>3783</v>
      </c>
      <c r="E662" s="13" t="s">
        <v>3784</v>
      </c>
      <c r="F662" s="13" t="s">
        <v>3785</v>
      </c>
      <c r="G662" s="13" t="s">
        <v>3786</v>
      </c>
      <c r="H662" s="13" t="s">
        <v>3787</v>
      </c>
    </row>
    <row r="663" customFormat="false" ht="15" hidden="false" customHeight="true" outlineLevel="0" collapsed="false">
      <c r="A663" s="13" t="s">
        <v>128</v>
      </c>
      <c r="B663" s="13" t="s">
        <v>883</v>
      </c>
      <c r="C663" s="11" t="s">
        <v>884</v>
      </c>
      <c r="D663" s="13" t="s">
        <v>3788</v>
      </c>
      <c r="E663" s="13" t="s">
        <v>3789</v>
      </c>
      <c r="F663" s="13" t="s">
        <v>3790</v>
      </c>
      <c r="G663" s="13" t="s">
        <v>3791</v>
      </c>
      <c r="H663" s="13" t="s">
        <v>3792</v>
      </c>
    </row>
    <row r="664" customFormat="false" ht="15" hidden="false" customHeight="true" outlineLevel="0" collapsed="false">
      <c r="A664" s="13" t="s">
        <v>128</v>
      </c>
      <c r="B664" s="13" t="s">
        <v>890</v>
      </c>
      <c r="C664" s="11" t="s">
        <v>891</v>
      </c>
      <c r="D664" s="13" t="s">
        <v>3793</v>
      </c>
      <c r="E664" s="13" t="s">
        <v>3794</v>
      </c>
      <c r="F664" s="13" t="s">
        <v>3795</v>
      </c>
      <c r="G664" s="13" t="s">
        <v>3796</v>
      </c>
      <c r="H664" s="13" t="s">
        <v>3797</v>
      </c>
    </row>
    <row r="665" customFormat="false" ht="15" hidden="false" customHeight="true" outlineLevel="0" collapsed="false">
      <c r="A665" s="13" t="s">
        <v>128</v>
      </c>
      <c r="B665" s="13" t="s">
        <v>897</v>
      </c>
      <c r="C665" s="11" t="s">
        <v>898</v>
      </c>
      <c r="D665" s="13" t="s">
        <v>3798</v>
      </c>
      <c r="E665" s="13" t="s">
        <v>3799</v>
      </c>
      <c r="F665" s="13" t="s">
        <v>3800</v>
      </c>
      <c r="G665" s="13" t="s">
        <v>3801</v>
      </c>
      <c r="H665" s="13" t="s">
        <v>3802</v>
      </c>
    </row>
    <row r="666" customFormat="false" ht="15" hidden="false" customHeight="true" outlineLevel="0" collapsed="false">
      <c r="A666" s="13" t="s">
        <v>128</v>
      </c>
      <c r="B666" s="13" t="s">
        <v>904</v>
      </c>
      <c r="C666" s="11" t="s">
        <v>905</v>
      </c>
      <c r="D666" s="13" t="s">
        <v>3803</v>
      </c>
      <c r="E666" s="13" t="s">
        <v>3804</v>
      </c>
      <c r="F666" s="13" t="s">
        <v>3805</v>
      </c>
      <c r="G666" s="13" t="s">
        <v>3806</v>
      </c>
      <c r="H666" s="13" t="s">
        <v>3807</v>
      </c>
    </row>
    <row r="667" customFormat="false" ht="15" hidden="false" customHeight="true" outlineLevel="0" collapsed="false">
      <c r="A667" s="13" t="s">
        <v>128</v>
      </c>
      <c r="B667" s="13" t="s">
        <v>911</v>
      </c>
      <c r="C667" s="11" t="s">
        <v>912</v>
      </c>
      <c r="D667" s="13" t="s">
        <v>3808</v>
      </c>
      <c r="E667" s="13" t="s">
        <v>3809</v>
      </c>
      <c r="F667" s="13" t="s">
        <v>3810</v>
      </c>
      <c r="G667" s="13" t="s">
        <v>3811</v>
      </c>
      <c r="H667" s="13" t="s">
        <v>3812</v>
      </c>
    </row>
    <row r="668" customFormat="false" ht="15" hidden="false" customHeight="true" outlineLevel="0" collapsed="false">
      <c r="A668" s="13" t="s">
        <v>128</v>
      </c>
      <c r="B668" s="13" t="s">
        <v>918</v>
      </c>
      <c r="C668" s="11" t="s">
        <v>919</v>
      </c>
      <c r="D668" s="13" t="s">
        <v>3813</v>
      </c>
      <c r="E668" s="13" t="s">
        <v>3814</v>
      </c>
      <c r="F668" s="13" t="s">
        <v>3815</v>
      </c>
      <c r="G668" s="13" t="s">
        <v>3816</v>
      </c>
      <c r="H668" s="13" t="s">
        <v>3817</v>
      </c>
    </row>
    <row r="669" customFormat="false" ht="15" hidden="false" customHeight="true" outlineLevel="0" collapsed="false">
      <c r="A669" s="13" t="s">
        <v>128</v>
      </c>
      <c r="B669" s="13" t="s">
        <v>925</v>
      </c>
      <c r="C669" s="11" t="s">
        <v>926</v>
      </c>
      <c r="D669" s="13" t="s">
        <v>3818</v>
      </c>
      <c r="E669" s="13" t="s">
        <v>3819</v>
      </c>
      <c r="F669" s="13" t="s">
        <v>3820</v>
      </c>
      <c r="G669" s="13" t="s">
        <v>3821</v>
      </c>
      <c r="H669" s="13" t="s">
        <v>3822</v>
      </c>
    </row>
    <row r="670" customFormat="false" ht="15" hidden="false" customHeight="true" outlineLevel="0" collapsed="false">
      <c r="A670" s="13" t="s">
        <v>128</v>
      </c>
      <c r="B670" s="13" t="s">
        <v>932</v>
      </c>
      <c r="C670" s="11" t="s">
        <v>933</v>
      </c>
      <c r="D670" s="13" t="s">
        <v>3823</v>
      </c>
      <c r="E670" s="13" t="s">
        <v>3824</v>
      </c>
      <c r="F670" s="13" t="s">
        <v>3825</v>
      </c>
      <c r="G670" s="13" t="s">
        <v>3826</v>
      </c>
      <c r="H670" s="13" t="s">
        <v>3827</v>
      </c>
    </row>
    <row r="671" customFormat="false" ht="15" hidden="false" customHeight="true" outlineLevel="0" collapsed="false">
      <c r="A671" s="13" t="s">
        <v>128</v>
      </c>
      <c r="B671" s="13" t="s">
        <v>939</v>
      </c>
      <c r="C671" s="11" t="s">
        <v>940</v>
      </c>
      <c r="D671" s="13" t="s">
        <v>3828</v>
      </c>
      <c r="E671" s="13" t="s">
        <v>3829</v>
      </c>
      <c r="F671" s="13" t="s">
        <v>3830</v>
      </c>
      <c r="G671" s="13" t="s">
        <v>3831</v>
      </c>
      <c r="H671" s="13" t="s">
        <v>3832</v>
      </c>
    </row>
    <row r="672" customFormat="false" ht="15" hidden="false" customHeight="true" outlineLevel="0" collapsed="false">
      <c r="A672" s="13" t="s">
        <v>128</v>
      </c>
      <c r="B672" s="13" t="s">
        <v>946</v>
      </c>
      <c r="C672" s="11" t="s">
        <v>947</v>
      </c>
      <c r="D672" s="13" t="s">
        <v>3833</v>
      </c>
      <c r="E672" s="13" t="s">
        <v>3834</v>
      </c>
      <c r="F672" s="13" t="s">
        <v>3835</v>
      </c>
      <c r="G672" s="13" t="s">
        <v>3836</v>
      </c>
      <c r="H672" s="13" t="s">
        <v>3837</v>
      </c>
    </row>
    <row r="673" customFormat="false" ht="15" hidden="false" customHeight="true" outlineLevel="0" collapsed="false">
      <c r="A673" s="13" t="s">
        <v>128</v>
      </c>
      <c r="B673" s="13" t="s">
        <v>953</v>
      </c>
      <c r="C673" s="11" t="s">
        <v>954</v>
      </c>
      <c r="D673" s="13" t="s">
        <v>3838</v>
      </c>
      <c r="E673" s="13" t="s">
        <v>3839</v>
      </c>
      <c r="F673" s="13" t="s">
        <v>3840</v>
      </c>
      <c r="G673" s="13" t="s">
        <v>3841</v>
      </c>
      <c r="H673" s="13" t="s">
        <v>3842</v>
      </c>
    </row>
    <row r="674" customFormat="false" ht="15" hidden="false" customHeight="true" outlineLevel="0" collapsed="false">
      <c r="A674" s="13" t="s">
        <v>128</v>
      </c>
      <c r="B674" s="13" t="s">
        <v>960</v>
      </c>
      <c r="C674" s="11" t="s">
        <v>961</v>
      </c>
      <c r="D674" s="13" t="s">
        <v>3843</v>
      </c>
      <c r="E674" s="13" t="s">
        <v>3844</v>
      </c>
      <c r="F674" s="13" t="s">
        <v>3845</v>
      </c>
      <c r="G674" s="13" t="s">
        <v>3846</v>
      </c>
      <c r="H674" s="13" t="s">
        <v>3847</v>
      </c>
    </row>
    <row r="675" customFormat="false" ht="15" hidden="false" customHeight="true" outlineLevel="0" collapsed="false">
      <c r="A675" s="13" t="s">
        <v>128</v>
      </c>
      <c r="B675" s="13" t="s">
        <v>967</v>
      </c>
      <c r="C675" s="11" t="s">
        <v>968</v>
      </c>
      <c r="D675" s="13" t="s">
        <v>3848</v>
      </c>
      <c r="E675" s="13" t="s">
        <v>3849</v>
      </c>
      <c r="F675" s="13" t="s">
        <v>3850</v>
      </c>
      <c r="G675" s="13" t="s">
        <v>3851</v>
      </c>
      <c r="H675" s="13" t="s">
        <v>3852</v>
      </c>
    </row>
    <row r="676" customFormat="false" ht="15" hidden="false" customHeight="true" outlineLevel="0" collapsed="false">
      <c r="A676" s="13" t="s">
        <v>128</v>
      </c>
      <c r="B676" s="13" t="s">
        <v>974</v>
      </c>
      <c r="C676" s="11" t="s">
        <v>975</v>
      </c>
      <c r="D676" s="13" t="s">
        <v>3853</v>
      </c>
      <c r="E676" s="13" t="s">
        <v>3854</v>
      </c>
      <c r="F676" s="13" t="s">
        <v>3855</v>
      </c>
      <c r="G676" s="13" t="s">
        <v>3856</v>
      </c>
      <c r="H676" s="13" t="s">
        <v>3857</v>
      </c>
    </row>
    <row r="677" customFormat="false" ht="15" hidden="false" customHeight="true" outlineLevel="0" collapsed="false">
      <c r="A677" s="13" t="s">
        <v>128</v>
      </c>
      <c r="B677" s="13" t="s">
        <v>981</v>
      </c>
      <c r="C677" s="11" t="s">
        <v>982</v>
      </c>
      <c r="D677" s="13" t="s">
        <v>3858</v>
      </c>
      <c r="E677" s="13" t="s">
        <v>3859</v>
      </c>
      <c r="F677" s="13" t="s">
        <v>3860</v>
      </c>
      <c r="G677" s="13" t="s">
        <v>3861</v>
      </c>
      <c r="H677" s="13" t="s">
        <v>3862</v>
      </c>
    </row>
    <row r="678" customFormat="false" ht="15" hidden="false" customHeight="true" outlineLevel="0" collapsed="false">
      <c r="A678" s="13" t="s">
        <v>128</v>
      </c>
      <c r="B678" s="13" t="s">
        <v>988</v>
      </c>
      <c r="C678" s="11" t="s">
        <v>989</v>
      </c>
      <c r="D678" s="13" t="s">
        <v>3863</v>
      </c>
      <c r="E678" s="13" t="s">
        <v>3864</v>
      </c>
      <c r="F678" s="13" t="s">
        <v>3865</v>
      </c>
      <c r="G678" s="13" t="s">
        <v>3866</v>
      </c>
      <c r="H678" s="13" t="s">
        <v>3867</v>
      </c>
    </row>
    <row r="679" customFormat="false" ht="15" hidden="false" customHeight="true" outlineLevel="0" collapsed="false">
      <c r="A679" s="13" t="s">
        <v>128</v>
      </c>
      <c r="B679" s="13" t="s">
        <v>995</v>
      </c>
      <c r="C679" s="11" t="s">
        <v>996</v>
      </c>
      <c r="D679" s="13" t="s">
        <v>3868</v>
      </c>
      <c r="E679" s="13" t="s">
        <v>3869</v>
      </c>
      <c r="F679" s="13" t="s">
        <v>3870</v>
      </c>
      <c r="G679" s="13" t="s">
        <v>3871</v>
      </c>
      <c r="H679" s="13" t="s">
        <v>3872</v>
      </c>
    </row>
    <row r="680" customFormat="false" ht="15" hidden="false" customHeight="true" outlineLevel="0" collapsed="false">
      <c r="A680" s="13" t="s">
        <v>128</v>
      </c>
      <c r="B680" s="13" t="s">
        <v>1002</v>
      </c>
      <c r="C680" s="11" t="s">
        <v>1003</v>
      </c>
      <c r="D680" s="13" t="s">
        <v>3873</v>
      </c>
      <c r="E680" s="13" t="s">
        <v>3874</v>
      </c>
      <c r="F680" s="13" t="s">
        <v>3875</v>
      </c>
      <c r="G680" s="13" t="s">
        <v>3876</v>
      </c>
      <c r="H680" s="13" t="s">
        <v>3877</v>
      </c>
    </row>
    <row r="681" customFormat="false" ht="15" hidden="false" customHeight="true" outlineLevel="0" collapsed="false">
      <c r="A681" s="13" t="s">
        <v>128</v>
      </c>
      <c r="B681" s="13" t="s">
        <v>1009</v>
      </c>
      <c r="C681" s="11" t="s">
        <v>1010</v>
      </c>
      <c r="D681" s="13" t="s">
        <v>3878</v>
      </c>
      <c r="E681" s="13" t="s">
        <v>3879</v>
      </c>
      <c r="F681" s="13" t="s">
        <v>3880</v>
      </c>
      <c r="G681" s="13" t="s">
        <v>3881</v>
      </c>
      <c r="H681" s="13" t="s">
        <v>3882</v>
      </c>
    </row>
    <row r="682" customFormat="false" ht="15" hidden="false" customHeight="true" outlineLevel="0" collapsed="false">
      <c r="A682" s="13" t="s">
        <v>137</v>
      </c>
      <c r="B682" s="13" t="s">
        <v>345</v>
      </c>
      <c r="C682" s="11" t="s">
        <v>346</v>
      </c>
      <c r="D682" s="13" t="s">
        <v>3883</v>
      </c>
      <c r="E682" s="13" t="s">
        <v>3884</v>
      </c>
      <c r="F682" s="13" t="s">
        <v>3885</v>
      </c>
      <c r="G682" s="13" t="s">
        <v>3886</v>
      </c>
      <c r="H682" s="13" t="s">
        <v>3887</v>
      </c>
    </row>
    <row r="683" customFormat="false" ht="15" hidden="false" customHeight="true" outlineLevel="0" collapsed="false">
      <c r="A683" s="13" t="s">
        <v>137</v>
      </c>
      <c r="B683" s="13" t="s">
        <v>352</v>
      </c>
      <c r="C683" s="11" t="s">
        <v>353</v>
      </c>
      <c r="D683" s="13" t="s">
        <v>3888</v>
      </c>
      <c r="E683" s="13" t="s">
        <v>3889</v>
      </c>
      <c r="F683" s="13" t="s">
        <v>3890</v>
      </c>
      <c r="G683" s="13" t="s">
        <v>3891</v>
      </c>
      <c r="H683" s="13" t="s">
        <v>3892</v>
      </c>
    </row>
    <row r="684" customFormat="false" ht="15" hidden="false" customHeight="true" outlineLevel="0" collapsed="false">
      <c r="A684" s="13" t="s">
        <v>137</v>
      </c>
      <c r="B684" s="13" t="s">
        <v>359</v>
      </c>
      <c r="C684" s="11" t="s">
        <v>360</v>
      </c>
      <c r="D684" s="13" t="s">
        <v>3893</v>
      </c>
      <c r="E684" s="13" t="s">
        <v>3894</v>
      </c>
      <c r="F684" s="13" t="s">
        <v>3895</v>
      </c>
      <c r="G684" s="13" t="s">
        <v>3896</v>
      </c>
      <c r="H684" s="13" t="s">
        <v>3897</v>
      </c>
    </row>
    <row r="685" customFormat="false" ht="15" hidden="false" customHeight="true" outlineLevel="0" collapsed="false">
      <c r="A685" s="13" t="s">
        <v>137</v>
      </c>
      <c r="B685" s="13" t="s">
        <v>366</v>
      </c>
      <c r="C685" s="11" t="s">
        <v>367</v>
      </c>
      <c r="D685" s="13" t="s">
        <v>3898</v>
      </c>
      <c r="E685" s="13" t="s">
        <v>3899</v>
      </c>
      <c r="F685" s="13" t="s">
        <v>3900</v>
      </c>
      <c r="G685" s="13" t="s">
        <v>3901</v>
      </c>
      <c r="H685" s="13" t="s">
        <v>3902</v>
      </c>
    </row>
    <row r="686" customFormat="false" ht="15" hidden="false" customHeight="true" outlineLevel="0" collapsed="false">
      <c r="A686" s="13" t="s">
        <v>137</v>
      </c>
      <c r="B686" s="13" t="s">
        <v>373</v>
      </c>
      <c r="C686" s="11" t="s">
        <v>374</v>
      </c>
      <c r="D686" s="13" t="s">
        <v>3903</v>
      </c>
      <c r="E686" s="13" t="s">
        <v>3904</v>
      </c>
      <c r="F686" s="13" t="s">
        <v>3905</v>
      </c>
      <c r="G686" s="13" t="s">
        <v>3906</v>
      </c>
      <c r="H686" s="13" t="s">
        <v>3907</v>
      </c>
    </row>
    <row r="687" customFormat="false" ht="15" hidden="false" customHeight="true" outlineLevel="0" collapsed="false">
      <c r="A687" s="13" t="s">
        <v>137</v>
      </c>
      <c r="B687" s="13" t="s">
        <v>380</v>
      </c>
      <c r="C687" s="11" t="s">
        <v>381</v>
      </c>
      <c r="D687" s="13" t="s">
        <v>3908</v>
      </c>
      <c r="E687" s="13" t="s">
        <v>3909</v>
      </c>
      <c r="F687" s="13" t="s">
        <v>3910</v>
      </c>
      <c r="G687" s="13" t="s">
        <v>3911</v>
      </c>
      <c r="H687" s="13" t="s">
        <v>3912</v>
      </c>
    </row>
    <row r="688" customFormat="false" ht="15" hidden="false" customHeight="true" outlineLevel="0" collapsed="false">
      <c r="A688" s="13" t="s">
        <v>137</v>
      </c>
      <c r="B688" s="13" t="s">
        <v>387</v>
      </c>
      <c r="C688" s="11" t="s">
        <v>388</v>
      </c>
      <c r="D688" s="13" t="s">
        <v>3913</v>
      </c>
      <c r="E688" s="13" t="s">
        <v>3914</v>
      </c>
      <c r="F688" s="13" t="s">
        <v>3915</v>
      </c>
      <c r="G688" s="13" t="s">
        <v>3916</v>
      </c>
      <c r="H688" s="13" t="s">
        <v>3917</v>
      </c>
    </row>
    <row r="689" customFormat="false" ht="15" hidden="false" customHeight="true" outlineLevel="0" collapsed="false">
      <c r="A689" s="13" t="s">
        <v>137</v>
      </c>
      <c r="B689" s="13" t="s">
        <v>394</v>
      </c>
      <c r="C689" s="11" t="s">
        <v>395</v>
      </c>
      <c r="D689" s="13" t="s">
        <v>3918</v>
      </c>
      <c r="E689" s="13" t="s">
        <v>3919</v>
      </c>
      <c r="F689" s="13" t="s">
        <v>3920</v>
      </c>
      <c r="G689" s="13" t="s">
        <v>3921</v>
      </c>
      <c r="H689" s="13" t="s">
        <v>3922</v>
      </c>
    </row>
    <row r="690" customFormat="false" ht="15" hidden="false" customHeight="true" outlineLevel="0" collapsed="false">
      <c r="A690" s="13" t="s">
        <v>137</v>
      </c>
      <c r="B690" s="13" t="s">
        <v>401</v>
      </c>
      <c r="C690" s="11" t="s">
        <v>402</v>
      </c>
      <c r="D690" s="13" t="s">
        <v>3923</v>
      </c>
      <c r="E690" s="13" t="s">
        <v>3924</v>
      </c>
      <c r="F690" s="13" t="s">
        <v>3925</v>
      </c>
      <c r="G690" s="13" t="s">
        <v>3926</v>
      </c>
      <c r="H690" s="13" t="s">
        <v>3927</v>
      </c>
    </row>
    <row r="691" customFormat="false" ht="15" hidden="false" customHeight="true" outlineLevel="0" collapsed="false">
      <c r="A691" s="13" t="s">
        <v>137</v>
      </c>
      <c r="B691" s="13" t="s">
        <v>408</v>
      </c>
      <c r="C691" s="11" t="s">
        <v>409</v>
      </c>
      <c r="D691" s="13" t="s">
        <v>3928</v>
      </c>
      <c r="E691" s="13" t="s">
        <v>3929</v>
      </c>
      <c r="F691" s="13" t="s">
        <v>3930</v>
      </c>
      <c r="G691" s="13" t="s">
        <v>3931</v>
      </c>
      <c r="H691" s="13" t="s">
        <v>3932</v>
      </c>
    </row>
    <row r="692" customFormat="false" ht="15" hidden="false" customHeight="true" outlineLevel="0" collapsed="false">
      <c r="A692" s="13" t="s">
        <v>137</v>
      </c>
      <c r="B692" s="13" t="s">
        <v>415</v>
      </c>
      <c r="C692" s="11" t="s">
        <v>416</v>
      </c>
      <c r="D692" s="13" t="s">
        <v>3933</v>
      </c>
      <c r="E692" s="13" t="s">
        <v>3934</v>
      </c>
      <c r="F692" s="13" t="s">
        <v>3935</v>
      </c>
      <c r="G692" s="13" t="s">
        <v>3936</v>
      </c>
      <c r="H692" s="13" t="s">
        <v>3937</v>
      </c>
    </row>
    <row r="693" customFormat="false" ht="15" hidden="false" customHeight="true" outlineLevel="0" collapsed="false">
      <c r="A693" s="13" t="s">
        <v>137</v>
      </c>
      <c r="B693" s="13" t="s">
        <v>422</v>
      </c>
      <c r="C693" s="11" t="s">
        <v>423</v>
      </c>
      <c r="D693" s="13" t="s">
        <v>3938</v>
      </c>
      <c r="E693" s="13" t="s">
        <v>3939</v>
      </c>
      <c r="F693" s="13" t="s">
        <v>3940</v>
      </c>
      <c r="G693" s="13" t="s">
        <v>3941</v>
      </c>
      <c r="H693" s="13" t="s">
        <v>3942</v>
      </c>
    </row>
    <row r="694" customFormat="false" ht="15" hidden="false" customHeight="true" outlineLevel="0" collapsed="false">
      <c r="A694" s="13" t="s">
        <v>137</v>
      </c>
      <c r="B694" s="13" t="s">
        <v>429</v>
      </c>
      <c r="C694" s="11" t="s">
        <v>430</v>
      </c>
      <c r="D694" s="13" t="s">
        <v>3943</v>
      </c>
      <c r="E694" s="13" t="s">
        <v>3944</v>
      </c>
      <c r="F694" s="13" t="s">
        <v>3945</v>
      </c>
      <c r="G694" s="13" t="s">
        <v>3946</v>
      </c>
      <c r="H694" s="13" t="s">
        <v>3947</v>
      </c>
    </row>
    <row r="695" customFormat="false" ht="15" hidden="false" customHeight="true" outlineLevel="0" collapsed="false">
      <c r="A695" s="13" t="s">
        <v>137</v>
      </c>
      <c r="B695" s="13" t="s">
        <v>436</v>
      </c>
      <c r="C695" s="11" t="s">
        <v>437</v>
      </c>
      <c r="D695" s="13" t="s">
        <v>3948</v>
      </c>
      <c r="E695" s="13" t="s">
        <v>2518</v>
      </c>
      <c r="F695" s="13" t="s">
        <v>3949</v>
      </c>
      <c r="G695" s="13" t="s">
        <v>3950</v>
      </c>
      <c r="H695" s="13" t="s">
        <v>3951</v>
      </c>
    </row>
    <row r="696" customFormat="false" ht="15" hidden="false" customHeight="true" outlineLevel="0" collapsed="false">
      <c r="A696" s="13" t="s">
        <v>137</v>
      </c>
      <c r="B696" s="13" t="s">
        <v>443</v>
      </c>
      <c r="C696" s="11" t="s">
        <v>444</v>
      </c>
      <c r="D696" s="13" t="s">
        <v>3952</v>
      </c>
      <c r="E696" s="13" t="s">
        <v>3953</v>
      </c>
      <c r="F696" s="13" t="s">
        <v>3954</v>
      </c>
      <c r="G696" s="13" t="s">
        <v>3955</v>
      </c>
      <c r="H696" s="13" t="s">
        <v>3956</v>
      </c>
    </row>
    <row r="697" customFormat="false" ht="15" hidden="false" customHeight="true" outlineLevel="0" collapsed="false">
      <c r="A697" s="13" t="s">
        <v>137</v>
      </c>
      <c r="B697" s="13" t="s">
        <v>450</v>
      </c>
      <c r="C697" s="11" t="s">
        <v>451</v>
      </c>
      <c r="D697" s="13" t="s">
        <v>3957</v>
      </c>
      <c r="E697" s="13" t="s">
        <v>3958</v>
      </c>
      <c r="F697" s="13" t="s">
        <v>3959</v>
      </c>
      <c r="G697" s="13" t="s">
        <v>3960</v>
      </c>
      <c r="H697" s="13" t="s">
        <v>3961</v>
      </c>
    </row>
    <row r="698" customFormat="false" ht="15" hidden="false" customHeight="true" outlineLevel="0" collapsed="false">
      <c r="A698" s="13" t="s">
        <v>137</v>
      </c>
      <c r="B698" s="13" t="s">
        <v>457</v>
      </c>
      <c r="C698" s="11" t="s">
        <v>458</v>
      </c>
      <c r="D698" s="13" t="s">
        <v>3962</v>
      </c>
      <c r="E698" s="13" t="s">
        <v>3963</v>
      </c>
      <c r="F698" s="13" t="s">
        <v>3964</v>
      </c>
      <c r="G698" s="13" t="s">
        <v>3965</v>
      </c>
      <c r="H698" s="13" t="s">
        <v>3966</v>
      </c>
    </row>
    <row r="699" customFormat="false" ht="15" hidden="false" customHeight="true" outlineLevel="0" collapsed="false">
      <c r="A699" s="13" t="s">
        <v>137</v>
      </c>
      <c r="B699" s="13" t="s">
        <v>464</v>
      </c>
      <c r="C699" s="11" t="s">
        <v>465</v>
      </c>
      <c r="D699" s="13" t="s">
        <v>3967</v>
      </c>
      <c r="E699" s="13" t="s">
        <v>3968</v>
      </c>
      <c r="F699" s="13" t="s">
        <v>3969</v>
      </c>
      <c r="G699" s="13" t="s">
        <v>3970</v>
      </c>
      <c r="H699" s="13" t="s">
        <v>3971</v>
      </c>
    </row>
    <row r="700" customFormat="false" ht="15" hidden="false" customHeight="true" outlineLevel="0" collapsed="false">
      <c r="A700" s="13" t="s">
        <v>137</v>
      </c>
      <c r="B700" s="13" t="s">
        <v>471</v>
      </c>
      <c r="C700" s="11" t="s">
        <v>472</v>
      </c>
      <c r="D700" s="13" t="s">
        <v>3972</v>
      </c>
      <c r="E700" s="13" t="s">
        <v>3973</v>
      </c>
      <c r="F700" s="13" t="s">
        <v>3974</v>
      </c>
      <c r="G700" s="13" t="s">
        <v>3975</v>
      </c>
      <c r="H700" s="13" t="s">
        <v>3976</v>
      </c>
    </row>
    <row r="701" customFormat="false" ht="15" hidden="false" customHeight="true" outlineLevel="0" collapsed="false">
      <c r="A701" s="13" t="s">
        <v>137</v>
      </c>
      <c r="B701" s="13" t="s">
        <v>478</v>
      </c>
      <c r="C701" s="11" t="s">
        <v>479</v>
      </c>
      <c r="D701" s="13" t="s">
        <v>3977</v>
      </c>
      <c r="E701" s="13" t="s">
        <v>3978</v>
      </c>
      <c r="F701" s="13" t="s">
        <v>3979</v>
      </c>
      <c r="G701" s="13" t="s">
        <v>3980</v>
      </c>
      <c r="H701" s="13" t="s">
        <v>3981</v>
      </c>
    </row>
    <row r="702" customFormat="false" ht="15" hidden="false" customHeight="true" outlineLevel="0" collapsed="false">
      <c r="A702" s="13" t="s">
        <v>137</v>
      </c>
      <c r="B702" s="13" t="s">
        <v>485</v>
      </c>
      <c r="C702" s="11" t="s">
        <v>486</v>
      </c>
      <c r="D702" s="13" t="s">
        <v>3982</v>
      </c>
      <c r="E702" s="13" t="s">
        <v>3983</v>
      </c>
      <c r="F702" s="13" t="s">
        <v>3984</v>
      </c>
      <c r="G702" s="13" t="s">
        <v>3985</v>
      </c>
      <c r="H702" s="13" t="s">
        <v>3986</v>
      </c>
    </row>
    <row r="703" customFormat="false" ht="15" hidden="false" customHeight="true" outlineLevel="0" collapsed="false">
      <c r="A703" s="13" t="s">
        <v>137</v>
      </c>
      <c r="B703" s="13" t="s">
        <v>492</v>
      </c>
      <c r="C703" s="11" t="s">
        <v>493</v>
      </c>
      <c r="D703" s="13" t="s">
        <v>3987</v>
      </c>
      <c r="E703" s="13" t="s">
        <v>3988</v>
      </c>
      <c r="F703" s="13" t="s">
        <v>3989</v>
      </c>
      <c r="G703" s="13" t="s">
        <v>3990</v>
      </c>
      <c r="H703" s="13" t="s">
        <v>3991</v>
      </c>
    </row>
    <row r="704" customFormat="false" ht="15" hidden="false" customHeight="true" outlineLevel="0" collapsed="false">
      <c r="A704" s="13" t="s">
        <v>137</v>
      </c>
      <c r="B704" s="13" t="s">
        <v>499</v>
      </c>
      <c r="C704" s="11" t="s">
        <v>500</v>
      </c>
      <c r="D704" s="13" t="s">
        <v>3992</v>
      </c>
      <c r="E704" s="13" t="s">
        <v>3993</v>
      </c>
      <c r="F704" s="13" t="s">
        <v>3994</v>
      </c>
      <c r="G704" s="13" t="s">
        <v>3995</v>
      </c>
      <c r="H704" s="13" t="s">
        <v>3996</v>
      </c>
    </row>
    <row r="705" customFormat="false" ht="15" hidden="false" customHeight="true" outlineLevel="0" collapsed="false">
      <c r="A705" s="13" t="s">
        <v>137</v>
      </c>
      <c r="B705" s="13" t="s">
        <v>506</v>
      </c>
      <c r="C705" s="11" t="s">
        <v>507</v>
      </c>
      <c r="D705" s="13" t="s">
        <v>3997</v>
      </c>
      <c r="E705" s="13" t="s">
        <v>3998</v>
      </c>
      <c r="F705" s="13" t="s">
        <v>3999</v>
      </c>
      <c r="G705" s="13" t="s">
        <v>4000</v>
      </c>
      <c r="H705" s="13" t="s">
        <v>4001</v>
      </c>
    </row>
    <row r="706" customFormat="false" ht="15" hidden="false" customHeight="true" outlineLevel="0" collapsed="false">
      <c r="A706" s="13" t="s">
        <v>137</v>
      </c>
      <c r="B706" s="13" t="s">
        <v>513</v>
      </c>
      <c r="C706" s="11" t="s">
        <v>514</v>
      </c>
      <c r="D706" s="13" t="s">
        <v>4002</v>
      </c>
      <c r="E706" s="13" t="s">
        <v>4003</v>
      </c>
      <c r="F706" s="13" t="s">
        <v>4004</v>
      </c>
      <c r="G706" s="13" t="s">
        <v>4005</v>
      </c>
      <c r="H706" s="13" t="s">
        <v>4006</v>
      </c>
    </row>
    <row r="707" customFormat="false" ht="15" hidden="false" customHeight="true" outlineLevel="0" collapsed="false">
      <c r="A707" s="13" t="s">
        <v>137</v>
      </c>
      <c r="B707" s="13" t="s">
        <v>520</v>
      </c>
      <c r="C707" s="11" t="s">
        <v>521</v>
      </c>
      <c r="D707" s="13" t="s">
        <v>4007</v>
      </c>
      <c r="E707" s="13" t="s">
        <v>4008</v>
      </c>
      <c r="F707" s="13" t="s">
        <v>4009</v>
      </c>
      <c r="G707" s="13" t="s">
        <v>4010</v>
      </c>
      <c r="H707" s="13" t="s">
        <v>4011</v>
      </c>
    </row>
    <row r="708" customFormat="false" ht="15" hidden="false" customHeight="true" outlineLevel="0" collapsed="false">
      <c r="A708" s="13" t="s">
        <v>137</v>
      </c>
      <c r="B708" s="13" t="s">
        <v>527</v>
      </c>
      <c r="C708" s="11" t="s">
        <v>528</v>
      </c>
      <c r="D708" s="13" t="s">
        <v>4012</v>
      </c>
      <c r="E708" s="13" t="s">
        <v>4013</v>
      </c>
      <c r="F708" s="13" t="s">
        <v>4014</v>
      </c>
      <c r="G708" s="13" t="s">
        <v>4015</v>
      </c>
      <c r="H708" s="13" t="s">
        <v>4016</v>
      </c>
    </row>
    <row r="709" customFormat="false" ht="15" hidden="false" customHeight="true" outlineLevel="0" collapsed="false">
      <c r="A709" s="13" t="s">
        <v>137</v>
      </c>
      <c r="B709" s="13" t="s">
        <v>534</v>
      </c>
      <c r="C709" s="11" t="s">
        <v>535</v>
      </c>
      <c r="D709" s="13" t="s">
        <v>4017</v>
      </c>
      <c r="E709" s="13" t="s">
        <v>4018</v>
      </c>
      <c r="F709" s="13" t="s">
        <v>4019</v>
      </c>
      <c r="G709" s="13" t="s">
        <v>4020</v>
      </c>
      <c r="H709" s="13" t="s">
        <v>4021</v>
      </c>
    </row>
    <row r="710" customFormat="false" ht="15" hidden="false" customHeight="true" outlineLevel="0" collapsed="false">
      <c r="A710" s="13" t="s">
        <v>137</v>
      </c>
      <c r="B710" s="13" t="s">
        <v>541</v>
      </c>
      <c r="C710" s="11" t="s">
        <v>542</v>
      </c>
      <c r="D710" s="13" t="s">
        <v>4022</v>
      </c>
      <c r="E710" s="13" t="s">
        <v>4023</v>
      </c>
      <c r="F710" s="13" t="s">
        <v>4024</v>
      </c>
      <c r="G710" s="13" t="s">
        <v>4025</v>
      </c>
      <c r="H710" s="13" t="s">
        <v>4026</v>
      </c>
    </row>
    <row r="711" customFormat="false" ht="15" hidden="false" customHeight="true" outlineLevel="0" collapsed="false">
      <c r="A711" s="13" t="s">
        <v>137</v>
      </c>
      <c r="B711" s="13" t="s">
        <v>548</v>
      </c>
      <c r="C711" s="11" t="s">
        <v>549</v>
      </c>
      <c r="D711" s="13" t="s">
        <v>4027</v>
      </c>
      <c r="E711" s="13" t="s">
        <v>4028</v>
      </c>
      <c r="F711" s="13" t="s">
        <v>4029</v>
      </c>
      <c r="G711" s="13" t="s">
        <v>4030</v>
      </c>
      <c r="H711" s="13" t="s">
        <v>4031</v>
      </c>
    </row>
    <row r="712" customFormat="false" ht="15" hidden="false" customHeight="true" outlineLevel="0" collapsed="false">
      <c r="A712" s="13" t="s">
        <v>137</v>
      </c>
      <c r="B712" s="13" t="s">
        <v>555</v>
      </c>
      <c r="C712" s="11" t="s">
        <v>556</v>
      </c>
      <c r="D712" s="13" t="s">
        <v>4032</v>
      </c>
      <c r="E712" s="13" t="s">
        <v>4033</v>
      </c>
      <c r="F712" s="13" t="s">
        <v>4034</v>
      </c>
      <c r="G712" s="13" t="s">
        <v>4035</v>
      </c>
      <c r="H712" s="13" t="s">
        <v>4036</v>
      </c>
    </row>
    <row r="713" customFormat="false" ht="15" hidden="false" customHeight="true" outlineLevel="0" collapsed="false">
      <c r="A713" s="13" t="s">
        <v>137</v>
      </c>
      <c r="B713" s="13" t="s">
        <v>562</v>
      </c>
      <c r="C713" s="11" t="s">
        <v>563</v>
      </c>
      <c r="D713" s="13" t="s">
        <v>4037</v>
      </c>
      <c r="E713" s="13" t="s">
        <v>4038</v>
      </c>
      <c r="F713" s="13" t="s">
        <v>4039</v>
      </c>
      <c r="G713" s="13" t="s">
        <v>4040</v>
      </c>
      <c r="H713" s="13" t="s">
        <v>4041</v>
      </c>
    </row>
    <row r="714" customFormat="false" ht="15" hidden="false" customHeight="true" outlineLevel="0" collapsed="false">
      <c r="A714" s="13" t="s">
        <v>137</v>
      </c>
      <c r="B714" s="13" t="s">
        <v>569</v>
      </c>
      <c r="C714" s="11" t="s">
        <v>570</v>
      </c>
      <c r="D714" s="13" t="s">
        <v>4042</v>
      </c>
      <c r="E714" s="13" t="s">
        <v>4043</v>
      </c>
      <c r="F714" s="13" t="s">
        <v>4044</v>
      </c>
      <c r="G714" s="13" t="s">
        <v>4045</v>
      </c>
      <c r="H714" s="13" t="s">
        <v>4046</v>
      </c>
    </row>
    <row r="715" customFormat="false" ht="15" hidden="false" customHeight="true" outlineLevel="0" collapsed="false">
      <c r="A715" s="13" t="s">
        <v>137</v>
      </c>
      <c r="B715" s="13" t="s">
        <v>576</v>
      </c>
      <c r="C715" s="11" t="s">
        <v>577</v>
      </c>
      <c r="D715" s="13" t="s">
        <v>4047</v>
      </c>
      <c r="E715" s="13" t="s">
        <v>4048</v>
      </c>
      <c r="F715" s="13" t="s">
        <v>4049</v>
      </c>
      <c r="G715" s="13" t="s">
        <v>4050</v>
      </c>
      <c r="H715" s="13" t="s">
        <v>4051</v>
      </c>
    </row>
    <row r="716" customFormat="false" ht="15" hidden="false" customHeight="true" outlineLevel="0" collapsed="false">
      <c r="A716" s="13" t="s">
        <v>137</v>
      </c>
      <c r="B716" s="13" t="s">
        <v>583</v>
      </c>
      <c r="C716" s="11" t="s">
        <v>584</v>
      </c>
      <c r="D716" s="13" t="s">
        <v>4052</v>
      </c>
      <c r="E716" s="13" t="s">
        <v>4053</v>
      </c>
      <c r="F716" s="13" t="s">
        <v>4054</v>
      </c>
      <c r="G716" s="13" t="s">
        <v>4055</v>
      </c>
      <c r="H716" s="13" t="s">
        <v>4056</v>
      </c>
    </row>
    <row r="717" customFormat="false" ht="15" hidden="false" customHeight="true" outlineLevel="0" collapsed="false">
      <c r="A717" s="13" t="s">
        <v>137</v>
      </c>
      <c r="B717" s="13" t="s">
        <v>590</v>
      </c>
      <c r="C717" s="11" t="s">
        <v>591</v>
      </c>
      <c r="D717" s="13" t="s">
        <v>4057</v>
      </c>
      <c r="E717" s="13" t="s">
        <v>4058</v>
      </c>
      <c r="F717" s="13" t="s">
        <v>4059</v>
      </c>
      <c r="G717" s="13" t="s">
        <v>4060</v>
      </c>
      <c r="H717" s="13" t="s">
        <v>4061</v>
      </c>
    </row>
    <row r="718" customFormat="false" ht="15" hidden="false" customHeight="true" outlineLevel="0" collapsed="false">
      <c r="A718" s="13" t="s">
        <v>137</v>
      </c>
      <c r="B718" s="13" t="s">
        <v>597</v>
      </c>
      <c r="C718" s="11" t="s">
        <v>598</v>
      </c>
      <c r="D718" s="13" t="s">
        <v>4062</v>
      </c>
      <c r="E718" s="13" t="s">
        <v>4063</v>
      </c>
      <c r="F718" s="13" t="s">
        <v>4064</v>
      </c>
      <c r="G718" s="13" t="s">
        <v>4065</v>
      </c>
      <c r="H718" s="13" t="s">
        <v>4066</v>
      </c>
    </row>
    <row r="719" customFormat="false" ht="15" hidden="false" customHeight="true" outlineLevel="0" collapsed="false">
      <c r="A719" s="13" t="s">
        <v>137</v>
      </c>
      <c r="B719" s="13" t="s">
        <v>604</v>
      </c>
      <c r="C719" s="11" t="s">
        <v>605</v>
      </c>
      <c r="D719" s="13" t="s">
        <v>4067</v>
      </c>
      <c r="E719" s="13" t="s">
        <v>4068</v>
      </c>
      <c r="F719" s="13" t="s">
        <v>4069</v>
      </c>
      <c r="G719" s="13" t="s">
        <v>4070</v>
      </c>
      <c r="H719" s="13" t="s">
        <v>4071</v>
      </c>
    </row>
    <row r="720" customFormat="false" ht="15" hidden="false" customHeight="true" outlineLevel="0" collapsed="false">
      <c r="A720" s="13" t="s">
        <v>137</v>
      </c>
      <c r="B720" s="13" t="s">
        <v>611</v>
      </c>
      <c r="C720" s="11" t="s">
        <v>612</v>
      </c>
      <c r="D720" s="13" t="s">
        <v>4072</v>
      </c>
      <c r="E720" s="13" t="s">
        <v>4073</v>
      </c>
      <c r="F720" s="13" t="s">
        <v>4074</v>
      </c>
      <c r="G720" s="13" t="s">
        <v>4075</v>
      </c>
      <c r="H720" s="13" t="s">
        <v>4076</v>
      </c>
    </row>
    <row r="721" customFormat="false" ht="15" hidden="false" customHeight="true" outlineLevel="0" collapsed="false">
      <c r="A721" s="13" t="s">
        <v>137</v>
      </c>
      <c r="B721" s="13" t="s">
        <v>618</v>
      </c>
      <c r="C721" s="11" t="s">
        <v>619</v>
      </c>
      <c r="D721" s="13" t="s">
        <v>4077</v>
      </c>
      <c r="E721" s="13" t="s">
        <v>4078</v>
      </c>
      <c r="F721" s="13" t="s">
        <v>4079</v>
      </c>
      <c r="G721" s="13" t="s">
        <v>4080</v>
      </c>
      <c r="H721" s="13" t="s">
        <v>4081</v>
      </c>
    </row>
    <row r="722" customFormat="false" ht="15" hidden="false" customHeight="true" outlineLevel="0" collapsed="false">
      <c r="A722" s="13" t="s">
        <v>137</v>
      </c>
      <c r="B722" s="13" t="s">
        <v>625</v>
      </c>
      <c r="C722" s="11" t="s">
        <v>626</v>
      </c>
      <c r="D722" s="13" t="s">
        <v>4082</v>
      </c>
      <c r="E722" s="13" t="s">
        <v>4083</v>
      </c>
      <c r="F722" s="13" t="s">
        <v>4084</v>
      </c>
      <c r="G722" s="13" t="s">
        <v>4085</v>
      </c>
      <c r="H722" s="13" t="s">
        <v>4086</v>
      </c>
    </row>
    <row r="723" customFormat="false" ht="15" hidden="false" customHeight="true" outlineLevel="0" collapsed="false">
      <c r="A723" s="13" t="s">
        <v>137</v>
      </c>
      <c r="B723" s="13" t="s">
        <v>632</v>
      </c>
      <c r="C723" s="11" t="s">
        <v>633</v>
      </c>
      <c r="D723" s="13" t="s">
        <v>4087</v>
      </c>
      <c r="E723" s="13" t="s">
        <v>4088</v>
      </c>
      <c r="F723" s="13" t="s">
        <v>4089</v>
      </c>
      <c r="G723" s="13" t="s">
        <v>4090</v>
      </c>
      <c r="H723" s="13" t="s">
        <v>4091</v>
      </c>
    </row>
    <row r="724" customFormat="false" ht="15" hidden="false" customHeight="true" outlineLevel="0" collapsed="false">
      <c r="A724" s="13" t="s">
        <v>137</v>
      </c>
      <c r="B724" s="13" t="s">
        <v>639</v>
      </c>
      <c r="C724" s="11" t="s">
        <v>640</v>
      </c>
      <c r="D724" s="13" t="s">
        <v>4092</v>
      </c>
      <c r="E724" s="13" t="s">
        <v>4093</v>
      </c>
      <c r="F724" s="13" t="s">
        <v>4094</v>
      </c>
      <c r="G724" s="13" t="s">
        <v>4095</v>
      </c>
      <c r="H724" s="13" t="s">
        <v>4096</v>
      </c>
    </row>
    <row r="725" customFormat="false" ht="15" hidden="false" customHeight="true" outlineLevel="0" collapsed="false">
      <c r="A725" s="13" t="s">
        <v>137</v>
      </c>
      <c r="B725" s="13" t="s">
        <v>646</v>
      </c>
      <c r="C725" s="11" t="s">
        <v>647</v>
      </c>
      <c r="D725" s="13" t="s">
        <v>4097</v>
      </c>
      <c r="E725" s="13" t="s">
        <v>4098</v>
      </c>
      <c r="F725" s="13" t="s">
        <v>4099</v>
      </c>
      <c r="G725" s="13" t="s">
        <v>4100</v>
      </c>
      <c r="H725" s="13" t="s">
        <v>4101</v>
      </c>
    </row>
    <row r="726" customFormat="false" ht="15" hidden="false" customHeight="true" outlineLevel="0" collapsed="false">
      <c r="A726" s="13" t="s">
        <v>137</v>
      </c>
      <c r="B726" s="13" t="s">
        <v>653</v>
      </c>
      <c r="C726" s="11" t="s">
        <v>654</v>
      </c>
      <c r="D726" s="13" t="s">
        <v>641</v>
      </c>
      <c r="E726" s="13" t="s">
        <v>4102</v>
      </c>
      <c r="F726" s="13" t="s">
        <v>4103</v>
      </c>
      <c r="G726" s="13" t="s">
        <v>4104</v>
      </c>
      <c r="H726" s="13" t="s">
        <v>4105</v>
      </c>
    </row>
    <row r="727" customFormat="false" ht="15" hidden="false" customHeight="true" outlineLevel="0" collapsed="false">
      <c r="A727" s="13" t="s">
        <v>137</v>
      </c>
      <c r="B727" s="13" t="s">
        <v>660</v>
      </c>
      <c r="C727" s="11" t="s">
        <v>661</v>
      </c>
      <c r="D727" s="13" t="s">
        <v>4106</v>
      </c>
      <c r="E727" s="13" t="s">
        <v>4107</v>
      </c>
      <c r="F727" s="13" t="s">
        <v>4108</v>
      </c>
      <c r="G727" s="13" t="s">
        <v>4109</v>
      </c>
      <c r="H727" s="13" t="s">
        <v>4110</v>
      </c>
    </row>
    <row r="728" customFormat="false" ht="15" hidden="false" customHeight="true" outlineLevel="0" collapsed="false">
      <c r="A728" s="13" t="s">
        <v>137</v>
      </c>
      <c r="B728" s="13" t="s">
        <v>667</v>
      </c>
      <c r="C728" s="11" t="s">
        <v>668</v>
      </c>
      <c r="D728" s="13" t="s">
        <v>4111</v>
      </c>
      <c r="E728" s="13" t="s">
        <v>4112</v>
      </c>
      <c r="F728" s="13" t="s">
        <v>4113</v>
      </c>
      <c r="G728" s="13" t="s">
        <v>4114</v>
      </c>
      <c r="H728" s="13" t="s">
        <v>4115</v>
      </c>
    </row>
    <row r="729" customFormat="false" ht="15" hidden="false" customHeight="true" outlineLevel="0" collapsed="false">
      <c r="A729" s="13" t="s">
        <v>137</v>
      </c>
      <c r="B729" s="13" t="s">
        <v>674</v>
      </c>
      <c r="C729" s="11" t="s">
        <v>675</v>
      </c>
      <c r="D729" s="13" t="s">
        <v>4116</v>
      </c>
      <c r="E729" s="13" t="s">
        <v>4117</v>
      </c>
      <c r="F729" s="13" t="s">
        <v>4118</v>
      </c>
      <c r="G729" s="13" t="s">
        <v>4119</v>
      </c>
      <c r="H729" s="13" t="s">
        <v>4120</v>
      </c>
    </row>
    <row r="730" customFormat="false" ht="15" hidden="false" customHeight="true" outlineLevel="0" collapsed="false">
      <c r="A730" s="13" t="s">
        <v>137</v>
      </c>
      <c r="B730" s="13" t="s">
        <v>681</v>
      </c>
      <c r="C730" s="11" t="s">
        <v>682</v>
      </c>
      <c r="D730" s="13" t="s">
        <v>4121</v>
      </c>
      <c r="E730" s="13" t="s">
        <v>4122</v>
      </c>
      <c r="F730" s="13" t="s">
        <v>4123</v>
      </c>
      <c r="G730" s="13" t="s">
        <v>4124</v>
      </c>
      <c r="H730" s="13" t="s">
        <v>4125</v>
      </c>
    </row>
    <row r="731" customFormat="false" ht="15" hidden="false" customHeight="true" outlineLevel="0" collapsed="false">
      <c r="A731" s="13" t="s">
        <v>137</v>
      </c>
      <c r="B731" s="13" t="s">
        <v>688</v>
      </c>
      <c r="C731" s="11" t="s">
        <v>689</v>
      </c>
      <c r="D731" s="13" t="s">
        <v>4126</v>
      </c>
      <c r="E731" s="13" t="s">
        <v>4127</v>
      </c>
      <c r="F731" s="13" t="s">
        <v>4128</v>
      </c>
      <c r="G731" s="13" t="s">
        <v>4129</v>
      </c>
      <c r="H731" s="13" t="s">
        <v>4130</v>
      </c>
    </row>
    <row r="732" customFormat="false" ht="15" hidden="false" customHeight="true" outlineLevel="0" collapsed="false">
      <c r="A732" s="13" t="s">
        <v>137</v>
      </c>
      <c r="B732" s="13" t="s">
        <v>695</v>
      </c>
      <c r="C732" s="11" t="s">
        <v>696</v>
      </c>
      <c r="D732" s="13" t="s">
        <v>4131</v>
      </c>
      <c r="E732" s="13" t="s">
        <v>4132</v>
      </c>
      <c r="F732" s="13" t="s">
        <v>4133</v>
      </c>
      <c r="G732" s="13" t="s">
        <v>4134</v>
      </c>
      <c r="H732" s="13" t="s">
        <v>4135</v>
      </c>
    </row>
    <row r="733" customFormat="false" ht="15" hidden="false" customHeight="true" outlineLevel="0" collapsed="false">
      <c r="A733" s="13" t="s">
        <v>137</v>
      </c>
      <c r="B733" s="13" t="s">
        <v>702</v>
      </c>
      <c r="C733" s="11" t="s">
        <v>703</v>
      </c>
      <c r="D733" s="13" t="s">
        <v>4136</v>
      </c>
      <c r="E733" s="13" t="s">
        <v>4137</v>
      </c>
      <c r="F733" s="13" t="s">
        <v>4138</v>
      </c>
      <c r="G733" s="13" t="s">
        <v>4139</v>
      </c>
      <c r="H733" s="13" t="s">
        <v>4140</v>
      </c>
    </row>
    <row r="734" customFormat="false" ht="15" hidden="false" customHeight="true" outlineLevel="0" collapsed="false">
      <c r="A734" s="13" t="s">
        <v>137</v>
      </c>
      <c r="B734" s="13" t="s">
        <v>709</v>
      </c>
      <c r="C734" s="11" t="s">
        <v>710</v>
      </c>
      <c r="D734" s="13" t="s">
        <v>4141</v>
      </c>
      <c r="E734" s="13" t="s">
        <v>4142</v>
      </c>
      <c r="F734" s="13" t="s">
        <v>4143</v>
      </c>
      <c r="G734" s="13" t="s">
        <v>4144</v>
      </c>
      <c r="H734" s="13" t="s">
        <v>4145</v>
      </c>
    </row>
    <row r="735" customFormat="false" ht="15" hidden="false" customHeight="true" outlineLevel="0" collapsed="false">
      <c r="A735" s="13" t="s">
        <v>137</v>
      </c>
      <c r="B735" s="13" t="s">
        <v>716</v>
      </c>
      <c r="C735" s="11" t="s">
        <v>717</v>
      </c>
      <c r="D735" s="13" t="s">
        <v>4146</v>
      </c>
      <c r="E735" s="13" t="s">
        <v>4147</v>
      </c>
      <c r="F735" s="13" t="s">
        <v>4148</v>
      </c>
      <c r="G735" s="13" t="s">
        <v>4149</v>
      </c>
      <c r="H735" s="13" t="s">
        <v>4150</v>
      </c>
    </row>
    <row r="736" customFormat="false" ht="15" hidden="false" customHeight="true" outlineLevel="0" collapsed="false">
      <c r="A736" s="13" t="s">
        <v>137</v>
      </c>
      <c r="B736" s="13" t="s">
        <v>723</v>
      </c>
      <c r="C736" s="11" t="s">
        <v>724</v>
      </c>
      <c r="D736" s="13" t="s">
        <v>4151</v>
      </c>
      <c r="E736" s="13" t="s">
        <v>4152</v>
      </c>
      <c r="F736" s="13" t="s">
        <v>4153</v>
      </c>
      <c r="G736" s="13" t="s">
        <v>4154</v>
      </c>
      <c r="H736" s="13" t="s">
        <v>4155</v>
      </c>
    </row>
    <row r="737" customFormat="false" ht="15" hidden="false" customHeight="true" outlineLevel="0" collapsed="false">
      <c r="A737" s="13" t="s">
        <v>137</v>
      </c>
      <c r="B737" s="13" t="s">
        <v>730</v>
      </c>
      <c r="C737" s="11" t="s">
        <v>731</v>
      </c>
      <c r="D737" s="13" t="s">
        <v>4156</v>
      </c>
      <c r="E737" s="13" t="s">
        <v>4157</v>
      </c>
      <c r="F737" s="13" t="s">
        <v>4158</v>
      </c>
      <c r="G737" s="13" t="s">
        <v>4159</v>
      </c>
      <c r="H737" s="13" t="s">
        <v>4160</v>
      </c>
    </row>
    <row r="738" customFormat="false" ht="15" hidden="false" customHeight="true" outlineLevel="0" collapsed="false">
      <c r="A738" s="13" t="s">
        <v>137</v>
      </c>
      <c r="B738" s="13" t="s">
        <v>737</v>
      </c>
      <c r="C738" s="11" t="s">
        <v>738</v>
      </c>
      <c r="D738" s="13" t="s">
        <v>4161</v>
      </c>
      <c r="E738" s="13" t="s">
        <v>4162</v>
      </c>
      <c r="F738" s="13" t="s">
        <v>4163</v>
      </c>
      <c r="G738" s="13" t="s">
        <v>4164</v>
      </c>
      <c r="H738" s="13" t="s">
        <v>4165</v>
      </c>
    </row>
    <row r="739" customFormat="false" ht="15" hidden="false" customHeight="true" outlineLevel="0" collapsed="false">
      <c r="A739" s="13" t="s">
        <v>137</v>
      </c>
      <c r="B739" s="13" t="s">
        <v>744</v>
      </c>
      <c r="C739" s="11" t="s">
        <v>745</v>
      </c>
      <c r="D739" s="13" t="s">
        <v>4166</v>
      </c>
      <c r="E739" s="13" t="s">
        <v>4167</v>
      </c>
      <c r="F739" s="13" t="s">
        <v>4168</v>
      </c>
      <c r="G739" s="13" t="s">
        <v>4169</v>
      </c>
      <c r="H739" s="13" t="s">
        <v>4170</v>
      </c>
    </row>
    <row r="740" customFormat="false" ht="15" hidden="false" customHeight="true" outlineLevel="0" collapsed="false">
      <c r="A740" s="13" t="s">
        <v>137</v>
      </c>
      <c r="B740" s="13" t="s">
        <v>751</v>
      </c>
      <c r="C740" s="11" t="s">
        <v>752</v>
      </c>
      <c r="D740" s="13" t="s">
        <v>4171</v>
      </c>
      <c r="E740" s="13" t="s">
        <v>4172</v>
      </c>
      <c r="F740" s="13" t="s">
        <v>4173</v>
      </c>
      <c r="G740" s="13" t="s">
        <v>4174</v>
      </c>
      <c r="H740" s="13" t="s">
        <v>4175</v>
      </c>
    </row>
    <row r="741" customFormat="false" ht="15" hidden="false" customHeight="true" outlineLevel="0" collapsed="false">
      <c r="A741" s="13" t="s">
        <v>137</v>
      </c>
      <c r="B741" s="13" t="s">
        <v>758</v>
      </c>
      <c r="C741" s="11" t="s">
        <v>759</v>
      </c>
      <c r="D741" s="13" t="s">
        <v>4176</v>
      </c>
      <c r="E741" s="13" t="s">
        <v>4177</v>
      </c>
      <c r="F741" s="13" t="s">
        <v>4178</v>
      </c>
      <c r="G741" s="13" t="s">
        <v>4179</v>
      </c>
      <c r="H741" s="13" t="s">
        <v>4180</v>
      </c>
    </row>
    <row r="742" customFormat="false" ht="15" hidden="false" customHeight="true" outlineLevel="0" collapsed="false">
      <c r="A742" s="13" t="s">
        <v>137</v>
      </c>
      <c r="B742" s="13" t="s">
        <v>765</v>
      </c>
      <c r="C742" s="11" t="s">
        <v>766</v>
      </c>
      <c r="D742" s="13" t="s">
        <v>4181</v>
      </c>
      <c r="E742" s="13" t="s">
        <v>4182</v>
      </c>
      <c r="F742" s="13" t="s">
        <v>4183</v>
      </c>
      <c r="G742" s="13" t="s">
        <v>4184</v>
      </c>
      <c r="H742" s="13" t="s">
        <v>4185</v>
      </c>
    </row>
    <row r="743" customFormat="false" ht="15" hidden="false" customHeight="true" outlineLevel="0" collapsed="false">
      <c r="A743" s="13" t="s">
        <v>137</v>
      </c>
      <c r="B743" s="13" t="s">
        <v>772</v>
      </c>
      <c r="C743" s="11" t="s">
        <v>773</v>
      </c>
      <c r="D743" s="13" t="s">
        <v>4186</v>
      </c>
      <c r="E743" s="13" t="s">
        <v>4187</v>
      </c>
      <c r="F743" s="13" t="s">
        <v>4188</v>
      </c>
      <c r="G743" s="13" t="s">
        <v>4189</v>
      </c>
      <c r="H743" s="13" t="s">
        <v>4190</v>
      </c>
    </row>
    <row r="744" customFormat="false" ht="15" hidden="false" customHeight="true" outlineLevel="0" collapsed="false">
      <c r="A744" s="13" t="s">
        <v>137</v>
      </c>
      <c r="B744" s="13" t="s">
        <v>779</v>
      </c>
      <c r="C744" s="11" t="s">
        <v>780</v>
      </c>
      <c r="D744" s="13" t="s">
        <v>4191</v>
      </c>
      <c r="E744" s="13" t="s">
        <v>4192</v>
      </c>
      <c r="F744" s="13" t="s">
        <v>4193</v>
      </c>
      <c r="G744" s="13" t="s">
        <v>4194</v>
      </c>
      <c r="H744" s="13" t="s">
        <v>4195</v>
      </c>
    </row>
    <row r="745" customFormat="false" ht="15" hidden="false" customHeight="true" outlineLevel="0" collapsed="false">
      <c r="A745" s="13" t="s">
        <v>137</v>
      </c>
      <c r="B745" s="13" t="s">
        <v>786</v>
      </c>
      <c r="C745" s="11" t="s">
        <v>787</v>
      </c>
      <c r="D745" s="13" t="s">
        <v>4196</v>
      </c>
      <c r="E745" s="13" t="s">
        <v>4197</v>
      </c>
      <c r="F745" s="13" t="s">
        <v>4198</v>
      </c>
      <c r="G745" s="13" t="s">
        <v>4199</v>
      </c>
      <c r="H745" s="13" t="s">
        <v>4200</v>
      </c>
    </row>
    <row r="746" customFormat="false" ht="15" hidden="false" customHeight="true" outlineLevel="0" collapsed="false">
      <c r="A746" s="13" t="s">
        <v>137</v>
      </c>
      <c r="B746" s="13" t="s">
        <v>793</v>
      </c>
      <c r="C746" s="11" t="s">
        <v>794</v>
      </c>
      <c r="D746" s="13" t="s">
        <v>4201</v>
      </c>
      <c r="E746" s="13" t="s">
        <v>4202</v>
      </c>
      <c r="F746" s="13" t="s">
        <v>4203</v>
      </c>
      <c r="G746" s="13" t="s">
        <v>4204</v>
      </c>
      <c r="H746" s="13" t="s">
        <v>4205</v>
      </c>
    </row>
    <row r="747" customFormat="false" ht="15" hidden="false" customHeight="true" outlineLevel="0" collapsed="false">
      <c r="A747" s="13" t="s">
        <v>137</v>
      </c>
      <c r="B747" s="13" t="s">
        <v>800</v>
      </c>
      <c r="C747" s="11" t="s">
        <v>801</v>
      </c>
      <c r="D747" s="13" t="s">
        <v>2696</v>
      </c>
      <c r="E747" s="13" t="s">
        <v>4206</v>
      </c>
      <c r="F747" s="13" t="s">
        <v>4207</v>
      </c>
      <c r="G747" s="13" t="s">
        <v>4208</v>
      </c>
      <c r="H747" s="13" t="s">
        <v>4209</v>
      </c>
    </row>
    <row r="748" customFormat="false" ht="15" hidden="false" customHeight="true" outlineLevel="0" collapsed="false">
      <c r="A748" s="13" t="s">
        <v>137</v>
      </c>
      <c r="B748" s="13" t="s">
        <v>806</v>
      </c>
      <c r="C748" s="11" t="s">
        <v>807</v>
      </c>
      <c r="D748" s="13" t="s">
        <v>4210</v>
      </c>
      <c r="E748" s="13" t="s">
        <v>4211</v>
      </c>
      <c r="F748" s="13" t="s">
        <v>4212</v>
      </c>
      <c r="G748" s="13" t="s">
        <v>4213</v>
      </c>
      <c r="H748" s="13" t="s">
        <v>4214</v>
      </c>
    </row>
    <row r="749" customFormat="false" ht="15" hidden="false" customHeight="true" outlineLevel="0" collapsed="false">
      <c r="A749" s="13" t="s">
        <v>137</v>
      </c>
      <c r="B749" s="13" t="s">
        <v>813</v>
      </c>
      <c r="C749" s="11" t="s">
        <v>814</v>
      </c>
      <c r="D749" s="13" t="s">
        <v>4215</v>
      </c>
      <c r="E749" s="13" t="s">
        <v>4216</v>
      </c>
      <c r="F749" s="13" t="s">
        <v>4217</v>
      </c>
      <c r="G749" s="13" t="s">
        <v>4218</v>
      </c>
      <c r="H749" s="13" t="s">
        <v>4219</v>
      </c>
    </row>
    <row r="750" customFormat="false" ht="15" hidden="false" customHeight="true" outlineLevel="0" collapsed="false">
      <c r="A750" s="13" t="s">
        <v>137</v>
      </c>
      <c r="B750" s="13" t="s">
        <v>820</v>
      </c>
      <c r="C750" s="11" t="s">
        <v>821</v>
      </c>
      <c r="D750" s="13" t="s">
        <v>4220</v>
      </c>
      <c r="E750" s="13" t="s">
        <v>4221</v>
      </c>
      <c r="F750" s="13" t="s">
        <v>4222</v>
      </c>
      <c r="G750" s="13" t="s">
        <v>4223</v>
      </c>
      <c r="H750" s="13" t="s">
        <v>4224</v>
      </c>
    </row>
    <row r="751" customFormat="false" ht="15" hidden="false" customHeight="true" outlineLevel="0" collapsed="false">
      <c r="A751" s="13" t="s">
        <v>137</v>
      </c>
      <c r="B751" s="13" t="s">
        <v>827</v>
      </c>
      <c r="C751" s="11" t="s">
        <v>828</v>
      </c>
      <c r="D751" s="13" t="s">
        <v>4225</v>
      </c>
      <c r="E751" s="13" t="s">
        <v>4226</v>
      </c>
      <c r="F751" s="13" t="s">
        <v>4227</v>
      </c>
      <c r="G751" s="13" t="s">
        <v>4228</v>
      </c>
      <c r="H751" s="13" t="s">
        <v>4229</v>
      </c>
    </row>
    <row r="752" customFormat="false" ht="15" hidden="false" customHeight="true" outlineLevel="0" collapsed="false">
      <c r="A752" s="13" t="s">
        <v>137</v>
      </c>
      <c r="B752" s="13" t="s">
        <v>834</v>
      </c>
      <c r="C752" s="11" t="s">
        <v>835</v>
      </c>
      <c r="D752" s="13" t="s">
        <v>1704</v>
      </c>
      <c r="E752" s="13" t="s">
        <v>4230</v>
      </c>
      <c r="F752" s="13" t="s">
        <v>4231</v>
      </c>
      <c r="G752" s="13" t="s">
        <v>4232</v>
      </c>
      <c r="H752" s="13" t="s">
        <v>4233</v>
      </c>
    </row>
    <row r="753" customFormat="false" ht="15" hidden="false" customHeight="true" outlineLevel="0" collapsed="false">
      <c r="A753" s="13" t="s">
        <v>137</v>
      </c>
      <c r="B753" s="13" t="s">
        <v>841</v>
      </c>
      <c r="C753" s="11" t="s">
        <v>842</v>
      </c>
      <c r="D753" s="13" t="s">
        <v>4234</v>
      </c>
      <c r="E753" s="13" t="s">
        <v>4235</v>
      </c>
      <c r="F753" s="13" t="s">
        <v>4236</v>
      </c>
      <c r="G753" s="13" t="s">
        <v>4237</v>
      </c>
      <c r="H753" s="13" t="s">
        <v>4238</v>
      </c>
    </row>
    <row r="754" customFormat="false" ht="15" hidden="false" customHeight="true" outlineLevel="0" collapsed="false">
      <c r="A754" s="13" t="s">
        <v>137</v>
      </c>
      <c r="B754" s="13" t="s">
        <v>848</v>
      </c>
      <c r="C754" s="11" t="s">
        <v>849</v>
      </c>
      <c r="D754" s="13" t="s">
        <v>4239</v>
      </c>
      <c r="E754" s="13" t="s">
        <v>4240</v>
      </c>
      <c r="F754" s="13" t="s">
        <v>4241</v>
      </c>
      <c r="G754" s="13" t="s">
        <v>4242</v>
      </c>
      <c r="H754" s="13" t="s">
        <v>4243</v>
      </c>
    </row>
    <row r="755" customFormat="false" ht="15" hidden="false" customHeight="true" outlineLevel="0" collapsed="false">
      <c r="A755" s="13" t="s">
        <v>137</v>
      </c>
      <c r="B755" s="13" t="s">
        <v>855</v>
      </c>
      <c r="C755" s="11" t="s">
        <v>856</v>
      </c>
      <c r="D755" s="13" t="s">
        <v>4244</v>
      </c>
      <c r="E755" s="13" t="s">
        <v>4245</v>
      </c>
      <c r="F755" s="13" t="s">
        <v>4246</v>
      </c>
      <c r="G755" s="13" t="s">
        <v>4247</v>
      </c>
      <c r="H755" s="13" t="s">
        <v>4248</v>
      </c>
    </row>
    <row r="756" customFormat="false" ht="15" hidden="false" customHeight="true" outlineLevel="0" collapsed="false">
      <c r="A756" s="13" t="s">
        <v>137</v>
      </c>
      <c r="B756" s="13" t="s">
        <v>862</v>
      </c>
      <c r="C756" s="11" t="s">
        <v>863</v>
      </c>
      <c r="D756" s="13" t="s">
        <v>4249</v>
      </c>
      <c r="E756" s="13" t="s">
        <v>4250</v>
      </c>
      <c r="F756" s="13" t="s">
        <v>4251</v>
      </c>
      <c r="G756" s="13" t="s">
        <v>4252</v>
      </c>
      <c r="H756" s="13" t="s">
        <v>4253</v>
      </c>
    </row>
    <row r="757" customFormat="false" ht="15" hidden="false" customHeight="true" outlineLevel="0" collapsed="false">
      <c r="A757" s="13" t="s">
        <v>137</v>
      </c>
      <c r="B757" s="13" t="s">
        <v>869</v>
      </c>
      <c r="C757" s="11" t="s">
        <v>870</v>
      </c>
      <c r="D757" s="13" t="s">
        <v>4254</v>
      </c>
      <c r="E757" s="13" t="s">
        <v>4255</v>
      </c>
      <c r="F757" s="13" t="s">
        <v>4256</v>
      </c>
      <c r="G757" s="13" t="s">
        <v>4257</v>
      </c>
      <c r="H757" s="13" t="s">
        <v>4258</v>
      </c>
    </row>
    <row r="758" customFormat="false" ht="15" hidden="false" customHeight="true" outlineLevel="0" collapsed="false">
      <c r="A758" s="13" t="s">
        <v>137</v>
      </c>
      <c r="B758" s="13" t="s">
        <v>876</v>
      </c>
      <c r="C758" s="11" t="s">
        <v>877</v>
      </c>
      <c r="D758" s="13" t="s">
        <v>4259</v>
      </c>
      <c r="E758" s="13" t="s">
        <v>4260</v>
      </c>
      <c r="F758" s="13" t="s">
        <v>4261</v>
      </c>
      <c r="G758" s="13" t="s">
        <v>4262</v>
      </c>
      <c r="H758" s="13" t="s">
        <v>4263</v>
      </c>
    </row>
    <row r="759" customFormat="false" ht="15" hidden="false" customHeight="true" outlineLevel="0" collapsed="false">
      <c r="A759" s="13" t="s">
        <v>137</v>
      </c>
      <c r="B759" s="13" t="s">
        <v>883</v>
      </c>
      <c r="C759" s="11" t="s">
        <v>884</v>
      </c>
      <c r="D759" s="13" t="s">
        <v>4264</v>
      </c>
      <c r="E759" s="13" t="s">
        <v>4265</v>
      </c>
      <c r="F759" s="13" t="s">
        <v>4266</v>
      </c>
      <c r="G759" s="13" t="s">
        <v>4267</v>
      </c>
      <c r="H759" s="13" t="s">
        <v>4268</v>
      </c>
    </row>
    <row r="760" customFormat="false" ht="15" hidden="false" customHeight="true" outlineLevel="0" collapsed="false">
      <c r="A760" s="13" t="s">
        <v>137</v>
      </c>
      <c r="B760" s="13" t="s">
        <v>890</v>
      </c>
      <c r="C760" s="11" t="s">
        <v>891</v>
      </c>
      <c r="D760" s="13" t="s">
        <v>4269</v>
      </c>
      <c r="E760" s="13" t="s">
        <v>4270</v>
      </c>
      <c r="F760" s="13" t="s">
        <v>4271</v>
      </c>
      <c r="G760" s="13" t="s">
        <v>4272</v>
      </c>
      <c r="H760" s="13" t="s">
        <v>4273</v>
      </c>
    </row>
    <row r="761" customFormat="false" ht="15" hidden="false" customHeight="true" outlineLevel="0" collapsed="false">
      <c r="A761" s="13" t="s">
        <v>137</v>
      </c>
      <c r="B761" s="13" t="s">
        <v>897</v>
      </c>
      <c r="C761" s="11" t="s">
        <v>898</v>
      </c>
      <c r="D761" s="13" t="s">
        <v>4274</v>
      </c>
      <c r="E761" s="13" t="s">
        <v>4275</v>
      </c>
      <c r="F761" s="13" t="s">
        <v>4276</v>
      </c>
      <c r="G761" s="13" t="s">
        <v>4277</v>
      </c>
      <c r="H761" s="13" t="s">
        <v>4278</v>
      </c>
    </row>
    <row r="762" customFormat="false" ht="15" hidden="false" customHeight="true" outlineLevel="0" collapsed="false">
      <c r="A762" s="13" t="s">
        <v>137</v>
      </c>
      <c r="B762" s="13" t="s">
        <v>904</v>
      </c>
      <c r="C762" s="11" t="s">
        <v>905</v>
      </c>
      <c r="D762" s="13" t="s">
        <v>4279</v>
      </c>
      <c r="E762" s="13" t="s">
        <v>4280</v>
      </c>
      <c r="F762" s="13" t="s">
        <v>4281</v>
      </c>
      <c r="G762" s="13" t="s">
        <v>4282</v>
      </c>
      <c r="H762" s="13" t="s">
        <v>4283</v>
      </c>
    </row>
    <row r="763" customFormat="false" ht="15" hidden="false" customHeight="true" outlineLevel="0" collapsed="false">
      <c r="A763" s="13" t="s">
        <v>137</v>
      </c>
      <c r="B763" s="13" t="s">
        <v>911</v>
      </c>
      <c r="C763" s="11" t="s">
        <v>912</v>
      </c>
      <c r="D763" s="13" t="s">
        <v>4284</v>
      </c>
      <c r="E763" s="13" t="s">
        <v>4285</v>
      </c>
      <c r="F763" s="13" t="s">
        <v>4286</v>
      </c>
      <c r="G763" s="13" t="s">
        <v>4287</v>
      </c>
      <c r="H763" s="13" t="s">
        <v>4288</v>
      </c>
    </row>
    <row r="764" customFormat="false" ht="15" hidden="false" customHeight="true" outlineLevel="0" collapsed="false">
      <c r="A764" s="13" t="s">
        <v>137</v>
      </c>
      <c r="B764" s="13" t="s">
        <v>918</v>
      </c>
      <c r="C764" s="11" t="s">
        <v>919</v>
      </c>
      <c r="D764" s="13" t="s">
        <v>4289</v>
      </c>
      <c r="E764" s="13" t="s">
        <v>4290</v>
      </c>
      <c r="F764" s="13" t="s">
        <v>4291</v>
      </c>
      <c r="G764" s="13" t="s">
        <v>4292</v>
      </c>
      <c r="H764" s="13" t="s">
        <v>4293</v>
      </c>
    </row>
    <row r="765" customFormat="false" ht="15" hidden="false" customHeight="true" outlineLevel="0" collapsed="false">
      <c r="A765" s="13" t="s">
        <v>137</v>
      </c>
      <c r="B765" s="13" t="s">
        <v>925</v>
      </c>
      <c r="C765" s="11" t="s">
        <v>926</v>
      </c>
      <c r="D765" s="13" t="s">
        <v>4294</v>
      </c>
      <c r="E765" s="13" t="s">
        <v>4295</v>
      </c>
      <c r="F765" s="13" t="s">
        <v>4296</v>
      </c>
      <c r="G765" s="13" t="s">
        <v>4297</v>
      </c>
      <c r="H765" s="13" t="s">
        <v>4298</v>
      </c>
    </row>
    <row r="766" customFormat="false" ht="15" hidden="false" customHeight="true" outlineLevel="0" collapsed="false">
      <c r="A766" s="13" t="s">
        <v>137</v>
      </c>
      <c r="B766" s="13" t="s">
        <v>932</v>
      </c>
      <c r="C766" s="11" t="s">
        <v>933</v>
      </c>
      <c r="D766" s="13" t="s">
        <v>4299</v>
      </c>
      <c r="E766" s="13" t="s">
        <v>4300</v>
      </c>
      <c r="F766" s="13" t="s">
        <v>4301</v>
      </c>
      <c r="G766" s="13" t="s">
        <v>4302</v>
      </c>
      <c r="H766" s="13" t="s">
        <v>4303</v>
      </c>
    </row>
    <row r="767" customFormat="false" ht="15" hidden="false" customHeight="true" outlineLevel="0" collapsed="false">
      <c r="A767" s="13" t="s">
        <v>137</v>
      </c>
      <c r="B767" s="13" t="s">
        <v>939</v>
      </c>
      <c r="C767" s="11" t="s">
        <v>940</v>
      </c>
      <c r="D767" s="13" t="s">
        <v>4304</v>
      </c>
      <c r="E767" s="13" t="s">
        <v>4305</v>
      </c>
      <c r="F767" s="13" t="s">
        <v>4306</v>
      </c>
      <c r="G767" s="13" t="s">
        <v>4307</v>
      </c>
      <c r="H767" s="13" t="s">
        <v>4308</v>
      </c>
    </row>
    <row r="768" customFormat="false" ht="15" hidden="false" customHeight="true" outlineLevel="0" collapsed="false">
      <c r="A768" s="13" t="s">
        <v>137</v>
      </c>
      <c r="B768" s="13" t="s">
        <v>946</v>
      </c>
      <c r="C768" s="11" t="s">
        <v>947</v>
      </c>
      <c r="D768" s="13" t="s">
        <v>4309</v>
      </c>
      <c r="E768" s="13" t="s">
        <v>4310</v>
      </c>
      <c r="F768" s="13" t="s">
        <v>4311</v>
      </c>
      <c r="G768" s="13" t="s">
        <v>4312</v>
      </c>
      <c r="H768" s="13" t="s">
        <v>4313</v>
      </c>
    </row>
    <row r="769" customFormat="false" ht="15" hidden="false" customHeight="true" outlineLevel="0" collapsed="false">
      <c r="A769" s="13" t="s">
        <v>137</v>
      </c>
      <c r="B769" s="13" t="s">
        <v>953</v>
      </c>
      <c r="C769" s="11" t="s">
        <v>954</v>
      </c>
      <c r="D769" s="13" t="s">
        <v>4314</v>
      </c>
      <c r="E769" s="13" t="s">
        <v>4315</v>
      </c>
      <c r="F769" s="13" t="s">
        <v>4316</v>
      </c>
      <c r="G769" s="13" t="s">
        <v>4317</v>
      </c>
      <c r="H769" s="13" t="s">
        <v>4318</v>
      </c>
    </row>
    <row r="770" customFormat="false" ht="15" hidden="false" customHeight="true" outlineLevel="0" collapsed="false">
      <c r="A770" s="13" t="s">
        <v>137</v>
      </c>
      <c r="B770" s="13" t="s">
        <v>960</v>
      </c>
      <c r="C770" s="11" t="s">
        <v>961</v>
      </c>
      <c r="D770" s="13" t="s">
        <v>4319</v>
      </c>
      <c r="E770" s="13" t="s">
        <v>4320</v>
      </c>
      <c r="F770" s="13" t="s">
        <v>4321</v>
      </c>
      <c r="G770" s="13" t="s">
        <v>4322</v>
      </c>
      <c r="H770" s="13" t="s">
        <v>4323</v>
      </c>
    </row>
    <row r="771" customFormat="false" ht="15" hidden="false" customHeight="true" outlineLevel="0" collapsed="false">
      <c r="A771" s="13" t="s">
        <v>137</v>
      </c>
      <c r="B771" s="13" t="s">
        <v>967</v>
      </c>
      <c r="C771" s="11" t="s">
        <v>968</v>
      </c>
      <c r="D771" s="13" t="s">
        <v>4324</v>
      </c>
      <c r="E771" s="13" t="s">
        <v>4325</v>
      </c>
      <c r="F771" s="13" t="s">
        <v>4326</v>
      </c>
      <c r="G771" s="13" t="s">
        <v>4327</v>
      </c>
      <c r="H771" s="13" t="s">
        <v>4328</v>
      </c>
    </row>
    <row r="772" customFormat="false" ht="15" hidden="false" customHeight="true" outlineLevel="0" collapsed="false">
      <c r="A772" s="13" t="s">
        <v>137</v>
      </c>
      <c r="B772" s="13" t="s">
        <v>974</v>
      </c>
      <c r="C772" s="11" t="s">
        <v>975</v>
      </c>
      <c r="D772" s="13" t="s">
        <v>4329</v>
      </c>
      <c r="E772" s="13" t="s">
        <v>4330</v>
      </c>
      <c r="F772" s="13" t="s">
        <v>4331</v>
      </c>
      <c r="G772" s="13" t="s">
        <v>4332</v>
      </c>
      <c r="H772" s="13" t="s">
        <v>4333</v>
      </c>
    </row>
    <row r="773" customFormat="false" ht="15" hidden="false" customHeight="true" outlineLevel="0" collapsed="false">
      <c r="A773" s="13" t="s">
        <v>137</v>
      </c>
      <c r="B773" s="13" t="s">
        <v>981</v>
      </c>
      <c r="C773" s="11" t="s">
        <v>982</v>
      </c>
      <c r="D773" s="13" t="s">
        <v>4334</v>
      </c>
      <c r="E773" s="13" t="s">
        <v>4335</v>
      </c>
      <c r="F773" s="13" t="s">
        <v>4336</v>
      </c>
      <c r="G773" s="13" t="s">
        <v>4337</v>
      </c>
      <c r="H773" s="13" t="s">
        <v>4338</v>
      </c>
    </row>
    <row r="774" customFormat="false" ht="15" hidden="false" customHeight="true" outlineLevel="0" collapsed="false">
      <c r="A774" s="13" t="s">
        <v>137</v>
      </c>
      <c r="B774" s="13" t="s">
        <v>988</v>
      </c>
      <c r="C774" s="11" t="s">
        <v>989</v>
      </c>
      <c r="D774" s="13" t="s">
        <v>4339</v>
      </c>
      <c r="E774" s="13" t="s">
        <v>4340</v>
      </c>
      <c r="F774" s="13" t="s">
        <v>4341</v>
      </c>
      <c r="G774" s="13" t="s">
        <v>4342</v>
      </c>
      <c r="H774" s="13" t="s">
        <v>4343</v>
      </c>
    </row>
    <row r="775" customFormat="false" ht="15" hidden="false" customHeight="true" outlineLevel="0" collapsed="false">
      <c r="A775" s="13" t="s">
        <v>137</v>
      </c>
      <c r="B775" s="13" t="s">
        <v>995</v>
      </c>
      <c r="C775" s="11" t="s">
        <v>996</v>
      </c>
      <c r="D775" s="13" t="s">
        <v>4344</v>
      </c>
      <c r="E775" s="13" t="s">
        <v>4345</v>
      </c>
      <c r="F775" s="13" t="s">
        <v>4346</v>
      </c>
      <c r="G775" s="13" t="s">
        <v>4347</v>
      </c>
      <c r="H775" s="13" t="s">
        <v>4348</v>
      </c>
    </row>
    <row r="776" customFormat="false" ht="15" hidden="false" customHeight="true" outlineLevel="0" collapsed="false">
      <c r="A776" s="13" t="s">
        <v>137</v>
      </c>
      <c r="B776" s="13" t="s">
        <v>1002</v>
      </c>
      <c r="C776" s="11" t="s">
        <v>1003</v>
      </c>
      <c r="D776" s="13" t="s">
        <v>4349</v>
      </c>
      <c r="E776" s="13" t="s">
        <v>4350</v>
      </c>
      <c r="F776" s="13" t="s">
        <v>4351</v>
      </c>
      <c r="G776" s="13" t="s">
        <v>4352</v>
      </c>
      <c r="H776" s="13" t="s">
        <v>4353</v>
      </c>
    </row>
    <row r="777" customFormat="false" ht="15" hidden="false" customHeight="true" outlineLevel="0" collapsed="false">
      <c r="A777" s="13" t="s">
        <v>137</v>
      </c>
      <c r="B777" s="13" t="s">
        <v>1009</v>
      </c>
      <c r="C777" s="11" t="s">
        <v>1010</v>
      </c>
      <c r="D777" s="13" t="s">
        <v>3729</v>
      </c>
      <c r="E777" s="13" t="s">
        <v>4354</v>
      </c>
      <c r="F777" s="13" t="s">
        <v>4355</v>
      </c>
      <c r="G777" s="13" t="s">
        <v>4356</v>
      </c>
      <c r="H777" s="13" t="s">
        <v>4357</v>
      </c>
    </row>
    <row r="778" customFormat="false" ht="15" hidden="false" customHeight="true" outlineLevel="0" collapsed="false">
      <c r="A778" s="13" t="s">
        <v>137</v>
      </c>
      <c r="B778" s="13" t="s">
        <v>1016</v>
      </c>
      <c r="C778" s="11" t="s">
        <v>1017</v>
      </c>
      <c r="D778" s="13" t="s">
        <v>1018</v>
      </c>
      <c r="E778" s="13" t="s">
        <v>1019</v>
      </c>
      <c r="F778" s="13" t="s">
        <v>1018</v>
      </c>
      <c r="G778" s="13" t="s">
        <v>1019</v>
      </c>
      <c r="H778" s="13" t="s">
        <v>1019</v>
      </c>
    </row>
    <row r="779" customFormat="false" ht="15" hidden="false" customHeight="true" outlineLevel="0" collapsed="false">
      <c r="A779" s="13" t="s">
        <v>146</v>
      </c>
      <c r="B779" s="13" t="s">
        <v>345</v>
      </c>
      <c r="C779" s="11" t="s">
        <v>346</v>
      </c>
      <c r="D779" s="13" t="s">
        <v>2672</v>
      </c>
      <c r="E779" s="13" t="s">
        <v>3884</v>
      </c>
      <c r="F779" s="13" t="s">
        <v>4358</v>
      </c>
      <c r="G779" s="13" t="s">
        <v>4359</v>
      </c>
      <c r="H779" s="13" t="s">
        <v>4360</v>
      </c>
    </row>
    <row r="780" customFormat="false" ht="15" hidden="false" customHeight="true" outlineLevel="0" collapsed="false">
      <c r="A780" s="13" t="s">
        <v>146</v>
      </c>
      <c r="B780" s="13" t="s">
        <v>352</v>
      </c>
      <c r="C780" s="11" t="s">
        <v>353</v>
      </c>
      <c r="D780" s="13" t="s">
        <v>4361</v>
      </c>
      <c r="E780" s="13" t="s">
        <v>4362</v>
      </c>
      <c r="F780" s="13" t="s">
        <v>4363</v>
      </c>
      <c r="G780" s="13" t="s">
        <v>4364</v>
      </c>
      <c r="H780" s="13" t="s">
        <v>4365</v>
      </c>
    </row>
    <row r="781" customFormat="false" ht="15" hidden="false" customHeight="true" outlineLevel="0" collapsed="false">
      <c r="A781" s="13" t="s">
        <v>146</v>
      </c>
      <c r="B781" s="13" t="s">
        <v>359</v>
      </c>
      <c r="C781" s="11" t="s">
        <v>360</v>
      </c>
      <c r="D781" s="13" t="s">
        <v>4366</v>
      </c>
      <c r="E781" s="13" t="s">
        <v>4367</v>
      </c>
      <c r="F781" s="13" t="s">
        <v>4368</v>
      </c>
      <c r="G781" s="13" t="s">
        <v>4369</v>
      </c>
      <c r="H781" s="13" t="s">
        <v>4370</v>
      </c>
    </row>
    <row r="782" customFormat="false" ht="15" hidden="false" customHeight="true" outlineLevel="0" collapsed="false">
      <c r="A782" s="13" t="s">
        <v>146</v>
      </c>
      <c r="B782" s="13" t="s">
        <v>366</v>
      </c>
      <c r="C782" s="11" t="s">
        <v>367</v>
      </c>
      <c r="D782" s="13" t="s">
        <v>4371</v>
      </c>
      <c r="E782" s="13" t="s">
        <v>4372</v>
      </c>
      <c r="F782" s="13" t="s">
        <v>4373</v>
      </c>
      <c r="G782" s="13" t="s">
        <v>4374</v>
      </c>
      <c r="H782" s="13" t="s">
        <v>4375</v>
      </c>
    </row>
    <row r="783" customFormat="false" ht="15" hidden="false" customHeight="true" outlineLevel="0" collapsed="false">
      <c r="A783" s="13" t="s">
        <v>146</v>
      </c>
      <c r="B783" s="13" t="s">
        <v>373</v>
      </c>
      <c r="C783" s="11" t="s">
        <v>374</v>
      </c>
      <c r="D783" s="13" t="s">
        <v>4376</v>
      </c>
      <c r="E783" s="13" t="s">
        <v>2630</v>
      </c>
      <c r="F783" s="13" t="s">
        <v>4377</v>
      </c>
      <c r="G783" s="13" t="s">
        <v>4378</v>
      </c>
      <c r="H783" s="13" t="s">
        <v>4379</v>
      </c>
    </row>
    <row r="784" customFormat="false" ht="15" hidden="false" customHeight="true" outlineLevel="0" collapsed="false">
      <c r="A784" s="13" t="s">
        <v>146</v>
      </c>
      <c r="B784" s="13" t="s">
        <v>380</v>
      </c>
      <c r="C784" s="11" t="s">
        <v>381</v>
      </c>
      <c r="D784" s="13" t="s">
        <v>4380</v>
      </c>
      <c r="E784" s="13" t="s">
        <v>4381</v>
      </c>
      <c r="F784" s="13" t="s">
        <v>4382</v>
      </c>
      <c r="G784" s="13" t="s">
        <v>4383</v>
      </c>
      <c r="H784" s="13" t="s">
        <v>4384</v>
      </c>
    </row>
    <row r="785" customFormat="false" ht="15" hidden="false" customHeight="true" outlineLevel="0" collapsed="false">
      <c r="A785" s="13" t="s">
        <v>146</v>
      </c>
      <c r="B785" s="13" t="s">
        <v>387</v>
      </c>
      <c r="C785" s="11" t="s">
        <v>388</v>
      </c>
      <c r="D785" s="13" t="s">
        <v>4385</v>
      </c>
      <c r="E785" s="13" t="s">
        <v>4386</v>
      </c>
      <c r="F785" s="13" t="s">
        <v>4387</v>
      </c>
      <c r="G785" s="13" t="s">
        <v>4388</v>
      </c>
      <c r="H785" s="13" t="s">
        <v>4389</v>
      </c>
    </row>
    <row r="786" customFormat="false" ht="15" hidden="false" customHeight="true" outlineLevel="0" collapsed="false">
      <c r="A786" s="13" t="s">
        <v>146</v>
      </c>
      <c r="B786" s="13" t="s">
        <v>394</v>
      </c>
      <c r="C786" s="11" t="s">
        <v>395</v>
      </c>
      <c r="D786" s="13" t="s">
        <v>4390</v>
      </c>
      <c r="E786" s="13" t="s">
        <v>4391</v>
      </c>
      <c r="F786" s="13" t="s">
        <v>4392</v>
      </c>
      <c r="G786" s="13" t="s">
        <v>4393</v>
      </c>
      <c r="H786" s="13" t="s">
        <v>4394</v>
      </c>
    </row>
    <row r="787" customFormat="false" ht="15" hidden="false" customHeight="true" outlineLevel="0" collapsed="false">
      <c r="A787" s="13" t="s">
        <v>146</v>
      </c>
      <c r="B787" s="13" t="s">
        <v>401</v>
      </c>
      <c r="C787" s="11" t="s">
        <v>402</v>
      </c>
      <c r="D787" s="13" t="s">
        <v>4395</v>
      </c>
      <c r="E787" s="13" t="s">
        <v>4396</v>
      </c>
      <c r="F787" s="13" t="s">
        <v>4397</v>
      </c>
      <c r="G787" s="13" t="s">
        <v>4398</v>
      </c>
      <c r="H787" s="13" t="s">
        <v>4399</v>
      </c>
    </row>
    <row r="788" customFormat="false" ht="15" hidden="false" customHeight="true" outlineLevel="0" collapsed="false">
      <c r="A788" s="13" t="s">
        <v>146</v>
      </c>
      <c r="B788" s="13" t="s">
        <v>408</v>
      </c>
      <c r="C788" s="11" t="s">
        <v>409</v>
      </c>
      <c r="D788" s="13" t="s">
        <v>4400</v>
      </c>
      <c r="E788" s="13" t="s">
        <v>2900</v>
      </c>
      <c r="F788" s="13" t="s">
        <v>4401</v>
      </c>
      <c r="G788" s="13" t="s">
        <v>4402</v>
      </c>
      <c r="H788" s="13" t="s">
        <v>4403</v>
      </c>
    </row>
    <row r="789" customFormat="false" ht="15" hidden="false" customHeight="true" outlineLevel="0" collapsed="false">
      <c r="A789" s="13" t="s">
        <v>146</v>
      </c>
      <c r="B789" s="13" t="s">
        <v>415</v>
      </c>
      <c r="C789" s="11" t="s">
        <v>416</v>
      </c>
      <c r="D789" s="13" t="s">
        <v>4404</v>
      </c>
      <c r="E789" s="13" t="s">
        <v>4405</v>
      </c>
      <c r="F789" s="13" t="s">
        <v>4406</v>
      </c>
      <c r="G789" s="13" t="s">
        <v>4407</v>
      </c>
      <c r="H789" s="13" t="s">
        <v>4408</v>
      </c>
    </row>
    <row r="790" customFormat="false" ht="15" hidden="false" customHeight="true" outlineLevel="0" collapsed="false">
      <c r="A790" s="13" t="s">
        <v>146</v>
      </c>
      <c r="B790" s="13" t="s">
        <v>422</v>
      </c>
      <c r="C790" s="11" t="s">
        <v>423</v>
      </c>
      <c r="D790" s="13" t="s">
        <v>4409</v>
      </c>
      <c r="E790" s="13" t="s">
        <v>4410</v>
      </c>
      <c r="F790" s="13" t="s">
        <v>4411</v>
      </c>
      <c r="G790" s="13" t="s">
        <v>4412</v>
      </c>
      <c r="H790" s="13" t="s">
        <v>4413</v>
      </c>
    </row>
    <row r="791" customFormat="false" ht="15" hidden="false" customHeight="true" outlineLevel="0" collapsed="false">
      <c r="A791" s="13" t="s">
        <v>146</v>
      </c>
      <c r="B791" s="13" t="s">
        <v>429</v>
      </c>
      <c r="C791" s="11" t="s">
        <v>430</v>
      </c>
      <c r="D791" s="13" t="s">
        <v>4414</v>
      </c>
      <c r="E791" s="13" t="s">
        <v>4415</v>
      </c>
      <c r="F791" s="13" t="s">
        <v>4416</v>
      </c>
      <c r="G791" s="13" t="s">
        <v>4417</v>
      </c>
      <c r="H791" s="13" t="s">
        <v>4418</v>
      </c>
    </row>
    <row r="792" customFormat="false" ht="15" hidden="false" customHeight="true" outlineLevel="0" collapsed="false">
      <c r="A792" s="13" t="s">
        <v>146</v>
      </c>
      <c r="B792" s="13" t="s">
        <v>436</v>
      </c>
      <c r="C792" s="11" t="s">
        <v>437</v>
      </c>
      <c r="D792" s="13" t="s">
        <v>4419</v>
      </c>
      <c r="E792" s="13" t="s">
        <v>4420</v>
      </c>
      <c r="F792" s="13" t="s">
        <v>4421</v>
      </c>
      <c r="G792" s="13" t="s">
        <v>4422</v>
      </c>
      <c r="H792" s="13" t="s">
        <v>4423</v>
      </c>
    </row>
    <row r="793" customFormat="false" ht="15" hidden="false" customHeight="true" outlineLevel="0" collapsed="false">
      <c r="A793" s="13" t="s">
        <v>146</v>
      </c>
      <c r="B793" s="13" t="s">
        <v>443</v>
      </c>
      <c r="C793" s="11" t="s">
        <v>444</v>
      </c>
      <c r="D793" s="13" t="s">
        <v>4424</v>
      </c>
      <c r="E793" s="13" t="s">
        <v>4425</v>
      </c>
      <c r="F793" s="13" t="s">
        <v>4426</v>
      </c>
      <c r="G793" s="13" t="s">
        <v>4427</v>
      </c>
      <c r="H793" s="13" t="s">
        <v>4428</v>
      </c>
    </row>
    <row r="794" customFormat="false" ht="15" hidden="false" customHeight="true" outlineLevel="0" collapsed="false">
      <c r="A794" s="13" t="s">
        <v>146</v>
      </c>
      <c r="B794" s="13" t="s">
        <v>450</v>
      </c>
      <c r="C794" s="11" t="s">
        <v>451</v>
      </c>
      <c r="D794" s="13" t="s">
        <v>4429</v>
      </c>
      <c r="E794" s="13" t="s">
        <v>4430</v>
      </c>
      <c r="F794" s="13" t="s">
        <v>4431</v>
      </c>
      <c r="G794" s="13" t="s">
        <v>4432</v>
      </c>
      <c r="H794" s="13" t="s">
        <v>4433</v>
      </c>
    </row>
    <row r="795" customFormat="false" ht="15" hidden="false" customHeight="true" outlineLevel="0" collapsed="false">
      <c r="A795" s="13" t="s">
        <v>146</v>
      </c>
      <c r="B795" s="13" t="s">
        <v>457</v>
      </c>
      <c r="C795" s="11" t="s">
        <v>458</v>
      </c>
      <c r="D795" s="13" t="s">
        <v>4434</v>
      </c>
      <c r="E795" s="13" t="s">
        <v>4435</v>
      </c>
      <c r="F795" s="13" t="s">
        <v>4436</v>
      </c>
      <c r="G795" s="13" t="s">
        <v>4437</v>
      </c>
      <c r="H795" s="13" t="s">
        <v>4438</v>
      </c>
    </row>
    <row r="796" customFormat="false" ht="15" hidden="false" customHeight="true" outlineLevel="0" collapsed="false">
      <c r="A796" s="13" t="s">
        <v>146</v>
      </c>
      <c r="B796" s="13" t="s">
        <v>464</v>
      </c>
      <c r="C796" s="11" t="s">
        <v>465</v>
      </c>
      <c r="D796" s="13" t="s">
        <v>4439</v>
      </c>
      <c r="E796" s="13" t="s">
        <v>4440</v>
      </c>
      <c r="F796" s="13" t="s">
        <v>4441</v>
      </c>
      <c r="G796" s="13" t="s">
        <v>4442</v>
      </c>
      <c r="H796" s="13" t="s">
        <v>4443</v>
      </c>
    </row>
    <row r="797" customFormat="false" ht="15" hidden="false" customHeight="true" outlineLevel="0" collapsed="false">
      <c r="A797" s="13" t="s">
        <v>146</v>
      </c>
      <c r="B797" s="13" t="s">
        <v>471</v>
      </c>
      <c r="C797" s="11" t="s">
        <v>472</v>
      </c>
      <c r="D797" s="13" t="s">
        <v>4444</v>
      </c>
      <c r="E797" s="13" t="s">
        <v>4445</v>
      </c>
      <c r="F797" s="13" t="s">
        <v>4446</v>
      </c>
      <c r="G797" s="13" t="s">
        <v>4447</v>
      </c>
      <c r="H797" s="13" t="s">
        <v>4448</v>
      </c>
    </row>
    <row r="798" customFormat="false" ht="15" hidden="false" customHeight="true" outlineLevel="0" collapsed="false">
      <c r="A798" s="13" t="s">
        <v>146</v>
      </c>
      <c r="B798" s="13" t="s">
        <v>478</v>
      </c>
      <c r="C798" s="11" t="s">
        <v>479</v>
      </c>
      <c r="D798" s="13" t="s">
        <v>4449</v>
      </c>
      <c r="E798" s="13" t="s">
        <v>4450</v>
      </c>
      <c r="F798" s="13" t="s">
        <v>4451</v>
      </c>
      <c r="G798" s="13" t="s">
        <v>4452</v>
      </c>
      <c r="H798" s="13" t="s">
        <v>4453</v>
      </c>
    </row>
    <row r="799" customFormat="false" ht="15" hidden="false" customHeight="true" outlineLevel="0" collapsed="false">
      <c r="A799" s="13" t="s">
        <v>146</v>
      </c>
      <c r="B799" s="13" t="s">
        <v>485</v>
      </c>
      <c r="C799" s="11" t="s">
        <v>486</v>
      </c>
      <c r="D799" s="13" t="s">
        <v>4454</v>
      </c>
      <c r="E799" s="13" t="s">
        <v>4455</v>
      </c>
      <c r="F799" s="13" t="s">
        <v>4456</v>
      </c>
      <c r="G799" s="13" t="s">
        <v>4457</v>
      </c>
      <c r="H799" s="13" t="s">
        <v>4458</v>
      </c>
    </row>
    <row r="800" customFormat="false" ht="15" hidden="false" customHeight="true" outlineLevel="0" collapsed="false">
      <c r="A800" s="13" t="s">
        <v>146</v>
      </c>
      <c r="B800" s="13" t="s">
        <v>492</v>
      </c>
      <c r="C800" s="11" t="s">
        <v>493</v>
      </c>
      <c r="D800" s="13" t="s">
        <v>4459</v>
      </c>
      <c r="E800" s="13" t="s">
        <v>4460</v>
      </c>
      <c r="F800" s="13" t="s">
        <v>4461</v>
      </c>
      <c r="G800" s="13" t="s">
        <v>4462</v>
      </c>
      <c r="H800" s="13" t="s">
        <v>4463</v>
      </c>
    </row>
    <row r="801" customFormat="false" ht="15" hidden="false" customHeight="true" outlineLevel="0" collapsed="false">
      <c r="A801" s="13" t="s">
        <v>146</v>
      </c>
      <c r="B801" s="13" t="s">
        <v>499</v>
      </c>
      <c r="C801" s="11" t="s">
        <v>500</v>
      </c>
      <c r="D801" s="13" t="s">
        <v>4464</v>
      </c>
      <c r="E801" s="13" t="s">
        <v>4465</v>
      </c>
      <c r="F801" s="13" t="s">
        <v>4466</v>
      </c>
      <c r="G801" s="13" t="s">
        <v>4467</v>
      </c>
      <c r="H801" s="13" t="s">
        <v>4468</v>
      </c>
    </row>
    <row r="802" customFormat="false" ht="15" hidden="false" customHeight="true" outlineLevel="0" collapsed="false">
      <c r="A802" s="13" t="s">
        <v>146</v>
      </c>
      <c r="B802" s="13" t="s">
        <v>506</v>
      </c>
      <c r="C802" s="11" t="s">
        <v>507</v>
      </c>
      <c r="D802" s="13" t="s">
        <v>4469</v>
      </c>
      <c r="E802" s="13" t="s">
        <v>4470</v>
      </c>
      <c r="F802" s="13" t="s">
        <v>4471</v>
      </c>
      <c r="G802" s="13" t="s">
        <v>4472</v>
      </c>
      <c r="H802" s="13" t="s">
        <v>4473</v>
      </c>
    </row>
    <row r="803" customFormat="false" ht="15" hidden="false" customHeight="true" outlineLevel="0" collapsed="false">
      <c r="A803" s="13" t="s">
        <v>146</v>
      </c>
      <c r="B803" s="13" t="s">
        <v>513</v>
      </c>
      <c r="C803" s="11" t="s">
        <v>514</v>
      </c>
      <c r="D803" s="13" t="s">
        <v>4474</v>
      </c>
      <c r="E803" s="13" t="s">
        <v>4475</v>
      </c>
      <c r="F803" s="13" t="s">
        <v>4476</v>
      </c>
      <c r="G803" s="13" t="s">
        <v>4477</v>
      </c>
      <c r="H803" s="13" t="s">
        <v>4478</v>
      </c>
    </row>
    <row r="804" customFormat="false" ht="15" hidden="false" customHeight="true" outlineLevel="0" collapsed="false">
      <c r="A804" s="13" t="s">
        <v>146</v>
      </c>
      <c r="B804" s="13" t="s">
        <v>520</v>
      </c>
      <c r="C804" s="11" t="s">
        <v>521</v>
      </c>
      <c r="D804" s="13" t="s">
        <v>4479</v>
      </c>
      <c r="E804" s="13" t="s">
        <v>4480</v>
      </c>
      <c r="F804" s="13" t="s">
        <v>4481</v>
      </c>
      <c r="G804" s="13" t="s">
        <v>4482</v>
      </c>
      <c r="H804" s="13" t="s">
        <v>4483</v>
      </c>
    </row>
    <row r="805" customFormat="false" ht="15" hidden="false" customHeight="true" outlineLevel="0" collapsed="false">
      <c r="A805" s="13" t="s">
        <v>146</v>
      </c>
      <c r="B805" s="13" t="s">
        <v>527</v>
      </c>
      <c r="C805" s="11" t="s">
        <v>528</v>
      </c>
      <c r="D805" s="13" t="s">
        <v>4484</v>
      </c>
      <c r="E805" s="13" t="s">
        <v>4485</v>
      </c>
      <c r="F805" s="13" t="s">
        <v>4486</v>
      </c>
      <c r="G805" s="13" t="s">
        <v>4487</v>
      </c>
      <c r="H805" s="13" t="s">
        <v>4488</v>
      </c>
    </row>
    <row r="806" customFormat="false" ht="15" hidden="false" customHeight="true" outlineLevel="0" collapsed="false">
      <c r="A806" s="13" t="s">
        <v>146</v>
      </c>
      <c r="B806" s="13" t="s">
        <v>534</v>
      </c>
      <c r="C806" s="11" t="s">
        <v>535</v>
      </c>
      <c r="D806" s="13" t="s">
        <v>4489</v>
      </c>
      <c r="E806" s="13" t="s">
        <v>4490</v>
      </c>
      <c r="F806" s="13" t="s">
        <v>4491</v>
      </c>
      <c r="G806" s="13" t="s">
        <v>4492</v>
      </c>
      <c r="H806" s="13" t="s">
        <v>4493</v>
      </c>
    </row>
    <row r="807" customFormat="false" ht="15" hidden="false" customHeight="true" outlineLevel="0" collapsed="false">
      <c r="A807" s="13" t="s">
        <v>146</v>
      </c>
      <c r="B807" s="13" t="s">
        <v>541</v>
      </c>
      <c r="C807" s="11" t="s">
        <v>542</v>
      </c>
      <c r="D807" s="13" t="s">
        <v>4494</v>
      </c>
      <c r="E807" s="13" t="s">
        <v>4495</v>
      </c>
      <c r="F807" s="13" t="s">
        <v>4496</v>
      </c>
      <c r="G807" s="13" t="s">
        <v>4497</v>
      </c>
      <c r="H807" s="13" t="s">
        <v>4498</v>
      </c>
    </row>
    <row r="808" customFormat="false" ht="15" hidden="false" customHeight="true" outlineLevel="0" collapsed="false">
      <c r="A808" s="13" t="s">
        <v>146</v>
      </c>
      <c r="B808" s="13" t="s">
        <v>548</v>
      </c>
      <c r="C808" s="11" t="s">
        <v>549</v>
      </c>
      <c r="D808" s="13" t="s">
        <v>4499</v>
      </c>
      <c r="E808" s="13" t="s">
        <v>4500</v>
      </c>
      <c r="F808" s="13" t="s">
        <v>4501</v>
      </c>
      <c r="G808" s="13" t="s">
        <v>4502</v>
      </c>
      <c r="H808" s="13" t="s">
        <v>4503</v>
      </c>
    </row>
    <row r="809" customFormat="false" ht="15" hidden="false" customHeight="true" outlineLevel="0" collapsed="false">
      <c r="A809" s="13" t="s">
        <v>146</v>
      </c>
      <c r="B809" s="13" t="s">
        <v>555</v>
      </c>
      <c r="C809" s="11" t="s">
        <v>556</v>
      </c>
      <c r="D809" s="13" t="s">
        <v>4504</v>
      </c>
      <c r="E809" s="13" t="s">
        <v>4505</v>
      </c>
      <c r="F809" s="13" t="s">
        <v>4506</v>
      </c>
      <c r="G809" s="13" t="s">
        <v>4507</v>
      </c>
      <c r="H809" s="13" t="s">
        <v>4508</v>
      </c>
    </row>
    <row r="810" customFormat="false" ht="15" hidden="false" customHeight="true" outlineLevel="0" collapsed="false">
      <c r="A810" s="13" t="s">
        <v>146</v>
      </c>
      <c r="B810" s="13" t="s">
        <v>562</v>
      </c>
      <c r="C810" s="11" t="s">
        <v>563</v>
      </c>
      <c r="D810" s="13" t="s">
        <v>4509</v>
      </c>
      <c r="E810" s="13" t="s">
        <v>4510</v>
      </c>
      <c r="F810" s="13" t="s">
        <v>4511</v>
      </c>
      <c r="G810" s="13" t="s">
        <v>4512</v>
      </c>
      <c r="H810" s="13" t="s">
        <v>4513</v>
      </c>
    </row>
    <row r="811" customFormat="false" ht="15" hidden="false" customHeight="true" outlineLevel="0" collapsed="false">
      <c r="A811" s="13" t="s">
        <v>146</v>
      </c>
      <c r="B811" s="13" t="s">
        <v>569</v>
      </c>
      <c r="C811" s="11" t="s">
        <v>570</v>
      </c>
      <c r="D811" s="13" t="s">
        <v>4514</v>
      </c>
      <c r="E811" s="13" t="s">
        <v>4515</v>
      </c>
      <c r="F811" s="13" t="s">
        <v>4516</v>
      </c>
      <c r="G811" s="13" t="s">
        <v>4517</v>
      </c>
      <c r="H811" s="13" t="s">
        <v>4518</v>
      </c>
    </row>
    <row r="812" customFormat="false" ht="15" hidden="false" customHeight="true" outlineLevel="0" collapsed="false">
      <c r="A812" s="13" t="s">
        <v>146</v>
      </c>
      <c r="B812" s="13" t="s">
        <v>576</v>
      </c>
      <c r="C812" s="11" t="s">
        <v>577</v>
      </c>
      <c r="D812" s="13" t="s">
        <v>4519</v>
      </c>
      <c r="E812" s="13" t="s">
        <v>4520</v>
      </c>
      <c r="F812" s="13" t="s">
        <v>4521</v>
      </c>
      <c r="G812" s="13" t="s">
        <v>4522</v>
      </c>
      <c r="H812" s="13" t="s">
        <v>4523</v>
      </c>
    </row>
    <row r="813" customFormat="false" ht="15" hidden="false" customHeight="true" outlineLevel="0" collapsed="false">
      <c r="A813" s="13" t="s">
        <v>146</v>
      </c>
      <c r="B813" s="13" t="s">
        <v>583</v>
      </c>
      <c r="C813" s="11" t="s">
        <v>584</v>
      </c>
      <c r="D813" s="13" t="s">
        <v>4524</v>
      </c>
      <c r="E813" s="13" t="s">
        <v>4525</v>
      </c>
      <c r="F813" s="13" t="s">
        <v>4526</v>
      </c>
      <c r="G813" s="13" t="s">
        <v>4527</v>
      </c>
      <c r="H813" s="13" t="s">
        <v>4528</v>
      </c>
    </row>
    <row r="814" customFormat="false" ht="15" hidden="false" customHeight="true" outlineLevel="0" collapsed="false">
      <c r="A814" s="13" t="s">
        <v>146</v>
      </c>
      <c r="B814" s="13" t="s">
        <v>590</v>
      </c>
      <c r="C814" s="11" t="s">
        <v>591</v>
      </c>
      <c r="D814" s="13" t="s">
        <v>4529</v>
      </c>
      <c r="E814" s="13" t="s">
        <v>4530</v>
      </c>
      <c r="F814" s="13" t="s">
        <v>4531</v>
      </c>
      <c r="G814" s="13" t="s">
        <v>4532</v>
      </c>
      <c r="H814" s="13" t="s">
        <v>4533</v>
      </c>
    </row>
    <row r="815" customFormat="false" ht="15" hidden="false" customHeight="true" outlineLevel="0" collapsed="false">
      <c r="A815" s="13" t="s">
        <v>146</v>
      </c>
      <c r="B815" s="13" t="s">
        <v>597</v>
      </c>
      <c r="C815" s="11" t="s">
        <v>598</v>
      </c>
      <c r="D815" s="13" t="s">
        <v>4534</v>
      </c>
      <c r="E815" s="13" t="s">
        <v>4535</v>
      </c>
      <c r="F815" s="13" t="s">
        <v>4536</v>
      </c>
      <c r="G815" s="13" t="s">
        <v>4537</v>
      </c>
      <c r="H815" s="13" t="s">
        <v>4538</v>
      </c>
    </row>
    <row r="816" customFormat="false" ht="15" hidden="false" customHeight="true" outlineLevel="0" collapsed="false">
      <c r="A816" s="13" t="s">
        <v>146</v>
      </c>
      <c r="B816" s="13" t="s">
        <v>604</v>
      </c>
      <c r="C816" s="11" t="s">
        <v>605</v>
      </c>
      <c r="D816" s="13" t="s">
        <v>4539</v>
      </c>
      <c r="E816" s="13" t="s">
        <v>4540</v>
      </c>
      <c r="F816" s="13" t="s">
        <v>4541</v>
      </c>
      <c r="G816" s="13" t="s">
        <v>4542</v>
      </c>
      <c r="H816" s="13" t="s">
        <v>4543</v>
      </c>
    </row>
    <row r="817" customFormat="false" ht="15" hidden="false" customHeight="true" outlineLevel="0" collapsed="false">
      <c r="A817" s="13" t="s">
        <v>146</v>
      </c>
      <c r="B817" s="13" t="s">
        <v>611</v>
      </c>
      <c r="C817" s="11" t="s">
        <v>612</v>
      </c>
      <c r="D817" s="13" t="s">
        <v>4544</v>
      </c>
      <c r="E817" s="13" t="s">
        <v>4545</v>
      </c>
      <c r="F817" s="13" t="s">
        <v>4546</v>
      </c>
      <c r="G817" s="13" t="s">
        <v>4547</v>
      </c>
      <c r="H817" s="13" t="s">
        <v>4548</v>
      </c>
    </row>
    <row r="818" customFormat="false" ht="15" hidden="false" customHeight="true" outlineLevel="0" collapsed="false">
      <c r="A818" s="13" t="s">
        <v>146</v>
      </c>
      <c r="B818" s="13" t="s">
        <v>618</v>
      </c>
      <c r="C818" s="11" t="s">
        <v>619</v>
      </c>
      <c r="D818" s="13" t="s">
        <v>4549</v>
      </c>
      <c r="E818" s="13" t="s">
        <v>4550</v>
      </c>
      <c r="F818" s="13" t="s">
        <v>4551</v>
      </c>
      <c r="G818" s="13" t="s">
        <v>4552</v>
      </c>
      <c r="H818" s="13" t="s">
        <v>4553</v>
      </c>
    </row>
    <row r="819" customFormat="false" ht="15" hidden="false" customHeight="true" outlineLevel="0" collapsed="false">
      <c r="A819" s="13" t="s">
        <v>146</v>
      </c>
      <c r="B819" s="13" t="s">
        <v>625</v>
      </c>
      <c r="C819" s="11" t="s">
        <v>626</v>
      </c>
      <c r="D819" s="13" t="s">
        <v>4554</v>
      </c>
      <c r="E819" s="13" t="s">
        <v>4555</v>
      </c>
      <c r="F819" s="13" t="s">
        <v>4556</v>
      </c>
      <c r="G819" s="13" t="s">
        <v>4557</v>
      </c>
      <c r="H819" s="13" t="s">
        <v>4558</v>
      </c>
    </row>
    <row r="820" customFormat="false" ht="15" hidden="false" customHeight="true" outlineLevel="0" collapsed="false">
      <c r="A820" s="13" t="s">
        <v>146</v>
      </c>
      <c r="B820" s="13" t="s">
        <v>632</v>
      </c>
      <c r="C820" s="11" t="s">
        <v>633</v>
      </c>
      <c r="D820" s="13" t="s">
        <v>4559</v>
      </c>
      <c r="E820" s="13" t="s">
        <v>4560</v>
      </c>
      <c r="F820" s="13" t="s">
        <v>4561</v>
      </c>
      <c r="G820" s="13" t="s">
        <v>4562</v>
      </c>
      <c r="H820" s="13" t="s">
        <v>4563</v>
      </c>
    </row>
    <row r="821" customFormat="false" ht="15" hidden="false" customHeight="true" outlineLevel="0" collapsed="false">
      <c r="A821" s="13" t="s">
        <v>146</v>
      </c>
      <c r="B821" s="13" t="s">
        <v>639</v>
      </c>
      <c r="C821" s="11" t="s">
        <v>640</v>
      </c>
      <c r="D821" s="13" t="s">
        <v>4564</v>
      </c>
      <c r="E821" s="13" t="s">
        <v>4565</v>
      </c>
      <c r="F821" s="13" t="s">
        <v>4566</v>
      </c>
      <c r="G821" s="13" t="s">
        <v>4567</v>
      </c>
      <c r="H821" s="13" t="s">
        <v>4568</v>
      </c>
    </row>
    <row r="822" customFormat="false" ht="15" hidden="false" customHeight="true" outlineLevel="0" collapsed="false">
      <c r="A822" s="13" t="s">
        <v>146</v>
      </c>
      <c r="B822" s="13" t="s">
        <v>646</v>
      </c>
      <c r="C822" s="11" t="s">
        <v>647</v>
      </c>
      <c r="D822" s="13" t="s">
        <v>4569</v>
      </c>
      <c r="E822" s="13" t="s">
        <v>4570</v>
      </c>
      <c r="F822" s="13" t="s">
        <v>4571</v>
      </c>
      <c r="G822" s="13" t="s">
        <v>4572</v>
      </c>
      <c r="H822" s="13" t="s">
        <v>4573</v>
      </c>
    </row>
    <row r="823" customFormat="false" ht="15" hidden="false" customHeight="true" outlineLevel="0" collapsed="false">
      <c r="A823" s="13" t="s">
        <v>146</v>
      </c>
      <c r="B823" s="13" t="s">
        <v>653</v>
      </c>
      <c r="C823" s="11" t="s">
        <v>654</v>
      </c>
      <c r="D823" s="13" t="s">
        <v>4574</v>
      </c>
      <c r="E823" s="13" t="s">
        <v>4575</v>
      </c>
      <c r="F823" s="13" t="s">
        <v>4576</v>
      </c>
      <c r="G823" s="13" t="s">
        <v>4577</v>
      </c>
      <c r="H823" s="13" t="s">
        <v>4578</v>
      </c>
    </row>
    <row r="824" customFormat="false" ht="15" hidden="false" customHeight="true" outlineLevel="0" collapsed="false">
      <c r="A824" s="13" t="s">
        <v>146</v>
      </c>
      <c r="B824" s="13" t="s">
        <v>660</v>
      </c>
      <c r="C824" s="11" t="s">
        <v>661</v>
      </c>
      <c r="D824" s="13" t="s">
        <v>4579</v>
      </c>
      <c r="E824" s="13" t="s">
        <v>4580</v>
      </c>
      <c r="F824" s="13" t="s">
        <v>4581</v>
      </c>
      <c r="G824" s="13" t="s">
        <v>4582</v>
      </c>
      <c r="H824" s="13" t="s">
        <v>4583</v>
      </c>
    </row>
    <row r="825" customFormat="false" ht="15" hidden="false" customHeight="true" outlineLevel="0" collapsed="false">
      <c r="A825" s="13" t="s">
        <v>146</v>
      </c>
      <c r="B825" s="13" t="s">
        <v>667</v>
      </c>
      <c r="C825" s="11" t="s">
        <v>668</v>
      </c>
      <c r="D825" s="13" t="s">
        <v>4584</v>
      </c>
      <c r="E825" s="13" t="s">
        <v>4585</v>
      </c>
      <c r="F825" s="13" t="s">
        <v>4586</v>
      </c>
      <c r="G825" s="13" t="s">
        <v>4587</v>
      </c>
      <c r="H825" s="13" t="s">
        <v>4588</v>
      </c>
    </row>
    <row r="826" customFormat="false" ht="15" hidden="false" customHeight="true" outlineLevel="0" collapsed="false">
      <c r="A826" s="13" t="s">
        <v>146</v>
      </c>
      <c r="B826" s="13" t="s">
        <v>674</v>
      </c>
      <c r="C826" s="11" t="s">
        <v>675</v>
      </c>
      <c r="D826" s="13" t="s">
        <v>4589</v>
      </c>
      <c r="E826" s="13" t="s">
        <v>4590</v>
      </c>
      <c r="F826" s="13" t="s">
        <v>4591</v>
      </c>
      <c r="G826" s="13" t="s">
        <v>4592</v>
      </c>
      <c r="H826" s="13" t="s">
        <v>4593</v>
      </c>
    </row>
    <row r="827" customFormat="false" ht="15" hidden="false" customHeight="true" outlineLevel="0" collapsed="false">
      <c r="A827" s="13" t="s">
        <v>146</v>
      </c>
      <c r="B827" s="13" t="s">
        <v>681</v>
      </c>
      <c r="C827" s="11" t="s">
        <v>682</v>
      </c>
      <c r="D827" s="13" t="s">
        <v>4594</v>
      </c>
      <c r="E827" s="13" t="s">
        <v>4595</v>
      </c>
      <c r="F827" s="13" t="s">
        <v>4596</v>
      </c>
      <c r="G827" s="13" t="s">
        <v>4597</v>
      </c>
      <c r="H827" s="13" t="s">
        <v>4598</v>
      </c>
    </row>
    <row r="828" customFormat="false" ht="15" hidden="false" customHeight="true" outlineLevel="0" collapsed="false">
      <c r="A828" s="13" t="s">
        <v>146</v>
      </c>
      <c r="B828" s="13" t="s">
        <v>688</v>
      </c>
      <c r="C828" s="11" t="s">
        <v>689</v>
      </c>
      <c r="D828" s="13" t="s">
        <v>3251</v>
      </c>
      <c r="E828" s="13" t="s">
        <v>4599</v>
      </c>
      <c r="F828" s="13" t="s">
        <v>4600</v>
      </c>
      <c r="G828" s="13" t="s">
        <v>4601</v>
      </c>
      <c r="H828" s="13" t="s">
        <v>4602</v>
      </c>
    </row>
    <row r="829" customFormat="false" ht="15" hidden="false" customHeight="true" outlineLevel="0" collapsed="false">
      <c r="A829" s="13" t="s">
        <v>146</v>
      </c>
      <c r="B829" s="13" t="s">
        <v>695</v>
      </c>
      <c r="C829" s="11" t="s">
        <v>696</v>
      </c>
      <c r="D829" s="13" t="s">
        <v>4603</v>
      </c>
      <c r="E829" s="13" t="s">
        <v>4604</v>
      </c>
      <c r="F829" s="13" t="s">
        <v>4605</v>
      </c>
      <c r="G829" s="13" t="s">
        <v>4606</v>
      </c>
      <c r="H829" s="13" t="s">
        <v>4607</v>
      </c>
    </row>
    <row r="830" customFormat="false" ht="15" hidden="false" customHeight="true" outlineLevel="0" collapsed="false">
      <c r="A830" s="13" t="s">
        <v>146</v>
      </c>
      <c r="B830" s="13" t="s">
        <v>702</v>
      </c>
      <c r="C830" s="11" t="s">
        <v>703</v>
      </c>
      <c r="D830" s="13" t="s">
        <v>4608</v>
      </c>
      <c r="E830" s="13" t="s">
        <v>4609</v>
      </c>
      <c r="F830" s="13" t="s">
        <v>4610</v>
      </c>
      <c r="G830" s="13" t="s">
        <v>4611</v>
      </c>
      <c r="H830" s="13" t="s">
        <v>4612</v>
      </c>
    </row>
    <row r="831" customFormat="false" ht="15" hidden="false" customHeight="true" outlineLevel="0" collapsed="false">
      <c r="A831" s="13" t="s">
        <v>146</v>
      </c>
      <c r="B831" s="13" t="s">
        <v>709</v>
      </c>
      <c r="C831" s="11" t="s">
        <v>710</v>
      </c>
      <c r="D831" s="13" t="s">
        <v>4613</v>
      </c>
      <c r="E831" s="13" t="s">
        <v>4614</v>
      </c>
      <c r="F831" s="13" t="s">
        <v>4615</v>
      </c>
      <c r="G831" s="13" t="s">
        <v>4616</v>
      </c>
      <c r="H831" s="13" t="s">
        <v>4617</v>
      </c>
    </row>
    <row r="832" customFormat="false" ht="15" hidden="false" customHeight="true" outlineLevel="0" collapsed="false">
      <c r="A832" s="13" t="s">
        <v>146</v>
      </c>
      <c r="B832" s="13" t="s">
        <v>716</v>
      </c>
      <c r="C832" s="11" t="s">
        <v>717</v>
      </c>
      <c r="D832" s="13" t="s">
        <v>4618</v>
      </c>
      <c r="E832" s="13" t="s">
        <v>4619</v>
      </c>
      <c r="F832" s="13" t="s">
        <v>4620</v>
      </c>
      <c r="G832" s="13" t="s">
        <v>4621</v>
      </c>
      <c r="H832" s="13" t="s">
        <v>4622</v>
      </c>
    </row>
    <row r="833" customFormat="false" ht="15" hidden="false" customHeight="true" outlineLevel="0" collapsed="false">
      <c r="A833" s="13" t="s">
        <v>146</v>
      </c>
      <c r="B833" s="13" t="s">
        <v>723</v>
      </c>
      <c r="C833" s="11" t="s">
        <v>724</v>
      </c>
      <c r="D833" s="13" t="s">
        <v>4623</v>
      </c>
      <c r="E833" s="13" t="s">
        <v>4624</v>
      </c>
      <c r="F833" s="13" t="s">
        <v>4625</v>
      </c>
      <c r="G833" s="13" t="s">
        <v>4626</v>
      </c>
      <c r="H833" s="13" t="s">
        <v>4627</v>
      </c>
    </row>
    <row r="834" customFormat="false" ht="15" hidden="false" customHeight="true" outlineLevel="0" collapsed="false">
      <c r="A834" s="13" t="s">
        <v>146</v>
      </c>
      <c r="B834" s="13" t="s">
        <v>730</v>
      </c>
      <c r="C834" s="11" t="s">
        <v>731</v>
      </c>
      <c r="D834" s="13" t="s">
        <v>4628</v>
      </c>
      <c r="E834" s="13" t="s">
        <v>4629</v>
      </c>
      <c r="F834" s="13" t="s">
        <v>4630</v>
      </c>
      <c r="G834" s="13" t="s">
        <v>4631</v>
      </c>
      <c r="H834" s="13" t="s">
        <v>4632</v>
      </c>
    </row>
    <row r="835" customFormat="false" ht="15" hidden="false" customHeight="true" outlineLevel="0" collapsed="false">
      <c r="A835" s="13" t="s">
        <v>146</v>
      </c>
      <c r="B835" s="13" t="s">
        <v>737</v>
      </c>
      <c r="C835" s="11" t="s">
        <v>738</v>
      </c>
      <c r="D835" s="13" t="s">
        <v>4633</v>
      </c>
      <c r="E835" s="13" t="s">
        <v>4634</v>
      </c>
      <c r="F835" s="13" t="s">
        <v>4635</v>
      </c>
      <c r="G835" s="13" t="s">
        <v>4636</v>
      </c>
      <c r="H835" s="13" t="s">
        <v>4637</v>
      </c>
    </row>
    <row r="836" customFormat="false" ht="15" hidden="false" customHeight="true" outlineLevel="0" collapsed="false">
      <c r="A836" s="13" t="s">
        <v>146</v>
      </c>
      <c r="B836" s="13" t="s">
        <v>744</v>
      </c>
      <c r="C836" s="11" t="s">
        <v>745</v>
      </c>
      <c r="D836" s="13" t="s">
        <v>4638</v>
      </c>
      <c r="E836" s="13" t="s">
        <v>4639</v>
      </c>
      <c r="F836" s="13" t="s">
        <v>4640</v>
      </c>
      <c r="G836" s="13" t="s">
        <v>796</v>
      </c>
      <c r="H836" s="13" t="s">
        <v>4641</v>
      </c>
    </row>
    <row r="837" customFormat="false" ht="15" hidden="false" customHeight="true" outlineLevel="0" collapsed="false">
      <c r="A837" s="13" t="s">
        <v>146</v>
      </c>
      <c r="B837" s="13" t="s">
        <v>751</v>
      </c>
      <c r="C837" s="11" t="s">
        <v>752</v>
      </c>
      <c r="D837" s="13" t="s">
        <v>4642</v>
      </c>
      <c r="E837" s="13" t="s">
        <v>4643</v>
      </c>
      <c r="F837" s="13" t="s">
        <v>4644</v>
      </c>
      <c r="G837" s="13" t="s">
        <v>4645</v>
      </c>
      <c r="H837" s="13" t="s">
        <v>4646</v>
      </c>
    </row>
    <row r="838" customFormat="false" ht="15" hidden="false" customHeight="true" outlineLevel="0" collapsed="false">
      <c r="A838" s="13" t="s">
        <v>146</v>
      </c>
      <c r="B838" s="13" t="s">
        <v>758</v>
      </c>
      <c r="C838" s="11" t="s">
        <v>759</v>
      </c>
      <c r="D838" s="13" t="s">
        <v>4647</v>
      </c>
      <c r="E838" s="13" t="s">
        <v>4648</v>
      </c>
      <c r="F838" s="13" t="s">
        <v>4649</v>
      </c>
      <c r="G838" s="13" t="s">
        <v>4650</v>
      </c>
      <c r="H838" s="13" t="s">
        <v>4651</v>
      </c>
    </row>
    <row r="839" customFormat="false" ht="15" hidden="false" customHeight="true" outlineLevel="0" collapsed="false">
      <c r="A839" s="13" t="s">
        <v>146</v>
      </c>
      <c r="B839" s="13" t="s">
        <v>765</v>
      </c>
      <c r="C839" s="11" t="s">
        <v>766</v>
      </c>
      <c r="D839" s="13" t="s">
        <v>4652</v>
      </c>
      <c r="E839" s="13" t="s">
        <v>4653</v>
      </c>
      <c r="F839" s="13" t="s">
        <v>4654</v>
      </c>
      <c r="G839" s="13" t="s">
        <v>4655</v>
      </c>
      <c r="H839" s="13" t="s">
        <v>4656</v>
      </c>
    </row>
    <row r="840" customFormat="false" ht="15" hidden="false" customHeight="true" outlineLevel="0" collapsed="false">
      <c r="A840" s="13" t="s">
        <v>146</v>
      </c>
      <c r="B840" s="13" t="s">
        <v>772</v>
      </c>
      <c r="C840" s="11" t="s">
        <v>773</v>
      </c>
      <c r="D840" s="13" t="s">
        <v>4657</v>
      </c>
      <c r="E840" s="13" t="s">
        <v>4658</v>
      </c>
      <c r="F840" s="13" t="s">
        <v>4659</v>
      </c>
      <c r="G840" s="13" t="s">
        <v>4660</v>
      </c>
      <c r="H840" s="13" t="s">
        <v>4661</v>
      </c>
    </row>
    <row r="841" customFormat="false" ht="15" hidden="false" customHeight="true" outlineLevel="0" collapsed="false">
      <c r="A841" s="13" t="s">
        <v>146</v>
      </c>
      <c r="B841" s="13" t="s">
        <v>779</v>
      </c>
      <c r="C841" s="11" t="s">
        <v>780</v>
      </c>
      <c r="D841" s="13" t="s">
        <v>4662</v>
      </c>
      <c r="E841" s="13" t="s">
        <v>4663</v>
      </c>
      <c r="F841" s="13" t="s">
        <v>4664</v>
      </c>
      <c r="G841" s="13" t="s">
        <v>4665</v>
      </c>
      <c r="H841" s="13" t="s">
        <v>4666</v>
      </c>
    </row>
    <row r="842" customFormat="false" ht="15" hidden="false" customHeight="true" outlineLevel="0" collapsed="false">
      <c r="A842" s="13" t="s">
        <v>146</v>
      </c>
      <c r="B842" s="13" t="s">
        <v>786</v>
      </c>
      <c r="C842" s="11" t="s">
        <v>787</v>
      </c>
      <c r="D842" s="13" t="s">
        <v>4667</v>
      </c>
      <c r="E842" s="13" t="s">
        <v>4668</v>
      </c>
      <c r="F842" s="13" t="s">
        <v>4669</v>
      </c>
      <c r="G842" s="13" t="s">
        <v>4670</v>
      </c>
      <c r="H842" s="13" t="s">
        <v>4671</v>
      </c>
    </row>
    <row r="843" customFormat="false" ht="15" hidden="false" customHeight="true" outlineLevel="0" collapsed="false">
      <c r="A843" s="13" t="s">
        <v>146</v>
      </c>
      <c r="B843" s="13" t="s">
        <v>793</v>
      </c>
      <c r="C843" s="11" t="s">
        <v>794</v>
      </c>
      <c r="D843" s="13" t="s">
        <v>4672</v>
      </c>
      <c r="E843" s="13" t="s">
        <v>4673</v>
      </c>
      <c r="F843" s="13" t="s">
        <v>4674</v>
      </c>
      <c r="G843" s="13" t="s">
        <v>4675</v>
      </c>
      <c r="H843" s="13" t="s">
        <v>4676</v>
      </c>
    </row>
    <row r="844" customFormat="false" ht="15" hidden="false" customHeight="true" outlineLevel="0" collapsed="false">
      <c r="A844" s="13" t="s">
        <v>146</v>
      </c>
      <c r="B844" s="13" t="s">
        <v>800</v>
      </c>
      <c r="C844" s="11" t="s">
        <v>801</v>
      </c>
      <c r="D844" s="13" t="s">
        <v>4677</v>
      </c>
      <c r="E844" s="13" t="s">
        <v>4678</v>
      </c>
      <c r="F844" s="13" t="s">
        <v>4679</v>
      </c>
      <c r="G844" s="13" t="s">
        <v>4680</v>
      </c>
      <c r="H844" s="13" t="s">
        <v>4681</v>
      </c>
    </row>
    <row r="845" customFormat="false" ht="15" hidden="false" customHeight="true" outlineLevel="0" collapsed="false">
      <c r="A845" s="13" t="s">
        <v>146</v>
      </c>
      <c r="B845" s="13" t="s">
        <v>806</v>
      </c>
      <c r="C845" s="11" t="s">
        <v>807</v>
      </c>
      <c r="D845" s="13" t="s">
        <v>4682</v>
      </c>
      <c r="E845" s="13" t="s">
        <v>4683</v>
      </c>
      <c r="F845" s="13" t="s">
        <v>4684</v>
      </c>
      <c r="G845" s="13" t="s">
        <v>4685</v>
      </c>
      <c r="H845" s="13" t="s">
        <v>4686</v>
      </c>
    </row>
    <row r="846" customFormat="false" ht="15" hidden="false" customHeight="true" outlineLevel="0" collapsed="false">
      <c r="A846" s="13" t="s">
        <v>146</v>
      </c>
      <c r="B846" s="13" t="s">
        <v>813</v>
      </c>
      <c r="C846" s="11" t="s">
        <v>814</v>
      </c>
      <c r="D846" s="13" t="s">
        <v>4687</v>
      </c>
      <c r="E846" s="13" t="s">
        <v>4688</v>
      </c>
      <c r="F846" s="13" t="s">
        <v>4689</v>
      </c>
      <c r="G846" s="13" t="s">
        <v>4690</v>
      </c>
      <c r="H846" s="13" t="s">
        <v>4691</v>
      </c>
    </row>
    <row r="847" customFormat="false" ht="15" hidden="false" customHeight="true" outlineLevel="0" collapsed="false">
      <c r="A847" s="13" t="s">
        <v>146</v>
      </c>
      <c r="B847" s="13" t="s">
        <v>820</v>
      </c>
      <c r="C847" s="11" t="s">
        <v>821</v>
      </c>
      <c r="D847" s="13" t="s">
        <v>4692</v>
      </c>
      <c r="E847" s="13" t="s">
        <v>4693</v>
      </c>
      <c r="F847" s="13" t="s">
        <v>4694</v>
      </c>
      <c r="G847" s="13" t="s">
        <v>4695</v>
      </c>
      <c r="H847" s="13" t="s">
        <v>4696</v>
      </c>
    </row>
    <row r="848" customFormat="false" ht="15" hidden="false" customHeight="true" outlineLevel="0" collapsed="false">
      <c r="A848" s="13" t="s">
        <v>146</v>
      </c>
      <c r="B848" s="13" t="s">
        <v>827</v>
      </c>
      <c r="C848" s="11" t="s">
        <v>828</v>
      </c>
      <c r="D848" s="13" t="s">
        <v>4697</v>
      </c>
      <c r="E848" s="13" t="s">
        <v>4698</v>
      </c>
      <c r="F848" s="13" t="s">
        <v>4699</v>
      </c>
      <c r="G848" s="13" t="s">
        <v>4700</v>
      </c>
      <c r="H848" s="13" t="s">
        <v>4701</v>
      </c>
    </row>
    <row r="849" customFormat="false" ht="15" hidden="false" customHeight="true" outlineLevel="0" collapsed="false">
      <c r="A849" s="13" t="s">
        <v>146</v>
      </c>
      <c r="B849" s="13" t="s">
        <v>834</v>
      </c>
      <c r="C849" s="11" t="s">
        <v>835</v>
      </c>
      <c r="D849" s="13" t="s">
        <v>4702</v>
      </c>
      <c r="E849" s="13" t="s">
        <v>4703</v>
      </c>
      <c r="F849" s="13" t="s">
        <v>4704</v>
      </c>
      <c r="G849" s="13" t="s">
        <v>4705</v>
      </c>
      <c r="H849" s="13" t="s">
        <v>4706</v>
      </c>
    </row>
    <row r="850" customFormat="false" ht="15" hidden="false" customHeight="true" outlineLevel="0" collapsed="false">
      <c r="A850" s="13" t="s">
        <v>146</v>
      </c>
      <c r="B850" s="13" t="s">
        <v>841</v>
      </c>
      <c r="C850" s="11" t="s">
        <v>842</v>
      </c>
      <c r="D850" s="13" t="s">
        <v>4707</v>
      </c>
      <c r="E850" s="13" t="s">
        <v>4708</v>
      </c>
      <c r="F850" s="13" t="s">
        <v>4709</v>
      </c>
      <c r="G850" s="13" t="s">
        <v>4710</v>
      </c>
      <c r="H850" s="13" t="s">
        <v>4711</v>
      </c>
    </row>
    <row r="851" customFormat="false" ht="15" hidden="false" customHeight="true" outlineLevel="0" collapsed="false">
      <c r="A851" s="13" t="s">
        <v>146</v>
      </c>
      <c r="B851" s="13" t="s">
        <v>848</v>
      </c>
      <c r="C851" s="11" t="s">
        <v>849</v>
      </c>
      <c r="D851" s="13" t="s">
        <v>4712</v>
      </c>
      <c r="E851" s="13" t="s">
        <v>4713</v>
      </c>
      <c r="F851" s="13" t="s">
        <v>4714</v>
      </c>
      <c r="G851" s="13" t="s">
        <v>4715</v>
      </c>
      <c r="H851" s="13" t="s">
        <v>4716</v>
      </c>
    </row>
    <row r="852" customFormat="false" ht="15" hidden="false" customHeight="true" outlineLevel="0" collapsed="false">
      <c r="A852" s="13" t="s">
        <v>146</v>
      </c>
      <c r="B852" s="13" t="s">
        <v>855</v>
      </c>
      <c r="C852" s="11" t="s">
        <v>856</v>
      </c>
      <c r="D852" s="13" t="s">
        <v>4717</v>
      </c>
      <c r="E852" s="13" t="s">
        <v>4718</v>
      </c>
      <c r="F852" s="13" t="s">
        <v>4719</v>
      </c>
      <c r="G852" s="13" t="s">
        <v>4720</v>
      </c>
      <c r="H852" s="13" t="s">
        <v>4721</v>
      </c>
    </row>
    <row r="853" customFormat="false" ht="15" hidden="false" customHeight="true" outlineLevel="0" collapsed="false">
      <c r="A853" s="13" t="s">
        <v>146</v>
      </c>
      <c r="B853" s="13" t="s">
        <v>862</v>
      </c>
      <c r="C853" s="11" t="s">
        <v>863</v>
      </c>
      <c r="D853" s="13" t="s">
        <v>4722</v>
      </c>
      <c r="E853" s="13" t="s">
        <v>4723</v>
      </c>
      <c r="F853" s="13" t="s">
        <v>4724</v>
      </c>
      <c r="G853" s="13" t="s">
        <v>4725</v>
      </c>
      <c r="H853" s="13" t="s">
        <v>4726</v>
      </c>
    </row>
    <row r="854" customFormat="false" ht="15" hidden="false" customHeight="true" outlineLevel="0" collapsed="false">
      <c r="A854" s="13" t="s">
        <v>146</v>
      </c>
      <c r="B854" s="13" t="s">
        <v>869</v>
      </c>
      <c r="C854" s="11" t="s">
        <v>870</v>
      </c>
      <c r="D854" s="13" t="s">
        <v>4727</v>
      </c>
      <c r="E854" s="13" t="s">
        <v>4728</v>
      </c>
      <c r="F854" s="13" t="s">
        <v>4729</v>
      </c>
      <c r="G854" s="13" t="s">
        <v>4730</v>
      </c>
      <c r="H854" s="13" t="s">
        <v>4731</v>
      </c>
    </row>
    <row r="855" customFormat="false" ht="15" hidden="false" customHeight="true" outlineLevel="0" collapsed="false">
      <c r="A855" s="13" t="s">
        <v>146</v>
      </c>
      <c r="B855" s="13" t="s">
        <v>876</v>
      </c>
      <c r="C855" s="11" t="s">
        <v>877</v>
      </c>
      <c r="D855" s="13" t="s">
        <v>4732</v>
      </c>
      <c r="E855" s="13" t="s">
        <v>4733</v>
      </c>
      <c r="F855" s="13" t="s">
        <v>4734</v>
      </c>
      <c r="G855" s="13" t="s">
        <v>4735</v>
      </c>
      <c r="H855" s="13" t="s">
        <v>4736</v>
      </c>
    </row>
    <row r="856" customFormat="false" ht="15" hidden="false" customHeight="true" outlineLevel="0" collapsed="false">
      <c r="A856" s="13" t="s">
        <v>146</v>
      </c>
      <c r="B856" s="13" t="s">
        <v>883</v>
      </c>
      <c r="C856" s="11" t="s">
        <v>884</v>
      </c>
      <c r="D856" s="13" t="s">
        <v>4737</v>
      </c>
      <c r="E856" s="13" t="s">
        <v>4738</v>
      </c>
      <c r="F856" s="13" t="s">
        <v>4739</v>
      </c>
      <c r="G856" s="13" t="s">
        <v>4740</v>
      </c>
      <c r="H856" s="13" t="s">
        <v>4741</v>
      </c>
    </row>
    <row r="857" customFormat="false" ht="15" hidden="false" customHeight="true" outlineLevel="0" collapsed="false">
      <c r="A857" s="13" t="s">
        <v>146</v>
      </c>
      <c r="B857" s="13" t="s">
        <v>890</v>
      </c>
      <c r="C857" s="11" t="s">
        <v>891</v>
      </c>
      <c r="D857" s="13" t="s">
        <v>4742</v>
      </c>
      <c r="E857" s="13" t="s">
        <v>4743</v>
      </c>
      <c r="F857" s="13" t="s">
        <v>4744</v>
      </c>
      <c r="G857" s="13" t="s">
        <v>4745</v>
      </c>
      <c r="H857" s="13" t="s">
        <v>4746</v>
      </c>
    </row>
    <row r="858" customFormat="false" ht="15" hidden="false" customHeight="true" outlineLevel="0" collapsed="false">
      <c r="A858" s="13" t="s">
        <v>146</v>
      </c>
      <c r="B858" s="13" t="s">
        <v>897</v>
      </c>
      <c r="C858" s="11" t="s">
        <v>898</v>
      </c>
      <c r="D858" s="13" t="s">
        <v>4747</v>
      </c>
      <c r="E858" s="13" t="s">
        <v>4748</v>
      </c>
      <c r="F858" s="13" t="s">
        <v>4749</v>
      </c>
      <c r="G858" s="13" t="s">
        <v>4750</v>
      </c>
      <c r="H858" s="13" t="s">
        <v>4751</v>
      </c>
    </row>
    <row r="859" customFormat="false" ht="15" hidden="false" customHeight="true" outlineLevel="0" collapsed="false">
      <c r="A859" s="13" t="s">
        <v>146</v>
      </c>
      <c r="B859" s="13" t="s">
        <v>904</v>
      </c>
      <c r="C859" s="11" t="s">
        <v>905</v>
      </c>
      <c r="D859" s="13" t="s">
        <v>4752</v>
      </c>
      <c r="E859" s="13" t="s">
        <v>4753</v>
      </c>
      <c r="F859" s="13" t="s">
        <v>4754</v>
      </c>
      <c r="G859" s="13" t="s">
        <v>4755</v>
      </c>
      <c r="H859" s="13" t="s">
        <v>4756</v>
      </c>
    </row>
    <row r="860" customFormat="false" ht="15" hidden="false" customHeight="true" outlineLevel="0" collapsed="false">
      <c r="A860" s="13" t="s">
        <v>146</v>
      </c>
      <c r="B860" s="13" t="s">
        <v>911</v>
      </c>
      <c r="C860" s="11" t="s">
        <v>912</v>
      </c>
      <c r="D860" s="13" t="s">
        <v>4757</v>
      </c>
      <c r="E860" s="13" t="s">
        <v>4758</v>
      </c>
      <c r="F860" s="13" t="s">
        <v>4759</v>
      </c>
      <c r="G860" s="13" t="s">
        <v>4760</v>
      </c>
      <c r="H860" s="13" t="s">
        <v>4761</v>
      </c>
    </row>
    <row r="861" customFormat="false" ht="15" hidden="false" customHeight="true" outlineLevel="0" collapsed="false">
      <c r="A861" s="13" t="s">
        <v>146</v>
      </c>
      <c r="B861" s="13" t="s">
        <v>918</v>
      </c>
      <c r="C861" s="11" t="s">
        <v>919</v>
      </c>
      <c r="D861" s="13" t="s">
        <v>4762</v>
      </c>
      <c r="E861" s="13" t="s">
        <v>4763</v>
      </c>
      <c r="F861" s="13" t="s">
        <v>4764</v>
      </c>
      <c r="G861" s="13" t="s">
        <v>4765</v>
      </c>
      <c r="H861" s="13" t="s">
        <v>4766</v>
      </c>
    </row>
    <row r="862" customFormat="false" ht="15" hidden="false" customHeight="true" outlineLevel="0" collapsed="false">
      <c r="A862" s="13" t="s">
        <v>146</v>
      </c>
      <c r="B862" s="13" t="s">
        <v>925</v>
      </c>
      <c r="C862" s="11" t="s">
        <v>926</v>
      </c>
      <c r="D862" s="13" t="s">
        <v>4767</v>
      </c>
      <c r="E862" s="13" t="s">
        <v>4768</v>
      </c>
      <c r="F862" s="13" t="s">
        <v>4769</v>
      </c>
      <c r="G862" s="13" t="s">
        <v>4770</v>
      </c>
      <c r="H862" s="13" t="s">
        <v>4771</v>
      </c>
    </row>
    <row r="863" customFormat="false" ht="15" hidden="false" customHeight="true" outlineLevel="0" collapsed="false">
      <c r="A863" s="13" t="s">
        <v>146</v>
      </c>
      <c r="B863" s="13" t="s">
        <v>932</v>
      </c>
      <c r="C863" s="11" t="s">
        <v>933</v>
      </c>
      <c r="D863" s="13" t="s">
        <v>4772</v>
      </c>
      <c r="E863" s="13" t="s">
        <v>4773</v>
      </c>
      <c r="F863" s="13" t="s">
        <v>4774</v>
      </c>
      <c r="G863" s="13" t="s">
        <v>4775</v>
      </c>
      <c r="H863" s="13" t="s">
        <v>4776</v>
      </c>
    </row>
    <row r="864" customFormat="false" ht="15" hidden="false" customHeight="true" outlineLevel="0" collapsed="false">
      <c r="A864" s="13" t="s">
        <v>146</v>
      </c>
      <c r="B864" s="13" t="s">
        <v>939</v>
      </c>
      <c r="C864" s="11" t="s">
        <v>940</v>
      </c>
      <c r="D864" s="13" t="s">
        <v>4777</v>
      </c>
      <c r="E864" s="13" t="s">
        <v>4778</v>
      </c>
      <c r="F864" s="13" t="s">
        <v>4779</v>
      </c>
      <c r="G864" s="13" t="s">
        <v>4780</v>
      </c>
      <c r="H864" s="13" t="s">
        <v>4781</v>
      </c>
    </row>
    <row r="865" customFormat="false" ht="15" hidden="false" customHeight="true" outlineLevel="0" collapsed="false">
      <c r="A865" s="13" t="s">
        <v>146</v>
      </c>
      <c r="B865" s="13" t="s">
        <v>946</v>
      </c>
      <c r="C865" s="11" t="s">
        <v>947</v>
      </c>
      <c r="D865" s="13" t="s">
        <v>4782</v>
      </c>
      <c r="E865" s="13" t="s">
        <v>4783</v>
      </c>
      <c r="F865" s="13" t="s">
        <v>4784</v>
      </c>
      <c r="G865" s="13" t="s">
        <v>4785</v>
      </c>
      <c r="H865" s="13" t="s">
        <v>4786</v>
      </c>
    </row>
    <row r="866" customFormat="false" ht="15" hidden="false" customHeight="true" outlineLevel="0" collapsed="false">
      <c r="A866" s="13" t="s">
        <v>146</v>
      </c>
      <c r="B866" s="13" t="s">
        <v>953</v>
      </c>
      <c r="C866" s="11" t="s">
        <v>954</v>
      </c>
      <c r="D866" s="13" t="s">
        <v>4787</v>
      </c>
      <c r="E866" s="13" t="s">
        <v>4788</v>
      </c>
      <c r="F866" s="13" t="s">
        <v>4789</v>
      </c>
      <c r="G866" s="13" t="s">
        <v>4790</v>
      </c>
      <c r="H866" s="13" t="s">
        <v>4791</v>
      </c>
    </row>
    <row r="867" customFormat="false" ht="15" hidden="false" customHeight="true" outlineLevel="0" collapsed="false">
      <c r="A867" s="13" t="s">
        <v>146</v>
      </c>
      <c r="B867" s="13" t="s">
        <v>960</v>
      </c>
      <c r="C867" s="11" t="s">
        <v>961</v>
      </c>
      <c r="D867" s="13" t="s">
        <v>4792</v>
      </c>
      <c r="E867" s="13" t="s">
        <v>4793</v>
      </c>
      <c r="F867" s="13" t="s">
        <v>4794</v>
      </c>
      <c r="G867" s="13" t="s">
        <v>4795</v>
      </c>
      <c r="H867" s="13" t="s">
        <v>4796</v>
      </c>
    </row>
    <row r="868" customFormat="false" ht="15" hidden="false" customHeight="true" outlineLevel="0" collapsed="false">
      <c r="A868" s="13" t="s">
        <v>146</v>
      </c>
      <c r="B868" s="13" t="s">
        <v>967</v>
      </c>
      <c r="C868" s="11" t="s">
        <v>968</v>
      </c>
      <c r="D868" s="13" t="s">
        <v>4797</v>
      </c>
      <c r="E868" s="13" t="s">
        <v>4798</v>
      </c>
      <c r="F868" s="13" t="s">
        <v>4799</v>
      </c>
      <c r="G868" s="13" t="s">
        <v>4800</v>
      </c>
      <c r="H868" s="13" t="s">
        <v>4801</v>
      </c>
    </row>
    <row r="869" customFormat="false" ht="15" hidden="false" customHeight="true" outlineLevel="0" collapsed="false">
      <c r="A869" s="13" t="s">
        <v>146</v>
      </c>
      <c r="B869" s="13" t="s">
        <v>974</v>
      </c>
      <c r="C869" s="11" t="s">
        <v>975</v>
      </c>
      <c r="D869" s="13" t="s">
        <v>4802</v>
      </c>
      <c r="E869" s="13" t="s">
        <v>4803</v>
      </c>
      <c r="F869" s="13" t="s">
        <v>4804</v>
      </c>
      <c r="G869" s="13" t="s">
        <v>4805</v>
      </c>
      <c r="H869" s="13" t="s">
        <v>4806</v>
      </c>
    </row>
    <row r="870" customFormat="false" ht="15" hidden="false" customHeight="true" outlineLevel="0" collapsed="false">
      <c r="A870" s="13" t="s">
        <v>146</v>
      </c>
      <c r="B870" s="13" t="s">
        <v>981</v>
      </c>
      <c r="C870" s="11" t="s">
        <v>982</v>
      </c>
      <c r="D870" s="13" t="s">
        <v>4807</v>
      </c>
      <c r="E870" s="13" t="s">
        <v>4808</v>
      </c>
      <c r="F870" s="13" t="s">
        <v>4809</v>
      </c>
      <c r="G870" s="13" t="s">
        <v>4810</v>
      </c>
      <c r="H870" s="13" t="s">
        <v>4811</v>
      </c>
    </row>
    <row r="871" customFormat="false" ht="15" hidden="false" customHeight="true" outlineLevel="0" collapsed="false">
      <c r="A871" s="13" t="s">
        <v>146</v>
      </c>
      <c r="B871" s="13" t="s">
        <v>988</v>
      </c>
      <c r="C871" s="11" t="s">
        <v>989</v>
      </c>
      <c r="D871" s="13" t="s">
        <v>4812</v>
      </c>
      <c r="E871" s="13" t="s">
        <v>4813</v>
      </c>
      <c r="F871" s="13" t="s">
        <v>4814</v>
      </c>
      <c r="G871" s="13" t="s">
        <v>4815</v>
      </c>
      <c r="H871" s="13" t="s">
        <v>4816</v>
      </c>
    </row>
    <row r="872" customFormat="false" ht="15" hidden="false" customHeight="true" outlineLevel="0" collapsed="false">
      <c r="A872" s="13" t="s">
        <v>146</v>
      </c>
      <c r="B872" s="13" t="s">
        <v>995</v>
      </c>
      <c r="C872" s="11" t="s">
        <v>996</v>
      </c>
      <c r="D872" s="13" t="s">
        <v>4817</v>
      </c>
      <c r="E872" s="13" t="s">
        <v>4818</v>
      </c>
      <c r="F872" s="13" t="s">
        <v>4819</v>
      </c>
      <c r="G872" s="13" t="s">
        <v>4820</v>
      </c>
      <c r="H872" s="13" t="s">
        <v>4821</v>
      </c>
    </row>
    <row r="873" customFormat="false" ht="15" hidden="false" customHeight="true" outlineLevel="0" collapsed="false">
      <c r="A873" s="13" t="s">
        <v>146</v>
      </c>
      <c r="B873" s="13" t="s">
        <v>1002</v>
      </c>
      <c r="C873" s="11" t="s">
        <v>1003</v>
      </c>
      <c r="D873" s="13" t="s">
        <v>4822</v>
      </c>
      <c r="E873" s="13" t="s">
        <v>4823</v>
      </c>
      <c r="F873" s="13" t="s">
        <v>4824</v>
      </c>
      <c r="G873" s="13" t="s">
        <v>4825</v>
      </c>
      <c r="H873" s="13" t="s">
        <v>4826</v>
      </c>
    </row>
    <row r="874" customFormat="false" ht="15" hidden="false" customHeight="true" outlineLevel="0" collapsed="false">
      <c r="A874" s="13" t="s">
        <v>146</v>
      </c>
      <c r="B874" s="13" t="s">
        <v>1009</v>
      </c>
      <c r="C874" s="11" t="s">
        <v>1010</v>
      </c>
      <c r="D874" s="13" t="s">
        <v>4827</v>
      </c>
      <c r="E874" s="13" t="s">
        <v>4828</v>
      </c>
      <c r="F874" s="13" t="s">
        <v>4829</v>
      </c>
      <c r="G874" s="13" t="s">
        <v>4830</v>
      </c>
      <c r="H874" s="13" t="s">
        <v>1894</v>
      </c>
    </row>
    <row r="875" customFormat="false" ht="15" hidden="false" customHeight="true" outlineLevel="0" collapsed="false">
      <c r="A875" s="13" t="s">
        <v>155</v>
      </c>
      <c r="B875" s="13" t="s">
        <v>345</v>
      </c>
      <c r="C875" s="11" t="s">
        <v>346</v>
      </c>
      <c r="D875" s="13" t="s">
        <v>4831</v>
      </c>
      <c r="E875" s="13" t="s">
        <v>3884</v>
      </c>
      <c r="F875" s="13" t="s">
        <v>4832</v>
      </c>
      <c r="G875" s="13" t="s">
        <v>4833</v>
      </c>
      <c r="H875" s="13" t="s">
        <v>4834</v>
      </c>
    </row>
    <row r="876" customFormat="false" ht="15" hidden="false" customHeight="true" outlineLevel="0" collapsed="false">
      <c r="A876" s="13" t="s">
        <v>155</v>
      </c>
      <c r="B876" s="13" t="s">
        <v>352</v>
      </c>
      <c r="C876" s="11" t="s">
        <v>353</v>
      </c>
      <c r="D876" s="13" t="s">
        <v>4835</v>
      </c>
      <c r="E876" s="13" t="s">
        <v>4836</v>
      </c>
      <c r="F876" s="13" t="s">
        <v>4837</v>
      </c>
      <c r="G876" s="13" t="s">
        <v>4838</v>
      </c>
      <c r="H876" s="13" t="s">
        <v>4839</v>
      </c>
    </row>
    <row r="877" customFormat="false" ht="15" hidden="false" customHeight="true" outlineLevel="0" collapsed="false">
      <c r="A877" s="13" t="s">
        <v>155</v>
      </c>
      <c r="B877" s="13" t="s">
        <v>359</v>
      </c>
      <c r="C877" s="11" t="s">
        <v>360</v>
      </c>
      <c r="D877" s="13" t="s">
        <v>4840</v>
      </c>
      <c r="E877" s="13" t="s">
        <v>4841</v>
      </c>
      <c r="F877" s="13" t="s">
        <v>4842</v>
      </c>
      <c r="G877" s="13" t="s">
        <v>4843</v>
      </c>
      <c r="H877" s="13" t="s">
        <v>4844</v>
      </c>
    </row>
    <row r="878" customFormat="false" ht="15" hidden="false" customHeight="true" outlineLevel="0" collapsed="false">
      <c r="A878" s="13" t="s">
        <v>155</v>
      </c>
      <c r="B878" s="13" t="s">
        <v>366</v>
      </c>
      <c r="C878" s="11" t="s">
        <v>367</v>
      </c>
      <c r="D878" s="13" t="s">
        <v>4845</v>
      </c>
      <c r="E878" s="13" t="s">
        <v>4846</v>
      </c>
      <c r="F878" s="13" t="s">
        <v>4847</v>
      </c>
      <c r="G878" s="13" t="s">
        <v>4848</v>
      </c>
      <c r="H878" s="13" t="s">
        <v>4849</v>
      </c>
    </row>
    <row r="879" customFormat="false" ht="15" hidden="false" customHeight="true" outlineLevel="0" collapsed="false">
      <c r="A879" s="13" t="s">
        <v>155</v>
      </c>
      <c r="B879" s="13" t="s">
        <v>373</v>
      </c>
      <c r="C879" s="11" t="s">
        <v>374</v>
      </c>
      <c r="D879" s="13" t="s">
        <v>4850</v>
      </c>
      <c r="E879" s="13" t="s">
        <v>3886</v>
      </c>
      <c r="F879" s="13" t="s">
        <v>4851</v>
      </c>
      <c r="G879" s="13" t="s">
        <v>4852</v>
      </c>
      <c r="H879" s="13" t="s">
        <v>4853</v>
      </c>
    </row>
    <row r="880" customFormat="false" ht="15" hidden="false" customHeight="true" outlineLevel="0" collapsed="false">
      <c r="A880" s="13" t="s">
        <v>155</v>
      </c>
      <c r="B880" s="13" t="s">
        <v>380</v>
      </c>
      <c r="C880" s="11" t="s">
        <v>381</v>
      </c>
      <c r="D880" s="13" t="s">
        <v>4854</v>
      </c>
      <c r="E880" s="13" t="s">
        <v>4855</v>
      </c>
      <c r="F880" s="13" t="s">
        <v>4856</v>
      </c>
      <c r="G880" s="13" t="s">
        <v>4857</v>
      </c>
      <c r="H880" s="13" t="s">
        <v>4858</v>
      </c>
    </row>
    <row r="881" customFormat="false" ht="15" hidden="false" customHeight="true" outlineLevel="0" collapsed="false">
      <c r="A881" s="13" t="s">
        <v>155</v>
      </c>
      <c r="B881" s="13" t="s">
        <v>387</v>
      </c>
      <c r="C881" s="11" t="s">
        <v>388</v>
      </c>
      <c r="D881" s="13" t="s">
        <v>4859</v>
      </c>
      <c r="E881" s="13" t="s">
        <v>4860</v>
      </c>
      <c r="F881" s="13" t="s">
        <v>4861</v>
      </c>
      <c r="G881" s="13" t="s">
        <v>4862</v>
      </c>
      <c r="H881" s="13" t="s">
        <v>4863</v>
      </c>
    </row>
    <row r="882" customFormat="false" ht="15" hidden="false" customHeight="true" outlineLevel="0" collapsed="false">
      <c r="A882" s="13" t="s">
        <v>155</v>
      </c>
      <c r="B882" s="13" t="s">
        <v>394</v>
      </c>
      <c r="C882" s="11" t="s">
        <v>395</v>
      </c>
      <c r="D882" s="13" t="s">
        <v>4864</v>
      </c>
      <c r="E882" s="13" t="s">
        <v>4865</v>
      </c>
      <c r="F882" s="13" t="s">
        <v>4866</v>
      </c>
      <c r="G882" s="13" t="s">
        <v>4867</v>
      </c>
      <c r="H882" s="13" t="s">
        <v>4868</v>
      </c>
    </row>
    <row r="883" customFormat="false" ht="15" hidden="false" customHeight="true" outlineLevel="0" collapsed="false">
      <c r="A883" s="13" t="s">
        <v>155</v>
      </c>
      <c r="B883" s="13" t="s">
        <v>401</v>
      </c>
      <c r="C883" s="11" t="s">
        <v>402</v>
      </c>
      <c r="D883" s="13" t="s">
        <v>4869</v>
      </c>
      <c r="E883" s="13" t="s">
        <v>4870</v>
      </c>
      <c r="F883" s="13" t="s">
        <v>4871</v>
      </c>
      <c r="G883" s="13" t="s">
        <v>4872</v>
      </c>
      <c r="H883" s="13" t="s">
        <v>4873</v>
      </c>
    </row>
    <row r="884" customFormat="false" ht="15" hidden="false" customHeight="true" outlineLevel="0" collapsed="false">
      <c r="A884" s="13" t="s">
        <v>155</v>
      </c>
      <c r="B884" s="13" t="s">
        <v>408</v>
      </c>
      <c r="C884" s="11" t="s">
        <v>409</v>
      </c>
      <c r="D884" s="13" t="s">
        <v>4874</v>
      </c>
      <c r="E884" s="13" t="s">
        <v>4875</v>
      </c>
      <c r="F884" s="13" t="s">
        <v>4876</v>
      </c>
      <c r="G884" s="13" t="s">
        <v>4877</v>
      </c>
      <c r="H884" s="13" t="s">
        <v>4878</v>
      </c>
    </row>
    <row r="885" customFormat="false" ht="15" hidden="false" customHeight="true" outlineLevel="0" collapsed="false">
      <c r="A885" s="13" t="s">
        <v>155</v>
      </c>
      <c r="B885" s="13" t="s">
        <v>415</v>
      </c>
      <c r="C885" s="11" t="s">
        <v>416</v>
      </c>
      <c r="D885" s="13" t="s">
        <v>4879</v>
      </c>
      <c r="E885" s="13" t="s">
        <v>4880</v>
      </c>
      <c r="F885" s="13" t="s">
        <v>4881</v>
      </c>
      <c r="G885" s="13" t="s">
        <v>4882</v>
      </c>
      <c r="H885" s="13" t="s">
        <v>4883</v>
      </c>
    </row>
    <row r="886" customFormat="false" ht="15" hidden="false" customHeight="true" outlineLevel="0" collapsed="false">
      <c r="A886" s="13" t="s">
        <v>155</v>
      </c>
      <c r="B886" s="13" t="s">
        <v>422</v>
      </c>
      <c r="C886" s="11" t="s">
        <v>423</v>
      </c>
      <c r="D886" s="13" t="s">
        <v>4884</v>
      </c>
      <c r="E886" s="13" t="s">
        <v>4885</v>
      </c>
      <c r="F886" s="13" t="s">
        <v>4886</v>
      </c>
      <c r="G886" s="13" t="s">
        <v>4887</v>
      </c>
      <c r="H886" s="13" t="s">
        <v>4888</v>
      </c>
    </row>
    <row r="887" customFormat="false" ht="15" hidden="false" customHeight="true" outlineLevel="0" collapsed="false">
      <c r="A887" s="13" t="s">
        <v>155</v>
      </c>
      <c r="B887" s="13" t="s">
        <v>429</v>
      </c>
      <c r="C887" s="11" t="s">
        <v>430</v>
      </c>
      <c r="D887" s="13" t="s">
        <v>4889</v>
      </c>
      <c r="E887" s="13" t="s">
        <v>4890</v>
      </c>
      <c r="F887" s="13" t="s">
        <v>4891</v>
      </c>
      <c r="G887" s="13" t="s">
        <v>4892</v>
      </c>
      <c r="H887" s="13" t="s">
        <v>4893</v>
      </c>
    </row>
    <row r="888" customFormat="false" ht="15" hidden="false" customHeight="true" outlineLevel="0" collapsed="false">
      <c r="A888" s="13" t="s">
        <v>155</v>
      </c>
      <c r="B888" s="13" t="s">
        <v>436</v>
      </c>
      <c r="C888" s="11" t="s">
        <v>437</v>
      </c>
      <c r="D888" s="13" t="s">
        <v>4894</v>
      </c>
      <c r="E888" s="13" t="s">
        <v>4895</v>
      </c>
      <c r="F888" s="13" t="s">
        <v>4896</v>
      </c>
      <c r="G888" s="13" t="s">
        <v>4897</v>
      </c>
      <c r="H888" s="13" t="s">
        <v>4898</v>
      </c>
    </row>
    <row r="889" customFormat="false" ht="15" hidden="false" customHeight="true" outlineLevel="0" collapsed="false">
      <c r="A889" s="13" t="s">
        <v>155</v>
      </c>
      <c r="B889" s="13" t="s">
        <v>443</v>
      </c>
      <c r="C889" s="11" t="s">
        <v>444</v>
      </c>
      <c r="D889" s="13" t="s">
        <v>4899</v>
      </c>
      <c r="E889" s="13" t="s">
        <v>4900</v>
      </c>
      <c r="F889" s="13" t="s">
        <v>4901</v>
      </c>
      <c r="G889" s="13" t="s">
        <v>4902</v>
      </c>
      <c r="H889" s="13" t="s">
        <v>4903</v>
      </c>
    </row>
    <row r="890" customFormat="false" ht="15" hidden="false" customHeight="true" outlineLevel="0" collapsed="false">
      <c r="A890" s="13" t="s">
        <v>155</v>
      </c>
      <c r="B890" s="13" t="s">
        <v>450</v>
      </c>
      <c r="C890" s="11" t="s">
        <v>451</v>
      </c>
      <c r="D890" s="13" t="s">
        <v>4904</v>
      </c>
      <c r="E890" s="13" t="s">
        <v>4905</v>
      </c>
      <c r="F890" s="13" t="s">
        <v>4906</v>
      </c>
      <c r="G890" s="13" t="s">
        <v>4907</v>
      </c>
      <c r="H890" s="13" t="s">
        <v>4908</v>
      </c>
    </row>
    <row r="891" customFormat="false" ht="15" hidden="false" customHeight="true" outlineLevel="0" collapsed="false">
      <c r="A891" s="13" t="s">
        <v>155</v>
      </c>
      <c r="B891" s="13" t="s">
        <v>457</v>
      </c>
      <c r="C891" s="11" t="s">
        <v>458</v>
      </c>
      <c r="D891" s="13" t="s">
        <v>4909</v>
      </c>
      <c r="E891" s="13" t="s">
        <v>4910</v>
      </c>
      <c r="F891" s="13" t="s">
        <v>4911</v>
      </c>
      <c r="G891" s="13" t="s">
        <v>4912</v>
      </c>
      <c r="H891" s="13" t="s">
        <v>4913</v>
      </c>
    </row>
    <row r="892" customFormat="false" ht="15" hidden="false" customHeight="true" outlineLevel="0" collapsed="false">
      <c r="A892" s="13" t="s">
        <v>155</v>
      </c>
      <c r="B892" s="13" t="s">
        <v>464</v>
      </c>
      <c r="C892" s="11" t="s">
        <v>465</v>
      </c>
      <c r="D892" s="13" t="s">
        <v>4914</v>
      </c>
      <c r="E892" s="13" t="s">
        <v>4915</v>
      </c>
      <c r="F892" s="13" t="s">
        <v>4916</v>
      </c>
      <c r="G892" s="13" t="s">
        <v>4917</v>
      </c>
      <c r="H892" s="13" t="s">
        <v>4918</v>
      </c>
    </row>
    <row r="893" customFormat="false" ht="15" hidden="false" customHeight="true" outlineLevel="0" collapsed="false">
      <c r="A893" s="13" t="s">
        <v>155</v>
      </c>
      <c r="B893" s="13" t="s">
        <v>471</v>
      </c>
      <c r="C893" s="11" t="s">
        <v>472</v>
      </c>
      <c r="D893" s="13" t="s">
        <v>4919</v>
      </c>
      <c r="E893" s="13" t="s">
        <v>4920</v>
      </c>
      <c r="F893" s="13" t="s">
        <v>4921</v>
      </c>
      <c r="G893" s="13" t="s">
        <v>4922</v>
      </c>
      <c r="H893" s="13" t="s">
        <v>4923</v>
      </c>
    </row>
    <row r="894" customFormat="false" ht="15" hidden="false" customHeight="true" outlineLevel="0" collapsed="false">
      <c r="A894" s="13" t="s">
        <v>155</v>
      </c>
      <c r="B894" s="13" t="s">
        <v>478</v>
      </c>
      <c r="C894" s="11" t="s">
        <v>479</v>
      </c>
      <c r="D894" s="13" t="s">
        <v>4924</v>
      </c>
      <c r="E894" s="13" t="s">
        <v>4925</v>
      </c>
      <c r="F894" s="13" t="s">
        <v>4926</v>
      </c>
      <c r="G894" s="13" t="s">
        <v>4927</v>
      </c>
      <c r="H894" s="13" t="s">
        <v>4928</v>
      </c>
    </row>
    <row r="895" customFormat="false" ht="15" hidden="false" customHeight="true" outlineLevel="0" collapsed="false">
      <c r="A895" s="13" t="s">
        <v>155</v>
      </c>
      <c r="B895" s="13" t="s">
        <v>485</v>
      </c>
      <c r="C895" s="11" t="s">
        <v>486</v>
      </c>
      <c r="D895" s="13" t="s">
        <v>4929</v>
      </c>
      <c r="E895" s="13" t="s">
        <v>4930</v>
      </c>
      <c r="F895" s="13" t="s">
        <v>4931</v>
      </c>
      <c r="G895" s="13" t="s">
        <v>4932</v>
      </c>
      <c r="H895" s="13" t="s">
        <v>4933</v>
      </c>
    </row>
    <row r="896" customFormat="false" ht="15" hidden="false" customHeight="true" outlineLevel="0" collapsed="false">
      <c r="A896" s="13" t="s">
        <v>155</v>
      </c>
      <c r="B896" s="13" t="s">
        <v>492</v>
      </c>
      <c r="C896" s="11" t="s">
        <v>493</v>
      </c>
      <c r="D896" s="13" t="s">
        <v>4934</v>
      </c>
      <c r="E896" s="13" t="s">
        <v>4935</v>
      </c>
      <c r="F896" s="13" t="s">
        <v>4936</v>
      </c>
      <c r="G896" s="13" t="s">
        <v>4937</v>
      </c>
      <c r="H896" s="13" t="s">
        <v>4938</v>
      </c>
    </row>
    <row r="897" customFormat="false" ht="15" hidden="false" customHeight="true" outlineLevel="0" collapsed="false">
      <c r="A897" s="13" t="s">
        <v>155</v>
      </c>
      <c r="B897" s="13" t="s">
        <v>499</v>
      </c>
      <c r="C897" s="11" t="s">
        <v>500</v>
      </c>
      <c r="D897" s="13" t="s">
        <v>4939</v>
      </c>
      <c r="E897" s="13" t="s">
        <v>4940</v>
      </c>
      <c r="F897" s="13" t="s">
        <v>4941</v>
      </c>
      <c r="G897" s="13" t="s">
        <v>4942</v>
      </c>
      <c r="H897" s="13" t="s">
        <v>4943</v>
      </c>
    </row>
    <row r="898" customFormat="false" ht="15" hidden="false" customHeight="true" outlineLevel="0" collapsed="false">
      <c r="A898" s="13" t="s">
        <v>155</v>
      </c>
      <c r="B898" s="13" t="s">
        <v>506</v>
      </c>
      <c r="C898" s="11" t="s">
        <v>507</v>
      </c>
      <c r="D898" s="13" t="s">
        <v>4944</v>
      </c>
      <c r="E898" s="13" t="s">
        <v>4945</v>
      </c>
      <c r="F898" s="13" t="s">
        <v>4946</v>
      </c>
      <c r="G898" s="13" t="s">
        <v>4947</v>
      </c>
      <c r="H898" s="13" t="s">
        <v>4948</v>
      </c>
    </row>
    <row r="899" customFormat="false" ht="15" hidden="false" customHeight="true" outlineLevel="0" collapsed="false">
      <c r="A899" s="13" t="s">
        <v>155</v>
      </c>
      <c r="B899" s="13" t="s">
        <v>513</v>
      </c>
      <c r="C899" s="11" t="s">
        <v>514</v>
      </c>
      <c r="D899" s="13" t="s">
        <v>4949</v>
      </c>
      <c r="E899" s="13" t="s">
        <v>4950</v>
      </c>
      <c r="F899" s="13" t="s">
        <v>4951</v>
      </c>
      <c r="G899" s="13" t="s">
        <v>4952</v>
      </c>
      <c r="H899" s="13" t="s">
        <v>4953</v>
      </c>
    </row>
    <row r="900" customFormat="false" ht="15" hidden="false" customHeight="true" outlineLevel="0" collapsed="false">
      <c r="A900" s="13" t="s">
        <v>155</v>
      </c>
      <c r="B900" s="13" t="s">
        <v>520</v>
      </c>
      <c r="C900" s="11" t="s">
        <v>521</v>
      </c>
      <c r="D900" s="13" t="s">
        <v>4954</v>
      </c>
      <c r="E900" s="13" t="s">
        <v>4955</v>
      </c>
      <c r="F900" s="13" t="s">
        <v>4956</v>
      </c>
      <c r="G900" s="13" t="s">
        <v>4957</v>
      </c>
      <c r="H900" s="13" t="s">
        <v>4958</v>
      </c>
    </row>
    <row r="901" customFormat="false" ht="15" hidden="false" customHeight="true" outlineLevel="0" collapsed="false">
      <c r="A901" s="13" t="s">
        <v>155</v>
      </c>
      <c r="B901" s="13" t="s">
        <v>527</v>
      </c>
      <c r="C901" s="11" t="s">
        <v>528</v>
      </c>
      <c r="D901" s="13" t="s">
        <v>4959</v>
      </c>
      <c r="E901" s="13" t="s">
        <v>4960</v>
      </c>
      <c r="F901" s="13" t="s">
        <v>4961</v>
      </c>
      <c r="G901" s="13" t="s">
        <v>4962</v>
      </c>
      <c r="H901" s="13" t="s">
        <v>4963</v>
      </c>
    </row>
    <row r="902" customFormat="false" ht="15" hidden="false" customHeight="true" outlineLevel="0" collapsed="false">
      <c r="A902" s="13" t="s">
        <v>155</v>
      </c>
      <c r="B902" s="13" t="s">
        <v>534</v>
      </c>
      <c r="C902" s="11" t="s">
        <v>535</v>
      </c>
      <c r="D902" s="13" t="s">
        <v>4964</v>
      </c>
      <c r="E902" s="13" t="s">
        <v>4965</v>
      </c>
      <c r="F902" s="13" t="s">
        <v>4966</v>
      </c>
      <c r="G902" s="13" t="s">
        <v>4967</v>
      </c>
      <c r="H902" s="13" t="s">
        <v>4968</v>
      </c>
    </row>
    <row r="903" customFormat="false" ht="15" hidden="false" customHeight="true" outlineLevel="0" collapsed="false">
      <c r="A903" s="13" t="s">
        <v>155</v>
      </c>
      <c r="B903" s="13" t="s">
        <v>541</v>
      </c>
      <c r="C903" s="11" t="s">
        <v>542</v>
      </c>
      <c r="D903" s="13" t="s">
        <v>4969</v>
      </c>
      <c r="E903" s="13" t="s">
        <v>4970</v>
      </c>
      <c r="F903" s="13" t="s">
        <v>4971</v>
      </c>
      <c r="G903" s="13" t="s">
        <v>4972</v>
      </c>
      <c r="H903" s="13" t="s">
        <v>4973</v>
      </c>
    </row>
    <row r="904" customFormat="false" ht="15" hidden="false" customHeight="true" outlineLevel="0" collapsed="false">
      <c r="A904" s="13" t="s">
        <v>155</v>
      </c>
      <c r="B904" s="13" t="s">
        <v>548</v>
      </c>
      <c r="C904" s="11" t="s">
        <v>549</v>
      </c>
      <c r="D904" s="13" t="s">
        <v>4974</v>
      </c>
      <c r="E904" s="13" t="s">
        <v>4975</v>
      </c>
      <c r="F904" s="13" t="s">
        <v>4976</v>
      </c>
      <c r="G904" s="13" t="s">
        <v>4977</v>
      </c>
      <c r="H904" s="13" t="s">
        <v>4978</v>
      </c>
    </row>
    <row r="905" customFormat="false" ht="15" hidden="false" customHeight="true" outlineLevel="0" collapsed="false">
      <c r="A905" s="13" t="s">
        <v>155</v>
      </c>
      <c r="B905" s="13" t="s">
        <v>555</v>
      </c>
      <c r="C905" s="11" t="s">
        <v>556</v>
      </c>
      <c r="D905" s="13" t="s">
        <v>4979</v>
      </c>
      <c r="E905" s="13" t="s">
        <v>4980</v>
      </c>
      <c r="F905" s="13" t="s">
        <v>4981</v>
      </c>
      <c r="G905" s="13" t="s">
        <v>4982</v>
      </c>
      <c r="H905" s="13" t="s">
        <v>4983</v>
      </c>
    </row>
    <row r="906" customFormat="false" ht="15" hidden="false" customHeight="true" outlineLevel="0" collapsed="false">
      <c r="A906" s="13" t="s">
        <v>155</v>
      </c>
      <c r="B906" s="13" t="s">
        <v>562</v>
      </c>
      <c r="C906" s="11" t="s">
        <v>563</v>
      </c>
      <c r="D906" s="13" t="s">
        <v>4984</v>
      </c>
      <c r="E906" s="13" t="s">
        <v>4985</v>
      </c>
      <c r="F906" s="13" t="s">
        <v>4986</v>
      </c>
      <c r="G906" s="13" t="s">
        <v>4987</v>
      </c>
      <c r="H906" s="13" t="s">
        <v>4988</v>
      </c>
    </row>
    <row r="907" customFormat="false" ht="15" hidden="false" customHeight="true" outlineLevel="0" collapsed="false">
      <c r="A907" s="13" t="s">
        <v>155</v>
      </c>
      <c r="B907" s="13" t="s">
        <v>569</v>
      </c>
      <c r="C907" s="11" t="s">
        <v>570</v>
      </c>
      <c r="D907" s="13" t="s">
        <v>4989</v>
      </c>
      <c r="E907" s="13" t="s">
        <v>4990</v>
      </c>
      <c r="F907" s="13" t="s">
        <v>4991</v>
      </c>
      <c r="G907" s="13" t="s">
        <v>4992</v>
      </c>
      <c r="H907" s="13" t="s">
        <v>4993</v>
      </c>
    </row>
    <row r="908" customFormat="false" ht="15" hidden="false" customHeight="true" outlineLevel="0" collapsed="false">
      <c r="A908" s="13" t="s">
        <v>155</v>
      </c>
      <c r="B908" s="13" t="s">
        <v>576</v>
      </c>
      <c r="C908" s="11" t="s">
        <v>577</v>
      </c>
      <c r="D908" s="13" t="s">
        <v>4994</v>
      </c>
      <c r="E908" s="13" t="s">
        <v>4995</v>
      </c>
      <c r="F908" s="13" t="s">
        <v>4996</v>
      </c>
      <c r="G908" s="13" t="s">
        <v>4997</v>
      </c>
      <c r="H908" s="13" t="s">
        <v>4998</v>
      </c>
    </row>
    <row r="909" customFormat="false" ht="15" hidden="false" customHeight="true" outlineLevel="0" collapsed="false">
      <c r="A909" s="13" t="s">
        <v>155</v>
      </c>
      <c r="B909" s="13" t="s">
        <v>583</v>
      </c>
      <c r="C909" s="11" t="s">
        <v>584</v>
      </c>
      <c r="D909" s="13" t="s">
        <v>4999</v>
      </c>
      <c r="E909" s="13" t="s">
        <v>5000</v>
      </c>
      <c r="F909" s="13" t="s">
        <v>5001</v>
      </c>
      <c r="G909" s="13" t="s">
        <v>5002</v>
      </c>
      <c r="H909" s="13" t="s">
        <v>5003</v>
      </c>
    </row>
    <row r="910" customFormat="false" ht="15" hidden="false" customHeight="true" outlineLevel="0" collapsed="false">
      <c r="A910" s="13" t="s">
        <v>155</v>
      </c>
      <c r="B910" s="13" t="s">
        <v>590</v>
      </c>
      <c r="C910" s="11" t="s">
        <v>591</v>
      </c>
      <c r="D910" s="13" t="s">
        <v>5004</v>
      </c>
      <c r="E910" s="13" t="s">
        <v>5005</v>
      </c>
      <c r="F910" s="13" t="s">
        <v>5006</v>
      </c>
      <c r="G910" s="13" t="s">
        <v>5007</v>
      </c>
      <c r="H910" s="13" t="s">
        <v>5008</v>
      </c>
    </row>
    <row r="911" customFormat="false" ht="15" hidden="false" customHeight="true" outlineLevel="0" collapsed="false">
      <c r="A911" s="13" t="s">
        <v>155</v>
      </c>
      <c r="B911" s="13" t="s">
        <v>597</v>
      </c>
      <c r="C911" s="11" t="s">
        <v>598</v>
      </c>
      <c r="D911" s="13" t="s">
        <v>5009</v>
      </c>
      <c r="E911" s="13" t="s">
        <v>5010</v>
      </c>
      <c r="F911" s="13" t="s">
        <v>5011</v>
      </c>
      <c r="G911" s="13" t="s">
        <v>5012</v>
      </c>
      <c r="H911" s="13" t="s">
        <v>5013</v>
      </c>
    </row>
    <row r="912" customFormat="false" ht="15" hidden="false" customHeight="true" outlineLevel="0" collapsed="false">
      <c r="A912" s="13" t="s">
        <v>155</v>
      </c>
      <c r="B912" s="13" t="s">
        <v>604</v>
      </c>
      <c r="C912" s="11" t="s">
        <v>605</v>
      </c>
      <c r="D912" s="13" t="s">
        <v>5014</v>
      </c>
      <c r="E912" s="13" t="s">
        <v>5015</v>
      </c>
      <c r="F912" s="13" t="s">
        <v>5016</v>
      </c>
      <c r="G912" s="13" t="s">
        <v>5017</v>
      </c>
      <c r="H912" s="13" t="s">
        <v>5018</v>
      </c>
    </row>
    <row r="913" customFormat="false" ht="15" hidden="false" customHeight="true" outlineLevel="0" collapsed="false">
      <c r="A913" s="13" t="s">
        <v>155</v>
      </c>
      <c r="B913" s="13" t="s">
        <v>611</v>
      </c>
      <c r="C913" s="11" t="s">
        <v>612</v>
      </c>
      <c r="D913" s="13" t="s">
        <v>5019</v>
      </c>
      <c r="E913" s="13" t="s">
        <v>5020</v>
      </c>
      <c r="F913" s="13" t="s">
        <v>5021</v>
      </c>
      <c r="G913" s="13" t="s">
        <v>5022</v>
      </c>
      <c r="H913" s="13" t="s">
        <v>5023</v>
      </c>
    </row>
    <row r="914" customFormat="false" ht="15" hidden="false" customHeight="true" outlineLevel="0" collapsed="false">
      <c r="A914" s="13" t="s">
        <v>155</v>
      </c>
      <c r="B914" s="13" t="s">
        <v>618</v>
      </c>
      <c r="C914" s="11" t="s">
        <v>619</v>
      </c>
      <c r="D914" s="13" t="s">
        <v>5024</v>
      </c>
      <c r="E914" s="13" t="s">
        <v>5025</v>
      </c>
      <c r="F914" s="13" t="s">
        <v>5026</v>
      </c>
      <c r="G914" s="13" t="s">
        <v>5027</v>
      </c>
      <c r="H914" s="13" t="s">
        <v>5028</v>
      </c>
    </row>
    <row r="915" customFormat="false" ht="15" hidden="false" customHeight="true" outlineLevel="0" collapsed="false">
      <c r="A915" s="13" t="s">
        <v>155</v>
      </c>
      <c r="B915" s="13" t="s">
        <v>625</v>
      </c>
      <c r="C915" s="11" t="s">
        <v>626</v>
      </c>
      <c r="D915" s="13" t="s">
        <v>5029</v>
      </c>
      <c r="E915" s="13" t="s">
        <v>5030</v>
      </c>
      <c r="F915" s="13" t="s">
        <v>5031</v>
      </c>
      <c r="G915" s="13" t="s">
        <v>5032</v>
      </c>
      <c r="H915" s="13" t="s">
        <v>5033</v>
      </c>
    </row>
    <row r="916" customFormat="false" ht="15" hidden="false" customHeight="true" outlineLevel="0" collapsed="false">
      <c r="A916" s="13" t="s">
        <v>155</v>
      </c>
      <c r="B916" s="13" t="s">
        <v>632</v>
      </c>
      <c r="C916" s="11" t="s">
        <v>633</v>
      </c>
      <c r="D916" s="13" t="s">
        <v>5034</v>
      </c>
      <c r="E916" s="13" t="s">
        <v>5035</v>
      </c>
      <c r="F916" s="13" t="s">
        <v>5036</v>
      </c>
      <c r="G916" s="13" t="s">
        <v>5037</v>
      </c>
      <c r="H916" s="13" t="s">
        <v>5038</v>
      </c>
    </row>
    <row r="917" customFormat="false" ht="15" hidden="false" customHeight="true" outlineLevel="0" collapsed="false">
      <c r="A917" s="13" t="s">
        <v>155</v>
      </c>
      <c r="B917" s="13" t="s">
        <v>639</v>
      </c>
      <c r="C917" s="11" t="s">
        <v>640</v>
      </c>
      <c r="D917" s="13" t="s">
        <v>438</v>
      </c>
      <c r="E917" s="13" t="s">
        <v>5039</v>
      </c>
      <c r="F917" s="13" t="s">
        <v>5040</v>
      </c>
      <c r="G917" s="13" t="s">
        <v>5041</v>
      </c>
      <c r="H917" s="13" t="s">
        <v>5042</v>
      </c>
    </row>
    <row r="918" customFormat="false" ht="15" hidden="false" customHeight="true" outlineLevel="0" collapsed="false">
      <c r="A918" s="13" t="s">
        <v>155</v>
      </c>
      <c r="B918" s="13" t="s">
        <v>646</v>
      </c>
      <c r="C918" s="11" t="s">
        <v>647</v>
      </c>
      <c r="D918" s="13" t="s">
        <v>5043</v>
      </c>
      <c r="E918" s="13" t="s">
        <v>5044</v>
      </c>
      <c r="F918" s="13" t="s">
        <v>5045</v>
      </c>
      <c r="G918" s="13" t="s">
        <v>5046</v>
      </c>
      <c r="H918" s="13" t="s">
        <v>5047</v>
      </c>
    </row>
    <row r="919" customFormat="false" ht="15" hidden="false" customHeight="true" outlineLevel="0" collapsed="false">
      <c r="A919" s="13" t="s">
        <v>155</v>
      </c>
      <c r="B919" s="13" t="s">
        <v>653</v>
      </c>
      <c r="C919" s="11" t="s">
        <v>654</v>
      </c>
      <c r="D919" s="13" t="s">
        <v>5048</v>
      </c>
      <c r="E919" s="13" t="s">
        <v>5049</v>
      </c>
      <c r="F919" s="13" t="s">
        <v>5050</v>
      </c>
      <c r="G919" s="13" t="s">
        <v>5051</v>
      </c>
      <c r="H919" s="13" t="s">
        <v>5052</v>
      </c>
    </row>
    <row r="920" customFormat="false" ht="15" hidden="false" customHeight="true" outlineLevel="0" collapsed="false">
      <c r="A920" s="13" t="s">
        <v>155</v>
      </c>
      <c r="B920" s="13" t="s">
        <v>660</v>
      </c>
      <c r="C920" s="11" t="s">
        <v>661</v>
      </c>
      <c r="D920" s="13" t="s">
        <v>5053</v>
      </c>
      <c r="E920" s="13" t="s">
        <v>4678</v>
      </c>
      <c r="F920" s="13" t="s">
        <v>5054</v>
      </c>
      <c r="G920" s="13" t="s">
        <v>5055</v>
      </c>
      <c r="H920" s="13" t="s">
        <v>5056</v>
      </c>
    </row>
    <row r="921" customFormat="false" ht="15" hidden="false" customHeight="true" outlineLevel="0" collapsed="false">
      <c r="A921" s="13" t="s">
        <v>155</v>
      </c>
      <c r="B921" s="13" t="s">
        <v>667</v>
      </c>
      <c r="C921" s="11" t="s">
        <v>668</v>
      </c>
      <c r="D921" s="13" t="s">
        <v>5057</v>
      </c>
      <c r="E921" s="13" t="s">
        <v>5058</v>
      </c>
      <c r="F921" s="13" t="s">
        <v>5059</v>
      </c>
      <c r="G921" s="13" t="s">
        <v>5060</v>
      </c>
      <c r="H921" s="13" t="s">
        <v>5061</v>
      </c>
    </row>
    <row r="922" customFormat="false" ht="15" hidden="false" customHeight="true" outlineLevel="0" collapsed="false">
      <c r="A922" s="13" t="s">
        <v>155</v>
      </c>
      <c r="B922" s="13" t="s">
        <v>674</v>
      </c>
      <c r="C922" s="11" t="s">
        <v>675</v>
      </c>
      <c r="D922" s="13" t="s">
        <v>5062</v>
      </c>
      <c r="E922" s="13" t="s">
        <v>5063</v>
      </c>
      <c r="F922" s="13" t="s">
        <v>5064</v>
      </c>
      <c r="G922" s="13" t="s">
        <v>5065</v>
      </c>
      <c r="H922" s="13" t="s">
        <v>5066</v>
      </c>
    </row>
    <row r="923" customFormat="false" ht="15" hidden="false" customHeight="true" outlineLevel="0" collapsed="false">
      <c r="A923" s="13" t="s">
        <v>155</v>
      </c>
      <c r="B923" s="13" t="s">
        <v>681</v>
      </c>
      <c r="C923" s="11" t="s">
        <v>682</v>
      </c>
      <c r="D923" s="13" t="s">
        <v>5067</v>
      </c>
      <c r="E923" s="13" t="s">
        <v>5068</v>
      </c>
      <c r="F923" s="13" t="s">
        <v>5069</v>
      </c>
      <c r="G923" s="13" t="s">
        <v>5070</v>
      </c>
      <c r="H923" s="13" t="s">
        <v>5071</v>
      </c>
    </row>
    <row r="924" customFormat="false" ht="15" hidden="false" customHeight="true" outlineLevel="0" collapsed="false">
      <c r="A924" s="13" t="s">
        <v>155</v>
      </c>
      <c r="B924" s="13" t="s">
        <v>688</v>
      </c>
      <c r="C924" s="11" t="s">
        <v>689</v>
      </c>
      <c r="D924" s="13" t="s">
        <v>5072</v>
      </c>
      <c r="E924" s="13" t="s">
        <v>5073</v>
      </c>
      <c r="F924" s="13" t="s">
        <v>5074</v>
      </c>
      <c r="G924" s="13" t="s">
        <v>5075</v>
      </c>
      <c r="H924" s="13" t="s">
        <v>5076</v>
      </c>
    </row>
    <row r="925" customFormat="false" ht="15" hidden="false" customHeight="true" outlineLevel="0" collapsed="false">
      <c r="A925" s="13" t="s">
        <v>155</v>
      </c>
      <c r="B925" s="13" t="s">
        <v>695</v>
      </c>
      <c r="C925" s="11" t="s">
        <v>696</v>
      </c>
      <c r="D925" s="13" t="s">
        <v>5077</v>
      </c>
      <c r="E925" s="13" t="s">
        <v>5078</v>
      </c>
      <c r="F925" s="13" t="s">
        <v>5079</v>
      </c>
      <c r="G925" s="13" t="s">
        <v>5080</v>
      </c>
      <c r="H925" s="13" t="s">
        <v>5081</v>
      </c>
    </row>
    <row r="926" customFormat="false" ht="15" hidden="false" customHeight="true" outlineLevel="0" collapsed="false">
      <c r="A926" s="13" t="s">
        <v>155</v>
      </c>
      <c r="B926" s="13" t="s">
        <v>702</v>
      </c>
      <c r="C926" s="11" t="s">
        <v>703</v>
      </c>
      <c r="D926" s="13" t="s">
        <v>5082</v>
      </c>
      <c r="E926" s="13" t="s">
        <v>5083</v>
      </c>
      <c r="F926" s="13" t="s">
        <v>5084</v>
      </c>
      <c r="G926" s="13" t="s">
        <v>5085</v>
      </c>
      <c r="H926" s="13" t="s">
        <v>5086</v>
      </c>
    </row>
    <row r="927" customFormat="false" ht="15" hidden="false" customHeight="true" outlineLevel="0" collapsed="false">
      <c r="A927" s="13" t="s">
        <v>155</v>
      </c>
      <c r="B927" s="13" t="s">
        <v>709</v>
      </c>
      <c r="C927" s="11" t="s">
        <v>710</v>
      </c>
      <c r="D927" s="13" t="s">
        <v>5087</v>
      </c>
      <c r="E927" s="13" t="s">
        <v>5088</v>
      </c>
      <c r="F927" s="13" t="s">
        <v>5089</v>
      </c>
      <c r="G927" s="13" t="s">
        <v>5090</v>
      </c>
      <c r="H927" s="13" t="s">
        <v>5091</v>
      </c>
    </row>
    <row r="928" customFormat="false" ht="15" hidden="false" customHeight="true" outlineLevel="0" collapsed="false">
      <c r="A928" s="13" t="s">
        <v>155</v>
      </c>
      <c r="B928" s="13" t="s">
        <v>716</v>
      </c>
      <c r="C928" s="11" t="s">
        <v>717</v>
      </c>
      <c r="D928" s="13" t="s">
        <v>5092</v>
      </c>
      <c r="E928" s="13" t="s">
        <v>5093</v>
      </c>
      <c r="F928" s="13" t="s">
        <v>5094</v>
      </c>
      <c r="G928" s="13" t="s">
        <v>5095</v>
      </c>
      <c r="H928" s="13" t="s">
        <v>5096</v>
      </c>
    </row>
    <row r="929" customFormat="false" ht="15" hidden="false" customHeight="true" outlineLevel="0" collapsed="false">
      <c r="A929" s="13" t="s">
        <v>155</v>
      </c>
      <c r="B929" s="13" t="s">
        <v>723</v>
      </c>
      <c r="C929" s="11" t="s">
        <v>724</v>
      </c>
      <c r="D929" s="13" t="s">
        <v>5097</v>
      </c>
      <c r="E929" s="13" t="s">
        <v>5098</v>
      </c>
      <c r="F929" s="13" t="s">
        <v>5099</v>
      </c>
      <c r="G929" s="13" t="s">
        <v>5100</v>
      </c>
      <c r="H929" s="13" t="s">
        <v>5101</v>
      </c>
    </row>
    <row r="930" customFormat="false" ht="15" hidden="false" customHeight="true" outlineLevel="0" collapsed="false">
      <c r="A930" s="13" t="s">
        <v>155</v>
      </c>
      <c r="B930" s="13" t="s">
        <v>730</v>
      </c>
      <c r="C930" s="11" t="s">
        <v>731</v>
      </c>
      <c r="D930" s="13" t="s">
        <v>5102</v>
      </c>
      <c r="E930" s="13" t="s">
        <v>5103</v>
      </c>
      <c r="F930" s="13" t="s">
        <v>5104</v>
      </c>
      <c r="G930" s="13" t="s">
        <v>5105</v>
      </c>
      <c r="H930" s="13" t="s">
        <v>5106</v>
      </c>
    </row>
    <row r="931" customFormat="false" ht="15" hidden="false" customHeight="true" outlineLevel="0" collapsed="false">
      <c r="A931" s="13" t="s">
        <v>155</v>
      </c>
      <c r="B931" s="13" t="s">
        <v>737</v>
      </c>
      <c r="C931" s="11" t="s">
        <v>738</v>
      </c>
      <c r="D931" s="13" t="s">
        <v>5107</v>
      </c>
      <c r="E931" s="13" t="s">
        <v>5108</v>
      </c>
      <c r="F931" s="13" t="s">
        <v>5109</v>
      </c>
      <c r="G931" s="13" t="s">
        <v>5110</v>
      </c>
      <c r="H931" s="13" t="s">
        <v>5111</v>
      </c>
    </row>
    <row r="932" customFormat="false" ht="15" hidden="false" customHeight="true" outlineLevel="0" collapsed="false">
      <c r="A932" s="13" t="s">
        <v>155</v>
      </c>
      <c r="B932" s="13" t="s">
        <v>744</v>
      </c>
      <c r="C932" s="11" t="s">
        <v>745</v>
      </c>
      <c r="D932" s="13" t="s">
        <v>5112</v>
      </c>
      <c r="E932" s="13" t="s">
        <v>5113</v>
      </c>
      <c r="F932" s="13" t="s">
        <v>1536</v>
      </c>
      <c r="G932" s="13" t="s">
        <v>5114</v>
      </c>
      <c r="H932" s="13" t="s">
        <v>5115</v>
      </c>
    </row>
    <row r="933" customFormat="false" ht="15" hidden="false" customHeight="true" outlineLevel="0" collapsed="false">
      <c r="A933" s="13" t="s">
        <v>155</v>
      </c>
      <c r="B933" s="13" t="s">
        <v>751</v>
      </c>
      <c r="C933" s="11" t="s">
        <v>752</v>
      </c>
      <c r="D933" s="13" t="s">
        <v>5116</v>
      </c>
      <c r="E933" s="13" t="s">
        <v>5117</v>
      </c>
      <c r="F933" s="13" t="s">
        <v>5118</v>
      </c>
      <c r="G933" s="13" t="s">
        <v>5119</v>
      </c>
      <c r="H933" s="13" t="s">
        <v>5120</v>
      </c>
    </row>
    <row r="934" customFormat="false" ht="15" hidden="false" customHeight="true" outlineLevel="0" collapsed="false">
      <c r="A934" s="13" t="s">
        <v>155</v>
      </c>
      <c r="B934" s="13" t="s">
        <v>758</v>
      </c>
      <c r="C934" s="11" t="s">
        <v>759</v>
      </c>
      <c r="D934" s="13" t="s">
        <v>5121</v>
      </c>
      <c r="E934" s="13" t="s">
        <v>5122</v>
      </c>
      <c r="F934" s="13" t="s">
        <v>5123</v>
      </c>
      <c r="G934" s="13" t="s">
        <v>5124</v>
      </c>
      <c r="H934" s="13" t="s">
        <v>5125</v>
      </c>
    </row>
    <row r="935" customFormat="false" ht="15" hidden="false" customHeight="true" outlineLevel="0" collapsed="false">
      <c r="A935" s="13" t="s">
        <v>155</v>
      </c>
      <c r="B935" s="13" t="s">
        <v>765</v>
      </c>
      <c r="C935" s="11" t="s">
        <v>766</v>
      </c>
      <c r="D935" s="13" t="s">
        <v>5126</v>
      </c>
      <c r="E935" s="13" t="s">
        <v>5127</v>
      </c>
      <c r="F935" s="13" t="s">
        <v>5128</v>
      </c>
      <c r="G935" s="13" t="s">
        <v>5129</v>
      </c>
      <c r="H935" s="13" t="s">
        <v>5130</v>
      </c>
    </row>
    <row r="936" customFormat="false" ht="15" hidden="false" customHeight="true" outlineLevel="0" collapsed="false">
      <c r="A936" s="13" t="s">
        <v>155</v>
      </c>
      <c r="B936" s="13" t="s">
        <v>772</v>
      </c>
      <c r="C936" s="11" t="s">
        <v>773</v>
      </c>
      <c r="D936" s="13" t="s">
        <v>5131</v>
      </c>
      <c r="E936" s="13" t="s">
        <v>5132</v>
      </c>
      <c r="F936" s="13" t="s">
        <v>5133</v>
      </c>
      <c r="G936" s="13" t="s">
        <v>5134</v>
      </c>
      <c r="H936" s="13" t="s">
        <v>5135</v>
      </c>
    </row>
    <row r="937" customFormat="false" ht="15" hidden="false" customHeight="true" outlineLevel="0" collapsed="false">
      <c r="A937" s="13" t="s">
        <v>155</v>
      </c>
      <c r="B937" s="13" t="s">
        <v>779</v>
      </c>
      <c r="C937" s="11" t="s">
        <v>780</v>
      </c>
      <c r="D937" s="13" t="s">
        <v>5136</v>
      </c>
      <c r="E937" s="13" t="s">
        <v>5137</v>
      </c>
      <c r="F937" s="13" t="s">
        <v>5138</v>
      </c>
      <c r="G937" s="13" t="s">
        <v>5139</v>
      </c>
      <c r="H937" s="13" t="s">
        <v>5140</v>
      </c>
    </row>
    <row r="938" customFormat="false" ht="15" hidden="false" customHeight="true" outlineLevel="0" collapsed="false">
      <c r="A938" s="13" t="s">
        <v>155</v>
      </c>
      <c r="B938" s="13" t="s">
        <v>786</v>
      </c>
      <c r="C938" s="11" t="s">
        <v>787</v>
      </c>
      <c r="D938" s="13" t="s">
        <v>5141</v>
      </c>
      <c r="E938" s="13" t="s">
        <v>5142</v>
      </c>
      <c r="F938" s="13" t="s">
        <v>5143</v>
      </c>
      <c r="G938" s="13" t="s">
        <v>5144</v>
      </c>
      <c r="H938" s="13" t="s">
        <v>5145</v>
      </c>
    </row>
    <row r="939" customFormat="false" ht="15" hidden="false" customHeight="true" outlineLevel="0" collapsed="false">
      <c r="A939" s="13" t="s">
        <v>155</v>
      </c>
      <c r="B939" s="13" t="s">
        <v>793</v>
      </c>
      <c r="C939" s="11" t="s">
        <v>794</v>
      </c>
      <c r="D939" s="13" t="s">
        <v>5146</v>
      </c>
      <c r="E939" s="13" t="s">
        <v>5147</v>
      </c>
      <c r="F939" s="13" t="s">
        <v>5148</v>
      </c>
      <c r="G939" s="13" t="s">
        <v>5149</v>
      </c>
      <c r="H939" s="13" t="s">
        <v>5150</v>
      </c>
    </row>
    <row r="940" customFormat="false" ht="15" hidden="false" customHeight="true" outlineLevel="0" collapsed="false">
      <c r="A940" s="13" t="s">
        <v>155</v>
      </c>
      <c r="B940" s="13" t="s">
        <v>800</v>
      </c>
      <c r="C940" s="11" t="s">
        <v>801</v>
      </c>
      <c r="D940" s="13" t="s">
        <v>5053</v>
      </c>
      <c r="E940" s="13" t="s">
        <v>5151</v>
      </c>
      <c r="F940" s="13" t="s">
        <v>5152</v>
      </c>
      <c r="G940" s="13" t="s">
        <v>5153</v>
      </c>
      <c r="H940" s="13" t="s">
        <v>5154</v>
      </c>
    </row>
    <row r="941" customFormat="false" ht="15" hidden="false" customHeight="true" outlineLevel="0" collapsed="false">
      <c r="A941" s="13" t="s">
        <v>155</v>
      </c>
      <c r="B941" s="13" t="s">
        <v>806</v>
      </c>
      <c r="C941" s="11" t="s">
        <v>807</v>
      </c>
      <c r="D941" s="13" t="s">
        <v>3171</v>
      </c>
      <c r="E941" s="13" t="s">
        <v>5155</v>
      </c>
      <c r="F941" s="13" t="s">
        <v>5156</v>
      </c>
      <c r="G941" s="13" t="s">
        <v>5157</v>
      </c>
      <c r="H941" s="13" t="s">
        <v>5158</v>
      </c>
    </row>
    <row r="942" customFormat="false" ht="15" hidden="false" customHeight="true" outlineLevel="0" collapsed="false">
      <c r="A942" s="13" t="s">
        <v>155</v>
      </c>
      <c r="B942" s="13" t="s">
        <v>813</v>
      </c>
      <c r="C942" s="11" t="s">
        <v>814</v>
      </c>
      <c r="D942" s="13" t="s">
        <v>5159</v>
      </c>
      <c r="E942" s="13" t="s">
        <v>5160</v>
      </c>
      <c r="F942" s="13" t="s">
        <v>5161</v>
      </c>
      <c r="G942" s="13" t="s">
        <v>5162</v>
      </c>
      <c r="H942" s="13" t="s">
        <v>5163</v>
      </c>
    </row>
    <row r="943" customFormat="false" ht="15" hidden="false" customHeight="true" outlineLevel="0" collapsed="false">
      <c r="A943" s="13" t="s">
        <v>155</v>
      </c>
      <c r="B943" s="13" t="s">
        <v>820</v>
      </c>
      <c r="C943" s="11" t="s">
        <v>821</v>
      </c>
      <c r="D943" s="13" t="s">
        <v>5164</v>
      </c>
      <c r="E943" s="13" t="s">
        <v>5165</v>
      </c>
      <c r="F943" s="13" t="s">
        <v>5166</v>
      </c>
      <c r="G943" s="13" t="s">
        <v>5167</v>
      </c>
      <c r="H943" s="13" t="s">
        <v>5168</v>
      </c>
    </row>
    <row r="944" customFormat="false" ht="15" hidden="false" customHeight="true" outlineLevel="0" collapsed="false">
      <c r="A944" s="13" t="s">
        <v>155</v>
      </c>
      <c r="B944" s="13" t="s">
        <v>827</v>
      </c>
      <c r="C944" s="11" t="s">
        <v>828</v>
      </c>
      <c r="D944" s="13" t="s">
        <v>5169</v>
      </c>
      <c r="E944" s="13" t="s">
        <v>5170</v>
      </c>
      <c r="F944" s="13" t="s">
        <v>5171</v>
      </c>
      <c r="G944" s="13" t="s">
        <v>5172</v>
      </c>
      <c r="H944" s="13" t="s">
        <v>5173</v>
      </c>
    </row>
    <row r="945" customFormat="false" ht="15" hidden="false" customHeight="true" outlineLevel="0" collapsed="false">
      <c r="A945" s="13" t="s">
        <v>155</v>
      </c>
      <c r="B945" s="13" t="s">
        <v>834</v>
      </c>
      <c r="C945" s="11" t="s">
        <v>835</v>
      </c>
      <c r="D945" s="13" t="s">
        <v>5174</v>
      </c>
      <c r="E945" s="13" t="s">
        <v>5175</v>
      </c>
      <c r="F945" s="13" t="s">
        <v>5176</v>
      </c>
      <c r="G945" s="13" t="s">
        <v>5177</v>
      </c>
      <c r="H945" s="13" t="s">
        <v>5178</v>
      </c>
    </row>
    <row r="946" customFormat="false" ht="15" hidden="false" customHeight="true" outlineLevel="0" collapsed="false">
      <c r="A946" s="13" t="s">
        <v>155</v>
      </c>
      <c r="B946" s="13" t="s">
        <v>841</v>
      </c>
      <c r="C946" s="11" t="s">
        <v>842</v>
      </c>
      <c r="D946" s="13" t="s">
        <v>5179</v>
      </c>
      <c r="E946" s="13" t="s">
        <v>5180</v>
      </c>
      <c r="F946" s="13" t="s">
        <v>5181</v>
      </c>
      <c r="G946" s="13" t="s">
        <v>5182</v>
      </c>
      <c r="H946" s="13" t="s">
        <v>5183</v>
      </c>
    </row>
    <row r="947" customFormat="false" ht="15" hidden="false" customHeight="true" outlineLevel="0" collapsed="false">
      <c r="A947" s="13" t="s">
        <v>155</v>
      </c>
      <c r="B947" s="13" t="s">
        <v>848</v>
      </c>
      <c r="C947" s="11" t="s">
        <v>849</v>
      </c>
      <c r="D947" s="13" t="s">
        <v>5184</v>
      </c>
      <c r="E947" s="13" t="s">
        <v>5185</v>
      </c>
      <c r="F947" s="13" t="s">
        <v>5186</v>
      </c>
      <c r="G947" s="13" t="s">
        <v>5187</v>
      </c>
      <c r="H947" s="13" t="s">
        <v>5188</v>
      </c>
    </row>
    <row r="948" customFormat="false" ht="15" hidden="false" customHeight="true" outlineLevel="0" collapsed="false">
      <c r="A948" s="13" t="s">
        <v>155</v>
      </c>
      <c r="B948" s="13" t="s">
        <v>855</v>
      </c>
      <c r="C948" s="11" t="s">
        <v>856</v>
      </c>
      <c r="D948" s="13" t="s">
        <v>5189</v>
      </c>
      <c r="E948" s="13" t="s">
        <v>5190</v>
      </c>
      <c r="F948" s="13" t="s">
        <v>5191</v>
      </c>
      <c r="G948" s="13" t="s">
        <v>5192</v>
      </c>
      <c r="H948" s="13" t="s">
        <v>5193</v>
      </c>
    </row>
    <row r="949" customFormat="false" ht="15" hidden="false" customHeight="true" outlineLevel="0" collapsed="false">
      <c r="A949" s="13" t="s">
        <v>155</v>
      </c>
      <c r="B949" s="13" t="s">
        <v>862</v>
      </c>
      <c r="C949" s="11" t="s">
        <v>863</v>
      </c>
      <c r="D949" s="13" t="s">
        <v>3691</v>
      </c>
      <c r="E949" s="13" t="s">
        <v>5194</v>
      </c>
      <c r="F949" s="13" t="s">
        <v>5195</v>
      </c>
      <c r="G949" s="13" t="s">
        <v>5196</v>
      </c>
      <c r="H949" s="13" t="s">
        <v>5197</v>
      </c>
    </row>
    <row r="950" customFormat="false" ht="15" hidden="false" customHeight="true" outlineLevel="0" collapsed="false">
      <c r="A950" s="13" t="s">
        <v>155</v>
      </c>
      <c r="B950" s="13" t="s">
        <v>869</v>
      </c>
      <c r="C950" s="11" t="s">
        <v>870</v>
      </c>
      <c r="D950" s="13" t="s">
        <v>5198</v>
      </c>
      <c r="E950" s="13" t="s">
        <v>5199</v>
      </c>
      <c r="F950" s="13" t="s">
        <v>5200</v>
      </c>
      <c r="G950" s="13" t="s">
        <v>5201</v>
      </c>
      <c r="H950" s="13" t="s">
        <v>5202</v>
      </c>
    </row>
    <row r="951" customFormat="false" ht="15" hidden="false" customHeight="true" outlineLevel="0" collapsed="false">
      <c r="A951" s="13" t="s">
        <v>155</v>
      </c>
      <c r="B951" s="13" t="s">
        <v>876</v>
      </c>
      <c r="C951" s="11" t="s">
        <v>877</v>
      </c>
      <c r="D951" s="13" t="s">
        <v>5203</v>
      </c>
      <c r="E951" s="13" t="s">
        <v>5204</v>
      </c>
      <c r="F951" s="13" t="s">
        <v>5205</v>
      </c>
      <c r="G951" s="13" t="s">
        <v>5206</v>
      </c>
      <c r="H951" s="13" t="s">
        <v>5207</v>
      </c>
    </row>
    <row r="952" customFormat="false" ht="15" hidden="false" customHeight="true" outlineLevel="0" collapsed="false">
      <c r="A952" s="13" t="s">
        <v>155</v>
      </c>
      <c r="B952" s="13" t="s">
        <v>883</v>
      </c>
      <c r="C952" s="11" t="s">
        <v>884</v>
      </c>
      <c r="D952" s="13" t="s">
        <v>5208</v>
      </c>
      <c r="E952" s="13" t="s">
        <v>5209</v>
      </c>
      <c r="F952" s="13" t="s">
        <v>5210</v>
      </c>
      <c r="G952" s="13" t="s">
        <v>5211</v>
      </c>
      <c r="H952" s="13" t="s">
        <v>5212</v>
      </c>
    </row>
    <row r="953" customFormat="false" ht="15" hidden="false" customHeight="true" outlineLevel="0" collapsed="false">
      <c r="A953" s="13" t="s">
        <v>155</v>
      </c>
      <c r="B953" s="13" t="s">
        <v>890</v>
      </c>
      <c r="C953" s="11" t="s">
        <v>891</v>
      </c>
      <c r="D953" s="13" t="s">
        <v>5213</v>
      </c>
      <c r="E953" s="13" t="s">
        <v>5214</v>
      </c>
      <c r="F953" s="13" t="s">
        <v>5215</v>
      </c>
      <c r="G953" s="13" t="s">
        <v>5216</v>
      </c>
      <c r="H953" s="13" t="s">
        <v>5217</v>
      </c>
    </row>
    <row r="954" customFormat="false" ht="15" hidden="false" customHeight="true" outlineLevel="0" collapsed="false">
      <c r="A954" s="13" t="s">
        <v>155</v>
      </c>
      <c r="B954" s="13" t="s">
        <v>897</v>
      </c>
      <c r="C954" s="11" t="s">
        <v>898</v>
      </c>
      <c r="D954" s="13" t="s">
        <v>5218</v>
      </c>
      <c r="E954" s="13" t="s">
        <v>5219</v>
      </c>
      <c r="F954" s="13" t="s">
        <v>5220</v>
      </c>
      <c r="G954" s="13" t="s">
        <v>5221</v>
      </c>
      <c r="H954" s="13" t="s">
        <v>5222</v>
      </c>
    </row>
    <row r="955" customFormat="false" ht="15" hidden="false" customHeight="true" outlineLevel="0" collapsed="false">
      <c r="A955" s="13" t="s">
        <v>155</v>
      </c>
      <c r="B955" s="13" t="s">
        <v>904</v>
      </c>
      <c r="C955" s="11" t="s">
        <v>905</v>
      </c>
      <c r="D955" s="13" t="s">
        <v>5223</v>
      </c>
      <c r="E955" s="13" t="s">
        <v>5224</v>
      </c>
      <c r="F955" s="13" t="s">
        <v>5225</v>
      </c>
      <c r="G955" s="13" t="s">
        <v>5226</v>
      </c>
      <c r="H955" s="13" t="s">
        <v>5227</v>
      </c>
    </row>
    <row r="956" customFormat="false" ht="15" hidden="false" customHeight="true" outlineLevel="0" collapsed="false">
      <c r="A956" s="13" t="s">
        <v>155</v>
      </c>
      <c r="B956" s="13" t="s">
        <v>911</v>
      </c>
      <c r="C956" s="11" t="s">
        <v>912</v>
      </c>
      <c r="D956" s="13" t="s">
        <v>5228</v>
      </c>
      <c r="E956" s="13" t="s">
        <v>5229</v>
      </c>
      <c r="F956" s="13" t="s">
        <v>5230</v>
      </c>
      <c r="G956" s="13" t="s">
        <v>5231</v>
      </c>
      <c r="H956" s="13" t="s">
        <v>5232</v>
      </c>
    </row>
    <row r="957" customFormat="false" ht="15" hidden="false" customHeight="true" outlineLevel="0" collapsed="false">
      <c r="A957" s="13" t="s">
        <v>155</v>
      </c>
      <c r="B957" s="13" t="s">
        <v>918</v>
      </c>
      <c r="C957" s="11" t="s">
        <v>919</v>
      </c>
      <c r="D957" s="13" t="s">
        <v>5233</v>
      </c>
      <c r="E957" s="13" t="s">
        <v>5234</v>
      </c>
      <c r="F957" s="13" t="s">
        <v>5235</v>
      </c>
      <c r="G957" s="13" t="s">
        <v>5236</v>
      </c>
      <c r="H957" s="13" t="s">
        <v>5237</v>
      </c>
    </row>
    <row r="958" customFormat="false" ht="15" hidden="false" customHeight="true" outlineLevel="0" collapsed="false">
      <c r="A958" s="13" t="s">
        <v>155</v>
      </c>
      <c r="B958" s="13" t="s">
        <v>925</v>
      </c>
      <c r="C958" s="11" t="s">
        <v>926</v>
      </c>
      <c r="D958" s="13" t="s">
        <v>5238</v>
      </c>
      <c r="E958" s="13" t="s">
        <v>5239</v>
      </c>
      <c r="F958" s="13" t="s">
        <v>5240</v>
      </c>
      <c r="G958" s="13" t="s">
        <v>5241</v>
      </c>
      <c r="H958" s="13" t="s">
        <v>5242</v>
      </c>
    </row>
    <row r="959" customFormat="false" ht="15" hidden="false" customHeight="true" outlineLevel="0" collapsed="false">
      <c r="A959" s="13" t="s">
        <v>155</v>
      </c>
      <c r="B959" s="13" t="s">
        <v>932</v>
      </c>
      <c r="C959" s="11" t="s">
        <v>933</v>
      </c>
      <c r="D959" s="13" t="s">
        <v>5243</v>
      </c>
      <c r="E959" s="13" t="s">
        <v>5244</v>
      </c>
      <c r="F959" s="13" t="s">
        <v>5245</v>
      </c>
      <c r="G959" s="13" t="s">
        <v>5246</v>
      </c>
      <c r="H959" s="13" t="s">
        <v>5247</v>
      </c>
    </row>
    <row r="960" customFormat="false" ht="15" hidden="false" customHeight="true" outlineLevel="0" collapsed="false">
      <c r="A960" s="13" t="s">
        <v>155</v>
      </c>
      <c r="B960" s="13" t="s">
        <v>939</v>
      </c>
      <c r="C960" s="11" t="s">
        <v>940</v>
      </c>
      <c r="D960" s="13" t="s">
        <v>5248</v>
      </c>
      <c r="E960" s="13" t="s">
        <v>5249</v>
      </c>
      <c r="F960" s="13" t="s">
        <v>5250</v>
      </c>
      <c r="G960" s="13" t="s">
        <v>5251</v>
      </c>
      <c r="H960" s="13" t="s">
        <v>5252</v>
      </c>
    </row>
    <row r="961" customFormat="false" ht="15" hidden="false" customHeight="true" outlineLevel="0" collapsed="false">
      <c r="A961" s="13" t="s">
        <v>155</v>
      </c>
      <c r="B961" s="13" t="s">
        <v>946</v>
      </c>
      <c r="C961" s="11" t="s">
        <v>947</v>
      </c>
      <c r="D961" s="13" t="s">
        <v>5253</v>
      </c>
      <c r="E961" s="13" t="s">
        <v>5254</v>
      </c>
      <c r="F961" s="13" t="s">
        <v>5255</v>
      </c>
      <c r="G961" s="13" t="s">
        <v>5256</v>
      </c>
      <c r="H961" s="13" t="s">
        <v>5257</v>
      </c>
    </row>
    <row r="962" customFormat="false" ht="15" hidden="false" customHeight="true" outlineLevel="0" collapsed="false">
      <c r="A962" s="13" t="s">
        <v>155</v>
      </c>
      <c r="B962" s="13" t="s">
        <v>953</v>
      </c>
      <c r="C962" s="11" t="s">
        <v>954</v>
      </c>
      <c r="D962" s="13" t="s">
        <v>5258</v>
      </c>
      <c r="E962" s="13" t="s">
        <v>5259</v>
      </c>
      <c r="F962" s="13" t="s">
        <v>5260</v>
      </c>
      <c r="G962" s="13" t="s">
        <v>5261</v>
      </c>
      <c r="H962" s="13" t="s">
        <v>5262</v>
      </c>
    </row>
    <row r="963" customFormat="false" ht="15" hidden="false" customHeight="true" outlineLevel="0" collapsed="false">
      <c r="A963" s="13" t="s">
        <v>155</v>
      </c>
      <c r="B963" s="13" t="s">
        <v>960</v>
      </c>
      <c r="C963" s="11" t="s">
        <v>961</v>
      </c>
      <c r="D963" s="13" t="s">
        <v>5263</v>
      </c>
      <c r="E963" s="13" t="s">
        <v>5264</v>
      </c>
      <c r="F963" s="13" t="s">
        <v>5265</v>
      </c>
      <c r="G963" s="13" t="s">
        <v>5266</v>
      </c>
      <c r="H963" s="13" t="s">
        <v>5267</v>
      </c>
    </row>
    <row r="964" customFormat="false" ht="15" hidden="false" customHeight="true" outlineLevel="0" collapsed="false">
      <c r="A964" s="13" t="s">
        <v>155</v>
      </c>
      <c r="B964" s="13" t="s">
        <v>967</v>
      </c>
      <c r="C964" s="11" t="s">
        <v>968</v>
      </c>
      <c r="D964" s="13" t="s">
        <v>2662</v>
      </c>
      <c r="E964" s="13" t="s">
        <v>5268</v>
      </c>
      <c r="F964" s="13" t="s">
        <v>5269</v>
      </c>
      <c r="G964" s="13" t="s">
        <v>5270</v>
      </c>
      <c r="H964" s="13" t="s">
        <v>5271</v>
      </c>
    </row>
    <row r="965" customFormat="false" ht="15" hidden="false" customHeight="true" outlineLevel="0" collapsed="false">
      <c r="A965" s="13" t="s">
        <v>155</v>
      </c>
      <c r="B965" s="13" t="s">
        <v>974</v>
      </c>
      <c r="C965" s="11" t="s">
        <v>975</v>
      </c>
      <c r="D965" s="13" t="s">
        <v>5272</v>
      </c>
      <c r="E965" s="13" t="s">
        <v>5273</v>
      </c>
      <c r="F965" s="13" t="s">
        <v>5274</v>
      </c>
      <c r="G965" s="13" t="s">
        <v>5275</v>
      </c>
      <c r="H965" s="13" t="s">
        <v>5276</v>
      </c>
    </row>
    <row r="966" customFormat="false" ht="15" hidden="false" customHeight="true" outlineLevel="0" collapsed="false">
      <c r="A966" s="13" t="s">
        <v>155</v>
      </c>
      <c r="B966" s="13" t="s">
        <v>981</v>
      </c>
      <c r="C966" s="11" t="s">
        <v>982</v>
      </c>
      <c r="D966" s="13" t="s">
        <v>5277</v>
      </c>
      <c r="E966" s="13" t="s">
        <v>5278</v>
      </c>
      <c r="F966" s="13" t="s">
        <v>5279</v>
      </c>
      <c r="G966" s="13" t="s">
        <v>5280</v>
      </c>
      <c r="H966" s="13" t="s">
        <v>5281</v>
      </c>
    </row>
    <row r="967" customFormat="false" ht="15" hidden="false" customHeight="true" outlineLevel="0" collapsed="false">
      <c r="A967" s="13" t="s">
        <v>155</v>
      </c>
      <c r="B967" s="13" t="s">
        <v>988</v>
      </c>
      <c r="C967" s="11" t="s">
        <v>989</v>
      </c>
      <c r="D967" s="13" t="s">
        <v>5282</v>
      </c>
      <c r="E967" s="13" t="s">
        <v>5283</v>
      </c>
      <c r="F967" s="13" t="s">
        <v>5284</v>
      </c>
      <c r="G967" s="13" t="s">
        <v>5285</v>
      </c>
      <c r="H967" s="13" t="s">
        <v>5286</v>
      </c>
    </row>
    <row r="968" customFormat="false" ht="15" hidden="false" customHeight="true" outlineLevel="0" collapsed="false">
      <c r="A968" s="13" t="s">
        <v>155</v>
      </c>
      <c r="B968" s="13" t="s">
        <v>995</v>
      </c>
      <c r="C968" s="11" t="s">
        <v>996</v>
      </c>
      <c r="D968" s="13" t="s">
        <v>5287</v>
      </c>
      <c r="E968" s="13" t="s">
        <v>5288</v>
      </c>
      <c r="F968" s="13" t="s">
        <v>5289</v>
      </c>
      <c r="G968" s="13" t="s">
        <v>5290</v>
      </c>
      <c r="H968" s="13" t="s">
        <v>5291</v>
      </c>
    </row>
    <row r="969" customFormat="false" ht="15" hidden="false" customHeight="true" outlineLevel="0" collapsed="false">
      <c r="A969" s="13" t="s">
        <v>155</v>
      </c>
      <c r="B969" s="13" t="s">
        <v>1002</v>
      </c>
      <c r="C969" s="11" t="s">
        <v>1003</v>
      </c>
      <c r="D969" s="13" t="s">
        <v>5292</v>
      </c>
      <c r="E969" s="13" t="s">
        <v>5293</v>
      </c>
      <c r="F969" s="13" t="s">
        <v>5294</v>
      </c>
      <c r="G969" s="13" t="s">
        <v>5295</v>
      </c>
      <c r="H969" s="13" t="s">
        <v>5296</v>
      </c>
    </row>
    <row r="970" customFormat="false" ht="15" hidden="false" customHeight="true" outlineLevel="0" collapsed="false">
      <c r="A970" s="13" t="s">
        <v>155</v>
      </c>
      <c r="B970" s="13" t="s">
        <v>1009</v>
      </c>
      <c r="C970" s="11" t="s">
        <v>1010</v>
      </c>
      <c r="D970" s="13" t="s">
        <v>5297</v>
      </c>
      <c r="E970" s="13" t="s">
        <v>5298</v>
      </c>
      <c r="F970" s="13" t="s">
        <v>5299</v>
      </c>
      <c r="G970" s="13" t="s">
        <v>5300</v>
      </c>
      <c r="H970" s="13" t="s">
        <v>5301</v>
      </c>
    </row>
    <row r="971" customFormat="false" ht="15" hidden="false" customHeight="true" outlineLevel="0" collapsed="false">
      <c r="A971" s="13" t="s">
        <v>163</v>
      </c>
      <c r="B971" s="13" t="s">
        <v>345</v>
      </c>
      <c r="C971" s="11" t="s">
        <v>346</v>
      </c>
      <c r="D971" s="13" t="s">
        <v>3406</v>
      </c>
      <c r="E971" s="13" t="s">
        <v>5302</v>
      </c>
      <c r="F971" s="13" t="s">
        <v>5303</v>
      </c>
      <c r="G971" s="13" t="s">
        <v>5304</v>
      </c>
      <c r="H971" s="13" t="s">
        <v>5305</v>
      </c>
    </row>
    <row r="972" customFormat="false" ht="15" hidden="false" customHeight="true" outlineLevel="0" collapsed="false">
      <c r="A972" s="13" t="s">
        <v>163</v>
      </c>
      <c r="B972" s="13" t="s">
        <v>352</v>
      </c>
      <c r="C972" s="11" t="s">
        <v>353</v>
      </c>
      <c r="D972" s="13" t="s">
        <v>5306</v>
      </c>
      <c r="E972" s="13" t="s">
        <v>5307</v>
      </c>
      <c r="F972" s="13" t="s">
        <v>5308</v>
      </c>
      <c r="G972" s="13" t="s">
        <v>5309</v>
      </c>
      <c r="H972" s="13" t="s">
        <v>5310</v>
      </c>
    </row>
    <row r="973" customFormat="false" ht="15" hidden="false" customHeight="true" outlineLevel="0" collapsed="false">
      <c r="A973" s="13" t="s">
        <v>163</v>
      </c>
      <c r="B973" s="13" t="s">
        <v>359</v>
      </c>
      <c r="C973" s="11" t="s">
        <v>360</v>
      </c>
      <c r="D973" s="13" t="s">
        <v>5311</v>
      </c>
      <c r="E973" s="13" t="s">
        <v>5312</v>
      </c>
      <c r="F973" s="13" t="s">
        <v>5313</v>
      </c>
      <c r="G973" s="13" t="s">
        <v>5314</v>
      </c>
      <c r="H973" s="13" t="s">
        <v>5315</v>
      </c>
    </row>
    <row r="974" customFormat="false" ht="15" hidden="false" customHeight="true" outlineLevel="0" collapsed="false">
      <c r="A974" s="13" t="s">
        <v>163</v>
      </c>
      <c r="B974" s="13" t="s">
        <v>366</v>
      </c>
      <c r="C974" s="11" t="s">
        <v>367</v>
      </c>
      <c r="D974" s="13" t="s">
        <v>5316</v>
      </c>
      <c r="E974" s="13" t="s">
        <v>5317</v>
      </c>
      <c r="F974" s="13" t="s">
        <v>5318</v>
      </c>
      <c r="G974" s="13" t="s">
        <v>5319</v>
      </c>
      <c r="H974" s="13" t="s">
        <v>5320</v>
      </c>
    </row>
    <row r="975" customFormat="false" ht="15" hidden="false" customHeight="true" outlineLevel="0" collapsed="false">
      <c r="A975" s="13" t="s">
        <v>163</v>
      </c>
      <c r="B975" s="13" t="s">
        <v>373</v>
      </c>
      <c r="C975" s="11" t="s">
        <v>374</v>
      </c>
      <c r="D975" s="13" t="s">
        <v>5321</v>
      </c>
      <c r="E975" s="13" t="s">
        <v>5322</v>
      </c>
      <c r="F975" s="13" t="s">
        <v>5323</v>
      </c>
      <c r="G975" s="13" t="s">
        <v>5324</v>
      </c>
      <c r="H975" s="13" t="s">
        <v>5325</v>
      </c>
    </row>
    <row r="976" customFormat="false" ht="15" hidden="false" customHeight="true" outlineLevel="0" collapsed="false">
      <c r="A976" s="13" t="s">
        <v>163</v>
      </c>
      <c r="B976" s="13" t="s">
        <v>380</v>
      </c>
      <c r="C976" s="11" t="s">
        <v>381</v>
      </c>
      <c r="D976" s="13" t="s">
        <v>5326</v>
      </c>
      <c r="E976" s="13" t="s">
        <v>5327</v>
      </c>
      <c r="F976" s="13" t="s">
        <v>5328</v>
      </c>
      <c r="G976" s="13" t="s">
        <v>5329</v>
      </c>
      <c r="H976" s="13" t="s">
        <v>5330</v>
      </c>
    </row>
    <row r="977" customFormat="false" ht="15" hidden="false" customHeight="true" outlineLevel="0" collapsed="false">
      <c r="A977" s="13" t="s">
        <v>163</v>
      </c>
      <c r="B977" s="13" t="s">
        <v>387</v>
      </c>
      <c r="C977" s="11" t="s">
        <v>388</v>
      </c>
      <c r="D977" s="13" t="s">
        <v>5331</v>
      </c>
      <c r="E977" s="13" t="s">
        <v>5332</v>
      </c>
      <c r="F977" s="13" t="s">
        <v>5333</v>
      </c>
      <c r="G977" s="13" t="s">
        <v>5334</v>
      </c>
      <c r="H977" s="13" t="s">
        <v>5335</v>
      </c>
    </row>
    <row r="978" customFormat="false" ht="15" hidden="false" customHeight="true" outlineLevel="0" collapsed="false">
      <c r="A978" s="13" t="s">
        <v>163</v>
      </c>
      <c r="B978" s="13" t="s">
        <v>394</v>
      </c>
      <c r="C978" s="11" t="s">
        <v>395</v>
      </c>
      <c r="D978" s="13" t="s">
        <v>5336</v>
      </c>
      <c r="E978" s="13" t="s">
        <v>5337</v>
      </c>
      <c r="F978" s="13" t="s">
        <v>5338</v>
      </c>
      <c r="G978" s="13" t="s">
        <v>5339</v>
      </c>
      <c r="H978" s="13" t="s">
        <v>5340</v>
      </c>
    </row>
    <row r="979" customFormat="false" ht="15" hidden="false" customHeight="true" outlineLevel="0" collapsed="false">
      <c r="A979" s="13" t="s">
        <v>163</v>
      </c>
      <c r="B979" s="13" t="s">
        <v>401</v>
      </c>
      <c r="C979" s="11" t="s">
        <v>402</v>
      </c>
      <c r="D979" s="13" t="s">
        <v>5341</v>
      </c>
      <c r="E979" s="13" t="s">
        <v>5342</v>
      </c>
      <c r="F979" s="13" t="s">
        <v>5343</v>
      </c>
      <c r="G979" s="13" t="s">
        <v>5344</v>
      </c>
      <c r="H979" s="13" t="s">
        <v>5345</v>
      </c>
    </row>
    <row r="980" customFormat="false" ht="15" hidden="false" customHeight="true" outlineLevel="0" collapsed="false">
      <c r="A980" s="13" t="s">
        <v>163</v>
      </c>
      <c r="B980" s="13" t="s">
        <v>408</v>
      </c>
      <c r="C980" s="11" t="s">
        <v>409</v>
      </c>
      <c r="D980" s="13" t="s">
        <v>5346</v>
      </c>
      <c r="E980" s="13" t="s">
        <v>5347</v>
      </c>
      <c r="F980" s="13" t="s">
        <v>5348</v>
      </c>
      <c r="G980" s="13" t="s">
        <v>5349</v>
      </c>
      <c r="H980" s="13" t="s">
        <v>5350</v>
      </c>
    </row>
    <row r="981" customFormat="false" ht="15" hidden="false" customHeight="true" outlineLevel="0" collapsed="false">
      <c r="A981" s="13" t="s">
        <v>163</v>
      </c>
      <c r="B981" s="13" t="s">
        <v>415</v>
      </c>
      <c r="C981" s="11" t="s">
        <v>416</v>
      </c>
      <c r="D981" s="13" t="s">
        <v>5351</v>
      </c>
      <c r="E981" s="13" t="s">
        <v>5352</v>
      </c>
      <c r="F981" s="13" t="s">
        <v>5353</v>
      </c>
      <c r="G981" s="13" t="s">
        <v>5354</v>
      </c>
      <c r="H981" s="13" t="s">
        <v>5355</v>
      </c>
    </row>
    <row r="982" customFormat="false" ht="15" hidden="false" customHeight="true" outlineLevel="0" collapsed="false">
      <c r="A982" s="13" t="s">
        <v>163</v>
      </c>
      <c r="B982" s="13" t="s">
        <v>422</v>
      </c>
      <c r="C982" s="11" t="s">
        <v>423</v>
      </c>
      <c r="D982" s="13" t="s">
        <v>5356</v>
      </c>
      <c r="E982" s="13" t="s">
        <v>5357</v>
      </c>
      <c r="F982" s="13" t="s">
        <v>5358</v>
      </c>
      <c r="G982" s="13" t="s">
        <v>5359</v>
      </c>
      <c r="H982" s="13" t="s">
        <v>5360</v>
      </c>
    </row>
    <row r="983" customFormat="false" ht="15" hidden="false" customHeight="true" outlineLevel="0" collapsed="false">
      <c r="A983" s="13" t="s">
        <v>163</v>
      </c>
      <c r="B983" s="13" t="s">
        <v>429</v>
      </c>
      <c r="C983" s="11" t="s">
        <v>430</v>
      </c>
      <c r="D983" s="13" t="s">
        <v>5361</v>
      </c>
      <c r="E983" s="13" t="s">
        <v>5362</v>
      </c>
      <c r="F983" s="13" t="s">
        <v>5363</v>
      </c>
      <c r="G983" s="13" t="s">
        <v>5364</v>
      </c>
      <c r="H983" s="13" t="s">
        <v>5365</v>
      </c>
    </row>
    <row r="984" customFormat="false" ht="15" hidden="false" customHeight="true" outlineLevel="0" collapsed="false">
      <c r="A984" s="13" t="s">
        <v>163</v>
      </c>
      <c r="B984" s="13" t="s">
        <v>436</v>
      </c>
      <c r="C984" s="11" t="s">
        <v>437</v>
      </c>
      <c r="D984" s="13" t="s">
        <v>2994</v>
      </c>
      <c r="E984" s="13" t="s">
        <v>3153</v>
      </c>
      <c r="F984" s="13" t="s">
        <v>5366</v>
      </c>
      <c r="G984" s="13" t="s">
        <v>5367</v>
      </c>
      <c r="H984" s="13" t="s">
        <v>5368</v>
      </c>
    </row>
    <row r="985" customFormat="false" ht="15" hidden="false" customHeight="true" outlineLevel="0" collapsed="false">
      <c r="A985" s="13" t="s">
        <v>163</v>
      </c>
      <c r="B985" s="13" t="s">
        <v>443</v>
      </c>
      <c r="C985" s="11" t="s">
        <v>444</v>
      </c>
      <c r="D985" s="13" t="s">
        <v>5369</v>
      </c>
      <c r="E985" s="13" t="s">
        <v>5370</v>
      </c>
      <c r="F985" s="13" t="s">
        <v>5371</v>
      </c>
      <c r="G985" s="13" t="s">
        <v>5372</v>
      </c>
      <c r="H985" s="13" t="s">
        <v>5373</v>
      </c>
    </row>
    <row r="986" customFormat="false" ht="15" hidden="false" customHeight="true" outlineLevel="0" collapsed="false">
      <c r="A986" s="13" t="s">
        <v>163</v>
      </c>
      <c r="B986" s="13" t="s">
        <v>450</v>
      </c>
      <c r="C986" s="11" t="s">
        <v>451</v>
      </c>
      <c r="D986" s="13" t="s">
        <v>5374</v>
      </c>
      <c r="E986" s="13" t="s">
        <v>5375</v>
      </c>
      <c r="F986" s="13" t="s">
        <v>5376</v>
      </c>
      <c r="G986" s="13" t="s">
        <v>5377</v>
      </c>
      <c r="H986" s="13" t="s">
        <v>5378</v>
      </c>
    </row>
    <row r="987" customFormat="false" ht="15" hidden="false" customHeight="true" outlineLevel="0" collapsed="false">
      <c r="A987" s="13" t="s">
        <v>163</v>
      </c>
      <c r="B987" s="13" t="s">
        <v>457</v>
      </c>
      <c r="C987" s="11" t="s">
        <v>458</v>
      </c>
      <c r="D987" s="13" t="s">
        <v>5379</v>
      </c>
      <c r="E987" s="13" t="s">
        <v>5380</v>
      </c>
      <c r="F987" s="13" t="s">
        <v>5381</v>
      </c>
      <c r="G987" s="13" t="s">
        <v>5382</v>
      </c>
      <c r="H987" s="13" t="s">
        <v>5383</v>
      </c>
    </row>
    <row r="988" customFormat="false" ht="15" hidden="false" customHeight="true" outlineLevel="0" collapsed="false">
      <c r="A988" s="13" t="s">
        <v>163</v>
      </c>
      <c r="B988" s="13" t="s">
        <v>464</v>
      </c>
      <c r="C988" s="11" t="s">
        <v>465</v>
      </c>
      <c r="D988" s="13" t="s">
        <v>5384</v>
      </c>
      <c r="E988" s="13" t="s">
        <v>5385</v>
      </c>
      <c r="F988" s="13" t="s">
        <v>5386</v>
      </c>
      <c r="G988" s="13" t="s">
        <v>5387</v>
      </c>
      <c r="H988" s="13" t="s">
        <v>5388</v>
      </c>
    </row>
    <row r="989" customFormat="false" ht="15" hidden="false" customHeight="true" outlineLevel="0" collapsed="false">
      <c r="A989" s="13" t="s">
        <v>163</v>
      </c>
      <c r="B989" s="13" t="s">
        <v>471</v>
      </c>
      <c r="C989" s="11" t="s">
        <v>472</v>
      </c>
      <c r="D989" s="13" t="s">
        <v>5389</v>
      </c>
      <c r="E989" s="13" t="s">
        <v>832</v>
      </c>
      <c r="F989" s="13" t="s">
        <v>5390</v>
      </c>
      <c r="G989" s="13" t="s">
        <v>5391</v>
      </c>
      <c r="H989" s="13" t="s">
        <v>5392</v>
      </c>
    </row>
    <row r="990" customFormat="false" ht="15" hidden="false" customHeight="true" outlineLevel="0" collapsed="false">
      <c r="A990" s="13" t="s">
        <v>163</v>
      </c>
      <c r="B990" s="13" t="s">
        <v>478</v>
      </c>
      <c r="C990" s="11" t="s">
        <v>479</v>
      </c>
      <c r="D990" s="13" t="s">
        <v>5393</v>
      </c>
      <c r="E990" s="13" t="s">
        <v>5394</v>
      </c>
      <c r="F990" s="13" t="s">
        <v>5395</v>
      </c>
      <c r="G990" s="13" t="s">
        <v>5396</v>
      </c>
      <c r="H990" s="13" t="s">
        <v>5397</v>
      </c>
    </row>
    <row r="991" customFormat="false" ht="15" hidden="false" customHeight="true" outlineLevel="0" collapsed="false">
      <c r="A991" s="13" t="s">
        <v>163</v>
      </c>
      <c r="B991" s="13" t="s">
        <v>485</v>
      </c>
      <c r="C991" s="11" t="s">
        <v>486</v>
      </c>
      <c r="D991" s="13" t="s">
        <v>5398</v>
      </c>
      <c r="E991" s="13" t="s">
        <v>5399</v>
      </c>
      <c r="F991" s="13" t="s">
        <v>5400</v>
      </c>
      <c r="G991" s="13" t="s">
        <v>5401</v>
      </c>
      <c r="H991" s="13" t="s">
        <v>5402</v>
      </c>
    </row>
    <row r="992" customFormat="false" ht="15" hidden="false" customHeight="true" outlineLevel="0" collapsed="false">
      <c r="A992" s="13" t="s">
        <v>163</v>
      </c>
      <c r="B992" s="13" t="s">
        <v>492</v>
      </c>
      <c r="C992" s="11" t="s">
        <v>493</v>
      </c>
      <c r="D992" s="13" t="s">
        <v>5403</v>
      </c>
      <c r="E992" s="13" t="s">
        <v>5404</v>
      </c>
      <c r="F992" s="13" t="s">
        <v>5405</v>
      </c>
      <c r="G992" s="13" t="s">
        <v>5406</v>
      </c>
      <c r="H992" s="13" t="s">
        <v>5407</v>
      </c>
    </row>
    <row r="993" customFormat="false" ht="15" hidden="false" customHeight="true" outlineLevel="0" collapsed="false">
      <c r="A993" s="13" t="s">
        <v>163</v>
      </c>
      <c r="B993" s="13" t="s">
        <v>499</v>
      </c>
      <c r="C993" s="11" t="s">
        <v>500</v>
      </c>
      <c r="D993" s="13" t="s">
        <v>5408</v>
      </c>
      <c r="E993" s="13" t="s">
        <v>5409</v>
      </c>
      <c r="F993" s="13" t="s">
        <v>5410</v>
      </c>
      <c r="G993" s="13" t="s">
        <v>5411</v>
      </c>
      <c r="H993" s="13" t="s">
        <v>5412</v>
      </c>
    </row>
    <row r="994" customFormat="false" ht="15" hidden="false" customHeight="true" outlineLevel="0" collapsed="false">
      <c r="A994" s="13" t="s">
        <v>163</v>
      </c>
      <c r="B994" s="13" t="s">
        <v>506</v>
      </c>
      <c r="C994" s="11" t="s">
        <v>507</v>
      </c>
      <c r="D994" s="13" t="s">
        <v>5413</v>
      </c>
      <c r="E994" s="13" t="s">
        <v>5414</v>
      </c>
      <c r="F994" s="13" t="s">
        <v>5415</v>
      </c>
      <c r="G994" s="13" t="s">
        <v>5416</v>
      </c>
      <c r="H994" s="13" t="s">
        <v>5417</v>
      </c>
    </row>
    <row r="995" customFormat="false" ht="15" hidden="false" customHeight="true" outlineLevel="0" collapsed="false">
      <c r="A995" s="13" t="s">
        <v>163</v>
      </c>
      <c r="B995" s="13" t="s">
        <v>513</v>
      </c>
      <c r="C995" s="11" t="s">
        <v>514</v>
      </c>
      <c r="D995" s="13" t="s">
        <v>5418</v>
      </c>
      <c r="E995" s="13" t="s">
        <v>5419</v>
      </c>
      <c r="F995" s="13" t="s">
        <v>5420</v>
      </c>
      <c r="G995" s="13" t="s">
        <v>5421</v>
      </c>
      <c r="H995" s="13" t="s">
        <v>5422</v>
      </c>
    </row>
    <row r="996" customFormat="false" ht="15" hidden="false" customHeight="true" outlineLevel="0" collapsed="false">
      <c r="A996" s="13" t="s">
        <v>163</v>
      </c>
      <c r="B996" s="13" t="s">
        <v>520</v>
      </c>
      <c r="C996" s="11" t="s">
        <v>521</v>
      </c>
      <c r="D996" s="13" t="s">
        <v>5423</v>
      </c>
      <c r="E996" s="13" t="s">
        <v>5424</v>
      </c>
      <c r="F996" s="13" t="s">
        <v>5425</v>
      </c>
      <c r="G996" s="13" t="s">
        <v>5426</v>
      </c>
      <c r="H996" s="13" t="s">
        <v>5427</v>
      </c>
    </row>
    <row r="997" customFormat="false" ht="15" hidden="false" customHeight="true" outlineLevel="0" collapsed="false">
      <c r="A997" s="13" t="s">
        <v>163</v>
      </c>
      <c r="B997" s="13" t="s">
        <v>527</v>
      </c>
      <c r="C997" s="11" t="s">
        <v>528</v>
      </c>
      <c r="D997" s="13" t="s">
        <v>5428</v>
      </c>
      <c r="E997" s="13" t="s">
        <v>5429</v>
      </c>
      <c r="F997" s="13" t="s">
        <v>5430</v>
      </c>
      <c r="G997" s="13" t="s">
        <v>5431</v>
      </c>
      <c r="H997" s="13" t="s">
        <v>5432</v>
      </c>
    </row>
    <row r="998" customFormat="false" ht="15" hidden="false" customHeight="true" outlineLevel="0" collapsed="false">
      <c r="A998" s="13" t="s">
        <v>163</v>
      </c>
      <c r="B998" s="13" t="s">
        <v>534</v>
      </c>
      <c r="C998" s="11" t="s">
        <v>535</v>
      </c>
      <c r="D998" s="13" t="s">
        <v>5433</v>
      </c>
      <c r="E998" s="13" t="s">
        <v>5434</v>
      </c>
      <c r="F998" s="13" t="s">
        <v>5435</v>
      </c>
      <c r="G998" s="13" t="s">
        <v>5436</v>
      </c>
      <c r="H998" s="13" t="s">
        <v>5437</v>
      </c>
    </row>
    <row r="999" customFormat="false" ht="15" hidden="false" customHeight="true" outlineLevel="0" collapsed="false">
      <c r="A999" s="13" t="s">
        <v>163</v>
      </c>
      <c r="B999" s="13" t="s">
        <v>541</v>
      </c>
      <c r="C999" s="11" t="s">
        <v>542</v>
      </c>
      <c r="D999" s="13" t="s">
        <v>5438</v>
      </c>
      <c r="E999" s="13" t="s">
        <v>5439</v>
      </c>
      <c r="F999" s="13" t="s">
        <v>5440</v>
      </c>
      <c r="G999" s="13" t="s">
        <v>5441</v>
      </c>
      <c r="H999" s="13" t="s">
        <v>5442</v>
      </c>
    </row>
    <row r="1000" customFormat="false" ht="15" hidden="false" customHeight="true" outlineLevel="0" collapsed="false">
      <c r="A1000" s="13" t="s">
        <v>163</v>
      </c>
      <c r="B1000" s="13" t="s">
        <v>548</v>
      </c>
      <c r="C1000" s="11" t="s">
        <v>549</v>
      </c>
      <c r="D1000" s="13" t="s">
        <v>5443</v>
      </c>
      <c r="E1000" s="13" t="s">
        <v>5444</v>
      </c>
      <c r="F1000" s="13" t="s">
        <v>5445</v>
      </c>
      <c r="G1000" s="13" t="s">
        <v>5446</v>
      </c>
      <c r="H1000" s="13" t="s">
        <v>5447</v>
      </c>
    </row>
    <row r="1001" customFormat="false" ht="15" hidden="false" customHeight="true" outlineLevel="0" collapsed="false">
      <c r="A1001" s="13" t="s">
        <v>163</v>
      </c>
      <c r="B1001" s="13" t="s">
        <v>555</v>
      </c>
      <c r="C1001" s="11" t="s">
        <v>556</v>
      </c>
      <c r="D1001" s="13" t="s">
        <v>5448</v>
      </c>
      <c r="E1001" s="13" t="s">
        <v>5449</v>
      </c>
      <c r="F1001" s="13" t="s">
        <v>5450</v>
      </c>
      <c r="G1001" s="13" t="s">
        <v>5451</v>
      </c>
      <c r="H1001" s="13" t="s">
        <v>5452</v>
      </c>
    </row>
    <row r="1002" customFormat="false" ht="15" hidden="false" customHeight="true" outlineLevel="0" collapsed="false">
      <c r="A1002" s="13" t="s">
        <v>163</v>
      </c>
      <c r="B1002" s="13" t="s">
        <v>562</v>
      </c>
      <c r="C1002" s="11" t="s">
        <v>563</v>
      </c>
      <c r="D1002" s="13" t="s">
        <v>5453</v>
      </c>
      <c r="E1002" s="13" t="s">
        <v>5454</v>
      </c>
      <c r="F1002" s="13" t="s">
        <v>5455</v>
      </c>
      <c r="G1002" s="13" t="s">
        <v>5456</v>
      </c>
      <c r="H1002" s="13" t="s">
        <v>5457</v>
      </c>
    </row>
    <row r="1003" customFormat="false" ht="15" hidden="false" customHeight="true" outlineLevel="0" collapsed="false">
      <c r="A1003" s="13" t="s">
        <v>163</v>
      </c>
      <c r="B1003" s="13" t="s">
        <v>569</v>
      </c>
      <c r="C1003" s="11" t="s">
        <v>570</v>
      </c>
      <c r="D1003" s="13" t="s">
        <v>5458</v>
      </c>
      <c r="E1003" s="13" t="s">
        <v>5459</v>
      </c>
      <c r="F1003" s="13" t="s">
        <v>5460</v>
      </c>
      <c r="G1003" s="13" t="s">
        <v>5461</v>
      </c>
      <c r="H1003" s="13" t="s">
        <v>5462</v>
      </c>
    </row>
    <row r="1004" customFormat="false" ht="15" hidden="false" customHeight="true" outlineLevel="0" collapsed="false">
      <c r="A1004" s="13" t="s">
        <v>163</v>
      </c>
      <c r="B1004" s="13" t="s">
        <v>576</v>
      </c>
      <c r="C1004" s="11" t="s">
        <v>577</v>
      </c>
      <c r="D1004" s="13" t="s">
        <v>5463</v>
      </c>
      <c r="E1004" s="13" t="s">
        <v>5464</v>
      </c>
      <c r="F1004" s="13" t="s">
        <v>5465</v>
      </c>
      <c r="G1004" s="13" t="s">
        <v>5466</v>
      </c>
      <c r="H1004" s="13" t="s">
        <v>5467</v>
      </c>
    </row>
    <row r="1005" customFormat="false" ht="15" hidden="false" customHeight="true" outlineLevel="0" collapsed="false">
      <c r="A1005" s="13" t="s">
        <v>163</v>
      </c>
      <c r="B1005" s="13" t="s">
        <v>583</v>
      </c>
      <c r="C1005" s="11" t="s">
        <v>584</v>
      </c>
      <c r="D1005" s="13" t="s">
        <v>5468</v>
      </c>
      <c r="E1005" s="13" t="s">
        <v>5469</v>
      </c>
      <c r="F1005" s="13" t="s">
        <v>5470</v>
      </c>
      <c r="G1005" s="13" t="s">
        <v>5471</v>
      </c>
      <c r="H1005" s="13" t="s">
        <v>5472</v>
      </c>
    </row>
    <row r="1006" customFormat="false" ht="15" hidden="false" customHeight="true" outlineLevel="0" collapsed="false">
      <c r="A1006" s="13" t="s">
        <v>163</v>
      </c>
      <c r="B1006" s="13" t="s">
        <v>590</v>
      </c>
      <c r="C1006" s="11" t="s">
        <v>591</v>
      </c>
      <c r="D1006" s="13" t="s">
        <v>5473</v>
      </c>
      <c r="E1006" s="13" t="s">
        <v>5474</v>
      </c>
      <c r="F1006" s="13" t="s">
        <v>5475</v>
      </c>
      <c r="G1006" s="13" t="s">
        <v>5476</v>
      </c>
      <c r="H1006" s="13" t="s">
        <v>5477</v>
      </c>
    </row>
    <row r="1007" customFormat="false" ht="15" hidden="false" customHeight="true" outlineLevel="0" collapsed="false">
      <c r="A1007" s="13" t="s">
        <v>163</v>
      </c>
      <c r="B1007" s="13" t="s">
        <v>597</v>
      </c>
      <c r="C1007" s="11" t="s">
        <v>598</v>
      </c>
      <c r="D1007" s="13" t="s">
        <v>5478</v>
      </c>
      <c r="E1007" s="13" t="s">
        <v>5479</v>
      </c>
      <c r="F1007" s="13" t="s">
        <v>5480</v>
      </c>
      <c r="G1007" s="13" t="s">
        <v>5481</v>
      </c>
      <c r="H1007" s="13" t="s">
        <v>5482</v>
      </c>
    </row>
    <row r="1008" customFormat="false" ht="15" hidden="false" customHeight="true" outlineLevel="0" collapsed="false">
      <c r="A1008" s="13" t="s">
        <v>163</v>
      </c>
      <c r="B1008" s="13" t="s">
        <v>604</v>
      </c>
      <c r="C1008" s="11" t="s">
        <v>605</v>
      </c>
      <c r="D1008" s="13" t="s">
        <v>5483</v>
      </c>
      <c r="E1008" s="13" t="s">
        <v>5484</v>
      </c>
      <c r="F1008" s="13" t="s">
        <v>5485</v>
      </c>
      <c r="G1008" s="13" t="s">
        <v>5486</v>
      </c>
      <c r="H1008" s="13" t="s">
        <v>5487</v>
      </c>
    </row>
    <row r="1009" customFormat="false" ht="15" hidden="false" customHeight="true" outlineLevel="0" collapsed="false">
      <c r="A1009" s="13" t="s">
        <v>163</v>
      </c>
      <c r="B1009" s="13" t="s">
        <v>611</v>
      </c>
      <c r="C1009" s="11" t="s">
        <v>612</v>
      </c>
      <c r="D1009" s="13" t="s">
        <v>5488</v>
      </c>
      <c r="E1009" s="13" t="s">
        <v>5489</v>
      </c>
      <c r="F1009" s="13" t="s">
        <v>5490</v>
      </c>
      <c r="G1009" s="13" t="s">
        <v>5491</v>
      </c>
      <c r="H1009" s="13" t="s">
        <v>5492</v>
      </c>
    </row>
    <row r="1010" customFormat="false" ht="15" hidden="false" customHeight="true" outlineLevel="0" collapsed="false">
      <c r="A1010" s="13" t="s">
        <v>163</v>
      </c>
      <c r="B1010" s="13" t="s">
        <v>618</v>
      </c>
      <c r="C1010" s="11" t="s">
        <v>619</v>
      </c>
      <c r="D1010" s="13" t="s">
        <v>5493</v>
      </c>
      <c r="E1010" s="13" t="s">
        <v>5494</v>
      </c>
      <c r="F1010" s="13" t="s">
        <v>5495</v>
      </c>
      <c r="G1010" s="13" t="s">
        <v>5496</v>
      </c>
      <c r="H1010" s="13" t="s">
        <v>5497</v>
      </c>
    </row>
    <row r="1011" customFormat="false" ht="15" hidden="false" customHeight="true" outlineLevel="0" collapsed="false">
      <c r="A1011" s="13" t="s">
        <v>163</v>
      </c>
      <c r="B1011" s="13" t="s">
        <v>625</v>
      </c>
      <c r="C1011" s="11" t="s">
        <v>626</v>
      </c>
      <c r="D1011" s="13" t="s">
        <v>5498</v>
      </c>
      <c r="E1011" s="13" t="s">
        <v>5499</v>
      </c>
      <c r="F1011" s="13" t="s">
        <v>5500</v>
      </c>
      <c r="G1011" s="13" t="s">
        <v>5501</v>
      </c>
      <c r="H1011" s="13" t="s">
        <v>5502</v>
      </c>
    </row>
    <row r="1012" customFormat="false" ht="15" hidden="false" customHeight="true" outlineLevel="0" collapsed="false">
      <c r="A1012" s="13" t="s">
        <v>163</v>
      </c>
      <c r="B1012" s="13" t="s">
        <v>632</v>
      </c>
      <c r="C1012" s="11" t="s">
        <v>633</v>
      </c>
      <c r="D1012" s="13" t="s">
        <v>5503</v>
      </c>
      <c r="E1012" s="13" t="s">
        <v>5504</v>
      </c>
      <c r="F1012" s="13" t="s">
        <v>5505</v>
      </c>
      <c r="G1012" s="13" t="s">
        <v>5506</v>
      </c>
      <c r="H1012" s="13" t="s">
        <v>5507</v>
      </c>
    </row>
    <row r="1013" customFormat="false" ht="15" hidden="false" customHeight="true" outlineLevel="0" collapsed="false">
      <c r="A1013" s="13" t="s">
        <v>163</v>
      </c>
      <c r="B1013" s="13" t="s">
        <v>639</v>
      </c>
      <c r="C1013" s="11" t="s">
        <v>640</v>
      </c>
      <c r="D1013" s="13" t="s">
        <v>5508</v>
      </c>
      <c r="E1013" s="13" t="s">
        <v>5509</v>
      </c>
      <c r="F1013" s="13" t="s">
        <v>5510</v>
      </c>
      <c r="G1013" s="13" t="s">
        <v>5511</v>
      </c>
      <c r="H1013" s="13" t="s">
        <v>5512</v>
      </c>
    </row>
    <row r="1014" customFormat="false" ht="15" hidden="false" customHeight="true" outlineLevel="0" collapsed="false">
      <c r="A1014" s="13" t="s">
        <v>163</v>
      </c>
      <c r="B1014" s="13" t="s">
        <v>646</v>
      </c>
      <c r="C1014" s="11" t="s">
        <v>647</v>
      </c>
      <c r="D1014" s="13" t="s">
        <v>5513</v>
      </c>
      <c r="E1014" s="13" t="s">
        <v>5514</v>
      </c>
      <c r="F1014" s="13" t="s">
        <v>5515</v>
      </c>
      <c r="G1014" s="13" t="s">
        <v>5516</v>
      </c>
      <c r="H1014" s="13" t="s">
        <v>5517</v>
      </c>
    </row>
    <row r="1015" customFormat="false" ht="15" hidden="false" customHeight="true" outlineLevel="0" collapsed="false">
      <c r="A1015" s="13" t="s">
        <v>163</v>
      </c>
      <c r="B1015" s="13" t="s">
        <v>653</v>
      </c>
      <c r="C1015" s="11" t="s">
        <v>654</v>
      </c>
      <c r="D1015" s="13" t="s">
        <v>5518</v>
      </c>
      <c r="E1015" s="13" t="s">
        <v>5519</v>
      </c>
      <c r="F1015" s="13" t="s">
        <v>5520</v>
      </c>
      <c r="G1015" s="13" t="s">
        <v>5521</v>
      </c>
      <c r="H1015" s="13" t="s">
        <v>5522</v>
      </c>
    </row>
    <row r="1016" customFormat="false" ht="15" hidden="false" customHeight="true" outlineLevel="0" collapsed="false">
      <c r="A1016" s="13" t="s">
        <v>163</v>
      </c>
      <c r="B1016" s="13" t="s">
        <v>660</v>
      </c>
      <c r="C1016" s="11" t="s">
        <v>661</v>
      </c>
      <c r="D1016" s="13" t="s">
        <v>1976</v>
      </c>
      <c r="E1016" s="13" t="s">
        <v>1242</v>
      </c>
      <c r="F1016" s="13" t="s">
        <v>5523</v>
      </c>
      <c r="G1016" s="13" t="s">
        <v>5524</v>
      </c>
      <c r="H1016" s="13" t="s">
        <v>5525</v>
      </c>
    </row>
    <row r="1017" customFormat="false" ht="15" hidden="false" customHeight="true" outlineLevel="0" collapsed="false">
      <c r="A1017" s="13" t="s">
        <v>163</v>
      </c>
      <c r="B1017" s="13" t="s">
        <v>667</v>
      </c>
      <c r="C1017" s="11" t="s">
        <v>668</v>
      </c>
      <c r="D1017" s="13" t="s">
        <v>5526</v>
      </c>
      <c r="E1017" s="13" t="s">
        <v>5527</v>
      </c>
      <c r="F1017" s="13" t="s">
        <v>5528</v>
      </c>
      <c r="G1017" s="13" t="s">
        <v>5529</v>
      </c>
      <c r="H1017" s="13" t="s">
        <v>5530</v>
      </c>
    </row>
    <row r="1018" customFormat="false" ht="15" hidden="false" customHeight="true" outlineLevel="0" collapsed="false">
      <c r="A1018" s="13" t="s">
        <v>163</v>
      </c>
      <c r="B1018" s="13" t="s">
        <v>674</v>
      </c>
      <c r="C1018" s="11" t="s">
        <v>675</v>
      </c>
      <c r="D1018" s="13" t="s">
        <v>5531</v>
      </c>
      <c r="E1018" s="13" t="s">
        <v>5532</v>
      </c>
      <c r="F1018" s="13" t="s">
        <v>5533</v>
      </c>
      <c r="G1018" s="13" t="s">
        <v>5534</v>
      </c>
      <c r="H1018" s="13" t="s">
        <v>5535</v>
      </c>
    </row>
    <row r="1019" customFormat="false" ht="15" hidden="false" customHeight="true" outlineLevel="0" collapsed="false">
      <c r="A1019" s="13" t="s">
        <v>163</v>
      </c>
      <c r="B1019" s="13" t="s">
        <v>681</v>
      </c>
      <c r="C1019" s="11" t="s">
        <v>682</v>
      </c>
      <c r="D1019" s="13" t="s">
        <v>5536</v>
      </c>
      <c r="E1019" s="13" t="s">
        <v>5537</v>
      </c>
      <c r="F1019" s="13" t="s">
        <v>5538</v>
      </c>
      <c r="G1019" s="13" t="s">
        <v>5539</v>
      </c>
      <c r="H1019" s="13" t="s">
        <v>5540</v>
      </c>
    </row>
    <row r="1020" customFormat="false" ht="15" hidden="false" customHeight="true" outlineLevel="0" collapsed="false">
      <c r="A1020" s="13" t="s">
        <v>163</v>
      </c>
      <c r="B1020" s="13" t="s">
        <v>688</v>
      </c>
      <c r="C1020" s="11" t="s">
        <v>689</v>
      </c>
      <c r="D1020" s="13" t="s">
        <v>5541</v>
      </c>
      <c r="E1020" s="13" t="s">
        <v>5542</v>
      </c>
      <c r="F1020" s="13" t="s">
        <v>5543</v>
      </c>
      <c r="G1020" s="13" t="s">
        <v>5544</v>
      </c>
      <c r="H1020" s="13" t="s">
        <v>5545</v>
      </c>
    </row>
    <row r="1021" customFormat="false" ht="15" hidden="false" customHeight="true" outlineLevel="0" collapsed="false">
      <c r="A1021" s="13" t="s">
        <v>163</v>
      </c>
      <c r="B1021" s="13" t="s">
        <v>695</v>
      </c>
      <c r="C1021" s="11" t="s">
        <v>696</v>
      </c>
      <c r="D1021" s="13" t="s">
        <v>5546</v>
      </c>
      <c r="E1021" s="13" t="s">
        <v>5547</v>
      </c>
      <c r="F1021" s="13" t="s">
        <v>5548</v>
      </c>
      <c r="G1021" s="13" t="s">
        <v>5549</v>
      </c>
      <c r="H1021" s="13" t="s">
        <v>5550</v>
      </c>
    </row>
    <row r="1022" customFormat="false" ht="15" hidden="false" customHeight="true" outlineLevel="0" collapsed="false">
      <c r="A1022" s="13" t="s">
        <v>163</v>
      </c>
      <c r="B1022" s="13" t="s">
        <v>702</v>
      </c>
      <c r="C1022" s="11" t="s">
        <v>703</v>
      </c>
      <c r="D1022" s="13" t="s">
        <v>5551</v>
      </c>
      <c r="E1022" s="13" t="s">
        <v>5552</v>
      </c>
      <c r="F1022" s="13" t="s">
        <v>5553</v>
      </c>
      <c r="G1022" s="13" t="s">
        <v>5554</v>
      </c>
      <c r="H1022" s="13" t="s">
        <v>5555</v>
      </c>
    </row>
    <row r="1023" customFormat="false" ht="15" hidden="false" customHeight="true" outlineLevel="0" collapsed="false">
      <c r="A1023" s="13" t="s">
        <v>163</v>
      </c>
      <c r="B1023" s="13" t="s">
        <v>709</v>
      </c>
      <c r="C1023" s="11" t="s">
        <v>710</v>
      </c>
      <c r="D1023" s="13" t="s">
        <v>5050</v>
      </c>
      <c r="E1023" s="13" t="s">
        <v>5556</v>
      </c>
      <c r="F1023" s="13" t="s">
        <v>5557</v>
      </c>
      <c r="G1023" s="13" t="s">
        <v>5558</v>
      </c>
      <c r="H1023" s="13" t="s">
        <v>5559</v>
      </c>
    </row>
    <row r="1024" customFormat="false" ht="15" hidden="false" customHeight="true" outlineLevel="0" collapsed="false">
      <c r="A1024" s="13" t="s">
        <v>163</v>
      </c>
      <c r="B1024" s="13" t="s">
        <v>716</v>
      </c>
      <c r="C1024" s="11" t="s">
        <v>717</v>
      </c>
      <c r="D1024" s="13" t="s">
        <v>5560</v>
      </c>
      <c r="E1024" s="13" t="s">
        <v>5561</v>
      </c>
      <c r="F1024" s="13" t="s">
        <v>5562</v>
      </c>
      <c r="G1024" s="13" t="s">
        <v>5563</v>
      </c>
      <c r="H1024" s="13" t="s">
        <v>5564</v>
      </c>
    </row>
    <row r="1025" customFormat="false" ht="15" hidden="false" customHeight="true" outlineLevel="0" collapsed="false">
      <c r="A1025" s="13" t="s">
        <v>163</v>
      </c>
      <c r="B1025" s="13" t="s">
        <v>723</v>
      </c>
      <c r="C1025" s="11" t="s">
        <v>724</v>
      </c>
      <c r="D1025" s="13" t="s">
        <v>5565</v>
      </c>
      <c r="E1025" s="13" t="s">
        <v>5566</v>
      </c>
      <c r="F1025" s="13" t="s">
        <v>5567</v>
      </c>
      <c r="G1025" s="13" t="s">
        <v>5568</v>
      </c>
      <c r="H1025" s="13" t="s">
        <v>5569</v>
      </c>
    </row>
    <row r="1026" customFormat="false" ht="15" hidden="false" customHeight="true" outlineLevel="0" collapsed="false">
      <c r="A1026" s="13" t="s">
        <v>163</v>
      </c>
      <c r="B1026" s="13" t="s">
        <v>730</v>
      </c>
      <c r="C1026" s="11" t="s">
        <v>731</v>
      </c>
      <c r="D1026" s="13" t="s">
        <v>5570</v>
      </c>
      <c r="E1026" s="13" t="s">
        <v>5571</v>
      </c>
      <c r="F1026" s="13" t="s">
        <v>5572</v>
      </c>
      <c r="G1026" s="13" t="s">
        <v>5573</v>
      </c>
      <c r="H1026" s="13" t="s">
        <v>5574</v>
      </c>
    </row>
    <row r="1027" customFormat="false" ht="15" hidden="false" customHeight="true" outlineLevel="0" collapsed="false">
      <c r="A1027" s="13" t="s">
        <v>163</v>
      </c>
      <c r="B1027" s="13" t="s">
        <v>737</v>
      </c>
      <c r="C1027" s="11" t="s">
        <v>738</v>
      </c>
      <c r="D1027" s="13" t="s">
        <v>5575</v>
      </c>
      <c r="E1027" s="13" t="s">
        <v>5576</v>
      </c>
      <c r="F1027" s="13" t="s">
        <v>5577</v>
      </c>
      <c r="G1027" s="13" t="s">
        <v>5578</v>
      </c>
      <c r="H1027" s="13" t="s">
        <v>5579</v>
      </c>
    </row>
    <row r="1028" customFormat="false" ht="15" hidden="false" customHeight="true" outlineLevel="0" collapsed="false">
      <c r="A1028" s="13" t="s">
        <v>163</v>
      </c>
      <c r="B1028" s="13" t="s">
        <v>744</v>
      </c>
      <c r="C1028" s="11" t="s">
        <v>745</v>
      </c>
      <c r="D1028" s="13" t="s">
        <v>5580</v>
      </c>
      <c r="E1028" s="13" t="s">
        <v>5581</v>
      </c>
      <c r="F1028" s="13" t="s">
        <v>5582</v>
      </c>
      <c r="G1028" s="13" t="s">
        <v>5583</v>
      </c>
      <c r="H1028" s="13" t="s">
        <v>5584</v>
      </c>
    </row>
    <row r="1029" customFormat="false" ht="15" hidden="false" customHeight="true" outlineLevel="0" collapsed="false">
      <c r="A1029" s="13" t="s">
        <v>163</v>
      </c>
      <c r="B1029" s="13" t="s">
        <v>751</v>
      </c>
      <c r="C1029" s="11" t="s">
        <v>752</v>
      </c>
      <c r="D1029" s="13" t="s">
        <v>5585</v>
      </c>
      <c r="E1029" s="13" t="s">
        <v>4643</v>
      </c>
      <c r="F1029" s="13" t="s">
        <v>5586</v>
      </c>
      <c r="G1029" s="13" t="s">
        <v>5587</v>
      </c>
      <c r="H1029" s="13" t="s">
        <v>5588</v>
      </c>
    </row>
    <row r="1030" customFormat="false" ht="15" hidden="false" customHeight="true" outlineLevel="0" collapsed="false">
      <c r="A1030" s="13" t="s">
        <v>163</v>
      </c>
      <c r="B1030" s="13" t="s">
        <v>758</v>
      </c>
      <c r="C1030" s="11" t="s">
        <v>759</v>
      </c>
      <c r="D1030" s="13" t="s">
        <v>5589</v>
      </c>
      <c r="E1030" s="13" t="s">
        <v>5590</v>
      </c>
      <c r="F1030" s="13" t="s">
        <v>5591</v>
      </c>
      <c r="G1030" s="13" t="s">
        <v>5592</v>
      </c>
      <c r="H1030" s="13" t="s">
        <v>5593</v>
      </c>
    </row>
    <row r="1031" customFormat="false" ht="15" hidden="false" customHeight="true" outlineLevel="0" collapsed="false">
      <c r="A1031" s="13" t="s">
        <v>163</v>
      </c>
      <c r="B1031" s="13" t="s">
        <v>765</v>
      </c>
      <c r="C1031" s="11" t="s">
        <v>766</v>
      </c>
      <c r="D1031" s="13" t="s">
        <v>5594</v>
      </c>
      <c r="E1031" s="13" t="s">
        <v>5595</v>
      </c>
      <c r="F1031" s="13" t="s">
        <v>5596</v>
      </c>
      <c r="G1031" s="13" t="s">
        <v>5597</v>
      </c>
      <c r="H1031" s="13" t="s">
        <v>5598</v>
      </c>
    </row>
    <row r="1032" customFormat="false" ht="15" hidden="false" customHeight="true" outlineLevel="0" collapsed="false">
      <c r="A1032" s="13" t="s">
        <v>163</v>
      </c>
      <c r="B1032" s="13" t="s">
        <v>772</v>
      </c>
      <c r="C1032" s="11" t="s">
        <v>773</v>
      </c>
      <c r="D1032" s="13" t="s">
        <v>5599</v>
      </c>
      <c r="E1032" s="13" t="s">
        <v>5600</v>
      </c>
      <c r="F1032" s="13" t="s">
        <v>5601</v>
      </c>
      <c r="G1032" s="13" t="s">
        <v>5602</v>
      </c>
      <c r="H1032" s="13" t="s">
        <v>5603</v>
      </c>
    </row>
    <row r="1033" customFormat="false" ht="15" hidden="false" customHeight="true" outlineLevel="0" collapsed="false">
      <c r="A1033" s="13" t="s">
        <v>163</v>
      </c>
      <c r="B1033" s="13" t="s">
        <v>779</v>
      </c>
      <c r="C1033" s="11" t="s">
        <v>780</v>
      </c>
      <c r="D1033" s="13" t="s">
        <v>5604</v>
      </c>
      <c r="E1033" s="13" t="s">
        <v>5605</v>
      </c>
      <c r="F1033" s="13" t="s">
        <v>5606</v>
      </c>
      <c r="G1033" s="13" t="s">
        <v>5607</v>
      </c>
      <c r="H1033" s="13" t="s">
        <v>5608</v>
      </c>
    </row>
    <row r="1034" customFormat="false" ht="15" hidden="false" customHeight="true" outlineLevel="0" collapsed="false">
      <c r="A1034" s="13" t="s">
        <v>163</v>
      </c>
      <c r="B1034" s="13" t="s">
        <v>786</v>
      </c>
      <c r="C1034" s="11" t="s">
        <v>787</v>
      </c>
      <c r="D1034" s="13" t="s">
        <v>5609</v>
      </c>
      <c r="E1034" s="13" t="s">
        <v>5610</v>
      </c>
      <c r="F1034" s="13" t="s">
        <v>5611</v>
      </c>
      <c r="G1034" s="13" t="s">
        <v>5612</v>
      </c>
      <c r="H1034" s="13" t="s">
        <v>5613</v>
      </c>
    </row>
    <row r="1035" customFormat="false" ht="15" hidden="false" customHeight="true" outlineLevel="0" collapsed="false">
      <c r="A1035" s="13" t="s">
        <v>163</v>
      </c>
      <c r="B1035" s="13" t="s">
        <v>793</v>
      </c>
      <c r="C1035" s="11" t="s">
        <v>794</v>
      </c>
      <c r="D1035" s="13" t="s">
        <v>5614</v>
      </c>
      <c r="E1035" s="13" t="s">
        <v>5615</v>
      </c>
      <c r="F1035" s="13" t="s">
        <v>5616</v>
      </c>
      <c r="G1035" s="13" t="s">
        <v>5617</v>
      </c>
      <c r="H1035" s="13" t="s">
        <v>5618</v>
      </c>
    </row>
    <row r="1036" customFormat="false" ht="15" hidden="false" customHeight="true" outlineLevel="0" collapsed="false">
      <c r="A1036" s="13" t="s">
        <v>163</v>
      </c>
      <c r="B1036" s="13" t="s">
        <v>800</v>
      </c>
      <c r="C1036" s="11" t="s">
        <v>801</v>
      </c>
      <c r="D1036" s="13" t="s">
        <v>5619</v>
      </c>
      <c r="E1036" s="13" t="s">
        <v>5620</v>
      </c>
      <c r="F1036" s="13" t="s">
        <v>5621</v>
      </c>
      <c r="G1036" s="13" t="s">
        <v>5622</v>
      </c>
      <c r="H1036" s="13" t="s">
        <v>5623</v>
      </c>
    </row>
    <row r="1037" customFormat="false" ht="15" hidden="false" customHeight="true" outlineLevel="0" collapsed="false">
      <c r="A1037" s="13" t="s">
        <v>163</v>
      </c>
      <c r="B1037" s="13" t="s">
        <v>806</v>
      </c>
      <c r="C1037" s="11" t="s">
        <v>807</v>
      </c>
      <c r="D1037" s="13" t="s">
        <v>4128</v>
      </c>
      <c r="E1037" s="13" t="s">
        <v>5624</v>
      </c>
      <c r="F1037" s="13" t="s">
        <v>5625</v>
      </c>
      <c r="G1037" s="13" t="s">
        <v>5626</v>
      </c>
      <c r="H1037" s="13" t="s">
        <v>5627</v>
      </c>
    </row>
    <row r="1038" customFormat="false" ht="15" hidden="false" customHeight="true" outlineLevel="0" collapsed="false">
      <c r="A1038" s="13" t="s">
        <v>163</v>
      </c>
      <c r="B1038" s="13" t="s">
        <v>813</v>
      </c>
      <c r="C1038" s="11" t="s">
        <v>814</v>
      </c>
      <c r="D1038" s="13" t="s">
        <v>5628</v>
      </c>
      <c r="E1038" s="13" t="s">
        <v>5629</v>
      </c>
      <c r="F1038" s="13" t="s">
        <v>5630</v>
      </c>
      <c r="G1038" s="13" t="s">
        <v>5631</v>
      </c>
      <c r="H1038" s="13" t="s">
        <v>5632</v>
      </c>
    </row>
    <row r="1039" customFormat="false" ht="15" hidden="false" customHeight="true" outlineLevel="0" collapsed="false">
      <c r="A1039" s="13" t="s">
        <v>163</v>
      </c>
      <c r="B1039" s="13" t="s">
        <v>820</v>
      </c>
      <c r="C1039" s="11" t="s">
        <v>821</v>
      </c>
      <c r="D1039" s="13" t="s">
        <v>5633</v>
      </c>
      <c r="E1039" s="13" t="s">
        <v>5634</v>
      </c>
      <c r="F1039" s="13" t="s">
        <v>5635</v>
      </c>
      <c r="G1039" s="13" t="s">
        <v>5636</v>
      </c>
      <c r="H1039" s="13" t="s">
        <v>5637</v>
      </c>
    </row>
    <row r="1040" customFormat="false" ht="15" hidden="false" customHeight="true" outlineLevel="0" collapsed="false">
      <c r="A1040" s="13" t="s">
        <v>163</v>
      </c>
      <c r="B1040" s="13" t="s">
        <v>827</v>
      </c>
      <c r="C1040" s="11" t="s">
        <v>828</v>
      </c>
      <c r="D1040" s="13" t="s">
        <v>5638</v>
      </c>
      <c r="E1040" s="13" t="s">
        <v>5639</v>
      </c>
      <c r="F1040" s="13" t="s">
        <v>5640</v>
      </c>
      <c r="G1040" s="13" t="s">
        <v>5641</v>
      </c>
      <c r="H1040" s="13" t="s">
        <v>5642</v>
      </c>
    </row>
    <row r="1041" customFormat="false" ht="15" hidden="false" customHeight="true" outlineLevel="0" collapsed="false">
      <c r="A1041" s="13" t="s">
        <v>163</v>
      </c>
      <c r="B1041" s="13" t="s">
        <v>834</v>
      </c>
      <c r="C1041" s="11" t="s">
        <v>835</v>
      </c>
      <c r="D1041" s="13" t="s">
        <v>5643</v>
      </c>
      <c r="E1041" s="13" t="s">
        <v>5644</v>
      </c>
      <c r="F1041" s="13" t="s">
        <v>5645</v>
      </c>
      <c r="G1041" s="13" t="s">
        <v>5646</v>
      </c>
      <c r="H1041" s="13" t="s">
        <v>5647</v>
      </c>
    </row>
    <row r="1042" customFormat="false" ht="15" hidden="false" customHeight="true" outlineLevel="0" collapsed="false">
      <c r="A1042" s="13" t="s">
        <v>163</v>
      </c>
      <c r="B1042" s="13" t="s">
        <v>841</v>
      </c>
      <c r="C1042" s="11" t="s">
        <v>842</v>
      </c>
      <c r="D1042" s="13" t="s">
        <v>5648</v>
      </c>
      <c r="E1042" s="13" t="s">
        <v>5649</v>
      </c>
      <c r="F1042" s="13" t="s">
        <v>5650</v>
      </c>
      <c r="G1042" s="13" t="s">
        <v>5651</v>
      </c>
      <c r="H1042" s="13" t="s">
        <v>5652</v>
      </c>
    </row>
    <row r="1043" customFormat="false" ht="15" hidden="false" customHeight="true" outlineLevel="0" collapsed="false">
      <c r="A1043" s="13" t="s">
        <v>163</v>
      </c>
      <c r="B1043" s="13" t="s">
        <v>848</v>
      </c>
      <c r="C1043" s="11" t="s">
        <v>849</v>
      </c>
      <c r="D1043" s="13" t="s">
        <v>5653</v>
      </c>
      <c r="E1043" s="13" t="s">
        <v>5654</v>
      </c>
      <c r="F1043" s="13" t="s">
        <v>5655</v>
      </c>
      <c r="G1043" s="13" t="s">
        <v>5656</v>
      </c>
      <c r="H1043" s="13" t="s">
        <v>5657</v>
      </c>
    </row>
    <row r="1044" customFormat="false" ht="15" hidden="false" customHeight="true" outlineLevel="0" collapsed="false">
      <c r="A1044" s="13" t="s">
        <v>163</v>
      </c>
      <c r="B1044" s="13" t="s">
        <v>855</v>
      </c>
      <c r="C1044" s="11" t="s">
        <v>856</v>
      </c>
      <c r="D1044" s="13" t="s">
        <v>5658</v>
      </c>
      <c r="E1044" s="13" t="s">
        <v>5659</v>
      </c>
      <c r="F1044" s="13" t="s">
        <v>5660</v>
      </c>
      <c r="G1044" s="13" t="s">
        <v>5661</v>
      </c>
      <c r="H1044" s="13" t="s">
        <v>5662</v>
      </c>
    </row>
    <row r="1045" customFormat="false" ht="15" hidden="false" customHeight="true" outlineLevel="0" collapsed="false">
      <c r="A1045" s="13" t="s">
        <v>163</v>
      </c>
      <c r="B1045" s="13" t="s">
        <v>862</v>
      </c>
      <c r="C1045" s="11" t="s">
        <v>863</v>
      </c>
      <c r="D1045" s="13" t="s">
        <v>5663</v>
      </c>
      <c r="E1045" s="13" t="s">
        <v>5664</v>
      </c>
      <c r="F1045" s="13" t="s">
        <v>5665</v>
      </c>
      <c r="G1045" s="13" t="s">
        <v>5666</v>
      </c>
      <c r="H1045" s="13" t="s">
        <v>5667</v>
      </c>
    </row>
    <row r="1046" customFormat="false" ht="15" hidden="false" customHeight="true" outlineLevel="0" collapsed="false">
      <c r="A1046" s="13" t="s">
        <v>163</v>
      </c>
      <c r="B1046" s="13" t="s">
        <v>869</v>
      </c>
      <c r="C1046" s="11" t="s">
        <v>870</v>
      </c>
      <c r="D1046" s="13" t="s">
        <v>5668</v>
      </c>
      <c r="E1046" s="13" t="s">
        <v>5669</v>
      </c>
      <c r="F1046" s="13" t="s">
        <v>5670</v>
      </c>
      <c r="G1046" s="13" t="s">
        <v>5671</v>
      </c>
      <c r="H1046" s="13" t="s">
        <v>5672</v>
      </c>
    </row>
    <row r="1047" customFormat="false" ht="15" hidden="false" customHeight="true" outlineLevel="0" collapsed="false">
      <c r="A1047" s="13" t="s">
        <v>163</v>
      </c>
      <c r="B1047" s="13" t="s">
        <v>876</v>
      </c>
      <c r="C1047" s="11" t="s">
        <v>877</v>
      </c>
      <c r="D1047" s="13" t="s">
        <v>5673</v>
      </c>
      <c r="E1047" s="13" t="s">
        <v>5674</v>
      </c>
      <c r="F1047" s="13" t="s">
        <v>5675</v>
      </c>
      <c r="G1047" s="13" t="s">
        <v>5676</v>
      </c>
      <c r="H1047" s="13" t="s">
        <v>5677</v>
      </c>
    </row>
    <row r="1048" customFormat="false" ht="15" hidden="false" customHeight="true" outlineLevel="0" collapsed="false">
      <c r="A1048" s="13" t="s">
        <v>163</v>
      </c>
      <c r="B1048" s="13" t="s">
        <v>883</v>
      </c>
      <c r="C1048" s="11" t="s">
        <v>884</v>
      </c>
      <c r="D1048" s="13" t="s">
        <v>5678</v>
      </c>
      <c r="E1048" s="13" t="s">
        <v>5679</v>
      </c>
      <c r="F1048" s="13" t="s">
        <v>5680</v>
      </c>
      <c r="G1048" s="13" t="s">
        <v>5681</v>
      </c>
      <c r="H1048" s="13" t="s">
        <v>5682</v>
      </c>
    </row>
    <row r="1049" customFormat="false" ht="15" hidden="false" customHeight="true" outlineLevel="0" collapsed="false">
      <c r="A1049" s="13" t="s">
        <v>163</v>
      </c>
      <c r="B1049" s="13" t="s">
        <v>890</v>
      </c>
      <c r="C1049" s="11" t="s">
        <v>891</v>
      </c>
      <c r="D1049" s="13" t="s">
        <v>5683</v>
      </c>
      <c r="E1049" s="13" t="s">
        <v>350</v>
      </c>
      <c r="F1049" s="13" t="s">
        <v>5684</v>
      </c>
      <c r="G1049" s="13" t="s">
        <v>5685</v>
      </c>
      <c r="H1049" s="13" t="s">
        <v>5686</v>
      </c>
    </row>
    <row r="1050" customFormat="false" ht="15" hidden="false" customHeight="true" outlineLevel="0" collapsed="false">
      <c r="A1050" s="13" t="s">
        <v>163</v>
      </c>
      <c r="B1050" s="13" t="s">
        <v>897</v>
      </c>
      <c r="C1050" s="11" t="s">
        <v>898</v>
      </c>
      <c r="D1050" s="13" t="s">
        <v>5687</v>
      </c>
      <c r="E1050" s="13" t="s">
        <v>5688</v>
      </c>
      <c r="F1050" s="13" t="s">
        <v>5689</v>
      </c>
      <c r="G1050" s="13" t="s">
        <v>5690</v>
      </c>
      <c r="H1050" s="13" t="s">
        <v>5691</v>
      </c>
    </row>
    <row r="1051" customFormat="false" ht="15" hidden="false" customHeight="true" outlineLevel="0" collapsed="false">
      <c r="A1051" s="13" t="s">
        <v>163</v>
      </c>
      <c r="B1051" s="13" t="s">
        <v>904</v>
      </c>
      <c r="C1051" s="11" t="s">
        <v>905</v>
      </c>
      <c r="D1051" s="13" t="s">
        <v>5692</v>
      </c>
      <c r="E1051" s="13" t="s">
        <v>5693</v>
      </c>
      <c r="F1051" s="13" t="s">
        <v>5694</v>
      </c>
      <c r="G1051" s="13" t="s">
        <v>5695</v>
      </c>
      <c r="H1051" s="13" t="s">
        <v>5696</v>
      </c>
    </row>
    <row r="1052" customFormat="false" ht="15" hidden="false" customHeight="true" outlineLevel="0" collapsed="false">
      <c r="A1052" s="13" t="s">
        <v>163</v>
      </c>
      <c r="B1052" s="13" t="s">
        <v>911</v>
      </c>
      <c r="C1052" s="11" t="s">
        <v>912</v>
      </c>
      <c r="D1052" s="13" t="s">
        <v>5697</v>
      </c>
      <c r="E1052" s="13" t="s">
        <v>5698</v>
      </c>
      <c r="F1052" s="13" t="s">
        <v>5699</v>
      </c>
      <c r="G1052" s="13" t="s">
        <v>5700</v>
      </c>
      <c r="H1052" s="13" t="s">
        <v>5701</v>
      </c>
    </row>
    <row r="1053" customFormat="false" ht="15" hidden="false" customHeight="true" outlineLevel="0" collapsed="false">
      <c r="A1053" s="13" t="s">
        <v>163</v>
      </c>
      <c r="B1053" s="13" t="s">
        <v>918</v>
      </c>
      <c r="C1053" s="11" t="s">
        <v>919</v>
      </c>
      <c r="D1053" s="13" t="s">
        <v>5702</v>
      </c>
      <c r="E1053" s="13" t="s">
        <v>5703</v>
      </c>
      <c r="F1053" s="13" t="s">
        <v>5704</v>
      </c>
      <c r="G1053" s="13" t="s">
        <v>5705</v>
      </c>
      <c r="H1053" s="13" t="s">
        <v>5706</v>
      </c>
    </row>
    <row r="1054" customFormat="false" ht="15" hidden="false" customHeight="true" outlineLevel="0" collapsed="false">
      <c r="A1054" s="13" t="s">
        <v>163</v>
      </c>
      <c r="B1054" s="13" t="s">
        <v>925</v>
      </c>
      <c r="C1054" s="11" t="s">
        <v>926</v>
      </c>
      <c r="D1054" s="13" t="s">
        <v>5707</v>
      </c>
      <c r="E1054" s="13" t="s">
        <v>5708</v>
      </c>
      <c r="F1054" s="13" t="s">
        <v>5709</v>
      </c>
      <c r="G1054" s="13" t="s">
        <v>5710</v>
      </c>
      <c r="H1054" s="13" t="s">
        <v>5711</v>
      </c>
    </row>
    <row r="1055" customFormat="false" ht="15" hidden="false" customHeight="true" outlineLevel="0" collapsed="false">
      <c r="A1055" s="13" t="s">
        <v>163</v>
      </c>
      <c r="B1055" s="13" t="s">
        <v>932</v>
      </c>
      <c r="C1055" s="11" t="s">
        <v>933</v>
      </c>
      <c r="D1055" s="13" t="s">
        <v>5712</v>
      </c>
      <c r="E1055" s="13" t="s">
        <v>5713</v>
      </c>
      <c r="F1055" s="13" t="s">
        <v>5714</v>
      </c>
      <c r="G1055" s="13" t="s">
        <v>5715</v>
      </c>
      <c r="H1055" s="13" t="s">
        <v>5716</v>
      </c>
    </row>
    <row r="1056" customFormat="false" ht="15" hidden="false" customHeight="true" outlineLevel="0" collapsed="false">
      <c r="A1056" s="13" t="s">
        <v>163</v>
      </c>
      <c r="B1056" s="13" t="s">
        <v>939</v>
      </c>
      <c r="C1056" s="11" t="s">
        <v>940</v>
      </c>
      <c r="D1056" s="13" t="s">
        <v>5717</v>
      </c>
      <c r="E1056" s="13" t="s">
        <v>5718</v>
      </c>
      <c r="F1056" s="13" t="s">
        <v>5719</v>
      </c>
      <c r="G1056" s="13" t="s">
        <v>5720</v>
      </c>
      <c r="H1056" s="13" t="s">
        <v>5721</v>
      </c>
    </row>
    <row r="1057" customFormat="false" ht="15" hidden="false" customHeight="true" outlineLevel="0" collapsed="false">
      <c r="A1057" s="13" t="s">
        <v>163</v>
      </c>
      <c r="B1057" s="13" t="s">
        <v>946</v>
      </c>
      <c r="C1057" s="11" t="s">
        <v>947</v>
      </c>
      <c r="D1057" s="13" t="s">
        <v>5722</v>
      </c>
      <c r="E1057" s="13" t="s">
        <v>5723</v>
      </c>
      <c r="F1057" s="13" t="s">
        <v>5724</v>
      </c>
      <c r="G1057" s="13" t="s">
        <v>5725</v>
      </c>
      <c r="H1057" s="13" t="s">
        <v>5726</v>
      </c>
    </row>
    <row r="1058" customFormat="false" ht="15" hidden="false" customHeight="true" outlineLevel="0" collapsed="false">
      <c r="A1058" s="13" t="s">
        <v>163</v>
      </c>
      <c r="B1058" s="13" t="s">
        <v>953</v>
      </c>
      <c r="C1058" s="11" t="s">
        <v>954</v>
      </c>
      <c r="D1058" s="13" t="s">
        <v>5727</v>
      </c>
      <c r="E1058" s="13" t="s">
        <v>5728</v>
      </c>
      <c r="F1058" s="13" t="s">
        <v>5729</v>
      </c>
      <c r="G1058" s="13" t="s">
        <v>5730</v>
      </c>
      <c r="H1058" s="13" t="s">
        <v>5731</v>
      </c>
    </row>
    <row r="1059" customFormat="false" ht="15" hidden="false" customHeight="true" outlineLevel="0" collapsed="false">
      <c r="A1059" s="13" t="s">
        <v>163</v>
      </c>
      <c r="B1059" s="13" t="s">
        <v>960</v>
      </c>
      <c r="C1059" s="11" t="s">
        <v>961</v>
      </c>
      <c r="D1059" s="13" t="s">
        <v>5732</v>
      </c>
      <c r="E1059" s="13" t="s">
        <v>5733</v>
      </c>
      <c r="F1059" s="13" t="s">
        <v>5734</v>
      </c>
      <c r="G1059" s="13" t="s">
        <v>5735</v>
      </c>
      <c r="H1059" s="13" t="s">
        <v>5736</v>
      </c>
    </row>
    <row r="1060" customFormat="false" ht="15" hidden="false" customHeight="true" outlineLevel="0" collapsed="false">
      <c r="A1060" s="13" t="s">
        <v>163</v>
      </c>
      <c r="B1060" s="13" t="s">
        <v>967</v>
      </c>
      <c r="C1060" s="11" t="s">
        <v>968</v>
      </c>
      <c r="D1060" s="13" t="s">
        <v>5737</v>
      </c>
      <c r="E1060" s="13" t="s">
        <v>5738</v>
      </c>
      <c r="F1060" s="13" t="s">
        <v>5739</v>
      </c>
      <c r="G1060" s="13" t="s">
        <v>5740</v>
      </c>
      <c r="H1060" s="13" t="s">
        <v>5741</v>
      </c>
    </row>
    <row r="1061" customFormat="false" ht="15" hidden="false" customHeight="true" outlineLevel="0" collapsed="false">
      <c r="A1061" s="13" t="s">
        <v>163</v>
      </c>
      <c r="B1061" s="13" t="s">
        <v>974</v>
      </c>
      <c r="C1061" s="11" t="s">
        <v>975</v>
      </c>
      <c r="D1061" s="13" t="s">
        <v>5742</v>
      </c>
      <c r="E1061" s="13" t="s">
        <v>5743</v>
      </c>
      <c r="F1061" s="13" t="s">
        <v>5744</v>
      </c>
      <c r="G1061" s="13" t="s">
        <v>5745</v>
      </c>
      <c r="H1061" s="13" t="s">
        <v>5746</v>
      </c>
    </row>
    <row r="1062" customFormat="false" ht="15" hidden="false" customHeight="true" outlineLevel="0" collapsed="false">
      <c r="A1062" s="13" t="s">
        <v>163</v>
      </c>
      <c r="B1062" s="13" t="s">
        <v>981</v>
      </c>
      <c r="C1062" s="11" t="s">
        <v>982</v>
      </c>
      <c r="D1062" s="13" t="s">
        <v>5747</v>
      </c>
      <c r="E1062" s="13" t="s">
        <v>5748</v>
      </c>
      <c r="F1062" s="13" t="s">
        <v>5749</v>
      </c>
      <c r="G1062" s="13" t="s">
        <v>5750</v>
      </c>
      <c r="H1062" s="13" t="s">
        <v>5751</v>
      </c>
    </row>
    <row r="1063" customFormat="false" ht="15" hidden="false" customHeight="true" outlineLevel="0" collapsed="false">
      <c r="A1063" s="13" t="s">
        <v>163</v>
      </c>
      <c r="B1063" s="13" t="s">
        <v>988</v>
      </c>
      <c r="C1063" s="11" t="s">
        <v>989</v>
      </c>
      <c r="D1063" s="13" t="s">
        <v>5752</v>
      </c>
      <c r="E1063" s="13" t="s">
        <v>5753</v>
      </c>
      <c r="F1063" s="13" t="s">
        <v>5754</v>
      </c>
      <c r="G1063" s="13" t="s">
        <v>5755</v>
      </c>
      <c r="H1063" s="13" t="s">
        <v>5756</v>
      </c>
    </row>
    <row r="1064" customFormat="false" ht="15" hidden="false" customHeight="true" outlineLevel="0" collapsed="false">
      <c r="A1064" s="13" t="s">
        <v>163</v>
      </c>
      <c r="B1064" s="13" t="s">
        <v>995</v>
      </c>
      <c r="C1064" s="11" t="s">
        <v>996</v>
      </c>
      <c r="D1064" s="13" t="s">
        <v>5757</v>
      </c>
      <c r="E1064" s="13" t="s">
        <v>5758</v>
      </c>
      <c r="F1064" s="13" t="s">
        <v>5759</v>
      </c>
      <c r="G1064" s="13" t="s">
        <v>5760</v>
      </c>
      <c r="H1064" s="13" t="s">
        <v>5761</v>
      </c>
    </row>
    <row r="1065" customFormat="false" ht="15" hidden="false" customHeight="true" outlineLevel="0" collapsed="false">
      <c r="A1065" s="13" t="s">
        <v>163</v>
      </c>
      <c r="B1065" s="13" t="s">
        <v>1002</v>
      </c>
      <c r="C1065" s="11" t="s">
        <v>1003</v>
      </c>
      <c r="D1065" s="13" t="s">
        <v>5762</v>
      </c>
      <c r="E1065" s="13" t="s">
        <v>5763</v>
      </c>
      <c r="F1065" s="13" t="s">
        <v>5764</v>
      </c>
      <c r="G1065" s="13" t="s">
        <v>5765</v>
      </c>
      <c r="H1065" s="13" t="s">
        <v>5766</v>
      </c>
    </row>
    <row r="1066" customFormat="false" ht="15" hidden="false" customHeight="true" outlineLevel="0" collapsed="false">
      <c r="A1066" s="13" t="s">
        <v>163</v>
      </c>
      <c r="B1066" s="13" t="s">
        <v>1009</v>
      </c>
      <c r="C1066" s="11" t="s">
        <v>1010</v>
      </c>
      <c r="D1066" s="13" t="s">
        <v>5767</v>
      </c>
      <c r="E1066" s="13" t="s">
        <v>5768</v>
      </c>
      <c r="F1066" s="13" t="s">
        <v>5769</v>
      </c>
      <c r="G1066" s="13" t="s">
        <v>5770</v>
      </c>
      <c r="H1066" s="13" t="s">
        <v>5771</v>
      </c>
    </row>
    <row r="1067" customFormat="false" ht="15" hidden="false" customHeight="true" outlineLevel="0" collapsed="false">
      <c r="A1067" s="13" t="s">
        <v>171</v>
      </c>
      <c r="B1067" s="13" t="s">
        <v>345</v>
      </c>
      <c r="C1067" s="11" t="s">
        <v>346</v>
      </c>
      <c r="D1067" s="13" t="s">
        <v>4831</v>
      </c>
      <c r="E1067" s="13" t="s">
        <v>5772</v>
      </c>
      <c r="F1067" s="13" t="s">
        <v>5773</v>
      </c>
      <c r="G1067" s="13" t="s">
        <v>5774</v>
      </c>
      <c r="H1067" s="13" t="s">
        <v>5775</v>
      </c>
    </row>
    <row r="1068" customFormat="false" ht="15" hidden="false" customHeight="true" outlineLevel="0" collapsed="false">
      <c r="A1068" s="13" t="s">
        <v>171</v>
      </c>
      <c r="B1068" s="13" t="s">
        <v>352</v>
      </c>
      <c r="C1068" s="11" t="s">
        <v>353</v>
      </c>
      <c r="D1068" s="13" t="s">
        <v>5776</v>
      </c>
      <c r="E1068" s="13" t="s">
        <v>5777</v>
      </c>
      <c r="F1068" s="13" t="s">
        <v>5778</v>
      </c>
      <c r="G1068" s="13" t="s">
        <v>5779</v>
      </c>
      <c r="H1068" s="13" t="s">
        <v>5780</v>
      </c>
    </row>
    <row r="1069" customFormat="false" ht="15" hidden="false" customHeight="true" outlineLevel="0" collapsed="false">
      <c r="A1069" s="13" t="s">
        <v>171</v>
      </c>
      <c r="B1069" s="13" t="s">
        <v>359</v>
      </c>
      <c r="C1069" s="11" t="s">
        <v>360</v>
      </c>
      <c r="D1069" s="13" t="s">
        <v>5781</v>
      </c>
      <c r="E1069" s="13" t="s">
        <v>5782</v>
      </c>
      <c r="F1069" s="13" t="s">
        <v>5783</v>
      </c>
      <c r="G1069" s="13" t="s">
        <v>5784</v>
      </c>
      <c r="H1069" s="13" t="s">
        <v>5785</v>
      </c>
    </row>
    <row r="1070" customFormat="false" ht="15" hidden="false" customHeight="true" outlineLevel="0" collapsed="false">
      <c r="A1070" s="13" t="s">
        <v>171</v>
      </c>
      <c r="B1070" s="13" t="s">
        <v>366</v>
      </c>
      <c r="C1070" s="11" t="s">
        <v>367</v>
      </c>
      <c r="D1070" s="13" t="s">
        <v>5786</v>
      </c>
      <c r="E1070" s="13" t="s">
        <v>5787</v>
      </c>
      <c r="F1070" s="13" t="s">
        <v>5788</v>
      </c>
      <c r="G1070" s="13" t="s">
        <v>5789</v>
      </c>
      <c r="H1070" s="13" t="s">
        <v>5790</v>
      </c>
    </row>
    <row r="1071" customFormat="false" ht="15" hidden="false" customHeight="true" outlineLevel="0" collapsed="false">
      <c r="A1071" s="13" t="s">
        <v>171</v>
      </c>
      <c r="B1071" s="13" t="s">
        <v>373</v>
      </c>
      <c r="C1071" s="11" t="s">
        <v>374</v>
      </c>
      <c r="D1071" s="13" t="s">
        <v>5791</v>
      </c>
      <c r="E1071" s="13" t="s">
        <v>5792</v>
      </c>
      <c r="F1071" s="13" t="s">
        <v>5793</v>
      </c>
      <c r="G1071" s="13" t="s">
        <v>5794</v>
      </c>
      <c r="H1071" s="13" t="s">
        <v>5795</v>
      </c>
    </row>
    <row r="1072" customFormat="false" ht="15" hidden="false" customHeight="true" outlineLevel="0" collapsed="false">
      <c r="A1072" s="13" t="s">
        <v>171</v>
      </c>
      <c r="B1072" s="13" t="s">
        <v>380</v>
      </c>
      <c r="C1072" s="11" t="s">
        <v>381</v>
      </c>
      <c r="D1072" s="13" t="s">
        <v>5796</v>
      </c>
      <c r="E1072" s="13" t="s">
        <v>5797</v>
      </c>
      <c r="F1072" s="13" t="s">
        <v>5798</v>
      </c>
      <c r="G1072" s="13" t="s">
        <v>5799</v>
      </c>
      <c r="H1072" s="13" t="s">
        <v>5800</v>
      </c>
    </row>
    <row r="1073" customFormat="false" ht="15" hidden="false" customHeight="true" outlineLevel="0" collapsed="false">
      <c r="A1073" s="13" t="s">
        <v>171</v>
      </c>
      <c r="B1073" s="13" t="s">
        <v>387</v>
      </c>
      <c r="C1073" s="11" t="s">
        <v>388</v>
      </c>
      <c r="D1073" s="13" t="s">
        <v>5801</v>
      </c>
      <c r="E1073" s="13" t="s">
        <v>5802</v>
      </c>
      <c r="F1073" s="13" t="s">
        <v>5803</v>
      </c>
      <c r="G1073" s="13" t="s">
        <v>5804</v>
      </c>
      <c r="H1073" s="13" t="s">
        <v>5805</v>
      </c>
    </row>
    <row r="1074" customFormat="false" ht="15" hidden="false" customHeight="true" outlineLevel="0" collapsed="false">
      <c r="A1074" s="13" t="s">
        <v>171</v>
      </c>
      <c r="B1074" s="13" t="s">
        <v>394</v>
      </c>
      <c r="C1074" s="11" t="s">
        <v>395</v>
      </c>
      <c r="D1074" s="13" t="s">
        <v>5806</v>
      </c>
      <c r="E1074" s="13" t="s">
        <v>5807</v>
      </c>
      <c r="F1074" s="13" t="s">
        <v>5808</v>
      </c>
      <c r="G1074" s="13" t="s">
        <v>5809</v>
      </c>
      <c r="H1074" s="13" t="s">
        <v>5810</v>
      </c>
    </row>
    <row r="1075" customFormat="false" ht="15" hidden="false" customHeight="true" outlineLevel="0" collapsed="false">
      <c r="A1075" s="13" t="s">
        <v>171</v>
      </c>
      <c r="B1075" s="13" t="s">
        <v>401</v>
      </c>
      <c r="C1075" s="11" t="s">
        <v>402</v>
      </c>
      <c r="D1075" s="13" t="s">
        <v>5811</v>
      </c>
      <c r="E1075" s="13" t="s">
        <v>5812</v>
      </c>
      <c r="F1075" s="13" t="s">
        <v>5813</v>
      </c>
      <c r="G1075" s="13" t="s">
        <v>5814</v>
      </c>
      <c r="H1075" s="13" t="s">
        <v>5815</v>
      </c>
    </row>
    <row r="1076" customFormat="false" ht="15" hidden="false" customHeight="true" outlineLevel="0" collapsed="false">
      <c r="A1076" s="13" t="s">
        <v>171</v>
      </c>
      <c r="B1076" s="13" t="s">
        <v>408</v>
      </c>
      <c r="C1076" s="11" t="s">
        <v>409</v>
      </c>
      <c r="D1076" s="13" t="s">
        <v>5816</v>
      </c>
      <c r="E1076" s="13" t="s">
        <v>5817</v>
      </c>
      <c r="F1076" s="13" t="s">
        <v>5818</v>
      </c>
      <c r="G1076" s="13" t="s">
        <v>5819</v>
      </c>
      <c r="H1076" s="13" t="s">
        <v>5820</v>
      </c>
    </row>
    <row r="1077" customFormat="false" ht="15" hidden="false" customHeight="true" outlineLevel="0" collapsed="false">
      <c r="A1077" s="13" t="s">
        <v>171</v>
      </c>
      <c r="B1077" s="13" t="s">
        <v>415</v>
      </c>
      <c r="C1077" s="11" t="s">
        <v>416</v>
      </c>
      <c r="D1077" s="13" t="s">
        <v>5821</v>
      </c>
      <c r="E1077" s="13" t="s">
        <v>5822</v>
      </c>
      <c r="F1077" s="13" t="s">
        <v>5823</v>
      </c>
      <c r="G1077" s="13" t="s">
        <v>5824</v>
      </c>
      <c r="H1077" s="13" t="s">
        <v>5825</v>
      </c>
    </row>
    <row r="1078" customFormat="false" ht="15" hidden="false" customHeight="true" outlineLevel="0" collapsed="false">
      <c r="A1078" s="13" t="s">
        <v>171</v>
      </c>
      <c r="B1078" s="13" t="s">
        <v>422</v>
      </c>
      <c r="C1078" s="11" t="s">
        <v>423</v>
      </c>
      <c r="D1078" s="13" t="s">
        <v>5826</v>
      </c>
      <c r="E1078" s="13" t="s">
        <v>5827</v>
      </c>
      <c r="F1078" s="13" t="s">
        <v>5828</v>
      </c>
      <c r="G1078" s="13" t="s">
        <v>5829</v>
      </c>
      <c r="H1078" s="13" t="s">
        <v>5830</v>
      </c>
    </row>
    <row r="1079" customFormat="false" ht="15" hidden="false" customHeight="true" outlineLevel="0" collapsed="false">
      <c r="A1079" s="13" t="s">
        <v>171</v>
      </c>
      <c r="B1079" s="13" t="s">
        <v>429</v>
      </c>
      <c r="C1079" s="11" t="s">
        <v>430</v>
      </c>
      <c r="D1079" s="13" t="s">
        <v>5831</v>
      </c>
      <c r="E1079" s="13" t="s">
        <v>5832</v>
      </c>
      <c r="F1079" s="13" t="s">
        <v>5833</v>
      </c>
      <c r="G1079" s="13" t="s">
        <v>5834</v>
      </c>
      <c r="H1079" s="13" t="s">
        <v>5835</v>
      </c>
    </row>
    <row r="1080" customFormat="false" ht="15" hidden="false" customHeight="true" outlineLevel="0" collapsed="false">
      <c r="A1080" s="13" t="s">
        <v>171</v>
      </c>
      <c r="B1080" s="13" t="s">
        <v>436</v>
      </c>
      <c r="C1080" s="11" t="s">
        <v>437</v>
      </c>
      <c r="D1080" s="13" t="s">
        <v>1233</v>
      </c>
      <c r="E1080" s="13" t="s">
        <v>5836</v>
      </c>
      <c r="F1080" s="13" t="s">
        <v>5837</v>
      </c>
      <c r="G1080" s="13" t="s">
        <v>5838</v>
      </c>
      <c r="H1080" s="13" t="s">
        <v>5839</v>
      </c>
    </row>
    <row r="1081" customFormat="false" ht="15" hidden="false" customHeight="true" outlineLevel="0" collapsed="false">
      <c r="A1081" s="13" t="s">
        <v>171</v>
      </c>
      <c r="B1081" s="13" t="s">
        <v>443</v>
      </c>
      <c r="C1081" s="11" t="s">
        <v>444</v>
      </c>
      <c r="D1081" s="13" t="s">
        <v>5840</v>
      </c>
      <c r="E1081" s="13" t="s">
        <v>5841</v>
      </c>
      <c r="F1081" s="13" t="s">
        <v>5842</v>
      </c>
      <c r="G1081" s="13" t="s">
        <v>5843</v>
      </c>
      <c r="H1081" s="13" t="s">
        <v>5844</v>
      </c>
    </row>
    <row r="1082" customFormat="false" ht="15" hidden="false" customHeight="true" outlineLevel="0" collapsed="false">
      <c r="A1082" s="13" t="s">
        <v>171</v>
      </c>
      <c r="B1082" s="13" t="s">
        <v>450</v>
      </c>
      <c r="C1082" s="11" t="s">
        <v>451</v>
      </c>
      <c r="D1082" s="13" t="s">
        <v>5845</v>
      </c>
      <c r="E1082" s="13" t="s">
        <v>5846</v>
      </c>
      <c r="F1082" s="13" t="s">
        <v>5847</v>
      </c>
      <c r="G1082" s="13" t="s">
        <v>5848</v>
      </c>
      <c r="H1082" s="13" t="s">
        <v>5849</v>
      </c>
    </row>
    <row r="1083" customFormat="false" ht="15" hidden="false" customHeight="true" outlineLevel="0" collapsed="false">
      <c r="A1083" s="13" t="s">
        <v>171</v>
      </c>
      <c r="B1083" s="13" t="s">
        <v>457</v>
      </c>
      <c r="C1083" s="11" t="s">
        <v>458</v>
      </c>
      <c r="D1083" s="13" t="s">
        <v>5850</v>
      </c>
      <c r="E1083" s="13" t="s">
        <v>5851</v>
      </c>
      <c r="F1083" s="13" t="s">
        <v>5852</v>
      </c>
      <c r="G1083" s="13" t="s">
        <v>5853</v>
      </c>
      <c r="H1083" s="13" t="s">
        <v>5854</v>
      </c>
    </row>
    <row r="1084" customFormat="false" ht="15" hidden="false" customHeight="true" outlineLevel="0" collapsed="false">
      <c r="A1084" s="13" t="s">
        <v>171</v>
      </c>
      <c r="B1084" s="13" t="s">
        <v>464</v>
      </c>
      <c r="C1084" s="11" t="s">
        <v>465</v>
      </c>
      <c r="D1084" s="13" t="s">
        <v>5855</v>
      </c>
      <c r="E1084" s="13" t="s">
        <v>5856</v>
      </c>
      <c r="F1084" s="13" t="s">
        <v>5857</v>
      </c>
      <c r="G1084" s="13" t="s">
        <v>5858</v>
      </c>
      <c r="H1084" s="13" t="s">
        <v>5859</v>
      </c>
    </row>
    <row r="1085" customFormat="false" ht="15" hidden="false" customHeight="true" outlineLevel="0" collapsed="false">
      <c r="A1085" s="13" t="s">
        <v>171</v>
      </c>
      <c r="B1085" s="13" t="s">
        <v>471</v>
      </c>
      <c r="C1085" s="11" t="s">
        <v>472</v>
      </c>
      <c r="D1085" s="13" t="s">
        <v>5860</v>
      </c>
      <c r="E1085" s="13" t="s">
        <v>5861</v>
      </c>
      <c r="F1085" s="13" t="s">
        <v>5862</v>
      </c>
      <c r="G1085" s="13" t="s">
        <v>5863</v>
      </c>
      <c r="H1085" s="13" t="s">
        <v>5864</v>
      </c>
    </row>
    <row r="1086" customFormat="false" ht="15" hidden="false" customHeight="true" outlineLevel="0" collapsed="false">
      <c r="A1086" s="13" t="s">
        <v>171</v>
      </c>
      <c r="B1086" s="13" t="s">
        <v>478</v>
      </c>
      <c r="C1086" s="11" t="s">
        <v>479</v>
      </c>
      <c r="D1086" s="13" t="s">
        <v>5865</v>
      </c>
      <c r="E1086" s="13" t="s">
        <v>5866</v>
      </c>
      <c r="F1086" s="13" t="s">
        <v>5867</v>
      </c>
      <c r="G1086" s="13" t="s">
        <v>5868</v>
      </c>
      <c r="H1086" s="13" t="s">
        <v>5869</v>
      </c>
    </row>
    <row r="1087" customFormat="false" ht="15" hidden="false" customHeight="true" outlineLevel="0" collapsed="false">
      <c r="A1087" s="13" t="s">
        <v>171</v>
      </c>
      <c r="B1087" s="13" t="s">
        <v>485</v>
      </c>
      <c r="C1087" s="11" t="s">
        <v>486</v>
      </c>
      <c r="D1087" s="13" t="s">
        <v>5870</v>
      </c>
      <c r="E1087" s="13" t="s">
        <v>5871</v>
      </c>
      <c r="F1087" s="13" t="s">
        <v>5872</v>
      </c>
      <c r="G1087" s="13" t="s">
        <v>5873</v>
      </c>
      <c r="H1087" s="13" t="s">
        <v>5874</v>
      </c>
    </row>
    <row r="1088" customFormat="false" ht="15" hidden="false" customHeight="true" outlineLevel="0" collapsed="false">
      <c r="A1088" s="13" t="s">
        <v>171</v>
      </c>
      <c r="B1088" s="13" t="s">
        <v>492</v>
      </c>
      <c r="C1088" s="11" t="s">
        <v>493</v>
      </c>
      <c r="D1088" s="13" t="s">
        <v>5875</v>
      </c>
      <c r="E1088" s="13" t="s">
        <v>5876</v>
      </c>
      <c r="F1088" s="13" t="s">
        <v>5877</v>
      </c>
      <c r="G1088" s="13" t="s">
        <v>5878</v>
      </c>
      <c r="H1088" s="13" t="s">
        <v>5879</v>
      </c>
    </row>
    <row r="1089" customFormat="false" ht="15" hidden="false" customHeight="true" outlineLevel="0" collapsed="false">
      <c r="A1089" s="13" t="s">
        <v>171</v>
      </c>
      <c r="B1089" s="13" t="s">
        <v>499</v>
      </c>
      <c r="C1089" s="11" t="s">
        <v>500</v>
      </c>
      <c r="D1089" s="13" t="s">
        <v>5880</v>
      </c>
      <c r="E1089" s="13" t="s">
        <v>5881</v>
      </c>
      <c r="F1089" s="13" t="s">
        <v>5882</v>
      </c>
      <c r="G1089" s="13" t="s">
        <v>5883</v>
      </c>
      <c r="H1089" s="13" t="s">
        <v>5884</v>
      </c>
    </row>
    <row r="1090" customFormat="false" ht="15" hidden="false" customHeight="true" outlineLevel="0" collapsed="false">
      <c r="A1090" s="13" t="s">
        <v>171</v>
      </c>
      <c r="B1090" s="13" t="s">
        <v>506</v>
      </c>
      <c r="C1090" s="11" t="s">
        <v>507</v>
      </c>
      <c r="D1090" s="13" t="s">
        <v>5885</v>
      </c>
      <c r="E1090" s="13" t="s">
        <v>5886</v>
      </c>
      <c r="F1090" s="13" t="s">
        <v>5887</v>
      </c>
      <c r="G1090" s="13" t="s">
        <v>5888</v>
      </c>
      <c r="H1090" s="13" t="s">
        <v>5889</v>
      </c>
    </row>
    <row r="1091" customFormat="false" ht="15" hidden="false" customHeight="true" outlineLevel="0" collapsed="false">
      <c r="A1091" s="13" t="s">
        <v>171</v>
      </c>
      <c r="B1091" s="13" t="s">
        <v>513</v>
      </c>
      <c r="C1091" s="11" t="s">
        <v>514</v>
      </c>
      <c r="D1091" s="13" t="s">
        <v>5890</v>
      </c>
      <c r="E1091" s="13" t="s">
        <v>5891</v>
      </c>
      <c r="F1091" s="13" t="s">
        <v>5892</v>
      </c>
      <c r="G1091" s="13" t="s">
        <v>5893</v>
      </c>
      <c r="H1091" s="13" t="s">
        <v>5894</v>
      </c>
    </row>
    <row r="1092" customFormat="false" ht="15" hidden="false" customHeight="true" outlineLevel="0" collapsed="false">
      <c r="A1092" s="13" t="s">
        <v>171</v>
      </c>
      <c r="B1092" s="13" t="s">
        <v>520</v>
      </c>
      <c r="C1092" s="11" t="s">
        <v>521</v>
      </c>
      <c r="D1092" s="13" t="s">
        <v>5895</v>
      </c>
      <c r="E1092" s="13" t="s">
        <v>5896</v>
      </c>
      <c r="F1092" s="13" t="s">
        <v>5897</v>
      </c>
      <c r="G1092" s="13" t="s">
        <v>5898</v>
      </c>
      <c r="H1092" s="13" t="s">
        <v>5899</v>
      </c>
    </row>
    <row r="1093" customFormat="false" ht="15" hidden="false" customHeight="true" outlineLevel="0" collapsed="false">
      <c r="A1093" s="13" t="s">
        <v>171</v>
      </c>
      <c r="B1093" s="13" t="s">
        <v>527</v>
      </c>
      <c r="C1093" s="11" t="s">
        <v>528</v>
      </c>
      <c r="D1093" s="13" t="s">
        <v>5900</v>
      </c>
      <c r="E1093" s="13" t="s">
        <v>5901</v>
      </c>
      <c r="F1093" s="13" t="s">
        <v>5902</v>
      </c>
      <c r="G1093" s="13" t="s">
        <v>5903</v>
      </c>
      <c r="H1093" s="13" t="s">
        <v>5904</v>
      </c>
    </row>
    <row r="1094" customFormat="false" ht="15" hidden="false" customHeight="true" outlineLevel="0" collapsed="false">
      <c r="A1094" s="13" t="s">
        <v>171</v>
      </c>
      <c r="B1094" s="13" t="s">
        <v>534</v>
      </c>
      <c r="C1094" s="11" t="s">
        <v>535</v>
      </c>
      <c r="D1094" s="13" t="s">
        <v>5905</v>
      </c>
      <c r="E1094" s="13" t="s">
        <v>5906</v>
      </c>
      <c r="F1094" s="13" t="s">
        <v>5907</v>
      </c>
      <c r="G1094" s="13" t="s">
        <v>5908</v>
      </c>
      <c r="H1094" s="13" t="s">
        <v>5909</v>
      </c>
    </row>
    <row r="1095" customFormat="false" ht="15" hidden="false" customHeight="true" outlineLevel="0" collapsed="false">
      <c r="A1095" s="13" t="s">
        <v>171</v>
      </c>
      <c r="B1095" s="13" t="s">
        <v>541</v>
      </c>
      <c r="C1095" s="11" t="s">
        <v>542</v>
      </c>
      <c r="D1095" s="13" t="s">
        <v>5910</v>
      </c>
      <c r="E1095" s="13" t="s">
        <v>5911</v>
      </c>
      <c r="F1095" s="13" t="s">
        <v>5912</v>
      </c>
      <c r="G1095" s="13" t="s">
        <v>5913</v>
      </c>
      <c r="H1095" s="13" t="s">
        <v>5914</v>
      </c>
    </row>
    <row r="1096" customFormat="false" ht="15" hidden="false" customHeight="true" outlineLevel="0" collapsed="false">
      <c r="A1096" s="13" t="s">
        <v>171</v>
      </c>
      <c r="B1096" s="13" t="s">
        <v>548</v>
      </c>
      <c r="C1096" s="11" t="s">
        <v>549</v>
      </c>
      <c r="D1096" s="13" t="s">
        <v>5915</v>
      </c>
      <c r="E1096" s="13" t="s">
        <v>5916</v>
      </c>
      <c r="F1096" s="13" t="s">
        <v>5917</v>
      </c>
      <c r="G1096" s="13" t="s">
        <v>5918</v>
      </c>
      <c r="H1096" s="13" t="s">
        <v>5919</v>
      </c>
    </row>
    <row r="1097" customFormat="false" ht="15" hidden="false" customHeight="true" outlineLevel="0" collapsed="false">
      <c r="A1097" s="13" t="s">
        <v>171</v>
      </c>
      <c r="B1097" s="13" t="s">
        <v>555</v>
      </c>
      <c r="C1097" s="11" t="s">
        <v>556</v>
      </c>
      <c r="D1097" s="13" t="s">
        <v>5920</v>
      </c>
      <c r="E1097" s="13" t="s">
        <v>5921</v>
      </c>
      <c r="F1097" s="13" t="s">
        <v>5922</v>
      </c>
      <c r="G1097" s="13" t="s">
        <v>5923</v>
      </c>
      <c r="H1097" s="13" t="s">
        <v>5924</v>
      </c>
    </row>
    <row r="1098" customFormat="false" ht="15" hidden="false" customHeight="true" outlineLevel="0" collapsed="false">
      <c r="A1098" s="13" t="s">
        <v>171</v>
      </c>
      <c r="B1098" s="13" t="s">
        <v>562</v>
      </c>
      <c r="C1098" s="11" t="s">
        <v>563</v>
      </c>
      <c r="D1098" s="13" t="s">
        <v>5925</v>
      </c>
      <c r="E1098" s="13" t="s">
        <v>5926</v>
      </c>
      <c r="F1098" s="13" t="s">
        <v>5927</v>
      </c>
      <c r="G1098" s="13" t="s">
        <v>5928</v>
      </c>
      <c r="H1098" s="13" t="s">
        <v>5929</v>
      </c>
    </row>
    <row r="1099" customFormat="false" ht="15" hidden="false" customHeight="true" outlineLevel="0" collapsed="false">
      <c r="A1099" s="13" t="s">
        <v>171</v>
      </c>
      <c r="B1099" s="13" t="s">
        <v>569</v>
      </c>
      <c r="C1099" s="11" t="s">
        <v>570</v>
      </c>
      <c r="D1099" s="13" t="s">
        <v>5930</v>
      </c>
      <c r="E1099" s="13" t="s">
        <v>5931</v>
      </c>
      <c r="F1099" s="13" t="s">
        <v>5932</v>
      </c>
      <c r="G1099" s="13" t="s">
        <v>5933</v>
      </c>
      <c r="H1099" s="13" t="s">
        <v>5934</v>
      </c>
    </row>
    <row r="1100" customFormat="false" ht="15" hidden="false" customHeight="true" outlineLevel="0" collapsed="false">
      <c r="A1100" s="13" t="s">
        <v>171</v>
      </c>
      <c r="B1100" s="13" t="s">
        <v>576</v>
      </c>
      <c r="C1100" s="11" t="s">
        <v>577</v>
      </c>
      <c r="D1100" s="13" t="s">
        <v>5935</v>
      </c>
      <c r="E1100" s="13" t="s">
        <v>5936</v>
      </c>
      <c r="F1100" s="13" t="s">
        <v>5937</v>
      </c>
      <c r="G1100" s="13" t="s">
        <v>5938</v>
      </c>
      <c r="H1100" s="13" t="s">
        <v>5939</v>
      </c>
    </row>
    <row r="1101" customFormat="false" ht="15" hidden="false" customHeight="true" outlineLevel="0" collapsed="false">
      <c r="A1101" s="13" t="s">
        <v>171</v>
      </c>
      <c r="B1101" s="13" t="s">
        <v>583</v>
      </c>
      <c r="C1101" s="11" t="s">
        <v>584</v>
      </c>
      <c r="D1101" s="13" t="s">
        <v>5940</v>
      </c>
      <c r="E1101" s="13" t="s">
        <v>5941</v>
      </c>
      <c r="F1101" s="13" t="s">
        <v>5942</v>
      </c>
      <c r="G1101" s="13" t="s">
        <v>5943</v>
      </c>
      <c r="H1101" s="13" t="s">
        <v>5944</v>
      </c>
    </row>
    <row r="1102" customFormat="false" ht="15" hidden="false" customHeight="true" outlineLevel="0" collapsed="false">
      <c r="A1102" s="13" t="s">
        <v>171</v>
      </c>
      <c r="B1102" s="13" t="s">
        <v>590</v>
      </c>
      <c r="C1102" s="11" t="s">
        <v>591</v>
      </c>
      <c r="D1102" s="13" t="s">
        <v>5945</v>
      </c>
      <c r="E1102" s="13" t="s">
        <v>5946</v>
      </c>
      <c r="F1102" s="13" t="s">
        <v>5947</v>
      </c>
      <c r="G1102" s="13" t="s">
        <v>5948</v>
      </c>
      <c r="H1102" s="13" t="s">
        <v>802</v>
      </c>
    </row>
    <row r="1103" customFormat="false" ht="15" hidden="false" customHeight="true" outlineLevel="0" collapsed="false">
      <c r="A1103" s="13" t="s">
        <v>171</v>
      </c>
      <c r="B1103" s="13" t="s">
        <v>597</v>
      </c>
      <c r="C1103" s="11" t="s">
        <v>598</v>
      </c>
      <c r="D1103" s="13" t="s">
        <v>5949</v>
      </c>
      <c r="E1103" s="13" t="s">
        <v>5950</v>
      </c>
      <c r="F1103" s="13" t="s">
        <v>5951</v>
      </c>
      <c r="G1103" s="13" t="s">
        <v>5952</v>
      </c>
      <c r="H1103" s="13" t="s">
        <v>5953</v>
      </c>
    </row>
    <row r="1104" customFormat="false" ht="15" hidden="false" customHeight="true" outlineLevel="0" collapsed="false">
      <c r="A1104" s="13" t="s">
        <v>171</v>
      </c>
      <c r="B1104" s="13" t="s">
        <v>604</v>
      </c>
      <c r="C1104" s="11" t="s">
        <v>605</v>
      </c>
      <c r="D1104" s="13" t="s">
        <v>5954</v>
      </c>
      <c r="E1104" s="13" t="s">
        <v>5955</v>
      </c>
      <c r="F1104" s="13" t="s">
        <v>5956</v>
      </c>
      <c r="G1104" s="13" t="s">
        <v>5957</v>
      </c>
      <c r="H1104" s="13" t="s">
        <v>5958</v>
      </c>
    </row>
    <row r="1105" customFormat="false" ht="15" hidden="false" customHeight="true" outlineLevel="0" collapsed="false">
      <c r="A1105" s="13" t="s">
        <v>171</v>
      </c>
      <c r="B1105" s="13" t="s">
        <v>611</v>
      </c>
      <c r="C1105" s="11" t="s">
        <v>612</v>
      </c>
      <c r="D1105" s="13" t="s">
        <v>5959</v>
      </c>
      <c r="E1105" s="13" t="s">
        <v>5960</v>
      </c>
      <c r="F1105" s="13" t="s">
        <v>5961</v>
      </c>
      <c r="G1105" s="13" t="s">
        <v>5962</v>
      </c>
      <c r="H1105" s="13" t="s">
        <v>5963</v>
      </c>
    </row>
    <row r="1106" customFormat="false" ht="15" hidden="false" customHeight="true" outlineLevel="0" collapsed="false">
      <c r="A1106" s="13" t="s">
        <v>171</v>
      </c>
      <c r="B1106" s="13" t="s">
        <v>618</v>
      </c>
      <c r="C1106" s="11" t="s">
        <v>619</v>
      </c>
      <c r="D1106" s="13" t="s">
        <v>5964</v>
      </c>
      <c r="E1106" s="13" t="s">
        <v>5965</v>
      </c>
      <c r="F1106" s="13" t="s">
        <v>5966</v>
      </c>
      <c r="G1106" s="13" t="s">
        <v>5967</v>
      </c>
      <c r="H1106" s="13" t="s">
        <v>5968</v>
      </c>
    </row>
    <row r="1107" customFormat="false" ht="15" hidden="false" customHeight="true" outlineLevel="0" collapsed="false">
      <c r="A1107" s="13" t="s">
        <v>171</v>
      </c>
      <c r="B1107" s="13" t="s">
        <v>625</v>
      </c>
      <c r="C1107" s="11" t="s">
        <v>626</v>
      </c>
      <c r="D1107" s="13" t="s">
        <v>5969</v>
      </c>
      <c r="E1107" s="13" t="s">
        <v>5970</v>
      </c>
      <c r="F1107" s="13" t="s">
        <v>5971</v>
      </c>
      <c r="G1107" s="13" t="s">
        <v>5972</v>
      </c>
      <c r="H1107" s="13" t="s">
        <v>5973</v>
      </c>
    </row>
    <row r="1108" customFormat="false" ht="15" hidden="false" customHeight="true" outlineLevel="0" collapsed="false">
      <c r="A1108" s="13" t="s">
        <v>171</v>
      </c>
      <c r="B1108" s="13" t="s">
        <v>632</v>
      </c>
      <c r="C1108" s="11" t="s">
        <v>633</v>
      </c>
      <c r="D1108" s="13" t="s">
        <v>5974</v>
      </c>
      <c r="E1108" s="13" t="s">
        <v>5975</v>
      </c>
      <c r="F1108" s="13" t="s">
        <v>5976</v>
      </c>
      <c r="G1108" s="13" t="s">
        <v>5977</v>
      </c>
      <c r="H1108" s="13" t="s">
        <v>5978</v>
      </c>
    </row>
    <row r="1109" customFormat="false" ht="15" hidden="false" customHeight="true" outlineLevel="0" collapsed="false">
      <c r="A1109" s="13" t="s">
        <v>171</v>
      </c>
      <c r="B1109" s="13" t="s">
        <v>639</v>
      </c>
      <c r="C1109" s="11" t="s">
        <v>640</v>
      </c>
      <c r="D1109" s="13" t="s">
        <v>5979</v>
      </c>
      <c r="E1109" s="13" t="s">
        <v>5980</v>
      </c>
      <c r="F1109" s="13" t="s">
        <v>5981</v>
      </c>
      <c r="G1109" s="13" t="s">
        <v>5982</v>
      </c>
      <c r="H1109" s="13" t="s">
        <v>5983</v>
      </c>
    </row>
    <row r="1110" customFormat="false" ht="15" hidden="false" customHeight="true" outlineLevel="0" collapsed="false">
      <c r="A1110" s="13" t="s">
        <v>171</v>
      </c>
      <c r="B1110" s="13" t="s">
        <v>646</v>
      </c>
      <c r="C1110" s="11" t="s">
        <v>647</v>
      </c>
      <c r="D1110" s="13" t="s">
        <v>5984</v>
      </c>
      <c r="E1110" s="13" t="s">
        <v>5985</v>
      </c>
      <c r="F1110" s="13" t="s">
        <v>5986</v>
      </c>
      <c r="G1110" s="13" t="s">
        <v>5987</v>
      </c>
      <c r="H1110" s="13" t="s">
        <v>5988</v>
      </c>
    </row>
    <row r="1111" customFormat="false" ht="15" hidden="false" customHeight="true" outlineLevel="0" collapsed="false">
      <c r="A1111" s="13" t="s">
        <v>171</v>
      </c>
      <c r="B1111" s="13" t="s">
        <v>653</v>
      </c>
      <c r="C1111" s="11" t="s">
        <v>654</v>
      </c>
      <c r="D1111" s="13" t="s">
        <v>5989</v>
      </c>
      <c r="E1111" s="13" t="s">
        <v>5990</v>
      </c>
      <c r="F1111" s="13" t="s">
        <v>5991</v>
      </c>
      <c r="G1111" s="13" t="s">
        <v>5992</v>
      </c>
      <c r="H1111" s="13" t="s">
        <v>5993</v>
      </c>
    </row>
    <row r="1112" customFormat="false" ht="15" hidden="false" customHeight="true" outlineLevel="0" collapsed="false">
      <c r="A1112" s="13" t="s">
        <v>171</v>
      </c>
      <c r="B1112" s="13" t="s">
        <v>660</v>
      </c>
      <c r="C1112" s="11" t="s">
        <v>661</v>
      </c>
      <c r="D1112" s="13" t="s">
        <v>5619</v>
      </c>
      <c r="E1112" s="13" t="s">
        <v>5994</v>
      </c>
      <c r="F1112" s="13" t="s">
        <v>5995</v>
      </c>
      <c r="G1112" s="13" t="s">
        <v>5996</v>
      </c>
      <c r="H1112" s="13" t="s">
        <v>5997</v>
      </c>
    </row>
    <row r="1113" customFormat="false" ht="15" hidden="false" customHeight="true" outlineLevel="0" collapsed="false">
      <c r="A1113" s="13" t="s">
        <v>171</v>
      </c>
      <c r="B1113" s="13" t="s">
        <v>667</v>
      </c>
      <c r="C1113" s="11" t="s">
        <v>668</v>
      </c>
      <c r="D1113" s="13" t="s">
        <v>5998</v>
      </c>
      <c r="E1113" s="13" t="s">
        <v>5999</v>
      </c>
      <c r="F1113" s="13" t="s">
        <v>6000</v>
      </c>
      <c r="G1113" s="13" t="s">
        <v>6001</v>
      </c>
      <c r="H1113" s="13" t="s">
        <v>6002</v>
      </c>
    </row>
    <row r="1114" customFormat="false" ht="15" hidden="false" customHeight="true" outlineLevel="0" collapsed="false">
      <c r="A1114" s="13" t="s">
        <v>171</v>
      </c>
      <c r="B1114" s="13" t="s">
        <v>674</v>
      </c>
      <c r="C1114" s="11" t="s">
        <v>675</v>
      </c>
      <c r="D1114" s="13" t="s">
        <v>6003</v>
      </c>
      <c r="E1114" s="13" t="s">
        <v>6004</v>
      </c>
      <c r="F1114" s="13" t="s">
        <v>6005</v>
      </c>
      <c r="G1114" s="13" t="s">
        <v>6006</v>
      </c>
      <c r="H1114" s="13" t="s">
        <v>6007</v>
      </c>
    </row>
    <row r="1115" customFormat="false" ht="15" hidden="false" customHeight="true" outlineLevel="0" collapsed="false">
      <c r="A1115" s="13" t="s">
        <v>171</v>
      </c>
      <c r="B1115" s="13" t="s">
        <v>681</v>
      </c>
      <c r="C1115" s="11" t="s">
        <v>682</v>
      </c>
      <c r="D1115" s="13" t="s">
        <v>6008</v>
      </c>
      <c r="E1115" s="13" t="s">
        <v>6009</v>
      </c>
      <c r="F1115" s="13" t="s">
        <v>6010</v>
      </c>
      <c r="G1115" s="13" t="s">
        <v>6011</v>
      </c>
      <c r="H1115" s="13" t="s">
        <v>6012</v>
      </c>
    </row>
    <row r="1116" customFormat="false" ht="15" hidden="false" customHeight="true" outlineLevel="0" collapsed="false">
      <c r="A1116" s="13" t="s">
        <v>171</v>
      </c>
      <c r="B1116" s="13" t="s">
        <v>688</v>
      </c>
      <c r="C1116" s="11" t="s">
        <v>689</v>
      </c>
      <c r="D1116" s="13" t="s">
        <v>6013</v>
      </c>
      <c r="E1116" s="13" t="s">
        <v>6014</v>
      </c>
      <c r="F1116" s="13" t="s">
        <v>6015</v>
      </c>
      <c r="G1116" s="13" t="s">
        <v>6016</v>
      </c>
      <c r="H1116" s="13" t="s">
        <v>6017</v>
      </c>
    </row>
    <row r="1117" customFormat="false" ht="15" hidden="false" customHeight="true" outlineLevel="0" collapsed="false">
      <c r="A1117" s="13" t="s">
        <v>171</v>
      </c>
      <c r="B1117" s="13" t="s">
        <v>695</v>
      </c>
      <c r="C1117" s="11" t="s">
        <v>696</v>
      </c>
      <c r="D1117" s="13" t="s">
        <v>6018</v>
      </c>
      <c r="E1117" s="13" t="s">
        <v>6019</v>
      </c>
      <c r="F1117" s="13" t="s">
        <v>6020</v>
      </c>
      <c r="G1117" s="13" t="s">
        <v>6021</v>
      </c>
      <c r="H1117" s="13" t="s">
        <v>6022</v>
      </c>
    </row>
    <row r="1118" customFormat="false" ht="15" hidden="false" customHeight="true" outlineLevel="0" collapsed="false">
      <c r="A1118" s="13" t="s">
        <v>171</v>
      </c>
      <c r="B1118" s="13" t="s">
        <v>702</v>
      </c>
      <c r="C1118" s="11" t="s">
        <v>703</v>
      </c>
      <c r="D1118" s="13" t="s">
        <v>6023</v>
      </c>
      <c r="E1118" s="13" t="s">
        <v>6024</v>
      </c>
      <c r="F1118" s="13" t="s">
        <v>6025</v>
      </c>
      <c r="G1118" s="13" t="s">
        <v>6026</v>
      </c>
      <c r="H1118" s="13" t="s">
        <v>6027</v>
      </c>
    </row>
    <row r="1119" customFormat="false" ht="15" hidden="false" customHeight="true" outlineLevel="0" collapsed="false">
      <c r="A1119" s="13" t="s">
        <v>171</v>
      </c>
      <c r="B1119" s="13" t="s">
        <v>709</v>
      </c>
      <c r="C1119" s="11" t="s">
        <v>710</v>
      </c>
      <c r="D1119" s="13" t="s">
        <v>6028</v>
      </c>
      <c r="E1119" s="13" t="s">
        <v>6029</v>
      </c>
      <c r="F1119" s="13" t="s">
        <v>6030</v>
      </c>
      <c r="G1119" s="13" t="s">
        <v>6031</v>
      </c>
      <c r="H1119" s="13" t="s">
        <v>6032</v>
      </c>
    </row>
    <row r="1120" customFormat="false" ht="15" hidden="false" customHeight="true" outlineLevel="0" collapsed="false">
      <c r="A1120" s="13" t="s">
        <v>171</v>
      </c>
      <c r="B1120" s="13" t="s">
        <v>716</v>
      </c>
      <c r="C1120" s="11" t="s">
        <v>717</v>
      </c>
      <c r="D1120" s="13" t="s">
        <v>6033</v>
      </c>
      <c r="E1120" s="13" t="s">
        <v>6034</v>
      </c>
      <c r="F1120" s="13" t="s">
        <v>6035</v>
      </c>
      <c r="G1120" s="13" t="s">
        <v>6036</v>
      </c>
      <c r="H1120" s="13" t="s">
        <v>6037</v>
      </c>
    </row>
    <row r="1121" customFormat="false" ht="15" hidden="false" customHeight="true" outlineLevel="0" collapsed="false">
      <c r="A1121" s="13" t="s">
        <v>171</v>
      </c>
      <c r="B1121" s="13" t="s">
        <v>723</v>
      </c>
      <c r="C1121" s="11" t="s">
        <v>724</v>
      </c>
      <c r="D1121" s="13" t="s">
        <v>6038</v>
      </c>
      <c r="E1121" s="13" t="s">
        <v>6039</v>
      </c>
      <c r="F1121" s="13" t="s">
        <v>6040</v>
      </c>
      <c r="G1121" s="13" t="s">
        <v>6041</v>
      </c>
      <c r="H1121" s="13" t="s">
        <v>6042</v>
      </c>
    </row>
    <row r="1122" customFormat="false" ht="15" hidden="false" customHeight="true" outlineLevel="0" collapsed="false">
      <c r="A1122" s="13" t="s">
        <v>171</v>
      </c>
      <c r="B1122" s="13" t="s">
        <v>730</v>
      </c>
      <c r="C1122" s="11" t="s">
        <v>731</v>
      </c>
      <c r="D1122" s="13" t="s">
        <v>6043</v>
      </c>
      <c r="E1122" s="13" t="s">
        <v>6044</v>
      </c>
      <c r="F1122" s="13" t="s">
        <v>6045</v>
      </c>
      <c r="G1122" s="13" t="s">
        <v>6046</v>
      </c>
      <c r="H1122" s="13" t="s">
        <v>6047</v>
      </c>
    </row>
    <row r="1123" customFormat="false" ht="15" hidden="false" customHeight="true" outlineLevel="0" collapsed="false">
      <c r="A1123" s="13" t="s">
        <v>171</v>
      </c>
      <c r="B1123" s="13" t="s">
        <v>737</v>
      </c>
      <c r="C1123" s="11" t="s">
        <v>738</v>
      </c>
      <c r="D1123" s="13" t="s">
        <v>6048</v>
      </c>
      <c r="E1123" s="13" t="s">
        <v>6049</v>
      </c>
      <c r="F1123" s="13" t="s">
        <v>6050</v>
      </c>
      <c r="G1123" s="13" t="s">
        <v>6051</v>
      </c>
      <c r="H1123" s="13" t="s">
        <v>6052</v>
      </c>
    </row>
    <row r="1124" customFormat="false" ht="15" hidden="false" customHeight="true" outlineLevel="0" collapsed="false">
      <c r="A1124" s="13" t="s">
        <v>171</v>
      </c>
      <c r="B1124" s="13" t="s">
        <v>744</v>
      </c>
      <c r="C1124" s="11" t="s">
        <v>745</v>
      </c>
      <c r="D1124" s="13" t="s">
        <v>6053</v>
      </c>
      <c r="E1124" s="13" t="s">
        <v>6054</v>
      </c>
      <c r="F1124" s="13" t="s">
        <v>6055</v>
      </c>
      <c r="G1124" s="13" t="s">
        <v>6056</v>
      </c>
      <c r="H1124" s="13" t="s">
        <v>6057</v>
      </c>
    </row>
    <row r="1125" customFormat="false" ht="15" hidden="false" customHeight="true" outlineLevel="0" collapsed="false">
      <c r="A1125" s="13" t="s">
        <v>171</v>
      </c>
      <c r="B1125" s="13" t="s">
        <v>751</v>
      </c>
      <c r="C1125" s="11" t="s">
        <v>752</v>
      </c>
      <c r="D1125" s="13" t="s">
        <v>6058</v>
      </c>
      <c r="E1125" s="13" t="s">
        <v>6059</v>
      </c>
      <c r="F1125" s="13" t="s">
        <v>6060</v>
      </c>
      <c r="G1125" s="13" t="s">
        <v>6061</v>
      </c>
      <c r="H1125" s="13" t="s">
        <v>6062</v>
      </c>
    </row>
    <row r="1126" customFormat="false" ht="15" hidden="false" customHeight="true" outlineLevel="0" collapsed="false">
      <c r="A1126" s="13" t="s">
        <v>171</v>
      </c>
      <c r="B1126" s="13" t="s">
        <v>758</v>
      </c>
      <c r="C1126" s="11" t="s">
        <v>759</v>
      </c>
      <c r="D1126" s="13" t="s">
        <v>6063</v>
      </c>
      <c r="E1126" s="13" t="s">
        <v>6064</v>
      </c>
      <c r="F1126" s="13" t="s">
        <v>6065</v>
      </c>
      <c r="G1126" s="13" t="s">
        <v>6066</v>
      </c>
      <c r="H1126" s="13" t="s">
        <v>6067</v>
      </c>
    </row>
    <row r="1127" customFormat="false" ht="15" hidden="false" customHeight="true" outlineLevel="0" collapsed="false">
      <c r="A1127" s="13" t="s">
        <v>171</v>
      </c>
      <c r="B1127" s="13" t="s">
        <v>765</v>
      </c>
      <c r="C1127" s="11" t="s">
        <v>766</v>
      </c>
      <c r="D1127" s="13" t="s">
        <v>6068</v>
      </c>
      <c r="E1127" s="13" t="s">
        <v>6069</v>
      </c>
      <c r="F1127" s="13" t="s">
        <v>6070</v>
      </c>
      <c r="G1127" s="13" t="s">
        <v>6071</v>
      </c>
      <c r="H1127" s="13" t="s">
        <v>6072</v>
      </c>
    </row>
    <row r="1128" customFormat="false" ht="15" hidden="false" customHeight="true" outlineLevel="0" collapsed="false">
      <c r="A1128" s="13" t="s">
        <v>171</v>
      </c>
      <c r="B1128" s="13" t="s">
        <v>772</v>
      </c>
      <c r="C1128" s="11" t="s">
        <v>773</v>
      </c>
      <c r="D1128" s="13" t="s">
        <v>6073</v>
      </c>
      <c r="E1128" s="13" t="s">
        <v>6074</v>
      </c>
      <c r="F1128" s="13" t="s">
        <v>6075</v>
      </c>
      <c r="G1128" s="13" t="s">
        <v>6076</v>
      </c>
      <c r="H1128" s="13" t="s">
        <v>6077</v>
      </c>
    </row>
    <row r="1129" customFormat="false" ht="15" hidden="false" customHeight="true" outlineLevel="0" collapsed="false">
      <c r="A1129" s="13" t="s">
        <v>171</v>
      </c>
      <c r="B1129" s="13" t="s">
        <v>779</v>
      </c>
      <c r="C1129" s="11" t="s">
        <v>780</v>
      </c>
      <c r="D1129" s="13" t="s">
        <v>6078</v>
      </c>
      <c r="E1129" s="13" t="s">
        <v>6079</v>
      </c>
      <c r="F1129" s="13" t="s">
        <v>6080</v>
      </c>
      <c r="G1129" s="13" t="s">
        <v>6081</v>
      </c>
      <c r="H1129" s="13" t="s">
        <v>6082</v>
      </c>
    </row>
    <row r="1130" customFormat="false" ht="15" hidden="false" customHeight="true" outlineLevel="0" collapsed="false">
      <c r="A1130" s="13" t="s">
        <v>171</v>
      </c>
      <c r="B1130" s="13" t="s">
        <v>786</v>
      </c>
      <c r="C1130" s="11" t="s">
        <v>787</v>
      </c>
      <c r="D1130" s="13" t="s">
        <v>6083</v>
      </c>
      <c r="E1130" s="13" t="s">
        <v>6084</v>
      </c>
      <c r="F1130" s="13" t="s">
        <v>6085</v>
      </c>
      <c r="G1130" s="13" t="s">
        <v>6086</v>
      </c>
      <c r="H1130" s="13" t="s">
        <v>6087</v>
      </c>
    </row>
    <row r="1131" customFormat="false" ht="15" hidden="false" customHeight="true" outlineLevel="0" collapsed="false">
      <c r="A1131" s="13" t="s">
        <v>171</v>
      </c>
      <c r="B1131" s="13" t="s">
        <v>793</v>
      </c>
      <c r="C1131" s="11" t="s">
        <v>794</v>
      </c>
      <c r="D1131" s="13" t="s">
        <v>6088</v>
      </c>
      <c r="E1131" s="13" t="s">
        <v>6089</v>
      </c>
      <c r="F1131" s="13" t="s">
        <v>6090</v>
      </c>
      <c r="G1131" s="13" t="s">
        <v>6091</v>
      </c>
      <c r="H1131" s="13" t="s">
        <v>6092</v>
      </c>
    </row>
    <row r="1132" customFormat="false" ht="15" hidden="false" customHeight="true" outlineLevel="0" collapsed="false">
      <c r="A1132" s="13" t="s">
        <v>171</v>
      </c>
      <c r="B1132" s="13" t="s">
        <v>800</v>
      </c>
      <c r="C1132" s="11" t="s">
        <v>801</v>
      </c>
      <c r="D1132" s="13" t="s">
        <v>6093</v>
      </c>
      <c r="E1132" s="13" t="s">
        <v>6094</v>
      </c>
      <c r="F1132" s="13" t="s">
        <v>6095</v>
      </c>
      <c r="G1132" s="13" t="s">
        <v>6096</v>
      </c>
      <c r="H1132" s="13" t="s">
        <v>6097</v>
      </c>
    </row>
    <row r="1133" customFormat="false" ht="15" hidden="false" customHeight="true" outlineLevel="0" collapsed="false">
      <c r="A1133" s="13" t="s">
        <v>171</v>
      </c>
      <c r="B1133" s="13" t="s">
        <v>806</v>
      </c>
      <c r="C1133" s="11" t="s">
        <v>807</v>
      </c>
      <c r="D1133" s="13" t="s">
        <v>5074</v>
      </c>
      <c r="E1133" s="13" t="s">
        <v>6098</v>
      </c>
      <c r="F1133" s="13" t="s">
        <v>6099</v>
      </c>
      <c r="G1133" s="13" t="s">
        <v>6100</v>
      </c>
      <c r="H1133" s="13" t="s">
        <v>6101</v>
      </c>
    </row>
    <row r="1134" customFormat="false" ht="15" hidden="false" customHeight="true" outlineLevel="0" collapsed="false">
      <c r="A1134" s="13" t="s">
        <v>171</v>
      </c>
      <c r="B1134" s="13" t="s">
        <v>813</v>
      </c>
      <c r="C1134" s="11" t="s">
        <v>814</v>
      </c>
      <c r="D1134" s="13" t="s">
        <v>6102</v>
      </c>
      <c r="E1134" s="13" t="s">
        <v>6103</v>
      </c>
      <c r="F1134" s="13" t="s">
        <v>6104</v>
      </c>
      <c r="G1134" s="13" t="s">
        <v>6105</v>
      </c>
      <c r="H1134" s="13" t="s">
        <v>6106</v>
      </c>
    </row>
    <row r="1135" customFormat="false" ht="15" hidden="false" customHeight="true" outlineLevel="0" collapsed="false">
      <c r="A1135" s="13" t="s">
        <v>171</v>
      </c>
      <c r="B1135" s="13" t="s">
        <v>820</v>
      </c>
      <c r="C1135" s="11" t="s">
        <v>821</v>
      </c>
      <c r="D1135" s="13" t="s">
        <v>6107</v>
      </c>
      <c r="E1135" s="13" t="s">
        <v>6108</v>
      </c>
      <c r="F1135" s="13" t="s">
        <v>6109</v>
      </c>
      <c r="G1135" s="13" t="s">
        <v>6110</v>
      </c>
      <c r="H1135" s="13" t="s">
        <v>6111</v>
      </c>
    </row>
    <row r="1136" customFormat="false" ht="15" hidden="false" customHeight="true" outlineLevel="0" collapsed="false">
      <c r="A1136" s="13" t="s">
        <v>171</v>
      </c>
      <c r="B1136" s="13" t="s">
        <v>827</v>
      </c>
      <c r="C1136" s="11" t="s">
        <v>828</v>
      </c>
      <c r="D1136" s="13" t="s">
        <v>6112</v>
      </c>
      <c r="E1136" s="13" t="s">
        <v>6113</v>
      </c>
      <c r="F1136" s="13" t="s">
        <v>6114</v>
      </c>
      <c r="G1136" s="13" t="s">
        <v>6115</v>
      </c>
      <c r="H1136" s="13" t="s">
        <v>6116</v>
      </c>
    </row>
    <row r="1137" customFormat="false" ht="15" hidden="false" customHeight="true" outlineLevel="0" collapsed="false">
      <c r="A1137" s="13" t="s">
        <v>171</v>
      </c>
      <c r="B1137" s="13" t="s">
        <v>834</v>
      </c>
      <c r="C1137" s="11" t="s">
        <v>835</v>
      </c>
      <c r="D1137" s="13" t="s">
        <v>6117</v>
      </c>
      <c r="E1137" s="13" t="s">
        <v>6118</v>
      </c>
      <c r="F1137" s="13" t="s">
        <v>6119</v>
      </c>
      <c r="G1137" s="13" t="s">
        <v>6120</v>
      </c>
      <c r="H1137" s="13" t="s">
        <v>6121</v>
      </c>
    </row>
    <row r="1138" customFormat="false" ht="15" hidden="false" customHeight="true" outlineLevel="0" collapsed="false">
      <c r="A1138" s="13" t="s">
        <v>171</v>
      </c>
      <c r="B1138" s="13" t="s">
        <v>841</v>
      </c>
      <c r="C1138" s="11" t="s">
        <v>842</v>
      </c>
      <c r="D1138" s="13" t="s">
        <v>6122</v>
      </c>
      <c r="E1138" s="13" t="s">
        <v>6123</v>
      </c>
      <c r="F1138" s="13" t="s">
        <v>6124</v>
      </c>
      <c r="G1138" s="13" t="s">
        <v>6125</v>
      </c>
      <c r="H1138" s="13" t="s">
        <v>6126</v>
      </c>
    </row>
    <row r="1139" customFormat="false" ht="15" hidden="false" customHeight="true" outlineLevel="0" collapsed="false">
      <c r="A1139" s="13" t="s">
        <v>171</v>
      </c>
      <c r="B1139" s="13" t="s">
        <v>848</v>
      </c>
      <c r="C1139" s="11" t="s">
        <v>849</v>
      </c>
      <c r="D1139" s="13" t="s">
        <v>6127</v>
      </c>
      <c r="E1139" s="13" t="s">
        <v>6128</v>
      </c>
      <c r="F1139" s="13" t="s">
        <v>6129</v>
      </c>
      <c r="G1139" s="13" t="s">
        <v>6130</v>
      </c>
      <c r="H1139" s="13" t="s">
        <v>6131</v>
      </c>
    </row>
    <row r="1140" customFormat="false" ht="15" hidden="false" customHeight="true" outlineLevel="0" collapsed="false">
      <c r="A1140" s="13" t="s">
        <v>171</v>
      </c>
      <c r="B1140" s="13" t="s">
        <v>855</v>
      </c>
      <c r="C1140" s="11" t="s">
        <v>856</v>
      </c>
      <c r="D1140" s="13" t="s">
        <v>6132</v>
      </c>
      <c r="E1140" s="13" t="s">
        <v>6133</v>
      </c>
      <c r="F1140" s="13" t="s">
        <v>6134</v>
      </c>
      <c r="G1140" s="13" t="s">
        <v>6135</v>
      </c>
      <c r="H1140" s="13" t="s">
        <v>6136</v>
      </c>
    </row>
    <row r="1141" customFormat="false" ht="15" hidden="false" customHeight="true" outlineLevel="0" collapsed="false">
      <c r="A1141" s="13" t="s">
        <v>171</v>
      </c>
      <c r="B1141" s="13" t="s">
        <v>862</v>
      </c>
      <c r="C1141" s="11" t="s">
        <v>863</v>
      </c>
      <c r="D1141" s="13" t="s">
        <v>6137</v>
      </c>
      <c r="E1141" s="13" t="s">
        <v>6138</v>
      </c>
      <c r="F1141" s="13" t="s">
        <v>6139</v>
      </c>
      <c r="G1141" s="13" t="s">
        <v>6140</v>
      </c>
      <c r="H1141" s="13" t="s">
        <v>6141</v>
      </c>
    </row>
    <row r="1142" customFormat="false" ht="15" hidden="false" customHeight="true" outlineLevel="0" collapsed="false">
      <c r="A1142" s="13" t="s">
        <v>171</v>
      </c>
      <c r="B1142" s="13" t="s">
        <v>869</v>
      </c>
      <c r="C1142" s="11" t="s">
        <v>870</v>
      </c>
      <c r="D1142" s="13" t="s">
        <v>6142</v>
      </c>
      <c r="E1142" s="13" t="s">
        <v>6143</v>
      </c>
      <c r="F1142" s="13" t="s">
        <v>6144</v>
      </c>
      <c r="G1142" s="13" t="s">
        <v>6145</v>
      </c>
      <c r="H1142" s="13" t="s">
        <v>6146</v>
      </c>
    </row>
    <row r="1143" customFormat="false" ht="15" hidden="false" customHeight="true" outlineLevel="0" collapsed="false">
      <c r="A1143" s="13" t="s">
        <v>171</v>
      </c>
      <c r="B1143" s="13" t="s">
        <v>876</v>
      </c>
      <c r="C1143" s="11" t="s">
        <v>877</v>
      </c>
      <c r="D1143" s="13" t="s">
        <v>6147</v>
      </c>
      <c r="E1143" s="13" t="s">
        <v>6148</v>
      </c>
      <c r="F1143" s="13" t="s">
        <v>6149</v>
      </c>
      <c r="G1143" s="13" t="s">
        <v>6150</v>
      </c>
      <c r="H1143" s="13" t="s">
        <v>6151</v>
      </c>
    </row>
    <row r="1144" customFormat="false" ht="15" hidden="false" customHeight="true" outlineLevel="0" collapsed="false">
      <c r="A1144" s="13" t="s">
        <v>171</v>
      </c>
      <c r="B1144" s="13" t="s">
        <v>883</v>
      </c>
      <c r="C1144" s="11" t="s">
        <v>884</v>
      </c>
      <c r="D1144" s="13" t="s">
        <v>6152</v>
      </c>
      <c r="E1144" s="13" t="s">
        <v>6153</v>
      </c>
      <c r="F1144" s="13" t="s">
        <v>6154</v>
      </c>
      <c r="G1144" s="13" t="s">
        <v>6155</v>
      </c>
      <c r="H1144" s="13" t="s">
        <v>6156</v>
      </c>
    </row>
    <row r="1145" customFormat="false" ht="15" hidden="false" customHeight="true" outlineLevel="0" collapsed="false">
      <c r="A1145" s="13" t="s">
        <v>171</v>
      </c>
      <c r="B1145" s="13" t="s">
        <v>890</v>
      </c>
      <c r="C1145" s="11" t="s">
        <v>891</v>
      </c>
      <c r="D1145" s="13" t="s">
        <v>6157</v>
      </c>
      <c r="E1145" s="13" t="s">
        <v>6158</v>
      </c>
      <c r="F1145" s="13" t="s">
        <v>6159</v>
      </c>
      <c r="G1145" s="13" t="s">
        <v>6160</v>
      </c>
      <c r="H1145" s="13" t="s">
        <v>6161</v>
      </c>
    </row>
    <row r="1146" customFormat="false" ht="15" hidden="false" customHeight="true" outlineLevel="0" collapsed="false">
      <c r="A1146" s="13" t="s">
        <v>171</v>
      </c>
      <c r="B1146" s="13" t="s">
        <v>897</v>
      </c>
      <c r="C1146" s="11" t="s">
        <v>898</v>
      </c>
      <c r="D1146" s="13" t="s">
        <v>6162</v>
      </c>
      <c r="E1146" s="13" t="s">
        <v>6163</v>
      </c>
      <c r="F1146" s="13" t="s">
        <v>6164</v>
      </c>
      <c r="G1146" s="13" t="s">
        <v>6165</v>
      </c>
      <c r="H1146" s="13" t="s">
        <v>6166</v>
      </c>
    </row>
    <row r="1147" customFormat="false" ht="15" hidden="false" customHeight="true" outlineLevel="0" collapsed="false">
      <c r="A1147" s="13" t="s">
        <v>171</v>
      </c>
      <c r="B1147" s="13" t="s">
        <v>904</v>
      </c>
      <c r="C1147" s="11" t="s">
        <v>905</v>
      </c>
      <c r="D1147" s="13" t="s">
        <v>6167</v>
      </c>
      <c r="E1147" s="13" t="s">
        <v>6168</v>
      </c>
      <c r="F1147" s="13" t="s">
        <v>6169</v>
      </c>
      <c r="G1147" s="13" t="s">
        <v>6170</v>
      </c>
      <c r="H1147" s="13" t="s">
        <v>6171</v>
      </c>
    </row>
    <row r="1148" customFormat="false" ht="15" hidden="false" customHeight="true" outlineLevel="0" collapsed="false">
      <c r="A1148" s="13" t="s">
        <v>171</v>
      </c>
      <c r="B1148" s="13" t="s">
        <v>911</v>
      </c>
      <c r="C1148" s="11" t="s">
        <v>912</v>
      </c>
      <c r="D1148" s="13" t="s">
        <v>6172</v>
      </c>
      <c r="E1148" s="13" t="s">
        <v>6173</v>
      </c>
      <c r="F1148" s="13" t="s">
        <v>6174</v>
      </c>
      <c r="G1148" s="13" t="s">
        <v>6175</v>
      </c>
      <c r="H1148" s="13" t="s">
        <v>6176</v>
      </c>
    </row>
    <row r="1149" customFormat="false" ht="15" hidden="false" customHeight="true" outlineLevel="0" collapsed="false">
      <c r="A1149" s="13" t="s">
        <v>171</v>
      </c>
      <c r="B1149" s="13" t="s">
        <v>918</v>
      </c>
      <c r="C1149" s="11" t="s">
        <v>919</v>
      </c>
      <c r="D1149" s="13" t="s">
        <v>6177</v>
      </c>
      <c r="E1149" s="13" t="s">
        <v>6178</v>
      </c>
      <c r="F1149" s="13" t="s">
        <v>6179</v>
      </c>
      <c r="G1149" s="13" t="s">
        <v>6180</v>
      </c>
      <c r="H1149" s="13" t="s">
        <v>6181</v>
      </c>
    </row>
    <row r="1150" customFormat="false" ht="15" hidden="false" customHeight="true" outlineLevel="0" collapsed="false">
      <c r="A1150" s="13" t="s">
        <v>171</v>
      </c>
      <c r="B1150" s="13" t="s">
        <v>925</v>
      </c>
      <c r="C1150" s="11" t="s">
        <v>926</v>
      </c>
      <c r="D1150" s="13" t="s">
        <v>6182</v>
      </c>
      <c r="E1150" s="13" t="s">
        <v>6183</v>
      </c>
      <c r="F1150" s="13" t="s">
        <v>6184</v>
      </c>
      <c r="G1150" s="13" t="s">
        <v>6185</v>
      </c>
      <c r="H1150" s="13" t="s">
        <v>6186</v>
      </c>
    </row>
    <row r="1151" customFormat="false" ht="15" hidden="false" customHeight="true" outlineLevel="0" collapsed="false">
      <c r="A1151" s="13" t="s">
        <v>171</v>
      </c>
      <c r="B1151" s="13" t="s">
        <v>932</v>
      </c>
      <c r="C1151" s="11" t="s">
        <v>933</v>
      </c>
      <c r="D1151" s="13" t="s">
        <v>6187</v>
      </c>
      <c r="E1151" s="13" t="s">
        <v>6188</v>
      </c>
      <c r="F1151" s="13" t="s">
        <v>6189</v>
      </c>
      <c r="G1151" s="13" t="s">
        <v>6190</v>
      </c>
      <c r="H1151" s="13" t="s">
        <v>6191</v>
      </c>
    </row>
    <row r="1152" customFormat="false" ht="15" hidden="false" customHeight="true" outlineLevel="0" collapsed="false">
      <c r="A1152" s="13" t="s">
        <v>171</v>
      </c>
      <c r="B1152" s="13" t="s">
        <v>939</v>
      </c>
      <c r="C1152" s="11" t="s">
        <v>940</v>
      </c>
      <c r="D1152" s="13" t="s">
        <v>6192</v>
      </c>
      <c r="E1152" s="13" t="s">
        <v>6193</v>
      </c>
      <c r="F1152" s="13" t="s">
        <v>6194</v>
      </c>
      <c r="G1152" s="13" t="s">
        <v>6195</v>
      </c>
      <c r="H1152" s="13" t="s">
        <v>6196</v>
      </c>
    </row>
    <row r="1153" customFormat="false" ht="15" hidden="false" customHeight="true" outlineLevel="0" collapsed="false">
      <c r="A1153" s="13" t="s">
        <v>171</v>
      </c>
      <c r="B1153" s="13" t="s">
        <v>946</v>
      </c>
      <c r="C1153" s="11" t="s">
        <v>947</v>
      </c>
      <c r="D1153" s="13" t="s">
        <v>6197</v>
      </c>
      <c r="E1153" s="13" t="s">
        <v>6198</v>
      </c>
      <c r="F1153" s="13" t="s">
        <v>6199</v>
      </c>
      <c r="G1153" s="13" t="s">
        <v>6200</v>
      </c>
      <c r="H1153" s="13" t="s">
        <v>6201</v>
      </c>
    </row>
    <row r="1154" customFormat="false" ht="15" hidden="false" customHeight="true" outlineLevel="0" collapsed="false">
      <c r="A1154" s="13" t="s">
        <v>171</v>
      </c>
      <c r="B1154" s="13" t="s">
        <v>953</v>
      </c>
      <c r="C1154" s="11" t="s">
        <v>954</v>
      </c>
      <c r="D1154" s="13" t="s">
        <v>6202</v>
      </c>
      <c r="E1154" s="13" t="s">
        <v>6203</v>
      </c>
      <c r="F1154" s="13" t="s">
        <v>6204</v>
      </c>
      <c r="G1154" s="13" t="s">
        <v>6205</v>
      </c>
      <c r="H1154" s="13" t="s">
        <v>6206</v>
      </c>
    </row>
    <row r="1155" customFormat="false" ht="15" hidden="false" customHeight="true" outlineLevel="0" collapsed="false">
      <c r="A1155" s="13" t="s">
        <v>171</v>
      </c>
      <c r="B1155" s="13" t="s">
        <v>960</v>
      </c>
      <c r="C1155" s="11" t="s">
        <v>961</v>
      </c>
      <c r="D1155" s="13" t="s">
        <v>6207</v>
      </c>
      <c r="E1155" s="13" t="s">
        <v>6208</v>
      </c>
      <c r="F1155" s="13" t="s">
        <v>6209</v>
      </c>
      <c r="G1155" s="13" t="s">
        <v>6210</v>
      </c>
      <c r="H1155" s="13" t="s">
        <v>6211</v>
      </c>
    </row>
    <row r="1156" customFormat="false" ht="15" hidden="false" customHeight="true" outlineLevel="0" collapsed="false">
      <c r="A1156" s="13" t="s">
        <v>171</v>
      </c>
      <c r="B1156" s="13" t="s">
        <v>967</v>
      </c>
      <c r="C1156" s="11" t="s">
        <v>968</v>
      </c>
      <c r="D1156" s="13" t="s">
        <v>6212</v>
      </c>
      <c r="E1156" s="13" t="s">
        <v>6213</v>
      </c>
      <c r="F1156" s="13" t="s">
        <v>6214</v>
      </c>
      <c r="G1156" s="13" t="s">
        <v>6215</v>
      </c>
      <c r="H1156" s="13" t="s">
        <v>6216</v>
      </c>
    </row>
    <row r="1157" customFormat="false" ht="15" hidden="false" customHeight="true" outlineLevel="0" collapsed="false">
      <c r="A1157" s="13" t="s">
        <v>171</v>
      </c>
      <c r="B1157" s="13" t="s">
        <v>974</v>
      </c>
      <c r="C1157" s="11" t="s">
        <v>975</v>
      </c>
      <c r="D1157" s="13" t="s">
        <v>6217</v>
      </c>
      <c r="E1157" s="13" t="s">
        <v>6218</v>
      </c>
      <c r="F1157" s="13" t="s">
        <v>2901</v>
      </c>
      <c r="G1157" s="13" t="s">
        <v>6219</v>
      </c>
      <c r="H1157" s="13" t="s">
        <v>6220</v>
      </c>
    </row>
    <row r="1158" customFormat="false" ht="15" hidden="false" customHeight="true" outlineLevel="0" collapsed="false">
      <c r="A1158" s="13" t="s">
        <v>171</v>
      </c>
      <c r="B1158" s="13" t="s">
        <v>981</v>
      </c>
      <c r="C1158" s="11" t="s">
        <v>982</v>
      </c>
      <c r="D1158" s="13" t="s">
        <v>6221</v>
      </c>
      <c r="E1158" s="13" t="s">
        <v>6222</v>
      </c>
      <c r="F1158" s="13" t="s">
        <v>6223</v>
      </c>
      <c r="G1158" s="13" t="s">
        <v>6224</v>
      </c>
      <c r="H1158" s="13" t="s">
        <v>6225</v>
      </c>
    </row>
    <row r="1159" customFormat="false" ht="15" hidden="false" customHeight="true" outlineLevel="0" collapsed="false">
      <c r="A1159" s="13" t="s">
        <v>171</v>
      </c>
      <c r="B1159" s="13" t="s">
        <v>988</v>
      </c>
      <c r="C1159" s="11" t="s">
        <v>989</v>
      </c>
      <c r="D1159" s="13" t="s">
        <v>6226</v>
      </c>
      <c r="E1159" s="13" t="s">
        <v>6227</v>
      </c>
      <c r="F1159" s="13" t="s">
        <v>6228</v>
      </c>
      <c r="G1159" s="13" t="s">
        <v>6229</v>
      </c>
      <c r="H1159" s="13" t="s">
        <v>6230</v>
      </c>
    </row>
    <row r="1160" customFormat="false" ht="15" hidden="false" customHeight="true" outlineLevel="0" collapsed="false">
      <c r="A1160" s="13" t="s">
        <v>171</v>
      </c>
      <c r="B1160" s="13" t="s">
        <v>995</v>
      </c>
      <c r="C1160" s="11" t="s">
        <v>996</v>
      </c>
      <c r="D1160" s="13" t="s">
        <v>6231</v>
      </c>
      <c r="E1160" s="13" t="s">
        <v>6232</v>
      </c>
      <c r="F1160" s="13" t="s">
        <v>6233</v>
      </c>
      <c r="G1160" s="13" t="s">
        <v>6234</v>
      </c>
      <c r="H1160" s="13" t="s">
        <v>6235</v>
      </c>
    </row>
    <row r="1161" customFormat="false" ht="15" hidden="false" customHeight="true" outlineLevel="0" collapsed="false">
      <c r="A1161" s="13" t="s">
        <v>171</v>
      </c>
      <c r="B1161" s="13" t="s">
        <v>1002</v>
      </c>
      <c r="C1161" s="11" t="s">
        <v>1003</v>
      </c>
      <c r="D1161" s="13" t="s">
        <v>6236</v>
      </c>
      <c r="E1161" s="13" t="s">
        <v>6237</v>
      </c>
      <c r="F1161" s="13" t="s">
        <v>6238</v>
      </c>
      <c r="G1161" s="13" t="s">
        <v>6239</v>
      </c>
      <c r="H1161" s="13" t="s">
        <v>6240</v>
      </c>
    </row>
    <row r="1162" customFormat="false" ht="15" hidden="false" customHeight="true" outlineLevel="0" collapsed="false">
      <c r="A1162" s="13" t="s">
        <v>171</v>
      </c>
      <c r="B1162" s="13" t="s">
        <v>1009</v>
      </c>
      <c r="C1162" s="11" t="s">
        <v>1010</v>
      </c>
      <c r="D1162" s="13" t="s">
        <v>690</v>
      </c>
      <c r="E1162" s="13" t="s">
        <v>6241</v>
      </c>
      <c r="F1162" s="13" t="s">
        <v>6242</v>
      </c>
      <c r="G1162" s="13" t="s">
        <v>6243</v>
      </c>
      <c r="H1162" s="13" t="s">
        <v>6244</v>
      </c>
    </row>
    <row r="1163" customFormat="false" ht="15" hidden="false" customHeight="true" outlineLevel="0" collapsed="false">
      <c r="A1163" s="13" t="s">
        <v>179</v>
      </c>
      <c r="B1163" s="13" t="s">
        <v>345</v>
      </c>
      <c r="C1163" s="11" t="s">
        <v>346</v>
      </c>
      <c r="D1163" s="13" t="s">
        <v>6245</v>
      </c>
      <c r="E1163" s="13" t="s">
        <v>6246</v>
      </c>
      <c r="F1163" s="13" t="s">
        <v>6247</v>
      </c>
      <c r="G1163" s="13" t="s">
        <v>6248</v>
      </c>
      <c r="H1163" s="13" t="s">
        <v>6249</v>
      </c>
    </row>
    <row r="1164" customFormat="false" ht="15" hidden="false" customHeight="true" outlineLevel="0" collapsed="false">
      <c r="A1164" s="13" t="s">
        <v>179</v>
      </c>
      <c r="B1164" s="13" t="s">
        <v>352</v>
      </c>
      <c r="C1164" s="11" t="s">
        <v>353</v>
      </c>
      <c r="D1164" s="13" t="s">
        <v>6250</v>
      </c>
      <c r="E1164" s="13" t="s">
        <v>1787</v>
      </c>
      <c r="F1164" s="13" t="s">
        <v>6251</v>
      </c>
      <c r="G1164" s="13" t="s">
        <v>6252</v>
      </c>
      <c r="H1164" s="13" t="s">
        <v>6253</v>
      </c>
    </row>
    <row r="1165" customFormat="false" ht="15" hidden="false" customHeight="true" outlineLevel="0" collapsed="false">
      <c r="A1165" s="13" t="s">
        <v>179</v>
      </c>
      <c r="B1165" s="13" t="s">
        <v>359</v>
      </c>
      <c r="C1165" s="11" t="s">
        <v>360</v>
      </c>
      <c r="D1165" s="13" t="s">
        <v>6254</v>
      </c>
      <c r="E1165" s="13" t="s">
        <v>6255</v>
      </c>
      <c r="F1165" s="13" t="s">
        <v>6256</v>
      </c>
      <c r="G1165" s="13" t="s">
        <v>6257</v>
      </c>
      <c r="H1165" s="13" t="s">
        <v>6258</v>
      </c>
    </row>
    <row r="1166" customFormat="false" ht="15" hidden="false" customHeight="true" outlineLevel="0" collapsed="false">
      <c r="A1166" s="13" t="s">
        <v>179</v>
      </c>
      <c r="B1166" s="13" t="s">
        <v>366</v>
      </c>
      <c r="C1166" s="11" t="s">
        <v>367</v>
      </c>
      <c r="D1166" s="13" t="s">
        <v>6259</v>
      </c>
      <c r="E1166" s="13" t="s">
        <v>687</v>
      </c>
      <c r="F1166" s="13" t="s">
        <v>6260</v>
      </c>
      <c r="G1166" s="13" t="s">
        <v>6261</v>
      </c>
      <c r="H1166" s="13" t="s">
        <v>6262</v>
      </c>
    </row>
    <row r="1167" customFormat="false" ht="15" hidden="false" customHeight="true" outlineLevel="0" collapsed="false">
      <c r="A1167" s="13" t="s">
        <v>179</v>
      </c>
      <c r="B1167" s="13" t="s">
        <v>373</v>
      </c>
      <c r="C1167" s="11" t="s">
        <v>374</v>
      </c>
      <c r="D1167" s="13" t="s">
        <v>6263</v>
      </c>
      <c r="E1167" s="13" t="s">
        <v>6264</v>
      </c>
      <c r="F1167" s="13" t="s">
        <v>6265</v>
      </c>
      <c r="G1167" s="13" t="s">
        <v>6266</v>
      </c>
      <c r="H1167" s="13" t="s">
        <v>6267</v>
      </c>
    </row>
    <row r="1168" customFormat="false" ht="15" hidden="false" customHeight="true" outlineLevel="0" collapsed="false">
      <c r="A1168" s="13" t="s">
        <v>179</v>
      </c>
      <c r="B1168" s="13" t="s">
        <v>380</v>
      </c>
      <c r="C1168" s="11" t="s">
        <v>381</v>
      </c>
      <c r="D1168" s="13" t="s">
        <v>5077</v>
      </c>
      <c r="E1168" s="13" t="s">
        <v>6268</v>
      </c>
      <c r="F1168" s="13" t="s">
        <v>6269</v>
      </c>
      <c r="G1168" s="13" t="s">
        <v>6270</v>
      </c>
      <c r="H1168" s="13" t="s">
        <v>6271</v>
      </c>
    </row>
    <row r="1169" customFormat="false" ht="15" hidden="false" customHeight="true" outlineLevel="0" collapsed="false">
      <c r="A1169" s="13" t="s">
        <v>179</v>
      </c>
      <c r="B1169" s="13" t="s">
        <v>387</v>
      </c>
      <c r="C1169" s="11" t="s">
        <v>388</v>
      </c>
      <c r="D1169" s="13" t="s">
        <v>6272</v>
      </c>
      <c r="E1169" s="13" t="s">
        <v>6273</v>
      </c>
      <c r="F1169" s="13" t="s">
        <v>6274</v>
      </c>
      <c r="G1169" s="13" t="s">
        <v>6275</v>
      </c>
      <c r="H1169" s="13" t="s">
        <v>6276</v>
      </c>
    </row>
    <row r="1170" customFormat="false" ht="15" hidden="false" customHeight="true" outlineLevel="0" collapsed="false">
      <c r="A1170" s="13" t="s">
        <v>179</v>
      </c>
      <c r="B1170" s="13" t="s">
        <v>394</v>
      </c>
      <c r="C1170" s="11" t="s">
        <v>395</v>
      </c>
      <c r="D1170" s="13" t="s">
        <v>6277</v>
      </c>
      <c r="E1170" s="13" t="s">
        <v>6278</v>
      </c>
      <c r="F1170" s="13" t="s">
        <v>6279</v>
      </c>
      <c r="G1170" s="13" t="s">
        <v>6280</v>
      </c>
      <c r="H1170" s="13" t="s">
        <v>6281</v>
      </c>
    </row>
    <row r="1171" customFormat="false" ht="15" hidden="false" customHeight="true" outlineLevel="0" collapsed="false">
      <c r="A1171" s="13" t="s">
        <v>179</v>
      </c>
      <c r="B1171" s="13" t="s">
        <v>401</v>
      </c>
      <c r="C1171" s="11" t="s">
        <v>402</v>
      </c>
      <c r="D1171" s="13" t="s">
        <v>6282</v>
      </c>
      <c r="E1171" s="13" t="s">
        <v>6283</v>
      </c>
      <c r="F1171" s="13" t="s">
        <v>6284</v>
      </c>
      <c r="G1171" s="13" t="s">
        <v>6285</v>
      </c>
      <c r="H1171" s="13" t="s">
        <v>6286</v>
      </c>
    </row>
    <row r="1172" customFormat="false" ht="15" hidden="false" customHeight="true" outlineLevel="0" collapsed="false">
      <c r="A1172" s="13" t="s">
        <v>179</v>
      </c>
      <c r="B1172" s="13" t="s">
        <v>408</v>
      </c>
      <c r="C1172" s="11" t="s">
        <v>409</v>
      </c>
      <c r="D1172" s="13" t="s">
        <v>6287</v>
      </c>
      <c r="E1172" s="13" t="s">
        <v>6288</v>
      </c>
      <c r="F1172" s="13" t="s">
        <v>6289</v>
      </c>
      <c r="G1172" s="13" t="s">
        <v>6290</v>
      </c>
      <c r="H1172" s="13" t="s">
        <v>6291</v>
      </c>
    </row>
    <row r="1173" customFormat="false" ht="15" hidden="false" customHeight="true" outlineLevel="0" collapsed="false">
      <c r="A1173" s="13" t="s">
        <v>179</v>
      </c>
      <c r="B1173" s="13" t="s">
        <v>415</v>
      </c>
      <c r="C1173" s="11" t="s">
        <v>416</v>
      </c>
      <c r="D1173" s="13" t="s">
        <v>6292</v>
      </c>
      <c r="E1173" s="13" t="s">
        <v>6293</v>
      </c>
      <c r="F1173" s="13" t="s">
        <v>6294</v>
      </c>
      <c r="G1173" s="13" t="s">
        <v>6295</v>
      </c>
      <c r="H1173" s="13" t="s">
        <v>6296</v>
      </c>
    </row>
    <row r="1174" customFormat="false" ht="15" hidden="false" customHeight="true" outlineLevel="0" collapsed="false">
      <c r="A1174" s="13" t="s">
        <v>179</v>
      </c>
      <c r="B1174" s="13" t="s">
        <v>422</v>
      </c>
      <c r="C1174" s="11" t="s">
        <v>423</v>
      </c>
      <c r="D1174" s="13" t="s">
        <v>6297</v>
      </c>
      <c r="E1174" s="13" t="s">
        <v>6298</v>
      </c>
      <c r="F1174" s="13" t="s">
        <v>6299</v>
      </c>
      <c r="G1174" s="13" t="s">
        <v>6300</v>
      </c>
      <c r="H1174" s="13" t="s">
        <v>6301</v>
      </c>
    </row>
    <row r="1175" customFormat="false" ht="15" hidden="false" customHeight="true" outlineLevel="0" collapsed="false">
      <c r="A1175" s="13" t="s">
        <v>179</v>
      </c>
      <c r="B1175" s="13" t="s">
        <v>429</v>
      </c>
      <c r="C1175" s="11" t="s">
        <v>430</v>
      </c>
      <c r="D1175" s="13" t="s">
        <v>6302</v>
      </c>
      <c r="E1175" s="13" t="s">
        <v>6303</v>
      </c>
      <c r="F1175" s="13" t="s">
        <v>6304</v>
      </c>
      <c r="G1175" s="13" t="s">
        <v>6305</v>
      </c>
      <c r="H1175" s="13" t="s">
        <v>6306</v>
      </c>
    </row>
    <row r="1176" customFormat="false" ht="15" hidden="false" customHeight="true" outlineLevel="0" collapsed="false">
      <c r="A1176" s="13" t="s">
        <v>179</v>
      </c>
      <c r="B1176" s="13" t="s">
        <v>436</v>
      </c>
      <c r="C1176" s="11" t="s">
        <v>437</v>
      </c>
      <c r="D1176" s="13" t="s">
        <v>6307</v>
      </c>
      <c r="E1176" s="13" t="s">
        <v>6308</v>
      </c>
      <c r="F1176" s="13" t="s">
        <v>6309</v>
      </c>
      <c r="G1176" s="13" t="s">
        <v>6310</v>
      </c>
      <c r="H1176" s="13" t="s">
        <v>6311</v>
      </c>
    </row>
    <row r="1177" customFormat="false" ht="15" hidden="false" customHeight="true" outlineLevel="0" collapsed="false">
      <c r="A1177" s="13" t="s">
        <v>179</v>
      </c>
      <c r="B1177" s="13" t="s">
        <v>443</v>
      </c>
      <c r="C1177" s="11" t="s">
        <v>444</v>
      </c>
      <c r="D1177" s="13" t="s">
        <v>6312</v>
      </c>
      <c r="E1177" s="13" t="s">
        <v>6313</v>
      </c>
      <c r="F1177" s="13" t="s">
        <v>6314</v>
      </c>
      <c r="G1177" s="13" t="s">
        <v>6315</v>
      </c>
      <c r="H1177" s="13" t="s">
        <v>6316</v>
      </c>
    </row>
    <row r="1178" customFormat="false" ht="15" hidden="false" customHeight="true" outlineLevel="0" collapsed="false">
      <c r="A1178" s="13" t="s">
        <v>179</v>
      </c>
      <c r="B1178" s="13" t="s">
        <v>450</v>
      </c>
      <c r="C1178" s="11" t="s">
        <v>451</v>
      </c>
      <c r="D1178" s="13" t="s">
        <v>6317</v>
      </c>
      <c r="E1178" s="13" t="s">
        <v>6318</v>
      </c>
      <c r="F1178" s="13" t="s">
        <v>6319</v>
      </c>
      <c r="G1178" s="13" t="s">
        <v>6320</v>
      </c>
      <c r="H1178" s="13" t="s">
        <v>6321</v>
      </c>
    </row>
    <row r="1179" customFormat="false" ht="15" hidden="false" customHeight="true" outlineLevel="0" collapsed="false">
      <c r="A1179" s="13" t="s">
        <v>179</v>
      </c>
      <c r="B1179" s="13" t="s">
        <v>457</v>
      </c>
      <c r="C1179" s="11" t="s">
        <v>458</v>
      </c>
      <c r="D1179" s="13" t="s">
        <v>6322</v>
      </c>
      <c r="E1179" s="13" t="s">
        <v>6323</v>
      </c>
      <c r="F1179" s="13" t="s">
        <v>6324</v>
      </c>
      <c r="G1179" s="13" t="s">
        <v>6325</v>
      </c>
      <c r="H1179" s="13" t="s">
        <v>6326</v>
      </c>
    </row>
    <row r="1180" customFormat="false" ht="15" hidden="false" customHeight="true" outlineLevel="0" collapsed="false">
      <c r="A1180" s="13" t="s">
        <v>179</v>
      </c>
      <c r="B1180" s="13" t="s">
        <v>464</v>
      </c>
      <c r="C1180" s="11" t="s">
        <v>465</v>
      </c>
      <c r="D1180" s="13" t="s">
        <v>6327</v>
      </c>
      <c r="E1180" s="13" t="s">
        <v>6328</v>
      </c>
      <c r="F1180" s="13" t="s">
        <v>6329</v>
      </c>
      <c r="G1180" s="13" t="s">
        <v>6330</v>
      </c>
      <c r="H1180" s="13" t="s">
        <v>6331</v>
      </c>
    </row>
    <row r="1181" customFormat="false" ht="15" hidden="false" customHeight="true" outlineLevel="0" collapsed="false">
      <c r="A1181" s="13" t="s">
        <v>179</v>
      </c>
      <c r="B1181" s="13" t="s">
        <v>471</v>
      </c>
      <c r="C1181" s="11" t="s">
        <v>472</v>
      </c>
      <c r="D1181" s="13" t="s">
        <v>6332</v>
      </c>
      <c r="E1181" s="13" t="s">
        <v>6333</v>
      </c>
      <c r="F1181" s="13" t="s">
        <v>6334</v>
      </c>
      <c r="G1181" s="13" t="s">
        <v>6335</v>
      </c>
      <c r="H1181" s="13" t="s">
        <v>6336</v>
      </c>
    </row>
    <row r="1182" customFormat="false" ht="15" hidden="false" customHeight="true" outlineLevel="0" collapsed="false">
      <c r="A1182" s="13" t="s">
        <v>179</v>
      </c>
      <c r="B1182" s="13" t="s">
        <v>478</v>
      </c>
      <c r="C1182" s="11" t="s">
        <v>479</v>
      </c>
      <c r="D1182" s="13" t="s">
        <v>6337</v>
      </c>
      <c r="E1182" s="13" t="s">
        <v>6338</v>
      </c>
      <c r="F1182" s="13" t="s">
        <v>6339</v>
      </c>
      <c r="G1182" s="13" t="s">
        <v>6340</v>
      </c>
      <c r="H1182" s="13" t="s">
        <v>6341</v>
      </c>
    </row>
    <row r="1183" customFormat="false" ht="15" hidden="false" customHeight="true" outlineLevel="0" collapsed="false">
      <c r="A1183" s="13" t="s">
        <v>179</v>
      </c>
      <c r="B1183" s="13" t="s">
        <v>485</v>
      </c>
      <c r="C1183" s="11" t="s">
        <v>486</v>
      </c>
      <c r="D1183" s="13" t="s">
        <v>6342</v>
      </c>
      <c r="E1183" s="13" t="s">
        <v>6343</v>
      </c>
      <c r="F1183" s="13" t="s">
        <v>6344</v>
      </c>
      <c r="G1183" s="13" t="s">
        <v>6345</v>
      </c>
      <c r="H1183" s="13" t="s">
        <v>6346</v>
      </c>
    </row>
    <row r="1184" customFormat="false" ht="15" hidden="false" customHeight="true" outlineLevel="0" collapsed="false">
      <c r="A1184" s="13" t="s">
        <v>179</v>
      </c>
      <c r="B1184" s="13" t="s">
        <v>492</v>
      </c>
      <c r="C1184" s="11" t="s">
        <v>493</v>
      </c>
      <c r="D1184" s="13" t="s">
        <v>6347</v>
      </c>
      <c r="E1184" s="13" t="s">
        <v>6348</v>
      </c>
      <c r="F1184" s="13" t="s">
        <v>6349</v>
      </c>
      <c r="G1184" s="13" t="s">
        <v>6350</v>
      </c>
      <c r="H1184" s="13" t="s">
        <v>6351</v>
      </c>
    </row>
    <row r="1185" customFormat="false" ht="15" hidden="false" customHeight="true" outlineLevel="0" collapsed="false">
      <c r="A1185" s="13" t="s">
        <v>179</v>
      </c>
      <c r="B1185" s="13" t="s">
        <v>499</v>
      </c>
      <c r="C1185" s="11" t="s">
        <v>500</v>
      </c>
      <c r="D1185" s="13" t="s">
        <v>6352</v>
      </c>
      <c r="E1185" s="13" t="s">
        <v>6353</v>
      </c>
      <c r="F1185" s="13" t="s">
        <v>6354</v>
      </c>
      <c r="G1185" s="13" t="s">
        <v>6355</v>
      </c>
      <c r="H1185" s="13" t="s">
        <v>6356</v>
      </c>
    </row>
    <row r="1186" customFormat="false" ht="15" hidden="false" customHeight="true" outlineLevel="0" collapsed="false">
      <c r="A1186" s="13" t="s">
        <v>179</v>
      </c>
      <c r="B1186" s="13" t="s">
        <v>506</v>
      </c>
      <c r="C1186" s="11" t="s">
        <v>507</v>
      </c>
      <c r="D1186" s="13" t="s">
        <v>1706</v>
      </c>
      <c r="E1186" s="13" t="s">
        <v>6357</v>
      </c>
      <c r="F1186" s="13" t="s">
        <v>6358</v>
      </c>
      <c r="G1186" s="13" t="s">
        <v>6359</v>
      </c>
      <c r="H1186" s="13" t="s">
        <v>6360</v>
      </c>
    </row>
    <row r="1187" customFormat="false" ht="15" hidden="false" customHeight="true" outlineLevel="0" collapsed="false">
      <c r="A1187" s="13" t="s">
        <v>179</v>
      </c>
      <c r="B1187" s="13" t="s">
        <v>513</v>
      </c>
      <c r="C1187" s="11" t="s">
        <v>514</v>
      </c>
      <c r="D1187" s="13" t="s">
        <v>6361</v>
      </c>
      <c r="E1187" s="13" t="s">
        <v>6362</v>
      </c>
      <c r="F1187" s="13" t="s">
        <v>6363</v>
      </c>
      <c r="G1187" s="13" t="s">
        <v>6364</v>
      </c>
      <c r="H1187" s="13" t="s">
        <v>6365</v>
      </c>
    </row>
    <row r="1188" customFormat="false" ht="15" hidden="false" customHeight="true" outlineLevel="0" collapsed="false">
      <c r="A1188" s="13" t="s">
        <v>179</v>
      </c>
      <c r="B1188" s="13" t="s">
        <v>520</v>
      </c>
      <c r="C1188" s="11" t="s">
        <v>521</v>
      </c>
      <c r="D1188" s="13" t="s">
        <v>6366</v>
      </c>
      <c r="E1188" s="13" t="s">
        <v>6367</v>
      </c>
      <c r="F1188" s="13" t="s">
        <v>6368</v>
      </c>
      <c r="G1188" s="13" t="s">
        <v>6369</v>
      </c>
      <c r="H1188" s="13" t="s">
        <v>6370</v>
      </c>
    </row>
    <row r="1189" customFormat="false" ht="15" hidden="false" customHeight="true" outlineLevel="0" collapsed="false">
      <c r="A1189" s="13" t="s">
        <v>179</v>
      </c>
      <c r="B1189" s="13" t="s">
        <v>527</v>
      </c>
      <c r="C1189" s="11" t="s">
        <v>528</v>
      </c>
      <c r="D1189" s="13" t="s">
        <v>6371</v>
      </c>
      <c r="E1189" s="13" t="s">
        <v>6372</v>
      </c>
      <c r="F1189" s="13" t="s">
        <v>6373</v>
      </c>
      <c r="G1189" s="13" t="s">
        <v>6374</v>
      </c>
      <c r="H1189" s="13" t="s">
        <v>6375</v>
      </c>
    </row>
    <row r="1190" customFormat="false" ht="15" hidden="false" customHeight="true" outlineLevel="0" collapsed="false">
      <c r="A1190" s="13" t="s">
        <v>179</v>
      </c>
      <c r="B1190" s="13" t="s">
        <v>534</v>
      </c>
      <c r="C1190" s="11" t="s">
        <v>535</v>
      </c>
      <c r="D1190" s="13" t="s">
        <v>6376</v>
      </c>
      <c r="E1190" s="13" t="s">
        <v>6377</v>
      </c>
      <c r="F1190" s="13" t="s">
        <v>6378</v>
      </c>
      <c r="G1190" s="13" t="s">
        <v>6379</v>
      </c>
      <c r="H1190" s="13" t="s">
        <v>6380</v>
      </c>
    </row>
    <row r="1191" customFormat="false" ht="15" hidden="false" customHeight="true" outlineLevel="0" collapsed="false">
      <c r="A1191" s="13" t="s">
        <v>179</v>
      </c>
      <c r="B1191" s="13" t="s">
        <v>541</v>
      </c>
      <c r="C1191" s="11" t="s">
        <v>542</v>
      </c>
      <c r="D1191" s="13" t="s">
        <v>6381</v>
      </c>
      <c r="E1191" s="13" t="s">
        <v>6382</v>
      </c>
      <c r="F1191" s="13" t="s">
        <v>6383</v>
      </c>
      <c r="G1191" s="13" t="s">
        <v>6384</v>
      </c>
      <c r="H1191" s="13" t="s">
        <v>6385</v>
      </c>
    </row>
    <row r="1192" customFormat="false" ht="15" hidden="false" customHeight="true" outlineLevel="0" collapsed="false">
      <c r="A1192" s="13" t="s">
        <v>179</v>
      </c>
      <c r="B1192" s="13" t="s">
        <v>548</v>
      </c>
      <c r="C1192" s="11" t="s">
        <v>549</v>
      </c>
      <c r="D1192" s="13" t="s">
        <v>6386</v>
      </c>
      <c r="E1192" s="13" t="s">
        <v>6387</v>
      </c>
      <c r="F1192" s="13" t="s">
        <v>6388</v>
      </c>
      <c r="G1192" s="13" t="s">
        <v>6389</v>
      </c>
      <c r="H1192" s="13" t="s">
        <v>6390</v>
      </c>
    </row>
    <row r="1193" customFormat="false" ht="15" hidden="false" customHeight="true" outlineLevel="0" collapsed="false">
      <c r="A1193" s="13" t="s">
        <v>179</v>
      </c>
      <c r="B1193" s="13" t="s">
        <v>555</v>
      </c>
      <c r="C1193" s="11" t="s">
        <v>556</v>
      </c>
      <c r="D1193" s="13" t="s">
        <v>6391</v>
      </c>
      <c r="E1193" s="13" t="s">
        <v>6392</v>
      </c>
      <c r="F1193" s="13" t="s">
        <v>6393</v>
      </c>
      <c r="G1193" s="13" t="s">
        <v>6394</v>
      </c>
      <c r="H1193" s="13" t="s">
        <v>6395</v>
      </c>
    </row>
    <row r="1194" customFormat="false" ht="15" hidden="false" customHeight="true" outlineLevel="0" collapsed="false">
      <c r="A1194" s="13" t="s">
        <v>179</v>
      </c>
      <c r="B1194" s="13" t="s">
        <v>562</v>
      </c>
      <c r="C1194" s="11" t="s">
        <v>563</v>
      </c>
      <c r="D1194" s="13" t="s">
        <v>6396</v>
      </c>
      <c r="E1194" s="13" t="s">
        <v>6397</v>
      </c>
      <c r="F1194" s="13" t="s">
        <v>6398</v>
      </c>
      <c r="G1194" s="13" t="s">
        <v>6399</v>
      </c>
      <c r="H1194" s="13" t="s">
        <v>6400</v>
      </c>
    </row>
    <row r="1195" customFormat="false" ht="15" hidden="false" customHeight="true" outlineLevel="0" collapsed="false">
      <c r="A1195" s="13" t="s">
        <v>179</v>
      </c>
      <c r="B1195" s="13" t="s">
        <v>569</v>
      </c>
      <c r="C1195" s="11" t="s">
        <v>570</v>
      </c>
      <c r="D1195" s="13" t="s">
        <v>6401</v>
      </c>
      <c r="E1195" s="13" t="s">
        <v>6402</v>
      </c>
      <c r="F1195" s="13" t="s">
        <v>6403</v>
      </c>
      <c r="G1195" s="13" t="s">
        <v>6404</v>
      </c>
      <c r="H1195" s="13" t="s">
        <v>6405</v>
      </c>
    </row>
    <row r="1196" customFormat="false" ht="15" hidden="false" customHeight="true" outlineLevel="0" collapsed="false">
      <c r="A1196" s="13" t="s">
        <v>179</v>
      </c>
      <c r="B1196" s="13" t="s">
        <v>576</v>
      </c>
      <c r="C1196" s="11" t="s">
        <v>577</v>
      </c>
      <c r="D1196" s="13" t="s">
        <v>6406</v>
      </c>
      <c r="E1196" s="13" t="s">
        <v>6407</v>
      </c>
      <c r="F1196" s="13" t="s">
        <v>6408</v>
      </c>
      <c r="G1196" s="13" t="s">
        <v>6409</v>
      </c>
      <c r="H1196" s="13" t="s">
        <v>6410</v>
      </c>
    </row>
    <row r="1197" customFormat="false" ht="15" hidden="false" customHeight="true" outlineLevel="0" collapsed="false">
      <c r="A1197" s="13" t="s">
        <v>179</v>
      </c>
      <c r="B1197" s="13" t="s">
        <v>583</v>
      </c>
      <c r="C1197" s="11" t="s">
        <v>584</v>
      </c>
      <c r="D1197" s="13" t="s">
        <v>6411</v>
      </c>
      <c r="E1197" s="13" t="s">
        <v>6412</v>
      </c>
      <c r="F1197" s="13" t="s">
        <v>6413</v>
      </c>
      <c r="G1197" s="13" t="s">
        <v>6414</v>
      </c>
      <c r="H1197" s="13" t="s">
        <v>6415</v>
      </c>
    </row>
    <row r="1198" customFormat="false" ht="15" hidden="false" customHeight="true" outlineLevel="0" collapsed="false">
      <c r="A1198" s="13" t="s">
        <v>179</v>
      </c>
      <c r="B1198" s="13" t="s">
        <v>590</v>
      </c>
      <c r="C1198" s="11" t="s">
        <v>591</v>
      </c>
      <c r="D1198" s="13" t="s">
        <v>6416</v>
      </c>
      <c r="E1198" s="13" t="s">
        <v>6417</v>
      </c>
      <c r="F1198" s="13" t="s">
        <v>6418</v>
      </c>
      <c r="G1198" s="13" t="s">
        <v>6419</v>
      </c>
      <c r="H1198" s="13" t="s">
        <v>6420</v>
      </c>
    </row>
    <row r="1199" customFormat="false" ht="15" hidden="false" customHeight="true" outlineLevel="0" collapsed="false">
      <c r="A1199" s="13" t="s">
        <v>179</v>
      </c>
      <c r="B1199" s="13" t="s">
        <v>597</v>
      </c>
      <c r="C1199" s="11" t="s">
        <v>598</v>
      </c>
      <c r="D1199" s="13" t="s">
        <v>6421</v>
      </c>
      <c r="E1199" s="13" t="s">
        <v>6422</v>
      </c>
      <c r="F1199" s="13" t="s">
        <v>6423</v>
      </c>
      <c r="G1199" s="13" t="s">
        <v>6424</v>
      </c>
      <c r="H1199" s="13" t="s">
        <v>6425</v>
      </c>
    </row>
    <row r="1200" customFormat="false" ht="15" hidden="false" customHeight="true" outlineLevel="0" collapsed="false">
      <c r="A1200" s="13" t="s">
        <v>179</v>
      </c>
      <c r="B1200" s="13" t="s">
        <v>604</v>
      </c>
      <c r="C1200" s="11" t="s">
        <v>605</v>
      </c>
      <c r="D1200" s="13" t="s">
        <v>6426</v>
      </c>
      <c r="E1200" s="13" t="s">
        <v>6427</v>
      </c>
      <c r="F1200" s="13" t="s">
        <v>6428</v>
      </c>
      <c r="G1200" s="13" t="s">
        <v>6429</v>
      </c>
      <c r="H1200" s="13" t="s">
        <v>6430</v>
      </c>
    </row>
    <row r="1201" customFormat="false" ht="15" hidden="false" customHeight="true" outlineLevel="0" collapsed="false">
      <c r="A1201" s="13" t="s">
        <v>179</v>
      </c>
      <c r="B1201" s="13" t="s">
        <v>611</v>
      </c>
      <c r="C1201" s="11" t="s">
        <v>612</v>
      </c>
      <c r="D1201" s="13" t="s">
        <v>6431</v>
      </c>
      <c r="E1201" s="13" t="s">
        <v>6432</v>
      </c>
      <c r="F1201" s="13" t="s">
        <v>6433</v>
      </c>
      <c r="G1201" s="13" t="s">
        <v>6434</v>
      </c>
      <c r="H1201" s="13" t="s">
        <v>6435</v>
      </c>
    </row>
    <row r="1202" customFormat="false" ht="15" hidden="false" customHeight="true" outlineLevel="0" collapsed="false">
      <c r="A1202" s="13" t="s">
        <v>179</v>
      </c>
      <c r="B1202" s="13" t="s">
        <v>618</v>
      </c>
      <c r="C1202" s="11" t="s">
        <v>619</v>
      </c>
      <c r="D1202" s="13" t="s">
        <v>6436</v>
      </c>
      <c r="E1202" s="13" t="s">
        <v>6437</v>
      </c>
      <c r="F1202" s="13" t="s">
        <v>6438</v>
      </c>
      <c r="G1202" s="13" t="s">
        <v>6439</v>
      </c>
      <c r="H1202" s="13" t="s">
        <v>6440</v>
      </c>
    </row>
    <row r="1203" customFormat="false" ht="15" hidden="false" customHeight="true" outlineLevel="0" collapsed="false">
      <c r="A1203" s="13" t="s">
        <v>179</v>
      </c>
      <c r="B1203" s="13" t="s">
        <v>625</v>
      </c>
      <c r="C1203" s="11" t="s">
        <v>626</v>
      </c>
      <c r="D1203" s="13" t="s">
        <v>6441</v>
      </c>
      <c r="E1203" s="13" t="s">
        <v>6442</v>
      </c>
      <c r="F1203" s="13" t="s">
        <v>6443</v>
      </c>
      <c r="G1203" s="13" t="s">
        <v>6444</v>
      </c>
      <c r="H1203" s="13" t="s">
        <v>6445</v>
      </c>
    </row>
    <row r="1204" customFormat="false" ht="15" hidden="false" customHeight="true" outlineLevel="0" collapsed="false">
      <c r="A1204" s="13" t="s">
        <v>179</v>
      </c>
      <c r="B1204" s="13" t="s">
        <v>632</v>
      </c>
      <c r="C1204" s="11" t="s">
        <v>633</v>
      </c>
      <c r="D1204" s="13" t="s">
        <v>6446</v>
      </c>
      <c r="E1204" s="13" t="s">
        <v>6447</v>
      </c>
      <c r="F1204" s="13" t="s">
        <v>6448</v>
      </c>
      <c r="G1204" s="13" t="s">
        <v>6449</v>
      </c>
      <c r="H1204" s="13" t="s">
        <v>6450</v>
      </c>
    </row>
    <row r="1205" customFormat="false" ht="15" hidden="false" customHeight="true" outlineLevel="0" collapsed="false">
      <c r="A1205" s="13" t="s">
        <v>179</v>
      </c>
      <c r="B1205" s="13" t="s">
        <v>639</v>
      </c>
      <c r="C1205" s="11" t="s">
        <v>640</v>
      </c>
      <c r="D1205" s="13" t="s">
        <v>6451</v>
      </c>
      <c r="E1205" s="13" t="s">
        <v>6452</v>
      </c>
      <c r="F1205" s="13" t="s">
        <v>6453</v>
      </c>
      <c r="G1205" s="13" t="s">
        <v>6454</v>
      </c>
      <c r="H1205" s="13" t="s">
        <v>6455</v>
      </c>
    </row>
    <row r="1206" customFormat="false" ht="15" hidden="false" customHeight="true" outlineLevel="0" collapsed="false">
      <c r="A1206" s="13" t="s">
        <v>179</v>
      </c>
      <c r="B1206" s="13" t="s">
        <v>646</v>
      </c>
      <c r="C1206" s="11" t="s">
        <v>647</v>
      </c>
      <c r="D1206" s="13" t="s">
        <v>6456</v>
      </c>
      <c r="E1206" s="13" t="s">
        <v>6457</v>
      </c>
      <c r="F1206" s="13" t="s">
        <v>6458</v>
      </c>
      <c r="G1206" s="13" t="s">
        <v>6459</v>
      </c>
      <c r="H1206" s="13" t="s">
        <v>6460</v>
      </c>
    </row>
    <row r="1207" customFormat="false" ht="15" hidden="false" customHeight="true" outlineLevel="0" collapsed="false">
      <c r="A1207" s="13" t="s">
        <v>179</v>
      </c>
      <c r="B1207" s="13" t="s">
        <v>653</v>
      </c>
      <c r="C1207" s="11" t="s">
        <v>654</v>
      </c>
      <c r="D1207" s="13" t="s">
        <v>2193</v>
      </c>
      <c r="E1207" s="13" t="s">
        <v>6461</v>
      </c>
      <c r="F1207" s="13" t="s">
        <v>6462</v>
      </c>
      <c r="G1207" s="13" t="s">
        <v>6463</v>
      </c>
      <c r="H1207" s="13" t="s">
        <v>6464</v>
      </c>
    </row>
    <row r="1208" customFormat="false" ht="15" hidden="false" customHeight="true" outlineLevel="0" collapsed="false">
      <c r="A1208" s="13" t="s">
        <v>179</v>
      </c>
      <c r="B1208" s="13" t="s">
        <v>660</v>
      </c>
      <c r="C1208" s="11" t="s">
        <v>661</v>
      </c>
      <c r="D1208" s="13" t="s">
        <v>4831</v>
      </c>
      <c r="E1208" s="13" t="s">
        <v>6465</v>
      </c>
      <c r="F1208" s="13" t="s">
        <v>6466</v>
      </c>
      <c r="G1208" s="13" t="s">
        <v>6467</v>
      </c>
      <c r="H1208" s="13" t="s">
        <v>6468</v>
      </c>
    </row>
    <row r="1209" customFormat="false" ht="15" hidden="false" customHeight="true" outlineLevel="0" collapsed="false">
      <c r="A1209" s="13" t="s">
        <v>179</v>
      </c>
      <c r="B1209" s="13" t="s">
        <v>667</v>
      </c>
      <c r="C1209" s="11" t="s">
        <v>668</v>
      </c>
      <c r="D1209" s="13" t="s">
        <v>6469</v>
      </c>
      <c r="E1209" s="13" t="s">
        <v>512</v>
      </c>
      <c r="F1209" s="13" t="s">
        <v>6470</v>
      </c>
      <c r="G1209" s="13" t="s">
        <v>6471</v>
      </c>
      <c r="H1209" s="13" t="s">
        <v>6472</v>
      </c>
    </row>
    <row r="1210" customFormat="false" ht="15" hidden="false" customHeight="true" outlineLevel="0" collapsed="false">
      <c r="A1210" s="13" t="s">
        <v>179</v>
      </c>
      <c r="B1210" s="13" t="s">
        <v>674</v>
      </c>
      <c r="C1210" s="11" t="s">
        <v>675</v>
      </c>
      <c r="D1210" s="13" t="s">
        <v>6473</v>
      </c>
      <c r="E1210" s="13" t="s">
        <v>6474</v>
      </c>
      <c r="F1210" s="13" t="s">
        <v>6475</v>
      </c>
      <c r="G1210" s="13" t="s">
        <v>6476</v>
      </c>
      <c r="H1210" s="13" t="s">
        <v>6477</v>
      </c>
    </row>
    <row r="1211" customFormat="false" ht="15" hidden="false" customHeight="true" outlineLevel="0" collapsed="false">
      <c r="A1211" s="13" t="s">
        <v>179</v>
      </c>
      <c r="B1211" s="13" t="s">
        <v>681</v>
      </c>
      <c r="C1211" s="11" t="s">
        <v>682</v>
      </c>
      <c r="D1211" s="13" t="s">
        <v>6478</v>
      </c>
      <c r="E1211" s="13" t="s">
        <v>6479</v>
      </c>
      <c r="F1211" s="13" t="s">
        <v>6480</v>
      </c>
      <c r="G1211" s="13" t="s">
        <v>6481</v>
      </c>
      <c r="H1211" s="13" t="s">
        <v>6482</v>
      </c>
    </row>
    <row r="1212" customFormat="false" ht="15" hidden="false" customHeight="true" outlineLevel="0" collapsed="false">
      <c r="A1212" s="13" t="s">
        <v>179</v>
      </c>
      <c r="B1212" s="13" t="s">
        <v>688</v>
      </c>
      <c r="C1212" s="11" t="s">
        <v>689</v>
      </c>
      <c r="D1212" s="13" t="s">
        <v>2924</v>
      </c>
      <c r="E1212" s="13" t="s">
        <v>6483</v>
      </c>
      <c r="F1212" s="13" t="s">
        <v>6484</v>
      </c>
      <c r="G1212" s="13" t="s">
        <v>6485</v>
      </c>
      <c r="H1212" s="13" t="s">
        <v>6486</v>
      </c>
    </row>
    <row r="1213" customFormat="false" ht="15" hidden="false" customHeight="true" outlineLevel="0" collapsed="false">
      <c r="A1213" s="13" t="s">
        <v>179</v>
      </c>
      <c r="B1213" s="13" t="s">
        <v>695</v>
      </c>
      <c r="C1213" s="11" t="s">
        <v>696</v>
      </c>
      <c r="D1213" s="13" t="s">
        <v>6487</v>
      </c>
      <c r="E1213" s="13" t="s">
        <v>6488</v>
      </c>
      <c r="F1213" s="13" t="s">
        <v>6489</v>
      </c>
      <c r="G1213" s="13" t="s">
        <v>6490</v>
      </c>
      <c r="H1213" s="13" t="s">
        <v>6491</v>
      </c>
    </row>
    <row r="1214" customFormat="false" ht="15" hidden="false" customHeight="true" outlineLevel="0" collapsed="false">
      <c r="A1214" s="13" t="s">
        <v>179</v>
      </c>
      <c r="B1214" s="13" t="s">
        <v>702</v>
      </c>
      <c r="C1214" s="11" t="s">
        <v>703</v>
      </c>
      <c r="D1214" s="13" t="s">
        <v>6492</v>
      </c>
      <c r="E1214" s="13" t="s">
        <v>6493</v>
      </c>
      <c r="F1214" s="13" t="s">
        <v>6494</v>
      </c>
      <c r="G1214" s="13" t="s">
        <v>1160</v>
      </c>
      <c r="H1214" s="13" t="s">
        <v>6495</v>
      </c>
    </row>
    <row r="1215" customFormat="false" ht="15" hidden="false" customHeight="true" outlineLevel="0" collapsed="false">
      <c r="A1215" s="13" t="s">
        <v>179</v>
      </c>
      <c r="B1215" s="13" t="s">
        <v>709</v>
      </c>
      <c r="C1215" s="11" t="s">
        <v>710</v>
      </c>
      <c r="D1215" s="13" t="s">
        <v>6496</v>
      </c>
      <c r="E1215" s="13" t="s">
        <v>6497</v>
      </c>
      <c r="F1215" s="13" t="s">
        <v>6498</v>
      </c>
      <c r="G1215" s="13" t="s">
        <v>6499</v>
      </c>
      <c r="H1215" s="13" t="s">
        <v>6500</v>
      </c>
    </row>
    <row r="1216" customFormat="false" ht="15" hidden="false" customHeight="true" outlineLevel="0" collapsed="false">
      <c r="A1216" s="13" t="s">
        <v>179</v>
      </c>
      <c r="B1216" s="13" t="s">
        <v>716</v>
      </c>
      <c r="C1216" s="11" t="s">
        <v>717</v>
      </c>
      <c r="D1216" s="13" t="s">
        <v>6501</v>
      </c>
      <c r="E1216" s="13" t="s">
        <v>6502</v>
      </c>
      <c r="F1216" s="13" t="s">
        <v>6503</v>
      </c>
      <c r="G1216" s="13" t="s">
        <v>6504</v>
      </c>
      <c r="H1216" s="13" t="s">
        <v>6505</v>
      </c>
    </row>
    <row r="1217" customFormat="false" ht="15" hidden="false" customHeight="true" outlineLevel="0" collapsed="false">
      <c r="A1217" s="13" t="s">
        <v>179</v>
      </c>
      <c r="B1217" s="13" t="s">
        <v>723</v>
      </c>
      <c r="C1217" s="11" t="s">
        <v>724</v>
      </c>
      <c r="D1217" s="13" t="s">
        <v>6506</v>
      </c>
      <c r="E1217" s="13" t="s">
        <v>6507</v>
      </c>
      <c r="F1217" s="13" t="s">
        <v>6508</v>
      </c>
      <c r="G1217" s="13" t="s">
        <v>6509</v>
      </c>
      <c r="H1217" s="13" t="s">
        <v>6510</v>
      </c>
    </row>
    <row r="1218" customFormat="false" ht="15" hidden="false" customHeight="true" outlineLevel="0" collapsed="false">
      <c r="A1218" s="13" t="s">
        <v>179</v>
      </c>
      <c r="B1218" s="13" t="s">
        <v>730</v>
      </c>
      <c r="C1218" s="11" t="s">
        <v>731</v>
      </c>
      <c r="D1218" s="13" t="s">
        <v>6511</v>
      </c>
      <c r="E1218" s="13" t="s">
        <v>6512</v>
      </c>
      <c r="F1218" s="13" t="s">
        <v>6513</v>
      </c>
      <c r="G1218" s="13" t="s">
        <v>6514</v>
      </c>
      <c r="H1218" s="13" t="s">
        <v>6515</v>
      </c>
    </row>
    <row r="1219" customFormat="false" ht="15" hidden="false" customHeight="true" outlineLevel="0" collapsed="false">
      <c r="A1219" s="13" t="s">
        <v>179</v>
      </c>
      <c r="B1219" s="13" t="s">
        <v>737</v>
      </c>
      <c r="C1219" s="11" t="s">
        <v>738</v>
      </c>
      <c r="D1219" s="13" t="s">
        <v>6516</v>
      </c>
      <c r="E1219" s="13" t="s">
        <v>6517</v>
      </c>
      <c r="F1219" s="13" t="s">
        <v>6518</v>
      </c>
      <c r="G1219" s="13" t="s">
        <v>6519</v>
      </c>
      <c r="H1219" s="13" t="s">
        <v>6520</v>
      </c>
    </row>
    <row r="1220" customFormat="false" ht="15" hidden="false" customHeight="true" outlineLevel="0" collapsed="false">
      <c r="A1220" s="13" t="s">
        <v>179</v>
      </c>
      <c r="B1220" s="13" t="s">
        <v>744</v>
      </c>
      <c r="C1220" s="11" t="s">
        <v>745</v>
      </c>
      <c r="D1220" s="13" t="s">
        <v>6521</v>
      </c>
      <c r="E1220" s="13" t="s">
        <v>6522</v>
      </c>
      <c r="F1220" s="13" t="s">
        <v>6523</v>
      </c>
      <c r="G1220" s="13" t="s">
        <v>6524</v>
      </c>
      <c r="H1220" s="13" t="s">
        <v>6525</v>
      </c>
    </row>
    <row r="1221" customFormat="false" ht="15" hidden="false" customHeight="true" outlineLevel="0" collapsed="false">
      <c r="A1221" s="13" t="s">
        <v>179</v>
      </c>
      <c r="B1221" s="13" t="s">
        <v>751</v>
      </c>
      <c r="C1221" s="11" t="s">
        <v>752</v>
      </c>
      <c r="D1221" s="13" t="s">
        <v>6526</v>
      </c>
      <c r="E1221" s="13" t="s">
        <v>6527</v>
      </c>
      <c r="F1221" s="13" t="s">
        <v>6528</v>
      </c>
      <c r="G1221" s="13" t="s">
        <v>6529</v>
      </c>
      <c r="H1221" s="13" t="s">
        <v>6530</v>
      </c>
    </row>
    <row r="1222" customFormat="false" ht="15" hidden="false" customHeight="true" outlineLevel="0" collapsed="false">
      <c r="A1222" s="13" t="s">
        <v>179</v>
      </c>
      <c r="B1222" s="13" t="s">
        <v>758</v>
      </c>
      <c r="C1222" s="11" t="s">
        <v>759</v>
      </c>
      <c r="D1222" s="13" t="s">
        <v>6531</v>
      </c>
      <c r="E1222" s="13" t="s">
        <v>6532</v>
      </c>
      <c r="F1222" s="13" t="s">
        <v>6533</v>
      </c>
      <c r="G1222" s="13" t="s">
        <v>6534</v>
      </c>
      <c r="H1222" s="13" t="s">
        <v>6535</v>
      </c>
    </row>
    <row r="1223" customFormat="false" ht="15" hidden="false" customHeight="true" outlineLevel="0" collapsed="false">
      <c r="A1223" s="13" t="s">
        <v>179</v>
      </c>
      <c r="B1223" s="13" t="s">
        <v>765</v>
      </c>
      <c r="C1223" s="11" t="s">
        <v>766</v>
      </c>
      <c r="D1223" s="13" t="s">
        <v>6536</v>
      </c>
      <c r="E1223" s="13" t="s">
        <v>6537</v>
      </c>
      <c r="F1223" s="13" t="s">
        <v>6538</v>
      </c>
      <c r="G1223" s="13" t="s">
        <v>6539</v>
      </c>
      <c r="H1223" s="13" t="s">
        <v>6540</v>
      </c>
    </row>
    <row r="1224" customFormat="false" ht="15" hidden="false" customHeight="true" outlineLevel="0" collapsed="false">
      <c r="A1224" s="13" t="s">
        <v>179</v>
      </c>
      <c r="B1224" s="13" t="s">
        <v>772</v>
      </c>
      <c r="C1224" s="11" t="s">
        <v>773</v>
      </c>
      <c r="D1224" s="13" t="s">
        <v>6541</v>
      </c>
      <c r="E1224" s="13" t="s">
        <v>6542</v>
      </c>
      <c r="F1224" s="13" t="s">
        <v>6543</v>
      </c>
      <c r="G1224" s="13" t="s">
        <v>6544</v>
      </c>
      <c r="H1224" s="13" t="s">
        <v>6545</v>
      </c>
    </row>
    <row r="1225" customFormat="false" ht="15" hidden="false" customHeight="true" outlineLevel="0" collapsed="false">
      <c r="A1225" s="13" t="s">
        <v>179</v>
      </c>
      <c r="B1225" s="13" t="s">
        <v>779</v>
      </c>
      <c r="C1225" s="11" t="s">
        <v>780</v>
      </c>
      <c r="D1225" s="13" t="s">
        <v>6546</v>
      </c>
      <c r="E1225" s="13" t="s">
        <v>6547</v>
      </c>
      <c r="F1225" s="13" t="s">
        <v>6548</v>
      </c>
      <c r="G1225" s="13" t="s">
        <v>6549</v>
      </c>
      <c r="H1225" s="13" t="s">
        <v>6550</v>
      </c>
    </row>
    <row r="1226" customFormat="false" ht="15" hidden="false" customHeight="true" outlineLevel="0" collapsed="false">
      <c r="A1226" s="13" t="s">
        <v>179</v>
      </c>
      <c r="B1226" s="13" t="s">
        <v>786</v>
      </c>
      <c r="C1226" s="11" t="s">
        <v>787</v>
      </c>
      <c r="D1226" s="13" t="s">
        <v>6551</v>
      </c>
      <c r="E1226" s="13" t="s">
        <v>6552</v>
      </c>
      <c r="F1226" s="13" t="s">
        <v>6553</v>
      </c>
      <c r="G1226" s="13" t="s">
        <v>6554</v>
      </c>
      <c r="H1226" s="13" t="s">
        <v>6555</v>
      </c>
    </row>
    <row r="1227" customFormat="false" ht="15" hidden="false" customHeight="true" outlineLevel="0" collapsed="false">
      <c r="A1227" s="13" t="s">
        <v>179</v>
      </c>
      <c r="B1227" s="13" t="s">
        <v>793</v>
      </c>
      <c r="C1227" s="11" t="s">
        <v>794</v>
      </c>
      <c r="D1227" s="13" t="s">
        <v>6556</v>
      </c>
      <c r="E1227" s="13" t="s">
        <v>6557</v>
      </c>
      <c r="F1227" s="13" t="s">
        <v>6558</v>
      </c>
      <c r="G1227" s="13" t="s">
        <v>6559</v>
      </c>
      <c r="H1227" s="13" t="s">
        <v>6560</v>
      </c>
    </row>
    <row r="1228" customFormat="false" ht="15" hidden="false" customHeight="true" outlineLevel="0" collapsed="false">
      <c r="A1228" s="13" t="s">
        <v>179</v>
      </c>
      <c r="B1228" s="13" t="s">
        <v>800</v>
      </c>
      <c r="C1228" s="11" t="s">
        <v>801</v>
      </c>
      <c r="D1228" s="13" t="s">
        <v>6561</v>
      </c>
      <c r="E1228" s="13" t="s">
        <v>6562</v>
      </c>
      <c r="F1228" s="13" t="s">
        <v>6563</v>
      </c>
      <c r="G1228" s="13" t="s">
        <v>6564</v>
      </c>
      <c r="H1228" s="13" t="s">
        <v>6565</v>
      </c>
    </row>
    <row r="1229" customFormat="false" ht="15" hidden="false" customHeight="true" outlineLevel="0" collapsed="false">
      <c r="A1229" s="13" t="s">
        <v>179</v>
      </c>
      <c r="B1229" s="13" t="s">
        <v>806</v>
      </c>
      <c r="C1229" s="11" t="s">
        <v>807</v>
      </c>
      <c r="D1229" s="13" t="s">
        <v>1086</v>
      </c>
      <c r="E1229" s="13" t="s">
        <v>6566</v>
      </c>
      <c r="F1229" s="13" t="s">
        <v>6567</v>
      </c>
      <c r="G1229" s="13" t="s">
        <v>6568</v>
      </c>
      <c r="H1229" s="13" t="s">
        <v>6569</v>
      </c>
    </row>
    <row r="1230" customFormat="false" ht="15" hidden="false" customHeight="true" outlineLevel="0" collapsed="false">
      <c r="A1230" s="13" t="s">
        <v>179</v>
      </c>
      <c r="B1230" s="13" t="s">
        <v>813</v>
      </c>
      <c r="C1230" s="11" t="s">
        <v>814</v>
      </c>
      <c r="D1230" s="13" t="s">
        <v>6570</v>
      </c>
      <c r="E1230" s="13" t="s">
        <v>6571</v>
      </c>
      <c r="F1230" s="13" t="s">
        <v>6572</v>
      </c>
      <c r="G1230" s="13" t="s">
        <v>6573</v>
      </c>
      <c r="H1230" s="13" t="s">
        <v>6574</v>
      </c>
    </row>
    <row r="1231" customFormat="false" ht="15" hidden="false" customHeight="true" outlineLevel="0" collapsed="false">
      <c r="A1231" s="13" t="s">
        <v>179</v>
      </c>
      <c r="B1231" s="13" t="s">
        <v>820</v>
      </c>
      <c r="C1231" s="11" t="s">
        <v>821</v>
      </c>
      <c r="D1231" s="13" t="s">
        <v>6575</v>
      </c>
      <c r="E1231" s="13" t="s">
        <v>6576</v>
      </c>
      <c r="F1231" s="13" t="s">
        <v>6577</v>
      </c>
      <c r="G1231" s="13" t="s">
        <v>6578</v>
      </c>
      <c r="H1231" s="13" t="s">
        <v>6579</v>
      </c>
    </row>
    <row r="1232" customFormat="false" ht="15" hidden="false" customHeight="true" outlineLevel="0" collapsed="false">
      <c r="A1232" s="13" t="s">
        <v>179</v>
      </c>
      <c r="B1232" s="13" t="s">
        <v>827</v>
      </c>
      <c r="C1232" s="11" t="s">
        <v>828</v>
      </c>
      <c r="D1232" s="13" t="s">
        <v>6580</v>
      </c>
      <c r="E1232" s="13" t="s">
        <v>6581</v>
      </c>
      <c r="F1232" s="13" t="s">
        <v>6582</v>
      </c>
      <c r="G1232" s="13" t="s">
        <v>6583</v>
      </c>
      <c r="H1232" s="13" t="s">
        <v>6584</v>
      </c>
    </row>
    <row r="1233" customFormat="false" ht="15" hidden="false" customHeight="true" outlineLevel="0" collapsed="false">
      <c r="A1233" s="13" t="s">
        <v>179</v>
      </c>
      <c r="B1233" s="13" t="s">
        <v>834</v>
      </c>
      <c r="C1233" s="11" t="s">
        <v>835</v>
      </c>
      <c r="D1233" s="13" t="s">
        <v>6585</v>
      </c>
      <c r="E1233" s="13" t="s">
        <v>6586</v>
      </c>
      <c r="F1233" s="13" t="s">
        <v>6587</v>
      </c>
      <c r="G1233" s="13" t="s">
        <v>6588</v>
      </c>
      <c r="H1233" s="13" t="s">
        <v>6589</v>
      </c>
    </row>
    <row r="1234" customFormat="false" ht="15" hidden="false" customHeight="true" outlineLevel="0" collapsed="false">
      <c r="A1234" s="13" t="s">
        <v>179</v>
      </c>
      <c r="B1234" s="13" t="s">
        <v>841</v>
      </c>
      <c r="C1234" s="11" t="s">
        <v>842</v>
      </c>
      <c r="D1234" s="13" t="s">
        <v>6590</v>
      </c>
      <c r="E1234" s="13" t="s">
        <v>6591</v>
      </c>
      <c r="F1234" s="13" t="s">
        <v>6592</v>
      </c>
      <c r="G1234" s="13" t="s">
        <v>6593</v>
      </c>
      <c r="H1234" s="13" t="s">
        <v>6594</v>
      </c>
    </row>
    <row r="1235" customFormat="false" ht="15" hidden="false" customHeight="true" outlineLevel="0" collapsed="false">
      <c r="A1235" s="13" t="s">
        <v>179</v>
      </c>
      <c r="B1235" s="13" t="s">
        <v>848</v>
      </c>
      <c r="C1235" s="11" t="s">
        <v>849</v>
      </c>
      <c r="D1235" s="13" t="s">
        <v>6595</v>
      </c>
      <c r="E1235" s="13" t="s">
        <v>6596</v>
      </c>
      <c r="F1235" s="13" t="s">
        <v>6597</v>
      </c>
      <c r="G1235" s="13" t="s">
        <v>6598</v>
      </c>
      <c r="H1235" s="13" t="s">
        <v>6599</v>
      </c>
    </row>
    <row r="1236" customFormat="false" ht="15" hidden="false" customHeight="true" outlineLevel="0" collapsed="false">
      <c r="A1236" s="13" t="s">
        <v>179</v>
      </c>
      <c r="B1236" s="13" t="s">
        <v>855</v>
      </c>
      <c r="C1236" s="11" t="s">
        <v>856</v>
      </c>
      <c r="D1236" s="13" t="s">
        <v>6600</v>
      </c>
      <c r="E1236" s="13" t="s">
        <v>6601</v>
      </c>
      <c r="F1236" s="13" t="s">
        <v>6602</v>
      </c>
      <c r="G1236" s="13" t="s">
        <v>6603</v>
      </c>
      <c r="H1236" s="13" t="s">
        <v>6604</v>
      </c>
    </row>
    <row r="1237" customFormat="false" ht="15" hidden="false" customHeight="true" outlineLevel="0" collapsed="false">
      <c r="A1237" s="13" t="s">
        <v>179</v>
      </c>
      <c r="B1237" s="13" t="s">
        <v>862</v>
      </c>
      <c r="C1237" s="11" t="s">
        <v>863</v>
      </c>
      <c r="D1237" s="13" t="s">
        <v>6605</v>
      </c>
      <c r="E1237" s="13" t="s">
        <v>6606</v>
      </c>
      <c r="F1237" s="13" t="s">
        <v>6607</v>
      </c>
      <c r="G1237" s="13" t="s">
        <v>6608</v>
      </c>
      <c r="H1237" s="13" t="s">
        <v>6609</v>
      </c>
    </row>
    <row r="1238" customFormat="false" ht="15" hidden="false" customHeight="true" outlineLevel="0" collapsed="false">
      <c r="A1238" s="13" t="s">
        <v>179</v>
      </c>
      <c r="B1238" s="13" t="s">
        <v>869</v>
      </c>
      <c r="C1238" s="11" t="s">
        <v>870</v>
      </c>
      <c r="D1238" s="13" t="s">
        <v>6610</v>
      </c>
      <c r="E1238" s="13" t="s">
        <v>6611</v>
      </c>
      <c r="F1238" s="13" t="s">
        <v>6612</v>
      </c>
      <c r="G1238" s="13" t="s">
        <v>6613</v>
      </c>
      <c r="H1238" s="13" t="s">
        <v>6614</v>
      </c>
    </row>
    <row r="1239" customFormat="false" ht="15" hidden="false" customHeight="true" outlineLevel="0" collapsed="false">
      <c r="A1239" s="13" t="s">
        <v>179</v>
      </c>
      <c r="B1239" s="13" t="s">
        <v>876</v>
      </c>
      <c r="C1239" s="11" t="s">
        <v>877</v>
      </c>
      <c r="D1239" s="13" t="s">
        <v>6615</v>
      </c>
      <c r="E1239" s="13" t="s">
        <v>6616</v>
      </c>
      <c r="F1239" s="13" t="s">
        <v>6617</v>
      </c>
      <c r="G1239" s="13" t="s">
        <v>6618</v>
      </c>
      <c r="H1239" s="13" t="s">
        <v>6619</v>
      </c>
    </row>
    <row r="1240" customFormat="false" ht="15" hidden="false" customHeight="true" outlineLevel="0" collapsed="false">
      <c r="A1240" s="13" t="s">
        <v>179</v>
      </c>
      <c r="B1240" s="13" t="s">
        <v>883</v>
      </c>
      <c r="C1240" s="11" t="s">
        <v>884</v>
      </c>
      <c r="D1240" s="13" t="s">
        <v>6620</v>
      </c>
      <c r="E1240" s="13" t="s">
        <v>6621</v>
      </c>
      <c r="F1240" s="13" t="s">
        <v>6622</v>
      </c>
      <c r="G1240" s="13" t="s">
        <v>6623</v>
      </c>
      <c r="H1240" s="13" t="s">
        <v>6624</v>
      </c>
    </row>
    <row r="1241" customFormat="false" ht="15" hidden="false" customHeight="true" outlineLevel="0" collapsed="false">
      <c r="A1241" s="13" t="s">
        <v>179</v>
      </c>
      <c r="B1241" s="13" t="s">
        <v>890</v>
      </c>
      <c r="C1241" s="11" t="s">
        <v>891</v>
      </c>
      <c r="D1241" s="13" t="s">
        <v>6625</v>
      </c>
      <c r="E1241" s="13" t="s">
        <v>6626</v>
      </c>
      <c r="F1241" s="13" t="s">
        <v>6627</v>
      </c>
      <c r="G1241" s="13" t="s">
        <v>6628</v>
      </c>
      <c r="H1241" s="13" t="s">
        <v>6629</v>
      </c>
    </row>
    <row r="1242" customFormat="false" ht="15" hidden="false" customHeight="true" outlineLevel="0" collapsed="false">
      <c r="A1242" s="13" t="s">
        <v>179</v>
      </c>
      <c r="B1242" s="13" t="s">
        <v>897</v>
      </c>
      <c r="C1242" s="11" t="s">
        <v>898</v>
      </c>
      <c r="D1242" s="13" t="s">
        <v>6630</v>
      </c>
      <c r="E1242" s="13" t="s">
        <v>6631</v>
      </c>
      <c r="F1242" s="13" t="s">
        <v>6632</v>
      </c>
      <c r="G1242" s="13" t="s">
        <v>6633</v>
      </c>
      <c r="H1242" s="13" t="s">
        <v>6634</v>
      </c>
    </row>
    <row r="1243" customFormat="false" ht="15" hidden="false" customHeight="true" outlineLevel="0" collapsed="false">
      <c r="A1243" s="13" t="s">
        <v>179</v>
      </c>
      <c r="B1243" s="13" t="s">
        <v>904</v>
      </c>
      <c r="C1243" s="11" t="s">
        <v>905</v>
      </c>
      <c r="D1243" s="13" t="s">
        <v>6635</v>
      </c>
      <c r="E1243" s="13" t="s">
        <v>6636</v>
      </c>
      <c r="F1243" s="13" t="s">
        <v>6637</v>
      </c>
      <c r="G1243" s="13" t="s">
        <v>6638</v>
      </c>
      <c r="H1243" s="13" t="s">
        <v>6639</v>
      </c>
    </row>
    <row r="1244" customFormat="false" ht="15" hidden="false" customHeight="true" outlineLevel="0" collapsed="false">
      <c r="A1244" s="13" t="s">
        <v>179</v>
      </c>
      <c r="B1244" s="13" t="s">
        <v>911</v>
      </c>
      <c r="C1244" s="11" t="s">
        <v>912</v>
      </c>
      <c r="D1244" s="13" t="s">
        <v>6640</v>
      </c>
      <c r="E1244" s="13" t="s">
        <v>6641</v>
      </c>
      <c r="F1244" s="13" t="s">
        <v>6642</v>
      </c>
      <c r="G1244" s="13" t="s">
        <v>6643</v>
      </c>
      <c r="H1244" s="13" t="s">
        <v>6644</v>
      </c>
    </row>
    <row r="1245" customFormat="false" ht="15" hidden="false" customHeight="true" outlineLevel="0" collapsed="false">
      <c r="A1245" s="13" t="s">
        <v>179</v>
      </c>
      <c r="B1245" s="13" t="s">
        <v>918</v>
      </c>
      <c r="C1245" s="11" t="s">
        <v>919</v>
      </c>
      <c r="D1245" s="13" t="s">
        <v>6645</v>
      </c>
      <c r="E1245" s="13" t="s">
        <v>6646</v>
      </c>
      <c r="F1245" s="13" t="s">
        <v>6647</v>
      </c>
      <c r="G1245" s="13" t="s">
        <v>6648</v>
      </c>
      <c r="H1245" s="13" t="s">
        <v>6649</v>
      </c>
    </row>
    <row r="1246" customFormat="false" ht="15" hidden="false" customHeight="true" outlineLevel="0" collapsed="false">
      <c r="A1246" s="13" t="s">
        <v>179</v>
      </c>
      <c r="B1246" s="13" t="s">
        <v>925</v>
      </c>
      <c r="C1246" s="11" t="s">
        <v>926</v>
      </c>
      <c r="D1246" s="13" t="s">
        <v>6650</v>
      </c>
      <c r="E1246" s="13" t="s">
        <v>6651</v>
      </c>
      <c r="F1246" s="13" t="s">
        <v>6652</v>
      </c>
      <c r="G1246" s="13" t="s">
        <v>6653</v>
      </c>
      <c r="H1246" s="13" t="s">
        <v>6654</v>
      </c>
    </row>
    <row r="1247" customFormat="false" ht="15" hidden="false" customHeight="true" outlineLevel="0" collapsed="false">
      <c r="A1247" s="13" t="s">
        <v>179</v>
      </c>
      <c r="B1247" s="13" t="s">
        <v>932</v>
      </c>
      <c r="C1247" s="11" t="s">
        <v>933</v>
      </c>
      <c r="D1247" s="13" t="s">
        <v>6655</v>
      </c>
      <c r="E1247" s="13" t="s">
        <v>6656</v>
      </c>
      <c r="F1247" s="13" t="s">
        <v>6657</v>
      </c>
      <c r="G1247" s="13" t="s">
        <v>6658</v>
      </c>
      <c r="H1247" s="13" t="s">
        <v>6659</v>
      </c>
    </row>
    <row r="1248" customFormat="false" ht="15" hidden="false" customHeight="true" outlineLevel="0" collapsed="false">
      <c r="A1248" s="13" t="s">
        <v>179</v>
      </c>
      <c r="B1248" s="13" t="s">
        <v>939</v>
      </c>
      <c r="C1248" s="11" t="s">
        <v>940</v>
      </c>
      <c r="D1248" s="13" t="s">
        <v>6660</v>
      </c>
      <c r="E1248" s="13" t="s">
        <v>6661</v>
      </c>
      <c r="F1248" s="13" t="s">
        <v>6662</v>
      </c>
      <c r="G1248" s="13" t="s">
        <v>6663</v>
      </c>
      <c r="H1248" s="13" t="s">
        <v>6664</v>
      </c>
    </row>
    <row r="1249" customFormat="false" ht="15" hidden="false" customHeight="true" outlineLevel="0" collapsed="false">
      <c r="A1249" s="13" t="s">
        <v>179</v>
      </c>
      <c r="B1249" s="13" t="s">
        <v>946</v>
      </c>
      <c r="C1249" s="11" t="s">
        <v>947</v>
      </c>
      <c r="D1249" s="13" t="s">
        <v>6665</v>
      </c>
      <c r="E1249" s="13" t="s">
        <v>6666</v>
      </c>
      <c r="F1249" s="13" t="s">
        <v>6667</v>
      </c>
      <c r="G1249" s="13" t="s">
        <v>6668</v>
      </c>
      <c r="H1249" s="13" t="s">
        <v>6669</v>
      </c>
    </row>
    <row r="1250" customFormat="false" ht="15" hidden="false" customHeight="true" outlineLevel="0" collapsed="false">
      <c r="A1250" s="13" t="s">
        <v>179</v>
      </c>
      <c r="B1250" s="13" t="s">
        <v>953</v>
      </c>
      <c r="C1250" s="11" t="s">
        <v>954</v>
      </c>
      <c r="D1250" s="13" t="s">
        <v>6670</v>
      </c>
      <c r="E1250" s="13" t="s">
        <v>6671</v>
      </c>
      <c r="F1250" s="13" t="s">
        <v>6672</v>
      </c>
      <c r="G1250" s="13" t="s">
        <v>6673</v>
      </c>
      <c r="H1250" s="13" t="s">
        <v>6674</v>
      </c>
    </row>
    <row r="1251" customFormat="false" ht="15" hidden="false" customHeight="true" outlineLevel="0" collapsed="false">
      <c r="A1251" s="13" t="s">
        <v>179</v>
      </c>
      <c r="B1251" s="13" t="s">
        <v>960</v>
      </c>
      <c r="C1251" s="11" t="s">
        <v>961</v>
      </c>
      <c r="D1251" s="13" t="s">
        <v>6675</v>
      </c>
      <c r="E1251" s="13" t="s">
        <v>6676</v>
      </c>
      <c r="F1251" s="13" t="s">
        <v>6677</v>
      </c>
      <c r="G1251" s="13" t="s">
        <v>6678</v>
      </c>
      <c r="H1251" s="13" t="s">
        <v>6679</v>
      </c>
    </row>
    <row r="1252" customFormat="false" ht="15" hidden="false" customHeight="true" outlineLevel="0" collapsed="false">
      <c r="A1252" s="13" t="s">
        <v>179</v>
      </c>
      <c r="B1252" s="13" t="s">
        <v>967</v>
      </c>
      <c r="C1252" s="11" t="s">
        <v>968</v>
      </c>
      <c r="D1252" s="13" t="s">
        <v>3664</v>
      </c>
      <c r="E1252" s="13" t="s">
        <v>6680</v>
      </c>
      <c r="F1252" s="13" t="s">
        <v>6681</v>
      </c>
      <c r="G1252" s="13" t="s">
        <v>6682</v>
      </c>
      <c r="H1252" s="13" t="s">
        <v>6683</v>
      </c>
    </row>
    <row r="1253" customFormat="false" ht="15" hidden="false" customHeight="true" outlineLevel="0" collapsed="false">
      <c r="A1253" s="13" t="s">
        <v>179</v>
      </c>
      <c r="B1253" s="13" t="s">
        <v>974</v>
      </c>
      <c r="C1253" s="11" t="s">
        <v>975</v>
      </c>
      <c r="D1253" s="13" t="s">
        <v>6684</v>
      </c>
      <c r="E1253" s="13" t="s">
        <v>6685</v>
      </c>
      <c r="F1253" s="13" t="s">
        <v>6686</v>
      </c>
      <c r="G1253" s="13" t="s">
        <v>6687</v>
      </c>
      <c r="H1253" s="13" t="s">
        <v>6688</v>
      </c>
    </row>
    <row r="1254" customFormat="false" ht="15" hidden="false" customHeight="true" outlineLevel="0" collapsed="false">
      <c r="A1254" s="13" t="s">
        <v>179</v>
      </c>
      <c r="B1254" s="13" t="s">
        <v>981</v>
      </c>
      <c r="C1254" s="11" t="s">
        <v>982</v>
      </c>
      <c r="D1254" s="13" t="s">
        <v>6689</v>
      </c>
      <c r="E1254" s="13" t="s">
        <v>6690</v>
      </c>
      <c r="F1254" s="13" t="s">
        <v>6691</v>
      </c>
      <c r="G1254" s="13" t="s">
        <v>6692</v>
      </c>
      <c r="H1254" s="13" t="s">
        <v>6693</v>
      </c>
    </row>
    <row r="1255" customFormat="false" ht="15" hidden="false" customHeight="true" outlineLevel="0" collapsed="false">
      <c r="A1255" s="13" t="s">
        <v>179</v>
      </c>
      <c r="B1255" s="13" t="s">
        <v>988</v>
      </c>
      <c r="C1255" s="11" t="s">
        <v>989</v>
      </c>
      <c r="D1255" s="13" t="s">
        <v>6694</v>
      </c>
      <c r="E1255" s="13" t="s">
        <v>6695</v>
      </c>
      <c r="F1255" s="13" t="s">
        <v>6696</v>
      </c>
      <c r="G1255" s="13" t="s">
        <v>6697</v>
      </c>
      <c r="H1255" s="13" t="s">
        <v>6698</v>
      </c>
    </row>
    <row r="1256" customFormat="false" ht="15" hidden="false" customHeight="true" outlineLevel="0" collapsed="false">
      <c r="A1256" s="13" t="s">
        <v>179</v>
      </c>
      <c r="B1256" s="13" t="s">
        <v>995</v>
      </c>
      <c r="C1256" s="11" t="s">
        <v>996</v>
      </c>
      <c r="D1256" s="13" t="s">
        <v>6699</v>
      </c>
      <c r="E1256" s="13" t="s">
        <v>6700</v>
      </c>
      <c r="F1256" s="13" t="s">
        <v>6701</v>
      </c>
      <c r="G1256" s="13" t="s">
        <v>6702</v>
      </c>
      <c r="H1256" s="13" t="s">
        <v>6703</v>
      </c>
    </row>
    <row r="1257" customFormat="false" ht="15" hidden="false" customHeight="true" outlineLevel="0" collapsed="false">
      <c r="A1257" s="13" t="s">
        <v>179</v>
      </c>
      <c r="B1257" s="13" t="s">
        <v>1002</v>
      </c>
      <c r="C1257" s="11" t="s">
        <v>1003</v>
      </c>
      <c r="D1257" s="13" t="s">
        <v>6704</v>
      </c>
      <c r="E1257" s="13" t="s">
        <v>6705</v>
      </c>
      <c r="F1257" s="13" t="s">
        <v>6706</v>
      </c>
      <c r="G1257" s="13" t="s">
        <v>6707</v>
      </c>
      <c r="H1257" s="13" t="s">
        <v>6708</v>
      </c>
    </row>
    <row r="1258" customFormat="false" ht="15" hidden="false" customHeight="true" outlineLevel="0" collapsed="false">
      <c r="A1258" s="13" t="s">
        <v>179</v>
      </c>
      <c r="B1258" s="13" t="s">
        <v>1009</v>
      </c>
      <c r="C1258" s="11" t="s">
        <v>1010</v>
      </c>
      <c r="D1258" s="13" t="s">
        <v>6709</v>
      </c>
      <c r="E1258" s="13" t="s">
        <v>6710</v>
      </c>
      <c r="F1258" s="13" t="s">
        <v>6711</v>
      </c>
      <c r="G1258" s="13" t="s">
        <v>6712</v>
      </c>
      <c r="H1258" s="13" t="s">
        <v>6713</v>
      </c>
    </row>
    <row r="1259" customFormat="false" ht="15" hidden="false" customHeight="true" outlineLevel="0" collapsed="false">
      <c r="A1259" s="13" t="s">
        <v>187</v>
      </c>
      <c r="B1259" s="13" t="s">
        <v>345</v>
      </c>
      <c r="C1259" s="11" t="s">
        <v>346</v>
      </c>
      <c r="D1259" s="13" t="s">
        <v>3406</v>
      </c>
      <c r="E1259" s="13" t="s">
        <v>6714</v>
      </c>
      <c r="F1259" s="13" t="s">
        <v>6715</v>
      </c>
      <c r="G1259" s="13" t="s">
        <v>6716</v>
      </c>
      <c r="H1259" s="13" t="s">
        <v>6717</v>
      </c>
    </row>
    <row r="1260" customFormat="false" ht="15" hidden="false" customHeight="true" outlineLevel="0" collapsed="false">
      <c r="A1260" s="13" t="s">
        <v>187</v>
      </c>
      <c r="B1260" s="13" t="s">
        <v>352</v>
      </c>
      <c r="C1260" s="11" t="s">
        <v>353</v>
      </c>
      <c r="D1260" s="13" t="s">
        <v>6718</v>
      </c>
      <c r="E1260" s="13" t="s">
        <v>6719</v>
      </c>
      <c r="F1260" s="13" t="s">
        <v>6720</v>
      </c>
      <c r="G1260" s="13" t="s">
        <v>6721</v>
      </c>
      <c r="H1260" s="13" t="s">
        <v>6722</v>
      </c>
    </row>
    <row r="1261" customFormat="false" ht="15" hidden="false" customHeight="true" outlineLevel="0" collapsed="false">
      <c r="A1261" s="13" t="s">
        <v>187</v>
      </c>
      <c r="B1261" s="13" t="s">
        <v>359</v>
      </c>
      <c r="C1261" s="11" t="s">
        <v>360</v>
      </c>
      <c r="D1261" s="13" t="s">
        <v>6723</v>
      </c>
      <c r="E1261" s="13" t="s">
        <v>6724</v>
      </c>
      <c r="F1261" s="13" t="s">
        <v>6725</v>
      </c>
      <c r="G1261" s="13" t="s">
        <v>6726</v>
      </c>
      <c r="H1261" s="13" t="s">
        <v>6727</v>
      </c>
    </row>
    <row r="1262" customFormat="false" ht="15" hidden="false" customHeight="true" outlineLevel="0" collapsed="false">
      <c r="A1262" s="13" t="s">
        <v>187</v>
      </c>
      <c r="B1262" s="13" t="s">
        <v>366</v>
      </c>
      <c r="C1262" s="11" t="s">
        <v>367</v>
      </c>
      <c r="D1262" s="13" t="s">
        <v>6728</v>
      </c>
      <c r="E1262" s="13" t="s">
        <v>6729</v>
      </c>
      <c r="F1262" s="13" t="s">
        <v>6730</v>
      </c>
      <c r="G1262" s="13" t="s">
        <v>6731</v>
      </c>
      <c r="H1262" s="13" t="s">
        <v>6732</v>
      </c>
    </row>
    <row r="1263" customFormat="false" ht="15" hidden="false" customHeight="true" outlineLevel="0" collapsed="false">
      <c r="A1263" s="13" t="s">
        <v>187</v>
      </c>
      <c r="B1263" s="13" t="s">
        <v>373</v>
      </c>
      <c r="C1263" s="11" t="s">
        <v>374</v>
      </c>
      <c r="D1263" s="13" t="s">
        <v>6733</v>
      </c>
      <c r="E1263" s="13" t="s">
        <v>6734</v>
      </c>
      <c r="F1263" s="13" t="s">
        <v>6735</v>
      </c>
      <c r="G1263" s="13" t="s">
        <v>6736</v>
      </c>
      <c r="H1263" s="13" t="s">
        <v>6737</v>
      </c>
    </row>
    <row r="1264" customFormat="false" ht="15" hidden="false" customHeight="true" outlineLevel="0" collapsed="false">
      <c r="A1264" s="13" t="s">
        <v>187</v>
      </c>
      <c r="B1264" s="13" t="s">
        <v>380</v>
      </c>
      <c r="C1264" s="11" t="s">
        <v>381</v>
      </c>
      <c r="D1264" s="13" t="s">
        <v>6738</v>
      </c>
      <c r="E1264" s="13" t="s">
        <v>6739</v>
      </c>
      <c r="F1264" s="13" t="s">
        <v>6740</v>
      </c>
      <c r="G1264" s="13" t="s">
        <v>6741</v>
      </c>
      <c r="H1264" s="13" t="s">
        <v>6742</v>
      </c>
    </row>
    <row r="1265" customFormat="false" ht="15" hidden="false" customHeight="true" outlineLevel="0" collapsed="false">
      <c r="A1265" s="13" t="s">
        <v>187</v>
      </c>
      <c r="B1265" s="13" t="s">
        <v>387</v>
      </c>
      <c r="C1265" s="11" t="s">
        <v>388</v>
      </c>
      <c r="D1265" s="13" t="s">
        <v>6743</v>
      </c>
      <c r="E1265" s="13" t="s">
        <v>2152</v>
      </c>
      <c r="F1265" s="13" t="s">
        <v>6744</v>
      </c>
      <c r="G1265" s="13" t="s">
        <v>6745</v>
      </c>
      <c r="H1265" s="13" t="s">
        <v>6746</v>
      </c>
    </row>
    <row r="1266" customFormat="false" ht="15" hidden="false" customHeight="true" outlineLevel="0" collapsed="false">
      <c r="A1266" s="13" t="s">
        <v>187</v>
      </c>
      <c r="B1266" s="13" t="s">
        <v>394</v>
      </c>
      <c r="C1266" s="11" t="s">
        <v>395</v>
      </c>
      <c r="D1266" s="13" t="s">
        <v>6747</v>
      </c>
      <c r="E1266" s="13" t="s">
        <v>6748</v>
      </c>
      <c r="F1266" s="13" t="s">
        <v>6749</v>
      </c>
      <c r="G1266" s="13" t="s">
        <v>6750</v>
      </c>
      <c r="H1266" s="13" t="s">
        <v>6751</v>
      </c>
    </row>
    <row r="1267" customFormat="false" ht="15" hidden="false" customHeight="true" outlineLevel="0" collapsed="false">
      <c r="A1267" s="13" t="s">
        <v>187</v>
      </c>
      <c r="B1267" s="13" t="s">
        <v>401</v>
      </c>
      <c r="C1267" s="11" t="s">
        <v>402</v>
      </c>
      <c r="D1267" s="13" t="s">
        <v>6752</v>
      </c>
      <c r="E1267" s="13" t="s">
        <v>6753</v>
      </c>
      <c r="F1267" s="13" t="s">
        <v>6754</v>
      </c>
      <c r="G1267" s="13" t="s">
        <v>6755</v>
      </c>
      <c r="H1267" s="13" t="s">
        <v>6756</v>
      </c>
    </row>
    <row r="1268" customFormat="false" ht="15" hidden="false" customHeight="true" outlineLevel="0" collapsed="false">
      <c r="A1268" s="13" t="s">
        <v>187</v>
      </c>
      <c r="B1268" s="13" t="s">
        <v>408</v>
      </c>
      <c r="C1268" s="11" t="s">
        <v>409</v>
      </c>
      <c r="D1268" s="13" t="s">
        <v>6757</v>
      </c>
      <c r="E1268" s="13" t="s">
        <v>6758</v>
      </c>
      <c r="F1268" s="13" t="s">
        <v>6759</v>
      </c>
      <c r="G1268" s="13" t="s">
        <v>6760</v>
      </c>
      <c r="H1268" s="13" t="s">
        <v>6761</v>
      </c>
    </row>
    <row r="1269" customFormat="false" ht="15" hidden="false" customHeight="true" outlineLevel="0" collapsed="false">
      <c r="A1269" s="13" t="s">
        <v>187</v>
      </c>
      <c r="B1269" s="13" t="s">
        <v>415</v>
      </c>
      <c r="C1269" s="11" t="s">
        <v>416</v>
      </c>
      <c r="D1269" s="13" t="s">
        <v>6762</v>
      </c>
      <c r="E1269" s="13" t="s">
        <v>6763</v>
      </c>
      <c r="F1269" s="13" t="s">
        <v>6764</v>
      </c>
      <c r="G1269" s="13" t="s">
        <v>6765</v>
      </c>
      <c r="H1269" s="13" t="s">
        <v>6766</v>
      </c>
    </row>
    <row r="1270" customFormat="false" ht="15" hidden="false" customHeight="true" outlineLevel="0" collapsed="false">
      <c r="A1270" s="13" t="s">
        <v>187</v>
      </c>
      <c r="B1270" s="13" t="s">
        <v>422</v>
      </c>
      <c r="C1270" s="11" t="s">
        <v>423</v>
      </c>
      <c r="D1270" s="13" t="s">
        <v>6767</v>
      </c>
      <c r="E1270" s="13" t="s">
        <v>6768</v>
      </c>
      <c r="F1270" s="13" t="s">
        <v>6769</v>
      </c>
      <c r="G1270" s="13" t="s">
        <v>6770</v>
      </c>
      <c r="H1270" s="13" t="s">
        <v>6771</v>
      </c>
    </row>
    <row r="1271" customFormat="false" ht="15" hidden="false" customHeight="true" outlineLevel="0" collapsed="false">
      <c r="A1271" s="13" t="s">
        <v>187</v>
      </c>
      <c r="B1271" s="13" t="s">
        <v>429</v>
      </c>
      <c r="C1271" s="11" t="s">
        <v>430</v>
      </c>
      <c r="D1271" s="13" t="s">
        <v>6772</v>
      </c>
      <c r="E1271" s="13" t="s">
        <v>6773</v>
      </c>
      <c r="F1271" s="13" t="s">
        <v>6774</v>
      </c>
      <c r="G1271" s="13" t="s">
        <v>6775</v>
      </c>
      <c r="H1271" s="13" t="s">
        <v>6776</v>
      </c>
    </row>
    <row r="1272" customFormat="false" ht="15" hidden="false" customHeight="true" outlineLevel="0" collapsed="false">
      <c r="A1272" s="13" t="s">
        <v>187</v>
      </c>
      <c r="B1272" s="13" t="s">
        <v>436</v>
      </c>
      <c r="C1272" s="11" t="s">
        <v>437</v>
      </c>
      <c r="D1272" s="13" t="s">
        <v>6777</v>
      </c>
      <c r="E1272" s="13" t="s">
        <v>2995</v>
      </c>
      <c r="F1272" s="13" t="s">
        <v>6778</v>
      </c>
      <c r="G1272" s="13" t="s">
        <v>6779</v>
      </c>
      <c r="H1272" s="13" t="s">
        <v>6780</v>
      </c>
    </row>
    <row r="1273" customFormat="false" ht="15" hidden="false" customHeight="true" outlineLevel="0" collapsed="false">
      <c r="A1273" s="13" t="s">
        <v>187</v>
      </c>
      <c r="B1273" s="13" t="s">
        <v>443</v>
      </c>
      <c r="C1273" s="11" t="s">
        <v>444</v>
      </c>
      <c r="D1273" s="13" t="s">
        <v>6781</v>
      </c>
      <c r="E1273" s="13" t="s">
        <v>6782</v>
      </c>
      <c r="F1273" s="13" t="s">
        <v>6783</v>
      </c>
      <c r="G1273" s="13" t="s">
        <v>6784</v>
      </c>
      <c r="H1273" s="13" t="s">
        <v>6785</v>
      </c>
    </row>
    <row r="1274" customFormat="false" ht="15" hidden="false" customHeight="true" outlineLevel="0" collapsed="false">
      <c r="A1274" s="13" t="s">
        <v>187</v>
      </c>
      <c r="B1274" s="13" t="s">
        <v>450</v>
      </c>
      <c r="C1274" s="11" t="s">
        <v>451</v>
      </c>
      <c r="D1274" s="13" t="s">
        <v>6786</v>
      </c>
      <c r="E1274" s="13" t="s">
        <v>6787</v>
      </c>
      <c r="F1274" s="13" t="s">
        <v>6788</v>
      </c>
      <c r="G1274" s="13" t="s">
        <v>6789</v>
      </c>
      <c r="H1274" s="13" t="s">
        <v>6790</v>
      </c>
    </row>
    <row r="1275" customFormat="false" ht="15" hidden="false" customHeight="true" outlineLevel="0" collapsed="false">
      <c r="A1275" s="13" t="s">
        <v>187</v>
      </c>
      <c r="B1275" s="13" t="s">
        <v>457</v>
      </c>
      <c r="C1275" s="11" t="s">
        <v>458</v>
      </c>
      <c r="D1275" s="13" t="s">
        <v>6791</v>
      </c>
      <c r="E1275" s="13" t="s">
        <v>6792</v>
      </c>
      <c r="F1275" s="13" t="s">
        <v>6793</v>
      </c>
      <c r="G1275" s="13" t="s">
        <v>6794</v>
      </c>
      <c r="H1275" s="13" t="s">
        <v>6795</v>
      </c>
    </row>
    <row r="1276" customFormat="false" ht="15" hidden="false" customHeight="true" outlineLevel="0" collapsed="false">
      <c r="A1276" s="13" t="s">
        <v>187</v>
      </c>
      <c r="B1276" s="13" t="s">
        <v>464</v>
      </c>
      <c r="C1276" s="11" t="s">
        <v>465</v>
      </c>
      <c r="D1276" s="13" t="s">
        <v>6796</v>
      </c>
      <c r="E1276" s="13" t="s">
        <v>6797</v>
      </c>
      <c r="F1276" s="13" t="s">
        <v>6798</v>
      </c>
      <c r="G1276" s="13" t="s">
        <v>6799</v>
      </c>
      <c r="H1276" s="13" t="s">
        <v>6800</v>
      </c>
    </row>
    <row r="1277" customFormat="false" ht="15" hidden="false" customHeight="true" outlineLevel="0" collapsed="false">
      <c r="A1277" s="13" t="s">
        <v>187</v>
      </c>
      <c r="B1277" s="13" t="s">
        <v>471</v>
      </c>
      <c r="C1277" s="11" t="s">
        <v>472</v>
      </c>
      <c r="D1277" s="13" t="s">
        <v>6801</v>
      </c>
      <c r="E1277" s="13" t="s">
        <v>6802</v>
      </c>
      <c r="F1277" s="13" t="s">
        <v>6803</v>
      </c>
      <c r="G1277" s="13" t="s">
        <v>6804</v>
      </c>
      <c r="H1277" s="13" t="s">
        <v>6805</v>
      </c>
    </row>
    <row r="1278" customFormat="false" ht="15" hidden="false" customHeight="true" outlineLevel="0" collapsed="false">
      <c r="A1278" s="13" t="s">
        <v>187</v>
      </c>
      <c r="B1278" s="13" t="s">
        <v>478</v>
      </c>
      <c r="C1278" s="11" t="s">
        <v>479</v>
      </c>
      <c r="D1278" s="13" t="s">
        <v>6806</v>
      </c>
      <c r="E1278" s="13" t="s">
        <v>6807</v>
      </c>
      <c r="F1278" s="13" t="s">
        <v>6808</v>
      </c>
      <c r="G1278" s="13" t="s">
        <v>6809</v>
      </c>
      <c r="H1278" s="13" t="s">
        <v>6810</v>
      </c>
    </row>
    <row r="1279" customFormat="false" ht="15" hidden="false" customHeight="true" outlineLevel="0" collapsed="false">
      <c r="A1279" s="13" t="s">
        <v>187</v>
      </c>
      <c r="B1279" s="13" t="s">
        <v>485</v>
      </c>
      <c r="C1279" s="11" t="s">
        <v>486</v>
      </c>
      <c r="D1279" s="13" t="s">
        <v>6811</v>
      </c>
      <c r="E1279" s="13" t="s">
        <v>6812</v>
      </c>
      <c r="F1279" s="13" t="s">
        <v>6813</v>
      </c>
      <c r="G1279" s="13" t="s">
        <v>6814</v>
      </c>
      <c r="H1279" s="13" t="s">
        <v>6815</v>
      </c>
    </row>
    <row r="1280" customFormat="false" ht="15" hidden="false" customHeight="true" outlineLevel="0" collapsed="false">
      <c r="A1280" s="13" t="s">
        <v>187</v>
      </c>
      <c r="B1280" s="13" t="s">
        <v>492</v>
      </c>
      <c r="C1280" s="11" t="s">
        <v>493</v>
      </c>
      <c r="D1280" s="13" t="s">
        <v>6816</v>
      </c>
      <c r="E1280" s="13" t="s">
        <v>6817</v>
      </c>
      <c r="F1280" s="13" t="s">
        <v>6818</v>
      </c>
      <c r="G1280" s="13" t="s">
        <v>6819</v>
      </c>
      <c r="H1280" s="13" t="s">
        <v>6820</v>
      </c>
    </row>
    <row r="1281" customFormat="false" ht="15" hidden="false" customHeight="true" outlineLevel="0" collapsed="false">
      <c r="A1281" s="13" t="s">
        <v>187</v>
      </c>
      <c r="B1281" s="13" t="s">
        <v>499</v>
      </c>
      <c r="C1281" s="11" t="s">
        <v>500</v>
      </c>
      <c r="D1281" s="13" t="s">
        <v>6821</v>
      </c>
      <c r="E1281" s="13" t="s">
        <v>6822</v>
      </c>
      <c r="F1281" s="13" t="s">
        <v>6823</v>
      </c>
      <c r="G1281" s="13" t="s">
        <v>6824</v>
      </c>
      <c r="H1281" s="13" t="s">
        <v>6825</v>
      </c>
    </row>
    <row r="1282" customFormat="false" ht="15" hidden="false" customHeight="true" outlineLevel="0" collapsed="false">
      <c r="A1282" s="13" t="s">
        <v>187</v>
      </c>
      <c r="B1282" s="13" t="s">
        <v>506</v>
      </c>
      <c r="C1282" s="11" t="s">
        <v>507</v>
      </c>
      <c r="D1282" s="13" t="s">
        <v>6826</v>
      </c>
      <c r="E1282" s="13" t="s">
        <v>6827</v>
      </c>
      <c r="F1282" s="13" t="s">
        <v>6828</v>
      </c>
      <c r="G1282" s="13" t="s">
        <v>6829</v>
      </c>
      <c r="H1282" s="13" t="s">
        <v>6830</v>
      </c>
    </row>
    <row r="1283" customFormat="false" ht="15" hidden="false" customHeight="true" outlineLevel="0" collapsed="false">
      <c r="A1283" s="13" t="s">
        <v>187</v>
      </c>
      <c r="B1283" s="13" t="s">
        <v>513</v>
      </c>
      <c r="C1283" s="11" t="s">
        <v>514</v>
      </c>
      <c r="D1283" s="13" t="s">
        <v>6831</v>
      </c>
      <c r="E1283" s="13" t="s">
        <v>6832</v>
      </c>
      <c r="F1283" s="13" t="s">
        <v>6833</v>
      </c>
      <c r="G1283" s="13" t="s">
        <v>6834</v>
      </c>
      <c r="H1283" s="13" t="s">
        <v>6835</v>
      </c>
    </row>
    <row r="1284" customFormat="false" ht="15" hidden="false" customHeight="true" outlineLevel="0" collapsed="false">
      <c r="A1284" s="13" t="s">
        <v>187</v>
      </c>
      <c r="B1284" s="13" t="s">
        <v>520</v>
      </c>
      <c r="C1284" s="11" t="s">
        <v>521</v>
      </c>
      <c r="D1284" s="13" t="s">
        <v>6836</v>
      </c>
      <c r="E1284" s="13" t="s">
        <v>6837</v>
      </c>
      <c r="F1284" s="13" t="s">
        <v>6838</v>
      </c>
      <c r="G1284" s="13" t="s">
        <v>6839</v>
      </c>
      <c r="H1284" s="13" t="s">
        <v>6840</v>
      </c>
    </row>
    <row r="1285" customFormat="false" ht="15" hidden="false" customHeight="true" outlineLevel="0" collapsed="false">
      <c r="A1285" s="13" t="s">
        <v>187</v>
      </c>
      <c r="B1285" s="13" t="s">
        <v>527</v>
      </c>
      <c r="C1285" s="11" t="s">
        <v>528</v>
      </c>
      <c r="D1285" s="13" t="s">
        <v>6841</v>
      </c>
      <c r="E1285" s="13" t="s">
        <v>6842</v>
      </c>
      <c r="F1285" s="13" t="s">
        <v>6843</v>
      </c>
      <c r="G1285" s="13" t="s">
        <v>6844</v>
      </c>
      <c r="H1285" s="13" t="s">
        <v>6845</v>
      </c>
    </row>
    <row r="1286" customFormat="false" ht="15" hidden="false" customHeight="true" outlineLevel="0" collapsed="false">
      <c r="A1286" s="13" t="s">
        <v>187</v>
      </c>
      <c r="B1286" s="13" t="s">
        <v>534</v>
      </c>
      <c r="C1286" s="11" t="s">
        <v>535</v>
      </c>
      <c r="D1286" s="13" t="s">
        <v>6846</v>
      </c>
      <c r="E1286" s="13" t="s">
        <v>6847</v>
      </c>
      <c r="F1286" s="13" t="s">
        <v>6848</v>
      </c>
      <c r="G1286" s="13" t="s">
        <v>6849</v>
      </c>
      <c r="H1286" s="13" t="s">
        <v>6850</v>
      </c>
    </row>
    <row r="1287" customFormat="false" ht="15" hidden="false" customHeight="true" outlineLevel="0" collapsed="false">
      <c r="A1287" s="13" t="s">
        <v>187</v>
      </c>
      <c r="B1287" s="13" t="s">
        <v>541</v>
      </c>
      <c r="C1287" s="11" t="s">
        <v>542</v>
      </c>
      <c r="D1287" s="13" t="s">
        <v>6851</v>
      </c>
      <c r="E1287" s="13" t="s">
        <v>6852</v>
      </c>
      <c r="F1287" s="13" t="s">
        <v>6853</v>
      </c>
      <c r="G1287" s="13" t="s">
        <v>6854</v>
      </c>
      <c r="H1287" s="13" t="s">
        <v>6855</v>
      </c>
    </row>
    <row r="1288" customFormat="false" ht="15" hidden="false" customHeight="true" outlineLevel="0" collapsed="false">
      <c r="A1288" s="13" t="s">
        <v>187</v>
      </c>
      <c r="B1288" s="13" t="s">
        <v>548</v>
      </c>
      <c r="C1288" s="11" t="s">
        <v>549</v>
      </c>
      <c r="D1288" s="13" t="s">
        <v>6856</v>
      </c>
      <c r="E1288" s="13" t="s">
        <v>6857</v>
      </c>
      <c r="F1288" s="13" t="s">
        <v>6858</v>
      </c>
      <c r="G1288" s="13" t="s">
        <v>6859</v>
      </c>
      <c r="H1288" s="13" t="s">
        <v>6860</v>
      </c>
    </row>
    <row r="1289" customFormat="false" ht="15" hidden="false" customHeight="true" outlineLevel="0" collapsed="false">
      <c r="A1289" s="13" t="s">
        <v>187</v>
      </c>
      <c r="B1289" s="13" t="s">
        <v>555</v>
      </c>
      <c r="C1289" s="11" t="s">
        <v>556</v>
      </c>
      <c r="D1289" s="13" t="s">
        <v>6861</v>
      </c>
      <c r="E1289" s="13" t="s">
        <v>6862</v>
      </c>
      <c r="F1289" s="13" t="s">
        <v>6863</v>
      </c>
      <c r="G1289" s="13" t="s">
        <v>6864</v>
      </c>
      <c r="H1289" s="13" t="s">
        <v>6865</v>
      </c>
    </row>
    <row r="1290" customFormat="false" ht="15" hidden="false" customHeight="true" outlineLevel="0" collapsed="false">
      <c r="A1290" s="13" t="s">
        <v>187</v>
      </c>
      <c r="B1290" s="13" t="s">
        <v>562</v>
      </c>
      <c r="C1290" s="11" t="s">
        <v>563</v>
      </c>
      <c r="D1290" s="13" t="s">
        <v>6866</v>
      </c>
      <c r="E1290" s="13" t="s">
        <v>6867</v>
      </c>
      <c r="F1290" s="13" t="s">
        <v>6868</v>
      </c>
      <c r="G1290" s="13" t="s">
        <v>6869</v>
      </c>
      <c r="H1290" s="13" t="s">
        <v>6870</v>
      </c>
    </row>
    <row r="1291" customFormat="false" ht="15" hidden="false" customHeight="true" outlineLevel="0" collapsed="false">
      <c r="A1291" s="13" t="s">
        <v>187</v>
      </c>
      <c r="B1291" s="13" t="s">
        <v>569</v>
      </c>
      <c r="C1291" s="11" t="s">
        <v>570</v>
      </c>
      <c r="D1291" s="13" t="s">
        <v>6871</v>
      </c>
      <c r="E1291" s="13" t="s">
        <v>6872</v>
      </c>
      <c r="F1291" s="13" t="s">
        <v>6873</v>
      </c>
      <c r="G1291" s="13" t="s">
        <v>6874</v>
      </c>
      <c r="H1291" s="13" t="s">
        <v>6875</v>
      </c>
    </row>
    <row r="1292" customFormat="false" ht="15" hidden="false" customHeight="true" outlineLevel="0" collapsed="false">
      <c r="A1292" s="13" t="s">
        <v>187</v>
      </c>
      <c r="B1292" s="13" t="s">
        <v>576</v>
      </c>
      <c r="C1292" s="11" t="s">
        <v>577</v>
      </c>
      <c r="D1292" s="13" t="s">
        <v>6876</v>
      </c>
      <c r="E1292" s="13" t="s">
        <v>6877</v>
      </c>
      <c r="F1292" s="13" t="s">
        <v>6878</v>
      </c>
      <c r="G1292" s="13" t="s">
        <v>6879</v>
      </c>
      <c r="H1292" s="13" t="s">
        <v>6880</v>
      </c>
    </row>
    <row r="1293" customFormat="false" ht="15" hidden="false" customHeight="true" outlineLevel="0" collapsed="false">
      <c r="A1293" s="13" t="s">
        <v>187</v>
      </c>
      <c r="B1293" s="13" t="s">
        <v>583</v>
      </c>
      <c r="C1293" s="11" t="s">
        <v>584</v>
      </c>
      <c r="D1293" s="13" t="s">
        <v>6881</v>
      </c>
      <c r="E1293" s="13" t="s">
        <v>6882</v>
      </c>
      <c r="F1293" s="13" t="s">
        <v>6883</v>
      </c>
      <c r="G1293" s="13" t="s">
        <v>6884</v>
      </c>
      <c r="H1293" s="13" t="s">
        <v>6885</v>
      </c>
    </row>
    <row r="1294" customFormat="false" ht="15" hidden="false" customHeight="true" outlineLevel="0" collapsed="false">
      <c r="A1294" s="13" t="s">
        <v>187</v>
      </c>
      <c r="B1294" s="13" t="s">
        <v>590</v>
      </c>
      <c r="C1294" s="11" t="s">
        <v>591</v>
      </c>
      <c r="D1294" s="13" t="s">
        <v>6886</v>
      </c>
      <c r="E1294" s="13" t="s">
        <v>6887</v>
      </c>
      <c r="F1294" s="13" t="s">
        <v>6888</v>
      </c>
      <c r="G1294" s="13" t="s">
        <v>6889</v>
      </c>
      <c r="H1294" s="13" t="s">
        <v>6890</v>
      </c>
    </row>
    <row r="1295" customFormat="false" ht="15" hidden="false" customHeight="true" outlineLevel="0" collapsed="false">
      <c r="A1295" s="13" t="s">
        <v>187</v>
      </c>
      <c r="B1295" s="13" t="s">
        <v>597</v>
      </c>
      <c r="C1295" s="11" t="s">
        <v>598</v>
      </c>
      <c r="D1295" s="13" t="s">
        <v>6891</v>
      </c>
      <c r="E1295" s="13" t="s">
        <v>6892</v>
      </c>
      <c r="F1295" s="13" t="s">
        <v>6893</v>
      </c>
      <c r="G1295" s="13" t="s">
        <v>6894</v>
      </c>
      <c r="H1295" s="13" t="s">
        <v>6895</v>
      </c>
    </row>
    <row r="1296" customFormat="false" ht="15" hidden="false" customHeight="true" outlineLevel="0" collapsed="false">
      <c r="A1296" s="13" t="s">
        <v>187</v>
      </c>
      <c r="B1296" s="13" t="s">
        <v>604</v>
      </c>
      <c r="C1296" s="11" t="s">
        <v>605</v>
      </c>
      <c r="D1296" s="13" t="s">
        <v>6896</v>
      </c>
      <c r="E1296" s="13" t="s">
        <v>6897</v>
      </c>
      <c r="F1296" s="13" t="s">
        <v>6898</v>
      </c>
      <c r="G1296" s="13" t="s">
        <v>6899</v>
      </c>
      <c r="H1296" s="13" t="s">
        <v>6900</v>
      </c>
    </row>
    <row r="1297" customFormat="false" ht="15" hidden="false" customHeight="true" outlineLevel="0" collapsed="false">
      <c r="A1297" s="13" t="s">
        <v>187</v>
      </c>
      <c r="B1297" s="13" t="s">
        <v>611</v>
      </c>
      <c r="C1297" s="11" t="s">
        <v>612</v>
      </c>
      <c r="D1297" s="13" t="s">
        <v>6901</v>
      </c>
      <c r="E1297" s="13" t="s">
        <v>6902</v>
      </c>
      <c r="F1297" s="13" t="s">
        <v>6903</v>
      </c>
      <c r="G1297" s="13" t="s">
        <v>6904</v>
      </c>
      <c r="H1297" s="13" t="s">
        <v>6905</v>
      </c>
    </row>
    <row r="1298" customFormat="false" ht="15" hidden="false" customHeight="true" outlineLevel="0" collapsed="false">
      <c r="A1298" s="13" t="s">
        <v>187</v>
      </c>
      <c r="B1298" s="13" t="s">
        <v>618</v>
      </c>
      <c r="C1298" s="11" t="s">
        <v>619</v>
      </c>
      <c r="D1298" s="13" t="s">
        <v>6906</v>
      </c>
      <c r="E1298" s="13" t="s">
        <v>6907</v>
      </c>
      <c r="F1298" s="13" t="s">
        <v>6908</v>
      </c>
      <c r="G1298" s="13" t="s">
        <v>6909</v>
      </c>
      <c r="H1298" s="13" t="s">
        <v>6910</v>
      </c>
    </row>
    <row r="1299" customFormat="false" ht="15" hidden="false" customHeight="true" outlineLevel="0" collapsed="false">
      <c r="A1299" s="13" t="s">
        <v>187</v>
      </c>
      <c r="B1299" s="13" t="s">
        <v>625</v>
      </c>
      <c r="C1299" s="11" t="s">
        <v>626</v>
      </c>
      <c r="D1299" s="13" t="s">
        <v>6911</v>
      </c>
      <c r="E1299" s="13" t="s">
        <v>6912</v>
      </c>
      <c r="F1299" s="13" t="s">
        <v>6913</v>
      </c>
      <c r="G1299" s="13" t="s">
        <v>6914</v>
      </c>
      <c r="H1299" s="13" t="s">
        <v>6915</v>
      </c>
    </row>
    <row r="1300" customFormat="false" ht="15" hidden="false" customHeight="true" outlineLevel="0" collapsed="false">
      <c r="A1300" s="13" t="s">
        <v>187</v>
      </c>
      <c r="B1300" s="13" t="s">
        <v>632</v>
      </c>
      <c r="C1300" s="11" t="s">
        <v>633</v>
      </c>
      <c r="D1300" s="13" t="s">
        <v>6916</v>
      </c>
      <c r="E1300" s="13" t="s">
        <v>6917</v>
      </c>
      <c r="F1300" s="13" t="s">
        <v>6918</v>
      </c>
      <c r="G1300" s="13" t="s">
        <v>6919</v>
      </c>
      <c r="H1300" s="13" t="s">
        <v>6920</v>
      </c>
    </row>
    <row r="1301" customFormat="false" ht="15" hidden="false" customHeight="true" outlineLevel="0" collapsed="false">
      <c r="A1301" s="13" t="s">
        <v>187</v>
      </c>
      <c r="B1301" s="13" t="s">
        <v>639</v>
      </c>
      <c r="C1301" s="11" t="s">
        <v>640</v>
      </c>
      <c r="D1301" s="13" t="s">
        <v>1724</v>
      </c>
      <c r="E1301" s="13" t="s">
        <v>6921</v>
      </c>
      <c r="F1301" s="13" t="s">
        <v>2447</v>
      </c>
      <c r="G1301" s="13" t="s">
        <v>6922</v>
      </c>
      <c r="H1301" s="13" t="s">
        <v>6923</v>
      </c>
    </row>
    <row r="1302" customFormat="false" ht="15" hidden="false" customHeight="true" outlineLevel="0" collapsed="false">
      <c r="A1302" s="13" t="s">
        <v>187</v>
      </c>
      <c r="B1302" s="13" t="s">
        <v>646</v>
      </c>
      <c r="C1302" s="11" t="s">
        <v>647</v>
      </c>
      <c r="D1302" s="13" t="s">
        <v>6924</v>
      </c>
      <c r="E1302" s="13" t="s">
        <v>6925</v>
      </c>
      <c r="F1302" s="13" t="s">
        <v>6926</v>
      </c>
      <c r="G1302" s="13" t="s">
        <v>6927</v>
      </c>
      <c r="H1302" s="13" t="s">
        <v>6928</v>
      </c>
    </row>
    <row r="1303" customFormat="false" ht="15" hidden="false" customHeight="true" outlineLevel="0" collapsed="false">
      <c r="A1303" s="13" t="s">
        <v>187</v>
      </c>
      <c r="B1303" s="13" t="s">
        <v>653</v>
      </c>
      <c r="C1303" s="11" t="s">
        <v>654</v>
      </c>
      <c r="D1303" s="13" t="s">
        <v>347</v>
      </c>
      <c r="E1303" s="13" t="s">
        <v>6929</v>
      </c>
      <c r="F1303" s="13" t="s">
        <v>6930</v>
      </c>
      <c r="G1303" s="13" t="s">
        <v>2184</v>
      </c>
      <c r="H1303" s="13" t="s">
        <v>6931</v>
      </c>
    </row>
    <row r="1304" customFormat="false" ht="15" hidden="false" customHeight="true" outlineLevel="0" collapsed="false">
      <c r="A1304" s="13" t="s">
        <v>187</v>
      </c>
      <c r="B1304" s="13" t="s">
        <v>660</v>
      </c>
      <c r="C1304" s="11" t="s">
        <v>661</v>
      </c>
      <c r="D1304" s="13" t="s">
        <v>2677</v>
      </c>
      <c r="E1304" s="13" t="s">
        <v>6932</v>
      </c>
      <c r="F1304" s="13" t="s">
        <v>6933</v>
      </c>
      <c r="G1304" s="13" t="s">
        <v>6934</v>
      </c>
      <c r="H1304" s="13" t="s">
        <v>6935</v>
      </c>
    </row>
    <row r="1305" customFormat="false" ht="15" hidden="false" customHeight="true" outlineLevel="0" collapsed="false">
      <c r="A1305" s="13" t="s">
        <v>187</v>
      </c>
      <c r="B1305" s="13" t="s">
        <v>667</v>
      </c>
      <c r="C1305" s="11" t="s">
        <v>668</v>
      </c>
      <c r="D1305" s="13" t="s">
        <v>6936</v>
      </c>
      <c r="E1305" s="13" t="s">
        <v>6937</v>
      </c>
      <c r="F1305" s="13" t="s">
        <v>6938</v>
      </c>
      <c r="G1305" s="13" t="s">
        <v>6939</v>
      </c>
      <c r="H1305" s="13" t="s">
        <v>6940</v>
      </c>
    </row>
    <row r="1306" customFormat="false" ht="15" hidden="false" customHeight="true" outlineLevel="0" collapsed="false">
      <c r="A1306" s="13" t="s">
        <v>187</v>
      </c>
      <c r="B1306" s="13" t="s">
        <v>674</v>
      </c>
      <c r="C1306" s="11" t="s">
        <v>675</v>
      </c>
      <c r="D1306" s="13" t="s">
        <v>6941</v>
      </c>
      <c r="E1306" s="13" t="s">
        <v>6942</v>
      </c>
      <c r="F1306" s="13" t="s">
        <v>6943</v>
      </c>
      <c r="G1306" s="13" t="s">
        <v>6944</v>
      </c>
      <c r="H1306" s="13" t="s">
        <v>6945</v>
      </c>
    </row>
    <row r="1307" customFormat="false" ht="15" hidden="false" customHeight="true" outlineLevel="0" collapsed="false">
      <c r="A1307" s="13" t="s">
        <v>187</v>
      </c>
      <c r="B1307" s="13" t="s">
        <v>681</v>
      </c>
      <c r="C1307" s="11" t="s">
        <v>682</v>
      </c>
      <c r="D1307" s="13" t="s">
        <v>6946</v>
      </c>
      <c r="E1307" s="13" t="s">
        <v>6947</v>
      </c>
      <c r="F1307" s="13" t="s">
        <v>6948</v>
      </c>
      <c r="G1307" s="13" t="s">
        <v>6949</v>
      </c>
      <c r="H1307" s="13" t="s">
        <v>6950</v>
      </c>
    </row>
    <row r="1308" customFormat="false" ht="15" hidden="false" customHeight="true" outlineLevel="0" collapsed="false">
      <c r="A1308" s="13" t="s">
        <v>187</v>
      </c>
      <c r="B1308" s="13" t="s">
        <v>688</v>
      </c>
      <c r="C1308" s="11" t="s">
        <v>689</v>
      </c>
      <c r="D1308" s="13" t="s">
        <v>3649</v>
      </c>
      <c r="E1308" s="13" t="s">
        <v>2304</v>
      </c>
      <c r="F1308" s="13" t="s">
        <v>6951</v>
      </c>
      <c r="G1308" s="13" t="s">
        <v>4109</v>
      </c>
      <c r="H1308" s="13" t="s">
        <v>6952</v>
      </c>
    </row>
    <row r="1309" customFormat="false" ht="15" hidden="false" customHeight="true" outlineLevel="0" collapsed="false">
      <c r="A1309" s="13" t="s">
        <v>187</v>
      </c>
      <c r="B1309" s="13" t="s">
        <v>695</v>
      </c>
      <c r="C1309" s="11" t="s">
        <v>696</v>
      </c>
      <c r="D1309" s="13" t="s">
        <v>6953</v>
      </c>
      <c r="E1309" s="13" t="s">
        <v>6954</v>
      </c>
      <c r="F1309" s="13" t="s">
        <v>6955</v>
      </c>
      <c r="G1309" s="13" t="s">
        <v>6956</v>
      </c>
      <c r="H1309" s="13" t="s">
        <v>6957</v>
      </c>
    </row>
    <row r="1310" customFormat="false" ht="15" hidden="false" customHeight="true" outlineLevel="0" collapsed="false">
      <c r="A1310" s="13" t="s">
        <v>187</v>
      </c>
      <c r="B1310" s="13" t="s">
        <v>702</v>
      </c>
      <c r="C1310" s="11" t="s">
        <v>703</v>
      </c>
      <c r="D1310" s="13" t="s">
        <v>6958</v>
      </c>
      <c r="E1310" s="13" t="s">
        <v>6959</v>
      </c>
      <c r="F1310" s="13" t="s">
        <v>6960</v>
      </c>
      <c r="G1310" s="13" t="s">
        <v>6961</v>
      </c>
      <c r="H1310" s="13" t="s">
        <v>6962</v>
      </c>
    </row>
    <row r="1311" customFormat="false" ht="15" hidden="false" customHeight="true" outlineLevel="0" collapsed="false">
      <c r="A1311" s="13" t="s">
        <v>187</v>
      </c>
      <c r="B1311" s="13" t="s">
        <v>709</v>
      </c>
      <c r="C1311" s="11" t="s">
        <v>710</v>
      </c>
      <c r="D1311" s="13" t="s">
        <v>2039</v>
      </c>
      <c r="E1311" s="13" t="s">
        <v>6963</v>
      </c>
      <c r="F1311" s="13" t="s">
        <v>6964</v>
      </c>
      <c r="G1311" s="13" t="s">
        <v>6965</v>
      </c>
      <c r="H1311" s="13" t="s">
        <v>6966</v>
      </c>
    </row>
    <row r="1312" customFormat="false" ht="15" hidden="false" customHeight="true" outlineLevel="0" collapsed="false">
      <c r="A1312" s="13" t="s">
        <v>187</v>
      </c>
      <c r="B1312" s="13" t="s">
        <v>716</v>
      </c>
      <c r="C1312" s="11" t="s">
        <v>717</v>
      </c>
      <c r="D1312" s="13" t="s">
        <v>6967</v>
      </c>
      <c r="E1312" s="13" t="s">
        <v>6968</v>
      </c>
      <c r="F1312" s="13" t="s">
        <v>6969</v>
      </c>
      <c r="G1312" s="13" t="s">
        <v>6970</v>
      </c>
      <c r="H1312" s="13" t="s">
        <v>6971</v>
      </c>
    </row>
    <row r="1313" customFormat="false" ht="15" hidden="false" customHeight="true" outlineLevel="0" collapsed="false">
      <c r="A1313" s="13" t="s">
        <v>187</v>
      </c>
      <c r="B1313" s="13" t="s">
        <v>723</v>
      </c>
      <c r="C1313" s="11" t="s">
        <v>724</v>
      </c>
      <c r="D1313" s="13" t="s">
        <v>6972</v>
      </c>
      <c r="E1313" s="13" t="s">
        <v>6973</v>
      </c>
      <c r="F1313" s="13" t="s">
        <v>6974</v>
      </c>
      <c r="G1313" s="13" t="s">
        <v>6975</v>
      </c>
      <c r="H1313" s="13" t="s">
        <v>6976</v>
      </c>
    </row>
    <row r="1314" customFormat="false" ht="15" hidden="false" customHeight="true" outlineLevel="0" collapsed="false">
      <c r="A1314" s="13" t="s">
        <v>187</v>
      </c>
      <c r="B1314" s="13" t="s">
        <v>730</v>
      </c>
      <c r="C1314" s="11" t="s">
        <v>731</v>
      </c>
      <c r="D1314" s="13" t="s">
        <v>6977</v>
      </c>
      <c r="E1314" s="13" t="s">
        <v>6978</v>
      </c>
      <c r="F1314" s="13" t="s">
        <v>6979</v>
      </c>
      <c r="G1314" s="13" t="s">
        <v>6980</v>
      </c>
      <c r="H1314" s="13" t="s">
        <v>6981</v>
      </c>
    </row>
    <row r="1315" customFormat="false" ht="15" hidden="false" customHeight="true" outlineLevel="0" collapsed="false">
      <c r="A1315" s="13" t="s">
        <v>187</v>
      </c>
      <c r="B1315" s="13" t="s">
        <v>737</v>
      </c>
      <c r="C1315" s="11" t="s">
        <v>738</v>
      </c>
      <c r="D1315" s="13" t="s">
        <v>6982</v>
      </c>
      <c r="E1315" s="13" t="s">
        <v>6983</v>
      </c>
      <c r="F1315" s="13" t="s">
        <v>6984</v>
      </c>
      <c r="G1315" s="13" t="s">
        <v>6985</v>
      </c>
      <c r="H1315" s="13" t="s">
        <v>6986</v>
      </c>
    </row>
    <row r="1316" customFormat="false" ht="15" hidden="false" customHeight="true" outlineLevel="0" collapsed="false">
      <c r="A1316" s="13" t="s">
        <v>187</v>
      </c>
      <c r="B1316" s="13" t="s">
        <v>744</v>
      </c>
      <c r="C1316" s="11" t="s">
        <v>745</v>
      </c>
      <c r="D1316" s="13" t="s">
        <v>6987</v>
      </c>
      <c r="E1316" s="13" t="s">
        <v>6988</v>
      </c>
      <c r="F1316" s="13" t="s">
        <v>6989</v>
      </c>
      <c r="G1316" s="13" t="s">
        <v>6990</v>
      </c>
      <c r="H1316" s="13" t="s">
        <v>6991</v>
      </c>
    </row>
    <row r="1317" customFormat="false" ht="15" hidden="false" customHeight="true" outlineLevel="0" collapsed="false">
      <c r="A1317" s="13" t="s">
        <v>187</v>
      </c>
      <c r="B1317" s="13" t="s">
        <v>751</v>
      </c>
      <c r="C1317" s="11" t="s">
        <v>752</v>
      </c>
      <c r="D1317" s="13" t="s">
        <v>6992</v>
      </c>
      <c r="E1317" s="13" t="s">
        <v>6993</v>
      </c>
      <c r="F1317" s="13" t="s">
        <v>6994</v>
      </c>
      <c r="G1317" s="13" t="s">
        <v>6995</v>
      </c>
      <c r="H1317" s="13" t="s">
        <v>6996</v>
      </c>
    </row>
    <row r="1318" customFormat="false" ht="15" hidden="false" customHeight="true" outlineLevel="0" collapsed="false">
      <c r="A1318" s="13" t="s">
        <v>187</v>
      </c>
      <c r="B1318" s="13" t="s">
        <v>758</v>
      </c>
      <c r="C1318" s="11" t="s">
        <v>759</v>
      </c>
      <c r="D1318" s="13" t="s">
        <v>6997</v>
      </c>
      <c r="E1318" s="13" t="s">
        <v>6998</v>
      </c>
      <c r="F1318" s="13" t="s">
        <v>6999</v>
      </c>
      <c r="G1318" s="13" t="s">
        <v>7000</v>
      </c>
      <c r="H1318" s="13" t="s">
        <v>7001</v>
      </c>
    </row>
    <row r="1319" customFormat="false" ht="15" hidden="false" customHeight="true" outlineLevel="0" collapsed="false">
      <c r="A1319" s="13" t="s">
        <v>187</v>
      </c>
      <c r="B1319" s="13" t="s">
        <v>765</v>
      </c>
      <c r="C1319" s="11" t="s">
        <v>766</v>
      </c>
      <c r="D1319" s="13" t="s">
        <v>7002</v>
      </c>
      <c r="E1319" s="13" t="s">
        <v>7003</v>
      </c>
      <c r="F1319" s="13" t="s">
        <v>7004</v>
      </c>
      <c r="G1319" s="13" t="s">
        <v>7005</v>
      </c>
      <c r="H1319" s="13" t="s">
        <v>7006</v>
      </c>
    </row>
    <row r="1320" customFormat="false" ht="15" hidden="false" customHeight="true" outlineLevel="0" collapsed="false">
      <c r="A1320" s="13" t="s">
        <v>187</v>
      </c>
      <c r="B1320" s="13" t="s">
        <v>772</v>
      </c>
      <c r="C1320" s="11" t="s">
        <v>773</v>
      </c>
      <c r="D1320" s="13" t="s">
        <v>7007</v>
      </c>
      <c r="E1320" s="13" t="s">
        <v>7008</v>
      </c>
      <c r="F1320" s="13" t="s">
        <v>7009</v>
      </c>
      <c r="G1320" s="13" t="s">
        <v>7010</v>
      </c>
      <c r="H1320" s="13" t="s">
        <v>7011</v>
      </c>
    </row>
    <row r="1321" customFormat="false" ht="15" hidden="false" customHeight="true" outlineLevel="0" collapsed="false">
      <c r="A1321" s="13" t="s">
        <v>187</v>
      </c>
      <c r="B1321" s="13" t="s">
        <v>779</v>
      </c>
      <c r="C1321" s="11" t="s">
        <v>780</v>
      </c>
      <c r="D1321" s="13" t="s">
        <v>7012</v>
      </c>
      <c r="E1321" s="13" t="s">
        <v>7013</v>
      </c>
      <c r="F1321" s="13" t="s">
        <v>7014</v>
      </c>
      <c r="G1321" s="13" t="s">
        <v>7015</v>
      </c>
      <c r="H1321" s="13" t="s">
        <v>7016</v>
      </c>
    </row>
    <row r="1322" customFormat="false" ht="15" hidden="false" customHeight="true" outlineLevel="0" collapsed="false">
      <c r="A1322" s="13" t="s">
        <v>187</v>
      </c>
      <c r="B1322" s="13" t="s">
        <v>786</v>
      </c>
      <c r="C1322" s="11" t="s">
        <v>787</v>
      </c>
      <c r="D1322" s="13" t="s">
        <v>7017</v>
      </c>
      <c r="E1322" s="13" t="s">
        <v>7018</v>
      </c>
      <c r="F1322" s="13" t="s">
        <v>7019</v>
      </c>
      <c r="G1322" s="13" t="s">
        <v>7020</v>
      </c>
      <c r="H1322" s="13" t="s">
        <v>7021</v>
      </c>
    </row>
    <row r="1323" customFormat="false" ht="15" hidden="false" customHeight="true" outlineLevel="0" collapsed="false">
      <c r="A1323" s="13" t="s">
        <v>187</v>
      </c>
      <c r="B1323" s="13" t="s">
        <v>793</v>
      </c>
      <c r="C1323" s="11" t="s">
        <v>794</v>
      </c>
      <c r="D1323" s="13" t="s">
        <v>7022</v>
      </c>
      <c r="E1323" s="13" t="s">
        <v>7023</v>
      </c>
      <c r="F1323" s="13" t="s">
        <v>7024</v>
      </c>
      <c r="G1323" s="13" t="s">
        <v>7025</v>
      </c>
      <c r="H1323" s="13" t="s">
        <v>7026</v>
      </c>
    </row>
    <row r="1324" customFormat="false" ht="15" hidden="false" customHeight="true" outlineLevel="0" collapsed="false">
      <c r="A1324" s="13" t="s">
        <v>187</v>
      </c>
      <c r="B1324" s="13" t="s">
        <v>800</v>
      </c>
      <c r="C1324" s="11" t="s">
        <v>801</v>
      </c>
      <c r="D1324" s="13" t="s">
        <v>2994</v>
      </c>
      <c r="E1324" s="13" t="s">
        <v>7027</v>
      </c>
      <c r="F1324" s="13" t="s">
        <v>7028</v>
      </c>
      <c r="G1324" s="13" t="s">
        <v>7029</v>
      </c>
      <c r="H1324" s="13" t="s">
        <v>7030</v>
      </c>
    </row>
    <row r="1325" customFormat="false" ht="15" hidden="false" customHeight="true" outlineLevel="0" collapsed="false">
      <c r="A1325" s="13" t="s">
        <v>187</v>
      </c>
      <c r="B1325" s="13" t="s">
        <v>806</v>
      </c>
      <c r="C1325" s="11" t="s">
        <v>807</v>
      </c>
      <c r="D1325" s="13" t="s">
        <v>7031</v>
      </c>
      <c r="E1325" s="13" t="s">
        <v>7032</v>
      </c>
      <c r="F1325" s="13" t="s">
        <v>7033</v>
      </c>
      <c r="G1325" s="13" t="s">
        <v>7034</v>
      </c>
      <c r="H1325" s="13" t="s">
        <v>7035</v>
      </c>
    </row>
    <row r="1326" customFormat="false" ht="15" hidden="false" customHeight="true" outlineLevel="0" collapsed="false">
      <c r="A1326" s="13" t="s">
        <v>187</v>
      </c>
      <c r="B1326" s="13" t="s">
        <v>813</v>
      </c>
      <c r="C1326" s="11" t="s">
        <v>814</v>
      </c>
      <c r="D1326" s="13" t="s">
        <v>7036</v>
      </c>
      <c r="E1326" s="13" t="s">
        <v>7037</v>
      </c>
      <c r="F1326" s="13" t="s">
        <v>7038</v>
      </c>
      <c r="G1326" s="13" t="s">
        <v>7039</v>
      </c>
      <c r="H1326" s="13" t="s">
        <v>7040</v>
      </c>
    </row>
    <row r="1327" customFormat="false" ht="15" hidden="false" customHeight="true" outlineLevel="0" collapsed="false">
      <c r="A1327" s="13" t="s">
        <v>187</v>
      </c>
      <c r="B1327" s="13" t="s">
        <v>820</v>
      </c>
      <c r="C1327" s="11" t="s">
        <v>821</v>
      </c>
      <c r="D1327" s="13" t="s">
        <v>7041</v>
      </c>
      <c r="E1327" s="13" t="s">
        <v>7042</v>
      </c>
      <c r="F1327" s="13" t="s">
        <v>7043</v>
      </c>
      <c r="G1327" s="13" t="s">
        <v>7044</v>
      </c>
      <c r="H1327" s="13" t="s">
        <v>7045</v>
      </c>
    </row>
    <row r="1328" customFormat="false" ht="15" hidden="false" customHeight="true" outlineLevel="0" collapsed="false">
      <c r="A1328" s="13" t="s">
        <v>187</v>
      </c>
      <c r="B1328" s="13" t="s">
        <v>827</v>
      </c>
      <c r="C1328" s="11" t="s">
        <v>828</v>
      </c>
      <c r="D1328" s="13" t="s">
        <v>7046</v>
      </c>
      <c r="E1328" s="13" t="s">
        <v>7047</v>
      </c>
      <c r="F1328" s="13" t="s">
        <v>7048</v>
      </c>
      <c r="G1328" s="13" t="s">
        <v>7049</v>
      </c>
      <c r="H1328" s="13" t="s">
        <v>7050</v>
      </c>
    </row>
    <row r="1329" customFormat="false" ht="15" hidden="false" customHeight="true" outlineLevel="0" collapsed="false">
      <c r="A1329" s="13" t="s">
        <v>187</v>
      </c>
      <c r="B1329" s="13" t="s">
        <v>834</v>
      </c>
      <c r="C1329" s="11" t="s">
        <v>835</v>
      </c>
      <c r="D1329" s="13" t="s">
        <v>7051</v>
      </c>
      <c r="E1329" s="13" t="s">
        <v>7052</v>
      </c>
      <c r="F1329" s="13" t="s">
        <v>7053</v>
      </c>
      <c r="G1329" s="13" t="s">
        <v>7054</v>
      </c>
      <c r="H1329" s="13" t="s">
        <v>7055</v>
      </c>
    </row>
    <row r="1330" customFormat="false" ht="15" hidden="false" customHeight="true" outlineLevel="0" collapsed="false">
      <c r="A1330" s="13" t="s">
        <v>187</v>
      </c>
      <c r="B1330" s="13" t="s">
        <v>841</v>
      </c>
      <c r="C1330" s="11" t="s">
        <v>842</v>
      </c>
      <c r="D1330" s="13" t="s">
        <v>7056</v>
      </c>
      <c r="E1330" s="13" t="s">
        <v>7057</v>
      </c>
      <c r="F1330" s="13" t="s">
        <v>7058</v>
      </c>
      <c r="G1330" s="13" t="s">
        <v>7059</v>
      </c>
      <c r="H1330" s="13" t="s">
        <v>7060</v>
      </c>
    </row>
    <row r="1331" customFormat="false" ht="15" hidden="false" customHeight="true" outlineLevel="0" collapsed="false">
      <c r="A1331" s="13" t="s">
        <v>187</v>
      </c>
      <c r="B1331" s="13" t="s">
        <v>848</v>
      </c>
      <c r="C1331" s="11" t="s">
        <v>849</v>
      </c>
      <c r="D1331" s="13" t="s">
        <v>7061</v>
      </c>
      <c r="E1331" s="13" t="s">
        <v>7062</v>
      </c>
      <c r="F1331" s="13" t="s">
        <v>7063</v>
      </c>
      <c r="G1331" s="13" t="s">
        <v>7064</v>
      </c>
      <c r="H1331" s="13" t="s">
        <v>7065</v>
      </c>
    </row>
    <row r="1332" customFormat="false" ht="15" hidden="false" customHeight="true" outlineLevel="0" collapsed="false">
      <c r="A1332" s="13" t="s">
        <v>187</v>
      </c>
      <c r="B1332" s="13" t="s">
        <v>855</v>
      </c>
      <c r="C1332" s="11" t="s">
        <v>856</v>
      </c>
      <c r="D1332" s="13" t="s">
        <v>7066</v>
      </c>
      <c r="E1332" s="13" t="s">
        <v>7067</v>
      </c>
      <c r="F1332" s="13" t="s">
        <v>7068</v>
      </c>
      <c r="G1332" s="13" t="s">
        <v>7069</v>
      </c>
      <c r="H1332" s="13" t="s">
        <v>7070</v>
      </c>
    </row>
    <row r="1333" customFormat="false" ht="15" hidden="false" customHeight="true" outlineLevel="0" collapsed="false">
      <c r="A1333" s="13" t="s">
        <v>187</v>
      </c>
      <c r="B1333" s="13" t="s">
        <v>862</v>
      </c>
      <c r="C1333" s="11" t="s">
        <v>863</v>
      </c>
      <c r="D1333" s="13" t="s">
        <v>7071</v>
      </c>
      <c r="E1333" s="13" t="s">
        <v>7072</v>
      </c>
      <c r="F1333" s="13" t="s">
        <v>7073</v>
      </c>
      <c r="G1333" s="13" t="s">
        <v>7074</v>
      </c>
      <c r="H1333" s="13" t="s">
        <v>7075</v>
      </c>
    </row>
    <row r="1334" customFormat="false" ht="15" hidden="false" customHeight="true" outlineLevel="0" collapsed="false">
      <c r="A1334" s="13" t="s">
        <v>187</v>
      </c>
      <c r="B1334" s="13" t="s">
        <v>869</v>
      </c>
      <c r="C1334" s="11" t="s">
        <v>870</v>
      </c>
      <c r="D1334" s="13" t="s">
        <v>7076</v>
      </c>
      <c r="E1334" s="13" t="s">
        <v>7077</v>
      </c>
      <c r="F1334" s="13" t="s">
        <v>7078</v>
      </c>
      <c r="G1334" s="13" t="s">
        <v>7079</v>
      </c>
      <c r="H1334" s="13" t="s">
        <v>7080</v>
      </c>
    </row>
    <row r="1335" customFormat="false" ht="15" hidden="false" customHeight="true" outlineLevel="0" collapsed="false">
      <c r="A1335" s="13" t="s">
        <v>187</v>
      </c>
      <c r="B1335" s="13" t="s">
        <v>876</v>
      </c>
      <c r="C1335" s="11" t="s">
        <v>877</v>
      </c>
      <c r="D1335" s="13" t="s">
        <v>7081</v>
      </c>
      <c r="E1335" s="13" t="s">
        <v>7082</v>
      </c>
      <c r="F1335" s="13" t="s">
        <v>7083</v>
      </c>
      <c r="G1335" s="13" t="s">
        <v>7084</v>
      </c>
      <c r="H1335" s="13" t="s">
        <v>7085</v>
      </c>
    </row>
    <row r="1336" customFormat="false" ht="15" hidden="false" customHeight="true" outlineLevel="0" collapsed="false">
      <c r="A1336" s="13" t="s">
        <v>187</v>
      </c>
      <c r="B1336" s="13" t="s">
        <v>883</v>
      </c>
      <c r="C1336" s="11" t="s">
        <v>884</v>
      </c>
      <c r="D1336" s="13" t="s">
        <v>7086</v>
      </c>
      <c r="E1336" s="13" t="s">
        <v>7087</v>
      </c>
      <c r="F1336" s="13" t="s">
        <v>7088</v>
      </c>
      <c r="G1336" s="13" t="s">
        <v>7089</v>
      </c>
      <c r="H1336" s="13" t="s">
        <v>7090</v>
      </c>
    </row>
    <row r="1337" customFormat="false" ht="15" hidden="false" customHeight="true" outlineLevel="0" collapsed="false">
      <c r="A1337" s="13" t="s">
        <v>187</v>
      </c>
      <c r="B1337" s="13" t="s">
        <v>890</v>
      </c>
      <c r="C1337" s="11" t="s">
        <v>891</v>
      </c>
      <c r="D1337" s="13" t="s">
        <v>7091</v>
      </c>
      <c r="E1337" s="13" t="s">
        <v>7092</v>
      </c>
      <c r="F1337" s="13" t="s">
        <v>7093</v>
      </c>
      <c r="G1337" s="13" t="s">
        <v>7094</v>
      </c>
      <c r="H1337" s="13" t="s">
        <v>7095</v>
      </c>
    </row>
    <row r="1338" customFormat="false" ht="15" hidden="false" customHeight="true" outlineLevel="0" collapsed="false">
      <c r="A1338" s="13" t="s">
        <v>187</v>
      </c>
      <c r="B1338" s="13" t="s">
        <v>897</v>
      </c>
      <c r="C1338" s="11" t="s">
        <v>898</v>
      </c>
      <c r="D1338" s="13" t="s">
        <v>7096</v>
      </c>
      <c r="E1338" s="13" t="s">
        <v>7097</v>
      </c>
      <c r="F1338" s="13" t="s">
        <v>7098</v>
      </c>
      <c r="G1338" s="13" t="s">
        <v>7099</v>
      </c>
      <c r="H1338" s="13" t="s">
        <v>7100</v>
      </c>
    </row>
    <row r="1339" customFormat="false" ht="15" hidden="false" customHeight="true" outlineLevel="0" collapsed="false">
      <c r="A1339" s="13" t="s">
        <v>187</v>
      </c>
      <c r="B1339" s="13" t="s">
        <v>904</v>
      </c>
      <c r="C1339" s="11" t="s">
        <v>905</v>
      </c>
      <c r="D1339" s="13" t="s">
        <v>7101</v>
      </c>
      <c r="E1339" s="13" t="s">
        <v>7102</v>
      </c>
      <c r="F1339" s="13" t="s">
        <v>7103</v>
      </c>
      <c r="G1339" s="13" t="s">
        <v>7104</v>
      </c>
      <c r="H1339" s="13" t="s">
        <v>7105</v>
      </c>
    </row>
    <row r="1340" customFormat="false" ht="15" hidden="false" customHeight="true" outlineLevel="0" collapsed="false">
      <c r="A1340" s="13" t="s">
        <v>187</v>
      </c>
      <c r="B1340" s="13" t="s">
        <v>911</v>
      </c>
      <c r="C1340" s="11" t="s">
        <v>912</v>
      </c>
      <c r="D1340" s="13" t="s">
        <v>7106</v>
      </c>
      <c r="E1340" s="13" t="s">
        <v>7107</v>
      </c>
      <c r="F1340" s="13" t="s">
        <v>7108</v>
      </c>
      <c r="G1340" s="13" t="s">
        <v>7109</v>
      </c>
      <c r="H1340" s="13" t="s">
        <v>7110</v>
      </c>
    </row>
    <row r="1341" customFormat="false" ht="15" hidden="false" customHeight="true" outlineLevel="0" collapsed="false">
      <c r="A1341" s="13" t="s">
        <v>187</v>
      </c>
      <c r="B1341" s="13" t="s">
        <v>918</v>
      </c>
      <c r="C1341" s="11" t="s">
        <v>919</v>
      </c>
      <c r="D1341" s="13" t="s">
        <v>7111</v>
      </c>
      <c r="E1341" s="13" t="s">
        <v>7112</v>
      </c>
      <c r="F1341" s="13" t="s">
        <v>7113</v>
      </c>
      <c r="G1341" s="13" t="s">
        <v>7114</v>
      </c>
      <c r="H1341" s="13" t="s">
        <v>7115</v>
      </c>
    </row>
    <row r="1342" customFormat="false" ht="15" hidden="false" customHeight="true" outlineLevel="0" collapsed="false">
      <c r="A1342" s="13" t="s">
        <v>187</v>
      </c>
      <c r="B1342" s="13" t="s">
        <v>925</v>
      </c>
      <c r="C1342" s="11" t="s">
        <v>926</v>
      </c>
      <c r="D1342" s="13" t="s">
        <v>7116</v>
      </c>
      <c r="E1342" s="13" t="s">
        <v>7117</v>
      </c>
      <c r="F1342" s="13" t="s">
        <v>7118</v>
      </c>
      <c r="G1342" s="13" t="s">
        <v>7119</v>
      </c>
      <c r="H1342" s="13" t="s">
        <v>7120</v>
      </c>
    </row>
    <row r="1343" customFormat="false" ht="15" hidden="false" customHeight="true" outlineLevel="0" collapsed="false">
      <c r="A1343" s="13" t="s">
        <v>187</v>
      </c>
      <c r="B1343" s="13" t="s">
        <v>932</v>
      </c>
      <c r="C1343" s="11" t="s">
        <v>933</v>
      </c>
      <c r="D1343" s="13" t="s">
        <v>7121</v>
      </c>
      <c r="E1343" s="13" t="s">
        <v>7122</v>
      </c>
      <c r="F1343" s="13" t="s">
        <v>7123</v>
      </c>
      <c r="G1343" s="13" t="s">
        <v>7124</v>
      </c>
      <c r="H1343" s="13" t="s">
        <v>7125</v>
      </c>
    </row>
    <row r="1344" customFormat="false" ht="15" hidden="false" customHeight="true" outlineLevel="0" collapsed="false">
      <c r="A1344" s="13" t="s">
        <v>187</v>
      </c>
      <c r="B1344" s="13" t="s">
        <v>939</v>
      </c>
      <c r="C1344" s="11" t="s">
        <v>940</v>
      </c>
      <c r="D1344" s="13" t="s">
        <v>7126</v>
      </c>
      <c r="E1344" s="13" t="s">
        <v>7127</v>
      </c>
      <c r="F1344" s="13" t="s">
        <v>7128</v>
      </c>
      <c r="G1344" s="13" t="s">
        <v>7129</v>
      </c>
      <c r="H1344" s="13" t="s">
        <v>7130</v>
      </c>
    </row>
    <row r="1345" customFormat="false" ht="15" hidden="false" customHeight="true" outlineLevel="0" collapsed="false">
      <c r="A1345" s="13" t="s">
        <v>187</v>
      </c>
      <c r="B1345" s="13" t="s">
        <v>946</v>
      </c>
      <c r="C1345" s="11" t="s">
        <v>947</v>
      </c>
      <c r="D1345" s="13" t="s">
        <v>7131</v>
      </c>
      <c r="E1345" s="13" t="s">
        <v>7132</v>
      </c>
      <c r="F1345" s="13" t="s">
        <v>7133</v>
      </c>
      <c r="G1345" s="13" t="s">
        <v>7134</v>
      </c>
      <c r="H1345" s="13" t="s">
        <v>7135</v>
      </c>
    </row>
    <row r="1346" customFormat="false" ht="15" hidden="false" customHeight="true" outlineLevel="0" collapsed="false">
      <c r="A1346" s="13" t="s">
        <v>187</v>
      </c>
      <c r="B1346" s="13" t="s">
        <v>953</v>
      </c>
      <c r="C1346" s="11" t="s">
        <v>954</v>
      </c>
      <c r="D1346" s="13" t="s">
        <v>7136</v>
      </c>
      <c r="E1346" s="13" t="s">
        <v>7137</v>
      </c>
      <c r="F1346" s="13" t="s">
        <v>7138</v>
      </c>
      <c r="G1346" s="13" t="s">
        <v>7139</v>
      </c>
      <c r="H1346" s="13" t="s">
        <v>7140</v>
      </c>
    </row>
    <row r="1347" customFormat="false" ht="15" hidden="false" customHeight="true" outlineLevel="0" collapsed="false">
      <c r="A1347" s="13" t="s">
        <v>187</v>
      </c>
      <c r="B1347" s="13" t="s">
        <v>960</v>
      </c>
      <c r="C1347" s="11" t="s">
        <v>961</v>
      </c>
      <c r="D1347" s="13" t="s">
        <v>7141</v>
      </c>
      <c r="E1347" s="13" t="s">
        <v>7142</v>
      </c>
      <c r="F1347" s="13" t="s">
        <v>7143</v>
      </c>
      <c r="G1347" s="13" t="s">
        <v>7144</v>
      </c>
      <c r="H1347" s="13" t="s">
        <v>7145</v>
      </c>
    </row>
    <row r="1348" customFormat="false" ht="15" hidden="false" customHeight="true" outlineLevel="0" collapsed="false">
      <c r="A1348" s="13" t="s">
        <v>187</v>
      </c>
      <c r="B1348" s="13" t="s">
        <v>967</v>
      </c>
      <c r="C1348" s="11" t="s">
        <v>968</v>
      </c>
      <c r="D1348" s="13" t="s">
        <v>7146</v>
      </c>
      <c r="E1348" s="13" t="s">
        <v>7147</v>
      </c>
      <c r="F1348" s="13" t="s">
        <v>7148</v>
      </c>
      <c r="G1348" s="13" t="s">
        <v>7149</v>
      </c>
      <c r="H1348" s="13" t="s">
        <v>7150</v>
      </c>
    </row>
    <row r="1349" customFormat="false" ht="15" hidden="false" customHeight="true" outlineLevel="0" collapsed="false">
      <c r="A1349" s="13" t="s">
        <v>187</v>
      </c>
      <c r="B1349" s="13" t="s">
        <v>974</v>
      </c>
      <c r="C1349" s="11" t="s">
        <v>975</v>
      </c>
      <c r="D1349" s="13" t="s">
        <v>7151</v>
      </c>
      <c r="E1349" s="13" t="s">
        <v>7152</v>
      </c>
      <c r="F1349" s="13" t="s">
        <v>7153</v>
      </c>
      <c r="G1349" s="13" t="s">
        <v>7154</v>
      </c>
      <c r="H1349" s="13" t="s">
        <v>7155</v>
      </c>
    </row>
    <row r="1350" customFormat="false" ht="15" hidden="false" customHeight="true" outlineLevel="0" collapsed="false">
      <c r="A1350" s="13" t="s">
        <v>187</v>
      </c>
      <c r="B1350" s="13" t="s">
        <v>981</v>
      </c>
      <c r="C1350" s="11" t="s">
        <v>982</v>
      </c>
      <c r="D1350" s="13" t="s">
        <v>7156</v>
      </c>
      <c r="E1350" s="13" t="s">
        <v>7157</v>
      </c>
      <c r="F1350" s="13" t="s">
        <v>7158</v>
      </c>
      <c r="G1350" s="13" t="s">
        <v>7159</v>
      </c>
      <c r="H1350" s="13" t="s">
        <v>7160</v>
      </c>
    </row>
    <row r="1351" customFormat="false" ht="15" hidden="false" customHeight="true" outlineLevel="0" collapsed="false">
      <c r="A1351" s="13" t="s">
        <v>187</v>
      </c>
      <c r="B1351" s="13" t="s">
        <v>988</v>
      </c>
      <c r="C1351" s="11" t="s">
        <v>989</v>
      </c>
      <c r="D1351" s="13" t="s">
        <v>7161</v>
      </c>
      <c r="E1351" s="13" t="s">
        <v>7162</v>
      </c>
      <c r="F1351" s="13" t="s">
        <v>7163</v>
      </c>
      <c r="G1351" s="13" t="s">
        <v>7164</v>
      </c>
      <c r="H1351" s="13" t="s">
        <v>7165</v>
      </c>
    </row>
    <row r="1352" customFormat="false" ht="15" hidden="false" customHeight="true" outlineLevel="0" collapsed="false">
      <c r="A1352" s="13" t="s">
        <v>187</v>
      </c>
      <c r="B1352" s="13" t="s">
        <v>995</v>
      </c>
      <c r="C1352" s="11" t="s">
        <v>996</v>
      </c>
      <c r="D1352" s="13" t="s">
        <v>7166</v>
      </c>
      <c r="E1352" s="13" t="s">
        <v>7167</v>
      </c>
      <c r="F1352" s="13" t="s">
        <v>7168</v>
      </c>
      <c r="G1352" s="13" t="s">
        <v>7169</v>
      </c>
      <c r="H1352" s="13" t="s">
        <v>7170</v>
      </c>
    </row>
    <row r="1353" customFormat="false" ht="15" hidden="false" customHeight="true" outlineLevel="0" collapsed="false">
      <c r="A1353" s="13" t="s">
        <v>187</v>
      </c>
      <c r="B1353" s="13" t="s">
        <v>1002</v>
      </c>
      <c r="C1353" s="11" t="s">
        <v>1003</v>
      </c>
      <c r="D1353" s="13" t="s">
        <v>7171</v>
      </c>
      <c r="E1353" s="13" t="s">
        <v>4262</v>
      </c>
      <c r="F1353" s="13" t="s">
        <v>7172</v>
      </c>
      <c r="G1353" s="13" t="s">
        <v>7173</v>
      </c>
      <c r="H1353" s="13" t="s">
        <v>7174</v>
      </c>
    </row>
    <row r="1354" customFormat="false" ht="15" hidden="false" customHeight="true" outlineLevel="0" collapsed="false">
      <c r="A1354" s="13" t="s">
        <v>187</v>
      </c>
      <c r="B1354" s="13" t="s">
        <v>1009</v>
      </c>
      <c r="C1354" s="11" t="s">
        <v>1010</v>
      </c>
      <c r="D1354" s="13" t="s">
        <v>5737</v>
      </c>
      <c r="E1354" s="13" t="s">
        <v>7175</v>
      </c>
      <c r="F1354" s="13" t="s">
        <v>7176</v>
      </c>
      <c r="G1354" s="13" t="s">
        <v>7177</v>
      </c>
      <c r="H1354" s="13" t="s">
        <v>7178</v>
      </c>
    </row>
    <row r="1355" customFormat="false" ht="15" hidden="false" customHeight="true" outlineLevel="0" collapsed="false">
      <c r="A1355" s="13" t="s">
        <v>195</v>
      </c>
      <c r="B1355" s="13" t="s">
        <v>345</v>
      </c>
      <c r="C1355" s="11" t="s">
        <v>346</v>
      </c>
      <c r="D1355" s="13" t="s">
        <v>7179</v>
      </c>
      <c r="E1355" s="13" t="s">
        <v>7180</v>
      </c>
      <c r="F1355" s="13" t="s">
        <v>7181</v>
      </c>
      <c r="G1355" s="13" t="s">
        <v>7182</v>
      </c>
      <c r="H1355" s="13" t="s">
        <v>7183</v>
      </c>
    </row>
    <row r="1356" customFormat="false" ht="15" hidden="false" customHeight="true" outlineLevel="0" collapsed="false">
      <c r="A1356" s="13" t="s">
        <v>195</v>
      </c>
      <c r="B1356" s="13" t="s">
        <v>352</v>
      </c>
      <c r="C1356" s="11" t="s">
        <v>353</v>
      </c>
      <c r="D1356" s="13" t="s">
        <v>7184</v>
      </c>
      <c r="E1356" s="13" t="s">
        <v>7185</v>
      </c>
      <c r="F1356" s="13" t="s">
        <v>7186</v>
      </c>
      <c r="G1356" s="13" t="s">
        <v>7187</v>
      </c>
      <c r="H1356" s="13" t="s">
        <v>7188</v>
      </c>
    </row>
    <row r="1357" customFormat="false" ht="15" hidden="false" customHeight="true" outlineLevel="0" collapsed="false">
      <c r="A1357" s="13" t="s">
        <v>195</v>
      </c>
      <c r="B1357" s="13" t="s">
        <v>359</v>
      </c>
      <c r="C1357" s="11" t="s">
        <v>360</v>
      </c>
      <c r="D1357" s="13" t="s">
        <v>7189</v>
      </c>
      <c r="E1357" s="13" t="s">
        <v>7190</v>
      </c>
      <c r="F1357" s="13" t="s">
        <v>7191</v>
      </c>
      <c r="G1357" s="13" t="s">
        <v>7192</v>
      </c>
      <c r="H1357" s="13" t="s">
        <v>7193</v>
      </c>
    </row>
    <row r="1358" customFormat="false" ht="15" hidden="false" customHeight="true" outlineLevel="0" collapsed="false">
      <c r="A1358" s="13" t="s">
        <v>195</v>
      </c>
      <c r="B1358" s="13" t="s">
        <v>366</v>
      </c>
      <c r="C1358" s="11" t="s">
        <v>367</v>
      </c>
      <c r="D1358" s="13" t="s">
        <v>7194</v>
      </c>
      <c r="E1358" s="13" t="s">
        <v>7195</v>
      </c>
      <c r="F1358" s="13" t="s">
        <v>7196</v>
      </c>
      <c r="G1358" s="13" t="s">
        <v>7197</v>
      </c>
      <c r="H1358" s="13" t="s">
        <v>7198</v>
      </c>
    </row>
    <row r="1359" customFormat="false" ht="15" hidden="false" customHeight="true" outlineLevel="0" collapsed="false">
      <c r="A1359" s="13" t="s">
        <v>195</v>
      </c>
      <c r="B1359" s="13" t="s">
        <v>373</v>
      </c>
      <c r="C1359" s="11" t="s">
        <v>374</v>
      </c>
      <c r="D1359" s="13" t="s">
        <v>7199</v>
      </c>
      <c r="E1359" s="13" t="s">
        <v>7200</v>
      </c>
      <c r="F1359" s="13" t="s">
        <v>7201</v>
      </c>
      <c r="G1359" s="13" t="s">
        <v>7202</v>
      </c>
      <c r="H1359" s="13" t="s">
        <v>7203</v>
      </c>
    </row>
    <row r="1360" customFormat="false" ht="15" hidden="false" customHeight="true" outlineLevel="0" collapsed="false">
      <c r="A1360" s="13" t="s">
        <v>195</v>
      </c>
      <c r="B1360" s="13" t="s">
        <v>380</v>
      </c>
      <c r="C1360" s="11" t="s">
        <v>381</v>
      </c>
      <c r="D1360" s="13" t="s">
        <v>7204</v>
      </c>
      <c r="E1360" s="13" t="s">
        <v>7205</v>
      </c>
      <c r="F1360" s="13" t="s">
        <v>7206</v>
      </c>
      <c r="G1360" s="13" t="s">
        <v>7207</v>
      </c>
      <c r="H1360" s="13" t="s">
        <v>7208</v>
      </c>
    </row>
    <row r="1361" customFormat="false" ht="15" hidden="false" customHeight="true" outlineLevel="0" collapsed="false">
      <c r="A1361" s="13" t="s">
        <v>195</v>
      </c>
      <c r="B1361" s="13" t="s">
        <v>387</v>
      </c>
      <c r="C1361" s="11" t="s">
        <v>388</v>
      </c>
      <c r="D1361" s="13" t="s">
        <v>7209</v>
      </c>
      <c r="E1361" s="13" t="s">
        <v>7210</v>
      </c>
      <c r="F1361" s="13" t="s">
        <v>7211</v>
      </c>
      <c r="G1361" s="13" t="s">
        <v>7212</v>
      </c>
      <c r="H1361" s="13" t="s">
        <v>7213</v>
      </c>
    </row>
    <row r="1362" customFormat="false" ht="15" hidden="false" customHeight="true" outlineLevel="0" collapsed="false">
      <c r="A1362" s="13" t="s">
        <v>195</v>
      </c>
      <c r="B1362" s="13" t="s">
        <v>394</v>
      </c>
      <c r="C1362" s="11" t="s">
        <v>395</v>
      </c>
      <c r="D1362" s="13" t="s">
        <v>7214</v>
      </c>
      <c r="E1362" s="13" t="s">
        <v>7215</v>
      </c>
      <c r="F1362" s="13" t="s">
        <v>7216</v>
      </c>
      <c r="G1362" s="13" t="s">
        <v>7217</v>
      </c>
      <c r="H1362" s="13" t="s">
        <v>7218</v>
      </c>
    </row>
    <row r="1363" customFormat="false" ht="15" hidden="false" customHeight="true" outlineLevel="0" collapsed="false">
      <c r="A1363" s="13" t="s">
        <v>195</v>
      </c>
      <c r="B1363" s="13" t="s">
        <v>401</v>
      </c>
      <c r="C1363" s="11" t="s">
        <v>402</v>
      </c>
      <c r="D1363" s="13" t="s">
        <v>7219</v>
      </c>
      <c r="E1363" s="13" t="s">
        <v>7220</v>
      </c>
      <c r="F1363" s="13" t="s">
        <v>7221</v>
      </c>
      <c r="G1363" s="13" t="s">
        <v>7222</v>
      </c>
      <c r="H1363" s="13" t="s">
        <v>7223</v>
      </c>
    </row>
    <row r="1364" customFormat="false" ht="15" hidden="false" customHeight="true" outlineLevel="0" collapsed="false">
      <c r="A1364" s="13" t="s">
        <v>195</v>
      </c>
      <c r="B1364" s="13" t="s">
        <v>408</v>
      </c>
      <c r="C1364" s="11" t="s">
        <v>409</v>
      </c>
      <c r="D1364" s="13" t="s">
        <v>7224</v>
      </c>
      <c r="E1364" s="13" t="s">
        <v>7225</v>
      </c>
      <c r="F1364" s="13" t="s">
        <v>7226</v>
      </c>
      <c r="G1364" s="13" t="s">
        <v>7227</v>
      </c>
      <c r="H1364" s="13" t="s">
        <v>7228</v>
      </c>
    </row>
    <row r="1365" customFormat="false" ht="15" hidden="false" customHeight="true" outlineLevel="0" collapsed="false">
      <c r="A1365" s="13" t="s">
        <v>195</v>
      </c>
      <c r="B1365" s="13" t="s">
        <v>415</v>
      </c>
      <c r="C1365" s="11" t="s">
        <v>416</v>
      </c>
      <c r="D1365" s="13" t="s">
        <v>7229</v>
      </c>
      <c r="E1365" s="13" t="s">
        <v>7230</v>
      </c>
      <c r="F1365" s="13" t="s">
        <v>7231</v>
      </c>
      <c r="G1365" s="13" t="s">
        <v>7232</v>
      </c>
      <c r="H1365" s="13" t="s">
        <v>7233</v>
      </c>
    </row>
    <row r="1366" customFormat="false" ht="15" hidden="false" customHeight="true" outlineLevel="0" collapsed="false">
      <c r="A1366" s="13" t="s">
        <v>195</v>
      </c>
      <c r="B1366" s="13" t="s">
        <v>422</v>
      </c>
      <c r="C1366" s="11" t="s">
        <v>423</v>
      </c>
      <c r="D1366" s="13" t="s">
        <v>7234</v>
      </c>
      <c r="E1366" s="13" t="s">
        <v>7235</v>
      </c>
      <c r="F1366" s="13" t="s">
        <v>7236</v>
      </c>
      <c r="G1366" s="13" t="s">
        <v>7237</v>
      </c>
      <c r="H1366" s="13" t="s">
        <v>7238</v>
      </c>
    </row>
    <row r="1367" customFormat="false" ht="15" hidden="false" customHeight="true" outlineLevel="0" collapsed="false">
      <c r="A1367" s="13" t="s">
        <v>195</v>
      </c>
      <c r="B1367" s="13" t="s">
        <v>429</v>
      </c>
      <c r="C1367" s="11" t="s">
        <v>430</v>
      </c>
      <c r="D1367" s="13" t="s">
        <v>7239</v>
      </c>
      <c r="E1367" s="13" t="s">
        <v>7240</v>
      </c>
      <c r="F1367" s="13" t="s">
        <v>7241</v>
      </c>
      <c r="G1367" s="13" t="s">
        <v>7242</v>
      </c>
      <c r="H1367" s="13" t="s">
        <v>7243</v>
      </c>
    </row>
    <row r="1368" customFormat="false" ht="15" hidden="false" customHeight="true" outlineLevel="0" collapsed="false">
      <c r="A1368" s="13" t="s">
        <v>195</v>
      </c>
      <c r="B1368" s="13" t="s">
        <v>436</v>
      </c>
      <c r="C1368" s="11" t="s">
        <v>437</v>
      </c>
      <c r="D1368" s="13" t="s">
        <v>7244</v>
      </c>
      <c r="E1368" s="13" t="s">
        <v>5990</v>
      </c>
      <c r="F1368" s="13" t="s">
        <v>7245</v>
      </c>
      <c r="G1368" s="13" t="s">
        <v>7246</v>
      </c>
      <c r="H1368" s="13" t="s">
        <v>7247</v>
      </c>
    </row>
    <row r="1369" customFormat="false" ht="15" hidden="false" customHeight="true" outlineLevel="0" collapsed="false">
      <c r="A1369" s="13" t="s">
        <v>195</v>
      </c>
      <c r="B1369" s="13" t="s">
        <v>443</v>
      </c>
      <c r="C1369" s="11" t="s">
        <v>444</v>
      </c>
      <c r="D1369" s="13" t="s">
        <v>7248</v>
      </c>
      <c r="E1369" s="13" t="s">
        <v>7249</v>
      </c>
      <c r="F1369" s="13" t="s">
        <v>7250</v>
      </c>
      <c r="G1369" s="13" t="s">
        <v>7251</v>
      </c>
      <c r="H1369" s="13" t="s">
        <v>7252</v>
      </c>
    </row>
    <row r="1370" customFormat="false" ht="15" hidden="false" customHeight="true" outlineLevel="0" collapsed="false">
      <c r="A1370" s="13" t="s">
        <v>195</v>
      </c>
      <c r="B1370" s="13" t="s">
        <v>450</v>
      </c>
      <c r="C1370" s="11" t="s">
        <v>451</v>
      </c>
      <c r="D1370" s="13" t="s">
        <v>7253</v>
      </c>
      <c r="E1370" s="13" t="s">
        <v>7254</v>
      </c>
      <c r="F1370" s="13" t="s">
        <v>7255</v>
      </c>
      <c r="G1370" s="13" t="s">
        <v>7256</v>
      </c>
      <c r="H1370" s="13" t="s">
        <v>7257</v>
      </c>
    </row>
    <row r="1371" customFormat="false" ht="15" hidden="false" customHeight="true" outlineLevel="0" collapsed="false">
      <c r="A1371" s="13" t="s">
        <v>195</v>
      </c>
      <c r="B1371" s="13" t="s">
        <v>457</v>
      </c>
      <c r="C1371" s="11" t="s">
        <v>458</v>
      </c>
      <c r="D1371" s="13" t="s">
        <v>7258</v>
      </c>
      <c r="E1371" s="13" t="s">
        <v>7259</v>
      </c>
      <c r="F1371" s="13" t="s">
        <v>7260</v>
      </c>
      <c r="G1371" s="13" t="s">
        <v>7261</v>
      </c>
      <c r="H1371" s="13" t="s">
        <v>7262</v>
      </c>
    </row>
    <row r="1372" customFormat="false" ht="15" hidden="false" customHeight="true" outlineLevel="0" collapsed="false">
      <c r="A1372" s="13" t="s">
        <v>195</v>
      </c>
      <c r="B1372" s="13" t="s">
        <v>464</v>
      </c>
      <c r="C1372" s="11" t="s">
        <v>465</v>
      </c>
      <c r="D1372" s="13" t="s">
        <v>7263</v>
      </c>
      <c r="E1372" s="13" t="s">
        <v>7264</v>
      </c>
      <c r="F1372" s="13" t="s">
        <v>7265</v>
      </c>
      <c r="G1372" s="13" t="s">
        <v>7266</v>
      </c>
      <c r="H1372" s="13" t="s">
        <v>7267</v>
      </c>
    </row>
    <row r="1373" customFormat="false" ht="15" hidden="false" customHeight="true" outlineLevel="0" collapsed="false">
      <c r="A1373" s="13" t="s">
        <v>195</v>
      </c>
      <c r="B1373" s="13" t="s">
        <v>471</v>
      </c>
      <c r="C1373" s="11" t="s">
        <v>472</v>
      </c>
      <c r="D1373" s="13" t="s">
        <v>7268</v>
      </c>
      <c r="E1373" s="13" t="s">
        <v>7269</v>
      </c>
      <c r="F1373" s="13" t="s">
        <v>7270</v>
      </c>
      <c r="G1373" s="13" t="s">
        <v>7271</v>
      </c>
      <c r="H1373" s="13" t="s">
        <v>7272</v>
      </c>
    </row>
    <row r="1374" customFormat="false" ht="15" hidden="false" customHeight="true" outlineLevel="0" collapsed="false">
      <c r="A1374" s="13" t="s">
        <v>195</v>
      </c>
      <c r="B1374" s="13" t="s">
        <v>478</v>
      </c>
      <c r="C1374" s="11" t="s">
        <v>479</v>
      </c>
      <c r="D1374" s="13" t="s">
        <v>7273</v>
      </c>
      <c r="E1374" s="13" t="s">
        <v>7274</v>
      </c>
      <c r="F1374" s="13" t="s">
        <v>7275</v>
      </c>
      <c r="G1374" s="13" t="s">
        <v>7276</v>
      </c>
      <c r="H1374" s="13" t="s">
        <v>7277</v>
      </c>
    </row>
    <row r="1375" customFormat="false" ht="15" hidden="false" customHeight="true" outlineLevel="0" collapsed="false">
      <c r="A1375" s="13" t="s">
        <v>195</v>
      </c>
      <c r="B1375" s="13" t="s">
        <v>485</v>
      </c>
      <c r="C1375" s="11" t="s">
        <v>486</v>
      </c>
      <c r="D1375" s="13" t="s">
        <v>7278</v>
      </c>
      <c r="E1375" s="13" t="s">
        <v>7279</v>
      </c>
      <c r="F1375" s="13" t="s">
        <v>7280</v>
      </c>
      <c r="G1375" s="13" t="s">
        <v>7281</v>
      </c>
      <c r="H1375" s="13" t="s">
        <v>7282</v>
      </c>
    </row>
    <row r="1376" customFormat="false" ht="15" hidden="false" customHeight="true" outlineLevel="0" collapsed="false">
      <c r="A1376" s="13" t="s">
        <v>195</v>
      </c>
      <c r="B1376" s="13" t="s">
        <v>492</v>
      </c>
      <c r="C1376" s="11" t="s">
        <v>493</v>
      </c>
      <c r="D1376" s="13" t="s">
        <v>7283</v>
      </c>
      <c r="E1376" s="13" t="s">
        <v>7284</v>
      </c>
      <c r="F1376" s="13" t="s">
        <v>7285</v>
      </c>
      <c r="G1376" s="13" t="s">
        <v>7286</v>
      </c>
      <c r="H1376" s="13" t="s">
        <v>7287</v>
      </c>
    </row>
    <row r="1377" customFormat="false" ht="15" hidden="false" customHeight="true" outlineLevel="0" collapsed="false">
      <c r="A1377" s="13" t="s">
        <v>195</v>
      </c>
      <c r="B1377" s="13" t="s">
        <v>499</v>
      </c>
      <c r="C1377" s="11" t="s">
        <v>500</v>
      </c>
      <c r="D1377" s="13" t="s">
        <v>7288</v>
      </c>
      <c r="E1377" s="13" t="s">
        <v>7289</v>
      </c>
      <c r="F1377" s="13" t="s">
        <v>7290</v>
      </c>
      <c r="G1377" s="13" t="s">
        <v>7291</v>
      </c>
      <c r="H1377" s="13" t="s">
        <v>7292</v>
      </c>
    </row>
    <row r="1378" customFormat="false" ht="15" hidden="false" customHeight="true" outlineLevel="0" collapsed="false">
      <c r="A1378" s="13" t="s">
        <v>195</v>
      </c>
      <c r="B1378" s="13" t="s">
        <v>506</v>
      </c>
      <c r="C1378" s="11" t="s">
        <v>507</v>
      </c>
      <c r="D1378" s="13" t="s">
        <v>7293</v>
      </c>
      <c r="E1378" s="13" t="s">
        <v>7294</v>
      </c>
      <c r="F1378" s="13" t="s">
        <v>7295</v>
      </c>
      <c r="G1378" s="13" t="s">
        <v>7296</v>
      </c>
      <c r="H1378" s="13" t="s">
        <v>7297</v>
      </c>
    </row>
    <row r="1379" customFormat="false" ht="15" hidden="false" customHeight="true" outlineLevel="0" collapsed="false">
      <c r="A1379" s="13" t="s">
        <v>195</v>
      </c>
      <c r="B1379" s="13" t="s">
        <v>513</v>
      </c>
      <c r="C1379" s="11" t="s">
        <v>514</v>
      </c>
      <c r="D1379" s="13" t="s">
        <v>7298</v>
      </c>
      <c r="E1379" s="13" t="s">
        <v>7299</v>
      </c>
      <c r="F1379" s="13" t="s">
        <v>7300</v>
      </c>
      <c r="G1379" s="13" t="s">
        <v>7301</v>
      </c>
      <c r="H1379" s="13" t="s">
        <v>7302</v>
      </c>
    </row>
    <row r="1380" customFormat="false" ht="15" hidden="false" customHeight="true" outlineLevel="0" collapsed="false">
      <c r="A1380" s="13" t="s">
        <v>195</v>
      </c>
      <c r="B1380" s="13" t="s">
        <v>520</v>
      </c>
      <c r="C1380" s="11" t="s">
        <v>521</v>
      </c>
      <c r="D1380" s="13" t="s">
        <v>7303</v>
      </c>
      <c r="E1380" s="13" t="s">
        <v>7304</v>
      </c>
      <c r="F1380" s="13" t="s">
        <v>7305</v>
      </c>
      <c r="G1380" s="13" t="s">
        <v>7306</v>
      </c>
      <c r="H1380" s="13" t="s">
        <v>7307</v>
      </c>
    </row>
    <row r="1381" customFormat="false" ht="15" hidden="false" customHeight="true" outlineLevel="0" collapsed="false">
      <c r="A1381" s="13" t="s">
        <v>195</v>
      </c>
      <c r="B1381" s="13" t="s">
        <v>527</v>
      </c>
      <c r="C1381" s="11" t="s">
        <v>528</v>
      </c>
      <c r="D1381" s="13" t="s">
        <v>7308</v>
      </c>
      <c r="E1381" s="13" t="s">
        <v>7309</v>
      </c>
      <c r="F1381" s="13" t="s">
        <v>7310</v>
      </c>
      <c r="G1381" s="13" t="s">
        <v>7311</v>
      </c>
      <c r="H1381" s="13" t="s">
        <v>7312</v>
      </c>
    </row>
    <row r="1382" customFormat="false" ht="15" hidden="false" customHeight="true" outlineLevel="0" collapsed="false">
      <c r="A1382" s="13" t="s">
        <v>195</v>
      </c>
      <c r="B1382" s="13" t="s">
        <v>534</v>
      </c>
      <c r="C1382" s="11" t="s">
        <v>535</v>
      </c>
      <c r="D1382" s="13" t="s">
        <v>7313</v>
      </c>
      <c r="E1382" s="13" t="s">
        <v>7314</v>
      </c>
      <c r="F1382" s="13" t="s">
        <v>7315</v>
      </c>
      <c r="G1382" s="13" t="s">
        <v>7316</v>
      </c>
      <c r="H1382" s="13" t="s">
        <v>7317</v>
      </c>
    </row>
    <row r="1383" customFormat="false" ht="15" hidden="false" customHeight="true" outlineLevel="0" collapsed="false">
      <c r="A1383" s="13" t="s">
        <v>195</v>
      </c>
      <c r="B1383" s="13" t="s">
        <v>541</v>
      </c>
      <c r="C1383" s="11" t="s">
        <v>542</v>
      </c>
      <c r="D1383" s="13" t="s">
        <v>7318</v>
      </c>
      <c r="E1383" s="13" t="s">
        <v>7319</v>
      </c>
      <c r="F1383" s="13" t="s">
        <v>7320</v>
      </c>
      <c r="G1383" s="13" t="s">
        <v>7321</v>
      </c>
      <c r="H1383" s="13" t="s">
        <v>7322</v>
      </c>
    </row>
    <row r="1384" customFormat="false" ht="15" hidden="false" customHeight="true" outlineLevel="0" collapsed="false">
      <c r="A1384" s="13" t="s">
        <v>195</v>
      </c>
      <c r="B1384" s="13" t="s">
        <v>548</v>
      </c>
      <c r="C1384" s="11" t="s">
        <v>549</v>
      </c>
      <c r="D1384" s="13" t="s">
        <v>7323</v>
      </c>
      <c r="E1384" s="13" t="s">
        <v>7324</v>
      </c>
      <c r="F1384" s="13" t="s">
        <v>7325</v>
      </c>
      <c r="G1384" s="13" t="s">
        <v>7326</v>
      </c>
      <c r="H1384" s="13" t="s">
        <v>7327</v>
      </c>
    </row>
    <row r="1385" customFormat="false" ht="15" hidden="false" customHeight="true" outlineLevel="0" collapsed="false">
      <c r="A1385" s="13" t="s">
        <v>195</v>
      </c>
      <c r="B1385" s="13" t="s">
        <v>555</v>
      </c>
      <c r="C1385" s="11" t="s">
        <v>556</v>
      </c>
      <c r="D1385" s="13" t="s">
        <v>7328</v>
      </c>
      <c r="E1385" s="13" t="s">
        <v>7329</v>
      </c>
      <c r="F1385" s="13" t="s">
        <v>7330</v>
      </c>
      <c r="G1385" s="13" t="s">
        <v>7331</v>
      </c>
      <c r="H1385" s="13" t="s">
        <v>7332</v>
      </c>
    </row>
    <row r="1386" customFormat="false" ht="15" hidden="false" customHeight="true" outlineLevel="0" collapsed="false">
      <c r="A1386" s="13" t="s">
        <v>195</v>
      </c>
      <c r="B1386" s="13" t="s">
        <v>562</v>
      </c>
      <c r="C1386" s="11" t="s">
        <v>563</v>
      </c>
      <c r="D1386" s="13" t="s">
        <v>7333</v>
      </c>
      <c r="E1386" s="13" t="s">
        <v>7334</v>
      </c>
      <c r="F1386" s="13" t="s">
        <v>7335</v>
      </c>
      <c r="G1386" s="13" t="s">
        <v>7336</v>
      </c>
      <c r="H1386" s="13" t="s">
        <v>7337</v>
      </c>
    </row>
    <row r="1387" customFormat="false" ht="15" hidden="false" customHeight="true" outlineLevel="0" collapsed="false">
      <c r="A1387" s="13" t="s">
        <v>195</v>
      </c>
      <c r="B1387" s="13" t="s">
        <v>569</v>
      </c>
      <c r="C1387" s="11" t="s">
        <v>570</v>
      </c>
      <c r="D1387" s="13" t="s">
        <v>7338</v>
      </c>
      <c r="E1387" s="13" t="s">
        <v>7339</v>
      </c>
      <c r="F1387" s="13" t="s">
        <v>7340</v>
      </c>
      <c r="G1387" s="13" t="s">
        <v>7341</v>
      </c>
      <c r="H1387" s="13" t="s">
        <v>7342</v>
      </c>
    </row>
    <row r="1388" customFormat="false" ht="15" hidden="false" customHeight="true" outlineLevel="0" collapsed="false">
      <c r="A1388" s="13" t="s">
        <v>195</v>
      </c>
      <c r="B1388" s="13" t="s">
        <v>576</v>
      </c>
      <c r="C1388" s="11" t="s">
        <v>577</v>
      </c>
      <c r="D1388" s="13" t="s">
        <v>7343</v>
      </c>
      <c r="E1388" s="13" t="s">
        <v>7344</v>
      </c>
      <c r="F1388" s="13" t="s">
        <v>7345</v>
      </c>
      <c r="G1388" s="13" t="s">
        <v>7346</v>
      </c>
      <c r="H1388" s="13" t="s">
        <v>7347</v>
      </c>
    </row>
    <row r="1389" customFormat="false" ht="15" hidden="false" customHeight="true" outlineLevel="0" collapsed="false">
      <c r="A1389" s="13" t="s">
        <v>195</v>
      </c>
      <c r="B1389" s="13" t="s">
        <v>583</v>
      </c>
      <c r="C1389" s="11" t="s">
        <v>584</v>
      </c>
      <c r="D1389" s="13" t="s">
        <v>7348</v>
      </c>
      <c r="E1389" s="13" t="s">
        <v>7349</v>
      </c>
      <c r="F1389" s="13" t="s">
        <v>7350</v>
      </c>
      <c r="G1389" s="13" t="s">
        <v>7351</v>
      </c>
      <c r="H1389" s="13" t="s">
        <v>369</v>
      </c>
    </row>
    <row r="1390" customFormat="false" ht="15" hidden="false" customHeight="true" outlineLevel="0" collapsed="false">
      <c r="A1390" s="13" t="s">
        <v>195</v>
      </c>
      <c r="B1390" s="13" t="s">
        <v>590</v>
      </c>
      <c r="C1390" s="11" t="s">
        <v>591</v>
      </c>
      <c r="D1390" s="13" t="s">
        <v>7352</v>
      </c>
      <c r="E1390" s="13" t="s">
        <v>7353</v>
      </c>
      <c r="F1390" s="13" t="s">
        <v>7354</v>
      </c>
      <c r="G1390" s="13" t="s">
        <v>7355</v>
      </c>
      <c r="H1390" s="13" t="s">
        <v>7356</v>
      </c>
    </row>
    <row r="1391" customFormat="false" ht="15" hidden="false" customHeight="true" outlineLevel="0" collapsed="false">
      <c r="A1391" s="13" t="s">
        <v>195</v>
      </c>
      <c r="B1391" s="13" t="s">
        <v>597</v>
      </c>
      <c r="C1391" s="11" t="s">
        <v>598</v>
      </c>
      <c r="D1391" s="13" t="s">
        <v>7357</v>
      </c>
      <c r="E1391" s="13" t="s">
        <v>7358</v>
      </c>
      <c r="F1391" s="13" t="s">
        <v>7359</v>
      </c>
      <c r="G1391" s="13" t="s">
        <v>7360</v>
      </c>
      <c r="H1391" s="13" t="s">
        <v>7361</v>
      </c>
    </row>
    <row r="1392" customFormat="false" ht="15" hidden="false" customHeight="true" outlineLevel="0" collapsed="false">
      <c r="A1392" s="13" t="s">
        <v>195</v>
      </c>
      <c r="B1392" s="13" t="s">
        <v>604</v>
      </c>
      <c r="C1392" s="11" t="s">
        <v>605</v>
      </c>
      <c r="D1392" s="13" t="s">
        <v>7362</v>
      </c>
      <c r="E1392" s="13" t="s">
        <v>7363</v>
      </c>
      <c r="F1392" s="13" t="s">
        <v>7364</v>
      </c>
      <c r="G1392" s="13" t="s">
        <v>7365</v>
      </c>
      <c r="H1392" s="13" t="s">
        <v>7366</v>
      </c>
    </row>
    <row r="1393" customFormat="false" ht="15" hidden="false" customHeight="true" outlineLevel="0" collapsed="false">
      <c r="A1393" s="13" t="s">
        <v>195</v>
      </c>
      <c r="B1393" s="13" t="s">
        <v>611</v>
      </c>
      <c r="C1393" s="11" t="s">
        <v>612</v>
      </c>
      <c r="D1393" s="13" t="s">
        <v>7367</v>
      </c>
      <c r="E1393" s="13" t="s">
        <v>7368</v>
      </c>
      <c r="F1393" s="13" t="s">
        <v>7369</v>
      </c>
      <c r="G1393" s="13" t="s">
        <v>7370</v>
      </c>
      <c r="H1393" s="13" t="s">
        <v>7371</v>
      </c>
    </row>
    <row r="1394" customFormat="false" ht="15" hidden="false" customHeight="true" outlineLevel="0" collapsed="false">
      <c r="A1394" s="13" t="s">
        <v>195</v>
      </c>
      <c r="B1394" s="13" t="s">
        <v>618</v>
      </c>
      <c r="C1394" s="11" t="s">
        <v>619</v>
      </c>
      <c r="D1394" s="13" t="s">
        <v>7372</v>
      </c>
      <c r="E1394" s="13" t="s">
        <v>7373</v>
      </c>
      <c r="F1394" s="13" t="s">
        <v>7374</v>
      </c>
      <c r="G1394" s="13" t="s">
        <v>7375</v>
      </c>
      <c r="H1394" s="13" t="s">
        <v>7376</v>
      </c>
    </row>
    <row r="1395" customFormat="false" ht="15" hidden="false" customHeight="true" outlineLevel="0" collapsed="false">
      <c r="A1395" s="13" t="s">
        <v>195</v>
      </c>
      <c r="B1395" s="13" t="s">
        <v>625</v>
      </c>
      <c r="C1395" s="11" t="s">
        <v>626</v>
      </c>
      <c r="D1395" s="13" t="s">
        <v>7377</v>
      </c>
      <c r="E1395" s="13" t="s">
        <v>7378</v>
      </c>
      <c r="F1395" s="13" t="s">
        <v>7379</v>
      </c>
      <c r="G1395" s="13" t="s">
        <v>7380</v>
      </c>
      <c r="H1395" s="13" t="s">
        <v>7381</v>
      </c>
    </row>
    <row r="1396" customFormat="false" ht="15" hidden="false" customHeight="true" outlineLevel="0" collapsed="false">
      <c r="A1396" s="13" t="s">
        <v>195</v>
      </c>
      <c r="B1396" s="13" t="s">
        <v>632</v>
      </c>
      <c r="C1396" s="11" t="s">
        <v>633</v>
      </c>
      <c r="D1396" s="13" t="s">
        <v>7382</v>
      </c>
      <c r="E1396" s="13" t="s">
        <v>7383</v>
      </c>
      <c r="F1396" s="13" t="s">
        <v>7384</v>
      </c>
      <c r="G1396" s="13" t="s">
        <v>7385</v>
      </c>
      <c r="H1396" s="13" t="s">
        <v>7386</v>
      </c>
    </row>
    <row r="1397" customFormat="false" ht="15" hidden="false" customHeight="true" outlineLevel="0" collapsed="false">
      <c r="A1397" s="13" t="s">
        <v>195</v>
      </c>
      <c r="B1397" s="13" t="s">
        <v>639</v>
      </c>
      <c r="C1397" s="11" t="s">
        <v>640</v>
      </c>
      <c r="D1397" s="13" t="s">
        <v>7387</v>
      </c>
      <c r="E1397" s="13" t="s">
        <v>7388</v>
      </c>
      <c r="F1397" s="13" t="s">
        <v>7389</v>
      </c>
      <c r="G1397" s="13" t="s">
        <v>3189</v>
      </c>
      <c r="H1397" s="13" t="s">
        <v>7390</v>
      </c>
    </row>
    <row r="1398" customFormat="false" ht="15" hidden="false" customHeight="true" outlineLevel="0" collapsed="false">
      <c r="A1398" s="13" t="s">
        <v>195</v>
      </c>
      <c r="B1398" s="13" t="s">
        <v>646</v>
      </c>
      <c r="C1398" s="11" t="s">
        <v>647</v>
      </c>
      <c r="D1398" s="13" t="s">
        <v>7391</v>
      </c>
      <c r="E1398" s="13" t="s">
        <v>7392</v>
      </c>
      <c r="F1398" s="13" t="s">
        <v>7393</v>
      </c>
      <c r="G1398" s="13" t="s">
        <v>7394</v>
      </c>
      <c r="H1398" s="13" t="s">
        <v>7395</v>
      </c>
    </row>
    <row r="1399" customFormat="false" ht="15" hidden="false" customHeight="true" outlineLevel="0" collapsed="false">
      <c r="A1399" s="13" t="s">
        <v>195</v>
      </c>
      <c r="B1399" s="13" t="s">
        <v>653</v>
      </c>
      <c r="C1399" s="11" t="s">
        <v>654</v>
      </c>
      <c r="D1399" s="13" t="s">
        <v>1976</v>
      </c>
      <c r="E1399" s="13" t="s">
        <v>656</v>
      </c>
      <c r="F1399" s="13" t="s">
        <v>7396</v>
      </c>
      <c r="G1399" s="13" t="s">
        <v>7397</v>
      </c>
      <c r="H1399" s="13" t="s">
        <v>7398</v>
      </c>
    </row>
    <row r="1400" customFormat="false" ht="15" hidden="false" customHeight="true" outlineLevel="0" collapsed="false">
      <c r="A1400" s="13" t="s">
        <v>195</v>
      </c>
      <c r="B1400" s="13" t="s">
        <v>660</v>
      </c>
      <c r="C1400" s="11" t="s">
        <v>661</v>
      </c>
      <c r="D1400" s="13" t="s">
        <v>4831</v>
      </c>
      <c r="E1400" s="13" t="s">
        <v>7399</v>
      </c>
      <c r="F1400" s="13" t="s">
        <v>7400</v>
      </c>
      <c r="G1400" s="13" t="s">
        <v>7401</v>
      </c>
      <c r="H1400" s="13" t="s">
        <v>7402</v>
      </c>
    </row>
    <row r="1401" customFormat="false" ht="15" hidden="false" customHeight="true" outlineLevel="0" collapsed="false">
      <c r="A1401" s="13" t="s">
        <v>195</v>
      </c>
      <c r="B1401" s="13" t="s">
        <v>667</v>
      </c>
      <c r="C1401" s="11" t="s">
        <v>668</v>
      </c>
      <c r="D1401" s="13" t="s">
        <v>7403</v>
      </c>
      <c r="E1401" s="13" t="s">
        <v>7404</v>
      </c>
      <c r="F1401" s="13" t="s">
        <v>7405</v>
      </c>
      <c r="G1401" s="13" t="s">
        <v>7406</v>
      </c>
      <c r="H1401" s="13" t="s">
        <v>7407</v>
      </c>
    </row>
    <row r="1402" customFormat="false" ht="15" hidden="false" customHeight="true" outlineLevel="0" collapsed="false">
      <c r="A1402" s="13" t="s">
        <v>195</v>
      </c>
      <c r="B1402" s="13" t="s">
        <v>674</v>
      </c>
      <c r="C1402" s="11" t="s">
        <v>675</v>
      </c>
      <c r="D1402" s="13" t="s">
        <v>7408</v>
      </c>
      <c r="E1402" s="13" t="s">
        <v>7409</v>
      </c>
      <c r="F1402" s="13" t="s">
        <v>7410</v>
      </c>
      <c r="G1402" s="13" t="s">
        <v>7411</v>
      </c>
      <c r="H1402" s="13" t="s">
        <v>7412</v>
      </c>
    </row>
    <row r="1403" customFormat="false" ht="15" hidden="false" customHeight="true" outlineLevel="0" collapsed="false">
      <c r="A1403" s="13" t="s">
        <v>195</v>
      </c>
      <c r="B1403" s="13" t="s">
        <v>681</v>
      </c>
      <c r="C1403" s="11" t="s">
        <v>682</v>
      </c>
      <c r="D1403" s="13" t="s">
        <v>7413</v>
      </c>
      <c r="E1403" s="13" t="s">
        <v>7414</v>
      </c>
      <c r="F1403" s="13" t="s">
        <v>7415</v>
      </c>
      <c r="G1403" s="13" t="s">
        <v>7416</v>
      </c>
      <c r="H1403" s="13" t="s">
        <v>3427</v>
      </c>
    </row>
    <row r="1404" customFormat="false" ht="15" hidden="false" customHeight="true" outlineLevel="0" collapsed="false">
      <c r="A1404" s="13" t="s">
        <v>195</v>
      </c>
      <c r="B1404" s="13" t="s">
        <v>688</v>
      </c>
      <c r="C1404" s="11" t="s">
        <v>689</v>
      </c>
      <c r="D1404" s="13" t="s">
        <v>6093</v>
      </c>
      <c r="E1404" s="13" t="s">
        <v>7417</v>
      </c>
      <c r="F1404" s="13" t="s">
        <v>7418</v>
      </c>
      <c r="G1404" s="13" t="s">
        <v>7419</v>
      </c>
      <c r="H1404" s="13" t="s">
        <v>7420</v>
      </c>
    </row>
    <row r="1405" customFormat="false" ht="15" hidden="false" customHeight="true" outlineLevel="0" collapsed="false">
      <c r="A1405" s="13" t="s">
        <v>195</v>
      </c>
      <c r="B1405" s="13" t="s">
        <v>695</v>
      </c>
      <c r="C1405" s="11" t="s">
        <v>696</v>
      </c>
      <c r="D1405" s="13" t="s">
        <v>7421</v>
      </c>
      <c r="E1405" s="13" t="s">
        <v>7422</v>
      </c>
      <c r="F1405" s="13" t="s">
        <v>7423</v>
      </c>
      <c r="G1405" s="13" t="s">
        <v>7424</v>
      </c>
      <c r="H1405" s="13" t="s">
        <v>7425</v>
      </c>
    </row>
    <row r="1406" customFormat="false" ht="15" hidden="false" customHeight="true" outlineLevel="0" collapsed="false">
      <c r="A1406" s="13" t="s">
        <v>195</v>
      </c>
      <c r="B1406" s="13" t="s">
        <v>702</v>
      </c>
      <c r="C1406" s="11" t="s">
        <v>703</v>
      </c>
      <c r="D1406" s="13" t="s">
        <v>7426</v>
      </c>
      <c r="E1406" s="13" t="s">
        <v>7427</v>
      </c>
      <c r="F1406" s="13" t="s">
        <v>7428</v>
      </c>
      <c r="G1406" s="13" t="s">
        <v>7429</v>
      </c>
      <c r="H1406" s="13" t="s">
        <v>7430</v>
      </c>
    </row>
    <row r="1407" customFormat="false" ht="15" hidden="false" customHeight="true" outlineLevel="0" collapsed="false">
      <c r="A1407" s="13" t="s">
        <v>195</v>
      </c>
      <c r="B1407" s="13" t="s">
        <v>709</v>
      </c>
      <c r="C1407" s="11" t="s">
        <v>710</v>
      </c>
      <c r="D1407" s="13" t="s">
        <v>5074</v>
      </c>
      <c r="E1407" s="13" t="s">
        <v>6963</v>
      </c>
      <c r="F1407" s="13" t="s">
        <v>7431</v>
      </c>
      <c r="G1407" s="13" t="s">
        <v>7432</v>
      </c>
      <c r="H1407" s="13" t="s">
        <v>7433</v>
      </c>
    </row>
    <row r="1408" customFormat="false" ht="15" hidden="false" customHeight="true" outlineLevel="0" collapsed="false">
      <c r="A1408" s="13" t="s">
        <v>195</v>
      </c>
      <c r="B1408" s="13" t="s">
        <v>716</v>
      </c>
      <c r="C1408" s="11" t="s">
        <v>717</v>
      </c>
      <c r="D1408" s="13" t="s">
        <v>7434</v>
      </c>
      <c r="E1408" s="13" t="s">
        <v>7435</v>
      </c>
      <c r="F1408" s="13" t="s">
        <v>7436</v>
      </c>
      <c r="G1408" s="13" t="s">
        <v>7437</v>
      </c>
      <c r="H1408" s="13" t="s">
        <v>7438</v>
      </c>
    </row>
    <row r="1409" customFormat="false" ht="15" hidden="false" customHeight="true" outlineLevel="0" collapsed="false">
      <c r="A1409" s="13" t="s">
        <v>195</v>
      </c>
      <c r="B1409" s="13" t="s">
        <v>723</v>
      </c>
      <c r="C1409" s="11" t="s">
        <v>724</v>
      </c>
      <c r="D1409" s="13" t="s">
        <v>7439</v>
      </c>
      <c r="E1409" s="13" t="s">
        <v>7440</v>
      </c>
      <c r="F1409" s="13" t="s">
        <v>7441</v>
      </c>
      <c r="G1409" s="13" t="s">
        <v>7442</v>
      </c>
      <c r="H1409" s="13" t="s">
        <v>7443</v>
      </c>
    </row>
    <row r="1410" customFormat="false" ht="15" hidden="false" customHeight="true" outlineLevel="0" collapsed="false">
      <c r="A1410" s="13" t="s">
        <v>195</v>
      </c>
      <c r="B1410" s="13" t="s">
        <v>730</v>
      </c>
      <c r="C1410" s="11" t="s">
        <v>731</v>
      </c>
      <c r="D1410" s="13" t="s">
        <v>7444</v>
      </c>
      <c r="E1410" s="13" t="s">
        <v>7445</v>
      </c>
      <c r="F1410" s="13" t="s">
        <v>7446</v>
      </c>
      <c r="G1410" s="13" t="s">
        <v>7447</v>
      </c>
      <c r="H1410" s="13" t="s">
        <v>7448</v>
      </c>
    </row>
    <row r="1411" customFormat="false" ht="15" hidden="false" customHeight="true" outlineLevel="0" collapsed="false">
      <c r="A1411" s="13" t="s">
        <v>195</v>
      </c>
      <c r="B1411" s="13" t="s">
        <v>737</v>
      </c>
      <c r="C1411" s="11" t="s">
        <v>738</v>
      </c>
      <c r="D1411" s="13" t="s">
        <v>7449</v>
      </c>
      <c r="E1411" s="13" t="s">
        <v>7450</v>
      </c>
      <c r="F1411" s="13" t="s">
        <v>7451</v>
      </c>
      <c r="G1411" s="13" t="s">
        <v>7452</v>
      </c>
      <c r="H1411" s="13" t="s">
        <v>7453</v>
      </c>
    </row>
    <row r="1412" customFormat="false" ht="15" hidden="false" customHeight="true" outlineLevel="0" collapsed="false">
      <c r="A1412" s="13" t="s">
        <v>195</v>
      </c>
      <c r="B1412" s="13" t="s">
        <v>744</v>
      </c>
      <c r="C1412" s="11" t="s">
        <v>745</v>
      </c>
      <c r="D1412" s="13" t="s">
        <v>7454</v>
      </c>
      <c r="E1412" s="13" t="s">
        <v>7455</v>
      </c>
      <c r="F1412" s="13" t="s">
        <v>7456</v>
      </c>
      <c r="G1412" s="13" t="s">
        <v>7457</v>
      </c>
      <c r="H1412" s="13" t="s">
        <v>7458</v>
      </c>
    </row>
    <row r="1413" customFormat="false" ht="15" hidden="false" customHeight="true" outlineLevel="0" collapsed="false">
      <c r="A1413" s="13" t="s">
        <v>195</v>
      </c>
      <c r="B1413" s="13" t="s">
        <v>751</v>
      </c>
      <c r="C1413" s="11" t="s">
        <v>752</v>
      </c>
      <c r="D1413" s="13" t="s">
        <v>7459</v>
      </c>
      <c r="E1413" s="13" t="s">
        <v>7460</v>
      </c>
      <c r="F1413" s="13" t="s">
        <v>7461</v>
      </c>
      <c r="G1413" s="13" t="s">
        <v>7462</v>
      </c>
      <c r="H1413" s="13" t="s">
        <v>3682</v>
      </c>
    </row>
    <row r="1414" customFormat="false" ht="15" hidden="false" customHeight="true" outlineLevel="0" collapsed="false">
      <c r="A1414" s="13" t="s">
        <v>195</v>
      </c>
      <c r="B1414" s="13" t="s">
        <v>758</v>
      </c>
      <c r="C1414" s="11" t="s">
        <v>759</v>
      </c>
      <c r="D1414" s="13" t="s">
        <v>7463</v>
      </c>
      <c r="E1414" s="13" t="s">
        <v>7464</v>
      </c>
      <c r="F1414" s="13" t="s">
        <v>7465</v>
      </c>
      <c r="G1414" s="13" t="s">
        <v>6056</v>
      </c>
      <c r="H1414" s="13" t="s">
        <v>7466</v>
      </c>
    </row>
    <row r="1415" customFormat="false" ht="15" hidden="false" customHeight="true" outlineLevel="0" collapsed="false">
      <c r="A1415" s="13" t="s">
        <v>195</v>
      </c>
      <c r="B1415" s="13" t="s">
        <v>765</v>
      </c>
      <c r="C1415" s="11" t="s">
        <v>766</v>
      </c>
      <c r="D1415" s="13" t="s">
        <v>7467</v>
      </c>
      <c r="E1415" s="13" t="s">
        <v>7468</v>
      </c>
      <c r="F1415" s="13" t="s">
        <v>7469</v>
      </c>
      <c r="G1415" s="13" t="s">
        <v>7470</v>
      </c>
      <c r="H1415" s="13" t="s">
        <v>7471</v>
      </c>
    </row>
    <row r="1416" customFormat="false" ht="15" hidden="false" customHeight="true" outlineLevel="0" collapsed="false">
      <c r="A1416" s="13" t="s">
        <v>195</v>
      </c>
      <c r="B1416" s="13" t="s">
        <v>772</v>
      </c>
      <c r="C1416" s="11" t="s">
        <v>773</v>
      </c>
      <c r="D1416" s="13" t="s">
        <v>7472</v>
      </c>
      <c r="E1416" s="13" t="s">
        <v>7473</v>
      </c>
      <c r="F1416" s="13" t="s">
        <v>7474</v>
      </c>
      <c r="G1416" s="13" t="s">
        <v>7475</v>
      </c>
      <c r="H1416" s="13" t="s">
        <v>7476</v>
      </c>
    </row>
    <row r="1417" customFormat="false" ht="15" hidden="false" customHeight="true" outlineLevel="0" collapsed="false">
      <c r="A1417" s="13" t="s">
        <v>195</v>
      </c>
      <c r="B1417" s="13" t="s">
        <v>779</v>
      </c>
      <c r="C1417" s="11" t="s">
        <v>780</v>
      </c>
      <c r="D1417" s="13" t="s">
        <v>7477</v>
      </c>
      <c r="E1417" s="13" t="s">
        <v>7478</v>
      </c>
      <c r="F1417" s="13" t="s">
        <v>7479</v>
      </c>
      <c r="G1417" s="13" t="s">
        <v>7480</v>
      </c>
      <c r="H1417" s="13" t="s">
        <v>7481</v>
      </c>
    </row>
    <row r="1418" customFormat="false" ht="15" hidden="false" customHeight="true" outlineLevel="0" collapsed="false">
      <c r="A1418" s="13" t="s">
        <v>195</v>
      </c>
      <c r="B1418" s="13" t="s">
        <v>786</v>
      </c>
      <c r="C1418" s="11" t="s">
        <v>787</v>
      </c>
      <c r="D1418" s="13" t="s">
        <v>7482</v>
      </c>
      <c r="E1418" s="13" t="s">
        <v>7483</v>
      </c>
      <c r="F1418" s="13" t="s">
        <v>7484</v>
      </c>
      <c r="G1418" s="13" t="s">
        <v>7485</v>
      </c>
      <c r="H1418" s="13" t="s">
        <v>7486</v>
      </c>
    </row>
    <row r="1419" customFormat="false" ht="15" hidden="false" customHeight="true" outlineLevel="0" collapsed="false">
      <c r="A1419" s="13" t="s">
        <v>195</v>
      </c>
      <c r="B1419" s="13" t="s">
        <v>793</v>
      </c>
      <c r="C1419" s="11" t="s">
        <v>794</v>
      </c>
      <c r="D1419" s="13" t="s">
        <v>7487</v>
      </c>
      <c r="E1419" s="13" t="s">
        <v>7488</v>
      </c>
      <c r="F1419" s="13" t="s">
        <v>7489</v>
      </c>
      <c r="G1419" s="13" t="s">
        <v>7490</v>
      </c>
      <c r="H1419" s="13" t="s">
        <v>7491</v>
      </c>
    </row>
    <row r="1420" customFormat="false" ht="15" hidden="false" customHeight="true" outlineLevel="0" collapsed="false">
      <c r="A1420" s="13" t="s">
        <v>195</v>
      </c>
      <c r="B1420" s="13" t="s">
        <v>800</v>
      </c>
      <c r="C1420" s="11" t="s">
        <v>801</v>
      </c>
      <c r="D1420" s="13" t="s">
        <v>7492</v>
      </c>
      <c r="E1420" s="13" t="s">
        <v>7493</v>
      </c>
      <c r="F1420" s="13" t="s">
        <v>7494</v>
      </c>
      <c r="G1420" s="13" t="s">
        <v>7495</v>
      </c>
      <c r="H1420" s="13" t="s">
        <v>7496</v>
      </c>
    </row>
    <row r="1421" customFormat="false" ht="15" hidden="false" customHeight="true" outlineLevel="0" collapsed="false">
      <c r="A1421" s="13" t="s">
        <v>195</v>
      </c>
      <c r="B1421" s="13" t="s">
        <v>806</v>
      </c>
      <c r="C1421" s="11" t="s">
        <v>807</v>
      </c>
      <c r="D1421" s="13" t="s">
        <v>7497</v>
      </c>
      <c r="E1421" s="13" t="s">
        <v>7498</v>
      </c>
      <c r="F1421" s="13" t="s">
        <v>7499</v>
      </c>
      <c r="G1421" s="13" t="s">
        <v>7500</v>
      </c>
      <c r="H1421" s="13" t="s">
        <v>7501</v>
      </c>
    </row>
    <row r="1422" customFormat="false" ht="15" hidden="false" customHeight="true" outlineLevel="0" collapsed="false">
      <c r="A1422" s="13" t="s">
        <v>195</v>
      </c>
      <c r="B1422" s="13" t="s">
        <v>813</v>
      </c>
      <c r="C1422" s="11" t="s">
        <v>814</v>
      </c>
      <c r="D1422" s="13" t="s">
        <v>7502</v>
      </c>
      <c r="E1422" s="13" t="s">
        <v>7503</v>
      </c>
      <c r="F1422" s="13" t="s">
        <v>7504</v>
      </c>
      <c r="G1422" s="13" t="s">
        <v>7505</v>
      </c>
      <c r="H1422" s="13" t="s">
        <v>7506</v>
      </c>
    </row>
    <row r="1423" customFormat="false" ht="15" hidden="false" customHeight="true" outlineLevel="0" collapsed="false">
      <c r="A1423" s="13" t="s">
        <v>195</v>
      </c>
      <c r="B1423" s="13" t="s">
        <v>820</v>
      </c>
      <c r="C1423" s="11" t="s">
        <v>821</v>
      </c>
      <c r="D1423" s="13" t="s">
        <v>7507</v>
      </c>
      <c r="E1423" s="13" t="s">
        <v>7508</v>
      </c>
      <c r="F1423" s="13" t="s">
        <v>7509</v>
      </c>
      <c r="G1423" s="13" t="s">
        <v>7510</v>
      </c>
      <c r="H1423" s="13" t="s">
        <v>7511</v>
      </c>
    </row>
    <row r="1424" customFormat="false" ht="15" hidden="false" customHeight="true" outlineLevel="0" collapsed="false">
      <c r="A1424" s="13" t="s">
        <v>195</v>
      </c>
      <c r="B1424" s="13" t="s">
        <v>827</v>
      </c>
      <c r="C1424" s="11" t="s">
        <v>828</v>
      </c>
      <c r="D1424" s="13" t="s">
        <v>7512</v>
      </c>
      <c r="E1424" s="13" t="s">
        <v>7513</v>
      </c>
      <c r="F1424" s="13" t="s">
        <v>7514</v>
      </c>
      <c r="G1424" s="13" t="s">
        <v>7515</v>
      </c>
      <c r="H1424" s="13" t="s">
        <v>7516</v>
      </c>
    </row>
    <row r="1425" customFormat="false" ht="15" hidden="false" customHeight="true" outlineLevel="0" collapsed="false">
      <c r="A1425" s="13" t="s">
        <v>195</v>
      </c>
      <c r="B1425" s="13" t="s">
        <v>834</v>
      </c>
      <c r="C1425" s="11" t="s">
        <v>835</v>
      </c>
      <c r="D1425" s="13" t="s">
        <v>7517</v>
      </c>
      <c r="E1425" s="13" t="s">
        <v>7518</v>
      </c>
      <c r="F1425" s="13" t="s">
        <v>7519</v>
      </c>
      <c r="G1425" s="13" t="s">
        <v>7520</v>
      </c>
      <c r="H1425" s="13" t="s">
        <v>7521</v>
      </c>
    </row>
    <row r="1426" customFormat="false" ht="15" hidden="false" customHeight="true" outlineLevel="0" collapsed="false">
      <c r="A1426" s="13" t="s">
        <v>195</v>
      </c>
      <c r="B1426" s="13" t="s">
        <v>841</v>
      </c>
      <c r="C1426" s="11" t="s">
        <v>842</v>
      </c>
      <c r="D1426" s="13" t="s">
        <v>7522</v>
      </c>
      <c r="E1426" s="13" t="s">
        <v>7523</v>
      </c>
      <c r="F1426" s="13" t="s">
        <v>7524</v>
      </c>
      <c r="G1426" s="13" t="s">
        <v>7525</v>
      </c>
      <c r="H1426" s="13" t="s">
        <v>7526</v>
      </c>
    </row>
    <row r="1427" customFormat="false" ht="15" hidden="false" customHeight="true" outlineLevel="0" collapsed="false">
      <c r="A1427" s="13" t="s">
        <v>195</v>
      </c>
      <c r="B1427" s="13" t="s">
        <v>848</v>
      </c>
      <c r="C1427" s="11" t="s">
        <v>849</v>
      </c>
      <c r="D1427" s="13" t="s">
        <v>7527</v>
      </c>
      <c r="E1427" s="13" t="s">
        <v>7528</v>
      </c>
      <c r="F1427" s="13" t="s">
        <v>7529</v>
      </c>
      <c r="G1427" s="13" t="s">
        <v>7530</v>
      </c>
      <c r="H1427" s="13" t="s">
        <v>7531</v>
      </c>
    </row>
    <row r="1428" customFormat="false" ht="15" hidden="false" customHeight="true" outlineLevel="0" collapsed="false">
      <c r="A1428" s="13" t="s">
        <v>195</v>
      </c>
      <c r="B1428" s="13" t="s">
        <v>855</v>
      </c>
      <c r="C1428" s="11" t="s">
        <v>856</v>
      </c>
      <c r="D1428" s="13" t="s">
        <v>7532</v>
      </c>
      <c r="E1428" s="13" t="s">
        <v>7533</v>
      </c>
      <c r="F1428" s="13" t="s">
        <v>7534</v>
      </c>
      <c r="G1428" s="13" t="s">
        <v>7535</v>
      </c>
      <c r="H1428" s="13" t="s">
        <v>7536</v>
      </c>
    </row>
    <row r="1429" customFormat="false" ht="15" hidden="false" customHeight="true" outlineLevel="0" collapsed="false">
      <c r="A1429" s="13" t="s">
        <v>195</v>
      </c>
      <c r="B1429" s="13" t="s">
        <v>862</v>
      </c>
      <c r="C1429" s="11" t="s">
        <v>863</v>
      </c>
      <c r="D1429" s="13" t="s">
        <v>7537</v>
      </c>
      <c r="E1429" s="13" t="s">
        <v>7538</v>
      </c>
      <c r="F1429" s="13" t="s">
        <v>7539</v>
      </c>
      <c r="G1429" s="13" t="s">
        <v>7540</v>
      </c>
      <c r="H1429" s="13" t="s">
        <v>7541</v>
      </c>
    </row>
    <row r="1430" customFormat="false" ht="15" hidden="false" customHeight="true" outlineLevel="0" collapsed="false">
      <c r="A1430" s="13" t="s">
        <v>195</v>
      </c>
      <c r="B1430" s="13" t="s">
        <v>869</v>
      </c>
      <c r="C1430" s="11" t="s">
        <v>870</v>
      </c>
      <c r="D1430" s="13" t="s">
        <v>7542</v>
      </c>
      <c r="E1430" s="13" t="s">
        <v>7543</v>
      </c>
      <c r="F1430" s="13" t="s">
        <v>7544</v>
      </c>
      <c r="G1430" s="13" t="s">
        <v>7545</v>
      </c>
      <c r="H1430" s="13" t="s">
        <v>7546</v>
      </c>
    </row>
    <row r="1431" customFormat="false" ht="15" hidden="false" customHeight="true" outlineLevel="0" collapsed="false">
      <c r="A1431" s="13" t="s">
        <v>195</v>
      </c>
      <c r="B1431" s="13" t="s">
        <v>876</v>
      </c>
      <c r="C1431" s="11" t="s">
        <v>877</v>
      </c>
      <c r="D1431" s="13" t="s">
        <v>7547</v>
      </c>
      <c r="E1431" s="13" t="s">
        <v>7548</v>
      </c>
      <c r="F1431" s="13" t="s">
        <v>7549</v>
      </c>
      <c r="G1431" s="13" t="s">
        <v>7550</v>
      </c>
      <c r="H1431" s="13" t="s">
        <v>7551</v>
      </c>
    </row>
    <row r="1432" customFormat="false" ht="15" hidden="false" customHeight="true" outlineLevel="0" collapsed="false">
      <c r="A1432" s="13" t="s">
        <v>195</v>
      </c>
      <c r="B1432" s="13" t="s">
        <v>883</v>
      </c>
      <c r="C1432" s="11" t="s">
        <v>884</v>
      </c>
      <c r="D1432" s="13" t="s">
        <v>7552</v>
      </c>
      <c r="E1432" s="13" t="s">
        <v>7553</v>
      </c>
      <c r="F1432" s="13" t="s">
        <v>7554</v>
      </c>
      <c r="G1432" s="13" t="s">
        <v>7555</v>
      </c>
      <c r="H1432" s="13" t="s">
        <v>7556</v>
      </c>
    </row>
    <row r="1433" customFormat="false" ht="15" hidden="false" customHeight="true" outlineLevel="0" collapsed="false">
      <c r="A1433" s="13" t="s">
        <v>195</v>
      </c>
      <c r="B1433" s="13" t="s">
        <v>890</v>
      </c>
      <c r="C1433" s="11" t="s">
        <v>891</v>
      </c>
      <c r="D1433" s="13" t="s">
        <v>7557</v>
      </c>
      <c r="E1433" s="13" t="s">
        <v>7558</v>
      </c>
      <c r="F1433" s="13" t="s">
        <v>7559</v>
      </c>
      <c r="G1433" s="13" t="s">
        <v>7560</v>
      </c>
      <c r="H1433" s="13" t="s">
        <v>7561</v>
      </c>
    </row>
    <row r="1434" customFormat="false" ht="15" hidden="false" customHeight="true" outlineLevel="0" collapsed="false">
      <c r="A1434" s="13" t="s">
        <v>195</v>
      </c>
      <c r="B1434" s="13" t="s">
        <v>897</v>
      </c>
      <c r="C1434" s="11" t="s">
        <v>898</v>
      </c>
      <c r="D1434" s="13" t="s">
        <v>7562</v>
      </c>
      <c r="E1434" s="13" t="s">
        <v>7563</v>
      </c>
      <c r="F1434" s="13" t="s">
        <v>7564</v>
      </c>
      <c r="G1434" s="13" t="s">
        <v>7565</v>
      </c>
      <c r="H1434" s="13" t="s">
        <v>7566</v>
      </c>
    </row>
    <row r="1435" customFormat="false" ht="15" hidden="false" customHeight="true" outlineLevel="0" collapsed="false">
      <c r="A1435" s="13" t="s">
        <v>195</v>
      </c>
      <c r="B1435" s="13" t="s">
        <v>904</v>
      </c>
      <c r="C1435" s="11" t="s">
        <v>905</v>
      </c>
      <c r="D1435" s="13" t="s">
        <v>7567</v>
      </c>
      <c r="E1435" s="13" t="s">
        <v>7568</v>
      </c>
      <c r="F1435" s="13" t="s">
        <v>7569</v>
      </c>
      <c r="G1435" s="13" t="s">
        <v>7570</v>
      </c>
      <c r="H1435" s="13" t="s">
        <v>7571</v>
      </c>
    </row>
    <row r="1436" customFormat="false" ht="15" hidden="false" customHeight="true" outlineLevel="0" collapsed="false">
      <c r="A1436" s="13" t="s">
        <v>195</v>
      </c>
      <c r="B1436" s="13" t="s">
        <v>911</v>
      </c>
      <c r="C1436" s="11" t="s">
        <v>912</v>
      </c>
      <c r="D1436" s="13" t="s">
        <v>7572</v>
      </c>
      <c r="E1436" s="13" t="s">
        <v>7573</v>
      </c>
      <c r="F1436" s="13" t="s">
        <v>7574</v>
      </c>
      <c r="G1436" s="13" t="s">
        <v>7575</v>
      </c>
      <c r="H1436" s="13" t="s">
        <v>7576</v>
      </c>
    </row>
    <row r="1437" customFormat="false" ht="15" hidden="false" customHeight="true" outlineLevel="0" collapsed="false">
      <c r="A1437" s="13" t="s">
        <v>195</v>
      </c>
      <c r="B1437" s="13" t="s">
        <v>918</v>
      </c>
      <c r="C1437" s="11" t="s">
        <v>919</v>
      </c>
      <c r="D1437" s="13" t="s">
        <v>7577</v>
      </c>
      <c r="E1437" s="13" t="s">
        <v>7578</v>
      </c>
      <c r="F1437" s="13" t="s">
        <v>7579</v>
      </c>
      <c r="G1437" s="13" t="s">
        <v>7580</v>
      </c>
      <c r="H1437" s="13" t="s">
        <v>7581</v>
      </c>
    </row>
    <row r="1438" customFormat="false" ht="15" hidden="false" customHeight="true" outlineLevel="0" collapsed="false">
      <c r="A1438" s="13" t="s">
        <v>195</v>
      </c>
      <c r="B1438" s="13" t="s">
        <v>925</v>
      </c>
      <c r="C1438" s="11" t="s">
        <v>926</v>
      </c>
      <c r="D1438" s="13" t="s">
        <v>7582</v>
      </c>
      <c r="E1438" s="13" t="s">
        <v>7583</v>
      </c>
      <c r="F1438" s="13" t="s">
        <v>7584</v>
      </c>
      <c r="G1438" s="13" t="s">
        <v>7585</v>
      </c>
      <c r="H1438" s="13" t="s">
        <v>7586</v>
      </c>
    </row>
    <row r="1439" customFormat="false" ht="15" hidden="false" customHeight="true" outlineLevel="0" collapsed="false">
      <c r="A1439" s="13" t="s">
        <v>195</v>
      </c>
      <c r="B1439" s="13" t="s">
        <v>932</v>
      </c>
      <c r="C1439" s="11" t="s">
        <v>933</v>
      </c>
      <c r="D1439" s="13" t="s">
        <v>7587</v>
      </c>
      <c r="E1439" s="13" t="s">
        <v>7588</v>
      </c>
      <c r="F1439" s="13" t="s">
        <v>7589</v>
      </c>
      <c r="G1439" s="13" t="s">
        <v>7590</v>
      </c>
      <c r="H1439" s="13" t="s">
        <v>2476</v>
      </c>
    </row>
    <row r="1440" customFormat="false" ht="15" hidden="false" customHeight="true" outlineLevel="0" collapsed="false">
      <c r="A1440" s="13" t="s">
        <v>195</v>
      </c>
      <c r="B1440" s="13" t="s">
        <v>939</v>
      </c>
      <c r="C1440" s="11" t="s">
        <v>940</v>
      </c>
      <c r="D1440" s="13" t="s">
        <v>7591</v>
      </c>
      <c r="E1440" s="13" t="s">
        <v>7592</v>
      </c>
      <c r="F1440" s="13" t="s">
        <v>7593</v>
      </c>
      <c r="G1440" s="13" t="s">
        <v>7594</v>
      </c>
      <c r="H1440" s="13" t="s">
        <v>7595</v>
      </c>
    </row>
    <row r="1441" customFormat="false" ht="15" hidden="false" customHeight="true" outlineLevel="0" collapsed="false">
      <c r="A1441" s="13" t="s">
        <v>195</v>
      </c>
      <c r="B1441" s="13" t="s">
        <v>946</v>
      </c>
      <c r="C1441" s="11" t="s">
        <v>947</v>
      </c>
      <c r="D1441" s="13" t="s">
        <v>7596</v>
      </c>
      <c r="E1441" s="13" t="s">
        <v>7597</v>
      </c>
      <c r="F1441" s="13" t="s">
        <v>7598</v>
      </c>
      <c r="G1441" s="13" t="s">
        <v>7599</v>
      </c>
      <c r="H1441" s="13" t="s">
        <v>7600</v>
      </c>
    </row>
    <row r="1442" customFormat="false" ht="15" hidden="false" customHeight="true" outlineLevel="0" collapsed="false">
      <c r="A1442" s="13" t="s">
        <v>195</v>
      </c>
      <c r="B1442" s="13" t="s">
        <v>953</v>
      </c>
      <c r="C1442" s="11" t="s">
        <v>954</v>
      </c>
      <c r="D1442" s="13" t="s">
        <v>7601</v>
      </c>
      <c r="E1442" s="13" t="s">
        <v>7602</v>
      </c>
      <c r="F1442" s="13" t="s">
        <v>7603</v>
      </c>
      <c r="G1442" s="13" t="s">
        <v>7604</v>
      </c>
      <c r="H1442" s="13" t="s">
        <v>7605</v>
      </c>
    </row>
    <row r="1443" customFormat="false" ht="15" hidden="false" customHeight="true" outlineLevel="0" collapsed="false">
      <c r="A1443" s="13" t="s">
        <v>195</v>
      </c>
      <c r="B1443" s="13" t="s">
        <v>960</v>
      </c>
      <c r="C1443" s="11" t="s">
        <v>961</v>
      </c>
      <c r="D1443" s="13" t="s">
        <v>7606</v>
      </c>
      <c r="E1443" s="13" t="s">
        <v>7607</v>
      </c>
      <c r="F1443" s="13" t="s">
        <v>7608</v>
      </c>
      <c r="G1443" s="13" t="s">
        <v>7609</v>
      </c>
      <c r="H1443" s="13" t="s">
        <v>7610</v>
      </c>
    </row>
    <row r="1444" customFormat="false" ht="15" hidden="false" customHeight="true" outlineLevel="0" collapsed="false">
      <c r="A1444" s="13" t="s">
        <v>195</v>
      </c>
      <c r="B1444" s="13" t="s">
        <v>967</v>
      </c>
      <c r="C1444" s="11" t="s">
        <v>968</v>
      </c>
      <c r="D1444" s="13" t="s">
        <v>5737</v>
      </c>
      <c r="E1444" s="13" t="s">
        <v>7611</v>
      </c>
      <c r="F1444" s="13" t="s">
        <v>7612</v>
      </c>
      <c r="G1444" s="13" t="s">
        <v>7613</v>
      </c>
      <c r="H1444" s="13" t="s">
        <v>7614</v>
      </c>
    </row>
    <row r="1445" customFormat="false" ht="15" hidden="false" customHeight="true" outlineLevel="0" collapsed="false">
      <c r="A1445" s="13" t="s">
        <v>195</v>
      </c>
      <c r="B1445" s="13" t="s">
        <v>974</v>
      </c>
      <c r="C1445" s="11" t="s">
        <v>975</v>
      </c>
      <c r="D1445" s="13" t="s">
        <v>7615</v>
      </c>
      <c r="E1445" s="13" t="s">
        <v>7616</v>
      </c>
      <c r="F1445" s="13" t="s">
        <v>7617</v>
      </c>
      <c r="G1445" s="13" t="s">
        <v>7618</v>
      </c>
      <c r="H1445" s="13" t="s">
        <v>7619</v>
      </c>
    </row>
    <row r="1446" customFormat="false" ht="15" hidden="false" customHeight="true" outlineLevel="0" collapsed="false">
      <c r="A1446" s="13" t="s">
        <v>195</v>
      </c>
      <c r="B1446" s="13" t="s">
        <v>981</v>
      </c>
      <c r="C1446" s="11" t="s">
        <v>982</v>
      </c>
      <c r="D1446" s="13" t="s">
        <v>7620</v>
      </c>
      <c r="E1446" s="13" t="s">
        <v>7621</v>
      </c>
      <c r="F1446" s="13" t="s">
        <v>7622</v>
      </c>
      <c r="G1446" s="13" t="s">
        <v>7623</v>
      </c>
      <c r="H1446" s="13" t="s">
        <v>7624</v>
      </c>
    </row>
    <row r="1447" customFormat="false" ht="15" hidden="false" customHeight="true" outlineLevel="0" collapsed="false">
      <c r="A1447" s="13" t="s">
        <v>195</v>
      </c>
      <c r="B1447" s="13" t="s">
        <v>988</v>
      </c>
      <c r="C1447" s="11" t="s">
        <v>989</v>
      </c>
      <c r="D1447" s="13" t="s">
        <v>7625</v>
      </c>
      <c r="E1447" s="13" t="s">
        <v>7626</v>
      </c>
      <c r="F1447" s="13" t="s">
        <v>7627</v>
      </c>
      <c r="G1447" s="13" t="s">
        <v>7628</v>
      </c>
      <c r="H1447" s="13" t="s">
        <v>7629</v>
      </c>
    </row>
    <row r="1448" customFormat="false" ht="15" hidden="false" customHeight="true" outlineLevel="0" collapsed="false">
      <c r="A1448" s="13" t="s">
        <v>195</v>
      </c>
      <c r="B1448" s="13" t="s">
        <v>995</v>
      </c>
      <c r="C1448" s="11" t="s">
        <v>996</v>
      </c>
      <c r="D1448" s="13" t="s">
        <v>7630</v>
      </c>
      <c r="E1448" s="13" t="s">
        <v>7631</v>
      </c>
      <c r="F1448" s="13" t="s">
        <v>7632</v>
      </c>
      <c r="G1448" s="13" t="s">
        <v>7633</v>
      </c>
      <c r="H1448" s="13" t="s">
        <v>7634</v>
      </c>
    </row>
    <row r="1449" customFormat="false" ht="15" hidden="false" customHeight="true" outlineLevel="0" collapsed="false">
      <c r="A1449" s="13" t="s">
        <v>195</v>
      </c>
      <c r="B1449" s="13" t="s">
        <v>1002</v>
      </c>
      <c r="C1449" s="11" t="s">
        <v>1003</v>
      </c>
      <c r="D1449" s="13" t="s">
        <v>7635</v>
      </c>
      <c r="E1449" s="13" t="s">
        <v>7636</v>
      </c>
      <c r="F1449" s="13" t="s">
        <v>7637</v>
      </c>
      <c r="G1449" s="13" t="s">
        <v>7638</v>
      </c>
      <c r="H1449" s="13" t="s">
        <v>7639</v>
      </c>
    </row>
    <row r="1450" customFormat="false" ht="15" hidden="false" customHeight="true" outlineLevel="0" collapsed="false">
      <c r="A1450" s="13" t="s">
        <v>195</v>
      </c>
      <c r="B1450" s="13" t="s">
        <v>1009</v>
      </c>
      <c r="C1450" s="11" t="s">
        <v>1010</v>
      </c>
      <c r="D1450" s="13" t="s">
        <v>7640</v>
      </c>
      <c r="E1450" s="13" t="s">
        <v>7641</v>
      </c>
      <c r="F1450" s="13" t="s">
        <v>7642</v>
      </c>
      <c r="G1450" s="13" t="s">
        <v>7643</v>
      </c>
      <c r="H1450" s="13" t="s">
        <v>7644</v>
      </c>
    </row>
    <row r="1451" customFormat="false" ht="15" hidden="false" customHeight="true" outlineLevel="0" collapsed="false">
      <c r="A1451" s="13" t="s">
        <v>195</v>
      </c>
      <c r="B1451" s="13" t="s">
        <v>1016</v>
      </c>
      <c r="C1451" s="11" t="s">
        <v>1017</v>
      </c>
      <c r="D1451" s="13" t="s">
        <v>1018</v>
      </c>
      <c r="E1451" s="13" t="s">
        <v>1019</v>
      </c>
      <c r="F1451" s="13" t="s">
        <v>1018</v>
      </c>
      <c r="G1451" s="13" t="s">
        <v>1019</v>
      </c>
      <c r="H1451" s="13" t="s">
        <v>1019</v>
      </c>
    </row>
    <row r="1452" customFormat="false" ht="15" hidden="false" customHeight="true" outlineLevel="0" collapsed="false">
      <c r="A1452" s="13" t="s">
        <v>203</v>
      </c>
      <c r="B1452" s="13" t="s">
        <v>345</v>
      </c>
      <c r="C1452" s="11" t="s">
        <v>346</v>
      </c>
      <c r="D1452" s="13" t="s">
        <v>7645</v>
      </c>
      <c r="E1452" s="13" t="s">
        <v>7646</v>
      </c>
      <c r="F1452" s="13" t="s">
        <v>7647</v>
      </c>
      <c r="G1452" s="13" t="s">
        <v>7648</v>
      </c>
      <c r="H1452" s="13" t="s">
        <v>7649</v>
      </c>
    </row>
    <row r="1453" customFormat="false" ht="15" hidden="false" customHeight="true" outlineLevel="0" collapsed="false">
      <c r="A1453" s="13" t="s">
        <v>203</v>
      </c>
      <c r="B1453" s="13" t="s">
        <v>352</v>
      </c>
      <c r="C1453" s="11" t="s">
        <v>353</v>
      </c>
      <c r="D1453" s="13" t="s">
        <v>7650</v>
      </c>
      <c r="E1453" s="13" t="s">
        <v>7651</v>
      </c>
      <c r="F1453" s="13" t="s">
        <v>7652</v>
      </c>
      <c r="G1453" s="13" t="s">
        <v>7653</v>
      </c>
      <c r="H1453" s="13" t="s">
        <v>7654</v>
      </c>
    </row>
    <row r="1454" customFormat="false" ht="15" hidden="false" customHeight="true" outlineLevel="0" collapsed="false">
      <c r="A1454" s="13" t="s">
        <v>203</v>
      </c>
      <c r="B1454" s="13" t="s">
        <v>359</v>
      </c>
      <c r="C1454" s="11" t="s">
        <v>360</v>
      </c>
      <c r="D1454" s="13" t="s">
        <v>7655</v>
      </c>
      <c r="E1454" s="13" t="s">
        <v>7656</v>
      </c>
      <c r="F1454" s="13" t="s">
        <v>7657</v>
      </c>
      <c r="G1454" s="13" t="s">
        <v>7658</v>
      </c>
      <c r="H1454" s="13" t="s">
        <v>7659</v>
      </c>
    </row>
    <row r="1455" customFormat="false" ht="15" hidden="false" customHeight="true" outlineLevel="0" collapsed="false">
      <c r="A1455" s="13" t="s">
        <v>203</v>
      </c>
      <c r="B1455" s="13" t="s">
        <v>366</v>
      </c>
      <c r="C1455" s="11" t="s">
        <v>367</v>
      </c>
      <c r="D1455" s="13" t="s">
        <v>7660</v>
      </c>
      <c r="E1455" s="13" t="s">
        <v>7661</v>
      </c>
      <c r="F1455" s="13" t="s">
        <v>7662</v>
      </c>
      <c r="G1455" s="13" t="s">
        <v>7663</v>
      </c>
      <c r="H1455" s="13" t="s">
        <v>7664</v>
      </c>
    </row>
    <row r="1456" customFormat="false" ht="15" hidden="false" customHeight="true" outlineLevel="0" collapsed="false">
      <c r="A1456" s="13" t="s">
        <v>203</v>
      </c>
      <c r="B1456" s="13" t="s">
        <v>373</v>
      </c>
      <c r="C1456" s="11" t="s">
        <v>374</v>
      </c>
      <c r="D1456" s="13" t="s">
        <v>7665</v>
      </c>
      <c r="E1456" s="13" t="s">
        <v>7666</v>
      </c>
      <c r="F1456" s="13" t="s">
        <v>7667</v>
      </c>
      <c r="G1456" s="13" t="s">
        <v>7668</v>
      </c>
      <c r="H1456" s="13" t="s">
        <v>7669</v>
      </c>
    </row>
    <row r="1457" customFormat="false" ht="15" hidden="false" customHeight="true" outlineLevel="0" collapsed="false">
      <c r="A1457" s="13" t="s">
        <v>203</v>
      </c>
      <c r="B1457" s="13" t="s">
        <v>380</v>
      </c>
      <c r="C1457" s="11" t="s">
        <v>381</v>
      </c>
      <c r="D1457" s="13" t="s">
        <v>7670</v>
      </c>
      <c r="E1457" s="13" t="s">
        <v>7671</v>
      </c>
      <c r="F1457" s="13" t="s">
        <v>7672</v>
      </c>
      <c r="G1457" s="13" t="s">
        <v>7673</v>
      </c>
      <c r="H1457" s="13" t="s">
        <v>7674</v>
      </c>
    </row>
    <row r="1458" customFormat="false" ht="15" hidden="false" customHeight="true" outlineLevel="0" collapsed="false">
      <c r="A1458" s="13" t="s">
        <v>203</v>
      </c>
      <c r="B1458" s="13" t="s">
        <v>387</v>
      </c>
      <c r="C1458" s="11" t="s">
        <v>388</v>
      </c>
      <c r="D1458" s="13" t="s">
        <v>7675</v>
      </c>
      <c r="E1458" s="13" t="s">
        <v>7676</v>
      </c>
      <c r="F1458" s="13" t="s">
        <v>7677</v>
      </c>
      <c r="G1458" s="13" t="s">
        <v>7678</v>
      </c>
      <c r="H1458" s="13" t="s">
        <v>7679</v>
      </c>
    </row>
    <row r="1459" customFormat="false" ht="15" hidden="false" customHeight="true" outlineLevel="0" collapsed="false">
      <c r="A1459" s="13" t="s">
        <v>203</v>
      </c>
      <c r="B1459" s="13" t="s">
        <v>394</v>
      </c>
      <c r="C1459" s="11" t="s">
        <v>395</v>
      </c>
      <c r="D1459" s="13" t="s">
        <v>7680</v>
      </c>
      <c r="E1459" s="13" t="s">
        <v>7681</v>
      </c>
      <c r="F1459" s="13" t="s">
        <v>7682</v>
      </c>
      <c r="G1459" s="13" t="s">
        <v>7683</v>
      </c>
      <c r="H1459" s="13" t="s">
        <v>7684</v>
      </c>
    </row>
    <row r="1460" customFormat="false" ht="15" hidden="false" customHeight="true" outlineLevel="0" collapsed="false">
      <c r="A1460" s="13" t="s">
        <v>203</v>
      </c>
      <c r="B1460" s="13" t="s">
        <v>401</v>
      </c>
      <c r="C1460" s="11" t="s">
        <v>402</v>
      </c>
      <c r="D1460" s="13" t="s">
        <v>7685</v>
      </c>
      <c r="E1460" s="13" t="s">
        <v>1750</v>
      </c>
      <c r="F1460" s="13" t="s">
        <v>7686</v>
      </c>
      <c r="G1460" s="13" t="s">
        <v>7687</v>
      </c>
      <c r="H1460" s="13" t="s">
        <v>7688</v>
      </c>
    </row>
    <row r="1461" customFormat="false" ht="15" hidden="false" customHeight="true" outlineLevel="0" collapsed="false">
      <c r="A1461" s="13" t="s">
        <v>203</v>
      </c>
      <c r="B1461" s="13" t="s">
        <v>408</v>
      </c>
      <c r="C1461" s="11" t="s">
        <v>409</v>
      </c>
      <c r="D1461" s="13" t="s">
        <v>7689</v>
      </c>
      <c r="E1461" s="13" t="s">
        <v>7690</v>
      </c>
      <c r="F1461" s="13" t="s">
        <v>7691</v>
      </c>
      <c r="G1461" s="13" t="s">
        <v>7692</v>
      </c>
      <c r="H1461" s="13" t="s">
        <v>7693</v>
      </c>
    </row>
    <row r="1462" customFormat="false" ht="15" hidden="false" customHeight="true" outlineLevel="0" collapsed="false">
      <c r="A1462" s="13" t="s">
        <v>203</v>
      </c>
      <c r="B1462" s="13" t="s">
        <v>415</v>
      </c>
      <c r="C1462" s="11" t="s">
        <v>416</v>
      </c>
      <c r="D1462" s="13" t="s">
        <v>7694</v>
      </c>
      <c r="E1462" s="13" t="s">
        <v>7695</v>
      </c>
      <c r="F1462" s="13" t="s">
        <v>7696</v>
      </c>
      <c r="G1462" s="13" t="s">
        <v>7697</v>
      </c>
      <c r="H1462" s="13" t="s">
        <v>7698</v>
      </c>
    </row>
    <row r="1463" customFormat="false" ht="15" hidden="false" customHeight="true" outlineLevel="0" collapsed="false">
      <c r="A1463" s="13" t="s">
        <v>203</v>
      </c>
      <c r="B1463" s="13" t="s">
        <v>422</v>
      </c>
      <c r="C1463" s="11" t="s">
        <v>423</v>
      </c>
      <c r="D1463" s="13" t="s">
        <v>7699</v>
      </c>
      <c r="E1463" s="13" t="s">
        <v>7700</v>
      </c>
      <c r="F1463" s="13" t="s">
        <v>7701</v>
      </c>
      <c r="G1463" s="13" t="s">
        <v>7702</v>
      </c>
      <c r="H1463" s="13" t="s">
        <v>7703</v>
      </c>
    </row>
    <row r="1464" customFormat="false" ht="15" hidden="false" customHeight="true" outlineLevel="0" collapsed="false">
      <c r="A1464" s="13" t="s">
        <v>203</v>
      </c>
      <c r="B1464" s="13" t="s">
        <v>429</v>
      </c>
      <c r="C1464" s="11" t="s">
        <v>430</v>
      </c>
      <c r="D1464" s="13" t="s">
        <v>7704</v>
      </c>
      <c r="E1464" s="13" t="s">
        <v>7705</v>
      </c>
      <c r="F1464" s="13" t="s">
        <v>7706</v>
      </c>
      <c r="G1464" s="13" t="s">
        <v>7707</v>
      </c>
      <c r="H1464" s="13" t="s">
        <v>7708</v>
      </c>
    </row>
    <row r="1465" customFormat="false" ht="15" hidden="false" customHeight="true" outlineLevel="0" collapsed="false">
      <c r="A1465" s="13" t="s">
        <v>203</v>
      </c>
      <c r="B1465" s="13" t="s">
        <v>436</v>
      </c>
      <c r="C1465" s="11" t="s">
        <v>437</v>
      </c>
      <c r="D1465" s="13" t="s">
        <v>2298</v>
      </c>
      <c r="E1465" s="13" t="s">
        <v>7709</v>
      </c>
      <c r="F1465" s="13" t="s">
        <v>7710</v>
      </c>
      <c r="G1465" s="13" t="s">
        <v>7711</v>
      </c>
      <c r="H1465" s="13" t="s">
        <v>7712</v>
      </c>
    </row>
    <row r="1466" customFormat="false" ht="15" hidden="false" customHeight="true" outlineLevel="0" collapsed="false">
      <c r="A1466" s="13" t="s">
        <v>203</v>
      </c>
      <c r="B1466" s="13" t="s">
        <v>443</v>
      </c>
      <c r="C1466" s="11" t="s">
        <v>444</v>
      </c>
      <c r="D1466" s="13" t="s">
        <v>7713</v>
      </c>
      <c r="E1466" s="13" t="s">
        <v>7714</v>
      </c>
      <c r="F1466" s="13" t="s">
        <v>7715</v>
      </c>
      <c r="G1466" s="13" t="s">
        <v>7716</v>
      </c>
      <c r="H1466" s="13" t="s">
        <v>7717</v>
      </c>
    </row>
    <row r="1467" customFormat="false" ht="15" hidden="false" customHeight="true" outlineLevel="0" collapsed="false">
      <c r="A1467" s="13" t="s">
        <v>203</v>
      </c>
      <c r="B1467" s="13" t="s">
        <v>450</v>
      </c>
      <c r="C1467" s="11" t="s">
        <v>451</v>
      </c>
      <c r="D1467" s="13" t="s">
        <v>7718</v>
      </c>
      <c r="E1467" s="13" t="s">
        <v>7719</v>
      </c>
      <c r="F1467" s="13" t="s">
        <v>7720</v>
      </c>
      <c r="G1467" s="13" t="s">
        <v>7721</v>
      </c>
      <c r="H1467" s="13" t="s">
        <v>7722</v>
      </c>
    </row>
    <row r="1468" customFormat="false" ht="15" hidden="false" customHeight="true" outlineLevel="0" collapsed="false">
      <c r="A1468" s="13" t="s">
        <v>203</v>
      </c>
      <c r="B1468" s="13" t="s">
        <v>457</v>
      </c>
      <c r="C1468" s="11" t="s">
        <v>458</v>
      </c>
      <c r="D1468" s="13" t="s">
        <v>7723</v>
      </c>
      <c r="E1468" s="13" t="s">
        <v>7724</v>
      </c>
      <c r="F1468" s="13" t="s">
        <v>7725</v>
      </c>
      <c r="G1468" s="13" t="s">
        <v>7726</v>
      </c>
      <c r="H1468" s="13" t="s">
        <v>7727</v>
      </c>
    </row>
    <row r="1469" customFormat="false" ht="15" hidden="false" customHeight="true" outlineLevel="0" collapsed="false">
      <c r="A1469" s="13" t="s">
        <v>203</v>
      </c>
      <c r="B1469" s="13" t="s">
        <v>464</v>
      </c>
      <c r="C1469" s="11" t="s">
        <v>465</v>
      </c>
      <c r="D1469" s="13" t="s">
        <v>7728</v>
      </c>
      <c r="E1469" s="13" t="s">
        <v>7729</v>
      </c>
      <c r="F1469" s="13" t="s">
        <v>7730</v>
      </c>
      <c r="G1469" s="13" t="s">
        <v>7731</v>
      </c>
      <c r="H1469" s="13" t="s">
        <v>7732</v>
      </c>
    </row>
    <row r="1470" customFormat="false" ht="15" hidden="false" customHeight="true" outlineLevel="0" collapsed="false">
      <c r="A1470" s="13" t="s">
        <v>203</v>
      </c>
      <c r="B1470" s="13" t="s">
        <v>471</v>
      </c>
      <c r="C1470" s="11" t="s">
        <v>472</v>
      </c>
      <c r="D1470" s="13" t="s">
        <v>7733</v>
      </c>
      <c r="E1470" s="13" t="s">
        <v>7734</v>
      </c>
      <c r="F1470" s="13" t="s">
        <v>7735</v>
      </c>
      <c r="G1470" s="13" t="s">
        <v>7736</v>
      </c>
      <c r="H1470" s="13" t="s">
        <v>7737</v>
      </c>
    </row>
    <row r="1471" customFormat="false" ht="15" hidden="false" customHeight="true" outlineLevel="0" collapsed="false">
      <c r="A1471" s="13" t="s">
        <v>203</v>
      </c>
      <c r="B1471" s="13" t="s">
        <v>478</v>
      </c>
      <c r="C1471" s="11" t="s">
        <v>479</v>
      </c>
      <c r="D1471" s="13" t="s">
        <v>7738</v>
      </c>
      <c r="E1471" s="13" t="s">
        <v>7739</v>
      </c>
      <c r="F1471" s="13" t="s">
        <v>7740</v>
      </c>
      <c r="G1471" s="13" t="s">
        <v>7741</v>
      </c>
      <c r="H1471" s="13" t="s">
        <v>7742</v>
      </c>
    </row>
    <row r="1472" customFormat="false" ht="15" hidden="false" customHeight="true" outlineLevel="0" collapsed="false">
      <c r="A1472" s="13" t="s">
        <v>203</v>
      </c>
      <c r="B1472" s="13" t="s">
        <v>485</v>
      </c>
      <c r="C1472" s="11" t="s">
        <v>486</v>
      </c>
      <c r="D1472" s="13" t="s">
        <v>7743</v>
      </c>
      <c r="E1472" s="13" t="s">
        <v>3272</v>
      </c>
      <c r="F1472" s="13" t="s">
        <v>7744</v>
      </c>
      <c r="G1472" s="13" t="s">
        <v>7745</v>
      </c>
      <c r="H1472" s="13" t="s">
        <v>7746</v>
      </c>
    </row>
    <row r="1473" customFormat="false" ht="15" hidden="false" customHeight="true" outlineLevel="0" collapsed="false">
      <c r="A1473" s="13" t="s">
        <v>203</v>
      </c>
      <c r="B1473" s="13" t="s">
        <v>492</v>
      </c>
      <c r="C1473" s="11" t="s">
        <v>493</v>
      </c>
      <c r="D1473" s="13" t="s">
        <v>7747</v>
      </c>
      <c r="E1473" s="13" t="s">
        <v>7748</v>
      </c>
      <c r="F1473" s="13" t="s">
        <v>7749</v>
      </c>
      <c r="G1473" s="13" t="s">
        <v>7750</v>
      </c>
      <c r="H1473" s="13" t="s">
        <v>7751</v>
      </c>
    </row>
    <row r="1474" customFormat="false" ht="15" hidden="false" customHeight="true" outlineLevel="0" collapsed="false">
      <c r="A1474" s="13" t="s">
        <v>203</v>
      </c>
      <c r="B1474" s="13" t="s">
        <v>499</v>
      </c>
      <c r="C1474" s="11" t="s">
        <v>500</v>
      </c>
      <c r="D1474" s="13" t="s">
        <v>7752</v>
      </c>
      <c r="E1474" s="13" t="s">
        <v>7753</v>
      </c>
      <c r="F1474" s="13" t="s">
        <v>7754</v>
      </c>
      <c r="G1474" s="13" t="s">
        <v>7755</v>
      </c>
      <c r="H1474" s="13" t="s">
        <v>7756</v>
      </c>
    </row>
    <row r="1475" customFormat="false" ht="15" hidden="false" customHeight="true" outlineLevel="0" collapsed="false">
      <c r="A1475" s="13" t="s">
        <v>203</v>
      </c>
      <c r="B1475" s="13" t="s">
        <v>506</v>
      </c>
      <c r="C1475" s="11" t="s">
        <v>507</v>
      </c>
      <c r="D1475" s="13" t="s">
        <v>7757</v>
      </c>
      <c r="E1475" s="13" t="s">
        <v>7758</v>
      </c>
      <c r="F1475" s="13" t="s">
        <v>7759</v>
      </c>
      <c r="G1475" s="13" t="s">
        <v>7760</v>
      </c>
      <c r="H1475" s="13" t="s">
        <v>7761</v>
      </c>
    </row>
    <row r="1476" customFormat="false" ht="15" hidden="false" customHeight="true" outlineLevel="0" collapsed="false">
      <c r="A1476" s="13" t="s">
        <v>203</v>
      </c>
      <c r="B1476" s="13" t="s">
        <v>513</v>
      </c>
      <c r="C1476" s="11" t="s">
        <v>514</v>
      </c>
      <c r="D1476" s="13" t="s">
        <v>7762</v>
      </c>
      <c r="E1476" s="13" t="s">
        <v>7763</v>
      </c>
      <c r="F1476" s="13" t="s">
        <v>7764</v>
      </c>
      <c r="G1476" s="13" t="s">
        <v>7765</v>
      </c>
      <c r="H1476" s="13" t="s">
        <v>7766</v>
      </c>
    </row>
    <row r="1477" customFormat="false" ht="15" hidden="false" customHeight="true" outlineLevel="0" collapsed="false">
      <c r="A1477" s="13" t="s">
        <v>203</v>
      </c>
      <c r="B1477" s="13" t="s">
        <v>520</v>
      </c>
      <c r="C1477" s="11" t="s">
        <v>521</v>
      </c>
      <c r="D1477" s="13" t="s">
        <v>7767</v>
      </c>
      <c r="E1477" s="13" t="s">
        <v>7768</v>
      </c>
      <c r="F1477" s="13" t="s">
        <v>7769</v>
      </c>
      <c r="G1477" s="13" t="s">
        <v>7770</v>
      </c>
      <c r="H1477" s="13" t="s">
        <v>7771</v>
      </c>
    </row>
    <row r="1478" customFormat="false" ht="15" hidden="false" customHeight="true" outlineLevel="0" collapsed="false">
      <c r="A1478" s="13" t="s">
        <v>203</v>
      </c>
      <c r="B1478" s="13" t="s">
        <v>527</v>
      </c>
      <c r="C1478" s="11" t="s">
        <v>528</v>
      </c>
      <c r="D1478" s="13" t="s">
        <v>7772</v>
      </c>
      <c r="E1478" s="13" t="s">
        <v>7773</v>
      </c>
      <c r="F1478" s="13" t="s">
        <v>7774</v>
      </c>
      <c r="G1478" s="13" t="s">
        <v>7775</v>
      </c>
      <c r="H1478" s="13" t="s">
        <v>7776</v>
      </c>
    </row>
    <row r="1479" customFormat="false" ht="15" hidden="false" customHeight="true" outlineLevel="0" collapsed="false">
      <c r="A1479" s="13" t="s">
        <v>203</v>
      </c>
      <c r="B1479" s="13" t="s">
        <v>534</v>
      </c>
      <c r="C1479" s="11" t="s">
        <v>535</v>
      </c>
      <c r="D1479" s="13" t="s">
        <v>7777</v>
      </c>
      <c r="E1479" s="13" t="s">
        <v>7778</v>
      </c>
      <c r="F1479" s="13" t="s">
        <v>7779</v>
      </c>
      <c r="G1479" s="13" t="s">
        <v>7780</v>
      </c>
      <c r="H1479" s="13" t="s">
        <v>7781</v>
      </c>
    </row>
    <row r="1480" customFormat="false" ht="15" hidden="false" customHeight="true" outlineLevel="0" collapsed="false">
      <c r="A1480" s="13" t="s">
        <v>203</v>
      </c>
      <c r="B1480" s="13" t="s">
        <v>541</v>
      </c>
      <c r="C1480" s="11" t="s">
        <v>542</v>
      </c>
      <c r="D1480" s="13" t="s">
        <v>7782</v>
      </c>
      <c r="E1480" s="13" t="s">
        <v>7783</v>
      </c>
      <c r="F1480" s="13" t="s">
        <v>7784</v>
      </c>
      <c r="G1480" s="13" t="s">
        <v>7785</v>
      </c>
      <c r="H1480" s="13" t="s">
        <v>7786</v>
      </c>
    </row>
    <row r="1481" customFormat="false" ht="15" hidden="false" customHeight="true" outlineLevel="0" collapsed="false">
      <c r="A1481" s="13" t="s">
        <v>203</v>
      </c>
      <c r="B1481" s="13" t="s">
        <v>548</v>
      </c>
      <c r="C1481" s="11" t="s">
        <v>549</v>
      </c>
      <c r="D1481" s="13" t="s">
        <v>7787</v>
      </c>
      <c r="E1481" s="13" t="s">
        <v>7788</v>
      </c>
      <c r="F1481" s="13" t="s">
        <v>7789</v>
      </c>
      <c r="G1481" s="13" t="s">
        <v>7790</v>
      </c>
      <c r="H1481" s="13" t="s">
        <v>7791</v>
      </c>
    </row>
    <row r="1482" customFormat="false" ht="15" hidden="false" customHeight="true" outlineLevel="0" collapsed="false">
      <c r="A1482" s="13" t="s">
        <v>203</v>
      </c>
      <c r="B1482" s="13" t="s">
        <v>555</v>
      </c>
      <c r="C1482" s="11" t="s">
        <v>556</v>
      </c>
      <c r="D1482" s="13" t="s">
        <v>7792</v>
      </c>
      <c r="E1482" s="13" t="s">
        <v>7793</v>
      </c>
      <c r="F1482" s="13" t="s">
        <v>7794</v>
      </c>
      <c r="G1482" s="13" t="s">
        <v>7795</v>
      </c>
      <c r="H1482" s="13" t="s">
        <v>7796</v>
      </c>
    </row>
    <row r="1483" customFormat="false" ht="15" hidden="false" customHeight="true" outlineLevel="0" collapsed="false">
      <c r="A1483" s="13" t="s">
        <v>203</v>
      </c>
      <c r="B1483" s="13" t="s">
        <v>562</v>
      </c>
      <c r="C1483" s="11" t="s">
        <v>563</v>
      </c>
      <c r="D1483" s="13" t="s">
        <v>7797</v>
      </c>
      <c r="E1483" s="13" t="s">
        <v>7798</v>
      </c>
      <c r="F1483" s="13" t="s">
        <v>7799</v>
      </c>
      <c r="G1483" s="13" t="s">
        <v>7800</v>
      </c>
      <c r="H1483" s="13" t="s">
        <v>7801</v>
      </c>
    </row>
    <row r="1484" customFormat="false" ht="15" hidden="false" customHeight="true" outlineLevel="0" collapsed="false">
      <c r="A1484" s="13" t="s">
        <v>203</v>
      </c>
      <c r="B1484" s="13" t="s">
        <v>569</v>
      </c>
      <c r="C1484" s="11" t="s">
        <v>570</v>
      </c>
      <c r="D1484" s="13" t="s">
        <v>7802</v>
      </c>
      <c r="E1484" s="13" t="s">
        <v>7803</v>
      </c>
      <c r="F1484" s="13" t="s">
        <v>7804</v>
      </c>
      <c r="G1484" s="13" t="s">
        <v>7805</v>
      </c>
      <c r="H1484" s="13" t="s">
        <v>7806</v>
      </c>
    </row>
    <row r="1485" customFormat="false" ht="15" hidden="false" customHeight="true" outlineLevel="0" collapsed="false">
      <c r="A1485" s="13" t="s">
        <v>203</v>
      </c>
      <c r="B1485" s="13" t="s">
        <v>576</v>
      </c>
      <c r="C1485" s="11" t="s">
        <v>577</v>
      </c>
      <c r="D1485" s="13" t="s">
        <v>7807</v>
      </c>
      <c r="E1485" s="13" t="s">
        <v>7808</v>
      </c>
      <c r="F1485" s="13" t="s">
        <v>7809</v>
      </c>
      <c r="G1485" s="13" t="s">
        <v>7810</v>
      </c>
      <c r="H1485" s="13" t="s">
        <v>7811</v>
      </c>
    </row>
    <row r="1486" customFormat="false" ht="15" hidden="false" customHeight="true" outlineLevel="0" collapsed="false">
      <c r="A1486" s="13" t="s">
        <v>203</v>
      </c>
      <c r="B1486" s="13" t="s">
        <v>583</v>
      </c>
      <c r="C1486" s="11" t="s">
        <v>584</v>
      </c>
      <c r="D1486" s="13" t="s">
        <v>7812</v>
      </c>
      <c r="E1486" s="13" t="s">
        <v>7813</v>
      </c>
      <c r="F1486" s="13" t="s">
        <v>7814</v>
      </c>
      <c r="G1486" s="13" t="s">
        <v>7815</v>
      </c>
      <c r="H1486" s="13" t="s">
        <v>7816</v>
      </c>
    </row>
    <row r="1487" customFormat="false" ht="15" hidden="false" customHeight="true" outlineLevel="0" collapsed="false">
      <c r="A1487" s="13" t="s">
        <v>203</v>
      </c>
      <c r="B1487" s="13" t="s">
        <v>590</v>
      </c>
      <c r="C1487" s="11" t="s">
        <v>591</v>
      </c>
      <c r="D1487" s="13" t="s">
        <v>7817</v>
      </c>
      <c r="E1487" s="13" t="s">
        <v>7818</v>
      </c>
      <c r="F1487" s="13" t="s">
        <v>7819</v>
      </c>
      <c r="G1487" s="13" t="s">
        <v>7820</v>
      </c>
      <c r="H1487" s="13" t="s">
        <v>7821</v>
      </c>
    </row>
    <row r="1488" customFormat="false" ht="15" hidden="false" customHeight="true" outlineLevel="0" collapsed="false">
      <c r="A1488" s="13" t="s">
        <v>203</v>
      </c>
      <c r="B1488" s="13" t="s">
        <v>597</v>
      </c>
      <c r="C1488" s="11" t="s">
        <v>598</v>
      </c>
      <c r="D1488" s="13" t="s">
        <v>7822</v>
      </c>
      <c r="E1488" s="13" t="s">
        <v>7823</v>
      </c>
      <c r="F1488" s="13" t="s">
        <v>7824</v>
      </c>
      <c r="G1488" s="13" t="s">
        <v>7825</v>
      </c>
      <c r="H1488" s="13" t="s">
        <v>7826</v>
      </c>
    </row>
    <row r="1489" customFormat="false" ht="15" hidden="false" customHeight="true" outlineLevel="0" collapsed="false">
      <c r="A1489" s="13" t="s">
        <v>203</v>
      </c>
      <c r="B1489" s="13" t="s">
        <v>604</v>
      </c>
      <c r="C1489" s="11" t="s">
        <v>605</v>
      </c>
      <c r="D1489" s="13" t="s">
        <v>7827</v>
      </c>
      <c r="E1489" s="13" t="s">
        <v>7828</v>
      </c>
      <c r="F1489" s="13" t="s">
        <v>7829</v>
      </c>
      <c r="G1489" s="13" t="s">
        <v>7830</v>
      </c>
      <c r="H1489" s="13" t="s">
        <v>7831</v>
      </c>
    </row>
    <row r="1490" customFormat="false" ht="15" hidden="false" customHeight="true" outlineLevel="0" collapsed="false">
      <c r="A1490" s="13" t="s">
        <v>203</v>
      </c>
      <c r="B1490" s="13" t="s">
        <v>611</v>
      </c>
      <c r="C1490" s="11" t="s">
        <v>612</v>
      </c>
      <c r="D1490" s="13" t="s">
        <v>7832</v>
      </c>
      <c r="E1490" s="13" t="s">
        <v>7833</v>
      </c>
      <c r="F1490" s="13" t="s">
        <v>7834</v>
      </c>
      <c r="G1490" s="13" t="s">
        <v>7835</v>
      </c>
      <c r="H1490" s="13" t="s">
        <v>7836</v>
      </c>
    </row>
    <row r="1491" customFormat="false" ht="15" hidden="false" customHeight="true" outlineLevel="0" collapsed="false">
      <c r="A1491" s="13" t="s">
        <v>203</v>
      </c>
      <c r="B1491" s="13" t="s">
        <v>618</v>
      </c>
      <c r="C1491" s="11" t="s">
        <v>619</v>
      </c>
      <c r="D1491" s="13" t="s">
        <v>7837</v>
      </c>
      <c r="E1491" s="13" t="s">
        <v>7838</v>
      </c>
      <c r="F1491" s="13" t="s">
        <v>7839</v>
      </c>
      <c r="G1491" s="13" t="s">
        <v>7840</v>
      </c>
      <c r="H1491" s="13" t="s">
        <v>7841</v>
      </c>
    </row>
    <row r="1492" customFormat="false" ht="15" hidden="false" customHeight="true" outlineLevel="0" collapsed="false">
      <c r="A1492" s="13" t="s">
        <v>203</v>
      </c>
      <c r="B1492" s="13" t="s">
        <v>625</v>
      </c>
      <c r="C1492" s="11" t="s">
        <v>626</v>
      </c>
      <c r="D1492" s="13" t="s">
        <v>4914</v>
      </c>
      <c r="E1492" s="13" t="s">
        <v>3606</v>
      </c>
      <c r="F1492" s="13" t="s">
        <v>7842</v>
      </c>
      <c r="G1492" s="13" t="s">
        <v>7843</v>
      </c>
      <c r="H1492" s="13" t="s">
        <v>7844</v>
      </c>
    </row>
    <row r="1493" customFormat="false" ht="15" hidden="false" customHeight="true" outlineLevel="0" collapsed="false">
      <c r="A1493" s="13" t="s">
        <v>203</v>
      </c>
      <c r="B1493" s="13" t="s">
        <v>632</v>
      </c>
      <c r="C1493" s="11" t="s">
        <v>633</v>
      </c>
      <c r="D1493" s="13" t="s">
        <v>7845</v>
      </c>
      <c r="E1493" s="13" t="s">
        <v>7846</v>
      </c>
      <c r="F1493" s="13" t="s">
        <v>7847</v>
      </c>
      <c r="G1493" s="13" t="s">
        <v>7848</v>
      </c>
      <c r="H1493" s="13" t="s">
        <v>7849</v>
      </c>
    </row>
    <row r="1494" customFormat="false" ht="15" hidden="false" customHeight="true" outlineLevel="0" collapsed="false">
      <c r="A1494" s="13" t="s">
        <v>203</v>
      </c>
      <c r="B1494" s="13" t="s">
        <v>639</v>
      </c>
      <c r="C1494" s="11" t="s">
        <v>640</v>
      </c>
      <c r="D1494" s="13" t="s">
        <v>7850</v>
      </c>
      <c r="E1494" s="13" t="s">
        <v>7851</v>
      </c>
      <c r="F1494" s="13" t="s">
        <v>7852</v>
      </c>
      <c r="G1494" s="13" t="s">
        <v>7853</v>
      </c>
      <c r="H1494" s="13" t="s">
        <v>7854</v>
      </c>
    </row>
    <row r="1495" customFormat="false" ht="15" hidden="false" customHeight="true" outlineLevel="0" collapsed="false">
      <c r="A1495" s="13" t="s">
        <v>203</v>
      </c>
      <c r="B1495" s="13" t="s">
        <v>646</v>
      </c>
      <c r="C1495" s="11" t="s">
        <v>647</v>
      </c>
      <c r="D1495" s="13" t="s">
        <v>7855</v>
      </c>
      <c r="E1495" s="13" t="s">
        <v>7856</v>
      </c>
      <c r="F1495" s="13" t="s">
        <v>7857</v>
      </c>
      <c r="G1495" s="13" t="s">
        <v>7858</v>
      </c>
      <c r="H1495" s="13" t="s">
        <v>7859</v>
      </c>
    </row>
    <row r="1496" customFormat="false" ht="15" hidden="false" customHeight="true" outlineLevel="0" collapsed="false">
      <c r="A1496" s="13" t="s">
        <v>203</v>
      </c>
      <c r="B1496" s="13" t="s">
        <v>653</v>
      </c>
      <c r="C1496" s="11" t="s">
        <v>654</v>
      </c>
      <c r="D1496" s="13" t="s">
        <v>2672</v>
      </c>
      <c r="E1496" s="13" t="s">
        <v>7860</v>
      </c>
      <c r="F1496" s="13" t="s">
        <v>7861</v>
      </c>
      <c r="G1496" s="13" t="s">
        <v>7862</v>
      </c>
      <c r="H1496" s="13" t="s">
        <v>7863</v>
      </c>
    </row>
    <row r="1497" customFormat="false" ht="15" hidden="false" customHeight="true" outlineLevel="0" collapsed="false">
      <c r="A1497" s="13" t="s">
        <v>203</v>
      </c>
      <c r="B1497" s="13" t="s">
        <v>660</v>
      </c>
      <c r="C1497" s="11" t="s">
        <v>661</v>
      </c>
      <c r="D1497" s="13" t="s">
        <v>4419</v>
      </c>
      <c r="E1497" s="13" t="s">
        <v>7864</v>
      </c>
      <c r="F1497" s="13" t="s">
        <v>7865</v>
      </c>
      <c r="G1497" s="13" t="s">
        <v>7866</v>
      </c>
      <c r="H1497" s="13" t="s">
        <v>7867</v>
      </c>
    </row>
    <row r="1498" customFormat="false" ht="15" hidden="false" customHeight="true" outlineLevel="0" collapsed="false">
      <c r="A1498" s="13" t="s">
        <v>203</v>
      </c>
      <c r="B1498" s="13" t="s">
        <v>667</v>
      </c>
      <c r="C1498" s="11" t="s">
        <v>668</v>
      </c>
      <c r="D1498" s="13" t="s">
        <v>7868</v>
      </c>
      <c r="E1498" s="13" t="s">
        <v>7869</v>
      </c>
      <c r="F1498" s="13" t="s">
        <v>7870</v>
      </c>
      <c r="G1498" s="13" t="s">
        <v>7871</v>
      </c>
      <c r="H1498" s="13" t="s">
        <v>7872</v>
      </c>
    </row>
    <row r="1499" customFormat="false" ht="15" hidden="false" customHeight="true" outlineLevel="0" collapsed="false">
      <c r="A1499" s="13" t="s">
        <v>203</v>
      </c>
      <c r="B1499" s="13" t="s">
        <v>674</v>
      </c>
      <c r="C1499" s="11" t="s">
        <v>675</v>
      </c>
      <c r="D1499" s="13" t="s">
        <v>7873</v>
      </c>
      <c r="E1499" s="13" t="s">
        <v>7874</v>
      </c>
      <c r="F1499" s="13" t="s">
        <v>7875</v>
      </c>
      <c r="G1499" s="13" t="s">
        <v>7876</v>
      </c>
      <c r="H1499" s="13" t="s">
        <v>7877</v>
      </c>
    </row>
    <row r="1500" customFormat="false" ht="15" hidden="false" customHeight="true" outlineLevel="0" collapsed="false">
      <c r="A1500" s="13" t="s">
        <v>203</v>
      </c>
      <c r="B1500" s="13" t="s">
        <v>681</v>
      </c>
      <c r="C1500" s="11" t="s">
        <v>682</v>
      </c>
      <c r="D1500" s="13" t="s">
        <v>7878</v>
      </c>
      <c r="E1500" s="13" t="s">
        <v>7879</v>
      </c>
      <c r="F1500" s="13" t="s">
        <v>7880</v>
      </c>
      <c r="G1500" s="13" t="s">
        <v>7881</v>
      </c>
      <c r="H1500" s="13" t="s">
        <v>7882</v>
      </c>
    </row>
    <row r="1501" customFormat="false" ht="15" hidden="false" customHeight="true" outlineLevel="0" collapsed="false">
      <c r="A1501" s="13" t="s">
        <v>203</v>
      </c>
      <c r="B1501" s="13" t="s">
        <v>688</v>
      </c>
      <c r="C1501" s="11" t="s">
        <v>689</v>
      </c>
      <c r="D1501" s="13" t="s">
        <v>7244</v>
      </c>
      <c r="E1501" s="13" t="s">
        <v>7883</v>
      </c>
      <c r="F1501" s="13" t="s">
        <v>7884</v>
      </c>
      <c r="G1501" s="13" t="s">
        <v>7885</v>
      </c>
      <c r="H1501" s="13" t="s">
        <v>7886</v>
      </c>
    </row>
    <row r="1502" customFormat="false" ht="15" hidden="false" customHeight="true" outlineLevel="0" collapsed="false">
      <c r="A1502" s="13" t="s">
        <v>203</v>
      </c>
      <c r="B1502" s="13" t="s">
        <v>695</v>
      </c>
      <c r="C1502" s="11" t="s">
        <v>696</v>
      </c>
      <c r="D1502" s="13" t="s">
        <v>7887</v>
      </c>
      <c r="E1502" s="13" t="s">
        <v>7888</v>
      </c>
      <c r="F1502" s="13" t="s">
        <v>7889</v>
      </c>
      <c r="G1502" s="13" t="s">
        <v>7890</v>
      </c>
      <c r="H1502" s="13" t="s">
        <v>4893</v>
      </c>
    </row>
    <row r="1503" customFormat="false" ht="15" hidden="false" customHeight="true" outlineLevel="0" collapsed="false">
      <c r="A1503" s="13" t="s">
        <v>203</v>
      </c>
      <c r="B1503" s="13" t="s">
        <v>702</v>
      </c>
      <c r="C1503" s="11" t="s">
        <v>703</v>
      </c>
      <c r="D1503" s="13" t="s">
        <v>7891</v>
      </c>
      <c r="E1503" s="13" t="s">
        <v>7892</v>
      </c>
      <c r="F1503" s="13" t="s">
        <v>7893</v>
      </c>
      <c r="G1503" s="13" t="s">
        <v>7894</v>
      </c>
      <c r="H1503" s="13" t="s">
        <v>7895</v>
      </c>
    </row>
    <row r="1504" customFormat="false" ht="15" hidden="false" customHeight="true" outlineLevel="0" collapsed="false">
      <c r="A1504" s="13" t="s">
        <v>203</v>
      </c>
      <c r="B1504" s="13" t="s">
        <v>709</v>
      </c>
      <c r="C1504" s="11" t="s">
        <v>710</v>
      </c>
      <c r="D1504" s="13" t="s">
        <v>7896</v>
      </c>
      <c r="E1504" s="13" t="s">
        <v>7897</v>
      </c>
      <c r="F1504" s="13" t="s">
        <v>7898</v>
      </c>
      <c r="G1504" s="13" t="s">
        <v>7899</v>
      </c>
      <c r="H1504" s="13" t="s">
        <v>7900</v>
      </c>
    </row>
    <row r="1505" customFormat="false" ht="15" hidden="false" customHeight="true" outlineLevel="0" collapsed="false">
      <c r="A1505" s="13" t="s">
        <v>203</v>
      </c>
      <c r="B1505" s="13" t="s">
        <v>716</v>
      </c>
      <c r="C1505" s="11" t="s">
        <v>717</v>
      </c>
      <c r="D1505" s="13" t="s">
        <v>7901</v>
      </c>
      <c r="E1505" s="13" t="s">
        <v>7902</v>
      </c>
      <c r="F1505" s="13" t="s">
        <v>7903</v>
      </c>
      <c r="G1505" s="13" t="s">
        <v>7904</v>
      </c>
      <c r="H1505" s="13" t="s">
        <v>7905</v>
      </c>
    </row>
    <row r="1506" customFormat="false" ht="15" hidden="false" customHeight="true" outlineLevel="0" collapsed="false">
      <c r="A1506" s="13" t="s">
        <v>203</v>
      </c>
      <c r="B1506" s="13" t="s">
        <v>723</v>
      </c>
      <c r="C1506" s="11" t="s">
        <v>724</v>
      </c>
      <c r="D1506" s="13" t="s">
        <v>7906</v>
      </c>
      <c r="E1506" s="13" t="s">
        <v>7907</v>
      </c>
      <c r="F1506" s="13" t="s">
        <v>7908</v>
      </c>
      <c r="G1506" s="13" t="s">
        <v>7909</v>
      </c>
      <c r="H1506" s="13" t="s">
        <v>7910</v>
      </c>
    </row>
    <row r="1507" customFormat="false" ht="15" hidden="false" customHeight="true" outlineLevel="0" collapsed="false">
      <c r="A1507" s="13" t="s">
        <v>203</v>
      </c>
      <c r="B1507" s="13" t="s">
        <v>730</v>
      </c>
      <c r="C1507" s="11" t="s">
        <v>731</v>
      </c>
      <c r="D1507" s="13" t="s">
        <v>7911</v>
      </c>
      <c r="E1507" s="13" t="s">
        <v>7912</v>
      </c>
      <c r="F1507" s="13" t="s">
        <v>7913</v>
      </c>
      <c r="G1507" s="13" t="s">
        <v>7914</v>
      </c>
      <c r="H1507" s="13" t="s">
        <v>7915</v>
      </c>
    </row>
    <row r="1508" customFormat="false" ht="15" hidden="false" customHeight="true" outlineLevel="0" collapsed="false">
      <c r="A1508" s="13" t="s">
        <v>203</v>
      </c>
      <c r="B1508" s="13" t="s">
        <v>737</v>
      </c>
      <c r="C1508" s="11" t="s">
        <v>738</v>
      </c>
      <c r="D1508" s="13" t="s">
        <v>7916</v>
      </c>
      <c r="E1508" s="13" t="s">
        <v>7917</v>
      </c>
      <c r="F1508" s="13" t="s">
        <v>7918</v>
      </c>
      <c r="G1508" s="13" t="s">
        <v>7919</v>
      </c>
      <c r="H1508" s="13" t="s">
        <v>7920</v>
      </c>
    </row>
    <row r="1509" customFormat="false" ht="15" hidden="false" customHeight="true" outlineLevel="0" collapsed="false">
      <c r="A1509" s="13" t="s">
        <v>203</v>
      </c>
      <c r="B1509" s="13" t="s">
        <v>744</v>
      </c>
      <c r="C1509" s="11" t="s">
        <v>745</v>
      </c>
      <c r="D1509" s="13" t="s">
        <v>7921</v>
      </c>
      <c r="E1509" s="13" t="s">
        <v>7922</v>
      </c>
      <c r="F1509" s="13" t="s">
        <v>7923</v>
      </c>
      <c r="G1509" s="13" t="s">
        <v>7924</v>
      </c>
      <c r="H1509" s="13" t="s">
        <v>7925</v>
      </c>
    </row>
    <row r="1510" customFormat="false" ht="15" hidden="false" customHeight="true" outlineLevel="0" collapsed="false">
      <c r="A1510" s="13" t="s">
        <v>203</v>
      </c>
      <c r="B1510" s="13" t="s">
        <v>751</v>
      </c>
      <c r="C1510" s="11" t="s">
        <v>752</v>
      </c>
      <c r="D1510" s="13" t="s">
        <v>7926</v>
      </c>
      <c r="E1510" s="13" t="s">
        <v>7927</v>
      </c>
      <c r="F1510" s="13" t="s">
        <v>7928</v>
      </c>
      <c r="G1510" s="13" t="s">
        <v>7929</v>
      </c>
      <c r="H1510" s="13" t="s">
        <v>7930</v>
      </c>
    </row>
    <row r="1511" customFormat="false" ht="15" hidden="false" customHeight="true" outlineLevel="0" collapsed="false">
      <c r="A1511" s="13" t="s">
        <v>203</v>
      </c>
      <c r="B1511" s="13" t="s">
        <v>758</v>
      </c>
      <c r="C1511" s="11" t="s">
        <v>759</v>
      </c>
      <c r="D1511" s="13" t="s">
        <v>7931</v>
      </c>
      <c r="E1511" s="13" t="s">
        <v>7932</v>
      </c>
      <c r="F1511" s="13" t="s">
        <v>7933</v>
      </c>
      <c r="G1511" s="13" t="s">
        <v>7934</v>
      </c>
      <c r="H1511" s="13" t="s">
        <v>7935</v>
      </c>
    </row>
    <row r="1512" customFormat="false" ht="15" hidden="false" customHeight="true" outlineLevel="0" collapsed="false">
      <c r="A1512" s="13" t="s">
        <v>203</v>
      </c>
      <c r="B1512" s="13" t="s">
        <v>765</v>
      </c>
      <c r="C1512" s="11" t="s">
        <v>766</v>
      </c>
      <c r="D1512" s="13" t="s">
        <v>7936</v>
      </c>
      <c r="E1512" s="13" t="s">
        <v>7937</v>
      </c>
      <c r="F1512" s="13" t="s">
        <v>7938</v>
      </c>
      <c r="G1512" s="13" t="s">
        <v>7939</v>
      </c>
      <c r="H1512" s="13" t="s">
        <v>7940</v>
      </c>
    </row>
    <row r="1513" customFormat="false" ht="15" hidden="false" customHeight="true" outlineLevel="0" collapsed="false">
      <c r="A1513" s="13" t="s">
        <v>203</v>
      </c>
      <c r="B1513" s="13" t="s">
        <v>772</v>
      </c>
      <c r="C1513" s="11" t="s">
        <v>773</v>
      </c>
      <c r="D1513" s="13" t="s">
        <v>7941</v>
      </c>
      <c r="E1513" s="13" t="s">
        <v>7942</v>
      </c>
      <c r="F1513" s="13" t="s">
        <v>7943</v>
      </c>
      <c r="G1513" s="13" t="s">
        <v>7944</v>
      </c>
      <c r="H1513" s="13" t="s">
        <v>7945</v>
      </c>
    </row>
    <row r="1514" customFormat="false" ht="15" hidden="false" customHeight="true" outlineLevel="0" collapsed="false">
      <c r="A1514" s="13" t="s">
        <v>203</v>
      </c>
      <c r="B1514" s="13" t="s">
        <v>779</v>
      </c>
      <c r="C1514" s="11" t="s">
        <v>780</v>
      </c>
      <c r="D1514" s="13" t="s">
        <v>7946</v>
      </c>
      <c r="E1514" s="13" t="s">
        <v>7947</v>
      </c>
      <c r="F1514" s="13" t="s">
        <v>7948</v>
      </c>
      <c r="G1514" s="13" t="s">
        <v>7949</v>
      </c>
      <c r="H1514" s="13" t="s">
        <v>7950</v>
      </c>
    </row>
    <row r="1515" customFormat="false" ht="15" hidden="false" customHeight="true" outlineLevel="0" collapsed="false">
      <c r="A1515" s="13" t="s">
        <v>203</v>
      </c>
      <c r="B1515" s="13" t="s">
        <v>786</v>
      </c>
      <c r="C1515" s="11" t="s">
        <v>787</v>
      </c>
      <c r="D1515" s="13" t="s">
        <v>7951</v>
      </c>
      <c r="E1515" s="13" t="s">
        <v>7952</v>
      </c>
      <c r="F1515" s="13" t="s">
        <v>7953</v>
      </c>
      <c r="G1515" s="13" t="s">
        <v>7954</v>
      </c>
      <c r="H1515" s="13" t="s">
        <v>7955</v>
      </c>
    </row>
    <row r="1516" customFormat="false" ht="15" hidden="false" customHeight="true" outlineLevel="0" collapsed="false">
      <c r="A1516" s="13" t="s">
        <v>203</v>
      </c>
      <c r="B1516" s="13" t="s">
        <v>793</v>
      </c>
      <c r="C1516" s="11" t="s">
        <v>794</v>
      </c>
      <c r="D1516" s="13" t="s">
        <v>7956</v>
      </c>
      <c r="E1516" s="13" t="s">
        <v>7957</v>
      </c>
      <c r="F1516" s="13" t="s">
        <v>7958</v>
      </c>
      <c r="G1516" s="13" t="s">
        <v>7959</v>
      </c>
      <c r="H1516" s="13" t="s">
        <v>7960</v>
      </c>
    </row>
    <row r="1517" customFormat="false" ht="15" hidden="false" customHeight="true" outlineLevel="0" collapsed="false">
      <c r="A1517" s="13" t="s">
        <v>203</v>
      </c>
      <c r="B1517" s="13" t="s">
        <v>800</v>
      </c>
      <c r="C1517" s="11" t="s">
        <v>801</v>
      </c>
      <c r="D1517" s="13" t="s">
        <v>7961</v>
      </c>
      <c r="E1517" s="13" t="s">
        <v>7962</v>
      </c>
      <c r="F1517" s="13" t="s">
        <v>7963</v>
      </c>
      <c r="G1517" s="13" t="s">
        <v>7964</v>
      </c>
      <c r="H1517" s="13" t="s">
        <v>7965</v>
      </c>
    </row>
    <row r="1518" customFormat="false" ht="15" hidden="false" customHeight="true" outlineLevel="0" collapsed="false">
      <c r="A1518" s="13" t="s">
        <v>203</v>
      </c>
      <c r="B1518" s="13" t="s">
        <v>806</v>
      </c>
      <c r="C1518" s="11" t="s">
        <v>807</v>
      </c>
      <c r="D1518" s="13" t="s">
        <v>7966</v>
      </c>
      <c r="E1518" s="13" t="s">
        <v>7967</v>
      </c>
      <c r="F1518" s="13" t="s">
        <v>7968</v>
      </c>
      <c r="G1518" s="13" t="s">
        <v>7969</v>
      </c>
      <c r="H1518" s="13" t="s">
        <v>7970</v>
      </c>
    </row>
    <row r="1519" customFormat="false" ht="15" hidden="false" customHeight="true" outlineLevel="0" collapsed="false">
      <c r="A1519" s="13" t="s">
        <v>203</v>
      </c>
      <c r="B1519" s="13" t="s">
        <v>813</v>
      </c>
      <c r="C1519" s="11" t="s">
        <v>814</v>
      </c>
      <c r="D1519" s="13" t="s">
        <v>7971</v>
      </c>
      <c r="E1519" s="13" t="s">
        <v>7972</v>
      </c>
      <c r="F1519" s="13" t="s">
        <v>7973</v>
      </c>
      <c r="G1519" s="13" t="s">
        <v>7974</v>
      </c>
      <c r="H1519" s="13" t="s">
        <v>7975</v>
      </c>
    </row>
    <row r="1520" customFormat="false" ht="15" hidden="false" customHeight="true" outlineLevel="0" collapsed="false">
      <c r="A1520" s="13" t="s">
        <v>203</v>
      </c>
      <c r="B1520" s="13" t="s">
        <v>820</v>
      </c>
      <c r="C1520" s="11" t="s">
        <v>821</v>
      </c>
      <c r="D1520" s="13" t="s">
        <v>7976</v>
      </c>
      <c r="E1520" s="13" t="s">
        <v>7977</v>
      </c>
      <c r="F1520" s="13" t="s">
        <v>7978</v>
      </c>
      <c r="G1520" s="13" t="s">
        <v>7979</v>
      </c>
      <c r="H1520" s="13" t="s">
        <v>7980</v>
      </c>
    </row>
    <row r="1521" customFormat="false" ht="15" hidden="false" customHeight="true" outlineLevel="0" collapsed="false">
      <c r="A1521" s="13" t="s">
        <v>203</v>
      </c>
      <c r="B1521" s="13" t="s">
        <v>827</v>
      </c>
      <c r="C1521" s="11" t="s">
        <v>828</v>
      </c>
      <c r="D1521" s="13" t="s">
        <v>7981</v>
      </c>
      <c r="E1521" s="13" t="s">
        <v>7982</v>
      </c>
      <c r="F1521" s="13" t="s">
        <v>7983</v>
      </c>
      <c r="G1521" s="13" t="s">
        <v>7984</v>
      </c>
      <c r="H1521" s="13" t="s">
        <v>7985</v>
      </c>
    </row>
    <row r="1522" customFormat="false" ht="15" hidden="false" customHeight="true" outlineLevel="0" collapsed="false">
      <c r="A1522" s="13" t="s">
        <v>203</v>
      </c>
      <c r="B1522" s="13" t="s">
        <v>834</v>
      </c>
      <c r="C1522" s="11" t="s">
        <v>835</v>
      </c>
      <c r="D1522" s="13" t="s">
        <v>7986</v>
      </c>
      <c r="E1522" s="13" t="s">
        <v>7987</v>
      </c>
      <c r="F1522" s="13" t="s">
        <v>5089</v>
      </c>
      <c r="G1522" s="13" t="s">
        <v>7988</v>
      </c>
      <c r="H1522" s="13" t="s">
        <v>7989</v>
      </c>
    </row>
    <row r="1523" customFormat="false" ht="15" hidden="false" customHeight="true" outlineLevel="0" collapsed="false">
      <c r="A1523" s="13" t="s">
        <v>203</v>
      </c>
      <c r="B1523" s="13" t="s">
        <v>841</v>
      </c>
      <c r="C1523" s="11" t="s">
        <v>842</v>
      </c>
      <c r="D1523" s="13" t="s">
        <v>7990</v>
      </c>
      <c r="E1523" s="13" t="s">
        <v>7991</v>
      </c>
      <c r="F1523" s="13" t="s">
        <v>7992</v>
      </c>
      <c r="G1523" s="13" t="s">
        <v>7993</v>
      </c>
      <c r="H1523" s="13" t="s">
        <v>7994</v>
      </c>
    </row>
    <row r="1524" customFormat="false" ht="15" hidden="false" customHeight="true" outlineLevel="0" collapsed="false">
      <c r="A1524" s="13" t="s">
        <v>203</v>
      </c>
      <c r="B1524" s="13" t="s">
        <v>848</v>
      </c>
      <c r="C1524" s="11" t="s">
        <v>849</v>
      </c>
      <c r="D1524" s="13" t="s">
        <v>7995</v>
      </c>
      <c r="E1524" s="13" t="s">
        <v>7996</v>
      </c>
      <c r="F1524" s="13" t="s">
        <v>7997</v>
      </c>
      <c r="G1524" s="13" t="s">
        <v>7998</v>
      </c>
      <c r="H1524" s="13" t="s">
        <v>7999</v>
      </c>
    </row>
    <row r="1525" customFormat="false" ht="15" hidden="false" customHeight="true" outlineLevel="0" collapsed="false">
      <c r="A1525" s="13" t="s">
        <v>203</v>
      </c>
      <c r="B1525" s="13" t="s">
        <v>855</v>
      </c>
      <c r="C1525" s="11" t="s">
        <v>856</v>
      </c>
      <c r="D1525" s="13" t="s">
        <v>8000</v>
      </c>
      <c r="E1525" s="13" t="s">
        <v>8001</v>
      </c>
      <c r="F1525" s="13" t="s">
        <v>8002</v>
      </c>
      <c r="G1525" s="13" t="s">
        <v>8003</v>
      </c>
      <c r="H1525" s="13" t="s">
        <v>8004</v>
      </c>
    </row>
    <row r="1526" customFormat="false" ht="15" hidden="false" customHeight="true" outlineLevel="0" collapsed="false">
      <c r="A1526" s="13" t="s">
        <v>203</v>
      </c>
      <c r="B1526" s="13" t="s">
        <v>862</v>
      </c>
      <c r="C1526" s="11" t="s">
        <v>863</v>
      </c>
      <c r="D1526" s="13" t="s">
        <v>8005</v>
      </c>
      <c r="E1526" s="13" t="s">
        <v>8006</v>
      </c>
      <c r="F1526" s="13" t="s">
        <v>8007</v>
      </c>
      <c r="G1526" s="13" t="s">
        <v>8008</v>
      </c>
      <c r="H1526" s="13" t="s">
        <v>8009</v>
      </c>
    </row>
    <row r="1527" customFormat="false" ht="15" hidden="false" customHeight="true" outlineLevel="0" collapsed="false">
      <c r="A1527" s="13" t="s">
        <v>203</v>
      </c>
      <c r="B1527" s="13" t="s">
        <v>869</v>
      </c>
      <c r="C1527" s="11" t="s">
        <v>870</v>
      </c>
      <c r="D1527" s="13" t="s">
        <v>8010</v>
      </c>
      <c r="E1527" s="13" t="s">
        <v>8011</v>
      </c>
      <c r="F1527" s="13" t="s">
        <v>8012</v>
      </c>
      <c r="G1527" s="13" t="s">
        <v>8013</v>
      </c>
      <c r="H1527" s="13" t="s">
        <v>8014</v>
      </c>
    </row>
    <row r="1528" customFormat="false" ht="15" hidden="false" customHeight="true" outlineLevel="0" collapsed="false">
      <c r="A1528" s="13" t="s">
        <v>203</v>
      </c>
      <c r="B1528" s="13" t="s">
        <v>876</v>
      </c>
      <c r="C1528" s="11" t="s">
        <v>877</v>
      </c>
      <c r="D1528" s="13" t="s">
        <v>8015</v>
      </c>
      <c r="E1528" s="13" t="s">
        <v>8016</v>
      </c>
      <c r="F1528" s="13" t="s">
        <v>8017</v>
      </c>
      <c r="G1528" s="13" t="s">
        <v>8018</v>
      </c>
      <c r="H1528" s="13" t="s">
        <v>8019</v>
      </c>
    </row>
    <row r="1529" customFormat="false" ht="15" hidden="false" customHeight="true" outlineLevel="0" collapsed="false">
      <c r="A1529" s="13" t="s">
        <v>203</v>
      </c>
      <c r="B1529" s="13" t="s">
        <v>883</v>
      </c>
      <c r="C1529" s="11" t="s">
        <v>884</v>
      </c>
      <c r="D1529" s="13" t="s">
        <v>8020</v>
      </c>
      <c r="E1529" s="13" t="s">
        <v>8021</v>
      </c>
      <c r="F1529" s="13" t="s">
        <v>8022</v>
      </c>
      <c r="G1529" s="13" t="s">
        <v>8023</v>
      </c>
      <c r="H1529" s="13" t="s">
        <v>8024</v>
      </c>
    </row>
    <row r="1530" customFormat="false" ht="15" hidden="false" customHeight="true" outlineLevel="0" collapsed="false">
      <c r="A1530" s="13" t="s">
        <v>203</v>
      </c>
      <c r="B1530" s="13" t="s">
        <v>890</v>
      </c>
      <c r="C1530" s="11" t="s">
        <v>891</v>
      </c>
      <c r="D1530" s="13" t="s">
        <v>8025</v>
      </c>
      <c r="E1530" s="13" t="s">
        <v>8026</v>
      </c>
      <c r="F1530" s="13" t="s">
        <v>8027</v>
      </c>
      <c r="G1530" s="13" t="s">
        <v>8028</v>
      </c>
      <c r="H1530" s="13" t="s">
        <v>8029</v>
      </c>
    </row>
    <row r="1531" customFormat="false" ht="15" hidden="false" customHeight="true" outlineLevel="0" collapsed="false">
      <c r="A1531" s="13" t="s">
        <v>203</v>
      </c>
      <c r="B1531" s="13" t="s">
        <v>897</v>
      </c>
      <c r="C1531" s="11" t="s">
        <v>898</v>
      </c>
      <c r="D1531" s="13" t="s">
        <v>8030</v>
      </c>
      <c r="E1531" s="13" t="s">
        <v>8031</v>
      </c>
      <c r="F1531" s="13" t="s">
        <v>8032</v>
      </c>
      <c r="G1531" s="13" t="s">
        <v>8033</v>
      </c>
      <c r="H1531" s="13" t="s">
        <v>8034</v>
      </c>
    </row>
    <row r="1532" customFormat="false" ht="15" hidden="false" customHeight="true" outlineLevel="0" collapsed="false">
      <c r="A1532" s="13" t="s">
        <v>203</v>
      </c>
      <c r="B1532" s="13" t="s">
        <v>904</v>
      </c>
      <c r="C1532" s="11" t="s">
        <v>905</v>
      </c>
      <c r="D1532" s="13" t="s">
        <v>8035</v>
      </c>
      <c r="E1532" s="13" t="s">
        <v>8036</v>
      </c>
      <c r="F1532" s="13" t="s">
        <v>8037</v>
      </c>
      <c r="G1532" s="13" t="s">
        <v>8038</v>
      </c>
      <c r="H1532" s="13" t="s">
        <v>8039</v>
      </c>
    </row>
    <row r="1533" customFormat="false" ht="15" hidden="false" customHeight="true" outlineLevel="0" collapsed="false">
      <c r="A1533" s="13" t="s">
        <v>203</v>
      </c>
      <c r="B1533" s="13" t="s">
        <v>911</v>
      </c>
      <c r="C1533" s="11" t="s">
        <v>912</v>
      </c>
      <c r="D1533" s="13" t="s">
        <v>8040</v>
      </c>
      <c r="E1533" s="13" t="s">
        <v>8041</v>
      </c>
      <c r="F1533" s="13" t="s">
        <v>8042</v>
      </c>
      <c r="G1533" s="13" t="s">
        <v>8043</v>
      </c>
      <c r="H1533" s="13" t="s">
        <v>8044</v>
      </c>
    </row>
    <row r="1534" customFormat="false" ht="15" hidden="false" customHeight="true" outlineLevel="0" collapsed="false">
      <c r="A1534" s="13" t="s">
        <v>203</v>
      </c>
      <c r="B1534" s="13" t="s">
        <v>918</v>
      </c>
      <c r="C1534" s="11" t="s">
        <v>919</v>
      </c>
      <c r="D1534" s="13" t="s">
        <v>8045</v>
      </c>
      <c r="E1534" s="13" t="s">
        <v>8046</v>
      </c>
      <c r="F1534" s="13" t="s">
        <v>8047</v>
      </c>
      <c r="G1534" s="13" t="s">
        <v>8048</v>
      </c>
      <c r="H1534" s="13" t="s">
        <v>8049</v>
      </c>
    </row>
    <row r="1535" customFormat="false" ht="15" hidden="false" customHeight="true" outlineLevel="0" collapsed="false">
      <c r="A1535" s="13" t="s">
        <v>203</v>
      </c>
      <c r="B1535" s="13" t="s">
        <v>925</v>
      </c>
      <c r="C1535" s="11" t="s">
        <v>926</v>
      </c>
      <c r="D1535" s="13" t="s">
        <v>8050</v>
      </c>
      <c r="E1535" s="13" t="s">
        <v>8051</v>
      </c>
      <c r="F1535" s="13" t="s">
        <v>8052</v>
      </c>
      <c r="G1535" s="13" t="s">
        <v>8053</v>
      </c>
      <c r="H1535" s="13" t="s">
        <v>8054</v>
      </c>
    </row>
    <row r="1536" customFormat="false" ht="15" hidden="false" customHeight="true" outlineLevel="0" collapsed="false">
      <c r="A1536" s="13" t="s">
        <v>203</v>
      </c>
      <c r="B1536" s="13" t="s">
        <v>932</v>
      </c>
      <c r="C1536" s="11" t="s">
        <v>933</v>
      </c>
      <c r="D1536" s="13" t="s">
        <v>8055</v>
      </c>
      <c r="E1536" s="13" t="s">
        <v>8056</v>
      </c>
      <c r="F1536" s="13" t="s">
        <v>8057</v>
      </c>
      <c r="G1536" s="13" t="s">
        <v>8058</v>
      </c>
      <c r="H1536" s="13" t="s">
        <v>8059</v>
      </c>
    </row>
    <row r="1537" customFormat="false" ht="15" hidden="false" customHeight="true" outlineLevel="0" collapsed="false">
      <c r="A1537" s="13" t="s">
        <v>203</v>
      </c>
      <c r="B1537" s="13" t="s">
        <v>939</v>
      </c>
      <c r="C1537" s="11" t="s">
        <v>940</v>
      </c>
      <c r="D1537" s="13" t="s">
        <v>8060</v>
      </c>
      <c r="E1537" s="13" t="s">
        <v>8061</v>
      </c>
      <c r="F1537" s="13" t="s">
        <v>8062</v>
      </c>
      <c r="G1537" s="13" t="s">
        <v>8063</v>
      </c>
      <c r="H1537" s="13" t="s">
        <v>8064</v>
      </c>
    </row>
    <row r="1538" customFormat="false" ht="15" hidden="false" customHeight="true" outlineLevel="0" collapsed="false">
      <c r="A1538" s="13" t="s">
        <v>203</v>
      </c>
      <c r="B1538" s="13" t="s">
        <v>946</v>
      </c>
      <c r="C1538" s="11" t="s">
        <v>947</v>
      </c>
      <c r="D1538" s="13" t="s">
        <v>8065</v>
      </c>
      <c r="E1538" s="13" t="s">
        <v>8066</v>
      </c>
      <c r="F1538" s="13" t="s">
        <v>8067</v>
      </c>
      <c r="G1538" s="13" t="s">
        <v>8068</v>
      </c>
      <c r="H1538" s="13" t="s">
        <v>8069</v>
      </c>
    </row>
    <row r="1539" customFormat="false" ht="15" hidden="false" customHeight="true" outlineLevel="0" collapsed="false">
      <c r="A1539" s="13" t="s">
        <v>203</v>
      </c>
      <c r="B1539" s="13" t="s">
        <v>953</v>
      </c>
      <c r="C1539" s="11" t="s">
        <v>954</v>
      </c>
      <c r="D1539" s="13" t="s">
        <v>8070</v>
      </c>
      <c r="E1539" s="13" t="s">
        <v>8071</v>
      </c>
      <c r="F1539" s="13" t="s">
        <v>8072</v>
      </c>
      <c r="G1539" s="13" t="s">
        <v>8073</v>
      </c>
      <c r="H1539" s="13" t="s">
        <v>8074</v>
      </c>
    </row>
    <row r="1540" customFormat="false" ht="15" hidden="false" customHeight="true" outlineLevel="0" collapsed="false">
      <c r="A1540" s="13" t="s">
        <v>203</v>
      </c>
      <c r="B1540" s="13" t="s">
        <v>960</v>
      </c>
      <c r="C1540" s="11" t="s">
        <v>961</v>
      </c>
      <c r="D1540" s="13" t="s">
        <v>8075</v>
      </c>
      <c r="E1540" s="13" t="s">
        <v>8076</v>
      </c>
      <c r="F1540" s="13" t="s">
        <v>8077</v>
      </c>
      <c r="G1540" s="13" t="s">
        <v>8078</v>
      </c>
      <c r="H1540" s="13" t="s">
        <v>8079</v>
      </c>
    </row>
    <row r="1541" customFormat="false" ht="15" hidden="false" customHeight="true" outlineLevel="0" collapsed="false">
      <c r="A1541" s="13" t="s">
        <v>203</v>
      </c>
      <c r="B1541" s="13" t="s">
        <v>967</v>
      </c>
      <c r="C1541" s="11" t="s">
        <v>968</v>
      </c>
      <c r="D1541" s="13" t="s">
        <v>8080</v>
      </c>
      <c r="E1541" s="13" t="s">
        <v>8081</v>
      </c>
      <c r="F1541" s="13" t="s">
        <v>8082</v>
      </c>
      <c r="G1541" s="13" t="s">
        <v>8083</v>
      </c>
      <c r="H1541" s="13" t="s">
        <v>8084</v>
      </c>
    </row>
    <row r="1542" customFormat="false" ht="15" hidden="false" customHeight="true" outlineLevel="0" collapsed="false">
      <c r="A1542" s="13" t="s">
        <v>203</v>
      </c>
      <c r="B1542" s="13" t="s">
        <v>974</v>
      </c>
      <c r="C1542" s="11" t="s">
        <v>975</v>
      </c>
      <c r="D1542" s="13" t="s">
        <v>8085</v>
      </c>
      <c r="E1542" s="13" t="s">
        <v>8086</v>
      </c>
      <c r="F1542" s="13" t="s">
        <v>8087</v>
      </c>
      <c r="G1542" s="13" t="s">
        <v>8088</v>
      </c>
      <c r="H1542" s="13" t="s">
        <v>8089</v>
      </c>
    </row>
    <row r="1543" customFormat="false" ht="15" hidden="false" customHeight="true" outlineLevel="0" collapsed="false">
      <c r="A1543" s="13" t="s">
        <v>203</v>
      </c>
      <c r="B1543" s="13" t="s">
        <v>981</v>
      </c>
      <c r="C1543" s="11" t="s">
        <v>982</v>
      </c>
      <c r="D1543" s="13" t="s">
        <v>8090</v>
      </c>
      <c r="E1543" s="13" t="s">
        <v>8091</v>
      </c>
      <c r="F1543" s="13" t="s">
        <v>8092</v>
      </c>
      <c r="G1543" s="13" t="s">
        <v>8093</v>
      </c>
      <c r="H1543" s="13" t="s">
        <v>8094</v>
      </c>
    </row>
    <row r="1544" customFormat="false" ht="15" hidden="false" customHeight="true" outlineLevel="0" collapsed="false">
      <c r="A1544" s="13" t="s">
        <v>203</v>
      </c>
      <c r="B1544" s="13" t="s">
        <v>988</v>
      </c>
      <c r="C1544" s="11" t="s">
        <v>989</v>
      </c>
      <c r="D1544" s="13" t="s">
        <v>8095</v>
      </c>
      <c r="E1544" s="13" t="s">
        <v>8096</v>
      </c>
      <c r="F1544" s="13" t="s">
        <v>8097</v>
      </c>
      <c r="G1544" s="13" t="s">
        <v>8098</v>
      </c>
      <c r="H1544" s="13" t="s">
        <v>8099</v>
      </c>
    </row>
    <row r="1545" customFormat="false" ht="15" hidden="false" customHeight="true" outlineLevel="0" collapsed="false">
      <c r="A1545" s="13" t="s">
        <v>203</v>
      </c>
      <c r="B1545" s="13" t="s">
        <v>995</v>
      </c>
      <c r="C1545" s="11" t="s">
        <v>996</v>
      </c>
      <c r="D1545" s="13" t="s">
        <v>8100</v>
      </c>
      <c r="E1545" s="13" t="s">
        <v>8101</v>
      </c>
      <c r="F1545" s="13" t="s">
        <v>8102</v>
      </c>
      <c r="G1545" s="13" t="s">
        <v>8103</v>
      </c>
      <c r="H1545" s="13" t="s">
        <v>8104</v>
      </c>
    </row>
    <row r="1546" customFormat="false" ht="15" hidden="false" customHeight="true" outlineLevel="0" collapsed="false">
      <c r="A1546" s="13" t="s">
        <v>203</v>
      </c>
      <c r="B1546" s="13" t="s">
        <v>1002</v>
      </c>
      <c r="C1546" s="11" t="s">
        <v>1003</v>
      </c>
      <c r="D1546" s="13" t="s">
        <v>8105</v>
      </c>
      <c r="E1546" s="13" t="s">
        <v>8106</v>
      </c>
      <c r="F1546" s="13" t="s">
        <v>8107</v>
      </c>
      <c r="G1546" s="13" t="s">
        <v>8108</v>
      </c>
      <c r="H1546" s="13" t="s">
        <v>8109</v>
      </c>
    </row>
    <row r="1547" customFormat="false" ht="15" hidden="false" customHeight="true" outlineLevel="0" collapsed="false">
      <c r="A1547" s="13" t="s">
        <v>203</v>
      </c>
      <c r="B1547" s="13" t="s">
        <v>1009</v>
      </c>
      <c r="C1547" s="11" t="s">
        <v>1010</v>
      </c>
      <c r="D1547" s="13" t="s">
        <v>8110</v>
      </c>
      <c r="E1547" s="13" t="s">
        <v>8111</v>
      </c>
      <c r="F1547" s="13" t="s">
        <v>8112</v>
      </c>
      <c r="G1547" s="13" t="s">
        <v>8113</v>
      </c>
      <c r="H1547" s="13" t="s">
        <v>8114</v>
      </c>
    </row>
    <row r="1548" customFormat="false" ht="15" hidden="false" customHeight="true" outlineLevel="0" collapsed="false">
      <c r="A1548" s="13" t="s">
        <v>211</v>
      </c>
      <c r="B1548" s="13" t="s">
        <v>345</v>
      </c>
      <c r="C1548" s="11" t="s">
        <v>346</v>
      </c>
      <c r="D1548" s="13" t="s">
        <v>1345</v>
      </c>
      <c r="E1548" s="13" t="s">
        <v>8115</v>
      </c>
      <c r="F1548" s="13" t="s">
        <v>8116</v>
      </c>
      <c r="G1548" s="13" t="s">
        <v>8117</v>
      </c>
      <c r="H1548" s="13" t="s">
        <v>8118</v>
      </c>
    </row>
    <row r="1549" customFormat="false" ht="15" hidden="false" customHeight="true" outlineLevel="0" collapsed="false">
      <c r="A1549" s="13" t="s">
        <v>211</v>
      </c>
      <c r="B1549" s="13" t="s">
        <v>352</v>
      </c>
      <c r="C1549" s="11" t="s">
        <v>353</v>
      </c>
      <c r="D1549" s="13" t="s">
        <v>8119</v>
      </c>
      <c r="E1549" s="13" t="s">
        <v>8120</v>
      </c>
      <c r="F1549" s="13" t="s">
        <v>8121</v>
      </c>
      <c r="G1549" s="13" t="s">
        <v>8122</v>
      </c>
      <c r="H1549" s="13" t="s">
        <v>8123</v>
      </c>
    </row>
    <row r="1550" customFormat="false" ht="15" hidden="false" customHeight="true" outlineLevel="0" collapsed="false">
      <c r="A1550" s="13" t="s">
        <v>211</v>
      </c>
      <c r="B1550" s="13" t="s">
        <v>359</v>
      </c>
      <c r="C1550" s="11" t="s">
        <v>360</v>
      </c>
      <c r="D1550" s="13" t="s">
        <v>8124</v>
      </c>
      <c r="E1550" s="13" t="s">
        <v>8125</v>
      </c>
      <c r="F1550" s="13" t="s">
        <v>8126</v>
      </c>
      <c r="G1550" s="13" t="s">
        <v>8127</v>
      </c>
      <c r="H1550" s="13" t="s">
        <v>8128</v>
      </c>
    </row>
    <row r="1551" customFormat="false" ht="15" hidden="false" customHeight="true" outlineLevel="0" collapsed="false">
      <c r="A1551" s="13" t="s">
        <v>211</v>
      </c>
      <c r="B1551" s="13" t="s">
        <v>366</v>
      </c>
      <c r="C1551" s="11" t="s">
        <v>367</v>
      </c>
      <c r="D1551" s="13" t="s">
        <v>8129</v>
      </c>
      <c r="E1551" s="13" t="s">
        <v>8130</v>
      </c>
      <c r="F1551" s="13" t="s">
        <v>8131</v>
      </c>
      <c r="G1551" s="13" t="s">
        <v>8132</v>
      </c>
      <c r="H1551" s="13" t="s">
        <v>8133</v>
      </c>
    </row>
    <row r="1552" customFormat="false" ht="15" hidden="false" customHeight="true" outlineLevel="0" collapsed="false">
      <c r="A1552" s="13" t="s">
        <v>211</v>
      </c>
      <c r="B1552" s="13" t="s">
        <v>373</v>
      </c>
      <c r="C1552" s="11" t="s">
        <v>374</v>
      </c>
      <c r="D1552" s="13" t="s">
        <v>8134</v>
      </c>
      <c r="E1552" s="13" t="s">
        <v>8135</v>
      </c>
      <c r="F1552" s="13" t="s">
        <v>8136</v>
      </c>
      <c r="G1552" s="13" t="s">
        <v>8137</v>
      </c>
      <c r="H1552" s="13" t="s">
        <v>8138</v>
      </c>
    </row>
    <row r="1553" customFormat="false" ht="15" hidden="false" customHeight="true" outlineLevel="0" collapsed="false">
      <c r="A1553" s="13" t="s">
        <v>211</v>
      </c>
      <c r="B1553" s="13" t="s">
        <v>380</v>
      </c>
      <c r="C1553" s="11" t="s">
        <v>381</v>
      </c>
      <c r="D1553" s="13" t="s">
        <v>8139</v>
      </c>
      <c r="E1553" s="13" t="s">
        <v>8140</v>
      </c>
      <c r="F1553" s="13" t="s">
        <v>8141</v>
      </c>
      <c r="G1553" s="13" t="s">
        <v>8142</v>
      </c>
      <c r="H1553" s="13" t="s">
        <v>8143</v>
      </c>
    </row>
    <row r="1554" customFormat="false" ht="15" hidden="false" customHeight="true" outlineLevel="0" collapsed="false">
      <c r="A1554" s="13" t="s">
        <v>211</v>
      </c>
      <c r="B1554" s="13" t="s">
        <v>387</v>
      </c>
      <c r="C1554" s="11" t="s">
        <v>388</v>
      </c>
      <c r="D1554" s="13" t="s">
        <v>8144</v>
      </c>
      <c r="E1554" s="13" t="s">
        <v>8145</v>
      </c>
      <c r="F1554" s="13" t="s">
        <v>8146</v>
      </c>
      <c r="G1554" s="13" t="s">
        <v>8147</v>
      </c>
      <c r="H1554" s="13" t="s">
        <v>8148</v>
      </c>
    </row>
    <row r="1555" customFormat="false" ht="15" hidden="false" customHeight="true" outlineLevel="0" collapsed="false">
      <c r="A1555" s="13" t="s">
        <v>211</v>
      </c>
      <c r="B1555" s="13" t="s">
        <v>394</v>
      </c>
      <c r="C1555" s="11" t="s">
        <v>395</v>
      </c>
      <c r="D1555" s="13" t="s">
        <v>8149</v>
      </c>
      <c r="E1555" s="13" t="s">
        <v>8150</v>
      </c>
      <c r="F1555" s="13" t="s">
        <v>8151</v>
      </c>
      <c r="G1555" s="13" t="s">
        <v>8152</v>
      </c>
      <c r="H1555" s="13" t="s">
        <v>8153</v>
      </c>
    </row>
    <row r="1556" customFormat="false" ht="15" hidden="false" customHeight="true" outlineLevel="0" collapsed="false">
      <c r="A1556" s="13" t="s">
        <v>211</v>
      </c>
      <c r="B1556" s="13" t="s">
        <v>401</v>
      </c>
      <c r="C1556" s="11" t="s">
        <v>402</v>
      </c>
      <c r="D1556" s="13" t="s">
        <v>8154</v>
      </c>
      <c r="E1556" s="13" t="s">
        <v>8155</v>
      </c>
      <c r="F1556" s="13" t="s">
        <v>8156</v>
      </c>
      <c r="G1556" s="13" t="s">
        <v>8157</v>
      </c>
      <c r="H1556" s="13" t="s">
        <v>8158</v>
      </c>
    </row>
    <row r="1557" customFormat="false" ht="15" hidden="false" customHeight="true" outlineLevel="0" collapsed="false">
      <c r="A1557" s="13" t="s">
        <v>211</v>
      </c>
      <c r="B1557" s="13" t="s">
        <v>408</v>
      </c>
      <c r="C1557" s="11" t="s">
        <v>409</v>
      </c>
      <c r="D1557" s="13" t="s">
        <v>8159</v>
      </c>
      <c r="E1557" s="13" t="s">
        <v>8160</v>
      </c>
      <c r="F1557" s="13" t="s">
        <v>8161</v>
      </c>
      <c r="G1557" s="13" t="s">
        <v>8162</v>
      </c>
      <c r="H1557" s="13" t="s">
        <v>8163</v>
      </c>
    </row>
    <row r="1558" customFormat="false" ht="15" hidden="false" customHeight="true" outlineLevel="0" collapsed="false">
      <c r="A1558" s="13" t="s">
        <v>211</v>
      </c>
      <c r="B1558" s="13" t="s">
        <v>415</v>
      </c>
      <c r="C1558" s="11" t="s">
        <v>416</v>
      </c>
      <c r="D1558" s="13" t="s">
        <v>8164</v>
      </c>
      <c r="E1558" s="13" t="s">
        <v>8165</v>
      </c>
      <c r="F1558" s="13" t="s">
        <v>8166</v>
      </c>
      <c r="G1558" s="13" t="s">
        <v>8167</v>
      </c>
      <c r="H1558" s="13" t="s">
        <v>8168</v>
      </c>
    </row>
    <row r="1559" customFormat="false" ht="15" hidden="false" customHeight="true" outlineLevel="0" collapsed="false">
      <c r="A1559" s="13" t="s">
        <v>211</v>
      </c>
      <c r="B1559" s="13" t="s">
        <v>422</v>
      </c>
      <c r="C1559" s="11" t="s">
        <v>423</v>
      </c>
      <c r="D1559" s="13" t="s">
        <v>8169</v>
      </c>
      <c r="E1559" s="13" t="s">
        <v>8170</v>
      </c>
      <c r="F1559" s="13" t="s">
        <v>8171</v>
      </c>
      <c r="G1559" s="13" t="s">
        <v>8172</v>
      </c>
      <c r="H1559" s="13" t="s">
        <v>8173</v>
      </c>
    </row>
    <row r="1560" customFormat="false" ht="15" hidden="false" customHeight="true" outlineLevel="0" collapsed="false">
      <c r="A1560" s="13" t="s">
        <v>211</v>
      </c>
      <c r="B1560" s="13" t="s">
        <v>429</v>
      </c>
      <c r="C1560" s="11" t="s">
        <v>430</v>
      </c>
      <c r="D1560" s="13" t="s">
        <v>8174</v>
      </c>
      <c r="E1560" s="13" t="s">
        <v>8175</v>
      </c>
      <c r="F1560" s="13" t="s">
        <v>8176</v>
      </c>
      <c r="G1560" s="13" t="s">
        <v>8177</v>
      </c>
      <c r="H1560" s="13" t="s">
        <v>8178</v>
      </c>
    </row>
    <row r="1561" customFormat="false" ht="15" hidden="false" customHeight="true" outlineLevel="0" collapsed="false">
      <c r="A1561" s="13" t="s">
        <v>211</v>
      </c>
      <c r="B1561" s="13" t="s">
        <v>436</v>
      </c>
      <c r="C1561" s="11" t="s">
        <v>437</v>
      </c>
      <c r="D1561" s="13" t="s">
        <v>8179</v>
      </c>
      <c r="E1561" s="13" t="s">
        <v>1567</v>
      </c>
      <c r="F1561" s="13" t="s">
        <v>8180</v>
      </c>
      <c r="G1561" s="13" t="s">
        <v>8181</v>
      </c>
      <c r="H1561" s="13" t="s">
        <v>8182</v>
      </c>
    </row>
    <row r="1562" customFormat="false" ht="15" hidden="false" customHeight="true" outlineLevel="0" collapsed="false">
      <c r="A1562" s="13" t="s">
        <v>211</v>
      </c>
      <c r="B1562" s="13" t="s">
        <v>443</v>
      </c>
      <c r="C1562" s="11" t="s">
        <v>444</v>
      </c>
      <c r="D1562" s="13" t="s">
        <v>8183</v>
      </c>
      <c r="E1562" s="13" t="s">
        <v>8184</v>
      </c>
      <c r="F1562" s="13" t="s">
        <v>8185</v>
      </c>
      <c r="G1562" s="13" t="s">
        <v>8186</v>
      </c>
      <c r="H1562" s="13" t="s">
        <v>8187</v>
      </c>
    </row>
    <row r="1563" customFormat="false" ht="15" hidden="false" customHeight="true" outlineLevel="0" collapsed="false">
      <c r="A1563" s="13" t="s">
        <v>211</v>
      </c>
      <c r="B1563" s="13" t="s">
        <v>450</v>
      </c>
      <c r="C1563" s="11" t="s">
        <v>451</v>
      </c>
      <c r="D1563" s="13" t="s">
        <v>8188</v>
      </c>
      <c r="E1563" s="13" t="s">
        <v>8189</v>
      </c>
      <c r="F1563" s="13" t="s">
        <v>8190</v>
      </c>
      <c r="G1563" s="13" t="s">
        <v>8191</v>
      </c>
      <c r="H1563" s="13" t="s">
        <v>8192</v>
      </c>
    </row>
    <row r="1564" customFormat="false" ht="15" hidden="false" customHeight="true" outlineLevel="0" collapsed="false">
      <c r="A1564" s="13" t="s">
        <v>211</v>
      </c>
      <c r="B1564" s="13" t="s">
        <v>457</v>
      </c>
      <c r="C1564" s="11" t="s">
        <v>458</v>
      </c>
      <c r="D1564" s="13" t="s">
        <v>8193</v>
      </c>
      <c r="E1564" s="13" t="s">
        <v>8194</v>
      </c>
      <c r="F1564" s="13" t="s">
        <v>8195</v>
      </c>
      <c r="G1564" s="13" t="s">
        <v>8196</v>
      </c>
      <c r="H1564" s="13" t="s">
        <v>8197</v>
      </c>
    </row>
    <row r="1565" customFormat="false" ht="15" hidden="false" customHeight="true" outlineLevel="0" collapsed="false">
      <c r="A1565" s="13" t="s">
        <v>211</v>
      </c>
      <c r="B1565" s="13" t="s">
        <v>464</v>
      </c>
      <c r="C1565" s="11" t="s">
        <v>465</v>
      </c>
      <c r="D1565" s="13" t="s">
        <v>8198</v>
      </c>
      <c r="E1565" s="13" t="s">
        <v>8199</v>
      </c>
      <c r="F1565" s="13" t="s">
        <v>8200</v>
      </c>
      <c r="G1565" s="13" t="s">
        <v>8201</v>
      </c>
      <c r="H1565" s="13" t="s">
        <v>8202</v>
      </c>
    </row>
    <row r="1566" customFormat="false" ht="15" hidden="false" customHeight="true" outlineLevel="0" collapsed="false">
      <c r="A1566" s="13" t="s">
        <v>211</v>
      </c>
      <c r="B1566" s="13" t="s">
        <v>471</v>
      </c>
      <c r="C1566" s="11" t="s">
        <v>472</v>
      </c>
      <c r="D1566" s="13" t="s">
        <v>8203</v>
      </c>
      <c r="E1566" s="13" t="s">
        <v>8204</v>
      </c>
      <c r="F1566" s="13" t="s">
        <v>8205</v>
      </c>
      <c r="G1566" s="13" t="s">
        <v>8206</v>
      </c>
      <c r="H1566" s="13" t="s">
        <v>8207</v>
      </c>
    </row>
    <row r="1567" customFormat="false" ht="15" hidden="false" customHeight="true" outlineLevel="0" collapsed="false">
      <c r="A1567" s="13" t="s">
        <v>211</v>
      </c>
      <c r="B1567" s="13" t="s">
        <v>478</v>
      </c>
      <c r="C1567" s="11" t="s">
        <v>479</v>
      </c>
      <c r="D1567" s="13" t="s">
        <v>8208</v>
      </c>
      <c r="E1567" s="13" t="s">
        <v>8209</v>
      </c>
      <c r="F1567" s="13" t="s">
        <v>8210</v>
      </c>
      <c r="G1567" s="13" t="s">
        <v>8211</v>
      </c>
      <c r="H1567" s="13" t="s">
        <v>8212</v>
      </c>
    </row>
    <row r="1568" customFormat="false" ht="15" hidden="false" customHeight="true" outlineLevel="0" collapsed="false">
      <c r="A1568" s="13" t="s">
        <v>211</v>
      </c>
      <c r="B1568" s="13" t="s">
        <v>485</v>
      </c>
      <c r="C1568" s="11" t="s">
        <v>486</v>
      </c>
      <c r="D1568" s="13" t="s">
        <v>8213</v>
      </c>
      <c r="E1568" s="13" t="s">
        <v>8214</v>
      </c>
      <c r="F1568" s="13" t="s">
        <v>8215</v>
      </c>
      <c r="G1568" s="13" t="s">
        <v>8216</v>
      </c>
      <c r="H1568" s="13" t="s">
        <v>8217</v>
      </c>
    </row>
    <row r="1569" customFormat="false" ht="15" hidden="false" customHeight="true" outlineLevel="0" collapsed="false">
      <c r="A1569" s="13" t="s">
        <v>211</v>
      </c>
      <c r="B1569" s="13" t="s">
        <v>492</v>
      </c>
      <c r="C1569" s="11" t="s">
        <v>493</v>
      </c>
      <c r="D1569" s="13" t="s">
        <v>8218</v>
      </c>
      <c r="E1569" s="13" t="s">
        <v>8219</v>
      </c>
      <c r="F1569" s="13" t="s">
        <v>8220</v>
      </c>
      <c r="G1569" s="13" t="s">
        <v>8221</v>
      </c>
      <c r="H1569" s="13" t="s">
        <v>8222</v>
      </c>
    </row>
    <row r="1570" customFormat="false" ht="15" hidden="false" customHeight="true" outlineLevel="0" collapsed="false">
      <c r="A1570" s="13" t="s">
        <v>211</v>
      </c>
      <c r="B1570" s="13" t="s">
        <v>499</v>
      </c>
      <c r="C1570" s="11" t="s">
        <v>500</v>
      </c>
      <c r="D1570" s="13" t="s">
        <v>8223</v>
      </c>
      <c r="E1570" s="13" t="s">
        <v>8224</v>
      </c>
      <c r="F1570" s="13" t="s">
        <v>8225</v>
      </c>
      <c r="G1570" s="13" t="s">
        <v>8226</v>
      </c>
      <c r="H1570" s="13" t="s">
        <v>8227</v>
      </c>
    </row>
    <row r="1571" customFormat="false" ht="15" hidden="false" customHeight="true" outlineLevel="0" collapsed="false">
      <c r="A1571" s="13" t="s">
        <v>211</v>
      </c>
      <c r="B1571" s="13" t="s">
        <v>506</v>
      </c>
      <c r="C1571" s="11" t="s">
        <v>507</v>
      </c>
      <c r="D1571" s="13" t="s">
        <v>8228</v>
      </c>
      <c r="E1571" s="13" t="s">
        <v>8229</v>
      </c>
      <c r="F1571" s="13" t="s">
        <v>8230</v>
      </c>
      <c r="G1571" s="13" t="s">
        <v>8231</v>
      </c>
      <c r="H1571" s="13" t="s">
        <v>8232</v>
      </c>
    </row>
    <row r="1572" customFormat="false" ht="15" hidden="false" customHeight="true" outlineLevel="0" collapsed="false">
      <c r="A1572" s="13" t="s">
        <v>211</v>
      </c>
      <c r="B1572" s="13" t="s">
        <v>513</v>
      </c>
      <c r="C1572" s="11" t="s">
        <v>514</v>
      </c>
      <c r="D1572" s="13" t="s">
        <v>8233</v>
      </c>
      <c r="E1572" s="13" t="s">
        <v>8234</v>
      </c>
      <c r="F1572" s="13" t="s">
        <v>8235</v>
      </c>
      <c r="G1572" s="13" t="s">
        <v>8236</v>
      </c>
      <c r="H1572" s="13" t="s">
        <v>8237</v>
      </c>
    </row>
    <row r="1573" customFormat="false" ht="15" hidden="false" customHeight="true" outlineLevel="0" collapsed="false">
      <c r="A1573" s="13" t="s">
        <v>211</v>
      </c>
      <c r="B1573" s="13" t="s">
        <v>520</v>
      </c>
      <c r="C1573" s="11" t="s">
        <v>521</v>
      </c>
      <c r="D1573" s="13" t="s">
        <v>8238</v>
      </c>
      <c r="E1573" s="13" t="s">
        <v>8239</v>
      </c>
      <c r="F1573" s="13" t="s">
        <v>8240</v>
      </c>
      <c r="G1573" s="13" t="s">
        <v>8241</v>
      </c>
      <c r="H1573" s="13" t="s">
        <v>8242</v>
      </c>
    </row>
    <row r="1574" customFormat="false" ht="15" hidden="false" customHeight="true" outlineLevel="0" collapsed="false">
      <c r="A1574" s="13" t="s">
        <v>211</v>
      </c>
      <c r="B1574" s="13" t="s">
        <v>527</v>
      </c>
      <c r="C1574" s="11" t="s">
        <v>528</v>
      </c>
      <c r="D1574" s="13" t="s">
        <v>8243</v>
      </c>
      <c r="E1574" s="13" t="s">
        <v>8244</v>
      </c>
      <c r="F1574" s="13" t="s">
        <v>8245</v>
      </c>
      <c r="G1574" s="13" t="s">
        <v>8246</v>
      </c>
      <c r="H1574" s="13" t="s">
        <v>8247</v>
      </c>
    </row>
    <row r="1575" customFormat="false" ht="15" hidden="false" customHeight="true" outlineLevel="0" collapsed="false">
      <c r="A1575" s="13" t="s">
        <v>211</v>
      </c>
      <c r="B1575" s="13" t="s">
        <v>534</v>
      </c>
      <c r="C1575" s="11" t="s">
        <v>535</v>
      </c>
      <c r="D1575" s="13" t="s">
        <v>8248</v>
      </c>
      <c r="E1575" s="13" t="s">
        <v>8249</v>
      </c>
      <c r="F1575" s="13" t="s">
        <v>8250</v>
      </c>
      <c r="G1575" s="13" t="s">
        <v>8251</v>
      </c>
      <c r="H1575" s="13" t="s">
        <v>8252</v>
      </c>
    </row>
    <row r="1576" customFormat="false" ht="15" hidden="false" customHeight="true" outlineLevel="0" collapsed="false">
      <c r="A1576" s="13" t="s">
        <v>211</v>
      </c>
      <c r="B1576" s="13" t="s">
        <v>541</v>
      </c>
      <c r="C1576" s="11" t="s">
        <v>542</v>
      </c>
      <c r="D1576" s="13" t="s">
        <v>8253</v>
      </c>
      <c r="E1576" s="13" t="s">
        <v>8254</v>
      </c>
      <c r="F1576" s="13" t="s">
        <v>8255</v>
      </c>
      <c r="G1576" s="13" t="s">
        <v>8256</v>
      </c>
      <c r="H1576" s="13" t="s">
        <v>8257</v>
      </c>
    </row>
    <row r="1577" customFormat="false" ht="15" hidden="false" customHeight="true" outlineLevel="0" collapsed="false">
      <c r="A1577" s="13" t="s">
        <v>211</v>
      </c>
      <c r="B1577" s="13" t="s">
        <v>548</v>
      </c>
      <c r="C1577" s="11" t="s">
        <v>549</v>
      </c>
      <c r="D1577" s="13" t="s">
        <v>8258</v>
      </c>
      <c r="E1577" s="13" t="s">
        <v>8259</v>
      </c>
      <c r="F1577" s="13" t="s">
        <v>8260</v>
      </c>
      <c r="G1577" s="13" t="s">
        <v>8261</v>
      </c>
      <c r="H1577" s="13" t="s">
        <v>8262</v>
      </c>
    </row>
    <row r="1578" customFormat="false" ht="15" hidden="false" customHeight="true" outlineLevel="0" collapsed="false">
      <c r="A1578" s="13" t="s">
        <v>211</v>
      </c>
      <c r="B1578" s="13" t="s">
        <v>555</v>
      </c>
      <c r="C1578" s="11" t="s">
        <v>556</v>
      </c>
      <c r="D1578" s="13" t="s">
        <v>8263</v>
      </c>
      <c r="E1578" s="13" t="s">
        <v>8264</v>
      </c>
      <c r="F1578" s="13" t="s">
        <v>8265</v>
      </c>
      <c r="G1578" s="13" t="s">
        <v>1192</v>
      </c>
      <c r="H1578" s="13" t="s">
        <v>8266</v>
      </c>
    </row>
    <row r="1579" customFormat="false" ht="15" hidden="false" customHeight="true" outlineLevel="0" collapsed="false">
      <c r="A1579" s="13" t="s">
        <v>211</v>
      </c>
      <c r="B1579" s="13" t="s">
        <v>562</v>
      </c>
      <c r="C1579" s="11" t="s">
        <v>563</v>
      </c>
      <c r="D1579" s="13" t="s">
        <v>8267</v>
      </c>
      <c r="E1579" s="13" t="s">
        <v>8268</v>
      </c>
      <c r="F1579" s="13" t="s">
        <v>8269</v>
      </c>
      <c r="G1579" s="13" t="s">
        <v>8270</v>
      </c>
      <c r="H1579" s="13" t="s">
        <v>8271</v>
      </c>
    </row>
    <row r="1580" customFormat="false" ht="15" hidden="false" customHeight="true" outlineLevel="0" collapsed="false">
      <c r="A1580" s="13" t="s">
        <v>211</v>
      </c>
      <c r="B1580" s="13" t="s">
        <v>569</v>
      </c>
      <c r="C1580" s="11" t="s">
        <v>570</v>
      </c>
      <c r="D1580" s="13" t="s">
        <v>8272</v>
      </c>
      <c r="E1580" s="13" t="s">
        <v>8273</v>
      </c>
      <c r="F1580" s="13" t="s">
        <v>8274</v>
      </c>
      <c r="G1580" s="13" t="s">
        <v>8275</v>
      </c>
      <c r="H1580" s="13" t="s">
        <v>8276</v>
      </c>
    </row>
    <row r="1581" customFormat="false" ht="15" hidden="false" customHeight="true" outlineLevel="0" collapsed="false">
      <c r="A1581" s="13" t="s">
        <v>211</v>
      </c>
      <c r="B1581" s="13" t="s">
        <v>576</v>
      </c>
      <c r="C1581" s="11" t="s">
        <v>577</v>
      </c>
      <c r="D1581" s="13" t="s">
        <v>8277</v>
      </c>
      <c r="E1581" s="13" t="s">
        <v>8278</v>
      </c>
      <c r="F1581" s="13" t="s">
        <v>8279</v>
      </c>
      <c r="G1581" s="13" t="s">
        <v>8280</v>
      </c>
      <c r="H1581" s="13" t="s">
        <v>8281</v>
      </c>
    </row>
    <row r="1582" customFormat="false" ht="15" hidden="false" customHeight="true" outlineLevel="0" collapsed="false">
      <c r="A1582" s="13" t="s">
        <v>211</v>
      </c>
      <c r="B1582" s="13" t="s">
        <v>583</v>
      </c>
      <c r="C1582" s="11" t="s">
        <v>584</v>
      </c>
      <c r="D1582" s="13" t="s">
        <v>8282</v>
      </c>
      <c r="E1582" s="13" t="s">
        <v>8283</v>
      </c>
      <c r="F1582" s="13" t="s">
        <v>8284</v>
      </c>
      <c r="G1582" s="13" t="s">
        <v>8285</v>
      </c>
      <c r="H1582" s="13" t="s">
        <v>8286</v>
      </c>
    </row>
    <row r="1583" customFormat="false" ht="15" hidden="false" customHeight="true" outlineLevel="0" collapsed="false">
      <c r="A1583" s="13" t="s">
        <v>211</v>
      </c>
      <c r="B1583" s="13" t="s">
        <v>590</v>
      </c>
      <c r="C1583" s="11" t="s">
        <v>591</v>
      </c>
      <c r="D1583" s="13" t="s">
        <v>8287</v>
      </c>
      <c r="E1583" s="13" t="s">
        <v>8288</v>
      </c>
      <c r="F1583" s="13" t="s">
        <v>8289</v>
      </c>
      <c r="G1583" s="13" t="s">
        <v>8290</v>
      </c>
      <c r="H1583" s="13" t="s">
        <v>8291</v>
      </c>
    </row>
    <row r="1584" customFormat="false" ht="15" hidden="false" customHeight="true" outlineLevel="0" collapsed="false">
      <c r="A1584" s="13" t="s">
        <v>211</v>
      </c>
      <c r="B1584" s="13" t="s">
        <v>597</v>
      </c>
      <c r="C1584" s="11" t="s">
        <v>598</v>
      </c>
      <c r="D1584" s="13" t="s">
        <v>8292</v>
      </c>
      <c r="E1584" s="13" t="s">
        <v>8293</v>
      </c>
      <c r="F1584" s="13" t="s">
        <v>8294</v>
      </c>
      <c r="G1584" s="13" t="s">
        <v>8295</v>
      </c>
      <c r="H1584" s="13" t="s">
        <v>8296</v>
      </c>
    </row>
    <row r="1585" customFormat="false" ht="15" hidden="false" customHeight="true" outlineLevel="0" collapsed="false">
      <c r="A1585" s="13" t="s">
        <v>211</v>
      </c>
      <c r="B1585" s="13" t="s">
        <v>604</v>
      </c>
      <c r="C1585" s="11" t="s">
        <v>605</v>
      </c>
      <c r="D1585" s="13" t="s">
        <v>8297</v>
      </c>
      <c r="E1585" s="13" t="s">
        <v>8298</v>
      </c>
      <c r="F1585" s="13" t="s">
        <v>8299</v>
      </c>
      <c r="G1585" s="13" t="s">
        <v>8300</v>
      </c>
      <c r="H1585" s="13" t="s">
        <v>8301</v>
      </c>
    </row>
    <row r="1586" customFormat="false" ht="15" hidden="false" customHeight="true" outlineLevel="0" collapsed="false">
      <c r="A1586" s="13" t="s">
        <v>211</v>
      </c>
      <c r="B1586" s="13" t="s">
        <v>611</v>
      </c>
      <c r="C1586" s="11" t="s">
        <v>612</v>
      </c>
      <c r="D1586" s="13" t="s">
        <v>8302</v>
      </c>
      <c r="E1586" s="13" t="s">
        <v>8303</v>
      </c>
      <c r="F1586" s="13" t="s">
        <v>8304</v>
      </c>
      <c r="G1586" s="13" t="s">
        <v>8305</v>
      </c>
      <c r="H1586" s="13" t="s">
        <v>8306</v>
      </c>
    </row>
    <row r="1587" customFormat="false" ht="15" hidden="false" customHeight="true" outlineLevel="0" collapsed="false">
      <c r="A1587" s="13" t="s">
        <v>211</v>
      </c>
      <c r="B1587" s="13" t="s">
        <v>618</v>
      </c>
      <c r="C1587" s="11" t="s">
        <v>619</v>
      </c>
      <c r="D1587" s="13" t="s">
        <v>8307</v>
      </c>
      <c r="E1587" s="13" t="s">
        <v>8308</v>
      </c>
      <c r="F1587" s="13" t="s">
        <v>8309</v>
      </c>
      <c r="G1587" s="13" t="s">
        <v>8310</v>
      </c>
      <c r="H1587" s="13" t="s">
        <v>8311</v>
      </c>
    </row>
    <row r="1588" customFormat="false" ht="15" hidden="false" customHeight="true" outlineLevel="0" collapsed="false">
      <c r="A1588" s="13" t="s">
        <v>211</v>
      </c>
      <c r="B1588" s="13" t="s">
        <v>625</v>
      </c>
      <c r="C1588" s="11" t="s">
        <v>626</v>
      </c>
      <c r="D1588" s="13" t="s">
        <v>8312</v>
      </c>
      <c r="E1588" s="13" t="s">
        <v>8313</v>
      </c>
      <c r="F1588" s="13" t="s">
        <v>8314</v>
      </c>
      <c r="G1588" s="13" t="s">
        <v>8315</v>
      </c>
      <c r="H1588" s="13" t="s">
        <v>8316</v>
      </c>
    </row>
    <row r="1589" customFormat="false" ht="15" hidden="false" customHeight="true" outlineLevel="0" collapsed="false">
      <c r="A1589" s="13" t="s">
        <v>211</v>
      </c>
      <c r="B1589" s="13" t="s">
        <v>632</v>
      </c>
      <c r="C1589" s="11" t="s">
        <v>633</v>
      </c>
      <c r="D1589" s="13" t="s">
        <v>8317</v>
      </c>
      <c r="E1589" s="13" t="s">
        <v>8318</v>
      </c>
      <c r="F1589" s="13" t="s">
        <v>8319</v>
      </c>
      <c r="G1589" s="13" t="s">
        <v>8320</v>
      </c>
      <c r="H1589" s="13" t="s">
        <v>8321</v>
      </c>
    </row>
    <row r="1590" customFormat="false" ht="15" hidden="false" customHeight="true" outlineLevel="0" collapsed="false">
      <c r="A1590" s="13" t="s">
        <v>211</v>
      </c>
      <c r="B1590" s="13" t="s">
        <v>639</v>
      </c>
      <c r="C1590" s="11" t="s">
        <v>640</v>
      </c>
      <c r="D1590" s="13" t="s">
        <v>4106</v>
      </c>
      <c r="E1590" s="13" t="s">
        <v>8322</v>
      </c>
      <c r="F1590" s="13" t="s">
        <v>8323</v>
      </c>
      <c r="G1590" s="13" t="s">
        <v>8324</v>
      </c>
      <c r="H1590" s="13" t="s">
        <v>8325</v>
      </c>
    </row>
    <row r="1591" customFormat="false" ht="15" hidden="false" customHeight="true" outlineLevel="0" collapsed="false">
      <c r="A1591" s="13" t="s">
        <v>211</v>
      </c>
      <c r="B1591" s="13" t="s">
        <v>646</v>
      </c>
      <c r="C1591" s="11" t="s">
        <v>647</v>
      </c>
      <c r="D1591" s="13" t="s">
        <v>8326</v>
      </c>
      <c r="E1591" s="13" t="s">
        <v>8327</v>
      </c>
      <c r="F1591" s="13" t="s">
        <v>8328</v>
      </c>
      <c r="G1591" s="13" t="s">
        <v>8329</v>
      </c>
      <c r="H1591" s="13" t="s">
        <v>8330</v>
      </c>
    </row>
    <row r="1592" customFormat="false" ht="15" hidden="false" customHeight="true" outlineLevel="0" collapsed="false">
      <c r="A1592" s="13" t="s">
        <v>211</v>
      </c>
      <c r="B1592" s="13" t="s">
        <v>653</v>
      </c>
      <c r="C1592" s="11" t="s">
        <v>654</v>
      </c>
      <c r="D1592" s="13" t="s">
        <v>3649</v>
      </c>
      <c r="E1592" s="13" t="s">
        <v>8331</v>
      </c>
      <c r="F1592" s="13" t="s">
        <v>8332</v>
      </c>
      <c r="G1592" s="13" t="s">
        <v>8333</v>
      </c>
      <c r="H1592" s="13" t="s">
        <v>8334</v>
      </c>
    </row>
    <row r="1593" customFormat="false" ht="15" hidden="false" customHeight="true" outlineLevel="0" collapsed="false">
      <c r="A1593" s="13" t="s">
        <v>211</v>
      </c>
      <c r="B1593" s="13" t="s">
        <v>660</v>
      </c>
      <c r="C1593" s="11" t="s">
        <v>661</v>
      </c>
      <c r="D1593" s="13" t="s">
        <v>2198</v>
      </c>
      <c r="E1593" s="13" t="s">
        <v>3187</v>
      </c>
      <c r="F1593" s="13" t="s">
        <v>8335</v>
      </c>
      <c r="G1593" s="13" t="s">
        <v>8336</v>
      </c>
      <c r="H1593" s="13" t="s">
        <v>8337</v>
      </c>
    </row>
    <row r="1594" customFormat="false" ht="15" hidden="false" customHeight="true" outlineLevel="0" collapsed="false">
      <c r="A1594" s="13" t="s">
        <v>211</v>
      </c>
      <c r="B1594" s="13" t="s">
        <v>667</v>
      </c>
      <c r="C1594" s="11" t="s">
        <v>668</v>
      </c>
      <c r="D1594" s="13" t="s">
        <v>8338</v>
      </c>
      <c r="E1594" s="13" t="s">
        <v>8339</v>
      </c>
      <c r="F1594" s="13" t="s">
        <v>8340</v>
      </c>
      <c r="G1594" s="13" t="s">
        <v>8341</v>
      </c>
      <c r="H1594" s="13" t="s">
        <v>8342</v>
      </c>
    </row>
    <row r="1595" customFormat="false" ht="15" hidden="false" customHeight="true" outlineLevel="0" collapsed="false">
      <c r="A1595" s="13" t="s">
        <v>211</v>
      </c>
      <c r="B1595" s="13" t="s">
        <v>674</v>
      </c>
      <c r="C1595" s="11" t="s">
        <v>675</v>
      </c>
      <c r="D1595" s="13" t="s">
        <v>8343</v>
      </c>
      <c r="E1595" s="13" t="s">
        <v>8344</v>
      </c>
      <c r="F1595" s="13" t="s">
        <v>8345</v>
      </c>
      <c r="G1595" s="13" t="s">
        <v>8346</v>
      </c>
      <c r="H1595" s="13" t="s">
        <v>8347</v>
      </c>
    </row>
    <row r="1596" customFormat="false" ht="15" hidden="false" customHeight="true" outlineLevel="0" collapsed="false">
      <c r="A1596" s="13" t="s">
        <v>211</v>
      </c>
      <c r="B1596" s="13" t="s">
        <v>681</v>
      </c>
      <c r="C1596" s="11" t="s">
        <v>682</v>
      </c>
      <c r="D1596" s="13" t="s">
        <v>8348</v>
      </c>
      <c r="E1596" s="13" t="s">
        <v>8349</v>
      </c>
      <c r="F1596" s="13" t="s">
        <v>8350</v>
      </c>
      <c r="G1596" s="13" t="s">
        <v>8351</v>
      </c>
      <c r="H1596" s="13" t="s">
        <v>8352</v>
      </c>
    </row>
    <row r="1597" customFormat="false" ht="15" hidden="false" customHeight="true" outlineLevel="0" collapsed="false">
      <c r="A1597" s="13" t="s">
        <v>211</v>
      </c>
      <c r="B1597" s="13" t="s">
        <v>688</v>
      </c>
      <c r="C1597" s="11" t="s">
        <v>689</v>
      </c>
      <c r="D1597" s="13" t="s">
        <v>5979</v>
      </c>
      <c r="E1597" s="13" t="s">
        <v>6014</v>
      </c>
      <c r="F1597" s="13" t="s">
        <v>8353</v>
      </c>
      <c r="G1597" s="13" t="s">
        <v>8354</v>
      </c>
      <c r="H1597" s="13" t="s">
        <v>8355</v>
      </c>
    </row>
    <row r="1598" customFormat="false" ht="15" hidden="false" customHeight="true" outlineLevel="0" collapsed="false">
      <c r="A1598" s="13" t="s">
        <v>211</v>
      </c>
      <c r="B1598" s="13" t="s">
        <v>695</v>
      </c>
      <c r="C1598" s="11" t="s">
        <v>696</v>
      </c>
      <c r="D1598" s="13" t="s">
        <v>8356</v>
      </c>
      <c r="E1598" s="13" t="s">
        <v>8357</v>
      </c>
      <c r="F1598" s="13" t="s">
        <v>8358</v>
      </c>
      <c r="G1598" s="13" t="s">
        <v>8359</v>
      </c>
      <c r="H1598" s="13" t="s">
        <v>8360</v>
      </c>
    </row>
    <row r="1599" customFormat="false" ht="15" hidden="false" customHeight="true" outlineLevel="0" collapsed="false">
      <c r="A1599" s="13" t="s">
        <v>211</v>
      </c>
      <c r="B1599" s="13" t="s">
        <v>702</v>
      </c>
      <c r="C1599" s="11" t="s">
        <v>703</v>
      </c>
      <c r="D1599" s="13" t="s">
        <v>8361</v>
      </c>
      <c r="E1599" s="13" t="s">
        <v>8362</v>
      </c>
      <c r="F1599" s="13" t="s">
        <v>8363</v>
      </c>
      <c r="G1599" s="13" t="s">
        <v>8364</v>
      </c>
      <c r="H1599" s="13" t="s">
        <v>8365</v>
      </c>
    </row>
    <row r="1600" customFormat="false" ht="15" hidden="false" customHeight="true" outlineLevel="0" collapsed="false">
      <c r="A1600" s="13" t="s">
        <v>211</v>
      </c>
      <c r="B1600" s="13" t="s">
        <v>709</v>
      </c>
      <c r="C1600" s="11" t="s">
        <v>710</v>
      </c>
      <c r="D1600" s="13" t="s">
        <v>1086</v>
      </c>
      <c r="E1600" s="13" t="s">
        <v>8366</v>
      </c>
      <c r="F1600" s="13" t="s">
        <v>8367</v>
      </c>
      <c r="G1600" s="13" t="s">
        <v>8368</v>
      </c>
      <c r="H1600" s="13" t="s">
        <v>8369</v>
      </c>
    </row>
    <row r="1601" customFormat="false" ht="15" hidden="false" customHeight="true" outlineLevel="0" collapsed="false">
      <c r="A1601" s="13" t="s">
        <v>211</v>
      </c>
      <c r="B1601" s="13" t="s">
        <v>716</v>
      </c>
      <c r="C1601" s="11" t="s">
        <v>717</v>
      </c>
      <c r="D1601" s="13" t="s">
        <v>8370</v>
      </c>
      <c r="E1601" s="13" t="s">
        <v>8371</v>
      </c>
      <c r="F1601" s="13" t="s">
        <v>8372</v>
      </c>
      <c r="G1601" s="13" t="s">
        <v>8373</v>
      </c>
      <c r="H1601" s="13" t="s">
        <v>8374</v>
      </c>
    </row>
    <row r="1602" customFormat="false" ht="15" hidden="false" customHeight="true" outlineLevel="0" collapsed="false">
      <c r="A1602" s="13" t="s">
        <v>211</v>
      </c>
      <c r="B1602" s="13" t="s">
        <v>723</v>
      </c>
      <c r="C1602" s="11" t="s">
        <v>724</v>
      </c>
      <c r="D1602" s="13" t="s">
        <v>8375</v>
      </c>
      <c r="E1602" s="13" t="s">
        <v>8376</v>
      </c>
      <c r="F1602" s="13" t="s">
        <v>8377</v>
      </c>
      <c r="G1602" s="13" t="s">
        <v>8378</v>
      </c>
      <c r="H1602" s="13" t="s">
        <v>6410</v>
      </c>
    </row>
    <row r="1603" customFormat="false" ht="15" hidden="false" customHeight="true" outlineLevel="0" collapsed="false">
      <c r="A1603" s="13" t="s">
        <v>211</v>
      </c>
      <c r="B1603" s="13" t="s">
        <v>730</v>
      </c>
      <c r="C1603" s="11" t="s">
        <v>731</v>
      </c>
      <c r="D1603" s="13" t="s">
        <v>8379</v>
      </c>
      <c r="E1603" s="13" t="s">
        <v>8380</v>
      </c>
      <c r="F1603" s="13" t="s">
        <v>8381</v>
      </c>
      <c r="G1603" s="13" t="s">
        <v>8382</v>
      </c>
      <c r="H1603" s="13" t="s">
        <v>8383</v>
      </c>
    </row>
    <row r="1604" customFormat="false" ht="15" hidden="false" customHeight="true" outlineLevel="0" collapsed="false">
      <c r="A1604" s="13" t="s">
        <v>211</v>
      </c>
      <c r="B1604" s="13" t="s">
        <v>737</v>
      </c>
      <c r="C1604" s="11" t="s">
        <v>738</v>
      </c>
      <c r="D1604" s="13" t="s">
        <v>8384</v>
      </c>
      <c r="E1604" s="13" t="s">
        <v>8385</v>
      </c>
      <c r="F1604" s="13" t="s">
        <v>8386</v>
      </c>
      <c r="G1604" s="13" t="s">
        <v>8387</v>
      </c>
      <c r="H1604" s="13" t="s">
        <v>8388</v>
      </c>
    </row>
    <row r="1605" customFormat="false" ht="15" hidden="false" customHeight="true" outlineLevel="0" collapsed="false">
      <c r="A1605" s="13" t="s">
        <v>211</v>
      </c>
      <c r="B1605" s="13" t="s">
        <v>744</v>
      </c>
      <c r="C1605" s="11" t="s">
        <v>745</v>
      </c>
      <c r="D1605" s="13" t="s">
        <v>8389</v>
      </c>
      <c r="E1605" s="13" t="s">
        <v>8390</v>
      </c>
      <c r="F1605" s="13" t="s">
        <v>8391</v>
      </c>
      <c r="G1605" s="13" t="s">
        <v>8392</v>
      </c>
      <c r="H1605" s="13" t="s">
        <v>8393</v>
      </c>
    </row>
    <row r="1606" customFormat="false" ht="15" hidden="false" customHeight="true" outlineLevel="0" collapsed="false">
      <c r="A1606" s="13" t="s">
        <v>211</v>
      </c>
      <c r="B1606" s="13" t="s">
        <v>751</v>
      </c>
      <c r="C1606" s="11" t="s">
        <v>752</v>
      </c>
      <c r="D1606" s="13" t="s">
        <v>8394</v>
      </c>
      <c r="E1606" s="13" t="s">
        <v>8395</v>
      </c>
      <c r="F1606" s="13" t="s">
        <v>8396</v>
      </c>
      <c r="G1606" s="13" t="s">
        <v>8397</v>
      </c>
      <c r="H1606" s="13" t="s">
        <v>8398</v>
      </c>
    </row>
    <row r="1607" customFormat="false" ht="15" hidden="false" customHeight="true" outlineLevel="0" collapsed="false">
      <c r="A1607" s="13" t="s">
        <v>211</v>
      </c>
      <c r="B1607" s="13" t="s">
        <v>758</v>
      </c>
      <c r="C1607" s="11" t="s">
        <v>759</v>
      </c>
      <c r="D1607" s="13" t="s">
        <v>8399</v>
      </c>
      <c r="E1607" s="13" t="s">
        <v>8400</v>
      </c>
      <c r="F1607" s="13" t="s">
        <v>8401</v>
      </c>
      <c r="G1607" s="13" t="s">
        <v>8402</v>
      </c>
      <c r="H1607" s="13" t="s">
        <v>8403</v>
      </c>
    </row>
    <row r="1608" customFormat="false" ht="15" hidden="false" customHeight="true" outlineLevel="0" collapsed="false">
      <c r="A1608" s="13" t="s">
        <v>211</v>
      </c>
      <c r="B1608" s="13" t="s">
        <v>765</v>
      </c>
      <c r="C1608" s="11" t="s">
        <v>766</v>
      </c>
      <c r="D1608" s="13" t="s">
        <v>8404</v>
      </c>
      <c r="E1608" s="13" t="s">
        <v>8405</v>
      </c>
      <c r="F1608" s="13" t="s">
        <v>8406</v>
      </c>
      <c r="G1608" s="13" t="s">
        <v>8407</v>
      </c>
      <c r="H1608" s="13" t="s">
        <v>8408</v>
      </c>
    </row>
    <row r="1609" customFormat="false" ht="15" hidden="false" customHeight="true" outlineLevel="0" collapsed="false">
      <c r="A1609" s="13" t="s">
        <v>211</v>
      </c>
      <c r="B1609" s="13" t="s">
        <v>772</v>
      </c>
      <c r="C1609" s="11" t="s">
        <v>773</v>
      </c>
      <c r="D1609" s="13" t="s">
        <v>8409</v>
      </c>
      <c r="E1609" s="13" t="s">
        <v>8410</v>
      </c>
      <c r="F1609" s="13" t="s">
        <v>8411</v>
      </c>
      <c r="G1609" s="13" t="s">
        <v>8412</v>
      </c>
      <c r="H1609" s="13" t="s">
        <v>8413</v>
      </c>
    </row>
    <row r="1610" customFormat="false" ht="15" hidden="false" customHeight="true" outlineLevel="0" collapsed="false">
      <c r="A1610" s="13" t="s">
        <v>211</v>
      </c>
      <c r="B1610" s="13" t="s">
        <v>779</v>
      </c>
      <c r="C1610" s="11" t="s">
        <v>780</v>
      </c>
      <c r="D1610" s="13" t="s">
        <v>8414</v>
      </c>
      <c r="E1610" s="13" t="s">
        <v>8415</v>
      </c>
      <c r="F1610" s="13" t="s">
        <v>8416</v>
      </c>
      <c r="G1610" s="13" t="s">
        <v>8417</v>
      </c>
      <c r="H1610" s="13" t="s">
        <v>8418</v>
      </c>
    </row>
    <row r="1611" customFormat="false" ht="15" hidden="false" customHeight="true" outlineLevel="0" collapsed="false">
      <c r="A1611" s="13" t="s">
        <v>211</v>
      </c>
      <c r="B1611" s="13" t="s">
        <v>786</v>
      </c>
      <c r="C1611" s="11" t="s">
        <v>787</v>
      </c>
      <c r="D1611" s="13" t="s">
        <v>8419</v>
      </c>
      <c r="E1611" s="13" t="s">
        <v>8420</v>
      </c>
      <c r="F1611" s="13" t="s">
        <v>8421</v>
      </c>
      <c r="G1611" s="13" t="s">
        <v>8422</v>
      </c>
      <c r="H1611" s="13" t="s">
        <v>8423</v>
      </c>
    </row>
    <row r="1612" customFormat="false" ht="15" hidden="false" customHeight="true" outlineLevel="0" collapsed="false">
      <c r="A1612" s="13" t="s">
        <v>211</v>
      </c>
      <c r="B1612" s="13" t="s">
        <v>793</v>
      </c>
      <c r="C1612" s="11" t="s">
        <v>794</v>
      </c>
      <c r="D1612" s="13" t="s">
        <v>8424</v>
      </c>
      <c r="E1612" s="13" t="s">
        <v>8425</v>
      </c>
      <c r="F1612" s="13" t="s">
        <v>8426</v>
      </c>
      <c r="G1612" s="13" t="s">
        <v>8427</v>
      </c>
      <c r="H1612" s="13" t="s">
        <v>8428</v>
      </c>
    </row>
    <row r="1613" customFormat="false" ht="15" hidden="false" customHeight="true" outlineLevel="0" collapsed="false">
      <c r="A1613" s="13" t="s">
        <v>211</v>
      </c>
      <c r="B1613" s="13" t="s">
        <v>800</v>
      </c>
      <c r="C1613" s="11" t="s">
        <v>801</v>
      </c>
      <c r="D1613" s="13" t="s">
        <v>2994</v>
      </c>
      <c r="E1613" s="13" t="s">
        <v>1047</v>
      </c>
      <c r="F1613" s="13" t="s">
        <v>8429</v>
      </c>
      <c r="G1613" s="13" t="s">
        <v>8430</v>
      </c>
      <c r="H1613" s="13" t="s">
        <v>8431</v>
      </c>
    </row>
    <row r="1614" customFormat="false" ht="15" hidden="false" customHeight="true" outlineLevel="0" collapsed="false">
      <c r="A1614" s="13" t="s">
        <v>211</v>
      </c>
      <c r="B1614" s="13" t="s">
        <v>806</v>
      </c>
      <c r="C1614" s="11" t="s">
        <v>807</v>
      </c>
      <c r="D1614" s="13" t="s">
        <v>4210</v>
      </c>
      <c r="E1614" s="13" t="s">
        <v>8432</v>
      </c>
      <c r="F1614" s="13" t="s">
        <v>8433</v>
      </c>
      <c r="G1614" s="13" t="s">
        <v>8434</v>
      </c>
      <c r="H1614" s="13" t="s">
        <v>8435</v>
      </c>
    </row>
    <row r="1615" customFormat="false" ht="15" hidden="false" customHeight="true" outlineLevel="0" collapsed="false">
      <c r="A1615" s="13" t="s">
        <v>211</v>
      </c>
      <c r="B1615" s="13" t="s">
        <v>813</v>
      </c>
      <c r="C1615" s="11" t="s">
        <v>814</v>
      </c>
      <c r="D1615" s="13" t="s">
        <v>8436</v>
      </c>
      <c r="E1615" s="13" t="s">
        <v>8437</v>
      </c>
      <c r="F1615" s="13" t="s">
        <v>8438</v>
      </c>
      <c r="G1615" s="13" t="s">
        <v>8439</v>
      </c>
      <c r="H1615" s="13" t="s">
        <v>8440</v>
      </c>
    </row>
    <row r="1616" customFormat="false" ht="15" hidden="false" customHeight="true" outlineLevel="0" collapsed="false">
      <c r="A1616" s="13" t="s">
        <v>211</v>
      </c>
      <c r="B1616" s="13" t="s">
        <v>820</v>
      </c>
      <c r="C1616" s="11" t="s">
        <v>821</v>
      </c>
      <c r="D1616" s="13" t="s">
        <v>8441</v>
      </c>
      <c r="E1616" s="13" t="s">
        <v>8442</v>
      </c>
      <c r="F1616" s="13" t="s">
        <v>8443</v>
      </c>
      <c r="G1616" s="13" t="s">
        <v>8444</v>
      </c>
      <c r="H1616" s="13" t="s">
        <v>8445</v>
      </c>
    </row>
    <row r="1617" customFormat="false" ht="15" hidden="false" customHeight="true" outlineLevel="0" collapsed="false">
      <c r="A1617" s="13" t="s">
        <v>211</v>
      </c>
      <c r="B1617" s="13" t="s">
        <v>827</v>
      </c>
      <c r="C1617" s="11" t="s">
        <v>828</v>
      </c>
      <c r="D1617" s="13" t="s">
        <v>8446</v>
      </c>
      <c r="E1617" s="13" t="s">
        <v>8447</v>
      </c>
      <c r="F1617" s="13" t="s">
        <v>8448</v>
      </c>
      <c r="G1617" s="13" t="s">
        <v>8449</v>
      </c>
      <c r="H1617" s="13" t="s">
        <v>8450</v>
      </c>
    </row>
    <row r="1618" customFormat="false" ht="15" hidden="false" customHeight="true" outlineLevel="0" collapsed="false">
      <c r="A1618" s="13" t="s">
        <v>211</v>
      </c>
      <c r="B1618" s="13" t="s">
        <v>834</v>
      </c>
      <c r="C1618" s="11" t="s">
        <v>835</v>
      </c>
      <c r="D1618" s="13" t="s">
        <v>8451</v>
      </c>
      <c r="E1618" s="13" t="s">
        <v>8452</v>
      </c>
      <c r="F1618" s="13" t="s">
        <v>8453</v>
      </c>
      <c r="G1618" s="13" t="s">
        <v>8454</v>
      </c>
      <c r="H1618" s="13" t="s">
        <v>8455</v>
      </c>
    </row>
    <row r="1619" customFormat="false" ht="15" hidden="false" customHeight="true" outlineLevel="0" collapsed="false">
      <c r="A1619" s="13" t="s">
        <v>211</v>
      </c>
      <c r="B1619" s="13" t="s">
        <v>841</v>
      </c>
      <c r="C1619" s="11" t="s">
        <v>842</v>
      </c>
      <c r="D1619" s="13" t="s">
        <v>8456</v>
      </c>
      <c r="E1619" s="13" t="s">
        <v>8457</v>
      </c>
      <c r="F1619" s="13" t="s">
        <v>8458</v>
      </c>
      <c r="G1619" s="13" t="s">
        <v>8459</v>
      </c>
      <c r="H1619" s="13" t="s">
        <v>8460</v>
      </c>
    </row>
    <row r="1620" customFormat="false" ht="15" hidden="false" customHeight="true" outlineLevel="0" collapsed="false">
      <c r="A1620" s="13" t="s">
        <v>211</v>
      </c>
      <c r="B1620" s="13" t="s">
        <v>848</v>
      </c>
      <c r="C1620" s="11" t="s">
        <v>849</v>
      </c>
      <c r="D1620" s="13" t="s">
        <v>8461</v>
      </c>
      <c r="E1620" s="13" t="s">
        <v>8462</v>
      </c>
      <c r="F1620" s="13" t="s">
        <v>8463</v>
      </c>
      <c r="G1620" s="13" t="s">
        <v>8464</v>
      </c>
      <c r="H1620" s="13" t="s">
        <v>8465</v>
      </c>
    </row>
    <row r="1621" customFormat="false" ht="15" hidden="false" customHeight="true" outlineLevel="0" collapsed="false">
      <c r="A1621" s="13" t="s">
        <v>211</v>
      </c>
      <c r="B1621" s="13" t="s">
        <v>855</v>
      </c>
      <c r="C1621" s="11" t="s">
        <v>856</v>
      </c>
      <c r="D1621" s="13" t="s">
        <v>8466</v>
      </c>
      <c r="E1621" s="13" t="s">
        <v>8467</v>
      </c>
      <c r="F1621" s="13" t="s">
        <v>8468</v>
      </c>
      <c r="G1621" s="13" t="s">
        <v>8469</v>
      </c>
      <c r="H1621" s="13" t="s">
        <v>8470</v>
      </c>
    </row>
    <row r="1622" customFormat="false" ht="15" hidden="false" customHeight="true" outlineLevel="0" collapsed="false">
      <c r="A1622" s="13" t="s">
        <v>211</v>
      </c>
      <c r="B1622" s="13" t="s">
        <v>862</v>
      </c>
      <c r="C1622" s="11" t="s">
        <v>863</v>
      </c>
      <c r="D1622" s="13" t="s">
        <v>8471</v>
      </c>
      <c r="E1622" s="13" t="s">
        <v>8472</v>
      </c>
      <c r="F1622" s="13" t="s">
        <v>8473</v>
      </c>
      <c r="G1622" s="13" t="s">
        <v>8474</v>
      </c>
      <c r="H1622" s="13" t="s">
        <v>8475</v>
      </c>
    </row>
    <row r="1623" customFormat="false" ht="15" hidden="false" customHeight="true" outlineLevel="0" collapsed="false">
      <c r="A1623" s="13" t="s">
        <v>211</v>
      </c>
      <c r="B1623" s="13" t="s">
        <v>869</v>
      </c>
      <c r="C1623" s="11" t="s">
        <v>870</v>
      </c>
      <c r="D1623" s="13" t="s">
        <v>8476</v>
      </c>
      <c r="E1623" s="13" t="s">
        <v>8477</v>
      </c>
      <c r="F1623" s="13" t="s">
        <v>8478</v>
      </c>
      <c r="G1623" s="13" t="s">
        <v>8479</v>
      </c>
      <c r="H1623" s="13" t="s">
        <v>8480</v>
      </c>
    </row>
    <row r="1624" customFormat="false" ht="15" hidden="false" customHeight="true" outlineLevel="0" collapsed="false">
      <c r="A1624" s="13" t="s">
        <v>211</v>
      </c>
      <c r="B1624" s="13" t="s">
        <v>876</v>
      </c>
      <c r="C1624" s="11" t="s">
        <v>877</v>
      </c>
      <c r="D1624" s="13" t="s">
        <v>8481</v>
      </c>
      <c r="E1624" s="13" t="s">
        <v>8482</v>
      </c>
      <c r="F1624" s="13" t="s">
        <v>8483</v>
      </c>
      <c r="G1624" s="13" t="s">
        <v>8484</v>
      </c>
      <c r="H1624" s="13" t="s">
        <v>8485</v>
      </c>
    </row>
    <row r="1625" customFormat="false" ht="15" hidden="false" customHeight="true" outlineLevel="0" collapsed="false">
      <c r="A1625" s="13" t="s">
        <v>211</v>
      </c>
      <c r="B1625" s="13" t="s">
        <v>883</v>
      </c>
      <c r="C1625" s="11" t="s">
        <v>884</v>
      </c>
      <c r="D1625" s="13" t="s">
        <v>8486</v>
      </c>
      <c r="E1625" s="13" t="s">
        <v>8487</v>
      </c>
      <c r="F1625" s="13" t="s">
        <v>8488</v>
      </c>
      <c r="G1625" s="13" t="s">
        <v>8434</v>
      </c>
      <c r="H1625" s="13" t="s">
        <v>8489</v>
      </c>
    </row>
    <row r="1626" customFormat="false" ht="15" hidden="false" customHeight="true" outlineLevel="0" collapsed="false">
      <c r="A1626" s="13" t="s">
        <v>211</v>
      </c>
      <c r="B1626" s="13" t="s">
        <v>890</v>
      </c>
      <c r="C1626" s="11" t="s">
        <v>891</v>
      </c>
      <c r="D1626" s="13" t="s">
        <v>8490</v>
      </c>
      <c r="E1626" s="13" t="s">
        <v>8393</v>
      </c>
      <c r="F1626" s="13" t="s">
        <v>8491</v>
      </c>
      <c r="G1626" s="13" t="s">
        <v>8492</v>
      </c>
      <c r="H1626" s="13" t="s">
        <v>8493</v>
      </c>
    </row>
    <row r="1627" customFormat="false" ht="15" hidden="false" customHeight="true" outlineLevel="0" collapsed="false">
      <c r="A1627" s="13" t="s">
        <v>211</v>
      </c>
      <c r="B1627" s="13" t="s">
        <v>897</v>
      </c>
      <c r="C1627" s="11" t="s">
        <v>898</v>
      </c>
      <c r="D1627" s="13" t="s">
        <v>8494</v>
      </c>
      <c r="E1627" s="13" t="s">
        <v>8495</v>
      </c>
      <c r="F1627" s="13" t="s">
        <v>8496</v>
      </c>
      <c r="G1627" s="13" t="s">
        <v>8497</v>
      </c>
      <c r="H1627" s="13" t="s">
        <v>8498</v>
      </c>
    </row>
    <row r="1628" customFormat="false" ht="15" hidden="false" customHeight="true" outlineLevel="0" collapsed="false">
      <c r="A1628" s="13" t="s">
        <v>211</v>
      </c>
      <c r="B1628" s="13" t="s">
        <v>904</v>
      </c>
      <c r="C1628" s="11" t="s">
        <v>905</v>
      </c>
      <c r="D1628" s="13" t="s">
        <v>8499</v>
      </c>
      <c r="E1628" s="13" t="s">
        <v>8500</v>
      </c>
      <c r="F1628" s="13" t="s">
        <v>8501</v>
      </c>
      <c r="G1628" s="13" t="s">
        <v>8502</v>
      </c>
      <c r="H1628" s="13" t="s">
        <v>8503</v>
      </c>
    </row>
    <row r="1629" customFormat="false" ht="15" hidden="false" customHeight="true" outlineLevel="0" collapsed="false">
      <c r="A1629" s="13" t="s">
        <v>211</v>
      </c>
      <c r="B1629" s="13" t="s">
        <v>911</v>
      </c>
      <c r="C1629" s="11" t="s">
        <v>912</v>
      </c>
      <c r="D1629" s="13" t="s">
        <v>8504</v>
      </c>
      <c r="E1629" s="13" t="s">
        <v>8505</v>
      </c>
      <c r="F1629" s="13" t="s">
        <v>8506</v>
      </c>
      <c r="G1629" s="13" t="s">
        <v>8507</v>
      </c>
      <c r="H1629" s="13" t="s">
        <v>8508</v>
      </c>
    </row>
    <row r="1630" customFormat="false" ht="15" hidden="false" customHeight="true" outlineLevel="0" collapsed="false">
      <c r="A1630" s="13" t="s">
        <v>211</v>
      </c>
      <c r="B1630" s="13" t="s">
        <v>918</v>
      </c>
      <c r="C1630" s="11" t="s">
        <v>919</v>
      </c>
      <c r="D1630" s="13" t="s">
        <v>8509</v>
      </c>
      <c r="E1630" s="13" t="s">
        <v>8510</v>
      </c>
      <c r="F1630" s="13" t="s">
        <v>8511</v>
      </c>
      <c r="G1630" s="13" t="s">
        <v>8512</v>
      </c>
      <c r="H1630" s="13" t="s">
        <v>8513</v>
      </c>
    </row>
    <row r="1631" customFormat="false" ht="15" hidden="false" customHeight="true" outlineLevel="0" collapsed="false">
      <c r="A1631" s="13" t="s">
        <v>211</v>
      </c>
      <c r="B1631" s="13" t="s">
        <v>925</v>
      </c>
      <c r="C1631" s="11" t="s">
        <v>926</v>
      </c>
      <c r="D1631" s="13" t="s">
        <v>8514</v>
      </c>
      <c r="E1631" s="13" t="s">
        <v>8515</v>
      </c>
      <c r="F1631" s="13" t="s">
        <v>8516</v>
      </c>
      <c r="G1631" s="13" t="s">
        <v>8517</v>
      </c>
      <c r="H1631" s="13" t="s">
        <v>8518</v>
      </c>
    </row>
    <row r="1632" customFormat="false" ht="15" hidden="false" customHeight="true" outlineLevel="0" collapsed="false">
      <c r="A1632" s="13" t="s">
        <v>211</v>
      </c>
      <c r="B1632" s="13" t="s">
        <v>932</v>
      </c>
      <c r="C1632" s="11" t="s">
        <v>933</v>
      </c>
      <c r="D1632" s="13" t="s">
        <v>8519</v>
      </c>
      <c r="E1632" s="13" t="s">
        <v>8520</v>
      </c>
      <c r="F1632" s="13" t="s">
        <v>8521</v>
      </c>
      <c r="G1632" s="13" t="s">
        <v>8522</v>
      </c>
      <c r="H1632" s="13" t="s">
        <v>8523</v>
      </c>
    </row>
    <row r="1633" customFormat="false" ht="15" hidden="false" customHeight="true" outlineLevel="0" collapsed="false">
      <c r="A1633" s="13" t="s">
        <v>211</v>
      </c>
      <c r="B1633" s="13" t="s">
        <v>939</v>
      </c>
      <c r="C1633" s="11" t="s">
        <v>940</v>
      </c>
      <c r="D1633" s="13" t="s">
        <v>8524</v>
      </c>
      <c r="E1633" s="13" t="s">
        <v>8525</v>
      </c>
      <c r="F1633" s="13" t="s">
        <v>8526</v>
      </c>
      <c r="G1633" s="13" t="s">
        <v>8527</v>
      </c>
      <c r="H1633" s="13" t="s">
        <v>8528</v>
      </c>
    </row>
    <row r="1634" customFormat="false" ht="15" hidden="false" customHeight="true" outlineLevel="0" collapsed="false">
      <c r="A1634" s="13" t="s">
        <v>211</v>
      </c>
      <c r="B1634" s="13" t="s">
        <v>946</v>
      </c>
      <c r="C1634" s="11" t="s">
        <v>947</v>
      </c>
      <c r="D1634" s="13" t="s">
        <v>8529</v>
      </c>
      <c r="E1634" s="13" t="s">
        <v>8530</v>
      </c>
      <c r="F1634" s="13" t="s">
        <v>8531</v>
      </c>
      <c r="G1634" s="13" t="s">
        <v>8532</v>
      </c>
      <c r="H1634" s="13" t="s">
        <v>8533</v>
      </c>
    </row>
    <row r="1635" customFormat="false" ht="15" hidden="false" customHeight="true" outlineLevel="0" collapsed="false">
      <c r="A1635" s="13" t="s">
        <v>211</v>
      </c>
      <c r="B1635" s="13" t="s">
        <v>953</v>
      </c>
      <c r="C1635" s="11" t="s">
        <v>954</v>
      </c>
      <c r="D1635" s="13" t="s">
        <v>8534</v>
      </c>
      <c r="E1635" s="13" t="s">
        <v>8535</v>
      </c>
      <c r="F1635" s="13" t="s">
        <v>8536</v>
      </c>
      <c r="G1635" s="13" t="s">
        <v>8537</v>
      </c>
      <c r="H1635" s="13" t="s">
        <v>8538</v>
      </c>
    </row>
    <row r="1636" customFormat="false" ht="15" hidden="false" customHeight="true" outlineLevel="0" collapsed="false">
      <c r="A1636" s="13" t="s">
        <v>211</v>
      </c>
      <c r="B1636" s="13" t="s">
        <v>960</v>
      </c>
      <c r="C1636" s="11" t="s">
        <v>961</v>
      </c>
      <c r="D1636" s="13" t="s">
        <v>8539</v>
      </c>
      <c r="E1636" s="13" t="s">
        <v>8540</v>
      </c>
      <c r="F1636" s="13" t="s">
        <v>8541</v>
      </c>
      <c r="G1636" s="13" t="s">
        <v>8542</v>
      </c>
      <c r="H1636" s="13" t="s">
        <v>8543</v>
      </c>
    </row>
    <row r="1637" customFormat="false" ht="15" hidden="false" customHeight="true" outlineLevel="0" collapsed="false">
      <c r="A1637" s="13" t="s">
        <v>211</v>
      </c>
      <c r="B1637" s="13" t="s">
        <v>967</v>
      </c>
      <c r="C1637" s="11" t="s">
        <v>968</v>
      </c>
      <c r="D1637" s="13" t="s">
        <v>8544</v>
      </c>
      <c r="E1637" s="13" t="s">
        <v>8545</v>
      </c>
      <c r="F1637" s="13" t="s">
        <v>8546</v>
      </c>
      <c r="G1637" s="13" t="s">
        <v>8547</v>
      </c>
      <c r="H1637" s="13" t="s">
        <v>8548</v>
      </c>
    </row>
    <row r="1638" customFormat="false" ht="15" hidden="false" customHeight="true" outlineLevel="0" collapsed="false">
      <c r="A1638" s="13" t="s">
        <v>211</v>
      </c>
      <c r="B1638" s="13" t="s">
        <v>974</v>
      </c>
      <c r="C1638" s="11" t="s">
        <v>975</v>
      </c>
      <c r="D1638" s="13" t="s">
        <v>8549</v>
      </c>
      <c r="E1638" s="13" t="s">
        <v>8550</v>
      </c>
      <c r="F1638" s="13" t="s">
        <v>8551</v>
      </c>
      <c r="G1638" s="13" t="s">
        <v>8552</v>
      </c>
      <c r="H1638" s="13" t="s">
        <v>8553</v>
      </c>
    </row>
    <row r="1639" customFormat="false" ht="15" hidden="false" customHeight="true" outlineLevel="0" collapsed="false">
      <c r="A1639" s="13" t="s">
        <v>211</v>
      </c>
      <c r="B1639" s="13" t="s">
        <v>981</v>
      </c>
      <c r="C1639" s="11" t="s">
        <v>982</v>
      </c>
      <c r="D1639" s="13" t="s">
        <v>8554</v>
      </c>
      <c r="E1639" s="13" t="s">
        <v>8555</v>
      </c>
      <c r="F1639" s="13" t="s">
        <v>8556</v>
      </c>
      <c r="G1639" s="13" t="s">
        <v>8557</v>
      </c>
      <c r="H1639" s="13" t="s">
        <v>8558</v>
      </c>
    </row>
    <row r="1640" customFormat="false" ht="15" hidden="false" customHeight="true" outlineLevel="0" collapsed="false">
      <c r="A1640" s="13" t="s">
        <v>211</v>
      </c>
      <c r="B1640" s="13" t="s">
        <v>988</v>
      </c>
      <c r="C1640" s="11" t="s">
        <v>989</v>
      </c>
      <c r="D1640" s="13" t="s">
        <v>8559</v>
      </c>
      <c r="E1640" s="13" t="s">
        <v>8560</v>
      </c>
      <c r="F1640" s="13" t="s">
        <v>8561</v>
      </c>
      <c r="G1640" s="13" t="s">
        <v>8562</v>
      </c>
      <c r="H1640" s="13" t="s">
        <v>8563</v>
      </c>
    </row>
    <row r="1641" customFormat="false" ht="15" hidden="false" customHeight="true" outlineLevel="0" collapsed="false">
      <c r="A1641" s="13" t="s">
        <v>211</v>
      </c>
      <c r="B1641" s="13" t="s">
        <v>995</v>
      </c>
      <c r="C1641" s="11" t="s">
        <v>996</v>
      </c>
      <c r="D1641" s="13" t="s">
        <v>8564</v>
      </c>
      <c r="E1641" s="13" t="s">
        <v>8565</v>
      </c>
      <c r="F1641" s="13" t="s">
        <v>8566</v>
      </c>
      <c r="G1641" s="13" t="s">
        <v>8567</v>
      </c>
      <c r="H1641" s="13" t="s">
        <v>8568</v>
      </c>
    </row>
    <row r="1642" customFormat="false" ht="15" hidden="false" customHeight="true" outlineLevel="0" collapsed="false">
      <c r="A1642" s="13" t="s">
        <v>211</v>
      </c>
      <c r="B1642" s="13" t="s">
        <v>1002</v>
      </c>
      <c r="C1642" s="11" t="s">
        <v>1003</v>
      </c>
      <c r="D1642" s="13" t="s">
        <v>8569</v>
      </c>
      <c r="E1642" s="13" t="s">
        <v>8570</v>
      </c>
      <c r="F1642" s="13" t="s">
        <v>8571</v>
      </c>
      <c r="G1642" s="13" t="s">
        <v>8572</v>
      </c>
      <c r="H1642" s="13" t="s">
        <v>8573</v>
      </c>
    </row>
    <row r="1643" customFormat="false" ht="15" hidden="false" customHeight="true" outlineLevel="0" collapsed="false">
      <c r="A1643" s="13" t="s">
        <v>211</v>
      </c>
      <c r="B1643" s="13" t="s">
        <v>1009</v>
      </c>
      <c r="C1643" s="11" t="s">
        <v>1010</v>
      </c>
      <c r="D1643" s="13" t="s">
        <v>8574</v>
      </c>
      <c r="E1643" s="13" t="s">
        <v>8575</v>
      </c>
      <c r="F1643" s="13" t="s">
        <v>8576</v>
      </c>
      <c r="G1643" s="13" t="s">
        <v>8577</v>
      </c>
      <c r="H1643" s="13" t="s">
        <v>8578</v>
      </c>
    </row>
    <row r="1644" customFormat="false" ht="15" hidden="false" customHeight="true" outlineLevel="0" collapsed="false">
      <c r="A1644" s="13" t="s">
        <v>219</v>
      </c>
      <c r="B1644" s="13" t="s">
        <v>345</v>
      </c>
      <c r="C1644" s="11" t="s">
        <v>346</v>
      </c>
      <c r="D1644" s="13" t="s">
        <v>6245</v>
      </c>
      <c r="E1644" s="13" t="s">
        <v>8579</v>
      </c>
      <c r="F1644" s="13" t="s">
        <v>8580</v>
      </c>
      <c r="G1644" s="13" t="s">
        <v>8581</v>
      </c>
      <c r="H1644" s="13" t="s">
        <v>8582</v>
      </c>
    </row>
    <row r="1645" customFormat="false" ht="15" hidden="false" customHeight="true" outlineLevel="0" collapsed="false">
      <c r="A1645" s="13" t="s">
        <v>219</v>
      </c>
      <c r="B1645" s="13" t="s">
        <v>352</v>
      </c>
      <c r="C1645" s="11" t="s">
        <v>353</v>
      </c>
      <c r="D1645" s="13" t="s">
        <v>8583</v>
      </c>
      <c r="E1645" s="13" t="s">
        <v>8584</v>
      </c>
      <c r="F1645" s="13" t="s">
        <v>8585</v>
      </c>
      <c r="G1645" s="13" t="s">
        <v>8586</v>
      </c>
      <c r="H1645" s="13" t="s">
        <v>8587</v>
      </c>
    </row>
    <row r="1646" customFormat="false" ht="15" hidden="false" customHeight="true" outlineLevel="0" collapsed="false">
      <c r="A1646" s="13" t="s">
        <v>219</v>
      </c>
      <c r="B1646" s="13" t="s">
        <v>359</v>
      </c>
      <c r="C1646" s="11" t="s">
        <v>360</v>
      </c>
      <c r="D1646" s="13" t="s">
        <v>8588</v>
      </c>
      <c r="E1646" s="13" t="s">
        <v>8589</v>
      </c>
      <c r="F1646" s="13" t="s">
        <v>8590</v>
      </c>
      <c r="G1646" s="13" t="s">
        <v>8591</v>
      </c>
      <c r="H1646" s="13" t="s">
        <v>8592</v>
      </c>
    </row>
    <row r="1647" customFormat="false" ht="15" hidden="false" customHeight="true" outlineLevel="0" collapsed="false">
      <c r="A1647" s="13" t="s">
        <v>219</v>
      </c>
      <c r="B1647" s="13" t="s">
        <v>366</v>
      </c>
      <c r="C1647" s="11" t="s">
        <v>367</v>
      </c>
      <c r="D1647" s="13" t="s">
        <v>8593</v>
      </c>
      <c r="E1647" s="13" t="s">
        <v>8594</v>
      </c>
      <c r="F1647" s="13" t="s">
        <v>8595</v>
      </c>
      <c r="G1647" s="13" t="s">
        <v>8596</v>
      </c>
      <c r="H1647" s="13" t="s">
        <v>8597</v>
      </c>
    </row>
    <row r="1648" customFormat="false" ht="15" hidden="false" customHeight="true" outlineLevel="0" collapsed="false">
      <c r="A1648" s="13" t="s">
        <v>219</v>
      </c>
      <c r="B1648" s="13" t="s">
        <v>373</v>
      </c>
      <c r="C1648" s="11" t="s">
        <v>374</v>
      </c>
      <c r="D1648" s="13" t="s">
        <v>8598</v>
      </c>
      <c r="E1648" s="13" t="s">
        <v>8599</v>
      </c>
      <c r="F1648" s="13" t="s">
        <v>8600</v>
      </c>
      <c r="G1648" s="13" t="s">
        <v>8601</v>
      </c>
      <c r="H1648" s="13" t="s">
        <v>8602</v>
      </c>
    </row>
    <row r="1649" customFormat="false" ht="15" hidden="false" customHeight="true" outlineLevel="0" collapsed="false">
      <c r="A1649" s="13" t="s">
        <v>219</v>
      </c>
      <c r="B1649" s="13" t="s">
        <v>380</v>
      </c>
      <c r="C1649" s="11" t="s">
        <v>381</v>
      </c>
      <c r="D1649" s="13" t="s">
        <v>6247</v>
      </c>
      <c r="E1649" s="13" t="s">
        <v>8603</v>
      </c>
      <c r="F1649" s="13" t="s">
        <v>8604</v>
      </c>
      <c r="G1649" s="13" t="s">
        <v>8605</v>
      </c>
      <c r="H1649" s="13" t="s">
        <v>8606</v>
      </c>
    </row>
    <row r="1650" customFormat="false" ht="15" hidden="false" customHeight="true" outlineLevel="0" collapsed="false">
      <c r="A1650" s="13" t="s">
        <v>219</v>
      </c>
      <c r="B1650" s="13" t="s">
        <v>387</v>
      </c>
      <c r="C1650" s="11" t="s">
        <v>388</v>
      </c>
      <c r="D1650" s="13" t="s">
        <v>8607</v>
      </c>
      <c r="E1650" s="13" t="s">
        <v>8608</v>
      </c>
      <c r="F1650" s="13" t="s">
        <v>8609</v>
      </c>
      <c r="G1650" s="13" t="s">
        <v>8610</v>
      </c>
      <c r="H1650" s="13" t="s">
        <v>8611</v>
      </c>
    </row>
    <row r="1651" customFormat="false" ht="15" hidden="false" customHeight="true" outlineLevel="0" collapsed="false">
      <c r="A1651" s="13" t="s">
        <v>219</v>
      </c>
      <c r="B1651" s="13" t="s">
        <v>394</v>
      </c>
      <c r="C1651" s="11" t="s">
        <v>395</v>
      </c>
      <c r="D1651" s="13" t="s">
        <v>8612</v>
      </c>
      <c r="E1651" s="13" t="s">
        <v>8613</v>
      </c>
      <c r="F1651" s="13" t="s">
        <v>8614</v>
      </c>
      <c r="G1651" s="13" t="s">
        <v>8615</v>
      </c>
      <c r="H1651" s="13" t="s">
        <v>8616</v>
      </c>
    </row>
    <row r="1652" customFormat="false" ht="15" hidden="false" customHeight="true" outlineLevel="0" collapsed="false">
      <c r="A1652" s="13" t="s">
        <v>219</v>
      </c>
      <c r="B1652" s="13" t="s">
        <v>401</v>
      </c>
      <c r="C1652" s="11" t="s">
        <v>402</v>
      </c>
      <c r="D1652" s="13" t="s">
        <v>8617</v>
      </c>
      <c r="E1652" s="13" t="s">
        <v>8618</v>
      </c>
      <c r="F1652" s="13" t="s">
        <v>8619</v>
      </c>
      <c r="G1652" s="13" t="s">
        <v>8620</v>
      </c>
      <c r="H1652" s="13" t="s">
        <v>8621</v>
      </c>
    </row>
    <row r="1653" customFormat="false" ht="15" hidden="false" customHeight="true" outlineLevel="0" collapsed="false">
      <c r="A1653" s="13" t="s">
        <v>219</v>
      </c>
      <c r="B1653" s="13" t="s">
        <v>408</v>
      </c>
      <c r="C1653" s="11" t="s">
        <v>409</v>
      </c>
      <c r="D1653" s="13" t="s">
        <v>8622</v>
      </c>
      <c r="E1653" s="13" t="s">
        <v>8623</v>
      </c>
      <c r="F1653" s="13" t="s">
        <v>8624</v>
      </c>
      <c r="G1653" s="13" t="s">
        <v>8625</v>
      </c>
      <c r="H1653" s="13" t="s">
        <v>8626</v>
      </c>
    </row>
    <row r="1654" customFormat="false" ht="15" hidden="false" customHeight="true" outlineLevel="0" collapsed="false">
      <c r="A1654" s="13" t="s">
        <v>219</v>
      </c>
      <c r="B1654" s="13" t="s">
        <v>415</v>
      </c>
      <c r="C1654" s="11" t="s">
        <v>416</v>
      </c>
      <c r="D1654" s="13" t="s">
        <v>8627</v>
      </c>
      <c r="E1654" s="13" t="s">
        <v>8628</v>
      </c>
      <c r="F1654" s="13" t="s">
        <v>8629</v>
      </c>
      <c r="G1654" s="13" t="s">
        <v>8630</v>
      </c>
      <c r="H1654" s="13" t="s">
        <v>8631</v>
      </c>
    </row>
    <row r="1655" customFormat="false" ht="15" hidden="false" customHeight="true" outlineLevel="0" collapsed="false">
      <c r="A1655" s="13" t="s">
        <v>219</v>
      </c>
      <c r="B1655" s="13" t="s">
        <v>422</v>
      </c>
      <c r="C1655" s="11" t="s">
        <v>423</v>
      </c>
      <c r="D1655" s="13" t="s">
        <v>8632</v>
      </c>
      <c r="E1655" s="13" t="s">
        <v>8633</v>
      </c>
      <c r="F1655" s="13" t="s">
        <v>8634</v>
      </c>
      <c r="G1655" s="13" t="s">
        <v>8635</v>
      </c>
      <c r="H1655" s="13" t="s">
        <v>8636</v>
      </c>
    </row>
    <row r="1656" customFormat="false" ht="15" hidden="false" customHeight="true" outlineLevel="0" collapsed="false">
      <c r="A1656" s="13" t="s">
        <v>219</v>
      </c>
      <c r="B1656" s="13" t="s">
        <v>429</v>
      </c>
      <c r="C1656" s="11" t="s">
        <v>430</v>
      </c>
      <c r="D1656" s="13" t="s">
        <v>8637</v>
      </c>
      <c r="E1656" s="13" t="s">
        <v>8638</v>
      </c>
      <c r="F1656" s="13" t="s">
        <v>8639</v>
      </c>
      <c r="G1656" s="13" t="s">
        <v>8640</v>
      </c>
      <c r="H1656" s="13" t="s">
        <v>8641</v>
      </c>
    </row>
    <row r="1657" customFormat="false" ht="15" hidden="false" customHeight="true" outlineLevel="0" collapsed="false">
      <c r="A1657" s="13" t="s">
        <v>219</v>
      </c>
      <c r="B1657" s="13" t="s">
        <v>436</v>
      </c>
      <c r="C1657" s="11" t="s">
        <v>437</v>
      </c>
      <c r="D1657" s="13" t="s">
        <v>1495</v>
      </c>
      <c r="E1657" s="13" t="s">
        <v>6461</v>
      </c>
      <c r="F1657" s="13" t="s">
        <v>8642</v>
      </c>
      <c r="G1657" s="13" t="s">
        <v>8643</v>
      </c>
      <c r="H1657" s="13" t="s">
        <v>8644</v>
      </c>
    </row>
    <row r="1658" customFormat="false" ht="15" hidden="false" customHeight="true" outlineLevel="0" collapsed="false">
      <c r="A1658" s="13" t="s">
        <v>219</v>
      </c>
      <c r="B1658" s="13" t="s">
        <v>443</v>
      </c>
      <c r="C1658" s="11" t="s">
        <v>444</v>
      </c>
      <c r="D1658" s="13" t="s">
        <v>8645</v>
      </c>
      <c r="E1658" s="13" t="s">
        <v>8646</v>
      </c>
      <c r="F1658" s="13" t="s">
        <v>8647</v>
      </c>
      <c r="G1658" s="13" t="s">
        <v>8648</v>
      </c>
      <c r="H1658" s="13" t="s">
        <v>8649</v>
      </c>
    </row>
    <row r="1659" customFormat="false" ht="15" hidden="false" customHeight="true" outlineLevel="0" collapsed="false">
      <c r="A1659" s="13" t="s">
        <v>219</v>
      </c>
      <c r="B1659" s="13" t="s">
        <v>450</v>
      </c>
      <c r="C1659" s="11" t="s">
        <v>451</v>
      </c>
      <c r="D1659" s="13" t="s">
        <v>8650</v>
      </c>
      <c r="E1659" s="13" t="s">
        <v>8651</v>
      </c>
      <c r="F1659" s="13" t="s">
        <v>8652</v>
      </c>
      <c r="G1659" s="13" t="s">
        <v>8653</v>
      </c>
      <c r="H1659" s="13" t="s">
        <v>8654</v>
      </c>
    </row>
    <row r="1660" customFormat="false" ht="15" hidden="false" customHeight="true" outlineLevel="0" collapsed="false">
      <c r="A1660" s="13" t="s">
        <v>219</v>
      </c>
      <c r="B1660" s="13" t="s">
        <v>457</v>
      </c>
      <c r="C1660" s="11" t="s">
        <v>458</v>
      </c>
      <c r="D1660" s="13" t="s">
        <v>8655</v>
      </c>
      <c r="E1660" s="13" t="s">
        <v>8656</v>
      </c>
      <c r="F1660" s="13" t="s">
        <v>8657</v>
      </c>
      <c r="G1660" s="13" t="s">
        <v>8658</v>
      </c>
      <c r="H1660" s="13" t="s">
        <v>8659</v>
      </c>
    </row>
    <row r="1661" customFormat="false" ht="15" hidden="false" customHeight="true" outlineLevel="0" collapsed="false">
      <c r="A1661" s="13" t="s">
        <v>219</v>
      </c>
      <c r="B1661" s="13" t="s">
        <v>464</v>
      </c>
      <c r="C1661" s="11" t="s">
        <v>465</v>
      </c>
      <c r="D1661" s="13" t="s">
        <v>8660</v>
      </c>
      <c r="E1661" s="13" t="s">
        <v>8661</v>
      </c>
      <c r="F1661" s="13" t="s">
        <v>8662</v>
      </c>
      <c r="G1661" s="13" t="s">
        <v>8663</v>
      </c>
      <c r="H1661" s="13" t="s">
        <v>8664</v>
      </c>
    </row>
    <row r="1662" customFormat="false" ht="15" hidden="false" customHeight="true" outlineLevel="0" collapsed="false">
      <c r="A1662" s="13" t="s">
        <v>219</v>
      </c>
      <c r="B1662" s="13" t="s">
        <v>471</v>
      </c>
      <c r="C1662" s="11" t="s">
        <v>472</v>
      </c>
      <c r="D1662" s="13" t="s">
        <v>8665</v>
      </c>
      <c r="E1662" s="13" t="s">
        <v>8666</v>
      </c>
      <c r="F1662" s="13" t="s">
        <v>8667</v>
      </c>
      <c r="G1662" s="13" t="s">
        <v>8668</v>
      </c>
      <c r="H1662" s="13" t="s">
        <v>8669</v>
      </c>
    </row>
    <row r="1663" customFormat="false" ht="15" hidden="false" customHeight="true" outlineLevel="0" collapsed="false">
      <c r="A1663" s="13" t="s">
        <v>219</v>
      </c>
      <c r="B1663" s="13" t="s">
        <v>478</v>
      </c>
      <c r="C1663" s="11" t="s">
        <v>479</v>
      </c>
      <c r="D1663" s="13" t="s">
        <v>8670</v>
      </c>
      <c r="E1663" s="13" t="s">
        <v>8671</v>
      </c>
      <c r="F1663" s="13" t="s">
        <v>8672</v>
      </c>
      <c r="G1663" s="13" t="s">
        <v>8673</v>
      </c>
      <c r="H1663" s="13" t="s">
        <v>8674</v>
      </c>
    </row>
    <row r="1664" customFormat="false" ht="15" hidden="false" customHeight="true" outlineLevel="0" collapsed="false">
      <c r="A1664" s="13" t="s">
        <v>219</v>
      </c>
      <c r="B1664" s="13" t="s">
        <v>485</v>
      </c>
      <c r="C1664" s="11" t="s">
        <v>486</v>
      </c>
      <c r="D1664" s="13" t="s">
        <v>8675</v>
      </c>
      <c r="E1664" s="13" t="s">
        <v>8676</v>
      </c>
      <c r="F1664" s="13" t="s">
        <v>8677</v>
      </c>
      <c r="G1664" s="13" t="s">
        <v>8678</v>
      </c>
      <c r="H1664" s="13" t="s">
        <v>8679</v>
      </c>
    </row>
    <row r="1665" customFormat="false" ht="15" hidden="false" customHeight="true" outlineLevel="0" collapsed="false">
      <c r="A1665" s="13" t="s">
        <v>219</v>
      </c>
      <c r="B1665" s="13" t="s">
        <v>492</v>
      </c>
      <c r="C1665" s="11" t="s">
        <v>493</v>
      </c>
      <c r="D1665" s="13" t="s">
        <v>8680</v>
      </c>
      <c r="E1665" s="13" t="s">
        <v>8681</v>
      </c>
      <c r="F1665" s="13" t="s">
        <v>8682</v>
      </c>
      <c r="G1665" s="13" t="s">
        <v>8683</v>
      </c>
      <c r="H1665" s="13" t="s">
        <v>8684</v>
      </c>
    </row>
    <row r="1666" customFormat="false" ht="15" hidden="false" customHeight="true" outlineLevel="0" collapsed="false">
      <c r="A1666" s="13" t="s">
        <v>219</v>
      </c>
      <c r="B1666" s="13" t="s">
        <v>499</v>
      </c>
      <c r="C1666" s="11" t="s">
        <v>500</v>
      </c>
      <c r="D1666" s="13" t="s">
        <v>8685</v>
      </c>
      <c r="E1666" s="13" t="s">
        <v>8686</v>
      </c>
      <c r="F1666" s="13" t="s">
        <v>8687</v>
      </c>
      <c r="G1666" s="13" t="s">
        <v>8688</v>
      </c>
      <c r="H1666" s="13" t="s">
        <v>8689</v>
      </c>
    </row>
    <row r="1667" customFormat="false" ht="15" hidden="false" customHeight="true" outlineLevel="0" collapsed="false">
      <c r="A1667" s="13" t="s">
        <v>219</v>
      </c>
      <c r="B1667" s="13" t="s">
        <v>506</v>
      </c>
      <c r="C1667" s="11" t="s">
        <v>507</v>
      </c>
      <c r="D1667" s="13" t="s">
        <v>8690</v>
      </c>
      <c r="E1667" s="13" t="s">
        <v>8691</v>
      </c>
      <c r="F1667" s="13" t="s">
        <v>8692</v>
      </c>
      <c r="G1667" s="13" t="s">
        <v>8693</v>
      </c>
      <c r="H1667" s="13" t="s">
        <v>8694</v>
      </c>
    </row>
    <row r="1668" customFormat="false" ht="15" hidden="false" customHeight="true" outlineLevel="0" collapsed="false">
      <c r="A1668" s="13" t="s">
        <v>219</v>
      </c>
      <c r="B1668" s="13" t="s">
        <v>513</v>
      </c>
      <c r="C1668" s="11" t="s">
        <v>514</v>
      </c>
      <c r="D1668" s="13" t="s">
        <v>8695</v>
      </c>
      <c r="E1668" s="13" t="s">
        <v>8696</v>
      </c>
      <c r="F1668" s="13" t="s">
        <v>8697</v>
      </c>
      <c r="G1668" s="13" t="s">
        <v>8698</v>
      </c>
      <c r="H1668" s="13" t="s">
        <v>8699</v>
      </c>
    </row>
    <row r="1669" customFormat="false" ht="15" hidden="false" customHeight="true" outlineLevel="0" collapsed="false">
      <c r="A1669" s="13" t="s">
        <v>219</v>
      </c>
      <c r="B1669" s="13" t="s">
        <v>520</v>
      </c>
      <c r="C1669" s="11" t="s">
        <v>521</v>
      </c>
      <c r="D1669" s="13" t="s">
        <v>8700</v>
      </c>
      <c r="E1669" s="13" t="s">
        <v>8701</v>
      </c>
      <c r="F1669" s="13" t="s">
        <v>8702</v>
      </c>
      <c r="G1669" s="13" t="s">
        <v>8703</v>
      </c>
      <c r="H1669" s="13" t="s">
        <v>8704</v>
      </c>
    </row>
    <row r="1670" customFormat="false" ht="15" hidden="false" customHeight="true" outlineLevel="0" collapsed="false">
      <c r="A1670" s="13" t="s">
        <v>219</v>
      </c>
      <c r="B1670" s="13" t="s">
        <v>527</v>
      </c>
      <c r="C1670" s="11" t="s">
        <v>528</v>
      </c>
      <c r="D1670" s="13" t="s">
        <v>8705</v>
      </c>
      <c r="E1670" s="13" t="s">
        <v>8706</v>
      </c>
      <c r="F1670" s="13" t="s">
        <v>8707</v>
      </c>
      <c r="G1670" s="13" t="s">
        <v>8708</v>
      </c>
      <c r="H1670" s="13" t="s">
        <v>8709</v>
      </c>
    </row>
    <row r="1671" customFormat="false" ht="15" hidden="false" customHeight="true" outlineLevel="0" collapsed="false">
      <c r="A1671" s="13" t="s">
        <v>219</v>
      </c>
      <c r="B1671" s="13" t="s">
        <v>534</v>
      </c>
      <c r="C1671" s="11" t="s">
        <v>535</v>
      </c>
      <c r="D1671" s="13" t="s">
        <v>8710</v>
      </c>
      <c r="E1671" s="13" t="s">
        <v>8711</v>
      </c>
      <c r="F1671" s="13" t="s">
        <v>8712</v>
      </c>
      <c r="G1671" s="13" t="s">
        <v>8713</v>
      </c>
      <c r="H1671" s="13" t="s">
        <v>8714</v>
      </c>
    </row>
    <row r="1672" customFormat="false" ht="15" hidden="false" customHeight="true" outlineLevel="0" collapsed="false">
      <c r="A1672" s="13" t="s">
        <v>219</v>
      </c>
      <c r="B1672" s="13" t="s">
        <v>541</v>
      </c>
      <c r="C1672" s="11" t="s">
        <v>542</v>
      </c>
      <c r="D1672" s="13" t="s">
        <v>8715</v>
      </c>
      <c r="E1672" s="13" t="s">
        <v>8716</v>
      </c>
      <c r="F1672" s="13" t="s">
        <v>8717</v>
      </c>
      <c r="G1672" s="13" t="s">
        <v>8718</v>
      </c>
      <c r="H1672" s="13" t="s">
        <v>8719</v>
      </c>
    </row>
    <row r="1673" customFormat="false" ht="15" hidden="false" customHeight="true" outlineLevel="0" collapsed="false">
      <c r="A1673" s="13" t="s">
        <v>219</v>
      </c>
      <c r="B1673" s="13" t="s">
        <v>548</v>
      </c>
      <c r="C1673" s="11" t="s">
        <v>549</v>
      </c>
      <c r="D1673" s="13" t="s">
        <v>8720</v>
      </c>
      <c r="E1673" s="13" t="s">
        <v>8721</v>
      </c>
      <c r="F1673" s="13" t="s">
        <v>8722</v>
      </c>
      <c r="G1673" s="13" t="s">
        <v>8723</v>
      </c>
      <c r="H1673" s="13" t="s">
        <v>8724</v>
      </c>
    </row>
    <row r="1674" customFormat="false" ht="15" hidden="false" customHeight="true" outlineLevel="0" collapsed="false">
      <c r="A1674" s="13" t="s">
        <v>219</v>
      </c>
      <c r="B1674" s="13" t="s">
        <v>555</v>
      </c>
      <c r="C1674" s="11" t="s">
        <v>556</v>
      </c>
      <c r="D1674" s="13" t="s">
        <v>8725</v>
      </c>
      <c r="E1674" s="13" t="s">
        <v>8726</v>
      </c>
      <c r="F1674" s="13" t="s">
        <v>8727</v>
      </c>
      <c r="G1674" s="13" t="s">
        <v>8728</v>
      </c>
      <c r="H1674" s="13" t="s">
        <v>8729</v>
      </c>
    </row>
    <row r="1675" customFormat="false" ht="15" hidden="false" customHeight="true" outlineLevel="0" collapsed="false">
      <c r="A1675" s="13" t="s">
        <v>219</v>
      </c>
      <c r="B1675" s="13" t="s">
        <v>562</v>
      </c>
      <c r="C1675" s="11" t="s">
        <v>563</v>
      </c>
      <c r="D1675" s="13" t="s">
        <v>8730</v>
      </c>
      <c r="E1675" s="13" t="s">
        <v>8731</v>
      </c>
      <c r="F1675" s="13" t="s">
        <v>8732</v>
      </c>
      <c r="G1675" s="13" t="s">
        <v>8733</v>
      </c>
      <c r="H1675" s="13" t="s">
        <v>8734</v>
      </c>
    </row>
    <row r="1676" customFormat="false" ht="15" hidden="false" customHeight="true" outlineLevel="0" collapsed="false">
      <c r="A1676" s="13" t="s">
        <v>219</v>
      </c>
      <c r="B1676" s="13" t="s">
        <v>569</v>
      </c>
      <c r="C1676" s="11" t="s">
        <v>570</v>
      </c>
      <c r="D1676" s="13" t="s">
        <v>8735</v>
      </c>
      <c r="E1676" s="13" t="s">
        <v>8736</v>
      </c>
      <c r="F1676" s="13" t="s">
        <v>8737</v>
      </c>
      <c r="G1676" s="13" t="s">
        <v>8738</v>
      </c>
      <c r="H1676" s="13" t="s">
        <v>8739</v>
      </c>
    </row>
    <row r="1677" customFormat="false" ht="15" hidden="false" customHeight="true" outlineLevel="0" collapsed="false">
      <c r="A1677" s="13" t="s">
        <v>219</v>
      </c>
      <c r="B1677" s="13" t="s">
        <v>576</v>
      </c>
      <c r="C1677" s="11" t="s">
        <v>577</v>
      </c>
      <c r="D1677" s="13" t="s">
        <v>8740</v>
      </c>
      <c r="E1677" s="13" t="s">
        <v>8741</v>
      </c>
      <c r="F1677" s="13" t="s">
        <v>8742</v>
      </c>
      <c r="G1677" s="13" t="s">
        <v>8743</v>
      </c>
      <c r="H1677" s="13" t="s">
        <v>8744</v>
      </c>
    </row>
    <row r="1678" customFormat="false" ht="15" hidden="false" customHeight="true" outlineLevel="0" collapsed="false">
      <c r="A1678" s="13" t="s">
        <v>219</v>
      </c>
      <c r="B1678" s="13" t="s">
        <v>583</v>
      </c>
      <c r="C1678" s="11" t="s">
        <v>584</v>
      </c>
      <c r="D1678" s="13" t="s">
        <v>8745</v>
      </c>
      <c r="E1678" s="13" t="s">
        <v>8746</v>
      </c>
      <c r="F1678" s="13" t="s">
        <v>8747</v>
      </c>
      <c r="G1678" s="13" t="s">
        <v>8748</v>
      </c>
      <c r="H1678" s="13" t="s">
        <v>8749</v>
      </c>
    </row>
    <row r="1679" customFormat="false" ht="15" hidden="false" customHeight="true" outlineLevel="0" collapsed="false">
      <c r="A1679" s="13" t="s">
        <v>219</v>
      </c>
      <c r="B1679" s="13" t="s">
        <v>590</v>
      </c>
      <c r="C1679" s="11" t="s">
        <v>591</v>
      </c>
      <c r="D1679" s="13" t="s">
        <v>8750</v>
      </c>
      <c r="E1679" s="13" t="s">
        <v>8751</v>
      </c>
      <c r="F1679" s="13" t="s">
        <v>8752</v>
      </c>
      <c r="G1679" s="13" t="s">
        <v>8753</v>
      </c>
      <c r="H1679" s="13" t="s">
        <v>8754</v>
      </c>
    </row>
    <row r="1680" customFormat="false" ht="15" hidden="false" customHeight="true" outlineLevel="0" collapsed="false">
      <c r="A1680" s="13" t="s">
        <v>219</v>
      </c>
      <c r="B1680" s="13" t="s">
        <v>597</v>
      </c>
      <c r="C1680" s="11" t="s">
        <v>598</v>
      </c>
      <c r="D1680" s="13" t="s">
        <v>8755</v>
      </c>
      <c r="E1680" s="13" t="s">
        <v>8756</v>
      </c>
      <c r="F1680" s="13" t="s">
        <v>8757</v>
      </c>
      <c r="G1680" s="13" t="s">
        <v>8758</v>
      </c>
      <c r="H1680" s="13" t="s">
        <v>8759</v>
      </c>
    </row>
    <row r="1681" customFormat="false" ht="15" hidden="false" customHeight="true" outlineLevel="0" collapsed="false">
      <c r="A1681" s="13" t="s">
        <v>219</v>
      </c>
      <c r="B1681" s="13" t="s">
        <v>604</v>
      </c>
      <c r="C1681" s="11" t="s">
        <v>605</v>
      </c>
      <c r="D1681" s="13" t="s">
        <v>8760</v>
      </c>
      <c r="E1681" s="13" t="s">
        <v>8761</v>
      </c>
      <c r="F1681" s="13" t="s">
        <v>8762</v>
      </c>
      <c r="G1681" s="13" t="s">
        <v>8763</v>
      </c>
      <c r="H1681" s="13" t="s">
        <v>8764</v>
      </c>
    </row>
    <row r="1682" customFormat="false" ht="15" hidden="false" customHeight="true" outlineLevel="0" collapsed="false">
      <c r="A1682" s="13" t="s">
        <v>219</v>
      </c>
      <c r="B1682" s="13" t="s">
        <v>611</v>
      </c>
      <c r="C1682" s="11" t="s">
        <v>612</v>
      </c>
      <c r="D1682" s="13" t="s">
        <v>8765</v>
      </c>
      <c r="E1682" s="13" t="s">
        <v>8766</v>
      </c>
      <c r="F1682" s="13" t="s">
        <v>8767</v>
      </c>
      <c r="G1682" s="13" t="s">
        <v>8768</v>
      </c>
      <c r="H1682" s="13" t="s">
        <v>8769</v>
      </c>
    </row>
    <row r="1683" customFormat="false" ht="15" hidden="false" customHeight="true" outlineLevel="0" collapsed="false">
      <c r="A1683" s="13" t="s">
        <v>219</v>
      </c>
      <c r="B1683" s="13" t="s">
        <v>618</v>
      </c>
      <c r="C1683" s="11" t="s">
        <v>619</v>
      </c>
      <c r="D1683" s="13" t="s">
        <v>8770</v>
      </c>
      <c r="E1683" s="13" t="s">
        <v>8771</v>
      </c>
      <c r="F1683" s="13" t="s">
        <v>8772</v>
      </c>
      <c r="G1683" s="13" t="s">
        <v>8773</v>
      </c>
      <c r="H1683" s="13" t="s">
        <v>8774</v>
      </c>
    </row>
    <row r="1684" customFormat="false" ht="15" hidden="false" customHeight="true" outlineLevel="0" collapsed="false">
      <c r="A1684" s="13" t="s">
        <v>219</v>
      </c>
      <c r="B1684" s="13" t="s">
        <v>625</v>
      </c>
      <c r="C1684" s="11" t="s">
        <v>626</v>
      </c>
      <c r="D1684" s="13" t="s">
        <v>8775</v>
      </c>
      <c r="E1684" s="13" t="s">
        <v>8776</v>
      </c>
      <c r="F1684" s="13" t="s">
        <v>8777</v>
      </c>
      <c r="G1684" s="13" t="s">
        <v>8778</v>
      </c>
      <c r="H1684" s="13" t="s">
        <v>8779</v>
      </c>
    </row>
    <row r="1685" customFormat="false" ht="15" hidden="false" customHeight="true" outlineLevel="0" collapsed="false">
      <c r="A1685" s="13" t="s">
        <v>219</v>
      </c>
      <c r="B1685" s="13" t="s">
        <v>632</v>
      </c>
      <c r="C1685" s="11" t="s">
        <v>633</v>
      </c>
      <c r="D1685" s="13" t="s">
        <v>8780</v>
      </c>
      <c r="E1685" s="13" t="s">
        <v>8781</v>
      </c>
      <c r="F1685" s="13" t="s">
        <v>8782</v>
      </c>
      <c r="G1685" s="13" t="s">
        <v>8783</v>
      </c>
      <c r="H1685" s="13" t="s">
        <v>8784</v>
      </c>
    </row>
    <row r="1686" customFormat="false" ht="15" hidden="false" customHeight="true" outlineLevel="0" collapsed="false">
      <c r="A1686" s="13" t="s">
        <v>219</v>
      </c>
      <c r="B1686" s="13" t="s">
        <v>639</v>
      </c>
      <c r="C1686" s="11" t="s">
        <v>640</v>
      </c>
      <c r="D1686" s="13" t="s">
        <v>8785</v>
      </c>
      <c r="E1686" s="13" t="s">
        <v>8786</v>
      </c>
      <c r="F1686" s="13" t="s">
        <v>2233</v>
      </c>
      <c r="G1686" s="13" t="s">
        <v>8787</v>
      </c>
      <c r="H1686" s="13" t="s">
        <v>8788</v>
      </c>
    </row>
    <row r="1687" customFormat="false" ht="15" hidden="false" customHeight="true" outlineLevel="0" collapsed="false">
      <c r="A1687" s="13" t="s">
        <v>219</v>
      </c>
      <c r="B1687" s="13" t="s">
        <v>646</v>
      </c>
      <c r="C1687" s="11" t="s">
        <v>647</v>
      </c>
      <c r="D1687" s="13" t="s">
        <v>8789</v>
      </c>
      <c r="E1687" s="13" t="s">
        <v>8790</v>
      </c>
      <c r="F1687" s="13" t="s">
        <v>8791</v>
      </c>
      <c r="G1687" s="13" t="s">
        <v>8792</v>
      </c>
      <c r="H1687" s="13" t="s">
        <v>8793</v>
      </c>
    </row>
    <row r="1688" customFormat="false" ht="15" hidden="false" customHeight="true" outlineLevel="0" collapsed="false">
      <c r="A1688" s="13" t="s">
        <v>219</v>
      </c>
      <c r="B1688" s="13" t="s">
        <v>653</v>
      </c>
      <c r="C1688" s="11" t="s">
        <v>654</v>
      </c>
      <c r="D1688" s="13" t="s">
        <v>2193</v>
      </c>
      <c r="E1688" s="13" t="s">
        <v>4895</v>
      </c>
      <c r="F1688" s="13" t="s">
        <v>8794</v>
      </c>
      <c r="G1688" s="13" t="s">
        <v>8795</v>
      </c>
      <c r="H1688" s="13" t="s">
        <v>8796</v>
      </c>
    </row>
    <row r="1689" customFormat="false" ht="15" hidden="false" customHeight="true" outlineLevel="0" collapsed="false">
      <c r="A1689" s="13" t="s">
        <v>219</v>
      </c>
      <c r="B1689" s="13" t="s">
        <v>660</v>
      </c>
      <c r="C1689" s="11" t="s">
        <v>661</v>
      </c>
      <c r="D1689" s="13" t="s">
        <v>1709</v>
      </c>
      <c r="E1689" s="13" t="s">
        <v>8797</v>
      </c>
      <c r="F1689" s="13" t="s">
        <v>8798</v>
      </c>
      <c r="G1689" s="13" t="s">
        <v>8799</v>
      </c>
      <c r="H1689" s="13" t="s">
        <v>8800</v>
      </c>
    </row>
    <row r="1690" customFormat="false" ht="15" hidden="false" customHeight="true" outlineLevel="0" collapsed="false">
      <c r="A1690" s="13" t="s">
        <v>219</v>
      </c>
      <c r="B1690" s="13" t="s">
        <v>667</v>
      </c>
      <c r="C1690" s="11" t="s">
        <v>668</v>
      </c>
      <c r="D1690" s="13" t="s">
        <v>8801</v>
      </c>
      <c r="E1690" s="13" t="s">
        <v>8802</v>
      </c>
      <c r="F1690" s="13" t="s">
        <v>8803</v>
      </c>
      <c r="G1690" s="13" t="s">
        <v>8804</v>
      </c>
      <c r="H1690" s="13" t="s">
        <v>8805</v>
      </c>
    </row>
    <row r="1691" customFormat="false" ht="15" hidden="false" customHeight="true" outlineLevel="0" collapsed="false">
      <c r="A1691" s="13" t="s">
        <v>219</v>
      </c>
      <c r="B1691" s="13" t="s">
        <v>674</v>
      </c>
      <c r="C1691" s="11" t="s">
        <v>675</v>
      </c>
      <c r="D1691" s="13" t="s">
        <v>8806</v>
      </c>
      <c r="E1691" s="13" t="s">
        <v>8807</v>
      </c>
      <c r="F1691" s="13" t="s">
        <v>8808</v>
      </c>
      <c r="G1691" s="13" t="s">
        <v>8809</v>
      </c>
      <c r="H1691" s="13" t="s">
        <v>8810</v>
      </c>
    </row>
    <row r="1692" customFormat="false" ht="15" hidden="false" customHeight="true" outlineLevel="0" collapsed="false">
      <c r="A1692" s="13" t="s">
        <v>219</v>
      </c>
      <c r="B1692" s="13" t="s">
        <v>681</v>
      </c>
      <c r="C1692" s="11" t="s">
        <v>682</v>
      </c>
      <c r="D1692" s="13" t="s">
        <v>8811</v>
      </c>
      <c r="E1692" s="13" t="s">
        <v>8812</v>
      </c>
      <c r="F1692" s="13" t="s">
        <v>8813</v>
      </c>
      <c r="G1692" s="13" t="s">
        <v>8814</v>
      </c>
      <c r="H1692" s="13" t="s">
        <v>8815</v>
      </c>
    </row>
    <row r="1693" customFormat="false" ht="15" hidden="false" customHeight="true" outlineLevel="0" collapsed="false">
      <c r="A1693" s="13" t="s">
        <v>219</v>
      </c>
      <c r="B1693" s="13" t="s">
        <v>688</v>
      </c>
      <c r="C1693" s="11" t="s">
        <v>689</v>
      </c>
      <c r="D1693" s="13" t="s">
        <v>8816</v>
      </c>
      <c r="E1693" s="13" t="s">
        <v>1234</v>
      </c>
      <c r="F1693" s="13" t="s">
        <v>8817</v>
      </c>
      <c r="G1693" s="13" t="s">
        <v>8818</v>
      </c>
      <c r="H1693" s="13" t="s">
        <v>8819</v>
      </c>
    </row>
    <row r="1694" customFormat="false" ht="15" hidden="false" customHeight="true" outlineLevel="0" collapsed="false">
      <c r="A1694" s="13" t="s">
        <v>219</v>
      </c>
      <c r="B1694" s="13" t="s">
        <v>695</v>
      </c>
      <c r="C1694" s="11" t="s">
        <v>696</v>
      </c>
      <c r="D1694" s="13" t="s">
        <v>8820</v>
      </c>
      <c r="E1694" s="13" t="s">
        <v>8821</v>
      </c>
      <c r="F1694" s="13" t="s">
        <v>8822</v>
      </c>
      <c r="G1694" s="13" t="s">
        <v>8823</v>
      </c>
      <c r="H1694" s="13" t="s">
        <v>8824</v>
      </c>
    </row>
    <row r="1695" customFormat="false" ht="15" hidden="false" customHeight="true" outlineLevel="0" collapsed="false">
      <c r="A1695" s="13" t="s">
        <v>219</v>
      </c>
      <c r="B1695" s="13" t="s">
        <v>702</v>
      </c>
      <c r="C1695" s="11" t="s">
        <v>703</v>
      </c>
      <c r="D1695" s="13" t="s">
        <v>8825</v>
      </c>
      <c r="E1695" s="13" t="s">
        <v>8826</v>
      </c>
      <c r="F1695" s="13" t="s">
        <v>8827</v>
      </c>
      <c r="G1695" s="13" t="s">
        <v>8828</v>
      </c>
      <c r="H1695" s="13" t="s">
        <v>8829</v>
      </c>
    </row>
    <row r="1696" customFormat="false" ht="15" hidden="false" customHeight="true" outlineLevel="0" collapsed="false">
      <c r="A1696" s="13" t="s">
        <v>219</v>
      </c>
      <c r="B1696" s="13" t="s">
        <v>709</v>
      </c>
      <c r="C1696" s="11" t="s">
        <v>710</v>
      </c>
      <c r="D1696" s="13" t="s">
        <v>8830</v>
      </c>
      <c r="E1696" s="13" t="s">
        <v>8831</v>
      </c>
      <c r="F1696" s="13" t="s">
        <v>8832</v>
      </c>
      <c r="G1696" s="13" t="s">
        <v>8833</v>
      </c>
      <c r="H1696" s="13" t="s">
        <v>8834</v>
      </c>
    </row>
    <row r="1697" customFormat="false" ht="15" hidden="false" customHeight="true" outlineLevel="0" collapsed="false">
      <c r="A1697" s="13" t="s">
        <v>219</v>
      </c>
      <c r="B1697" s="13" t="s">
        <v>716</v>
      </c>
      <c r="C1697" s="11" t="s">
        <v>717</v>
      </c>
      <c r="D1697" s="13" t="s">
        <v>8835</v>
      </c>
      <c r="E1697" s="13" t="s">
        <v>8836</v>
      </c>
      <c r="F1697" s="13" t="s">
        <v>8837</v>
      </c>
      <c r="G1697" s="13" t="s">
        <v>8838</v>
      </c>
      <c r="H1697" s="13" t="s">
        <v>8839</v>
      </c>
    </row>
    <row r="1698" customFormat="false" ht="15" hidden="false" customHeight="true" outlineLevel="0" collapsed="false">
      <c r="A1698" s="13" t="s">
        <v>219</v>
      </c>
      <c r="B1698" s="13" t="s">
        <v>723</v>
      </c>
      <c r="C1698" s="11" t="s">
        <v>724</v>
      </c>
      <c r="D1698" s="13" t="s">
        <v>8840</v>
      </c>
      <c r="E1698" s="13" t="s">
        <v>8841</v>
      </c>
      <c r="F1698" s="13" t="s">
        <v>8842</v>
      </c>
      <c r="G1698" s="13" t="s">
        <v>8843</v>
      </c>
      <c r="H1698" s="13" t="s">
        <v>8844</v>
      </c>
    </row>
    <row r="1699" customFormat="false" ht="15" hidden="false" customHeight="true" outlineLevel="0" collapsed="false">
      <c r="A1699" s="13" t="s">
        <v>219</v>
      </c>
      <c r="B1699" s="13" t="s">
        <v>730</v>
      </c>
      <c r="C1699" s="11" t="s">
        <v>731</v>
      </c>
      <c r="D1699" s="13" t="s">
        <v>8845</v>
      </c>
      <c r="E1699" s="13" t="s">
        <v>8846</v>
      </c>
      <c r="F1699" s="13" t="s">
        <v>8847</v>
      </c>
      <c r="G1699" s="13" t="s">
        <v>8848</v>
      </c>
      <c r="H1699" s="13" t="s">
        <v>8849</v>
      </c>
    </row>
    <row r="1700" customFormat="false" ht="15" hidden="false" customHeight="true" outlineLevel="0" collapsed="false">
      <c r="A1700" s="13" t="s">
        <v>219</v>
      </c>
      <c r="B1700" s="13" t="s">
        <v>737</v>
      </c>
      <c r="C1700" s="11" t="s">
        <v>738</v>
      </c>
      <c r="D1700" s="13" t="s">
        <v>8850</v>
      </c>
      <c r="E1700" s="13" t="s">
        <v>8851</v>
      </c>
      <c r="F1700" s="13" t="s">
        <v>8852</v>
      </c>
      <c r="G1700" s="13" t="s">
        <v>8853</v>
      </c>
      <c r="H1700" s="13" t="s">
        <v>8854</v>
      </c>
    </row>
    <row r="1701" customFormat="false" ht="15" hidden="false" customHeight="true" outlineLevel="0" collapsed="false">
      <c r="A1701" s="13" t="s">
        <v>219</v>
      </c>
      <c r="B1701" s="13" t="s">
        <v>744</v>
      </c>
      <c r="C1701" s="11" t="s">
        <v>745</v>
      </c>
      <c r="D1701" s="13" t="s">
        <v>8855</v>
      </c>
      <c r="E1701" s="13" t="s">
        <v>8856</v>
      </c>
      <c r="F1701" s="13" t="s">
        <v>8857</v>
      </c>
      <c r="G1701" s="13" t="s">
        <v>8858</v>
      </c>
      <c r="H1701" s="13" t="s">
        <v>8859</v>
      </c>
    </row>
    <row r="1702" customFormat="false" ht="15" hidden="false" customHeight="true" outlineLevel="0" collapsed="false">
      <c r="A1702" s="13" t="s">
        <v>219</v>
      </c>
      <c r="B1702" s="13" t="s">
        <v>751</v>
      </c>
      <c r="C1702" s="11" t="s">
        <v>752</v>
      </c>
      <c r="D1702" s="13" t="s">
        <v>8860</v>
      </c>
      <c r="E1702" s="13" t="s">
        <v>8861</v>
      </c>
      <c r="F1702" s="13" t="s">
        <v>8862</v>
      </c>
      <c r="G1702" s="13" t="s">
        <v>8863</v>
      </c>
      <c r="H1702" s="13" t="s">
        <v>8864</v>
      </c>
    </row>
    <row r="1703" customFormat="false" ht="15" hidden="false" customHeight="true" outlineLevel="0" collapsed="false">
      <c r="A1703" s="13" t="s">
        <v>219</v>
      </c>
      <c r="B1703" s="13" t="s">
        <v>758</v>
      </c>
      <c r="C1703" s="11" t="s">
        <v>759</v>
      </c>
      <c r="D1703" s="13" t="s">
        <v>8865</v>
      </c>
      <c r="E1703" s="13" t="s">
        <v>8866</v>
      </c>
      <c r="F1703" s="13" t="s">
        <v>8867</v>
      </c>
      <c r="G1703" s="13" t="s">
        <v>8868</v>
      </c>
      <c r="H1703" s="13" t="s">
        <v>8869</v>
      </c>
    </row>
    <row r="1704" customFormat="false" ht="15" hidden="false" customHeight="true" outlineLevel="0" collapsed="false">
      <c r="A1704" s="13" t="s">
        <v>219</v>
      </c>
      <c r="B1704" s="13" t="s">
        <v>765</v>
      </c>
      <c r="C1704" s="11" t="s">
        <v>766</v>
      </c>
      <c r="D1704" s="13" t="s">
        <v>8870</v>
      </c>
      <c r="E1704" s="13" t="s">
        <v>8871</v>
      </c>
      <c r="F1704" s="13" t="s">
        <v>8872</v>
      </c>
      <c r="G1704" s="13" t="s">
        <v>8873</v>
      </c>
      <c r="H1704" s="13" t="s">
        <v>8874</v>
      </c>
    </row>
    <row r="1705" customFormat="false" ht="15" hidden="false" customHeight="true" outlineLevel="0" collapsed="false">
      <c r="A1705" s="13" t="s">
        <v>219</v>
      </c>
      <c r="B1705" s="13" t="s">
        <v>772</v>
      </c>
      <c r="C1705" s="11" t="s">
        <v>773</v>
      </c>
      <c r="D1705" s="13" t="s">
        <v>8875</v>
      </c>
      <c r="E1705" s="13" t="s">
        <v>8876</v>
      </c>
      <c r="F1705" s="13" t="s">
        <v>8877</v>
      </c>
      <c r="G1705" s="13" t="s">
        <v>8878</v>
      </c>
      <c r="H1705" s="13" t="s">
        <v>8879</v>
      </c>
    </row>
    <row r="1706" customFormat="false" ht="15" hidden="false" customHeight="true" outlineLevel="0" collapsed="false">
      <c r="A1706" s="13" t="s">
        <v>219</v>
      </c>
      <c r="B1706" s="13" t="s">
        <v>779</v>
      </c>
      <c r="C1706" s="11" t="s">
        <v>780</v>
      </c>
      <c r="D1706" s="13" t="s">
        <v>8880</v>
      </c>
      <c r="E1706" s="13" t="s">
        <v>8881</v>
      </c>
      <c r="F1706" s="13" t="s">
        <v>8882</v>
      </c>
      <c r="G1706" s="13" t="s">
        <v>8883</v>
      </c>
      <c r="H1706" s="13" t="s">
        <v>8884</v>
      </c>
    </row>
    <row r="1707" customFormat="false" ht="15" hidden="false" customHeight="true" outlineLevel="0" collapsed="false">
      <c r="A1707" s="13" t="s">
        <v>219</v>
      </c>
      <c r="B1707" s="13" t="s">
        <v>786</v>
      </c>
      <c r="C1707" s="11" t="s">
        <v>787</v>
      </c>
      <c r="D1707" s="13" t="s">
        <v>8885</v>
      </c>
      <c r="E1707" s="13" t="s">
        <v>8886</v>
      </c>
      <c r="F1707" s="13" t="s">
        <v>8887</v>
      </c>
      <c r="G1707" s="13" t="s">
        <v>8888</v>
      </c>
      <c r="H1707" s="13" t="s">
        <v>8889</v>
      </c>
    </row>
    <row r="1708" customFormat="false" ht="15" hidden="false" customHeight="true" outlineLevel="0" collapsed="false">
      <c r="A1708" s="13" t="s">
        <v>219</v>
      </c>
      <c r="B1708" s="13" t="s">
        <v>793</v>
      </c>
      <c r="C1708" s="11" t="s">
        <v>794</v>
      </c>
      <c r="D1708" s="13" t="s">
        <v>8890</v>
      </c>
      <c r="E1708" s="13" t="s">
        <v>8891</v>
      </c>
      <c r="F1708" s="13" t="s">
        <v>8892</v>
      </c>
      <c r="G1708" s="13" t="s">
        <v>8893</v>
      </c>
      <c r="H1708" s="13" t="s">
        <v>8894</v>
      </c>
    </row>
    <row r="1709" customFormat="false" ht="15" hidden="false" customHeight="true" outlineLevel="0" collapsed="false">
      <c r="A1709" s="13" t="s">
        <v>219</v>
      </c>
      <c r="B1709" s="13" t="s">
        <v>800</v>
      </c>
      <c r="C1709" s="11" t="s">
        <v>801</v>
      </c>
      <c r="D1709" s="13" t="s">
        <v>8895</v>
      </c>
      <c r="E1709" s="13" t="s">
        <v>3665</v>
      </c>
      <c r="F1709" s="13" t="s">
        <v>4554</v>
      </c>
      <c r="G1709" s="13" t="s">
        <v>8896</v>
      </c>
      <c r="H1709" s="13" t="s">
        <v>6560</v>
      </c>
    </row>
    <row r="1710" customFormat="false" ht="15" hidden="false" customHeight="true" outlineLevel="0" collapsed="false">
      <c r="A1710" s="13" t="s">
        <v>219</v>
      </c>
      <c r="B1710" s="13" t="s">
        <v>806</v>
      </c>
      <c r="C1710" s="11" t="s">
        <v>807</v>
      </c>
      <c r="D1710" s="13" t="s">
        <v>8897</v>
      </c>
      <c r="E1710" s="13" t="s">
        <v>8898</v>
      </c>
      <c r="F1710" s="13" t="s">
        <v>8899</v>
      </c>
      <c r="G1710" s="13" t="s">
        <v>8900</v>
      </c>
      <c r="H1710" s="13" t="s">
        <v>8901</v>
      </c>
    </row>
    <row r="1711" customFormat="false" ht="15" hidden="false" customHeight="true" outlineLevel="0" collapsed="false">
      <c r="A1711" s="13" t="s">
        <v>219</v>
      </c>
      <c r="B1711" s="13" t="s">
        <v>813</v>
      </c>
      <c r="C1711" s="11" t="s">
        <v>814</v>
      </c>
      <c r="D1711" s="13" t="s">
        <v>8902</v>
      </c>
      <c r="E1711" s="13" t="s">
        <v>8903</v>
      </c>
      <c r="F1711" s="13" t="s">
        <v>8904</v>
      </c>
      <c r="G1711" s="13" t="s">
        <v>8905</v>
      </c>
      <c r="H1711" s="13" t="s">
        <v>8906</v>
      </c>
    </row>
    <row r="1712" customFormat="false" ht="15" hidden="false" customHeight="true" outlineLevel="0" collapsed="false">
      <c r="A1712" s="13" t="s">
        <v>219</v>
      </c>
      <c r="B1712" s="13" t="s">
        <v>820</v>
      </c>
      <c r="C1712" s="11" t="s">
        <v>821</v>
      </c>
      <c r="D1712" s="13" t="s">
        <v>8907</v>
      </c>
      <c r="E1712" s="13" t="s">
        <v>7483</v>
      </c>
      <c r="F1712" s="13" t="s">
        <v>8908</v>
      </c>
      <c r="G1712" s="13" t="s">
        <v>8909</v>
      </c>
      <c r="H1712" s="13" t="s">
        <v>8910</v>
      </c>
    </row>
    <row r="1713" customFormat="false" ht="15" hidden="false" customHeight="true" outlineLevel="0" collapsed="false">
      <c r="A1713" s="13" t="s">
        <v>219</v>
      </c>
      <c r="B1713" s="13" t="s">
        <v>827</v>
      </c>
      <c r="C1713" s="11" t="s">
        <v>828</v>
      </c>
      <c r="D1713" s="13" t="s">
        <v>8911</v>
      </c>
      <c r="E1713" s="13" t="s">
        <v>8912</v>
      </c>
      <c r="F1713" s="13" t="s">
        <v>8913</v>
      </c>
      <c r="G1713" s="13" t="s">
        <v>8914</v>
      </c>
      <c r="H1713" s="13" t="s">
        <v>8915</v>
      </c>
    </row>
    <row r="1714" customFormat="false" ht="15" hidden="false" customHeight="true" outlineLevel="0" collapsed="false">
      <c r="A1714" s="13" t="s">
        <v>219</v>
      </c>
      <c r="B1714" s="13" t="s">
        <v>834</v>
      </c>
      <c r="C1714" s="11" t="s">
        <v>835</v>
      </c>
      <c r="D1714" s="13" t="s">
        <v>8916</v>
      </c>
      <c r="E1714" s="13" t="s">
        <v>8917</v>
      </c>
      <c r="F1714" s="13" t="s">
        <v>8918</v>
      </c>
      <c r="G1714" s="13" t="s">
        <v>8919</v>
      </c>
      <c r="H1714" s="13" t="s">
        <v>8920</v>
      </c>
    </row>
    <row r="1715" customFormat="false" ht="15" hidden="false" customHeight="true" outlineLevel="0" collapsed="false">
      <c r="A1715" s="13" t="s">
        <v>219</v>
      </c>
      <c r="B1715" s="13" t="s">
        <v>841</v>
      </c>
      <c r="C1715" s="11" t="s">
        <v>842</v>
      </c>
      <c r="D1715" s="13" t="s">
        <v>8921</v>
      </c>
      <c r="E1715" s="13" t="s">
        <v>8922</v>
      </c>
      <c r="F1715" s="13" t="s">
        <v>8923</v>
      </c>
      <c r="G1715" s="13" t="s">
        <v>8924</v>
      </c>
      <c r="H1715" s="13" t="s">
        <v>8925</v>
      </c>
    </row>
    <row r="1716" customFormat="false" ht="15" hidden="false" customHeight="true" outlineLevel="0" collapsed="false">
      <c r="A1716" s="13" t="s">
        <v>219</v>
      </c>
      <c r="B1716" s="13" t="s">
        <v>848</v>
      </c>
      <c r="C1716" s="11" t="s">
        <v>849</v>
      </c>
      <c r="D1716" s="13" t="s">
        <v>8926</v>
      </c>
      <c r="E1716" s="13" t="s">
        <v>8927</v>
      </c>
      <c r="F1716" s="13" t="s">
        <v>8928</v>
      </c>
      <c r="G1716" s="13" t="s">
        <v>8929</v>
      </c>
      <c r="H1716" s="13" t="s">
        <v>8930</v>
      </c>
    </row>
    <row r="1717" customFormat="false" ht="15" hidden="false" customHeight="true" outlineLevel="0" collapsed="false">
      <c r="A1717" s="13" t="s">
        <v>219</v>
      </c>
      <c r="B1717" s="13" t="s">
        <v>855</v>
      </c>
      <c r="C1717" s="11" t="s">
        <v>856</v>
      </c>
      <c r="D1717" s="13" t="s">
        <v>8931</v>
      </c>
      <c r="E1717" s="13" t="s">
        <v>8932</v>
      </c>
      <c r="F1717" s="13" t="s">
        <v>8933</v>
      </c>
      <c r="G1717" s="13" t="s">
        <v>8934</v>
      </c>
      <c r="H1717" s="13" t="s">
        <v>8935</v>
      </c>
    </row>
    <row r="1718" customFormat="false" ht="15" hidden="false" customHeight="true" outlineLevel="0" collapsed="false">
      <c r="A1718" s="13" t="s">
        <v>219</v>
      </c>
      <c r="B1718" s="13" t="s">
        <v>862</v>
      </c>
      <c r="C1718" s="11" t="s">
        <v>863</v>
      </c>
      <c r="D1718" s="13" t="s">
        <v>8936</v>
      </c>
      <c r="E1718" s="13" t="s">
        <v>8937</v>
      </c>
      <c r="F1718" s="13" t="s">
        <v>8938</v>
      </c>
      <c r="G1718" s="13" t="s">
        <v>8939</v>
      </c>
      <c r="H1718" s="13" t="s">
        <v>8940</v>
      </c>
    </row>
    <row r="1719" customFormat="false" ht="15" hidden="false" customHeight="true" outlineLevel="0" collapsed="false">
      <c r="A1719" s="13" t="s">
        <v>219</v>
      </c>
      <c r="B1719" s="13" t="s">
        <v>869</v>
      </c>
      <c r="C1719" s="11" t="s">
        <v>870</v>
      </c>
      <c r="D1719" s="13" t="s">
        <v>8941</v>
      </c>
      <c r="E1719" s="13" t="s">
        <v>8942</v>
      </c>
      <c r="F1719" s="13" t="s">
        <v>8943</v>
      </c>
      <c r="G1719" s="13" t="s">
        <v>8944</v>
      </c>
      <c r="H1719" s="13" t="s">
        <v>8945</v>
      </c>
    </row>
    <row r="1720" customFormat="false" ht="15" hidden="false" customHeight="true" outlineLevel="0" collapsed="false">
      <c r="A1720" s="13" t="s">
        <v>219</v>
      </c>
      <c r="B1720" s="13" t="s">
        <v>876</v>
      </c>
      <c r="C1720" s="11" t="s">
        <v>877</v>
      </c>
      <c r="D1720" s="13" t="s">
        <v>8946</v>
      </c>
      <c r="E1720" s="13" t="s">
        <v>8947</v>
      </c>
      <c r="F1720" s="13" t="s">
        <v>8948</v>
      </c>
      <c r="G1720" s="13" t="s">
        <v>8949</v>
      </c>
      <c r="H1720" s="13" t="s">
        <v>8950</v>
      </c>
    </row>
    <row r="1721" customFormat="false" ht="15" hidden="false" customHeight="true" outlineLevel="0" collapsed="false">
      <c r="A1721" s="13" t="s">
        <v>219</v>
      </c>
      <c r="B1721" s="13" t="s">
        <v>883</v>
      </c>
      <c r="C1721" s="11" t="s">
        <v>884</v>
      </c>
      <c r="D1721" s="13" t="s">
        <v>8951</v>
      </c>
      <c r="E1721" s="13" t="s">
        <v>8952</v>
      </c>
      <c r="F1721" s="13" t="s">
        <v>8953</v>
      </c>
      <c r="G1721" s="13" t="s">
        <v>8954</v>
      </c>
      <c r="H1721" s="13" t="s">
        <v>8955</v>
      </c>
    </row>
    <row r="1722" customFormat="false" ht="15" hidden="false" customHeight="true" outlineLevel="0" collapsed="false">
      <c r="A1722" s="13" t="s">
        <v>219</v>
      </c>
      <c r="B1722" s="13" t="s">
        <v>890</v>
      </c>
      <c r="C1722" s="11" t="s">
        <v>891</v>
      </c>
      <c r="D1722" s="13" t="s">
        <v>8956</v>
      </c>
      <c r="E1722" s="13" t="s">
        <v>4362</v>
      </c>
      <c r="F1722" s="13" t="s">
        <v>8957</v>
      </c>
      <c r="G1722" s="13" t="s">
        <v>8958</v>
      </c>
      <c r="H1722" s="13" t="s">
        <v>8959</v>
      </c>
    </row>
    <row r="1723" customFormat="false" ht="15" hidden="false" customHeight="true" outlineLevel="0" collapsed="false">
      <c r="A1723" s="13" t="s">
        <v>219</v>
      </c>
      <c r="B1723" s="13" t="s">
        <v>897</v>
      </c>
      <c r="C1723" s="11" t="s">
        <v>898</v>
      </c>
      <c r="D1723" s="13" t="s">
        <v>8960</v>
      </c>
      <c r="E1723" s="13" t="s">
        <v>8577</v>
      </c>
      <c r="F1723" s="13" t="s">
        <v>8961</v>
      </c>
      <c r="G1723" s="13" t="s">
        <v>8962</v>
      </c>
      <c r="H1723" s="13" t="s">
        <v>8963</v>
      </c>
    </row>
    <row r="1724" customFormat="false" ht="15" hidden="false" customHeight="true" outlineLevel="0" collapsed="false">
      <c r="A1724" s="13" t="s">
        <v>219</v>
      </c>
      <c r="B1724" s="13" t="s">
        <v>904</v>
      </c>
      <c r="C1724" s="11" t="s">
        <v>905</v>
      </c>
      <c r="D1724" s="13" t="s">
        <v>8964</v>
      </c>
      <c r="E1724" s="13" t="s">
        <v>8965</v>
      </c>
      <c r="F1724" s="13" t="s">
        <v>8966</v>
      </c>
      <c r="G1724" s="13" t="s">
        <v>4527</v>
      </c>
      <c r="H1724" s="13" t="s">
        <v>8967</v>
      </c>
    </row>
    <row r="1725" customFormat="false" ht="15" hidden="false" customHeight="true" outlineLevel="0" collapsed="false">
      <c r="A1725" s="13" t="s">
        <v>219</v>
      </c>
      <c r="B1725" s="13" t="s">
        <v>911</v>
      </c>
      <c r="C1725" s="11" t="s">
        <v>912</v>
      </c>
      <c r="D1725" s="13" t="s">
        <v>8968</v>
      </c>
      <c r="E1725" s="13" t="s">
        <v>8969</v>
      </c>
      <c r="F1725" s="13" t="s">
        <v>8970</v>
      </c>
      <c r="G1725" s="13" t="s">
        <v>8971</v>
      </c>
      <c r="H1725" s="13" t="s">
        <v>8972</v>
      </c>
    </row>
    <row r="1726" customFormat="false" ht="15" hidden="false" customHeight="true" outlineLevel="0" collapsed="false">
      <c r="A1726" s="13" t="s">
        <v>219</v>
      </c>
      <c r="B1726" s="13" t="s">
        <v>918</v>
      </c>
      <c r="C1726" s="11" t="s">
        <v>919</v>
      </c>
      <c r="D1726" s="13" t="s">
        <v>8973</v>
      </c>
      <c r="E1726" s="13" t="s">
        <v>8974</v>
      </c>
      <c r="F1726" s="13" t="s">
        <v>8975</v>
      </c>
      <c r="G1726" s="13" t="s">
        <v>8976</v>
      </c>
      <c r="H1726" s="13" t="s">
        <v>8977</v>
      </c>
    </row>
    <row r="1727" customFormat="false" ht="15" hidden="false" customHeight="true" outlineLevel="0" collapsed="false">
      <c r="A1727" s="13" t="s">
        <v>219</v>
      </c>
      <c r="B1727" s="13" t="s">
        <v>925</v>
      </c>
      <c r="C1727" s="11" t="s">
        <v>926</v>
      </c>
      <c r="D1727" s="13" t="s">
        <v>8978</v>
      </c>
      <c r="E1727" s="13" t="s">
        <v>8979</v>
      </c>
      <c r="F1727" s="13" t="s">
        <v>8980</v>
      </c>
      <c r="G1727" s="13" t="s">
        <v>8981</v>
      </c>
      <c r="H1727" s="13" t="s">
        <v>8982</v>
      </c>
    </row>
    <row r="1728" customFormat="false" ht="15" hidden="false" customHeight="true" outlineLevel="0" collapsed="false">
      <c r="A1728" s="13" t="s">
        <v>219</v>
      </c>
      <c r="B1728" s="13" t="s">
        <v>932</v>
      </c>
      <c r="C1728" s="11" t="s">
        <v>933</v>
      </c>
      <c r="D1728" s="13" t="s">
        <v>8983</v>
      </c>
      <c r="E1728" s="13" t="s">
        <v>8984</v>
      </c>
      <c r="F1728" s="13" t="s">
        <v>8985</v>
      </c>
      <c r="G1728" s="13" t="s">
        <v>8986</v>
      </c>
      <c r="H1728" s="13" t="s">
        <v>8987</v>
      </c>
    </row>
    <row r="1729" customFormat="false" ht="15" hidden="false" customHeight="true" outlineLevel="0" collapsed="false">
      <c r="A1729" s="13" t="s">
        <v>219</v>
      </c>
      <c r="B1729" s="13" t="s">
        <v>939</v>
      </c>
      <c r="C1729" s="11" t="s">
        <v>940</v>
      </c>
      <c r="D1729" s="13" t="s">
        <v>8988</v>
      </c>
      <c r="E1729" s="13" t="s">
        <v>8989</v>
      </c>
      <c r="F1729" s="13" t="s">
        <v>8990</v>
      </c>
      <c r="G1729" s="13" t="s">
        <v>8991</v>
      </c>
      <c r="H1729" s="13" t="s">
        <v>8992</v>
      </c>
    </row>
    <row r="1730" customFormat="false" ht="15" hidden="false" customHeight="true" outlineLevel="0" collapsed="false">
      <c r="A1730" s="13" t="s">
        <v>219</v>
      </c>
      <c r="B1730" s="13" t="s">
        <v>946</v>
      </c>
      <c r="C1730" s="11" t="s">
        <v>947</v>
      </c>
      <c r="D1730" s="13" t="s">
        <v>8993</v>
      </c>
      <c r="E1730" s="13" t="s">
        <v>8994</v>
      </c>
      <c r="F1730" s="13" t="s">
        <v>8995</v>
      </c>
      <c r="G1730" s="13" t="s">
        <v>8996</v>
      </c>
      <c r="H1730" s="13" t="s">
        <v>8997</v>
      </c>
    </row>
    <row r="1731" customFormat="false" ht="15" hidden="false" customHeight="true" outlineLevel="0" collapsed="false">
      <c r="A1731" s="13" t="s">
        <v>219</v>
      </c>
      <c r="B1731" s="13" t="s">
        <v>953</v>
      </c>
      <c r="C1731" s="11" t="s">
        <v>954</v>
      </c>
      <c r="D1731" s="13" t="s">
        <v>8998</v>
      </c>
      <c r="E1731" s="13" t="s">
        <v>8999</v>
      </c>
      <c r="F1731" s="13" t="s">
        <v>9000</v>
      </c>
      <c r="G1731" s="13" t="s">
        <v>9001</v>
      </c>
      <c r="H1731" s="13" t="s">
        <v>9002</v>
      </c>
    </row>
    <row r="1732" customFormat="false" ht="15" hidden="false" customHeight="true" outlineLevel="0" collapsed="false">
      <c r="A1732" s="13" t="s">
        <v>219</v>
      </c>
      <c r="B1732" s="13" t="s">
        <v>960</v>
      </c>
      <c r="C1732" s="11" t="s">
        <v>961</v>
      </c>
      <c r="D1732" s="13" t="s">
        <v>9003</v>
      </c>
      <c r="E1732" s="13" t="s">
        <v>9004</v>
      </c>
      <c r="F1732" s="13" t="s">
        <v>9005</v>
      </c>
      <c r="G1732" s="13" t="s">
        <v>9006</v>
      </c>
      <c r="H1732" s="13" t="s">
        <v>9007</v>
      </c>
    </row>
    <row r="1733" customFormat="false" ht="15" hidden="false" customHeight="true" outlineLevel="0" collapsed="false">
      <c r="A1733" s="13" t="s">
        <v>219</v>
      </c>
      <c r="B1733" s="13" t="s">
        <v>967</v>
      </c>
      <c r="C1733" s="11" t="s">
        <v>968</v>
      </c>
      <c r="D1733" s="13" t="s">
        <v>8574</v>
      </c>
      <c r="E1733" s="13" t="s">
        <v>9008</v>
      </c>
      <c r="F1733" s="13" t="s">
        <v>9009</v>
      </c>
      <c r="G1733" s="13" t="s">
        <v>9010</v>
      </c>
      <c r="H1733" s="13" t="s">
        <v>9011</v>
      </c>
    </row>
    <row r="1734" customFormat="false" ht="15" hidden="false" customHeight="true" outlineLevel="0" collapsed="false">
      <c r="A1734" s="13" t="s">
        <v>219</v>
      </c>
      <c r="B1734" s="13" t="s">
        <v>974</v>
      </c>
      <c r="C1734" s="11" t="s">
        <v>975</v>
      </c>
      <c r="D1734" s="13" t="s">
        <v>9012</v>
      </c>
      <c r="E1734" s="13" t="s">
        <v>9013</v>
      </c>
      <c r="F1734" s="13" t="s">
        <v>9014</v>
      </c>
      <c r="G1734" s="13" t="s">
        <v>9015</v>
      </c>
      <c r="H1734" s="13" t="s">
        <v>9016</v>
      </c>
    </row>
    <row r="1735" customFormat="false" ht="15" hidden="false" customHeight="true" outlineLevel="0" collapsed="false">
      <c r="A1735" s="13" t="s">
        <v>219</v>
      </c>
      <c r="B1735" s="13" t="s">
        <v>981</v>
      </c>
      <c r="C1735" s="11" t="s">
        <v>982</v>
      </c>
      <c r="D1735" s="13" t="s">
        <v>9017</v>
      </c>
      <c r="E1735" s="13" t="s">
        <v>9018</v>
      </c>
      <c r="F1735" s="13" t="s">
        <v>9019</v>
      </c>
      <c r="G1735" s="13" t="s">
        <v>9020</v>
      </c>
      <c r="H1735" s="13" t="s">
        <v>9021</v>
      </c>
    </row>
    <row r="1736" customFormat="false" ht="15" hidden="false" customHeight="true" outlineLevel="0" collapsed="false">
      <c r="A1736" s="13" t="s">
        <v>219</v>
      </c>
      <c r="B1736" s="13" t="s">
        <v>988</v>
      </c>
      <c r="C1736" s="11" t="s">
        <v>989</v>
      </c>
      <c r="D1736" s="13" t="s">
        <v>9022</v>
      </c>
      <c r="E1736" s="13" t="s">
        <v>9023</v>
      </c>
      <c r="F1736" s="13" t="s">
        <v>9024</v>
      </c>
      <c r="G1736" s="13" t="s">
        <v>9025</v>
      </c>
      <c r="H1736" s="13" t="s">
        <v>9026</v>
      </c>
    </row>
    <row r="1737" customFormat="false" ht="15" hidden="false" customHeight="true" outlineLevel="0" collapsed="false">
      <c r="A1737" s="13" t="s">
        <v>219</v>
      </c>
      <c r="B1737" s="13" t="s">
        <v>995</v>
      </c>
      <c r="C1737" s="11" t="s">
        <v>996</v>
      </c>
      <c r="D1737" s="13" t="s">
        <v>9027</v>
      </c>
      <c r="E1737" s="13" t="s">
        <v>9028</v>
      </c>
      <c r="F1737" s="13" t="s">
        <v>9029</v>
      </c>
      <c r="G1737" s="13" t="s">
        <v>9030</v>
      </c>
      <c r="H1737" s="13" t="s">
        <v>9031</v>
      </c>
    </row>
    <row r="1738" customFormat="false" ht="15" hidden="false" customHeight="true" outlineLevel="0" collapsed="false">
      <c r="A1738" s="13" t="s">
        <v>219</v>
      </c>
      <c r="B1738" s="13" t="s">
        <v>1002</v>
      </c>
      <c r="C1738" s="11" t="s">
        <v>1003</v>
      </c>
      <c r="D1738" s="13" t="s">
        <v>9032</v>
      </c>
      <c r="E1738" s="13" t="s">
        <v>9033</v>
      </c>
      <c r="F1738" s="13" t="s">
        <v>9034</v>
      </c>
      <c r="G1738" s="13" t="s">
        <v>9035</v>
      </c>
      <c r="H1738" s="13" t="s">
        <v>9036</v>
      </c>
    </row>
    <row r="1739" customFormat="false" ht="15" hidden="false" customHeight="true" outlineLevel="0" collapsed="false">
      <c r="A1739" s="13" t="s">
        <v>219</v>
      </c>
      <c r="B1739" s="13" t="s">
        <v>1009</v>
      </c>
      <c r="C1739" s="11" t="s">
        <v>1010</v>
      </c>
      <c r="D1739" s="13" t="s">
        <v>7244</v>
      </c>
      <c r="E1739" s="13" t="s">
        <v>9037</v>
      </c>
      <c r="F1739" s="13" t="s">
        <v>9038</v>
      </c>
      <c r="G1739" s="13" t="s">
        <v>9039</v>
      </c>
      <c r="H1739" s="13" t="s">
        <v>9040</v>
      </c>
    </row>
    <row r="1740" customFormat="false" ht="15" hidden="false" customHeight="true" outlineLevel="0" collapsed="false">
      <c r="A1740" s="13" t="s">
        <v>228</v>
      </c>
      <c r="B1740" s="13" t="s">
        <v>345</v>
      </c>
      <c r="C1740" s="11" t="s">
        <v>346</v>
      </c>
      <c r="D1740" s="13" t="s">
        <v>1719</v>
      </c>
      <c r="E1740" s="13" t="s">
        <v>9041</v>
      </c>
      <c r="F1740" s="13" t="s">
        <v>9042</v>
      </c>
      <c r="G1740" s="13" t="s">
        <v>9043</v>
      </c>
      <c r="H1740" s="13" t="s">
        <v>9044</v>
      </c>
    </row>
    <row r="1741" customFormat="false" ht="15" hidden="false" customHeight="true" outlineLevel="0" collapsed="false">
      <c r="A1741" s="13" t="s">
        <v>228</v>
      </c>
      <c r="B1741" s="13" t="s">
        <v>352</v>
      </c>
      <c r="C1741" s="11" t="s">
        <v>353</v>
      </c>
      <c r="D1741" s="13" t="s">
        <v>9045</v>
      </c>
      <c r="E1741" s="13" t="s">
        <v>9046</v>
      </c>
      <c r="F1741" s="13" t="s">
        <v>9047</v>
      </c>
      <c r="G1741" s="13" t="s">
        <v>9048</v>
      </c>
      <c r="H1741" s="13" t="s">
        <v>9049</v>
      </c>
    </row>
    <row r="1742" customFormat="false" ht="15" hidden="false" customHeight="true" outlineLevel="0" collapsed="false">
      <c r="A1742" s="13" t="s">
        <v>228</v>
      </c>
      <c r="B1742" s="13" t="s">
        <v>359</v>
      </c>
      <c r="C1742" s="11" t="s">
        <v>360</v>
      </c>
      <c r="D1742" s="13" t="s">
        <v>9050</v>
      </c>
      <c r="E1742" s="13" t="s">
        <v>9051</v>
      </c>
      <c r="F1742" s="13" t="s">
        <v>9052</v>
      </c>
      <c r="G1742" s="13" t="s">
        <v>9053</v>
      </c>
      <c r="H1742" s="13" t="s">
        <v>9054</v>
      </c>
    </row>
    <row r="1743" customFormat="false" ht="15" hidden="false" customHeight="true" outlineLevel="0" collapsed="false">
      <c r="A1743" s="13" t="s">
        <v>228</v>
      </c>
      <c r="B1743" s="13" t="s">
        <v>366</v>
      </c>
      <c r="C1743" s="11" t="s">
        <v>367</v>
      </c>
      <c r="D1743" s="13" t="s">
        <v>9055</v>
      </c>
      <c r="E1743" s="13" t="s">
        <v>9056</v>
      </c>
      <c r="F1743" s="13" t="s">
        <v>9057</v>
      </c>
      <c r="G1743" s="13" t="s">
        <v>9058</v>
      </c>
      <c r="H1743" s="13" t="s">
        <v>9059</v>
      </c>
    </row>
    <row r="1744" customFormat="false" ht="15" hidden="false" customHeight="true" outlineLevel="0" collapsed="false">
      <c r="A1744" s="13" t="s">
        <v>228</v>
      </c>
      <c r="B1744" s="13" t="s">
        <v>373</v>
      </c>
      <c r="C1744" s="11" t="s">
        <v>374</v>
      </c>
      <c r="D1744" s="13" t="s">
        <v>9060</v>
      </c>
      <c r="E1744" s="13" t="s">
        <v>9061</v>
      </c>
      <c r="F1744" s="13" t="s">
        <v>9062</v>
      </c>
      <c r="G1744" s="13" t="s">
        <v>9063</v>
      </c>
      <c r="H1744" s="13" t="s">
        <v>9064</v>
      </c>
    </row>
    <row r="1745" customFormat="false" ht="15" hidden="false" customHeight="true" outlineLevel="0" collapsed="false">
      <c r="A1745" s="13" t="s">
        <v>228</v>
      </c>
      <c r="B1745" s="13" t="s">
        <v>380</v>
      </c>
      <c r="C1745" s="11" t="s">
        <v>381</v>
      </c>
      <c r="D1745" s="13" t="s">
        <v>9065</v>
      </c>
      <c r="E1745" s="13" t="s">
        <v>9066</v>
      </c>
      <c r="F1745" s="13" t="s">
        <v>9067</v>
      </c>
      <c r="G1745" s="13" t="s">
        <v>9068</v>
      </c>
      <c r="H1745" s="13" t="s">
        <v>9069</v>
      </c>
    </row>
    <row r="1746" customFormat="false" ht="15" hidden="false" customHeight="true" outlineLevel="0" collapsed="false">
      <c r="A1746" s="13" t="s">
        <v>228</v>
      </c>
      <c r="B1746" s="13" t="s">
        <v>387</v>
      </c>
      <c r="C1746" s="11" t="s">
        <v>388</v>
      </c>
      <c r="D1746" s="13" t="s">
        <v>9070</v>
      </c>
      <c r="E1746" s="13" t="s">
        <v>9071</v>
      </c>
      <c r="F1746" s="13" t="s">
        <v>9072</v>
      </c>
      <c r="G1746" s="13" t="s">
        <v>9073</v>
      </c>
      <c r="H1746" s="13" t="s">
        <v>9074</v>
      </c>
    </row>
    <row r="1747" customFormat="false" ht="15" hidden="false" customHeight="true" outlineLevel="0" collapsed="false">
      <c r="A1747" s="13" t="s">
        <v>228</v>
      </c>
      <c r="B1747" s="13" t="s">
        <v>394</v>
      </c>
      <c r="C1747" s="11" t="s">
        <v>395</v>
      </c>
      <c r="D1747" s="13" t="s">
        <v>9075</v>
      </c>
      <c r="E1747" s="13" t="s">
        <v>9076</v>
      </c>
      <c r="F1747" s="13" t="s">
        <v>9077</v>
      </c>
      <c r="G1747" s="13" t="s">
        <v>9078</v>
      </c>
      <c r="H1747" s="13" t="s">
        <v>9079</v>
      </c>
    </row>
    <row r="1748" customFormat="false" ht="15" hidden="false" customHeight="true" outlineLevel="0" collapsed="false">
      <c r="A1748" s="13" t="s">
        <v>228</v>
      </c>
      <c r="B1748" s="13" t="s">
        <v>401</v>
      </c>
      <c r="C1748" s="11" t="s">
        <v>402</v>
      </c>
      <c r="D1748" s="13" t="s">
        <v>9080</v>
      </c>
      <c r="E1748" s="13" t="s">
        <v>9081</v>
      </c>
      <c r="F1748" s="13" t="s">
        <v>9082</v>
      </c>
      <c r="G1748" s="13" t="s">
        <v>9083</v>
      </c>
      <c r="H1748" s="13" t="s">
        <v>9084</v>
      </c>
    </row>
    <row r="1749" customFormat="false" ht="15" hidden="false" customHeight="true" outlineLevel="0" collapsed="false">
      <c r="A1749" s="13" t="s">
        <v>228</v>
      </c>
      <c r="B1749" s="13" t="s">
        <v>408</v>
      </c>
      <c r="C1749" s="11" t="s">
        <v>409</v>
      </c>
      <c r="D1749" s="13" t="s">
        <v>9085</v>
      </c>
      <c r="E1749" s="13" t="s">
        <v>9086</v>
      </c>
      <c r="F1749" s="13" t="s">
        <v>9087</v>
      </c>
      <c r="G1749" s="13" t="s">
        <v>9088</v>
      </c>
      <c r="H1749" s="13" t="s">
        <v>9089</v>
      </c>
    </row>
    <row r="1750" customFormat="false" ht="15" hidden="false" customHeight="true" outlineLevel="0" collapsed="false">
      <c r="A1750" s="13" t="s">
        <v>228</v>
      </c>
      <c r="B1750" s="13" t="s">
        <v>415</v>
      </c>
      <c r="C1750" s="11" t="s">
        <v>416</v>
      </c>
      <c r="D1750" s="13" t="s">
        <v>9090</v>
      </c>
      <c r="E1750" s="13" t="s">
        <v>9091</v>
      </c>
      <c r="F1750" s="13" t="s">
        <v>9092</v>
      </c>
      <c r="G1750" s="13" t="s">
        <v>9093</v>
      </c>
      <c r="H1750" s="13" t="s">
        <v>9094</v>
      </c>
    </row>
    <row r="1751" customFormat="false" ht="15" hidden="false" customHeight="true" outlineLevel="0" collapsed="false">
      <c r="A1751" s="13" t="s">
        <v>228</v>
      </c>
      <c r="B1751" s="13" t="s">
        <v>422</v>
      </c>
      <c r="C1751" s="11" t="s">
        <v>423</v>
      </c>
      <c r="D1751" s="13" t="s">
        <v>9095</v>
      </c>
      <c r="E1751" s="13" t="s">
        <v>9096</v>
      </c>
      <c r="F1751" s="13" t="s">
        <v>9097</v>
      </c>
      <c r="G1751" s="13" t="s">
        <v>9098</v>
      </c>
      <c r="H1751" s="13" t="s">
        <v>9099</v>
      </c>
    </row>
    <row r="1752" customFormat="false" ht="15" hidden="false" customHeight="true" outlineLevel="0" collapsed="false">
      <c r="A1752" s="13" t="s">
        <v>228</v>
      </c>
      <c r="B1752" s="13" t="s">
        <v>429</v>
      </c>
      <c r="C1752" s="11" t="s">
        <v>430</v>
      </c>
      <c r="D1752" s="13" t="s">
        <v>9100</v>
      </c>
      <c r="E1752" s="13" t="s">
        <v>9101</v>
      </c>
      <c r="F1752" s="13" t="s">
        <v>9102</v>
      </c>
      <c r="G1752" s="13" t="s">
        <v>9103</v>
      </c>
      <c r="H1752" s="13" t="s">
        <v>9104</v>
      </c>
    </row>
    <row r="1753" customFormat="false" ht="15" hidden="false" customHeight="true" outlineLevel="0" collapsed="false">
      <c r="A1753" s="13" t="s">
        <v>228</v>
      </c>
      <c r="B1753" s="13" t="s">
        <v>436</v>
      </c>
      <c r="C1753" s="11" t="s">
        <v>437</v>
      </c>
      <c r="D1753" s="13" t="s">
        <v>8080</v>
      </c>
      <c r="E1753" s="13" t="s">
        <v>9105</v>
      </c>
      <c r="F1753" s="13" t="s">
        <v>9106</v>
      </c>
      <c r="G1753" s="13" t="s">
        <v>2932</v>
      </c>
      <c r="H1753" s="13" t="s">
        <v>9107</v>
      </c>
    </row>
    <row r="1754" customFormat="false" ht="15" hidden="false" customHeight="true" outlineLevel="0" collapsed="false">
      <c r="A1754" s="13" t="s">
        <v>228</v>
      </c>
      <c r="B1754" s="13" t="s">
        <v>443</v>
      </c>
      <c r="C1754" s="11" t="s">
        <v>444</v>
      </c>
      <c r="D1754" s="13" t="s">
        <v>9108</v>
      </c>
      <c r="E1754" s="13" t="s">
        <v>9109</v>
      </c>
      <c r="F1754" s="13" t="s">
        <v>9110</v>
      </c>
      <c r="G1754" s="13" t="s">
        <v>9111</v>
      </c>
      <c r="H1754" s="13" t="s">
        <v>9112</v>
      </c>
    </row>
    <row r="1755" customFormat="false" ht="15" hidden="false" customHeight="true" outlineLevel="0" collapsed="false">
      <c r="A1755" s="13" t="s">
        <v>228</v>
      </c>
      <c r="B1755" s="13" t="s">
        <v>450</v>
      </c>
      <c r="C1755" s="11" t="s">
        <v>451</v>
      </c>
      <c r="D1755" s="13" t="s">
        <v>9113</v>
      </c>
      <c r="E1755" s="13" t="s">
        <v>9114</v>
      </c>
      <c r="F1755" s="13" t="s">
        <v>9115</v>
      </c>
      <c r="G1755" s="13" t="s">
        <v>9116</v>
      </c>
      <c r="H1755" s="13" t="s">
        <v>9117</v>
      </c>
    </row>
    <row r="1756" customFormat="false" ht="15" hidden="false" customHeight="true" outlineLevel="0" collapsed="false">
      <c r="A1756" s="13" t="s">
        <v>228</v>
      </c>
      <c r="B1756" s="13" t="s">
        <v>457</v>
      </c>
      <c r="C1756" s="11" t="s">
        <v>458</v>
      </c>
      <c r="D1756" s="13" t="s">
        <v>9118</v>
      </c>
      <c r="E1756" s="13" t="s">
        <v>9119</v>
      </c>
      <c r="F1756" s="13" t="s">
        <v>9120</v>
      </c>
      <c r="G1756" s="13" t="s">
        <v>9121</v>
      </c>
      <c r="H1756" s="13" t="s">
        <v>9122</v>
      </c>
    </row>
    <row r="1757" customFormat="false" ht="15" hidden="false" customHeight="true" outlineLevel="0" collapsed="false">
      <c r="A1757" s="13" t="s">
        <v>228</v>
      </c>
      <c r="B1757" s="13" t="s">
        <v>464</v>
      </c>
      <c r="C1757" s="11" t="s">
        <v>465</v>
      </c>
      <c r="D1757" s="13" t="s">
        <v>9123</v>
      </c>
      <c r="E1757" s="13" t="s">
        <v>9124</v>
      </c>
      <c r="F1757" s="13" t="s">
        <v>9125</v>
      </c>
      <c r="G1757" s="13" t="s">
        <v>9126</v>
      </c>
      <c r="H1757" s="13" t="s">
        <v>9127</v>
      </c>
    </row>
    <row r="1758" customFormat="false" ht="15" hidden="false" customHeight="true" outlineLevel="0" collapsed="false">
      <c r="A1758" s="13" t="s">
        <v>228</v>
      </c>
      <c r="B1758" s="13" t="s">
        <v>471</v>
      </c>
      <c r="C1758" s="11" t="s">
        <v>472</v>
      </c>
      <c r="D1758" s="13" t="s">
        <v>9128</v>
      </c>
      <c r="E1758" s="13" t="s">
        <v>9129</v>
      </c>
      <c r="F1758" s="13" t="s">
        <v>9130</v>
      </c>
      <c r="G1758" s="13" t="s">
        <v>9131</v>
      </c>
      <c r="H1758" s="13" t="s">
        <v>9132</v>
      </c>
    </row>
    <row r="1759" customFormat="false" ht="15" hidden="false" customHeight="true" outlineLevel="0" collapsed="false">
      <c r="A1759" s="13" t="s">
        <v>228</v>
      </c>
      <c r="B1759" s="13" t="s">
        <v>478</v>
      </c>
      <c r="C1759" s="11" t="s">
        <v>479</v>
      </c>
      <c r="D1759" s="13" t="s">
        <v>9133</v>
      </c>
      <c r="E1759" s="13" t="s">
        <v>9134</v>
      </c>
      <c r="F1759" s="13" t="s">
        <v>9135</v>
      </c>
      <c r="G1759" s="13" t="s">
        <v>9136</v>
      </c>
      <c r="H1759" s="13" t="s">
        <v>9137</v>
      </c>
    </row>
    <row r="1760" customFormat="false" ht="15" hidden="false" customHeight="true" outlineLevel="0" collapsed="false">
      <c r="A1760" s="13" t="s">
        <v>228</v>
      </c>
      <c r="B1760" s="13" t="s">
        <v>485</v>
      </c>
      <c r="C1760" s="11" t="s">
        <v>486</v>
      </c>
      <c r="D1760" s="13" t="s">
        <v>9138</v>
      </c>
      <c r="E1760" s="13" t="s">
        <v>9139</v>
      </c>
      <c r="F1760" s="13" t="s">
        <v>9140</v>
      </c>
      <c r="G1760" s="13" t="s">
        <v>9141</v>
      </c>
      <c r="H1760" s="13" t="s">
        <v>9142</v>
      </c>
    </row>
    <row r="1761" customFormat="false" ht="15" hidden="false" customHeight="true" outlineLevel="0" collapsed="false">
      <c r="A1761" s="13" t="s">
        <v>228</v>
      </c>
      <c r="B1761" s="13" t="s">
        <v>492</v>
      </c>
      <c r="C1761" s="11" t="s">
        <v>493</v>
      </c>
      <c r="D1761" s="13" t="s">
        <v>9143</v>
      </c>
      <c r="E1761" s="13" t="s">
        <v>9144</v>
      </c>
      <c r="F1761" s="13" t="s">
        <v>9145</v>
      </c>
      <c r="G1761" s="13" t="s">
        <v>9146</v>
      </c>
      <c r="H1761" s="13" t="s">
        <v>9147</v>
      </c>
    </row>
    <row r="1762" customFormat="false" ht="15" hidden="false" customHeight="true" outlineLevel="0" collapsed="false">
      <c r="A1762" s="13" t="s">
        <v>228</v>
      </c>
      <c r="B1762" s="13" t="s">
        <v>499</v>
      </c>
      <c r="C1762" s="11" t="s">
        <v>500</v>
      </c>
      <c r="D1762" s="13" t="s">
        <v>9148</v>
      </c>
      <c r="E1762" s="13" t="s">
        <v>9149</v>
      </c>
      <c r="F1762" s="13" t="s">
        <v>9150</v>
      </c>
      <c r="G1762" s="13" t="s">
        <v>9151</v>
      </c>
      <c r="H1762" s="13" t="s">
        <v>9152</v>
      </c>
    </row>
    <row r="1763" customFormat="false" ht="15" hidden="false" customHeight="true" outlineLevel="0" collapsed="false">
      <c r="A1763" s="13" t="s">
        <v>228</v>
      </c>
      <c r="B1763" s="13" t="s">
        <v>506</v>
      </c>
      <c r="C1763" s="11" t="s">
        <v>507</v>
      </c>
      <c r="D1763" s="13" t="s">
        <v>9153</v>
      </c>
      <c r="E1763" s="13" t="s">
        <v>9154</v>
      </c>
      <c r="F1763" s="13" t="s">
        <v>9155</v>
      </c>
      <c r="G1763" s="13" t="s">
        <v>9156</v>
      </c>
      <c r="H1763" s="13" t="s">
        <v>9157</v>
      </c>
    </row>
    <row r="1764" customFormat="false" ht="15" hidden="false" customHeight="true" outlineLevel="0" collapsed="false">
      <c r="A1764" s="13" t="s">
        <v>228</v>
      </c>
      <c r="B1764" s="13" t="s">
        <v>513</v>
      </c>
      <c r="C1764" s="11" t="s">
        <v>514</v>
      </c>
      <c r="D1764" s="13" t="s">
        <v>9158</v>
      </c>
      <c r="E1764" s="13" t="s">
        <v>9159</v>
      </c>
      <c r="F1764" s="13" t="s">
        <v>9160</v>
      </c>
      <c r="G1764" s="13" t="s">
        <v>9161</v>
      </c>
      <c r="H1764" s="13" t="s">
        <v>9162</v>
      </c>
    </row>
    <row r="1765" customFormat="false" ht="15" hidden="false" customHeight="true" outlineLevel="0" collapsed="false">
      <c r="A1765" s="13" t="s">
        <v>228</v>
      </c>
      <c r="B1765" s="13" t="s">
        <v>520</v>
      </c>
      <c r="C1765" s="11" t="s">
        <v>521</v>
      </c>
      <c r="D1765" s="13" t="s">
        <v>9163</v>
      </c>
      <c r="E1765" s="13" t="s">
        <v>9164</v>
      </c>
      <c r="F1765" s="13" t="s">
        <v>9165</v>
      </c>
      <c r="G1765" s="13" t="s">
        <v>9166</v>
      </c>
      <c r="H1765" s="13" t="s">
        <v>9167</v>
      </c>
    </row>
    <row r="1766" customFormat="false" ht="15" hidden="false" customHeight="true" outlineLevel="0" collapsed="false">
      <c r="A1766" s="13" t="s">
        <v>228</v>
      </c>
      <c r="B1766" s="13" t="s">
        <v>527</v>
      </c>
      <c r="C1766" s="11" t="s">
        <v>528</v>
      </c>
      <c r="D1766" s="13" t="s">
        <v>9168</v>
      </c>
      <c r="E1766" s="13" t="s">
        <v>9169</v>
      </c>
      <c r="F1766" s="13" t="s">
        <v>9170</v>
      </c>
      <c r="G1766" s="13" t="s">
        <v>9171</v>
      </c>
      <c r="H1766" s="13" t="s">
        <v>9172</v>
      </c>
    </row>
    <row r="1767" customFormat="false" ht="15" hidden="false" customHeight="true" outlineLevel="0" collapsed="false">
      <c r="A1767" s="13" t="s">
        <v>228</v>
      </c>
      <c r="B1767" s="13" t="s">
        <v>534</v>
      </c>
      <c r="C1767" s="11" t="s">
        <v>535</v>
      </c>
      <c r="D1767" s="13" t="s">
        <v>9173</v>
      </c>
      <c r="E1767" s="13" t="s">
        <v>9174</v>
      </c>
      <c r="F1767" s="13" t="s">
        <v>9175</v>
      </c>
      <c r="G1767" s="13" t="s">
        <v>9176</v>
      </c>
      <c r="H1767" s="13" t="s">
        <v>9177</v>
      </c>
    </row>
    <row r="1768" customFormat="false" ht="15" hidden="false" customHeight="true" outlineLevel="0" collapsed="false">
      <c r="A1768" s="13" t="s">
        <v>228</v>
      </c>
      <c r="B1768" s="13" t="s">
        <v>541</v>
      </c>
      <c r="C1768" s="11" t="s">
        <v>542</v>
      </c>
      <c r="D1768" s="13" t="s">
        <v>9178</v>
      </c>
      <c r="E1768" s="13" t="s">
        <v>9179</v>
      </c>
      <c r="F1768" s="13" t="s">
        <v>9180</v>
      </c>
      <c r="G1768" s="13" t="s">
        <v>9181</v>
      </c>
      <c r="H1768" s="13" t="s">
        <v>9182</v>
      </c>
    </row>
    <row r="1769" customFormat="false" ht="15" hidden="false" customHeight="true" outlineLevel="0" collapsed="false">
      <c r="A1769" s="13" t="s">
        <v>228</v>
      </c>
      <c r="B1769" s="13" t="s">
        <v>548</v>
      </c>
      <c r="C1769" s="11" t="s">
        <v>549</v>
      </c>
      <c r="D1769" s="13" t="s">
        <v>9183</v>
      </c>
      <c r="E1769" s="13" t="s">
        <v>9184</v>
      </c>
      <c r="F1769" s="13" t="s">
        <v>9185</v>
      </c>
      <c r="G1769" s="13" t="s">
        <v>9186</v>
      </c>
      <c r="H1769" s="13" t="s">
        <v>9187</v>
      </c>
    </row>
    <row r="1770" customFormat="false" ht="15" hidden="false" customHeight="true" outlineLevel="0" collapsed="false">
      <c r="A1770" s="13" t="s">
        <v>228</v>
      </c>
      <c r="B1770" s="13" t="s">
        <v>555</v>
      </c>
      <c r="C1770" s="11" t="s">
        <v>556</v>
      </c>
      <c r="D1770" s="13" t="s">
        <v>9188</v>
      </c>
      <c r="E1770" s="13" t="s">
        <v>9189</v>
      </c>
      <c r="F1770" s="13" t="s">
        <v>9190</v>
      </c>
      <c r="G1770" s="13" t="s">
        <v>9191</v>
      </c>
      <c r="H1770" s="13" t="s">
        <v>9192</v>
      </c>
    </row>
    <row r="1771" customFormat="false" ht="15" hidden="false" customHeight="true" outlineLevel="0" collapsed="false">
      <c r="A1771" s="13" t="s">
        <v>228</v>
      </c>
      <c r="B1771" s="13" t="s">
        <v>562</v>
      </c>
      <c r="C1771" s="11" t="s">
        <v>563</v>
      </c>
      <c r="D1771" s="13" t="s">
        <v>9193</v>
      </c>
      <c r="E1771" s="13" t="s">
        <v>9194</v>
      </c>
      <c r="F1771" s="13" t="s">
        <v>9195</v>
      </c>
      <c r="G1771" s="13" t="s">
        <v>9196</v>
      </c>
      <c r="H1771" s="13" t="s">
        <v>9197</v>
      </c>
    </row>
    <row r="1772" customFormat="false" ht="15" hidden="false" customHeight="true" outlineLevel="0" collapsed="false">
      <c r="A1772" s="13" t="s">
        <v>228</v>
      </c>
      <c r="B1772" s="13" t="s">
        <v>569</v>
      </c>
      <c r="C1772" s="11" t="s">
        <v>570</v>
      </c>
      <c r="D1772" s="13" t="s">
        <v>9198</v>
      </c>
      <c r="E1772" s="13" t="s">
        <v>9199</v>
      </c>
      <c r="F1772" s="13" t="s">
        <v>9200</v>
      </c>
      <c r="G1772" s="13" t="s">
        <v>9201</v>
      </c>
      <c r="H1772" s="13" t="s">
        <v>9202</v>
      </c>
    </row>
    <row r="1773" customFormat="false" ht="15" hidden="false" customHeight="true" outlineLevel="0" collapsed="false">
      <c r="A1773" s="13" t="s">
        <v>228</v>
      </c>
      <c r="B1773" s="13" t="s">
        <v>576</v>
      </c>
      <c r="C1773" s="11" t="s">
        <v>577</v>
      </c>
      <c r="D1773" s="13" t="s">
        <v>9203</v>
      </c>
      <c r="E1773" s="13" t="s">
        <v>9204</v>
      </c>
      <c r="F1773" s="13" t="s">
        <v>7901</v>
      </c>
      <c r="G1773" s="13" t="s">
        <v>9205</v>
      </c>
      <c r="H1773" s="13" t="s">
        <v>9206</v>
      </c>
    </row>
    <row r="1774" customFormat="false" ht="15" hidden="false" customHeight="true" outlineLevel="0" collapsed="false">
      <c r="A1774" s="13" t="s">
        <v>228</v>
      </c>
      <c r="B1774" s="13" t="s">
        <v>583</v>
      </c>
      <c r="C1774" s="11" t="s">
        <v>584</v>
      </c>
      <c r="D1774" s="13" t="s">
        <v>9207</v>
      </c>
      <c r="E1774" s="13" t="s">
        <v>9208</v>
      </c>
      <c r="F1774" s="13" t="s">
        <v>9209</v>
      </c>
      <c r="G1774" s="13" t="s">
        <v>5600</v>
      </c>
      <c r="H1774" s="13" t="s">
        <v>9210</v>
      </c>
    </row>
    <row r="1775" customFormat="false" ht="15" hidden="false" customHeight="true" outlineLevel="0" collapsed="false">
      <c r="A1775" s="13" t="s">
        <v>228</v>
      </c>
      <c r="B1775" s="13" t="s">
        <v>590</v>
      </c>
      <c r="C1775" s="11" t="s">
        <v>591</v>
      </c>
      <c r="D1775" s="13" t="s">
        <v>9211</v>
      </c>
      <c r="E1775" s="13" t="s">
        <v>9212</v>
      </c>
      <c r="F1775" s="13" t="s">
        <v>9213</v>
      </c>
      <c r="G1775" s="13" t="s">
        <v>9214</v>
      </c>
      <c r="H1775" s="13" t="s">
        <v>9215</v>
      </c>
    </row>
    <row r="1776" customFormat="false" ht="15" hidden="false" customHeight="true" outlineLevel="0" collapsed="false">
      <c r="A1776" s="13" t="s">
        <v>228</v>
      </c>
      <c r="B1776" s="13" t="s">
        <v>597</v>
      </c>
      <c r="C1776" s="11" t="s">
        <v>598</v>
      </c>
      <c r="D1776" s="13" t="s">
        <v>9216</v>
      </c>
      <c r="E1776" s="13" t="s">
        <v>9217</v>
      </c>
      <c r="F1776" s="13" t="s">
        <v>9218</v>
      </c>
      <c r="G1776" s="13" t="s">
        <v>9219</v>
      </c>
      <c r="H1776" s="13" t="s">
        <v>9220</v>
      </c>
    </row>
    <row r="1777" customFormat="false" ht="15" hidden="false" customHeight="true" outlineLevel="0" collapsed="false">
      <c r="A1777" s="13" t="s">
        <v>228</v>
      </c>
      <c r="B1777" s="13" t="s">
        <v>604</v>
      </c>
      <c r="C1777" s="11" t="s">
        <v>605</v>
      </c>
      <c r="D1777" s="13" t="s">
        <v>9221</v>
      </c>
      <c r="E1777" s="13" t="s">
        <v>9222</v>
      </c>
      <c r="F1777" s="13" t="s">
        <v>9223</v>
      </c>
      <c r="G1777" s="13" t="s">
        <v>9224</v>
      </c>
      <c r="H1777" s="13" t="s">
        <v>9225</v>
      </c>
    </row>
    <row r="1778" customFormat="false" ht="15" hidden="false" customHeight="true" outlineLevel="0" collapsed="false">
      <c r="A1778" s="13" t="s">
        <v>228</v>
      </c>
      <c r="B1778" s="13" t="s">
        <v>611</v>
      </c>
      <c r="C1778" s="11" t="s">
        <v>612</v>
      </c>
      <c r="D1778" s="13" t="s">
        <v>9226</v>
      </c>
      <c r="E1778" s="13" t="s">
        <v>9227</v>
      </c>
      <c r="F1778" s="13" t="s">
        <v>9228</v>
      </c>
      <c r="G1778" s="13" t="s">
        <v>9229</v>
      </c>
      <c r="H1778" s="13" t="s">
        <v>9230</v>
      </c>
    </row>
    <row r="1779" customFormat="false" ht="15" hidden="false" customHeight="true" outlineLevel="0" collapsed="false">
      <c r="A1779" s="13" t="s">
        <v>228</v>
      </c>
      <c r="B1779" s="13" t="s">
        <v>618</v>
      </c>
      <c r="C1779" s="11" t="s">
        <v>619</v>
      </c>
      <c r="D1779" s="13" t="s">
        <v>9231</v>
      </c>
      <c r="E1779" s="13" t="s">
        <v>9232</v>
      </c>
      <c r="F1779" s="13" t="s">
        <v>9233</v>
      </c>
      <c r="G1779" s="13" t="s">
        <v>9234</v>
      </c>
      <c r="H1779" s="13" t="s">
        <v>9235</v>
      </c>
    </row>
    <row r="1780" customFormat="false" ht="15" hidden="false" customHeight="true" outlineLevel="0" collapsed="false">
      <c r="A1780" s="13" t="s">
        <v>228</v>
      </c>
      <c r="B1780" s="13" t="s">
        <v>625</v>
      </c>
      <c r="C1780" s="11" t="s">
        <v>626</v>
      </c>
      <c r="D1780" s="13" t="s">
        <v>9236</v>
      </c>
      <c r="E1780" s="13" t="s">
        <v>9237</v>
      </c>
      <c r="F1780" s="13" t="s">
        <v>9238</v>
      </c>
      <c r="G1780" s="13" t="s">
        <v>9239</v>
      </c>
      <c r="H1780" s="13" t="s">
        <v>9240</v>
      </c>
    </row>
    <row r="1781" customFormat="false" ht="15" hidden="false" customHeight="true" outlineLevel="0" collapsed="false">
      <c r="A1781" s="13" t="s">
        <v>228</v>
      </c>
      <c r="B1781" s="13" t="s">
        <v>632</v>
      </c>
      <c r="C1781" s="11" t="s">
        <v>633</v>
      </c>
      <c r="D1781" s="13" t="s">
        <v>9241</v>
      </c>
      <c r="E1781" s="13" t="s">
        <v>9242</v>
      </c>
      <c r="F1781" s="13" t="s">
        <v>9243</v>
      </c>
      <c r="G1781" s="13" t="s">
        <v>9244</v>
      </c>
      <c r="H1781" s="13" t="s">
        <v>9245</v>
      </c>
    </row>
    <row r="1782" customFormat="false" ht="15" hidden="false" customHeight="true" outlineLevel="0" collapsed="false">
      <c r="A1782" s="13" t="s">
        <v>228</v>
      </c>
      <c r="B1782" s="13" t="s">
        <v>639</v>
      </c>
      <c r="C1782" s="11" t="s">
        <v>640</v>
      </c>
      <c r="D1782" s="13" t="s">
        <v>9246</v>
      </c>
      <c r="E1782" s="13" t="s">
        <v>9247</v>
      </c>
      <c r="F1782" s="13" t="s">
        <v>9248</v>
      </c>
      <c r="G1782" s="13" t="s">
        <v>9249</v>
      </c>
      <c r="H1782" s="13" t="s">
        <v>9250</v>
      </c>
    </row>
    <row r="1783" customFormat="false" ht="15" hidden="false" customHeight="true" outlineLevel="0" collapsed="false">
      <c r="A1783" s="13" t="s">
        <v>228</v>
      </c>
      <c r="B1783" s="13" t="s">
        <v>646</v>
      </c>
      <c r="C1783" s="11" t="s">
        <v>647</v>
      </c>
      <c r="D1783" s="13" t="s">
        <v>9251</v>
      </c>
      <c r="E1783" s="13" t="s">
        <v>9252</v>
      </c>
      <c r="F1783" s="13" t="s">
        <v>9253</v>
      </c>
      <c r="G1783" s="13" t="s">
        <v>9254</v>
      </c>
      <c r="H1783" s="13" t="s">
        <v>9255</v>
      </c>
    </row>
    <row r="1784" customFormat="false" ht="15" hidden="false" customHeight="true" outlineLevel="0" collapsed="false">
      <c r="A1784" s="13" t="s">
        <v>228</v>
      </c>
      <c r="B1784" s="13" t="s">
        <v>653</v>
      </c>
      <c r="C1784" s="11" t="s">
        <v>654</v>
      </c>
      <c r="D1784" s="13" t="s">
        <v>4419</v>
      </c>
      <c r="E1784" s="13" t="s">
        <v>5049</v>
      </c>
      <c r="F1784" s="13" t="s">
        <v>9256</v>
      </c>
      <c r="G1784" s="13" t="s">
        <v>9257</v>
      </c>
      <c r="H1784" s="13" t="s">
        <v>9258</v>
      </c>
    </row>
    <row r="1785" customFormat="false" ht="15" hidden="false" customHeight="true" outlineLevel="0" collapsed="false">
      <c r="A1785" s="13" t="s">
        <v>228</v>
      </c>
      <c r="B1785" s="13" t="s">
        <v>660</v>
      </c>
      <c r="C1785" s="11" t="s">
        <v>661</v>
      </c>
      <c r="D1785" s="13" t="s">
        <v>9259</v>
      </c>
      <c r="E1785" s="13" t="s">
        <v>9260</v>
      </c>
      <c r="F1785" s="13" t="s">
        <v>9261</v>
      </c>
      <c r="G1785" s="13" t="s">
        <v>9262</v>
      </c>
      <c r="H1785" s="13" t="s">
        <v>9263</v>
      </c>
    </row>
    <row r="1786" customFormat="false" ht="15" hidden="false" customHeight="true" outlineLevel="0" collapsed="false">
      <c r="A1786" s="13" t="s">
        <v>228</v>
      </c>
      <c r="B1786" s="13" t="s">
        <v>667</v>
      </c>
      <c r="C1786" s="11" t="s">
        <v>668</v>
      </c>
      <c r="D1786" s="13" t="s">
        <v>9264</v>
      </c>
      <c r="E1786" s="13" t="s">
        <v>9265</v>
      </c>
      <c r="F1786" s="13" t="s">
        <v>9266</v>
      </c>
      <c r="G1786" s="13" t="s">
        <v>9267</v>
      </c>
      <c r="H1786" s="13" t="s">
        <v>9268</v>
      </c>
    </row>
    <row r="1787" customFormat="false" ht="15" hidden="false" customHeight="true" outlineLevel="0" collapsed="false">
      <c r="A1787" s="13" t="s">
        <v>228</v>
      </c>
      <c r="B1787" s="13" t="s">
        <v>674</v>
      </c>
      <c r="C1787" s="11" t="s">
        <v>675</v>
      </c>
      <c r="D1787" s="13" t="s">
        <v>9269</v>
      </c>
      <c r="E1787" s="13" t="s">
        <v>9270</v>
      </c>
      <c r="F1787" s="13" t="s">
        <v>9271</v>
      </c>
      <c r="G1787" s="13" t="s">
        <v>9272</v>
      </c>
      <c r="H1787" s="13" t="s">
        <v>9273</v>
      </c>
    </row>
    <row r="1788" customFormat="false" ht="15" hidden="false" customHeight="true" outlineLevel="0" collapsed="false">
      <c r="A1788" s="13" t="s">
        <v>228</v>
      </c>
      <c r="B1788" s="13" t="s">
        <v>681</v>
      </c>
      <c r="C1788" s="11" t="s">
        <v>682</v>
      </c>
      <c r="D1788" s="13" t="s">
        <v>9274</v>
      </c>
      <c r="E1788" s="13" t="s">
        <v>9275</v>
      </c>
      <c r="F1788" s="13" t="s">
        <v>9276</v>
      </c>
      <c r="G1788" s="13" t="s">
        <v>9277</v>
      </c>
      <c r="H1788" s="13" t="s">
        <v>7673</v>
      </c>
    </row>
    <row r="1789" customFormat="false" ht="15" hidden="false" customHeight="true" outlineLevel="0" collapsed="false">
      <c r="A1789" s="13" t="s">
        <v>228</v>
      </c>
      <c r="B1789" s="13" t="s">
        <v>688</v>
      </c>
      <c r="C1789" s="11" t="s">
        <v>689</v>
      </c>
      <c r="D1789" s="13" t="s">
        <v>3371</v>
      </c>
      <c r="E1789" s="13" t="s">
        <v>9278</v>
      </c>
      <c r="F1789" s="13" t="s">
        <v>9279</v>
      </c>
      <c r="G1789" s="13" t="s">
        <v>2493</v>
      </c>
      <c r="H1789" s="13" t="s">
        <v>9280</v>
      </c>
    </row>
    <row r="1790" customFormat="false" ht="15" hidden="false" customHeight="true" outlineLevel="0" collapsed="false">
      <c r="A1790" s="13" t="s">
        <v>228</v>
      </c>
      <c r="B1790" s="13" t="s">
        <v>695</v>
      </c>
      <c r="C1790" s="11" t="s">
        <v>696</v>
      </c>
      <c r="D1790" s="13" t="s">
        <v>9281</v>
      </c>
      <c r="E1790" s="13" t="s">
        <v>9282</v>
      </c>
      <c r="F1790" s="13" t="s">
        <v>9283</v>
      </c>
      <c r="G1790" s="13" t="s">
        <v>9284</v>
      </c>
      <c r="H1790" s="13" t="s">
        <v>9285</v>
      </c>
    </row>
    <row r="1791" customFormat="false" ht="15" hidden="false" customHeight="true" outlineLevel="0" collapsed="false">
      <c r="A1791" s="13" t="s">
        <v>228</v>
      </c>
      <c r="B1791" s="13" t="s">
        <v>702</v>
      </c>
      <c r="C1791" s="11" t="s">
        <v>703</v>
      </c>
      <c r="D1791" s="13" t="s">
        <v>9286</v>
      </c>
      <c r="E1791" s="13" t="s">
        <v>9287</v>
      </c>
      <c r="F1791" s="13" t="s">
        <v>9288</v>
      </c>
      <c r="G1791" s="13" t="s">
        <v>9289</v>
      </c>
      <c r="H1791" s="13" t="s">
        <v>9290</v>
      </c>
    </row>
    <row r="1792" customFormat="false" ht="15" hidden="false" customHeight="true" outlineLevel="0" collapsed="false">
      <c r="A1792" s="13" t="s">
        <v>228</v>
      </c>
      <c r="B1792" s="13" t="s">
        <v>709</v>
      </c>
      <c r="C1792" s="11" t="s">
        <v>710</v>
      </c>
      <c r="D1792" s="13" t="s">
        <v>7418</v>
      </c>
      <c r="E1792" s="13" t="s">
        <v>9291</v>
      </c>
      <c r="F1792" s="13" t="s">
        <v>9292</v>
      </c>
      <c r="G1792" s="13" t="s">
        <v>9293</v>
      </c>
      <c r="H1792" s="13" t="s">
        <v>9294</v>
      </c>
    </row>
    <row r="1793" customFormat="false" ht="15" hidden="false" customHeight="true" outlineLevel="0" collapsed="false">
      <c r="A1793" s="13" t="s">
        <v>228</v>
      </c>
      <c r="B1793" s="13" t="s">
        <v>716</v>
      </c>
      <c r="C1793" s="11" t="s">
        <v>717</v>
      </c>
      <c r="D1793" s="13" t="s">
        <v>9295</v>
      </c>
      <c r="E1793" s="13" t="s">
        <v>9296</v>
      </c>
      <c r="F1793" s="13" t="s">
        <v>9297</v>
      </c>
      <c r="G1793" s="13" t="s">
        <v>9298</v>
      </c>
      <c r="H1793" s="13" t="s">
        <v>9299</v>
      </c>
    </row>
    <row r="1794" customFormat="false" ht="15" hidden="false" customHeight="true" outlineLevel="0" collapsed="false">
      <c r="A1794" s="13" t="s">
        <v>228</v>
      </c>
      <c r="B1794" s="13" t="s">
        <v>723</v>
      </c>
      <c r="C1794" s="11" t="s">
        <v>724</v>
      </c>
      <c r="D1794" s="13" t="s">
        <v>9300</v>
      </c>
      <c r="E1794" s="13" t="s">
        <v>9301</v>
      </c>
      <c r="F1794" s="13" t="s">
        <v>9302</v>
      </c>
      <c r="G1794" s="13" t="s">
        <v>9303</v>
      </c>
      <c r="H1794" s="13" t="s">
        <v>9304</v>
      </c>
    </row>
    <row r="1795" customFormat="false" ht="15" hidden="false" customHeight="true" outlineLevel="0" collapsed="false">
      <c r="A1795" s="13" t="s">
        <v>228</v>
      </c>
      <c r="B1795" s="13" t="s">
        <v>730</v>
      </c>
      <c r="C1795" s="11" t="s">
        <v>731</v>
      </c>
      <c r="D1795" s="13" t="s">
        <v>9305</v>
      </c>
      <c r="E1795" s="13" t="s">
        <v>9306</v>
      </c>
      <c r="F1795" s="13" t="s">
        <v>9307</v>
      </c>
      <c r="G1795" s="13" t="s">
        <v>7910</v>
      </c>
      <c r="H1795" s="13" t="s">
        <v>9308</v>
      </c>
    </row>
    <row r="1796" customFormat="false" ht="15" hidden="false" customHeight="true" outlineLevel="0" collapsed="false">
      <c r="A1796" s="13" t="s">
        <v>228</v>
      </c>
      <c r="B1796" s="13" t="s">
        <v>737</v>
      </c>
      <c r="C1796" s="11" t="s">
        <v>738</v>
      </c>
      <c r="D1796" s="13" t="s">
        <v>9309</v>
      </c>
      <c r="E1796" s="13" t="s">
        <v>9310</v>
      </c>
      <c r="F1796" s="13" t="s">
        <v>9311</v>
      </c>
      <c r="G1796" s="13" t="s">
        <v>9312</v>
      </c>
      <c r="H1796" s="13" t="s">
        <v>9313</v>
      </c>
    </row>
    <row r="1797" customFormat="false" ht="15" hidden="false" customHeight="true" outlineLevel="0" collapsed="false">
      <c r="A1797" s="13" t="s">
        <v>228</v>
      </c>
      <c r="B1797" s="13" t="s">
        <v>744</v>
      </c>
      <c r="C1797" s="11" t="s">
        <v>745</v>
      </c>
      <c r="D1797" s="13" t="s">
        <v>9314</v>
      </c>
      <c r="E1797" s="13" t="s">
        <v>9315</v>
      </c>
      <c r="F1797" s="13" t="s">
        <v>9316</v>
      </c>
      <c r="G1797" s="13" t="s">
        <v>9317</v>
      </c>
      <c r="H1797" s="13" t="s">
        <v>9318</v>
      </c>
    </row>
    <row r="1798" customFormat="false" ht="15" hidden="false" customHeight="true" outlineLevel="0" collapsed="false">
      <c r="A1798" s="13" t="s">
        <v>228</v>
      </c>
      <c r="B1798" s="13" t="s">
        <v>751</v>
      </c>
      <c r="C1798" s="11" t="s">
        <v>752</v>
      </c>
      <c r="D1798" s="13" t="s">
        <v>9319</v>
      </c>
      <c r="E1798" s="13" t="s">
        <v>9320</v>
      </c>
      <c r="F1798" s="13" t="s">
        <v>9321</v>
      </c>
      <c r="G1798" s="13" t="s">
        <v>9322</v>
      </c>
      <c r="H1798" s="13" t="s">
        <v>9323</v>
      </c>
    </row>
    <row r="1799" customFormat="false" ht="15" hidden="false" customHeight="true" outlineLevel="0" collapsed="false">
      <c r="A1799" s="13" t="s">
        <v>228</v>
      </c>
      <c r="B1799" s="13" t="s">
        <v>758</v>
      </c>
      <c r="C1799" s="11" t="s">
        <v>759</v>
      </c>
      <c r="D1799" s="13" t="s">
        <v>9324</v>
      </c>
      <c r="E1799" s="13" t="s">
        <v>9325</v>
      </c>
      <c r="F1799" s="13" t="s">
        <v>9326</v>
      </c>
      <c r="G1799" s="13" t="s">
        <v>9327</v>
      </c>
      <c r="H1799" s="13" t="s">
        <v>9328</v>
      </c>
    </row>
    <row r="1800" customFormat="false" ht="15" hidden="false" customHeight="true" outlineLevel="0" collapsed="false">
      <c r="A1800" s="13" t="s">
        <v>228</v>
      </c>
      <c r="B1800" s="13" t="s">
        <v>765</v>
      </c>
      <c r="C1800" s="11" t="s">
        <v>766</v>
      </c>
      <c r="D1800" s="13" t="s">
        <v>9329</v>
      </c>
      <c r="E1800" s="13" t="s">
        <v>9330</v>
      </c>
      <c r="F1800" s="13" t="s">
        <v>9331</v>
      </c>
      <c r="G1800" s="13" t="s">
        <v>9332</v>
      </c>
      <c r="H1800" s="13" t="s">
        <v>9333</v>
      </c>
    </row>
    <row r="1801" customFormat="false" ht="15" hidden="false" customHeight="true" outlineLevel="0" collapsed="false">
      <c r="A1801" s="13" t="s">
        <v>228</v>
      </c>
      <c r="B1801" s="13" t="s">
        <v>772</v>
      </c>
      <c r="C1801" s="11" t="s">
        <v>773</v>
      </c>
      <c r="D1801" s="13" t="s">
        <v>9334</v>
      </c>
      <c r="E1801" s="13" t="s">
        <v>9335</v>
      </c>
      <c r="F1801" s="13" t="s">
        <v>9336</v>
      </c>
      <c r="G1801" s="13" t="s">
        <v>9337</v>
      </c>
      <c r="H1801" s="13" t="s">
        <v>9338</v>
      </c>
    </row>
    <row r="1802" customFormat="false" ht="15" hidden="false" customHeight="true" outlineLevel="0" collapsed="false">
      <c r="A1802" s="13" t="s">
        <v>228</v>
      </c>
      <c r="B1802" s="13" t="s">
        <v>779</v>
      </c>
      <c r="C1802" s="11" t="s">
        <v>780</v>
      </c>
      <c r="D1802" s="13" t="s">
        <v>9339</v>
      </c>
      <c r="E1802" s="13" t="s">
        <v>9340</v>
      </c>
      <c r="F1802" s="13" t="s">
        <v>9341</v>
      </c>
      <c r="G1802" s="13" t="s">
        <v>9342</v>
      </c>
      <c r="H1802" s="13" t="s">
        <v>9343</v>
      </c>
    </row>
    <row r="1803" customFormat="false" ht="15" hidden="false" customHeight="true" outlineLevel="0" collapsed="false">
      <c r="A1803" s="13" t="s">
        <v>228</v>
      </c>
      <c r="B1803" s="13" t="s">
        <v>786</v>
      </c>
      <c r="C1803" s="11" t="s">
        <v>787</v>
      </c>
      <c r="D1803" s="13" t="s">
        <v>9344</v>
      </c>
      <c r="E1803" s="13" t="s">
        <v>9345</v>
      </c>
      <c r="F1803" s="13" t="s">
        <v>9346</v>
      </c>
      <c r="G1803" s="13" t="s">
        <v>9347</v>
      </c>
      <c r="H1803" s="13" t="s">
        <v>9348</v>
      </c>
    </row>
    <row r="1804" customFormat="false" ht="15" hidden="false" customHeight="true" outlineLevel="0" collapsed="false">
      <c r="A1804" s="13" t="s">
        <v>228</v>
      </c>
      <c r="B1804" s="13" t="s">
        <v>793</v>
      </c>
      <c r="C1804" s="11" t="s">
        <v>794</v>
      </c>
      <c r="D1804" s="13" t="s">
        <v>9349</v>
      </c>
      <c r="E1804" s="13" t="s">
        <v>9350</v>
      </c>
      <c r="F1804" s="13" t="s">
        <v>9351</v>
      </c>
      <c r="G1804" s="13" t="s">
        <v>9352</v>
      </c>
      <c r="H1804" s="13" t="s">
        <v>9353</v>
      </c>
    </row>
    <row r="1805" customFormat="false" ht="15" hidden="false" customHeight="true" outlineLevel="0" collapsed="false">
      <c r="A1805" s="13" t="s">
        <v>228</v>
      </c>
      <c r="B1805" s="13" t="s">
        <v>800</v>
      </c>
      <c r="C1805" s="11" t="s">
        <v>801</v>
      </c>
      <c r="D1805" s="13" t="s">
        <v>7146</v>
      </c>
      <c r="E1805" s="13" t="s">
        <v>9354</v>
      </c>
      <c r="F1805" s="13" t="s">
        <v>9355</v>
      </c>
      <c r="G1805" s="13" t="s">
        <v>9356</v>
      </c>
      <c r="H1805" s="13" t="s">
        <v>9357</v>
      </c>
    </row>
    <row r="1806" customFormat="false" ht="15" hidden="false" customHeight="true" outlineLevel="0" collapsed="false">
      <c r="A1806" s="13" t="s">
        <v>228</v>
      </c>
      <c r="B1806" s="13" t="s">
        <v>806</v>
      </c>
      <c r="C1806" s="11" t="s">
        <v>807</v>
      </c>
      <c r="D1806" s="13" t="s">
        <v>9358</v>
      </c>
      <c r="E1806" s="13" t="s">
        <v>9359</v>
      </c>
      <c r="F1806" s="13" t="s">
        <v>9360</v>
      </c>
      <c r="G1806" s="13" t="s">
        <v>9361</v>
      </c>
      <c r="H1806" s="13" t="s">
        <v>9362</v>
      </c>
    </row>
    <row r="1807" customFormat="false" ht="15" hidden="false" customHeight="true" outlineLevel="0" collapsed="false">
      <c r="A1807" s="13" t="s">
        <v>228</v>
      </c>
      <c r="B1807" s="13" t="s">
        <v>813</v>
      </c>
      <c r="C1807" s="11" t="s">
        <v>814</v>
      </c>
      <c r="D1807" s="13" t="s">
        <v>9363</v>
      </c>
      <c r="E1807" s="13" t="s">
        <v>9364</v>
      </c>
      <c r="F1807" s="13" t="s">
        <v>9365</v>
      </c>
      <c r="G1807" s="13" t="s">
        <v>9366</v>
      </c>
      <c r="H1807" s="13" t="s">
        <v>9367</v>
      </c>
    </row>
    <row r="1808" customFormat="false" ht="15" hidden="false" customHeight="true" outlineLevel="0" collapsed="false">
      <c r="A1808" s="13" t="s">
        <v>228</v>
      </c>
      <c r="B1808" s="13" t="s">
        <v>820</v>
      </c>
      <c r="C1808" s="11" t="s">
        <v>821</v>
      </c>
      <c r="D1808" s="13" t="s">
        <v>9368</v>
      </c>
      <c r="E1808" s="13" t="s">
        <v>9369</v>
      </c>
      <c r="F1808" s="13" t="s">
        <v>9370</v>
      </c>
      <c r="G1808" s="13" t="s">
        <v>9371</v>
      </c>
      <c r="H1808" s="13" t="s">
        <v>9372</v>
      </c>
    </row>
    <row r="1809" customFormat="false" ht="15" hidden="false" customHeight="true" outlineLevel="0" collapsed="false">
      <c r="A1809" s="13" t="s">
        <v>228</v>
      </c>
      <c r="B1809" s="13" t="s">
        <v>827</v>
      </c>
      <c r="C1809" s="11" t="s">
        <v>828</v>
      </c>
      <c r="D1809" s="13" t="s">
        <v>9373</v>
      </c>
      <c r="E1809" s="13" t="s">
        <v>9374</v>
      </c>
      <c r="F1809" s="13" t="s">
        <v>9375</v>
      </c>
      <c r="G1809" s="13" t="s">
        <v>9376</v>
      </c>
      <c r="H1809" s="13" t="s">
        <v>9377</v>
      </c>
    </row>
    <row r="1810" customFormat="false" ht="15" hidden="false" customHeight="true" outlineLevel="0" collapsed="false">
      <c r="A1810" s="13" t="s">
        <v>228</v>
      </c>
      <c r="B1810" s="13" t="s">
        <v>834</v>
      </c>
      <c r="C1810" s="11" t="s">
        <v>835</v>
      </c>
      <c r="D1810" s="13" t="s">
        <v>9378</v>
      </c>
      <c r="E1810" s="13" t="s">
        <v>9379</v>
      </c>
      <c r="F1810" s="13" t="s">
        <v>9380</v>
      </c>
      <c r="G1810" s="13" t="s">
        <v>9381</v>
      </c>
      <c r="H1810" s="13" t="s">
        <v>9382</v>
      </c>
    </row>
    <row r="1811" customFormat="false" ht="15" hidden="false" customHeight="true" outlineLevel="0" collapsed="false">
      <c r="A1811" s="13" t="s">
        <v>228</v>
      </c>
      <c r="B1811" s="13" t="s">
        <v>841</v>
      </c>
      <c r="C1811" s="11" t="s">
        <v>842</v>
      </c>
      <c r="D1811" s="13" t="s">
        <v>9383</v>
      </c>
      <c r="E1811" s="13" t="s">
        <v>9384</v>
      </c>
      <c r="F1811" s="13" t="s">
        <v>9385</v>
      </c>
      <c r="G1811" s="13" t="s">
        <v>9386</v>
      </c>
      <c r="H1811" s="13" t="s">
        <v>9387</v>
      </c>
    </row>
    <row r="1812" customFormat="false" ht="15" hidden="false" customHeight="true" outlineLevel="0" collapsed="false">
      <c r="A1812" s="13" t="s">
        <v>228</v>
      </c>
      <c r="B1812" s="13" t="s">
        <v>848</v>
      </c>
      <c r="C1812" s="11" t="s">
        <v>849</v>
      </c>
      <c r="D1812" s="13" t="s">
        <v>9388</v>
      </c>
      <c r="E1812" s="13" t="s">
        <v>9389</v>
      </c>
      <c r="F1812" s="13" t="s">
        <v>9390</v>
      </c>
      <c r="G1812" s="13" t="s">
        <v>9391</v>
      </c>
      <c r="H1812" s="13" t="s">
        <v>9392</v>
      </c>
    </row>
    <row r="1813" customFormat="false" ht="15" hidden="false" customHeight="true" outlineLevel="0" collapsed="false">
      <c r="A1813" s="13" t="s">
        <v>228</v>
      </c>
      <c r="B1813" s="13" t="s">
        <v>855</v>
      </c>
      <c r="C1813" s="11" t="s">
        <v>856</v>
      </c>
      <c r="D1813" s="13" t="s">
        <v>9393</v>
      </c>
      <c r="E1813" s="13" t="s">
        <v>9394</v>
      </c>
      <c r="F1813" s="13" t="s">
        <v>9395</v>
      </c>
      <c r="G1813" s="13" t="s">
        <v>9396</v>
      </c>
      <c r="H1813" s="13" t="s">
        <v>9397</v>
      </c>
    </row>
    <row r="1814" customFormat="false" ht="15" hidden="false" customHeight="true" outlineLevel="0" collapsed="false">
      <c r="A1814" s="13" t="s">
        <v>228</v>
      </c>
      <c r="B1814" s="13" t="s">
        <v>862</v>
      </c>
      <c r="C1814" s="11" t="s">
        <v>863</v>
      </c>
      <c r="D1814" s="13" t="s">
        <v>9398</v>
      </c>
      <c r="E1814" s="13" t="s">
        <v>9399</v>
      </c>
      <c r="F1814" s="13" t="s">
        <v>9400</v>
      </c>
      <c r="G1814" s="13" t="s">
        <v>9401</v>
      </c>
      <c r="H1814" s="13" t="s">
        <v>9402</v>
      </c>
    </row>
    <row r="1815" customFormat="false" ht="15" hidden="false" customHeight="true" outlineLevel="0" collapsed="false">
      <c r="A1815" s="13" t="s">
        <v>228</v>
      </c>
      <c r="B1815" s="13" t="s">
        <v>869</v>
      </c>
      <c r="C1815" s="11" t="s">
        <v>870</v>
      </c>
      <c r="D1815" s="13" t="s">
        <v>9403</v>
      </c>
      <c r="E1815" s="13" t="s">
        <v>9404</v>
      </c>
      <c r="F1815" s="13" t="s">
        <v>9405</v>
      </c>
      <c r="G1815" s="13" t="s">
        <v>9406</v>
      </c>
      <c r="H1815" s="13" t="s">
        <v>9407</v>
      </c>
    </row>
    <row r="1816" customFormat="false" ht="15" hidden="false" customHeight="true" outlineLevel="0" collapsed="false">
      <c r="A1816" s="13" t="s">
        <v>228</v>
      </c>
      <c r="B1816" s="13" t="s">
        <v>876</v>
      </c>
      <c r="C1816" s="11" t="s">
        <v>877</v>
      </c>
      <c r="D1816" s="13" t="s">
        <v>9408</v>
      </c>
      <c r="E1816" s="13" t="s">
        <v>9409</v>
      </c>
      <c r="F1816" s="13" t="s">
        <v>9410</v>
      </c>
      <c r="G1816" s="13" t="s">
        <v>9411</v>
      </c>
      <c r="H1816" s="13" t="s">
        <v>9412</v>
      </c>
    </row>
    <row r="1817" customFormat="false" ht="15" hidden="false" customHeight="true" outlineLevel="0" collapsed="false">
      <c r="A1817" s="13" t="s">
        <v>228</v>
      </c>
      <c r="B1817" s="13" t="s">
        <v>883</v>
      </c>
      <c r="C1817" s="11" t="s">
        <v>884</v>
      </c>
      <c r="D1817" s="13" t="s">
        <v>9413</v>
      </c>
      <c r="E1817" s="13" t="s">
        <v>9414</v>
      </c>
      <c r="F1817" s="13" t="s">
        <v>9415</v>
      </c>
      <c r="G1817" s="13" t="s">
        <v>9416</v>
      </c>
      <c r="H1817" s="13" t="s">
        <v>9417</v>
      </c>
    </row>
    <row r="1818" customFormat="false" ht="15" hidden="false" customHeight="true" outlineLevel="0" collapsed="false">
      <c r="A1818" s="13" t="s">
        <v>228</v>
      </c>
      <c r="B1818" s="13" t="s">
        <v>890</v>
      </c>
      <c r="C1818" s="11" t="s">
        <v>891</v>
      </c>
      <c r="D1818" s="13" t="s">
        <v>9418</v>
      </c>
      <c r="E1818" s="13" t="s">
        <v>9419</v>
      </c>
      <c r="F1818" s="13" t="s">
        <v>9420</v>
      </c>
      <c r="G1818" s="13" t="s">
        <v>9421</v>
      </c>
      <c r="H1818" s="13" t="s">
        <v>9422</v>
      </c>
    </row>
    <row r="1819" customFormat="false" ht="15" hidden="false" customHeight="true" outlineLevel="0" collapsed="false">
      <c r="A1819" s="13" t="s">
        <v>228</v>
      </c>
      <c r="B1819" s="13" t="s">
        <v>897</v>
      </c>
      <c r="C1819" s="11" t="s">
        <v>898</v>
      </c>
      <c r="D1819" s="13" t="s">
        <v>9423</v>
      </c>
      <c r="E1819" s="13" t="s">
        <v>9424</v>
      </c>
      <c r="F1819" s="13" t="s">
        <v>9425</v>
      </c>
      <c r="G1819" s="13" t="s">
        <v>9426</v>
      </c>
      <c r="H1819" s="13" t="s">
        <v>9427</v>
      </c>
    </row>
    <row r="1820" customFormat="false" ht="15" hidden="false" customHeight="true" outlineLevel="0" collapsed="false">
      <c r="A1820" s="13" t="s">
        <v>228</v>
      </c>
      <c r="B1820" s="13" t="s">
        <v>904</v>
      </c>
      <c r="C1820" s="11" t="s">
        <v>905</v>
      </c>
      <c r="D1820" s="13" t="s">
        <v>9428</v>
      </c>
      <c r="E1820" s="13" t="s">
        <v>9429</v>
      </c>
      <c r="F1820" s="13" t="s">
        <v>9430</v>
      </c>
      <c r="G1820" s="13" t="s">
        <v>9431</v>
      </c>
      <c r="H1820" s="13" t="s">
        <v>9432</v>
      </c>
    </row>
    <row r="1821" customFormat="false" ht="15" hidden="false" customHeight="true" outlineLevel="0" collapsed="false">
      <c r="A1821" s="13" t="s">
        <v>228</v>
      </c>
      <c r="B1821" s="13" t="s">
        <v>911</v>
      </c>
      <c r="C1821" s="11" t="s">
        <v>912</v>
      </c>
      <c r="D1821" s="13" t="s">
        <v>9433</v>
      </c>
      <c r="E1821" s="13" t="s">
        <v>9434</v>
      </c>
      <c r="F1821" s="13" t="s">
        <v>9435</v>
      </c>
      <c r="G1821" s="13" t="s">
        <v>9436</v>
      </c>
      <c r="H1821" s="13" t="s">
        <v>9437</v>
      </c>
    </row>
    <row r="1822" customFormat="false" ht="15" hidden="false" customHeight="true" outlineLevel="0" collapsed="false">
      <c r="A1822" s="13" t="s">
        <v>228</v>
      </c>
      <c r="B1822" s="13" t="s">
        <v>918</v>
      </c>
      <c r="C1822" s="11" t="s">
        <v>919</v>
      </c>
      <c r="D1822" s="13" t="s">
        <v>9438</v>
      </c>
      <c r="E1822" s="13" t="s">
        <v>9439</v>
      </c>
      <c r="F1822" s="13" t="s">
        <v>9440</v>
      </c>
      <c r="G1822" s="13" t="s">
        <v>9441</v>
      </c>
      <c r="H1822" s="13" t="s">
        <v>9442</v>
      </c>
    </row>
    <row r="1823" customFormat="false" ht="15" hidden="false" customHeight="true" outlineLevel="0" collapsed="false">
      <c r="A1823" s="13" t="s">
        <v>228</v>
      </c>
      <c r="B1823" s="13" t="s">
        <v>925</v>
      </c>
      <c r="C1823" s="11" t="s">
        <v>926</v>
      </c>
      <c r="D1823" s="13" t="s">
        <v>9443</v>
      </c>
      <c r="E1823" s="13" t="s">
        <v>9444</v>
      </c>
      <c r="F1823" s="13" t="s">
        <v>9445</v>
      </c>
      <c r="G1823" s="13" t="s">
        <v>9446</v>
      </c>
      <c r="H1823" s="13" t="s">
        <v>9447</v>
      </c>
    </row>
    <row r="1824" customFormat="false" ht="15" hidden="false" customHeight="true" outlineLevel="0" collapsed="false">
      <c r="A1824" s="13" t="s">
        <v>228</v>
      </c>
      <c r="B1824" s="13" t="s">
        <v>932</v>
      </c>
      <c r="C1824" s="11" t="s">
        <v>933</v>
      </c>
      <c r="D1824" s="13" t="s">
        <v>9448</v>
      </c>
      <c r="E1824" s="13" t="s">
        <v>9449</v>
      </c>
      <c r="F1824" s="13" t="s">
        <v>9450</v>
      </c>
      <c r="G1824" s="13" t="s">
        <v>9451</v>
      </c>
      <c r="H1824" s="13" t="s">
        <v>9452</v>
      </c>
    </row>
    <row r="1825" customFormat="false" ht="15" hidden="false" customHeight="true" outlineLevel="0" collapsed="false">
      <c r="A1825" s="13" t="s">
        <v>228</v>
      </c>
      <c r="B1825" s="13" t="s">
        <v>939</v>
      </c>
      <c r="C1825" s="11" t="s">
        <v>940</v>
      </c>
      <c r="D1825" s="13" t="s">
        <v>9453</v>
      </c>
      <c r="E1825" s="13" t="s">
        <v>9454</v>
      </c>
      <c r="F1825" s="13" t="s">
        <v>9455</v>
      </c>
      <c r="G1825" s="13" t="s">
        <v>9456</v>
      </c>
      <c r="H1825" s="13" t="s">
        <v>9457</v>
      </c>
    </row>
    <row r="1826" customFormat="false" ht="15" hidden="false" customHeight="true" outlineLevel="0" collapsed="false">
      <c r="A1826" s="13" t="s">
        <v>228</v>
      </c>
      <c r="B1826" s="13" t="s">
        <v>946</v>
      </c>
      <c r="C1826" s="11" t="s">
        <v>947</v>
      </c>
      <c r="D1826" s="13" t="s">
        <v>9458</v>
      </c>
      <c r="E1826" s="13" t="s">
        <v>9459</v>
      </c>
      <c r="F1826" s="13" t="s">
        <v>9460</v>
      </c>
      <c r="G1826" s="13" t="s">
        <v>9461</v>
      </c>
      <c r="H1826" s="13" t="s">
        <v>9462</v>
      </c>
    </row>
    <row r="1827" customFormat="false" ht="15" hidden="false" customHeight="true" outlineLevel="0" collapsed="false">
      <c r="A1827" s="13" t="s">
        <v>228</v>
      </c>
      <c r="B1827" s="13" t="s">
        <v>953</v>
      </c>
      <c r="C1827" s="11" t="s">
        <v>954</v>
      </c>
      <c r="D1827" s="13" t="s">
        <v>9463</v>
      </c>
      <c r="E1827" s="13" t="s">
        <v>9464</v>
      </c>
      <c r="F1827" s="13" t="s">
        <v>9465</v>
      </c>
      <c r="G1827" s="13" t="s">
        <v>9466</v>
      </c>
      <c r="H1827" s="13" t="s">
        <v>9467</v>
      </c>
    </row>
    <row r="1828" customFormat="false" ht="15" hidden="false" customHeight="true" outlineLevel="0" collapsed="false">
      <c r="A1828" s="13" t="s">
        <v>228</v>
      </c>
      <c r="B1828" s="13" t="s">
        <v>960</v>
      </c>
      <c r="C1828" s="11" t="s">
        <v>961</v>
      </c>
      <c r="D1828" s="13" t="s">
        <v>9468</v>
      </c>
      <c r="E1828" s="13" t="s">
        <v>9469</v>
      </c>
      <c r="F1828" s="13" t="s">
        <v>9470</v>
      </c>
      <c r="G1828" s="13" t="s">
        <v>9471</v>
      </c>
      <c r="H1828" s="13" t="s">
        <v>9472</v>
      </c>
    </row>
    <row r="1829" customFormat="false" ht="15" hidden="false" customHeight="true" outlineLevel="0" collapsed="false">
      <c r="A1829" s="13" t="s">
        <v>228</v>
      </c>
      <c r="B1829" s="13" t="s">
        <v>967</v>
      </c>
      <c r="C1829" s="11" t="s">
        <v>968</v>
      </c>
      <c r="D1829" s="13" t="s">
        <v>9473</v>
      </c>
      <c r="E1829" s="13" t="s">
        <v>9474</v>
      </c>
      <c r="F1829" s="13" t="s">
        <v>9475</v>
      </c>
      <c r="G1829" s="13" t="s">
        <v>9476</v>
      </c>
      <c r="H1829" s="13" t="s">
        <v>9477</v>
      </c>
    </row>
    <row r="1830" customFormat="false" ht="15" hidden="false" customHeight="true" outlineLevel="0" collapsed="false">
      <c r="A1830" s="13" t="s">
        <v>228</v>
      </c>
      <c r="B1830" s="13" t="s">
        <v>974</v>
      </c>
      <c r="C1830" s="11" t="s">
        <v>975</v>
      </c>
      <c r="D1830" s="13" t="s">
        <v>9478</v>
      </c>
      <c r="E1830" s="13" t="s">
        <v>9479</v>
      </c>
      <c r="F1830" s="13" t="s">
        <v>9480</v>
      </c>
      <c r="G1830" s="13" t="s">
        <v>9481</v>
      </c>
      <c r="H1830" s="13" t="s">
        <v>9482</v>
      </c>
    </row>
    <row r="1831" customFormat="false" ht="15" hidden="false" customHeight="true" outlineLevel="0" collapsed="false">
      <c r="A1831" s="13" t="s">
        <v>228</v>
      </c>
      <c r="B1831" s="13" t="s">
        <v>981</v>
      </c>
      <c r="C1831" s="11" t="s">
        <v>982</v>
      </c>
      <c r="D1831" s="13" t="s">
        <v>9483</v>
      </c>
      <c r="E1831" s="13" t="s">
        <v>9484</v>
      </c>
      <c r="F1831" s="13" t="s">
        <v>9485</v>
      </c>
      <c r="G1831" s="13" t="s">
        <v>9486</v>
      </c>
      <c r="H1831" s="13" t="s">
        <v>9487</v>
      </c>
    </row>
    <row r="1832" customFormat="false" ht="15" hidden="false" customHeight="true" outlineLevel="0" collapsed="false">
      <c r="A1832" s="13" t="s">
        <v>228</v>
      </c>
      <c r="B1832" s="13" t="s">
        <v>988</v>
      </c>
      <c r="C1832" s="11" t="s">
        <v>989</v>
      </c>
      <c r="D1832" s="13" t="s">
        <v>9488</v>
      </c>
      <c r="E1832" s="13" t="s">
        <v>9489</v>
      </c>
      <c r="F1832" s="13" t="s">
        <v>9490</v>
      </c>
      <c r="G1832" s="13" t="s">
        <v>9491</v>
      </c>
      <c r="H1832" s="13" t="s">
        <v>9492</v>
      </c>
    </row>
    <row r="1833" customFormat="false" ht="15" hidden="false" customHeight="true" outlineLevel="0" collapsed="false">
      <c r="A1833" s="13" t="s">
        <v>228</v>
      </c>
      <c r="B1833" s="13" t="s">
        <v>995</v>
      </c>
      <c r="C1833" s="11" t="s">
        <v>996</v>
      </c>
      <c r="D1833" s="13" t="s">
        <v>9493</v>
      </c>
      <c r="E1833" s="13" t="s">
        <v>9494</v>
      </c>
      <c r="F1833" s="13" t="s">
        <v>9495</v>
      </c>
      <c r="G1833" s="13" t="s">
        <v>9496</v>
      </c>
      <c r="H1833" s="13" t="s">
        <v>9497</v>
      </c>
    </row>
    <row r="1834" customFormat="false" ht="15" hidden="false" customHeight="true" outlineLevel="0" collapsed="false">
      <c r="A1834" s="13" t="s">
        <v>228</v>
      </c>
      <c r="B1834" s="13" t="s">
        <v>1002</v>
      </c>
      <c r="C1834" s="11" t="s">
        <v>1003</v>
      </c>
      <c r="D1834" s="13" t="s">
        <v>9498</v>
      </c>
      <c r="E1834" s="13" t="s">
        <v>9499</v>
      </c>
      <c r="F1834" s="13" t="s">
        <v>9500</v>
      </c>
      <c r="G1834" s="13" t="s">
        <v>9501</v>
      </c>
      <c r="H1834" s="13" t="s">
        <v>9502</v>
      </c>
    </row>
    <row r="1835" customFormat="false" ht="15" hidden="false" customHeight="true" outlineLevel="0" collapsed="false">
      <c r="A1835" s="13" t="s">
        <v>228</v>
      </c>
      <c r="B1835" s="13" t="s">
        <v>1009</v>
      </c>
      <c r="C1835" s="11" t="s">
        <v>1010</v>
      </c>
      <c r="D1835" s="13" t="s">
        <v>6013</v>
      </c>
      <c r="E1835" s="13" t="s">
        <v>9503</v>
      </c>
      <c r="F1835" s="13" t="s">
        <v>9504</v>
      </c>
      <c r="G1835" s="13" t="s">
        <v>9505</v>
      </c>
      <c r="H1835" s="13" t="s">
        <v>9506</v>
      </c>
    </row>
    <row r="1836" customFormat="false" ht="15" hidden="false" customHeight="true" outlineLevel="0" collapsed="false">
      <c r="A1836" s="13" t="s">
        <v>236</v>
      </c>
      <c r="B1836" s="13" t="s">
        <v>345</v>
      </c>
      <c r="C1836" s="11" t="s">
        <v>346</v>
      </c>
      <c r="D1836" s="13" t="s">
        <v>3883</v>
      </c>
      <c r="E1836" s="13" t="s">
        <v>9507</v>
      </c>
      <c r="F1836" s="13" t="s">
        <v>1828</v>
      </c>
      <c r="G1836" s="13" t="s">
        <v>6524</v>
      </c>
      <c r="H1836" s="13" t="s">
        <v>9508</v>
      </c>
    </row>
    <row r="1837" customFormat="false" ht="15" hidden="false" customHeight="true" outlineLevel="0" collapsed="false">
      <c r="A1837" s="13" t="s">
        <v>236</v>
      </c>
      <c r="B1837" s="13" t="s">
        <v>352</v>
      </c>
      <c r="C1837" s="11" t="s">
        <v>353</v>
      </c>
      <c r="D1837" s="13" t="s">
        <v>9509</v>
      </c>
      <c r="E1837" s="13" t="s">
        <v>9510</v>
      </c>
      <c r="F1837" s="13" t="s">
        <v>9511</v>
      </c>
      <c r="G1837" s="13" t="s">
        <v>9512</v>
      </c>
      <c r="H1837" s="13" t="s">
        <v>9513</v>
      </c>
    </row>
    <row r="1838" customFormat="false" ht="15" hidden="false" customHeight="true" outlineLevel="0" collapsed="false">
      <c r="A1838" s="13" t="s">
        <v>236</v>
      </c>
      <c r="B1838" s="13" t="s">
        <v>359</v>
      </c>
      <c r="C1838" s="11" t="s">
        <v>360</v>
      </c>
      <c r="D1838" s="13" t="s">
        <v>9514</v>
      </c>
      <c r="E1838" s="13" t="s">
        <v>9515</v>
      </c>
      <c r="F1838" s="13" t="s">
        <v>9516</v>
      </c>
      <c r="G1838" s="13" t="s">
        <v>9517</v>
      </c>
      <c r="H1838" s="13" t="s">
        <v>9518</v>
      </c>
    </row>
    <row r="1839" customFormat="false" ht="15" hidden="false" customHeight="true" outlineLevel="0" collapsed="false">
      <c r="A1839" s="13" t="s">
        <v>236</v>
      </c>
      <c r="B1839" s="13" t="s">
        <v>366</v>
      </c>
      <c r="C1839" s="11" t="s">
        <v>367</v>
      </c>
      <c r="D1839" s="13" t="s">
        <v>9519</v>
      </c>
      <c r="E1839" s="13" t="s">
        <v>9520</v>
      </c>
      <c r="F1839" s="13" t="s">
        <v>9521</v>
      </c>
      <c r="G1839" s="13" t="s">
        <v>9522</v>
      </c>
      <c r="H1839" s="13" t="s">
        <v>9523</v>
      </c>
    </row>
    <row r="1840" customFormat="false" ht="15" hidden="false" customHeight="true" outlineLevel="0" collapsed="false">
      <c r="A1840" s="13" t="s">
        <v>236</v>
      </c>
      <c r="B1840" s="13" t="s">
        <v>373</v>
      </c>
      <c r="C1840" s="11" t="s">
        <v>374</v>
      </c>
      <c r="D1840" s="13" t="s">
        <v>9524</v>
      </c>
      <c r="E1840" s="13" t="s">
        <v>9525</v>
      </c>
      <c r="F1840" s="13" t="s">
        <v>9526</v>
      </c>
      <c r="G1840" s="13" t="s">
        <v>9527</v>
      </c>
      <c r="H1840" s="13" t="s">
        <v>9528</v>
      </c>
    </row>
    <row r="1841" customFormat="false" ht="15" hidden="false" customHeight="true" outlineLevel="0" collapsed="false">
      <c r="A1841" s="13" t="s">
        <v>236</v>
      </c>
      <c r="B1841" s="13" t="s">
        <v>380</v>
      </c>
      <c r="C1841" s="11" t="s">
        <v>381</v>
      </c>
      <c r="D1841" s="13" t="s">
        <v>692</v>
      </c>
      <c r="E1841" s="13" t="s">
        <v>9529</v>
      </c>
      <c r="F1841" s="13" t="s">
        <v>9530</v>
      </c>
      <c r="G1841" s="13" t="s">
        <v>4325</v>
      </c>
      <c r="H1841" s="13" t="s">
        <v>9531</v>
      </c>
    </row>
    <row r="1842" customFormat="false" ht="15" hidden="false" customHeight="true" outlineLevel="0" collapsed="false">
      <c r="A1842" s="13" t="s">
        <v>236</v>
      </c>
      <c r="B1842" s="13" t="s">
        <v>387</v>
      </c>
      <c r="C1842" s="11" t="s">
        <v>388</v>
      </c>
      <c r="D1842" s="13" t="s">
        <v>9532</v>
      </c>
      <c r="E1842" s="13" t="s">
        <v>9533</v>
      </c>
      <c r="F1842" s="13" t="s">
        <v>9534</v>
      </c>
      <c r="G1842" s="13" t="s">
        <v>9535</v>
      </c>
      <c r="H1842" s="13" t="s">
        <v>9536</v>
      </c>
    </row>
    <row r="1843" customFormat="false" ht="15" hidden="false" customHeight="true" outlineLevel="0" collapsed="false">
      <c r="A1843" s="13" t="s">
        <v>236</v>
      </c>
      <c r="B1843" s="13" t="s">
        <v>394</v>
      </c>
      <c r="C1843" s="11" t="s">
        <v>395</v>
      </c>
      <c r="D1843" s="13" t="s">
        <v>9537</v>
      </c>
      <c r="E1843" s="13" t="s">
        <v>9538</v>
      </c>
      <c r="F1843" s="13" t="s">
        <v>9539</v>
      </c>
      <c r="G1843" s="13" t="s">
        <v>9540</v>
      </c>
      <c r="H1843" s="13" t="s">
        <v>9541</v>
      </c>
    </row>
    <row r="1844" customFormat="false" ht="15" hidden="false" customHeight="true" outlineLevel="0" collapsed="false">
      <c r="A1844" s="13" t="s">
        <v>236</v>
      </c>
      <c r="B1844" s="13" t="s">
        <v>401</v>
      </c>
      <c r="C1844" s="11" t="s">
        <v>402</v>
      </c>
      <c r="D1844" s="13" t="s">
        <v>9542</v>
      </c>
      <c r="E1844" s="13" t="s">
        <v>9543</v>
      </c>
      <c r="F1844" s="13" t="s">
        <v>9544</v>
      </c>
      <c r="G1844" s="13" t="s">
        <v>9545</v>
      </c>
      <c r="H1844" s="13" t="s">
        <v>9546</v>
      </c>
    </row>
    <row r="1845" customFormat="false" ht="15" hidden="false" customHeight="true" outlineLevel="0" collapsed="false">
      <c r="A1845" s="13" t="s">
        <v>236</v>
      </c>
      <c r="B1845" s="13" t="s">
        <v>408</v>
      </c>
      <c r="C1845" s="11" t="s">
        <v>409</v>
      </c>
      <c r="D1845" s="13" t="s">
        <v>9547</v>
      </c>
      <c r="E1845" s="13" t="s">
        <v>9548</v>
      </c>
      <c r="F1845" s="13" t="s">
        <v>9549</v>
      </c>
      <c r="G1845" s="13" t="s">
        <v>9550</v>
      </c>
      <c r="H1845" s="13" t="s">
        <v>9551</v>
      </c>
    </row>
    <row r="1846" customFormat="false" ht="15" hidden="false" customHeight="true" outlineLevel="0" collapsed="false">
      <c r="A1846" s="13" t="s">
        <v>236</v>
      </c>
      <c r="B1846" s="13" t="s">
        <v>415</v>
      </c>
      <c r="C1846" s="11" t="s">
        <v>416</v>
      </c>
      <c r="D1846" s="13" t="s">
        <v>9552</v>
      </c>
      <c r="E1846" s="13" t="s">
        <v>9553</v>
      </c>
      <c r="F1846" s="13" t="s">
        <v>9554</v>
      </c>
      <c r="G1846" s="13" t="s">
        <v>9555</v>
      </c>
      <c r="H1846" s="13" t="s">
        <v>9556</v>
      </c>
    </row>
    <row r="1847" customFormat="false" ht="15" hidden="false" customHeight="true" outlineLevel="0" collapsed="false">
      <c r="A1847" s="13" t="s">
        <v>236</v>
      </c>
      <c r="B1847" s="13" t="s">
        <v>422</v>
      </c>
      <c r="C1847" s="11" t="s">
        <v>423</v>
      </c>
      <c r="D1847" s="13" t="s">
        <v>9557</v>
      </c>
      <c r="E1847" s="13" t="s">
        <v>9558</v>
      </c>
      <c r="F1847" s="13" t="s">
        <v>9559</v>
      </c>
      <c r="G1847" s="13" t="s">
        <v>9560</v>
      </c>
      <c r="H1847" s="13" t="s">
        <v>9561</v>
      </c>
    </row>
    <row r="1848" customFormat="false" ht="15" hidden="false" customHeight="true" outlineLevel="0" collapsed="false">
      <c r="A1848" s="13" t="s">
        <v>236</v>
      </c>
      <c r="B1848" s="13" t="s">
        <v>429</v>
      </c>
      <c r="C1848" s="11" t="s">
        <v>430</v>
      </c>
      <c r="D1848" s="13" t="s">
        <v>9562</v>
      </c>
      <c r="E1848" s="13" t="s">
        <v>9563</v>
      </c>
      <c r="F1848" s="13" t="s">
        <v>9564</v>
      </c>
      <c r="G1848" s="13" t="s">
        <v>9565</v>
      </c>
      <c r="H1848" s="13" t="s">
        <v>9566</v>
      </c>
    </row>
    <row r="1849" customFormat="false" ht="15" hidden="false" customHeight="true" outlineLevel="0" collapsed="false">
      <c r="A1849" s="13" t="s">
        <v>236</v>
      </c>
      <c r="B1849" s="13" t="s">
        <v>436</v>
      </c>
      <c r="C1849" s="11" t="s">
        <v>437</v>
      </c>
      <c r="D1849" s="13" t="s">
        <v>3664</v>
      </c>
      <c r="E1849" s="13" t="s">
        <v>9567</v>
      </c>
      <c r="F1849" s="13" t="s">
        <v>9568</v>
      </c>
      <c r="G1849" s="13" t="s">
        <v>1353</v>
      </c>
      <c r="H1849" s="13" t="s">
        <v>9569</v>
      </c>
    </row>
    <row r="1850" customFormat="false" ht="15" hidden="false" customHeight="true" outlineLevel="0" collapsed="false">
      <c r="A1850" s="13" t="s">
        <v>236</v>
      </c>
      <c r="B1850" s="13" t="s">
        <v>443</v>
      </c>
      <c r="C1850" s="11" t="s">
        <v>444</v>
      </c>
      <c r="D1850" s="13" t="s">
        <v>9570</v>
      </c>
      <c r="E1850" s="13" t="s">
        <v>9571</v>
      </c>
      <c r="F1850" s="13" t="s">
        <v>9572</v>
      </c>
      <c r="G1850" s="13" t="s">
        <v>9573</v>
      </c>
      <c r="H1850" s="13" t="s">
        <v>9574</v>
      </c>
    </row>
    <row r="1851" customFormat="false" ht="15" hidden="false" customHeight="true" outlineLevel="0" collapsed="false">
      <c r="A1851" s="13" t="s">
        <v>236</v>
      </c>
      <c r="B1851" s="13" t="s">
        <v>450</v>
      </c>
      <c r="C1851" s="11" t="s">
        <v>451</v>
      </c>
      <c r="D1851" s="13" t="s">
        <v>9575</v>
      </c>
      <c r="E1851" s="13" t="s">
        <v>9576</v>
      </c>
      <c r="F1851" s="13" t="s">
        <v>9577</v>
      </c>
      <c r="G1851" s="13" t="s">
        <v>9578</v>
      </c>
      <c r="H1851" s="13" t="s">
        <v>9579</v>
      </c>
    </row>
    <row r="1852" customFormat="false" ht="15" hidden="false" customHeight="true" outlineLevel="0" collapsed="false">
      <c r="A1852" s="13" t="s">
        <v>236</v>
      </c>
      <c r="B1852" s="13" t="s">
        <v>457</v>
      </c>
      <c r="C1852" s="11" t="s">
        <v>458</v>
      </c>
      <c r="D1852" s="13" t="s">
        <v>9580</v>
      </c>
      <c r="E1852" s="13" t="s">
        <v>9581</v>
      </c>
      <c r="F1852" s="13" t="s">
        <v>9582</v>
      </c>
      <c r="G1852" s="13" t="s">
        <v>9583</v>
      </c>
      <c r="H1852" s="13" t="s">
        <v>9584</v>
      </c>
    </row>
    <row r="1853" customFormat="false" ht="15" hidden="false" customHeight="true" outlineLevel="0" collapsed="false">
      <c r="A1853" s="13" t="s">
        <v>236</v>
      </c>
      <c r="B1853" s="13" t="s">
        <v>464</v>
      </c>
      <c r="C1853" s="11" t="s">
        <v>465</v>
      </c>
      <c r="D1853" s="13" t="s">
        <v>9585</v>
      </c>
      <c r="E1853" s="13" t="s">
        <v>9586</v>
      </c>
      <c r="F1853" s="13" t="s">
        <v>9587</v>
      </c>
      <c r="G1853" s="13" t="s">
        <v>9588</v>
      </c>
      <c r="H1853" s="13" t="s">
        <v>9589</v>
      </c>
    </row>
    <row r="1854" customFormat="false" ht="15" hidden="false" customHeight="true" outlineLevel="0" collapsed="false">
      <c r="A1854" s="13" t="s">
        <v>236</v>
      </c>
      <c r="B1854" s="13" t="s">
        <v>471</v>
      </c>
      <c r="C1854" s="11" t="s">
        <v>472</v>
      </c>
      <c r="D1854" s="13" t="s">
        <v>9590</v>
      </c>
      <c r="E1854" s="13" t="s">
        <v>9591</v>
      </c>
      <c r="F1854" s="13" t="s">
        <v>9592</v>
      </c>
      <c r="G1854" s="13" t="s">
        <v>9593</v>
      </c>
      <c r="H1854" s="13" t="s">
        <v>9594</v>
      </c>
    </row>
    <row r="1855" customFormat="false" ht="15" hidden="false" customHeight="true" outlineLevel="0" collapsed="false">
      <c r="A1855" s="13" t="s">
        <v>236</v>
      </c>
      <c r="B1855" s="13" t="s">
        <v>478</v>
      </c>
      <c r="C1855" s="11" t="s">
        <v>479</v>
      </c>
      <c r="D1855" s="13" t="s">
        <v>9595</v>
      </c>
      <c r="E1855" s="13" t="s">
        <v>9596</v>
      </c>
      <c r="F1855" s="13" t="s">
        <v>9597</v>
      </c>
      <c r="G1855" s="13" t="s">
        <v>9598</v>
      </c>
      <c r="H1855" s="13" t="s">
        <v>9599</v>
      </c>
    </row>
    <row r="1856" customFormat="false" ht="15" hidden="false" customHeight="true" outlineLevel="0" collapsed="false">
      <c r="A1856" s="13" t="s">
        <v>236</v>
      </c>
      <c r="B1856" s="13" t="s">
        <v>485</v>
      </c>
      <c r="C1856" s="11" t="s">
        <v>486</v>
      </c>
      <c r="D1856" s="13" t="s">
        <v>9600</v>
      </c>
      <c r="E1856" s="13" t="s">
        <v>9601</v>
      </c>
      <c r="F1856" s="13" t="s">
        <v>9602</v>
      </c>
      <c r="G1856" s="13" t="s">
        <v>9603</v>
      </c>
      <c r="H1856" s="13" t="s">
        <v>9604</v>
      </c>
    </row>
    <row r="1857" customFormat="false" ht="15" hidden="false" customHeight="true" outlineLevel="0" collapsed="false">
      <c r="A1857" s="13" t="s">
        <v>236</v>
      </c>
      <c r="B1857" s="13" t="s">
        <v>492</v>
      </c>
      <c r="C1857" s="11" t="s">
        <v>493</v>
      </c>
      <c r="D1857" s="13" t="s">
        <v>9605</v>
      </c>
      <c r="E1857" s="13" t="s">
        <v>9606</v>
      </c>
      <c r="F1857" s="13" t="s">
        <v>9607</v>
      </c>
      <c r="G1857" s="13" t="s">
        <v>9608</v>
      </c>
      <c r="H1857" s="13" t="s">
        <v>9609</v>
      </c>
    </row>
    <row r="1858" customFormat="false" ht="15" hidden="false" customHeight="true" outlineLevel="0" collapsed="false">
      <c r="A1858" s="13" t="s">
        <v>236</v>
      </c>
      <c r="B1858" s="13" t="s">
        <v>499</v>
      </c>
      <c r="C1858" s="11" t="s">
        <v>500</v>
      </c>
      <c r="D1858" s="13" t="s">
        <v>9610</v>
      </c>
      <c r="E1858" s="13" t="s">
        <v>9611</v>
      </c>
      <c r="F1858" s="13" t="s">
        <v>9612</v>
      </c>
      <c r="G1858" s="13" t="s">
        <v>9613</v>
      </c>
      <c r="H1858" s="13" t="s">
        <v>9614</v>
      </c>
    </row>
    <row r="1859" customFormat="false" ht="15" hidden="false" customHeight="true" outlineLevel="0" collapsed="false">
      <c r="A1859" s="13" t="s">
        <v>236</v>
      </c>
      <c r="B1859" s="13" t="s">
        <v>506</v>
      </c>
      <c r="C1859" s="11" t="s">
        <v>507</v>
      </c>
      <c r="D1859" s="13" t="s">
        <v>9615</v>
      </c>
      <c r="E1859" s="13" t="s">
        <v>9616</v>
      </c>
      <c r="F1859" s="13" t="s">
        <v>9617</v>
      </c>
      <c r="G1859" s="13" t="s">
        <v>9618</v>
      </c>
      <c r="H1859" s="13" t="s">
        <v>9619</v>
      </c>
    </row>
    <row r="1860" customFormat="false" ht="15" hidden="false" customHeight="true" outlineLevel="0" collapsed="false">
      <c r="A1860" s="13" t="s">
        <v>236</v>
      </c>
      <c r="B1860" s="13" t="s">
        <v>513</v>
      </c>
      <c r="C1860" s="11" t="s">
        <v>514</v>
      </c>
      <c r="D1860" s="13" t="s">
        <v>9620</v>
      </c>
      <c r="E1860" s="13" t="s">
        <v>9621</v>
      </c>
      <c r="F1860" s="13" t="s">
        <v>9622</v>
      </c>
      <c r="G1860" s="13" t="s">
        <v>9623</v>
      </c>
      <c r="H1860" s="13" t="s">
        <v>9624</v>
      </c>
    </row>
    <row r="1861" customFormat="false" ht="15" hidden="false" customHeight="true" outlineLevel="0" collapsed="false">
      <c r="A1861" s="13" t="s">
        <v>236</v>
      </c>
      <c r="B1861" s="13" t="s">
        <v>520</v>
      </c>
      <c r="C1861" s="11" t="s">
        <v>521</v>
      </c>
      <c r="D1861" s="13" t="s">
        <v>9625</v>
      </c>
      <c r="E1861" s="13" t="s">
        <v>9626</v>
      </c>
      <c r="F1861" s="13" t="s">
        <v>9627</v>
      </c>
      <c r="G1861" s="13" t="s">
        <v>9628</v>
      </c>
      <c r="H1861" s="13" t="s">
        <v>9629</v>
      </c>
    </row>
    <row r="1862" customFormat="false" ht="15" hidden="false" customHeight="true" outlineLevel="0" collapsed="false">
      <c r="A1862" s="13" t="s">
        <v>236</v>
      </c>
      <c r="B1862" s="13" t="s">
        <v>527</v>
      </c>
      <c r="C1862" s="11" t="s">
        <v>528</v>
      </c>
      <c r="D1862" s="13" t="s">
        <v>9630</v>
      </c>
      <c r="E1862" s="13" t="s">
        <v>9631</v>
      </c>
      <c r="F1862" s="13" t="s">
        <v>9632</v>
      </c>
      <c r="G1862" s="13" t="s">
        <v>9633</v>
      </c>
      <c r="H1862" s="13" t="s">
        <v>9634</v>
      </c>
    </row>
    <row r="1863" customFormat="false" ht="15" hidden="false" customHeight="true" outlineLevel="0" collapsed="false">
      <c r="A1863" s="13" t="s">
        <v>236</v>
      </c>
      <c r="B1863" s="13" t="s">
        <v>534</v>
      </c>
      <c r="C1863" s="11" t="s">
        <v>535</v>
      </c>
      <c r="D1863" s="13" t="s">
        <v>9635</v>
      </c>
      <c r="E1863" s="13" t="s">
        <v>9636</v>
      </c>
      <c r="F1863" s="13" t="s">
        <v>9637</v>
      </c>
      <c r="G1863" s="13" t="s">
        <v>9638</v>
      </c>
      <c r="H1863" s="13" t="s">
        <v>9639</v>
      </c>
    </row>
    <row r="1864" customFormat="false" ht="15" hidden="false" customHeight="true" outlineLevel="0" collapsed="false">
      <c r="A1864" s="13" t="s">
        <v>236</v>
      </c>
      <c r="B1864" s="13" t="s">
        <v>541</v>
      </c>
      <c r="C1864" s="11" t="s">
        <v>542</v>
      </c>
      <c r="D1864" s="13" t="s">
        <v>9640</v>
      </c>
      <c r="E1864" s="13" t="s">
        <v>9641</v>
      </c>
      <c r="F1864" s="13" t="s">
        <v>9642</v>
      </c>
      <c r="G1864" s="13" t="s">
        <v>9643</v>
      </c>
      <c r="H1864" s="13" t="s">
        <v>9644</v>
      </c>
    </row>
    <row r="1865" customFormat="false" ht="15" hidden="false" customHeight="true" outlineLevel="0" collapsed="false">
      <c r="A1865" s="13" t="s">
        <v>236</v>
      </c>
      <c r="B1865" s="13" t="s">
        <v>548</v>
      </c>
      <c r="C1865" s="11" t="s">
        <v>549</v>
      </c>
      <c r="D1865" s="13" t="s">
        <v>9645</v>
      </c>
      <c r="E1865" s="13" t="s">
        <v>9646</v>
      </c>
      <c r="F1865" s="13" t="s">
        <v>9647</v>
      </c>
      <c r="G1865" s="13" t="s">
        <v>9648</v>
      </c>
      <c r="H1865" s="13" t="s">
        <v>9649</v>
      </c>
    </row>
    <row r="1866" customFormat="false" ht="15" hidden="false" customHeight="true" outlineLevel="0" collapsed="false">
      <c r="A1866" s="13" t="s">
        <v>236</v>
      </c>
      <c r="B1866" s="13" t="s">
        <v>555</v>
      </c>
      <c r="C1866" s="11" t="s">
        <v>556</v>
      </c>
      <c r="D1866" s="13" t="s">
        <v>9650</v>
      </c>
      <c r="E1866" s="13" t="s">
        <v>9651</v>
      </c>
      <c r="F1866" s="13" t="s">
        <v>9652</v>
      </c>
      <c r="G1866" s="13" t="s">
        <v>9653</v>
      </c>
      <c r="H1866" s="13" t="s">
        <v>9654</v>
      </c>
    </row>
    <row r="1867" customFormat="false" ht="15" hidden="false" customHeight="true" outlineLevel="0" collapsed="false">
      <c r="A1867" s="13" t="s">
        <v>236</v>
      </c>
      <c r="B1867" s="13" t="s">
        <v>562</v>
      </c>
      <c r="C1867" s="11" t="s">
        <v>563</v>
      </c>
      <c r="D1867" s="13" t="s">
        <v>9655</v>
      </c>
      <c r="E1867" s="13" t="s">
        <v>9656</v>
      </c>
      <c r="F1867" s="13" t="s">
        <v>9657</v>
      </c>
      <c r="G1867" s="13" t="s">
        <v>9658</v>
      </c>
      <c r="H1867" s="13" t="s">
        <v>9659</v>
      </c>
    </row>
    <row r="1868" customFormat="false" ht="15" hidden="false" customHeight="true" outlineLevel="0" collapsed="false">
      <c r="A1868" s="13" t="s">
        <v>236</v>
      </c>
      <c r="B1868" s="13" t="s">
        <v>569</v>
      </c>
      <c r="C1868" s="11" t="s">
        <v>570</v>
      </c>
      <c r="D1868" s="13" t="s">
        <v>9660</v>
      </c>
      <c r="E1868" s="13" t="s">
        <v>9661</v>
      </c>
      <c r="F1868" s="13" t="s">
        <v>9662</v>
      </c>
      <c r="G1868" s="13" t="s">
        <v>9663</v>
      </c>
      <c r="H1868" s="13" t="s">
        <v>9664</v>
      </c>
    </row>
    <row r="1869" customFormat="false" ht="15" hidden="false" customHeight="true" outlineLevel="0" collapsed="false">
      <c r="A1869" s="13" t="s">
        <v>236</v>
      </c>
      <c r="B1869" s="13" t="s">
        <v>576</v>
      </c>
      <c r="C1869" s="11" t="s">
        <v>577</v>
      </c>
      <c r="D1869" s="13" t="s">
        <v>9665</v>
      </c>
      <c r="E1869" s="13" t="s">
        <v>9666</v>
      </c>
      <c r="F1869" s="13" t="s">
        <v>9667</v>
      </c>
      <c r="G1869" s="13" t="s">
        <v>9668</v>
      </c>
      <c r="H1869" s="13" t="s">
        <v>9669</v>
      </c>
    </row>
    <row r="1870" customFormat="false" ht="15" hidden="false" customHeight="true" outlineLevel="0" collapsed="false">
      <c r="A1870" s="13" t="s">
        <v>236</v>
      </c>
      <c r="B1870" s="13" t="s">
        <v>583</v>
      </c>
      <c r="C1870" s="11" t="s">
        <v>584</v>
      </c>
      <c r="D1870" s="13" t="s">
        <v>9670</v>
      </c>
      <c r="E1870" s="13" t="s">
        <v>9671</v>
      </c>
      <c r="F1870" s="13" t="s">
        <v>9672</v>
      </c>
      <c r="G1870" s="13" t="s">
        <v>9673</v>
      </c>
      <c r="H1870" s="13" t="s">
        <v>9674</v>
      </c>
    </row>
    <row r="1871" customFormat="false" ht="15" hidden="false" customHeight="true" outlineLevel="0" collapsed="false">
      <c r="A1871" s="13" t="s">
        <v>236</v>
      </c>
      <c r="B1871" s="13" t="s">
        <v>590</v>
      </c>
      <c r="C1871" s="11" t="s">
        <v>591</v>
      </c>
      <c r="D1871" s="13" t="s">
        <v>9675</v>
      </c>
      <c r="E1871" s="13" t="s">
        <v>9676</v>
      </c>
      <c r="F1871" s="13" t="s">
        <v>9677</v>
      </c>
      <c r="G1871" s="13" t="s">
        <v>9678</v>
      </c>
      <c r="H1871" s="13" t="s">
        <v>9679</v>
      </c>
    </row>
    <row r="1872" customFormat="false" ht="15" hidden="false" customHeight="true" outlineLevel="0" collapsed="false">
      <c r="A1872" s="13" t="s">
        <v>236</v>
      </c>
      <c r="B1872" s="13" t="s">
        <v>597</v>
      </c>
      <c r="C1872" s="11" t="s">
        <v>598</v>
      </c>
      <c r="D1872" s="13" t="s">
        <v>9680</v>
      </c>
      <c r="E1872" s="13" t="s">
        <v>9681</v>
      </c>
      <c r="F1872" s="13" t="s">
        <v>9682</v>
      </c>
      <c r="G1872" s="13" t="s">
        <v>9683</v>
      </c>
      <c r="H1872" s="13" t="s">
        <v>9684</v>
      </c>
    </row>
    <row r="1873" customFormat="false" ht="15" hidden="false" customHeight="true" outlineLevel="0" collapsed="false">
      <c r="A1873" s="13" t="s">
        <v>236</v>
      </c>
      <c r="B1873" s="13" t="s">
        <v>604</v>
      </c>
      <c r="C1873" s="11" t="s">
        <v>605</v>
      </c>
      <c r="D1873" s="13" t="s">
        <v>9685</v>
      </c>
      <c r="E1873" s="13" t="s">
        <v>9686</v>
      </c>
      <c r="F1873" s="13" t="s">
        <v>9687</v>
      </c>
      <c r="G1873" s="13" t="s">
        <v>9688</v>
      </c>
      <c r="H1873" s="13" t="s">
        <v>9689</v>
      </c>
    </row>
    <row r="1874" customFormat="false" ht="15" hidden="false" customHeight="true" outlineLevel="0" collapsed="false">
      <c r="A1874" s="13" t="s">
        <v>236</v>
      </c>
      <c r="B1874" s="13" t="s">
        <v>611</v>
      </c>
      <c r="C1874" s="11" t="s">
        <v>612</v>
      </c>
      <c r="D1874" s="13" t="s">
        <v>9690</v>
      </c>
      <c r="E1874" s="13" t="s">
        <v>9691</v>
      </c>
      <c r="F1874" s="13" t="s">
        <v>9692</v>
      </c>
      <c r="G1874" s="13" t="s">
        <v>9693</v>
      </c>
      <c r="H1874" s="13" t="s">
        <v>9694</v>
      </c>
    </row>
    <row r="1875" customFormat="false" ht="15" hidden="false" customHeight="true" outlineLevel="0" collapsed="false">
      <c r="A1875" s="13" t="s">
        <v>236</v>
      </c>
      <c r="B1875" s="13" t="s">
        <v>618</v>
      </c>
      <c r="C1875" s="11" t="s">
        <v>619</v>
      </c>
      <c r="D1875" s="13" t="s">
        <v>9695</v>
      </c>
      <c r="E1875" s="13" t="s">
        <v>9696</v>
      </c>
      <c r="F1875" s="13" t="s">
        <v>9697</v>
      </c>
      <c r="G1875" s="13" t="s">
        <v>9698</v>
      </c>
      <c r="H1875" s="13" t="s">
        <v>9699</v>
      </c>
    </row>
    <row r="1876" customFormat="false" ht="15" hidden="false" customHeight="true" outlineLevel="0" collapsed="false">
      <c r="A1876" s="13" t="s">
        <v>236</v>
      </c>
      <c r="B1876" s="13" t="s">
        <v>625</v>
      </c>
      <c r="C1876" s="11" t="s">
        <v>626</v>
      </c>
      <c r="D1876" s="13" t="s">
        <v>9700</v>
      </c>
      <c r="E1876" s="13" t="s">
        <v>9701</v>
      </c>
      <c r="F1876" s="13" t="s">
        <v>9702</v>
      </c>
      <c r="G1876" s="13" t="s">
        <v>9703</v>
      </c>
      <c r="H1876" s="13" t="s">
        <v>9704</v>
      </c>
    </row>
    <row r="1877" customFormat="false" ht="15" hidden="false" customHeight="true" outlineLevel="0" collapsed="false">
      <c r="A1877" s="13" t="s">
        <v>236</v>
      </c>
      <c r="B1877" s="13" t="s">
        <v>632</v>
      </c>
      <c r="C1877" s="11" t="s">
        <v>633</v>
      </c>
      <c r="D1877" s="13" t="s">
        <v>9705</v>
      </c>
      <c r="E1877" s="13" t="s">
        <v>9706</v>
      </c>
      <c r="F1877" s="13" t="s">
        <v>9707</v>
      </c>
      <c r="G1877" s="13" t="s">
        <v>9708</v>
      </c>
      <c r="H1877" s="13" t="s">
        <v>9709</v>
      </c>
    </row>
    <row r="1878" customFormat="false" ht="15" hidden="false" customHeight="true" outlineLevel="0" collapsed="false">
      <c r="A1878" s="13" t="s">
        <v>236</v>
      </c>
      <c r="B1878" s="13" t="s">
        <v>639</v>
      </c>
      <c r="C1878" s="11" t="s">
        <v>640</v>
      </c>
      <c r="D1878" s="13" t="s">
        <v>5979</v>
      </c>
      <c r="E1878" s="13" t="s">
        <v>9710</v>
      </c>
      <c r="F1878" s="13" t="s">
        <v>9711</v>
      </c>
      <c r="G1878" s="13" t="s">
        <v>9712</v>
      </c>
      <c r="H1878" s="13" t="s">
        <v>9713</v>
      </c>
    </row>
    <row r="1879" customFormat="false" ht="15" hidden="false" customHeight="true" outlineLevel="0" collapsed="false">
      <c r="A1879" s="13" t="s">
        <v>236</v>
      </c>
      <c r="B1879" s="13" t="s">
        <v>646</v>
      </c>
      <c r="C1879" s="11" t="s">
        <v>647</v>
      </c>
      <c r="D1879" s="13" t="s">
        <v>9714</v>
      </c>
      <c r="E1879" s="13" t="s">
        <v>9715</v>
      </c>
      <c r="F1879" s="13" t="s">
        <v>9716</v>
      </c>
      <c r="G1879" s="13" t="s">
        <v>9717</v>
      </c>
      <c r="H1879" s="13" t="s">
        <v>9718</v>
      </c>
    </row>
    <row r="1880" customFormat="false" ht="15" hidden="false" customHeight="true" outlineLevel="0" collapsed="false">
      <c r="A1880" s="13" t="s">
        <v>236</v>
      </c>
      <c r="B1880" s="13" t="s">
        <v>653</v>
      </c>
      <c r="C1880" s="11" t="s">
        <v>654</v>
      </c>
      <c r="D1880" s="13" t="s">
        <v>3625</v>
      </c>
      <c r="E1880" s="13" t="s">
        <v>9719</v>
      </c>
      <c r="F1880" s="13" t="s">
        <v>9720</v>
      </c>
      <c r="G1880" s="13" t="s">
        <v>9721</v>
      </c>
      <c r="H1880" s="13" t="s">
        <v>6931</v>
      </c>
    </row>
    <row r="1881" customFormat="false" ht="15" hidden="false" customHeight="true" outlineLevel="0" collapsed="false">
      <c r="A1881" s="13" t="s">
        <v>236</v>
      </c>
      <c r="B1881" s="13" t="s">
        <v>660</v>
      </c>
      <c r="C1881" s="11" t="s">
        <v>661</v>
      </c>
      <c r="D1881" s="13" t="s">
        <v>9722</v>
      </c>
      <c r="E1881" s="13" t="s">
        <v>9723</v>
      </c>
      <c r="F1881" s="13" t="s">
        <v>9724</v>
      </c>
      <c r="G1881" s="13" t="s">
        <v>9725</v>
      </c>
      <c r="H1881" s="13" t="s">
        <v>9726</v>
      </c>
    </row>
    <row r="1882" customFormat="false" ht="15" hidden="false" customHeight="true" outlineLevel="0" collapsed="false">
      <c r="A1882" s="13" t="s">
        <v>236</v>
      </c>
      <c r="B1882" s="13" t="s">
        <v>667</v>
      </c>
      <c r="C1882" s="11" t="s">
        <v>668</v>
      </c>
      <c r="D1882" s="13" t="s">
        <v>9727</v>
      </c>
      <c r="E1882" s="13" t="s">
        <v>9728</v>
      </c>
      <c r="F1882" s="13" t="s">
        <v>9729</v>
      </c>
      <c r="G1882" s="13" t="s">
        <v>9730</v>
      </c>
      <c r="H1882" s="13" t="s">
        <v>9731</v>
      </c>
    </row>
    <row r="1883" customFormat="false" ht="15" hidden="false" customHeight="true" outlineLevel="0" collapsed="false">
      <c r="A1883" s="13" t="s">
        <v>236</v>
      </c>
      <c r="B1883" s="13" t="s">
        <v>674</v>
      </c>
      <c r="C1883" s="11" t="s">
        <v>675</v>
      </c>
      <c r="D1883" s="13" t="s">
        <v>9732</v>
      </c>
      <c r="E1883" s="13" t="s">
        <v>9733</v>
      </c>
      <c r="F1883" s="13" t="s">
        <v>9734</v>
      </c>
      <c r="G1883" s="13" t="s">
        <v>9735</v>
      </c>
      <c r="H1883" s="13" t="s">
        <v>9736</v>
      </c>
    </row>
    <row r="1884" customFormat="false" ht="15" hidden="false" customHeight="true" outlineLevel="0" collapsed="false">
      <c r="A1884" s="13" t="s">
        <v>236</v>
      </c>
      <c r="B1884" s="13" t="s">
        <v>681</v>
      </c>
      <c r="C1884" s="11" t="s">
        <v>682</v>
      </c>
      <c r="D1884" s="13" t="s">
        <v>9737</v>
      </c>
      <c r="E1884" s="13" t="s">
        <v>9738</v>
      </c>
      <c r="F1884" s="13" t="s">
        <v>5582</v>
      </c>
      <c r="G1884" s="13" t="s">
        <v>9739</v>
      </c>
      <c r="H1884" s="13" t="s">
        <v>9740</v>
      </c>
    </row>
    <row r="1885" customFormat="false" ht="15" hidden="false" customHeight="true" outlineLevel="0" collapsed="false">
      <c r="A1885" s="13" t="s">
        <v>236</v>
      </c>
      <c r="B1885" s="13" t="s">
        <v>688</v>
      </c>
      <c r="C1885" s="11" t="s">
        <v>689</v>
      </c>
      <c r="D1885" s="13" t="s">
        <v>4106</v>
      </c>
      <c r="E1885" s="13" t="s">
        <v>9741</v>
      </c>
      <c r="F1885" s="13" t="s">
        <v>9742</v>
      </c>
      <c r="G1885" s="13" t="s">
        <v>9743</v>
      </c>
      <c r="H1885" s="13" t="s">
        <v>9744</v>
      </c>
    </row>
    <row r="1886" customFormat="false" ht="15" hidden="false" customHeight="true" outlineLevel="0" collapsed="false">
      <c r="A1886" s="13" t="s">
        <v>236</v>
      </c>
      <c r="B1886" s="13" t="s">
        <v>695</v>
      </c>
      <c r="C1886" s="11" t="s">
        <v>696</v>
      </c>
      <c r="D1886" s="13" t="s">
        <v>9745</v>
      </c>
      <c r="E1886" s="13" t="s">
        <v>9746</v>
      </c>
      <c r="F1886" s="13" t="s">
        <v>9747</v>
      </c>
      <c r="G1886" s="13" t="s">
        <v>9748</v>
      </c>
      <c r="H1886" s="13" t="s">
        <v>9749</v>
      </c>
    </row>
    <row r="1887" customFormat="false" ht="15" hidden="false" customHeight="true" outlineLevel="0" collapsed="false">
      <c r="A1887" s="13" t="s">
        <v>236</v>
      </c>
      <c r="B1887" s="13" t="s">
        <v>702</v>
      </c>
      <c r="C1887" s="11" t="s">
        <v>703</v>
      </c>
      <c r="D1887" s="13" t="s">
        <v>9750</v>
      </c>
      <c r="E1887" s="13" t="s">
        <v>9751</v>
      </c>
      <c r="F1887" s="13" t="s">
        <v>9752</v>
      </c>
      <c r="G1887" s="13" t="s">
        <v>9753</v>
      </c>
      <c r="H1887" s="13" t="s">
        <v>9754</v>
      </c>
    </row>
    <row r="1888" customFormat="false" ht="15" hidden="false" customHeight="true" outlineLevel="0" collapsed="false">
      <c r="A1888" s="13" t="s">
        <v>236</v>
      </c>
      <c r="B1888" s="13" t="s">
        <v>709</v>
      </c>
      <c r="C1888" s="11" t="s">
        <v>710</v>
      </c>
      <c r="D1888" s="13" t="s">
        <v>662</v>
      </c>
      <c r="E1888" s="13" t="s">
        <v>9755</v>
      </c>
      <c r="F1888" s="13" t="s">
        <v>9756</v>
      </c>
      <c r="G1888" s="13" t="s">
        <v>9757</v>
      </c>
      <c r="H1888" s="13" t="s">
        <v>9758</v>
      </c>
    </row>
    <row r="1889" customFormat="false" ht="15" hidden="false" customHeight="true" outlineLevel="0" collapsed="false">
      <c r="A1889" s="13" t="s">
        <v>236</v>
      </c>
      <c r="B1889" s="13" t="s">
        <v>716</v>
      </c>
      <c r="C1889" s="11" t="s">
        <v>717</v>
      </c>
      <c r="D1889" s="13" t="s">
        <v>9759</v>
      </c>
      <c r="E1889" s="13" t="s">
        <v>9760</v>
      </c>
      <c r="F1889" s="13" t="s">
        <v>9761</v>
      </c>
      <c r="G1889" s="13" t="s">
        <v>9762</v>
      </c>
      <c r="H1889" s="13" t="s">
        <v>9763</v>
      </c>
    </row>
    <row r="1890" customFormat="false" ht="15" hidden="false" customHeight="true" outlineLevel="0" collapsed="false">
      <c r="A1890" s="13" t="s">
        <v>236</v>
      </c>
      <c r="B1890" s="13" t="s">
        <v>723</v>
      </c>
      <c r="C1890" s="11" t="s">
        <v>724</v>
      </c>
      <c r="D1890" s="13" t="s">
        <v>9764</v>
      </c>
      <c r="E1890" s="13" t="s">
        <v>9765</v>
      </c>
      <c r="F1890" s="13" t="s">
        <v>9766</v>
      </c>
      <c r="G1890" s="13" t="s">
        <v>9767</v>
      </c>
      <c r="H1890" s="13" t="s">
        <v>2438</v>
      </c>
    </row>
    <row r="1891" customFormat="false" ht="15" hidden="false" customHeight="true" outlineLevel="0" collapsed="false">
      <c r="A1891" s="13" t="s">
        <v>236</v>
      </c>
      <c r="B1891" s="13" t="s">
        <v>730</v>
      </c>
      <c r="C1891" s="11" t="s">
        <v>731</v>
      </c>
      <c r="D1891" s="13" t="s">
        <v>9768</v>
      </c>
      <c r="E1891" s="13" t="s">
        <v>9769</v>
      </c>
      <c r="F1891" s="13" t="s">
        <v>9770</v>
      </c>
      <c r="G1891" s="13" t="s">
        <v>9771</v>
      </c>
      <c r="H1891" s="13" t="s">
        <v>9772</v>
      </c>
    </row>
    <row r="1892" customFormat="false" ht="15" hidden="false" customHeight="true" outlineLevel="0" collapsed="false">
      <c r="A1892" s="13" t="s">
        <v>236</v>
      </c>
      <c r="B1892" s="13" t="s">
        <v>737</v>
      </c>
      <c r="C1892" s="11" t="s">
        <v>738</v>
      </c>
      <c r="D1892" s="13" t="s">
        <v>9773</v>
      </c>
      <c r="E1892" s="13" t="s">
        <v>9774</v>
      </c>
      <c r="F1892" s="13" t="s">
        <v>9775</v>
      </c>
      <c r="G1892" s="13" t="s">
        <v>9776</v>
      </c>
      <c r="H1892" s="13" t="s">
        <v>9777</v>
      </c>
    </row>
    <row r="1893" customFormat="false" ht="15" hidden="false" customHeight="true" outlineLevel="0" collapsed="false">
      <c r="A1893" s="13" t="s">
        <v>236</v>
      </c>
      <c r="B1893" s="13" t="s">
        <v>744</v>
      </c>
      <c r="C1893" s="11" t="s">
        <v>745</v>
      </c>
      <c r="D1893" s="13" t="s">
        <v>3656</v>
      </c>
      <c r="E1893" s="13" t="s">
        <v>9778</v>
      </c>
      <c r="F1893" s="13" t="s">
        <v>9779</v>
      </c>
      <c r="G1893" s="13" t="s">
        <v>9780</v>
      </c>
      <c r="H1893" s="13" t="s">
        <v>9781</v>
      </c>
    </row>
    <row r="1894" customFormat="false" ht="15" hidden="false" customHeight="true" outlineLevel="0" collapsed="false">
      <c r="A1894" s="13" t="s">
        <v>236</v>
      </c>
      <c r="B1894" s="13" t="s">
        <v>751</v>
      </c>
      <c r="C1894" s="11" t="s">
        <v>752</v>
      </c>
      <c r="D1894" s="13" t="s">
        <v>9782</v>
      </c>
      <c r="E1894" s="13" t="s">
        <v>9783</v>
      </c>
      <c r="F1894" s="13" t="s">
        <v>9784</v>
      </c>
      <c r="G1894" s="13" t="s">
        <v>9785</v>
      </c>
      <c r="H1894" s="13" t="s">
        <v>9786</v>
      </c>
    </row>
    <row r="1895" customFormat="false" ht="15" hidden="false" customHeight="true" outlineLevel="0" collapsed="false">
      <c r="A1895" s="13" t="s">
        <v>236</v>
      </c>
      <c r="B1895" s="13" t="s">
        <v>758</v>
      </c>
      <c r="C1895" s="11" t="s">
        <v>759</v>
      </c>
      <c r="D1895" s="13" t="s">
        <v>9787</v>
      </c>
      <c r="E1895" s="13" t="s">
        <v>9788</v>
      </c>
      <c r="F1895" s="13" t="s">
        <v>9789</v>
      </c>
      <c r="G1895" s="13" t="s">
        <v>9790</v>
      </c>
      <c r="H1895" s="13" t="s">
        <v>9791</v>
      </c>
    </row>
    <row r="1896" customFormat="false" ht="15" hidden="false" customHeight="true" outlineLevel="0" collapsed="false">
      <c r="A1896" s="13" t="s">
        <v>236</v>
      </c>
      <c r="B1896" s="13" t="s">
        <v>765</v>
      </c>
      <c r="C1896" s="11" t="s">
        <v>766</v>
      </c>
      <c r="D1896" s="13" t="s">
        <v>9792</v>
      </c>
      <c r="E1896" s="13" t="s">
        <v>9793</v>
      </c>
      <c r="F1896" s="13" t="s">
        <v>9794</v>
      </c>
      <c r="G1896" s="13" t="s">
        <v>9795</v>
      </c>
      <c r="H1896" s="13" t="s">
        <v>9796</v>
      </c>
    </row>
    <row r="1897" customFormat="false" ht="15" hidden="false" customHeight="true" outlineLevel="0" collapsed="false">
      <c r="A1897" s="13" t="s">
        <v>236</v>
      </c>
      <c r="B1897" s="13" t="s">
        <v>772</v>
      </c>
      <c r="C1897" s="11" t="s">
        <v>773</v>
      </c>
      <c r="D1897" s="13" t="s">
        <v>9797</v>
      </c>
      <c r="E1897" s="13" t="s">
        <v>9798</v>
      </c>
      <c r="F1897" s="13" t="s">
        <v>9799</v>
      </c>
      <c r="G1897" s="13" t="s">
        <v>9800</v>
      </c>
      <c r="H1897" s="13" t="s">
        <v>9801</v>
      </c>
    </row>
    <row r="1898" customFormat="false" ht="15" hidden="false" customHeight="true" outlineLevel="0" collapsed="false">
      <c r="A1898" s="13" t="s">
        <v>236</v>
      </c>
      <c r="B1898" s="13" t="s">
        <v>779</v>
      </c>
      <c r="C1898" s="11" t="s">
        <v>780</v>
      </c>
      <c r="D1898" s="13" t="s">
        <v>9802</v>
      </c>
      <c r="E1898" s="13" t="s">
        <v>9803</v>
      </c>
      <c r="F1898" s="13" t="s">
        <v>9804</v>
      </c>
      <c r="G1898" s="13" t="s">
        <v>9805</v>
      </c>
      <c r="H1898" s="13" t="s">
        <v>9806</v>
      </c>
    </row>
    <row r="1899" customFormat="false" ht="15" hidden="false" customHeight="true" outlineLevel="0" collapsed="false">
      <c r="A1899" s="13" t="s">
        <v>236</v>
      </c>
      <c r="B1899" s="13" t="s">
        <v>786</v>
      </c>
      <c r="C1899" s="11" t="s">
        <v>787</v>
      </c>
      <c r="D1899" s="13" t="s">
        <v>9807</v>
      </c>
      <c r="E1899" s="13" t="s">
        <v>9808</v>
      </c>
      <c r="F1899" s="13" t="s">
        <v>9809</v>
      </c>
      <c r="G1899" s="13" t="s">
        <v>9810</v>
      </c>
      <c r="H1899" s="13" t="s">
        <v>9811</v>
      </c>
    </row>
    <row r="1900" customFormat="false" ht="15" hidden="false" customHeight="true" outlineLevel="0" collapsed="false">
      <c r="A1900" s="13" t="s">
        <v>236</v>
      </c>
      <c r="B1900" s="13" t="s">
        <v>793</v>
      </c>
      <c r="C1900" s="11" t="s">
        <v>794</v>
      </c>
      <c r="D1900" s="13" t="s">
        <v>9812</v>
      </c>
      <c r="E1900" s="13" t="s">
        <v>9813</v>
      </c>
      <c r="F1900" s="13" t="s">
        <v>9814</v>
      </c>
      <c r="G1900" s="13" t="s">
        <v>9815</v>
      </c>
      <c r="H1900" s="13" t="s">
        <v>9816</v>
      </c>
    </row>
    <row r="1901" customFormat="false" ht="15" hidden="false" customHeight="true" outlineLevel="0" collapsed="false">
      <c r="A1901" s="13" t="s">
        <v>236</v>
      </c>
      <c r="B1901" s="13" t="s">
        <v>800</v>
      </c>
      <c r="C1901" s="11" t="s">
        <v>801</v>
      </c>
      <c r="D1901" s="13" t="s">
        <v>8179</v>
      </c>
      <c r="E1901" s="13" t="s">
        <v>9817</v>
      </c>
      <c r="F1901" s="13" t="s">
        <v>9818</v>
      </c>
      <c r="G1901" s="13" t="s">
        <v>9819</v>
      </c>
      <c r="H1901" s="13" t="s">
        <v>9820</v>
      </c>
    </row>
    <row r="1902" customFormat="false" ht="15" hidden="false" customHeight="true" outlineLevel="0" collapsed="false">
      <c r="A1902" s="13" t="s">
        <v>236</v>
      </c>
      <c r="B1902" s="13" t="s">
        <v>806</v>
      </c>
      <c r="C1902" s="11" t="s">
        <v>807</v>
      </c>
      <c r="D1902" s="13" t="s">
        <v>7031</v>
      </c>
      <c r="E1902" s="13" t="s">
        <v>9821</v>
      </c>
      <c r="F1902" s="13" t="s">
        <v>9822</v>
      </c>
      <c r="G1902" s="13" t="s">
        <v>9823</v>
      </c>
      <c r="H1902" s="13" t="s">
        <v>9824</v>
      </c>
    </row>
    <row r="1903" customFormat="false" ht="15" hidden="false" customHeight="true" outlineLevel="0" collapsed="false">
      <c r="A1903" s="13" t="s">
        <v>236</v>
      </c>
      <c r="B1903" s="13" t="s">
        <v>813</v>
      </c>
      <c r="C1903" s="11" t="s">
        <v>814</v>
      </c>
      <c r="D1903" s="13" t="s">
        <v>9825</v>
      </c>
      <c r="E1903" s="13" t="s">
        <v>9826</v>
      </c>
      <c r="F1903" s="13" t="s">
        <v>9827</v>
      </c>
      <c r="G1903" s="13" t="s">
        <v>9828</v>
      </c>
      <c r="H1903" s="13" t="s">
        <v>9829</v>
      </c>
    </row>
    <row r="1904" customFormat="false" ht="15" hidden="false" customHeight="true" outlineLevel="0" collapsed="false">
      <c r="A1904" s="13" t="s">
        <v>236</v>
      </c>
      <c r="B1904" s="13" t="s">
        <v>820</v>
      </c>
      <c r="C1904" s="11" t="s">
        <v>821</v>
      </c>
      <c r="D1904" s="13" t="s">
        <v>9830</v>
      </c>
      <c r="E1904" s="13" t="s">
        <v>9831</v>
      </c>
      <c r="F1904" s="13" t="s">
        <v>9832</v>
      </c>
      <c r="G1904" s="13" t="s">
        <v>9833</v>
      </c>
      <c r="H1904" s="13" t="s">
        <v>9834</v>
      </c>
    </row>
    <row r="1905" customFormat="false" ht="15" hidden="false" customHeight="true" outlineLevel="0" collapsed="false">
      <c r="A1905" s="13" t="s">
        <v>236</v>
      </c>
      <c r="B1905" s="13" t="s">
        <v>827</v>
      </c>
      <c r="C1905" s="11" t="s">
        <v>828</v>
      </c>
      <c r="D1905" s="13" t="s">
        <v>9835</v>
      </c>
      <c r="E1905" s="13" t="s">
        <v>9836</v>
      </c>
      <c r="F1905" s="13" t="s">
        <v>9837</v>
      </c>
      <c r="G1905" s="13" t="s">
        <v>9838</v>
      </c>
      <c r="H1905" s="13" t="s">
        <v>9839</v>
      </c>
    </row>
    <row r="1906" customFormat="false" ht="15" hidden="false" customHeight="true" outlineLevel="0" collapsed="false">
      <c r="A1906" s="13" t="s">
        <v>236</v>
      </c>
      <c r="B1906" s="13" t="s">
        <v>834</v>
      </c>
      <c r="C1906" s="11" t="s">
        <v>835</v>
      </c>
      <c r="D1906" s="13" t="s">
        <v>9840</v>
      </c>
      <c r="E1906" s="13" t="s">
        <v>9841</v>
      </c>
      <c r="F1906" s="13" t="s">
        <v>9842</v>
      </c>
      <c r="G1906" s="13" t="s">
        <v>9843</v>
      </c>
      <c r="H1906" s="13" t="s">
        <v>9844</v>
      </c>
    </row>
    <row r="1907" customFormat="false" ht="15" hidden="false" customHeight="true" outlineLevel="0" collapsed="false">
      <c r="A1907" s="13" t="s">
        <v>236</v>
      </c>
      <c r="B1907" s="13" t="s">
        <v>841</v>
      </c>
      <c r="C1907" s="11" t="s">
        <v>842</v>
      </c>
      <c r="D1907" s="13" t="s">
        <v>9845</v>
      </c>
      <c r="E1907" s="13" t="s">
        <v>9846</v>
      </c>
      <c r="F1907" s="13" t="s">
        <v>9847</v>
      </c>
      <c r="G1907" s="13" t="s">
        <v>9848</v>
      </c>
      <c r="H1907" s="13" t="s">
        <v>9849</v>
      </c>
    </row>
    <row r="1908" customFormat="false" ht="15" hidden="false" customHeight="true" outlineLevel="0" collapsed="false">
      <c r="A1908" s="13" t="s">
        <v>236</v>
      </c>
      <c r="B1908" s="13" t="s">
        <v>848</v>
      </c>
      <c r="C1908" s="11" t="s">
        <v>849</v>
      </c>
      <c r="D1908" s="13" t="s">
        <v>9850</v>
      </c>
      <c r="E1908" s="13" t="s">
        <v>9851</v>
      </c>
      <c r="F1908" s="13" t="s">
        <v>9852</v>
      </c>
      <c r="G1908" s="13" t="s">
        <v>9853</v>
      </c>
      <c r="H1908" s="13" t="s">
        <v>9854</v>
      </c>
    </row>
    <row r="1909" customFormat="false" ht="15" hidden="false" customHeight="true" outlineLevel="0" collapsed="false">
      <c r="A1909" s="13" t="s">
        <v>236</v>
      </c>
      <c r="B1909" s="13" t="s">
        <v>855</v>
      </c>
      <c r="C1909" s="11" t="s">
        <v>856</v>
      </c>
      <c r="D1909" s="13" t="s">
        <v>9855</v>
      </c>
      <c r="E1909" s="13" t="s">
        <v>9856</v>
      </c>
      <c r="F1909" s="13" t="s">
        <v>9857</v>
      </c>
      <c r="G1909" s="13" t="s">
        <v>9858</v>
      </c>
      <c r="H1909" s="13" t="s">
        <v>9859</v>
      </c>
    </row>
    <row r="1910" customFormat="false" ht="15" hidden="false" customHeight="true" outlineLevel="0" collapsed="false">
      <c r="A1910" s="13" t="s">
        <v>236</v>
      </c>
      <c r="B1910" s="13" t="s">
        <v>862</v>
      </c>
      <c r="C1910" s="11" t="s">
        <v>863</v>
      </c>
      <c r="D1910" s="13" t="s">
        <v>9860</v>
      </c>
      <c r="E1910" s="13" t="s">
        <v>9861</v>
      </c>
      <c r="F1910" s="13" t="s">
        <v>9862</v>
      </c>
      <c r="G1910" s="13" t="s">
        <v>9863</v>
      </c>
      <c r="H1910" s="13" t="s">
        <v>9864</v>
      </c>
    </row>
    <row r="1911" customFormat="false" ht="15" hidden="false" customHeight="true" outlineLevel="0" collapsed="false">
      <c r="A1911" s="13" t="s">
        <v>236</v>
      </c>
      <c r="B1911" s="13" t="s">
        <v>869</v>
      </c>
      <c r="C1911" s="11" t="s">
        <v>870</v>
      </c>
      <c r="D1911" s="13" t="s">
        <v>9865</v>
      </c>
      <c r="E1911" s="13" t="s">
        <v>9866</v>
      </c>
      <c r="F1911" s="13" t="s">
        <v>9867</v>
      </c>
      <c r="G1911" s="13" t="s">
        <v>9868</v>
      </c>
      <c r="H1911" s="13" t="s">
        <v>9869</v>
      </c>
    </row>
    <row r="1912" customFormat="false" ht="15" hidden="false" customHeight="true" outlineLevel="0" collapsed="false">
      <c r="A1912" s="13" t="s">
        <v>236</v>
      </c>
      <c r="B1912" s="13" t="s">
        <v>876</v>
      </c>
      <c r="C1912" s="11" t="s">
        <v>877</v>
      </c>
      <c r="D1912" s="13" t="s">
        <v>9870</v>
      </c>
      <c r="E1912" s="13" t="s">
        <v>9871</v>
      </c>
      <c r="F1912" s="13" t="s">
        <v>9872</v>
      </c>
      <c r="G1912" s="13" t="s">
        <v>9873</v>
      </c>
      <c r="H1912" s="13" t="s">
        <v>9874</v>
      </c>
    </row>
    <row r="1913" customFormat="false" ht="15" hidden="false" customHeight="true" outlineLevel="0" collapsed="false">
      <c r="A1913" s="13" t="s">
        <v>236</v>
      </c>
      <c r="B1913" s="13" t="s">
        <v>883</v>
      </c>
      <c r="C1913" s="11" t="s">
        <v>884</v>
      </c>
      <c r="D1913" s="13" t="s">
        <v>9875</v>
      </c>
      <c r="E1913" s="13" t="s">
        <v>9876</v>
      </c>
      <c r="F1913" s="13" t="s">
        <v>9877</v>
      </c>
      <c r="G1913" s="13" t="s">
        <v>9878</v>
      </c>
      <c r="H1913" s="13" t="s">
        <v>9879</v>
      </c>
    </row>
    <row r="1914" customFormat="false" ht="15" hidden="false" customHeight="true" outlineLevel="0" collapsed="false">
      <c r="A1914" s="13" t="s">
        <v>236</v>
      </c>
      <c r="B1914" s="13" t="s">
        <v>890</v>
      </c>
      <c r="C1914" s="11" t="s">
        <v>891</v>
      </c>
      <c r="D1914" s="13" t="s">
        <v>9880</v>
      </c>
      <c r="E1914" s="13" t="s">
        <v>9881</v>
      </c>
      <c r="F1914" s="13" t="s">
        <v>9882</v>
      </c>
      <c r="G1914" s="13" t="s">
        <v>9883</v>
      </c>
      <c r="H1914" s="13" t="s">
        <v>9884</v>
      </c>
    </row>
    <row r="1915" customFormat="false" ht="15" hidden="false" customHeight="true" outlineLevel="0" collapsed="false">
      <c r="A1915" s="13" t="s">
        <v>236</v>
      </c>
      <c r="B1915" s="13" t="s">
        <v>897</v>
      </c>
      <c r="C1915" s="11" t="s">
        <v>898</v>
      </c>
      <c r="D1915" s="13" t="s">
        <v>9885</v>
      </c>
      <c r="E1915" s="13" t="s">
        <v>9886</v>
      </c>
      <c r="F1915" s="13" t="s">
        <v>9887</v>
      </c>
      <c r="G1915" s="13" t="s">
        <v>9888</v>
      </c>
      <c r="H1915" s="13" t="s">
        <v>9889</v>
      </c>
    </row>
    <row r="1916" customFormat="false" ht="15" hidden="false" customHeight="true" outlineLevel="0" collapsed="false">
      <c r="A1916" s="13" t="s">
        <v>236</v>
      </c>
      <c r="B1916" s="13" t="s">
        <v>904</v>
      </c>
      <c r="C1916" s="11" t="s">
        <v>905</v>
      </c>
      <c r="D1916" s="13" t="s">
        <v>9890</v>
      </c>
      <c r="E1916" s="13" t="s">
        <v>9891</v>
      </c>
      <c r="F1916" s="13" t="s">
        <v>9892</v>
      </c>
      <c r="G1916" s="13" t="s">
        <v>9893</v>
      </c>
      <c r="H1916" s="13" t="s">
        <v>9894</v>
      </c>
    </row>
    <row r="1917" customFormat="false" ht="15" hidden="false" customHeight="true" outlineLevel="0" collapsed="false">
      <c r="A1917" s="13" t="s">
        <v>236</v>
      </c>
      <c r="B1917" s="13" t="s">
        <v>911</v>
      </c>
      <c r="C1917" s="11" t="s">
        <v>912</v>
      </c>
      <c r="D1917" s="13" t="s">
        <v>9895</v>
      </c>
      <c r="E1917" s="13" t="s">
        <v>9896</v>
      </c>
      <c r="F1917" s="13" t="s">
        <v>9897</v>
      </c>
      <c r="G1917" s="13" t="s">
        <v>9898</v>
      </c>
      <c r="H1917" s="13" t="s">
        <v>9899</v>
      </c>
    </row>
    <row r="1918" customFormat="false" ht="15" hidden="false" customHeight="true" outlineLevel="0" collapsed="false">
      <c r="A1918" s="13" t="s">
        <v>236</v>
      </c>
      <c r="B1918" s="13" t="s">
        <v>918</v>
      </c>
      <c r="C1918" s="11" t="s">
        <v>919</v>
      </c>
      <c r="D1918" s="13" t="s">
        <v>9900</v>
      </c>
      <c r="E1918" s="13" t="s">
        <v>9901</v>
      </c>
      <c r="F1918" s="13" t="s">
        <v>9902</v>
      </c>
      <c r="G1918" s="13" t="s">
        <v>9903</v>
      </c>
      <c r="H1918" s="13" t="s">
        <v>9904</v>
      </c>
    </row>
    <row r="1919" customFormat="false" ht="15" hidden="false" customHeight="true" outlineLevel="0" collapsed="false">
      <c r="A1919" s="13" t="s">
        <v>236</v>
      </c>
      <c r="B1919" s="13" t="s">
        <v>925</v>
      </c>
      <c r="C1919" s="11" t="s">
        <v>926</v>
      </c>
      <c r="D1919" s="13" t="s">
        <v>9905</v>
      </c>
      <c r="E1919" s="13" t="s">
        <v>9906</v>
      </c>
      <c r="F1919" s="13" t="s">
        <v>9907</v>
      </c>
      <c r="G1919" s="13" t="s">
        <v>9908</v>
      </c>
      <c r="H1919" s="13" t="s">
        <v>9909</v>
      </c>
    </row>
    <row r="1920" customFormat="false" ht="15" hidden="false" customHeight="true" outlineLevel="0" collapsed="false">
      <c r="A1920" s="13" t="s">
        <v>236</v>
      </c>
      <c r="B1920" s="13" t="s">
        <v>932</v>
      </c>
      <c r="C1920" s="11" t="s">
        <v>933</v>
      </c>
      <c r="D1920" s="13" t="s">
        <v>9910</v>
      </c>
      <c r="E1920" s="13" t="s">
        <v>9911</v>
      </c>
      <c r="F1920" s="13" t="s">
        <v>9912</v>
      </c>
      <c r="G1920" s="13" t="s">
        <v>9913</v>
      </c>
      <c r="H1920" s="13" t="s">
        <v>9914</v>
      </c>
    </row>
    <row r="1921" customFormat="false" ht="15" hidden="false" customHeight="true" outlineLevel="0" collapsed="false">
      <c r="A1921" s="13" t="s">
        <v>236</v>
      </c>
      <c r="B1921" s="13" t="s">
        <v>939</v>
      </c>
      <c r="C1921" s="11" t="s">
        <v>940</v>
      </c>
      <c r="D1921" s="13" t="s">
        <v>9915</v>
      </c>
      <c r="E1921" s="13" t="s">
        <v>9916</v>
      </c>
      <c r="F1921" s="13" t="s">
        <v>9917</v>
      </c>
      <c r="G1921" s="13" t="s">
        <v>9918</v>
      </c>
      <c r="H1921" s="13" t="s">
        <v>9919</v>
      </c>
    </row>
    <row r="1922" customFormat="false" ht="15" hidden="false" customHeight="true" outlineLevel="0" collapsed="false">
      <c r="A1922" s="13" t="s">
        <v>236</v>
      </c>
      <c r="B1922" s="13" t="s">
        <v>946</v>
      </c>
      <c r="C1922" s="11" t="s">
        <v>947</v>
      </c>
      <c r="D1922" s="13" t="s">
        <v>9920</v>
      </c>
      <c r="E1922" s="13" t="s">
        <v>9921</v>
      </c>
      <c r="F1922" s="13" t="s">
        <v>9922</v>
      </c>
      <c r="G1922" s="13" t="s">
        <v>9923</v>
      </c>
      <c r="H1922" s="13" t="s">
        <v>9924</v>
      </c>
    </row>
    <row r="1923" customFormat="false" ht="15" hidden="false" customHeight="true" outlineLevel="0" collapsed="false">
      <c r="A1923" s="13" t="s">
        <v>236</v>
      </c>
      <c r="B1923" s="13" t="s">
        <v>953</v>
      </c>
      <c r="C1923" s="11" t="s">
        <v>954</v>
      </c>
      <c r="D1923" s="13" t="s">
        <v>9925</v>
      </c>
      <c r="E1923" s="13" t="s">
        <v>9926</v>
      </c>
      <c r="F1923" s="13" t="s">
        <v>9927</v>
      </c>
      <c r="G1923" s="13" t="s">
        <v>9928</v>
      </c>
      <c r="H1923" s="13" t="s">
        <v>9929</v>
      </c>
    </row>
    <row r="1924" customFormat="false" ht="15" hidden="false" customHeight="true" outlineLevel="0" collapsed="false">
      <c r="A1924" s="13" t="s">
        <v>236</v>
      </c>
      <c r="B1924" s="13" t="s">
        <v>960</v>
      </c>
      <c r="C1924" s="11" t="s">
        <v>961</v>
      </c>
      <c r="D1924" s="13" t="s">
        <v>9930</v>
      </c>
      <c r="E1924" s="13" t="s">
        <v>9931</v>
      </c>
      <c r="F1924" s="13" t="s">
        <v>9932</v>
      </c>
      <c r="G1924" s="13" t="s">
        <v>9933</v>
      </c>
      <c r="H1924" s="13" t="s">
        <v>9934</v>
      </c>
    </row>
    <row r="1925" customFormat="false" ht="15" hidden="false" customHeight="true" outlineLevel="0" collapsed="false">
      <c r="A1925" s="13" t="s">
        <v>236</v>
      </c>
      <c r="B1925" s="13" t="s">
        <v>967</v>
      </c>
      <c r="C1925" s="11" t="s">
        <v>968</v>
      </c>
      <c r="D1925" s="13" t="s">
        <v>4564</v>
      </c>
      <c r="E1925" s="13" t="s">
        <v>9935</v>
      </c>
      <c r="F1925" s="13" t="s">
        <v>9936</v>
      </c>
      <c r="G1925" s="13" t="s">
        <v>9937</v>
      </c>
      <c r="H1925" s="13" t="s">
        <v>9938</v>
      </c>
    </row>
    <row r="1926" customFormat="false" ht="15" hidden="false" customHeight="true" outlineLevel="0" collapsed="false">
      <c r="A1926" s="13" t="s">
        <v>236</v>
      </c>
      <c r="B1926" s="13" t="s">
        <v>974</v>
      </c>
      <c r="C1926" s="11" t="s">
        <v>975</v>
      </c>
      <c r="D1926" s="13" t="s">
        <v>9939</v>
      </c>
      <c r="E1926" s="13" t="s">
        <v>9940</v>
      </c>
      <c r="F1926" s="13" t="s">
        <v>9941</v>
      </c>
      <c r="G1926" s="13" t="s">
        <v>9942</v>
      </c>
      <c r="H1926" s="13" t="s">
        <v>9943</v>
      </c>
    </row>
    <row r="1927" customFormat="false" ht="15" hidden="false" customHeight="true" outlineLevel="0" collapsed="false">
      <c r="A1927" s="13" t="s">
        <v>236</v>
      </c>
      <c r="B1927" s="13" t="s">
        <v>981</v>
      </c>
      <c r="C1927" s="11" t="s">
        <v>982</v>
      </c>
      <c r="D1927" s="13" t="s">
        <v>9944</v>
      </c>
      <c r="E1927" s="13" t="s">
        <v>9945</v>
      </c>
      <c r="F1927" s="13" t="s">
        <v>9946</v>
      </c>
      <c r="G1927" s="13" t="s">
        <v>9947</v>
      </c>
      <c r="H1927" s="13" t="s">
        <v>9948</v>
      </c>
    </row>
    <row r="1928" customFormat="false" ht="15" hidden="false" customHeight="true" outlineLevel="0" collapsed="false">
      <c r="A1928" s="13" t="s">
        <v>236</v>
      </c>
      <c r="B1928" s="13" t="s">
        <v>988</v>
      </c>
      <c r="C1928" s="11" t="s">
        <v>989</v>
      </c>
      <c r="D1928" s="13" t="s">
        <v>9949</v>
      </c>
      <c r="E1928" s="13" t="s">
        <v>9950</v>
      </c>
      <c r="F1928" s="13" t="s">
        <v>9951</v>
      </c>
      <c r="G1928" s="13" t="s">
        <v>9952</v>
      </c>
      <c r="H1928" s="13" t="s">
        <v>9953</v>
      </c>
    </row>
    <row r="1929" customFormat="false" ht="15" hidden="false" customHeight="true" outlineLevel="0" collapsed="false">
      <c r="A1929" s="13" t="s">
        <v>236</v>
      </c>
      <c r="B1929" s="13" t="s">
        <v>995</v>
      </c>
      <c r="C1929" s="11" t="s">
        <v>996</v>
      </c>
      <c r="D1929" s="13" t="s">
        <v>9954</v>
      </c>
      <c r="E1929" s="13" t="s">
        <v>9955</v>
      </c>
      <c r="F1929" s="13" t="s">
        <v>9956</v>
      </c>
      <c r="G1929" s="13" t="s">
        <v>9957</v>
      </c>
      <c r="H1929" s="13" t="s">
        <v>9958</v>
      </c>
    </row>
    <row r="1930" customFormat="false" ht="15" hidden="false" customHeight="true" outlineLevel="0" collapsed="false">
      <c r="A1930" s="13" t="s">
        <v>236</v>
      </c>
      <c r="B1930" s="13" t="s">
        <v>1002</v>
      </c>
      <c r="C1930" s="11" t="s">
        <v>1003</v>
      </c>
      <c r="D1930" s="13" t="s">
        <v>9959</v>
      </c>
      <c r="E1930" s="13" t="s">
        <v>9960</v>
      </c>
      <c r="F1930" s="13" t="s">
        <v>9961</v>
      </c>
      <c r="G1930" s="13" t="s">
        <v>9962</v>
      </c>
      <c r="H1930" s="13" t="s">
        <v>9963</v>
      </c>
    </row>
    <row r="1931" customFormat="false" ht="15" hidden="false" customHeight="true" outlineLevel="0" collapsed="false">
      <c r="A1931" s="13" t="s">
        <v>236</v>
      </c>
      <c r="B1931" s="13" t="s">
        <v>1009</v>
      </c>
      <c r="C1931" s="11" t="s">
        <v>1010</v>
      </c>
      <c r="D1931" s="13" t="s">
        <v>9964</v>
      </c>
      <c r="E1931" s="13" t="s">
        <v>9965</v>
      </c>
      <c r="F1931" s="13" t="s">
        <v>9966</v>
      </c>
      <c r="G1931" s="13" t="s">
        <v>9967</v>
      </c>
      <c r="H1931" s="13" t="s">
        <v>9968</v>
      </c>
    </row>
    <row r="1932" customFormat="false" ht="15" hidden="false" customHeight="true" outlineLevel="0" collapsed="false">
      <c r="A1932" s="13" t="s">
        <v>244</v>
      </c>
      <c r="B1932" s="13" t="s">
        <v>345</v>
      </c>
      <c r="C1932" s="11" t="s">
        <v>346</v>
      </c>
      <c r="D1932" s="13" t="s">
        <v>9259</v>
      </c>
      <c r="E1932" s="13" t="s">
        <v>9969</v>
      </c>
      <c r="F1932" s="13" t="s">
        <v>9970</v>
      </c>
      <c r="G1932" s="13" t="s">
        <v>9971</v>
      </c>
      <c r="H1932" s="13" t="s">
        <v>9972</v>
      </c>
    </row>
    <row r="1933" customFormat="false" ht="15" hidden="false" customHeight="true" outlineLevel="0" collapsed="false">
      <c r="A1933" s="13" t="s">
        <v>244</v>
      </c>
      <c r="B1933" s="13" t="s">
        <v>352</v>
      </c>
      <c r="C1933" s="11" t="s">
        <v>353</v>
      </c>
      <c r="D1933" s="13" t="s">
        <v>9973</v>
      </c>
      <c r="E1933" s="13" t="s">
        <v>1996</v>
      </c>
      <c r="F1933" s="13" t="s">
        <v>9974</v>
      </c>
      <c r="G1933" s="13" t="s">
        <v>9975</v>
      </c>
      <c r="H1933" s="13" t="s">
        <v>9976</v>
      </c>
    </row>
    <row r="1934" customFormat="false" ht="15" hidden="false" customHeight="true" outlineLevel="0" collapsed="false">
      <c r="A1934" s="13" t="s">
        <v>244</v>
      </c>
      <c r="B1934" s="13" t="s">
        <v>359</v>
      </c>
      <c r="C1934" s="11" t="s">
        <v>360</v>
      </c>
      <c r="D1934" s="13" t="s">
        <v>9977</v>
      </c>
      <c r="E1934" s="13" t="s">
        <v>9978</v>
      </c>
      <c r="F1934" s="13" t="s">
        <v>9979</v>
      </c>
      <c r="G1934" s="13" t="s">
        <v>9980</v>
      </c>
      <c r="H1934" s="13" t="s">
        <v>9981</v>
      </c>
    </row>
    <row r="1935" customFormat="false" ht="15" hidden="false" customHeight="true" outlineLevel="0" collapsed="false">
      <c r="A1935" s="13" t="s">
        <v>244</v>
      </c>
      <c r="B1935" s="13" t="s">
        <v>366</v>
      </c>
      <c r="C1935" s="11" t="s">
        <v>367</v>
      </c>
      <c r="D1935" s="13" t="s">
        <v>9982</v>
      </c>
      <c r="E1935" s="13" t="s">
        <v>369</v>
      </c>
      <c r="F1935" s="13" t="s">
        <v>9983</v>
      </c>
      <c r="G1935" s="13" t="s">
        <v>9984</v>
      </c>
      <c r="H1935" s="13" t="s">
        <v>9985</v>
      </c>
    </row>
    <row r="1936" customFormat="false" ht="15" hidden="false" customHeight="true" outlineLevel="0" collapsed="false">
      <c r="A1936" s="13" t="s">
        <v>244</v>
      </c>
      <c r="B1936" s="13" t="s">
        <v>373</v>
      </c>
      <c r="C1936" s="11" t="s">
        <v>374</v>
      </c>
      <c r="D1936" s="13" t="s">
        <v>9986</v>
      </c>
      <c r="E1936" s="13" t="s">
        <v>9987</v>
      </c>
      <c r="F1936" s="13" t="s">
        <v>9988</v>
      </c>
      <c r="G1936" s="13" t="s">
        <v>9989</v>
      </c>
      <c r="H1936" s="13" t="s">
        <v>9990</v>
      </c>
    </row>
    <row r="1937" customFormat="false" ht="15" hidden="false" customHeight="true" outlineLevel="0" collapsed="false">
      <c r="A1937" s="13" t="s">
        <v>244</v>
      </c>
      <c r="B1937" s="13" t="s">
        <v>380</v>
      </c>
      <c r="C1937" s="11" t="s">
        <v>381</v>
      </c>
      <c r="D1937" s="13" t="s">
        <v>9991</v>
      </c>
      <c r="E1937" s="13" t="s">
        <v>9992</v>
      </c>
      <c r="F1937" s="13" t="s">
        <v>9993</v>
      </c>
      <c r="G1937" s="13" t="s">
        <v>9994</v>
      </c>
      <c r="H1937" s="13" t="s">
        <v>9995</v>
      </c>
    </row>
    <row r="1938" customFormat="false" ht="15" hidden="false" customHeight="true" outlineLevel="0" collapsed="false">
      <c r="A1938" s="13" t="s">
        <v>244</v>
      </c>
      <c r="B1938" s="13" t="s">
        <v>387</v>
      </c>
      <c r="C1938" s="11" t="s">
        <v>388</v>
      </c>
      <c r="D1938" s="13" t="s">
        <v>9996</v>
      </c>
      <c r="E1938" s="13" t="s">
        <v>9997</v>
      </c>
      <c r="F1938" s="13" t="s">
        <v>9998</v>
      </c>
      <c r="G1938" s="13" t="s">
        <v>9999</v>
      </c>
      <c r="H1938" s="13" t="s">
        <v>10000</v>
      </c>
    </row>
    <row r="1939" customFormat="false" ht="15" hidden="false" customHeight="true" outlineLevel="0" collapsed="false">
      <c r="A1939" s="13" t="s">
        <v>244</v>
      </c>
      <c r="B1939" s="13" t="s">
        <v>394</v>
      </c>
      <c r="C1939" s="11" t="s">
        <v>395</v>
      </c>
      <c r="D1939" s="13" t="s">
        <v>10001</v>
      </c>
      <c r="E1939" s="13" t="s">
        <v>10002</v>
      </c>
      <c r="F1939" s="13" t="s">
        <v>10003</v>
      </c>
      <c r="G1939" s="13" t="s">
        <v>10004</v>
      </c>
      <c r="H1939" s="13" t="s">
        <v>10005</v>
      </c>
    </row>
    <row r="1940" customFormat="false" ht="15" hidden="false" customHeight="true" outlineLevel="0" collapsed="false">
      <c r="A1940" s="13" t="s">
        <v>244</v>
      </c>
      <c r="B1940" s="13" t="s">
        <v>401</v>
      </c>
      <c r="C1940" s="11" t="s">
        <v>402</v>
      </c>
      <c r="D1940" s="13" t="s">
        <v>10006</v>
      </c>
      <c r="E1940" s="13" t="s">
        <v>10007</v>
      </c>
      <c r="F1940" s="13" t="s">
        <v>10008</v>
      </c>
      <c r="G1940" s="13" t="s">
        <v>10009</v>
      </c>
      <c r="H1940" s="13" t="s">
        <v>10010</v>
      </c>
    </row>
    <row r="1941" customFormat="false" ht="15" hidden="false" customHeight="true" outlineLevel="0" collapsed="false">
      <c r="A1941" s="13" t="s">
        <v>244</v>
      </c>
      <c r="B1941" s="13" t="s">
        <v>408</v>
      </c>
      <c r="C1941" s="11" t="s">
        <v>409</v>
      </c>
      <c r="D1941" s="13" t="s">
        <v>10011</v>
      </c>
      <c r="E1941" s="13" t="s">
        <v>10012</v>
      </c>
      <c r="F1941" s="13" t="s">
        <v>10013</v>
      </c>
      <c r="G1941" s="13" t="s">
        <v>10014</v>
      </c>
      <c r="H1941" s="13" t="s">
        <v>10015</v>
      </c>
    </row>
    <row r="1942" customFormat="false" ht="15" hidden="false" customHeight="true" outlineLevel="0" collapsed="false">
      <c r="A1942" s="13" t="s">
        <v>244</v>
      </c>
      <c r="B1942" s="13" t="s">
        <v>415</v>
      </c>
      <c r="C1942" s="11" t="s">
        <v>416</v>
      </c>
      <c r="D1942" s="13" t="s">
        <v>10016</v>
      </c>
      <c r="E1942" s="13" t="s">
        <v>10017</v>
      </c>
      <c r="F1942" s="13" t="s">
        <v>10018</v>
      </c>
      <c r="G1942" s="13" t="s">
        <v>10019</v>
      </c>
      <c r="H1942" s="13" t="s">
        <v>10020</v>
      </c>
    </row>
    <row r="1943" customFormat="false" ht="15" hidden="false" customHeight="true" outlineLevel="0" collapsed="false">
      <c r="A1943" s="13" t="s">
        <v>244</v>
      </c>
      <c r="B1943" s="13" t="s">
        <v>422</v>
      </c>
      <c r="C1943" s="11" t="s">
        <v>423</v>
      </c>
      <c r="D1943" s="13" t="s">
        <v>10021</v>
      </c>
      <c r="E1943" s="13" t="s">
        <v>10022</v>
      </c>
      <c r="F1943" s="13" t="s">
        <v>10023</v>
      </c>
      <c r="G1943" s="13" t="s">
        <v>10024</v>
      </c>
      <c r="H1943" s="13" t="s">
        <v>10025</v>
      </c>
    </row>
    <row r="1944" customFormat="false" ht="15" hidden="false" customHeight="true" outlineLevel="0" collapsed="false">
      <c r="A1944" s="13" t="s">
        <v>244</v>
      </c>
      <c r="B1944" s="13" t="s">
        <v>429</v>
      </c>
      <c r="C1944" s="11" t="s">
        <v>430</v>
      </c>
      <c r="D1944" s="13" t="s">
        <v>3106</v>
      </c>
      <c r="E1944" s="13" t="s">
        <v>10026</v>
      </c>
      <c r="F1944" s="13" t="s">
        <v>10027</v>
      </c>
      <c r="G1944" s="13" t="s">
        <v>10028</v>
      </c>
      <c r="H1944" s="13" t="s">
        <v>10029</v>
      </c>
    </row>
    <row r="1945" customFormat="false" ht="15" hidden="false" customHeight="true" outlineLevel="0" collapsed="false">
      <c r="A1945" s="13" t="s">
        <v>244</v>
      </c>
      <c r="B1945" s="13" t="s">
        <v>436</v>
      </c>
      <c r="C1945" s="11" t="s">
        <v>437</v>
      </c>
      <c r="D1945" s="13" t="s">
        <v>10030</v>
      </c>
      <c r="E1945" s="13" t="s">
        <v>5990</v>
      </c>
      <c r="F1945" s="13" t="s">
        <v>10031</v>
      </c>
      <c r="G1945" s="13" t="s">
        <v>10032</v>
      </c>
      <c r="H1945" s="13" t="s">
        <v>10033</v>
      </c>
    </row>
    <row r="1946" customFormat="false" ht="15" hidden="false" customHeight="true" outlineLevel="0" collapsed="false">
      <c r="A1946" s="13" t="s">
        <v>244</v>
      </c>
      <c r="B1946" s="13" t="s">
        <v>443</v>
      </c>
      <c r="C1946" s="11" t="s">
        <v>444</v>
      </c>
      <c r="D1946" s="13" t="s">
        <v>10034</v>
      </c>
      <c r="E1946" s="13" t="s">
        <v>10035</v>
      </c>
      <c r="F1946" s="13" t="s">
        <v>10036</v>
      </c>
      <c r="G1946" s="13" t="s">
        <v>10037</v>
      </c>
      <c r="H1946" s="13" t="s">
        <v>10038</v>
      </c>
    </row>
    <row r="1947" customFormat="false" ht="15" hidden="false" customHeight="true" outlineLevel="0" collapsed="false">
      <c r="A1947" s="13" t="s">
        <v>244</v>
      </c>
      <c r="B1947" s="13" t="s">
        <v>450</v>
      </c>
      <c r="C1947" s="11" t="s">
        <v>451</v>
      </c>
      <c r="D1947" s="13" t="s">
        <v>10039</v>
      </c>
      <c r="E1947" s="13" t="s">
        <v>10040</v>
      </c>
      <c r="F1947" s="13" t="s">
        <v>10041</v>
      </c>
      <c r="G1947" s="13" t="s">
        <v>10042</v>
      </c>
      <c r="H1947" s="13" t="s">
        <v>10043</v>
      </c>
    </row>
    <row r="1948" customFormat="false" ht="15" hidden="false" customHeight="true" outlineLevel="0" collapsed="false">
      <c r="A1948" s="13" t="s">
        <v>244</v>
      </c>
      <c r="B1948" s="13" t="s">
        <v>457</v>
      </c>
      <c r="C1948" s="11" t="s">
        <v>458</v>
      </c>
      <c r="D1948" s="13" t="s">
        <v>10044</v>
      </c>
      <c r="E1948" s="13" t="s">
        <v>10045</v>
      </c>
      <c r="F1948" s="13" t="s">
        <v>10046</v>
      </c>
      <c r="G1948" s="13" t="s">
        <v>10047</v>
      </c>
      <c r="H1948" s="13" t="s">
        <v>10048</v>
      </c>
    </row>
    <row r="1949" customFormat="false" ht="15" hidden="false" customHeight="true" outlineLevel="0" collapsed="false">
      <c r="A1949" s="13" t="s">
        <v>244</v>
      </c>
      <c r="B1949" s="13" t="s">
        <v>464</v>
      </c>
      <c r="C1949" s="11" t="s">
        <v>465</v>
      </c>
      <c r="D1949" s="13" t="s">
        <v>10049</v>
      </c>
      <c r="E1949" s="13" t="s">
        <v>10050</v>
      </c>
      <c r="F1949" s="13" t="s">
        <v>10051</v>
      </c>
      <c r="G1949" s="13" t="s">
        <v>10052</v>
      </c>
      <c r="H1949" s="13" t="s">
        <v>10053</v>
      </c>
    </row>
    <row r="1950" customFormat="false" ht="15" hidden="false" customHeight="true" outlineLevel="0" collapsed="false">
      <c r="A1950" s="13" t="s">
        <v>244</v>
      </c>
      <c r="B1950" s="13" t="s">
        <v>471</v>
      </c>
      <c r="C1950" s="11" t="s">
        <v>472</v>
      </c>
      <c r="D1950" s="13" t="s">
        <v>10054</v>
      </c>
      <c r="E1950" s="13" t="s">
        <v>10055</v>
      </c>
      <c r="F1950" s="13" t="s">
        <v>10056</v>
      </c>
      <c r="G1950" s="13" t="s">
        <v>10057</v>
      </c>
      <c r="H1950" s="13" t="s">
        <v>10058</v>
      </c>
    </row>
    <row r="1951" customFormat="false" ht="15" hidden="false" customHeight="true" outlineLevel="0" collapsed="false">
      <c r="A1951" s="13" t="s">
        <v>244</v>
      </c>
      <c r="B1951" s="13" t="s">
        <v>478</v>
      </c>
      <c r="C1951" s="11" t="s">
        <v>479</v>
      </c>
      <c r="D1951" s="13" t="s">
        <v>10059</v>
      </c>
      <c r="E1951" s="13" t="s">
        <v>10060</v>
      </c>
      <c r="F1951" s="13" t="s">
        <v>10061</v>
      </c>
      <c r="G1951" s="13" t="s">
        <v>10062</v>
      </c>
      <c r="H1951" s="13" t="s">
        <v>10063</v>
      </c>
    </row>
    <row r="1952" customFormat="false" ht="15" hidden="false" customHeight="true" outlineLevel="0" collapsed="false">
      <c r="A1952" s="13" t="s">
        <v>244</v>
      </c>
      <c r="B1952" s="13" t="s">
        <v>485</v>
      </c>
      <c r="C1952" s="11" t="s">
        <v>486</v>
      </c>
      <c r="D1952" s="13" t="s">
        <v>10064</v>
      </c>
      <c r="E1952" s="13" t="s">
        <v>10065</v>
      </c>
      <c r="F1952" s="13" t="s">
        <v>10066</v>
      </c>
      <c r="G1952" s="13" t="s">
        <v>10067</v>
      </c>
      <c r="H1952" s="13" t="s">
        <v>10068</v>
      </c>
    </row>
    <row r="1953" customFormat="false" ht="15" hidden="false" customHeight="true" outlineLevel="0" collapsed="false">
      <c r="A1953" s="13" t="s">
        <v>244</v>
      </c>
      <c r="B1953" s="13" t="s">
        <v>492</v>
      </c>
      <c r="C1953" s="11" t="s">
        <v>493</v>
      </c>
      <c r="D1953" s="13" t="s">
        <v>10069</v>
      </c>
      <c r="E1953" s="13" t="s">
        <v>10070</v>
      </c>
      <c r="F1953" s="13" t="s">
        <v>10071</v>
      </c>
      <c r="G1953" s="13" t="s">
        <v>10072</v>
      </c>
      <c r="H1953" s="13" t="s">
        <v>10073</v>
      </c>
    </row>
    <row r="1954" customFormat="false" ht="15" hidden="false" customHeight="true" outlineLevel="0" collapsed="false">
      <c r="A1954" s="13" t="s">
        <v>244</v>
      </c>
      <c r="B1954" s="13" t="s">
        <v>499</v>
      </c>
      <c r="C1954" s="11" t="s">
        <v>500</v>
      </c>
      <c r="D1954" s="13" t="s">
        <v>10074</v>
      </c>
      <c r="E1954" s="13" t="s">
        <v>10075</v>
      </c>
      <c r="F1954" s="13" t="s">
        <v>10076</v>
      </c>
      <c r="G1954" s="13" t="s">
        <v>10077</v>
      </c>
      <c r="H1954" s="13" t="s">
        <v>10078</v>
      </c>
    </row>
    <row r="1955" customFormat="false" ht="15" hidden="false" customHeight="true" outlineLevel="0" collapsed="false">
      <c r="A1955" s="13" t="s">
        <v>244</v>
      </c>
      <c r="B1955" s="13" t="s">
        <v>506</v>
      </c>
      <c r="C1955" s="11" t="s">
        <v>507</v>
      </c>
      <c r="D1955" s="13" t="s">
        <v>10079</v>
      </c>
      <c r="E1955" s="13" t="s">
        <v>10080</v>
      </c>
      <c r="F1955" s="13" t="s">
        <v>10081</v>
      </c>
      <c r="G1955" s="13" t="s">
        <v>10082</v>
      </c>
      <c r="H1955" s="13" t="s">
        <v>10083</v>
      </c>
    </row>
    <row r="1956" customFormat="false" ht="15" hidden="false" customHeight="true" outlineLevel="0" collapsed="false">
      <c r="A1956" s="13" t="s">
        <v>244</v>
      </c>
      <c r="B1956" s="13" t="s">
        <v>513</v>
      </c>
      <c r="C1956" s="11" t="s">
        <v>514</v>
      </c>
      <c r="D1956" s="13" t="s">
        <v>10084</v>
      </c>
      <c r="E1956" s="13" t="s">
        <v>10085</v>
      </c>
      <c r="F1956" s="13" t="s">
        <v>10086</v>
      </c>
      <c r="G1956" s="13" t="s">
        <v>10087</v>
      </c>
      <c r="H1956" s="13" t="s">
        <v>10088</v>
      </c>
    </row>
    <row r="1957" customFormat="false" ht="15" hidden="false" customHeight="true" outlineLevel="0" collapsed="false">
      <c r="A1957" s="13" t="s">
        <v>244</v>
      </c>
      <c r="B1957" s="13" t="s">
        <v>520</v>
      </c>
      <c r="C1957" s="11" t="s">
        <v>521</v>
      </c>
      <c r="D1957" s="13" t="s">
        <v>10089</v>
      </c>
      <c r="E1957" s="13" t="s">
        <v>10090</v>
      </c>
      <c r="F1957" s="13" t="s">
        <v>10091</v>
      </c>
      <c r="G1957" s="13" t="s">
        <v>10092</v>
      </c>
      <c r="H1957" s="13" t="s">
        <v>10093</v>
      </c>
    </row>
    <row r="1958" customFormat="false" ht="15" hidden="false" customHeight="true" outlineLevel="0" collapsed="false">
      <c r="A1958" s="13" t="s">
        <v>244</v>
      </c>
      <c r="B1958" s="13" t="s">
        <v>527</v>
      </c>
      <c r="C1958" s="11" t="s">
        <v>528</v>
      </c>
      <c r="D1958" s="13" t="s">
        <v>10094</v>
      </c>
      <c r="E1958" s="13" t="s">
        <v>10095</v>
      </c>
      <c r="F1958" s="13" t="s">
        <v>10096</v>
      </c>
      <c r="G1958" s="13" t="s">
        <v>10097</v>
      </c>
      <c r="H1958" s="13" t="s">
        <v>10098</v>
      </c>
    </row>
    <row r="1959" customFormat="false" ht="15" hidden="false" customHeight="true" outlineLevel="0" collapsed="false">
      <c r="A1959" s="13" t="s">
        <v>244</v>
      </c>
      <c r="B1959" s="13" t="s">
        <v>534</v>
      </c>
      <c r="C1959" s="11" t="s">
        <v>535</v>
      </c>
      <c r="D1959" s="13" t="s">
        <v>10099</v>
      </c>
      <c r="E1959" s="13" t="s">
        <v>10100</v>
      </c>
      <c r="F1959" s="13" t="s">
        <v>10101</v>
      </c>
      <c r="G1959" s="13" t="s">
        <v>10102</v>
      </c>
      <c r="H1959" s="13" t="s">
        <v>10103</v>
      </c>
    </row>
    <row r="1960" customFormat="false" ht="15" hidden="false" customHeight="true" outlineLevel="0" collapsed="false">
      <c r="A1960" s="13" t="s">
        <v>244</v>
      </c>
      <c r="B1960" s="13" t="s">
        <v>541</v>
      </c>
      <c r="C1960" s="11" t="s">
        <v>542</v>
      </c>
      <c r="D1960" s="13" t="s">
        <v>10104</v>
      </c>
      <c r="E1960" s="13" t="s">
        <v>10105</v>
      </c>
      <c r="F1960" s="13" t="s">
        <v>10106</v>
      </c>
      <c r="G1960" s="13" t="s">
        <v>10107</v>
      </c>
      <c r="H1960" s="13" t="s">
        <v>10108</v>
      </c>
    </row>
    <row r="1961" customFormat="false" ht="15" hidden="false" customHeight="true" outlineLevel="0" collapsed="false">
      <c r="A1961" s="13" t="s">
        <v>244</v>
      </c>
      <c r="B1961" s="13" t="s">
        <v>548</v>
      </c>
      <c r="C1961" s="11" t="s">
        <v>549</v>
      </c>
      <c r="D1961" s="13" t="s">
        <v>10109</v>
      </c>
      <c r="E1961" s="13" t="s">
        <v>10110</v>
      </c>
      <c r="F1961" s="13" t="s">
        <v>10111</v>
      </c>
      <c r="G1961" s="13" t="s">
        <v>10112</v>
      </c>
      <c r="H1961" s="13" t="s">
        <v>10113</v>
      </c>
    </row>
    <row r="1962" customFormat="false" ht="15" hidden="false" customHeight="true" outlineLevel="0" collapsed="false">
      <c r="A1962" s="13" t="s">
        <v>244</v>
      </c>
      <c r="B1962" s="13" t="s">
        <v>555</v>
      </c>
      <c r="C1962" s="11" t="s">
        <v>556</v>
      </c>
      <c r="D1962" s="13" t="s">
        <v>10114</v>
      </c>
      <c r="E1962" s="13" t="s">
        <v>10115</v>
      </c>
      <c r="F1962" s="13" t="s">
        <v>10116</v>
      </c>
      <c r="G1962" s="13" t="s">
        <v>10117</v>
      </c>
      <c r="H1962" s="13" t="s">
        <v>10118</v>
      </c>
    </row>
    <row r="1963" customFormat="false" ht="15" hidden="false" customHeight="true" outlineLevel="0" collapsed="false">
      <c r="A1963" s="13" t="s">
        <v>244</v>
      </c>
      <c r="B1963" s="13" t="s">
        <v>562</v>
      </c>
      <c r="C1963" s="11" t="s">
        <v>563</v>
      </c>
      <c r="D1963" s="13" t="s">
        <v>10119</v>
      </c>
      <c r="E1963" s="13" t="s">
        <v>10120</v>
      </c>
      <c r="F1963" s="13" t="s">
        <v>10121</v>
      </c>
      <c r="G1963" s="13" t="s">
        <v>10122</v>
      </c>
      <c r="H1963" s="13" t="s">
        <v>10123</v>
      </c>
    </row>
    <row r="1964" customFormat="false" ht="15" hidden="false" customHeight="true" outlineLevel="0" collapsed="false">
      <c r="A1964" s="13" t="s">
        <v>244</v>
      </c>
      <c r="B1964" s="13" t="s">
        <v>569</v>
      </c>
      <c r="C1964" s="11" t="s">
        <v>570</v>
      </c>
      <c r="D1964" s="13" t="s">
        <v>10124</v>
      </c>
      <c r="E1964" s="13" t="s">
        <v>10125</v>
      </c>
      <c r="F1964" s="13" t="s">
        <v>1292</v>
      </c>
      <c r="G1964" s="13" t="s">
        <v>10126</v>
      </c>
      <c r="H1964" s="13" t="s">
        <v>10127</v>
      </c>
    </row>
    <row r="1965" customFormat="false" ht="15" hidden="false" customHeight="true" outlineLevel="0" collapsed="false">
      <c r="A1965" s="13" t="s">
        <v>244</v>
      </c>
      <c r="B1965" s="13" t="s">
        <v>576</v>
      </c>
      <c r="C1965" s="11" t="s">
        <v>577</v>
      </c>
      <c r="D1965" s="13" t="s">
        <v>10128</v>
      </c>
      <c r="E1965" s="13" t="s">
        <v>10129</v>
      </c>
      <c r="F1965" s="13" t="s">
        <v>10130</v>
      </c>
      <c r="G1965" s="13" t="s">
        <v>10131</v>
      </c>
      <c r="H1965" s="13" t="s">
        <v>10132</v>
      </c>
    </row>
    <row r="1966" customFormat="false" ht="15" hidden="false" customHeight="true" outlineLevel="0" collapsed="false">
      <c r="A1966" s="13" t="s">
        <v>244</v>
      </c>
      <c r="B1966" s="13" t="s">
        <v>583</v>
      </c>
      <c r="C1966" s="11" t="s">
        <v>584</v>
      </c>
      <c r="D1966" s="13" t="s">
        <v>10133</v>
      </c>
      <c r="E1966" s="13" t="s">
        <v>10134</v>
      </c>
      <c r="F1966" s="13" t="s">
        <v>10135</v>
      </c>
      <c r="G1966" s="13" t="s">
        <v>10136</v>
      </c>
      <c r="H1966" s="13" t="s">
        <v>10137</v>
      </c>
    </row>
    <row r="1967" customFormat="false" ht="15" hidden="false" customHeight="true" outlineLevel="0" collapsed="false">
      <c r="A1967" s="13" t="s">
        <v>244</v>
      </c>
      <c r="B1967" s="13" t="s">
        <v>590</v>
      </c>
      <c r="C1967" s="11" t="s">
        <v>591</v>
      </c>
      <c r="D1967" s="13" t="s">
        <v>10138</v>
      </c>
      <c r="E1967" s="13" t="s">
        <v>10139</v>
      </c>
      <c r="F1967" s="13" t="s">
        <v>10140</v>
      </c>
      <c r="G1967" s="13" t="s">
        <v>10141</v>
      </c>
      <c r="H1967" s="13" t="s">
        <v>10142</v>
      </c>
    </row>
    <row r="1968" customFormat="false" ht="15" hidden="false" customHeight="true" outlineLevel="0" collapsed="false">
      <c r="A1968" s="13" t="s">
        <v>244</v>
      </c>
      <c r="B1968" s="13" t="s">
        <v>597</v>
      </c>
      <c r="C1968" s="11" t="s">
        <v>598</v>
      </c>
      <c r="D1968" s="13" t="s">
        <v>10143</v>
      </c>
      <c r="E1968" s="13" t="s">
        <v>10144</v>
      </c>
      <c r="F1968" s="13" t="s">
        <v>10145</v>
      </c>
      <c r="G1968" s="13" t="s">
        <v>10146</v>
      </c>
      <c r="H1968" s="13" t="s">
        <v>10147</v>
      </c>
    </row>
    <row r="1969" customFormat="false" ht="15" hidden="false" customHeight="true" outlineLevel="0" collapsed="false">
      <c r="A1969" s="13" t="s">
        <v>244</v>
      </c>
      <c r="B1969" s="13" t="s">
        <v>604</v>
      </c>
      <c r="C1969" s="11" t="s">
        <v>605</v>
      </c>
      <c r="D1969" s="13" t="s">
        <v>10148</v>
      </c>
      <c r="E1969" s="13" t="s">
        <v>10149</v>
      </c>
      <c r="F1969" s="13" t="s">
        <v>10150</v>
      </c>
      <c r="G1969" s="13" t="s">
        <v>10151</v>
      </c>
      <c r="H1969" s="13" t="s">
        <v>10152</v>
      </c>
    </row>
    <row r="1970" customFormat="false" ht="15" hidden="false" customHeight="true" outlineLevel="0" collapsed="false">
      <c r="A1970" s="13" t="s">
        <v>244</v>
      </c>
      <c r="B1970" s="13" t="s">
        <v>611</v>
      </c>
      <c r="C1970" s="11" t="s">
        <v>612</v>
      </c>
      <c r="D1970" s="13" t="s">
        <v>10153</v>
      </c>
      <c r="E1970" s="13" t="s">
        <v>10154</v>
      </c>
      <c r="F1970" s="13" t="s">
        <v>10155</v>
      </c>
      <c r="G1970" s="13" t="s">
        <v>10156</v>
      </c>
      <c r="H1970" s="13" t="s">
        <v>10157</v>
      </c>
    </row>
    <row r="1971" customFormat="false" ht="15" hidden="false" customHeight="true" outlineLevel="0" collapsed="false">
      <c r="A1971" s="13" t="s">
        <v>244</v>
      </c>
      <c r="B1971" s="13" t="s">
        <v>618</v>
      </c>
      <c r="C1971" s="11" t="s">
        <v>619</v>
      </c>
      <c r="D1971" s="13" t="s">
        <v>10158</v>
      </c>
      <c r="E1971" s="13" t="s">
        <v>10159</v>
      </c>
      <c r="F1971" s="13" t="s">
        <v>10160</v>
      </c>
      <c r="G1971" s="13" t="s">
        <v>10161</v>
      </c>
      <c r="H1971" s="13" t="s">
        <v>10162</v>
      </c>
    </row>
    <row r="1972" customFormat="false" ht="15" hidden="false" customHeight="true" outlineLevel="0" collapsed="false">
      <c r="A1972" s="13" t="s">
        <v>244</v>
      </c>
      <c r="B1972" s="13" t="s">
        <v>625</v>
      </c>
      <c r="C1972" s="11" t="s">
        <v>626</v>
      </c>
      <c r="D1972" s="13" t="s">
        <v>10163</v>
      </c>
      <c r="E1972" s="13" t="s">
        <v>10164</v>
      </c>
      <c r="F1972" s="13" t="s">
        <v>10165</v>
      </c>
      <c r="G1972" s="13" t="s">
        <v>10166</v>
      </c>
      <c r="H1972" s="13" t="s">
        <v>10167</v>
      </c>
    </row>
    <row r="1973" customFormat="false" ht="15" hidden="false" customHeight="true" outlineLevel="0" collapsed="false">
      <c r="A1973" s="13" t="s">
        <v>244</v>
      </c>
      <c r="B1973" s="13" t="s">
        <v>632</v>
      </c>
      <c r="C1973" s="11" t="s">
        <v>633</v>
      </c>
      <c r="D1973" s="13" t="s">
        <v>10168</v>
      </c>
      <c r="E1973" s="13" t="s">
        <v>10169</v>
      </c>
      <c r="F1973" s="13" t="s">
        <v>10170</v>
      </c>
      <c r="G1973" s="13" t="s">
        <v>10171</v>
      </c>
      <c r="H1973" s="13" t="s">
        <v>10172</v>
      </c>
    </row>
    <row r="1974" customFormat="false" ht="15" hidden="false" customHeight="true" outlineLevel="0" collapsed="false">
      <c r="A1974" s="13" t="s">
        <v>244</v>
      </c>
      <c r="B1974" s="13" t="s">
        <v>639</v>
      </c>
      <c r="C1974" s="11" t="s">
        <v>640</v>
      </c>
      <c r="D1974" s="13" t="s">
        <v>9722</v>
      </c>
      <c r="E1974" s="13" t="s">
        <v>10173</v>
      </c>
      <c r="F1974" s="13" t="s">
        <v>10174</v>
      </c>
      <c r="G1974" s="13" t="s">
        <v>10175</v>
      </c>
      <c r="H1974" s="13" t="s">
        <v>10176</v>
      </c>
    </row>
    <row r="1975" customFormat="false" ht="15" hidden="false" customHeight="true" outlineLevel="0" collapsed="false">
      <c r="A1975" s="13" t="s">
        <v>244</v>
      </c>
      <c r="B1975" s="13" t="s">
        <v>646</v>
      </c>
      <c r="C1975" s="11" t="s">
        <v>647</v>
      </c>
      <c r="D1975" s="13" t="s">
        <v>10177</v>
      </c>
      <c r="E1975" s="13" t="s">
        <v>10178</v>
      </c>
      <c r="F1975" s="13" t="s">
        <v>10179</v>
      </c>
      <c r="G1975" s="13" t="s">
        <v>10180</v>
      </c>
      <c r="H1975" s="13" t="s">
        <v>10181</v>
      </c>
    </row>
    <row r="1976" customFormat="false" ht="15" hidden="false" customHeight="true" outlineLevel="0" collapsed="false">
      <c r="A1976" s="13" t="s">
        <v>244</v>
      </c>
      <c r="B1976" s="13" t="s">
        <v>653</v>
      </c>
      <c r="C1976" s="11" t="s">
        <v>654</v>
      </c>
      <c r="D1976" s="13" t="s">
        <v>3629</v>
      </c>
      <c r="E1976" s="13" t="s">
        <v>10182</v>
      </c>
      <c r="F1976" s="13" t="s">
        <v>10183</v>
      </c>
      <c r="G1976" s="13" t="s">
        <v>2234</v>
      </c>
      <c r="H1976" s="13" t="s">
        <v>10184</v>
      </c>
    </row>
    <row r="1977" customFormat="false" ht="15" hidden="false" customHeight="true" outlineLevel="0" collapsed="false">
      <c r="A1977" s="13" t="s">
        <v>244</v>
      </c>
      <c r="B1977" s="13" t="s">
        <v>660</v>
      </c>
      <c r="C1977" s="11" t="s">
        <v>661</v>
      </c>
      <c r="D1977" s="13" t="s">
        <v>662</v>
      </c>
      <c r="E1977" s="13" t="s">
        <v>10185</v>
      </c>
      <c r="F1977" s="13" t="s">
        <v>8174</v>
      </c>
      <c r="G1977" s="13" t="s">
        <v>10186</v>
      </c>
      <c r="H1977" s="13" t="s">
        <v>10187</v>
      </c>
    </row>
    <row r="1978" customFormat="false" ht="15" hidden="false" customHeight="true" outlineLevel="0" collapsed="false">
      <c r="A1978" s="13" t="s">
        <v>244</v>
      </c>
      <c r="B1978" s="13" t="s">
        <v>667</v>
      </c>
      <c r="C1978" s="11" t="s">
        <v>668</v>
      </c>
      <c r="D1978" s="13" t="s">
        <v>10188</v>
      </c>
      <c r="E1978" s="13" t="s">
        <v>10189</v>
      </c>
      <c r="F1978" s="13" t="s">
        <v>10190</v>
      </c>
      <c r="G1978" s="13" t="s">
        <v>10191</v>
      </c>
      <c r="H1978" s="13" t="s">
        <v>10192</v>
      </c>
    </row>
    <row r="1979" customFormat="false" ht="15" hidden="false" customHeight="true" outlineLevel="0" collapsed="false">
      <c r="A1979" s="13" t="s">
        <v>244</v>
      </c>
      <c r="B1979" s="13" t="s">
        <v>674</v>
      </c>
      <c r="C1979" s="11" t="s">
        <v>675</v>
      </c>
      <c r="D1979" s="13" t="s">
        <v>10193</v>
      </c>
      <c r="E1979" s="13" t="s">
        <v>10194</v>
      </c>
      <c r="F1979" s="13" t="s">
        <v>10195</v>
      </c>
      <c r="G1979" s="13" t="s">
        <v>10196</v>
      </c>
      <c r="H1979" s="13" t="s">
        <v>10197</v>
      </c>
    </row>
    <row r="1980" customFormat="false" ht="15" hidden="false" customHeight="true" outlineLevel="0" collapsed="false">
      <c r="A1980" s="13" t="s">
        <v>244</v>
      </c>
      <c r="B1980" s="13" t="s">
        <v>681</v>
      </c>
      <c r="C1980" s="11" t="s">
        <v>682</v>
      </c>
      <c r="D1980" s="13" t="s">
        <v>10198</v>
      </c>
      <c r="E1980" s="13" t="s">
        <v>10199</v>
      </c>
      <c r="F1980" s="13" t="s">
        <v>10200</v>
      </c>
      <c r="G1980" s="13" t="s">
        <v>2357</v>
      </c>
      <c r="H1980" s="13" t="s">
        <v>10201</v>
      </c>
    </row>
    <row r="1981" customFormat="false" ht="15" hidden="false" customHeight="true" outlineLevel="0" collapsed="false">
      <c r="A1981" s="13" t="s">
        <v>244</v>
      </c>
      <c r="B1981" s="13" t="s">
        <v>688</v>
      </c>
      <c r="C1981" s="11" t="s">
        <v>689</v>
      </c>
      <c r="D1981" s="13" t="s">
        <v>10202</v>
      </c>
      <c r="E1981" s="13" t="s">
        <v>10203</v>
      </c>
      <c r="F1981" s="13" t="s">
        <v>3615</v>
      </c>
      <c r="G1981" s="13" t="s">
        <v>10204</v>
      </c>
      <c r="H1981" s="13" t="s">
        <v>10205</v>
      </c>
    </row>
    <row r="1982" customFormat="false" ht="15" hidden="false" customHeight="true" outlineLevel="0" collapsed="false">
      <c r="A1982" s="13" t="s">
        <v>244</v>
      </c>
      <c r="B1982" s="13" t="s">
        <v>695</v>
      </c>
      <c r="C1982" s="11" t="s">
        <v>696</v>
      </c>
      <c r="D1982" s="13" t="s">
        <v>10206</v>
      </c>
      <c r="E1982" s="13" t="s">
        <v>10207</v>
      </c>
      <c r="F1982" s="13" t="s">
        <v>10208</v>
      </c>
      <c r="G1982" s="13" t="s">
        <v>10209</v>
      </c>
      <c r="H1982" s="13" t="s">
        <v>10210</v>
      </c>
    </row>
    <row r="1983" customFormat="false" ht="15" hidden="false" customHeight="true" outlineLevel="0" collapsed="false">
      <c r="A1983" s="13" t="s">
        <v>244</v>
      </c>
      <c r="B1983" s="13" t="s">
        <v>702</v>
      </c>
      <c r="C1983" s="11" t="s">
        <v>703</v>
      </c>
      <c r="D1983" s="13" t="s">
        <v>10211</v>
      </c>
      <c r="E1983" s="13" t="s">
        <v>10212</v>
      </c>
      <c r="F1983" s="13" t="s">
        <v>10213</v>
      </c>
      <c r="G1983" s="13" t="s">
        <v>10214</v>
      </c>
      <c r="H1983" s="13" t="s">
        <v>10215</v>
      </c>
    </row>
    <row r="1984" customFormat="false" ht="15" hidden="false" customHeight="true" outlineLevel="0" collapsed="false">
      <c r="A1984" s="13" t="s">
        <v>244</v>
      </c>
      <c r="B1984" s="13" t="s">
        <v>709</v>
      </c>
      <c r="C1984" s="11" t="s">
        <v>710</v>
      </c>
      <c r="D1984" s="13" t="s">
        <v>10216</v>
      </c>
      <c r="E1984" s="13" t="s">
        <v>10217</v>
      </c>
      <c r="F1984" s="13" t="s">
        <v>10218</v>
      </c>
      <c r="G1984" s="13" t="s">
        <v>10219</v>
      </c>
      <c r="H1984" s="13" t="s">
        <v>10220</v>
      </c>
    </row>
    <row r="1985" customFormat="false" ht="15" hidden="false" customHeight="true" outlineLevel="0" collapsed="false">
      <c r="A1985" s="13" t="s">
        <v>244</v>
      </c>
      <c r="B1985" s="13" t="s">
        <v>716</v>
      </c>
      <c r="C1985" s="11" t="s">
        <v>717</v>
      </c>
      <c r="D1985" s="13" t="s">
        <v>10221</v>
      </c>
      <c r="E1985" s="13" t="s">
        <v>10222</v>
      </c>
      <c r="F1985" s="13" t="s">
        <v>10223</v>
      </c>
      <c r="G1985" s="13" t="s">
        <v>10224</v>
      </c>
      <c r="H1985" s="13" t="s">
        <v>10225</v>
      </c>
    </row>
    <row r="1986" customFormat="false" ht="15" hidden="false" customHeight="true" outlineLevel="0" collapsed="false">
      <c r="A1986" s="13" t="s">
        <v>244</v>
      </c>
      <c r="B1986" s="13" t="s">
        <v>723</v>
      </c>
      <c r="C1986" s="11" t="s">
        <v>724</v>
      </c>
      <c r="D1986" s="13" t="s">
        <v>10226</v>
      </c>
      <c r="E1986" s="13" t="s">
        <v>10227</v>
      </c>
      <c r="F1986" s="13" t="s">
        <v>10228</v>
      </c>
      <c r="G1986" s="13" t="s">
        <v>10229</v>
      </c>
      <c r="H1986" s="13" t="s">
        <v>10230</v>
      </c>
    </row>
    <row r="1987" customFormat="false" ht="15" hidden="false" customHeight="true" outlineLevel="0" collapsed="false">
      <c r="A1987" s="13" t="s">
        <v>244</v>
      </c>
      <c r="B1987" s="13" t="s">
        <v>730</v>
      </c>
      <c r="C1987" s="11" t="s">
        <v>731</v>
      </c>
      <c r="D1987" s="13" t="s">
        <v>10231</v>
      </c>
      <c r="E1987" s="13" t="s">
        <v>10232</v>
      </c>
      <c r="F1987" s="13" t="s">
        <v>10233</v>
      </c>
      <c r="G1987" s="13" t="s">
        <v>10234</v>
      </c>
      <c r="H1987" s="13" t="s">
        <v>10235</v>
      </c>
    </row>
    <row r="1988" customFormat="false" ht="15" hidden="false" customHeight="true" outlineLevel="0" collapsed="false">
      <c r="A1988" s="13" t="s">
        <v>244</v>
      </c>
      <c r="B1988" s="13" t="s">
        <v>737</v>
      </c>
      <c r="C1988" s="11" t="s">
        <v>738</v>
      </c>
      <c r="D1988" s="13" t="s">
        <v>10236</v>
      </c>
      <c r="E1988" s="13" t="s">
        <v>10237</v>
      </c>
      <c r="F1988" s="13" t="s">
        <v>10238</v>
      </c>
      <c r="G1988" s="13" t="s">
        <v>10239</v>
      </c>
      <c r="H1988" s="13" t="s">
        <v>10240</v>
      </c>
    </row>
    <row r="1989" customFormat="false" ht="15" hidden="false" customHeight="true" outlineLevel="0" collapsed="false">
      <c r="A1989" s="13" t="s">
        <v>244</v>
      </c>
      <c r="B1989" s="13" t="s">
        <v>744</v>
      </c>
      <c r="C1989" s="11" t="s">
        <v>745</v>
      </c>
      <c r="D1989" s="13" t="s">
        <v>10241</v>
      </c>
      <c r="E1989" s="13" t="s">
        <v>10242</v>
      </c>
      <c r="F1989" s="13" t="s">
        <v>10243</v>
      </c>
      <c r="G1989" s="13" t="s">
        <v>10244</v>
      </c>
      <c r="H1989" s="13" t="s">
        <v>10245</v>
      </c>
    </row>
    <row r="1990" customFormat="false" ht="15" hidden="false" customHeight="true" outlineLevel="0" collapsed="false">
      <c r="A1990" s="13" t="s">
        <v>244</v>
      </c>
      <c r="B1990" s="13" t="s">
        <v>751</v>
      </c>
      <c r="C1990" s="11" t="s">
        <v>752</v>
      </c>
      <c r="D1990" s="13" t="s">
        <v>10246</v>
      </c>
      <c r="E1990" s="13" t="s">
        <v>10247</v>
      </c>
      <c r="F1990" s="13" t="s">
        <v>10248</v>
      </c>
      <c r="G1990" s="13" t="s">
        <v>10249</v>
      </c>
      <c r="H1990" s="13" t="s">
        <v>10250</v>
      </c>
    </row>
    <row r="1991" customFormat="false" ht="15" hidden="false" customHeight="true" outlineLevel="0" collapsed="false">
      <c r="A1991" s="13" t="s">
        <v>244</v>
      </c>
      <c r="B1991" s="13" t="s">
        <v>758</v>
      </c>
      <c r="C1991" s="11" t="s">
        <v>759</v>
      </c>
      <c r="D1991" s="13" t="s">
        <v>10251</v>
      </c>
      <c r="E1991" s="13" t="s">
        <v>10252</v>
      </c>
      <c r="F1991" s="13" t="s">
        <v>10253</v>
      </c>
      <c r="G1991" s="13" t="s">
        <v>10254</v>
      </c>
      <c r="H1991" s="13" t="s">
        <v>10255</v>
      </c>
    </row>
    <row r="1992" customFormat="false" ht="15" hidden="false" customHeight="true" outlineLevel="0" collapsed="false">
      <c r="A1992" s="13" t="s">
        <v>244</v>
      </c>
      <c r="B1992" s="13" t="s">
        <v>765</v>
      </c>
      <c r="C1992" s="11" t="s">
        <v>766</v>
      </c>
      <c r="D1992" s="13" t="s">
        <v>10256</v>
      </c>
      <c r="E1992" s="13" t="s">
        <v>10257</v>
      </c>
      <c r="F1992" s="13" t="s">
        <v>10258</v>
      </c>
      <c r="G1992" s="13" t="s">
        <v>10259</v>
      </c>
      <c r="H1992" s="13" t="s">
        <v>10260</v>
      </c>
    </row>
    <row r="1993" customFormat="false" ht="15" hidden="false" customHeight="true" outlineLevel="0" collapsed="false">
      <c r="A1993" s="13" t="s">
        <v>244</v>
      </c>
      <c r="B1993" s="13" t="s">
        <v>772</v>
      </c>
      <c r="C1993" s="11" t="s">
        <v>773</v>
      </c>
      <c r="D1993" s="13" t="s">
        <v>10261</v>
      </c>
      <c r="E1993" s="13" t="s">
        <v>10262</v>
      </c>
      <c r="F1993" s="13" t="s">
        <v>10263</v>
      </c>
      <c r="G1993" s="13" t="s">
        <v>10264</v>
      </c>
      <c r="H1993" s="13" t="s">
        <v>10265</v>
      </c>
    </row>
    <row r="1994" customFormat="false" ht="15" hidden="false" customHeight="true" outlineLevel="0" collapsed="false">
      <c r="A1994" s="13" t="s">
        <v>244</v>
      </c>
      <c r="B1994" s="13" t="s">
        <v>779</v>
      </c>
      <c r="C1994" s="11" t="s">
        <v>780</v>
      </c>
      <c r="D1994" s="13" t="s">
        <v>10266</v>
      </c>
      <c r="E1994" s="13" t="s">
        <v>10267</v>
      </c>
      <c r="F1994" s="13" t="s">
        <v>10268</v>
      </c>
      <c r="G1994" s="13" t="s">
        <v>10269</v>
      </c>
      <c r="H1994" s="13" t="s">
        <v>4438</v>
      </c>
    </row>
    <row r="1995" customFormat="false" ht="15" hidden="false" customHeight="true" outlineLevel="0" collapsed="false">
      <c r="A1995" s="13" t="s">
        <v>244</v>
      </c>
      <c r="B1995" s="13" t="s">
        <v>786</v>
      </c>
      <c r="C1995" s="11" t="s">
        <v>787</v>
      </c>
      <c r="D1995" s="13" t="s">
        <v>10270</v>
      </c>
      <c r="E1995" s="13" t="s">
        <v>10271</v>
      </c>
      <c r="F1995" s="13" t="s">
        <v>10272</v>
      </c>
      <c r="G1995" s="13" t="s">
        <v>10273</v>
      </c>
      <c r="H1995" s="13" t="s">
        <v>10274</v>
      </c>
    </row>
    <row r="1996" customFormat="false" ht="15" hidden="false" customHeight="true" outlineLevel="0" collapsed="false">
      <c r="A1996" s="13" t="s">
        <v>244</v>
      </c>
      <c r="B1996" s="13" t="s">
        <v>793</v>
      </c>
      <c r="C1996" s="11" t="s">
        <v>794</v>
      </c>
      <c r="D1996" s="13" t="s">
        <v>10275</v>
      </c>
      <c r="E1996" s="13" t="s">
        <v>10276</v>
      </c>
      <c r="F1996" s="13" t="s">
        <v>10277</v>
      </c>
      <c r="G1996" s="13" t="s">
        <v>10278</v>
      </c>
      <c r="H1996" s="13" t="s">
        <v>7203</v>
      </c>
    </row>
    <row r="1997" customFormat="false" ht="15" hidden="false" customHeight="true" outlineLevel="0" collapsed="false">
      <c r="A1997" s="13" t="s">
        <v>244</v>
      </c>
      <c r="B1997" s="13" t="s">
        <v>800</v>
      </c>
      <c r="C1997" s="11" t="s">
        <v>801</v>
      </c>
      <c r="D1997" s="13" t="s">
        <v>1495</v>
      </c>
      <c r="E1997" s="13" t="s">
        <v>10279</v>
      </c>
      <c r="F1997" s="13" t="s">
        <v>10280</v>
      </c>
      <c r="G1997" s="13" t="s">
        <v>10281</v>
      </c>
      <c r="H1997" s="13" t="s">
        <v>10282</v>
      </c>
    </row>
    <row r="1998" customFormat="false" ht="15" hidden="false" customHeight="true" outlineLevel="0" collapsed="false">
      <c r="A1998" s="13" t="s">
        <v>244</v>
      </c>
      <c r="B1998" s="13" t="s">
        <v>806</v>
      </c>
      <c r="C1998" s="11" t="s">
        <v>807</v>
      </c>
      <c r="D1998" s="13" t="s">
        <v>1744</v>
      </c>
      <c r="E1998" s="13" t="s">
        <v>6934</v>
      </c>
      <c r="F1998" s="13" t="s">
        <v>10283</v>
      </c>
      <c r="G1998" s="13" t="s">
        <v>10284</v>
      </c>
      <c r="H1998" s="13" t="s">
        <v>10285</v>
      </c>
    </row>
    <row r="1999" customFormat="false" ht="15" hidden="false" customHeight="true" outlineLevel="0" collapsed="false">
      <c r="A1999" s="13" t="s">
        <v>244</v>
      </c>
      <c r="B1999" s="13" t="s">
        <v>813</v>
      </c>
      <c r="C1999" s="11" t="s">
        <v>814</v>
      </c>
      <c r="D1999" s="13" t="s">
        <v>10286</v>
      </c>
      <c r="E1999" s="13" t="s">
        <v>10287</v>
      </c>
      <c r="F1999" s="13" t="s">
        <v>10288</v>
      </c>
      <c r="G1999" s="13" t="s">
        <v>10289</v>
      </c>
      <c r="H1999" s="13" t="s">
        <v>10290</v>
      </c>
    </row>
    <row r="2000" customFormat="false" ht="15" hidden="false" customHeight="true" outlineLevel="0" collapsed="false">
      <c r="A2000" s="13" t="s">
        <v>244</v>
      </c>
      <c r="B2000" s="13" t="s">
        <v>820</v>
      </c>
      <c r="C2000" s="11" t="s">
        <v>821</v>
      </c>
      <c r="D2000" s="13" t="s">
        <v>10291</v>
      </c>
      <c r="E2000" s="13" t="s">
        <v>10292</v>
      </c>
      <c r="F2000" s="13" t="s">
        <v>10293</v>
      </c>
      <c r="G2000" s="13" t="s">
        <v>10294</v>
      </c>
      <c r="H2000" s="13" t="s">
        <v>10295</v>
      </c>
    </row>
    <row r="2001" customFormat="false" ht="15" hidden="false" customHeight="true" outlineLevel="0" collapsed="false">
      <c r="A2001" s="13" t="s">
        <v>244</v>
      </c>
      <c r="B2001" s="13" t="s">
        <v>827</v>
      </c>
      <c r="C2001" s="11" t="s">
        <v>828</v>
      </c>
      <c r="D2001" s="13" t="s">
        <v>10296</v>
      </c>
      <c r="E2001" s="13" t="s">
        <v>10297</v>
      </c>
      <c r="F2001" s="13" t="s">
        <v>10298</v>
      </c>
      <c r="G2001" s="13" t="s">
        <v>10299</v>
      </c>
      <c r="H2001" s="13" t="s">
        <v>10300</v>
      </c>
    </row>
    <row r="2002" customFormat="false" ht="15" hidden="false" customHeight="true" outlineLevel="0" collapsed="false">
      <c r="A2002" s="13" t="s">
        <v>244</v>
      </c>
      <c r="B2002" s="13" t="s">
        <v>834</v>
      </c>
      <c r="C2002" s="11" t="s">
        <v>835</v>
      </c>
      <c r="D2002" s="13" t="s">
        <v>10301</v>
      </c>
      <c r="E2002" s="13" t="s">
        <v>10302</v>
      </c>
      <c r="F2002" s="13" t="s">
        <v>10303</v>
      </c>
      <c r="G2002" s="13" t="s">
        <v>10304</v>
      </c>
      <c r="H2002" s="13" t="s">
        <v>10305</v>
      </c>
    </row>
    <row r="2003" customFormat="false" ht="15" hidden="false" customHeight="true" outlineLevel="0" collapsed="false">
      <c r="A2003" s="13" t="s">
        <v>244</v>
      </c>
      <c r="B2003" s="13" t="s">
        <v>841</v>
      </c>
      <c r="C2003" s="11" t="s">
        <v>842</v>
      </c>
      <c r="D2003" s="13" t="s">
        <v>10306</v>
      </c>
      <c r="E2003" s="13" t="s">
        <v>10307</v>
      </c>
      <c r="F2003" s="13" t="s">
        <v>10308</v>
      </c>
      <c r="G2003" s="13" t="s">
        <v>10309</v>
      </c>
      <c r="H2003" s="13" t="s">
        <v>10310</v>
      </c>
    </row>
    <row r="2004" customFormat="false" ht="15" hidden="false" customHeight="true" outlineLevel="0" collapsed="false">
      <c r="A2004" s="13" t="s">
        <v>244</v>
      </c>
      <c r="B2004" s="13" t="s">
        <v>848</v>
      </c>
      <c r="C2004" s="11" t="s">
        <v>849</v>
      </c>
      <c r="D2004" s="13" t="s">
        <v>10311</v>
      </c>
      <c r="E2004" s="13" t="s">
        <v>10312</v>
      </c>
      <c r="F2004" s="13" t="s">
        <v>10313</v>
      </c>
      <c r="G2004" s="13" t="s">
        <v>10314</v>
      </c>
      <c r="H2004" s="13" t="s">
        <v>10315</v>
      </c>
    </row>
    <row r="2005" customFormat="false" ht="15" hidden="false" customHeight="true" outlineLevel="0" collapsed="false">
      <c r="A2005" s="13" t="s">
        <v>244</v>
      </c>
      <c r="B2005" s="13" t="s">
        <v>855</v>
      </c>
      <c r="C2005" s="11" t="s">
        <v>856</v>
      </c>
      <c r="D2005" s="13" t="s">
        <v>10316</v>
      </c>
      <c r="E2005" s="13" t="s">
        <v>10317</v>
      </c>
      <c r="F2005" s="13" t="s">
        <v>10318</v>
      </c>
      <c r="G2005" s="13" t="s">
        <v>10319</v>
      </c>
      <c r="H2005" s="13" t="s">
        <v>10320</v>
      </c>
    </row>
    <row r="2006" customFormat="false" ht="15" hidden="false" customHeight="true" outlineLevel="0" collapsed="false">
      <c r="A2006" s="13" t="s">
        <v>244</v>
      </c>
      <c r="B2006" s="13" t="s">
        <v>862</v>
      </c>
      <c r="C2006" s="11" t="s">
        <v>863</v>
      </c>
      <c r="D2006" s="13" t="s">
        <v>10321</v>
      </c>
      <c r="E2006" s="13" t="s">
        <v>10322</v>
      </c>
      <c r="F2006" s="13" t="s">
        <v>10323</v>
      </c>
      <c r="G2006" s="13" t="s">
        <v>10324</v>
      </c>
      <c r="H2006" s="13" t="s">
        <v>10325</v>
      </c>
    </row>
    <row r="2007" customFormat="false" ht="15" hidden="false" customHeight="true" outlineLevel="0" collapsed="false">
      <c r="A2007" s="13" t="s">
        <v>244</v>
      </c>
      <c r="B2007" s="13" t="s">
        <v>869</v>
      </c>
      <c r="C2007" s="11" t="s">
        <v>870</v>
      </c>
      <c r="D2007" s="13" t="s">
        <v>10326</v>
      </c>
      <c r="E2007" s="13" t="s">
        <v>10327</v>
      </c>
      <c r="F2007" s="13" t="s">
        <v>10328</v>
      </c>
      <c r="G2007" s="13" t="s">
        <v>10329</v>
      </c>
      <c r="H2007" s="13" t="s">
        <v>10330</v>
      </c>
    </row>
    <row r="2008" customFormat="false" ht="15" hidden="false" customHeight="true" outlineLevel="0" collapsed="false">
      <c r="A2008" s="13" t="s">
        <v>244</v>
      </c>
      <c r="B2008" s="13" t="s">
        <v>876</v>
      </c>
      <c r="C2008" s="11" t="s">
        <v>877</v>
      </c>
      <c r="D2008" s="13" t="s">
        <v>10331</v>
      </c>
      <c r="E2008" s="13" t="s">
        <v>10332</v>
      </c>
      <c r="F2008" s="13" t="s">
        <v>10333</v>
      </c>
      <c r="G2008" s="13" t="s">
        <v>10334</v>
      </c>
      <c r="H2008" s="13" t="s">
        <v>10335</v>
      </c>
    </row>
    <row r="2009" customFormat="false" ht="15" hidden="false" customHeight="true" outlineLevel="0" collapsed="false">
      <c r="A2009" s="13" t="s">
        <v>244</v>
      </c>
      <c r="B2009" s="13" t="s">
        <v>883</v>
      </c>
      <c r="C2009" s="11" t="s">
        <v>884</v>
      </c>
      <c r="D2009" s="13" t="s">
        <v>10336</v>
      </c>
      <c r="E2009" s="13" t="s">
        <v>10337</v>
      </c>
      <c r="F2009" s="13" t="s">
        <v>10338</v>
      </c>
      <c r="G2009" s="13" t="s">
        <v>10339</v>
      </c>
      <c r="H2009" s="13" t="s">
        <v>10340</v>
      </c>
    </row>
    <row r="2010" customFormat="false" ht="15" hidden="false" customHeight="true" outlineLevel="0" collapsed="false">
      <c r="A2010" s="13" t="s">
        <v>244</v>
      </c>
      <c r="B2010" s="13" t="s">
        <v>890</v>
      </c>
      <c r="C2010" s="11" t="s">
        <v>891</v>
      </c>
      <c r="D2010" s="13" t="s">
        <v>10341</v>
      </c>
      <c r="E2010" s="13" t="s">
        <v>10342</v>
      </c>
      <c r="F2010" s="13" t="s">
        <v>10343</v>
      </c>
      <c r="G2010" s="13" t="s">
        <v>10344</v>
      </c>
      <c r="H2010" s="13" t="s">
        <v>10345</v>
      </c>
    </row>
    <row r="2011" customFormat="false" ht="15" hidden="false" customHeight="true" outlineLevel="0" collapsed="false">
      <c r="A2011" s="13" t="s">
        <v>244</v>
      </c>
      <c r="B2011" s="13" t="s">
        <v>897</v>
      </c>
      <c r="C2011" s="11" t="s">
        <v>898</v>
      </c>
      <c r="D2011" s="13" t="s">
        <v>10346</v>
      </c>
      <c r="E2011" s="13" t="s">
        <v>10347</v>
      </c>
      <c r="F2011" s="13" t="s">
        <v>10348</v>
      </c>
      <c r="G2011" s="13" t="s">
        <v>10349</v>
      </c>
      <c r="H2011" s="13" t="s">
        <v>10350</v>
      </c>
    </row>
    <row r="2012" customFormat="false" ht="15" hidden="false" customHeight="true" outlineLevel="0" collapsed="false">
      <c r="A2012" s="13" t="s">
        <v>244</v>
      </c>
      <c r="B2012" s="13" t="s">
        <v>904</v>
      </c>
      <c r="C2012" s="11" t="s">
        <v>905</v>
      </c>
      <c r="D2012" s="13" t="s">
        <v>10351</v>
      </c>
      <c r="E2012" s="13" t="s">
        <v>10352</v>
      </c>
      <c r="F2012" s="13" t="s">
        <v>10353</v>
      </c>
      <c r="G2012" s="13" t="s">
        <v>10354</v>
      </c>
      <c r="H2012" s="13" t="s">
        <v>10355</v>
      </c>
    </row>
    <row r="2013" customFormat="false" ht="15" hidden="false" customHeight="true" outlineLevel="0" collapsed="false">
      <c r="A2013" s="13" t="s">
        <v>244</v>
      </c>
      <c r="B2013" s="13" t="s">
        <v>911</v>
      </c>
      <c r="C2013" s="11" t="s">
        <v>912</v>
      </c>
      <c r="D2013" s="13" t="s">
        <v>10356</v>
      </c>
      <c r="E2013" s="13" t="s">
        <v>10357</v>
      </c>
      <c r="F2013" s="13" t="s">
        <v>10358</v>
      </c>
      <c r="G2013" s="13" t="s">
        <v>10359</v>
      </c>
      <c r="H2013" s="13" t="s">
        <v>10360</v>
      </c>
    </row>
    <row r="2014" customFormat="false" ht="15" hidden="false" customHeight="true" outlineLevel="0" collapsed="false">
      <c r="A2014" s="13" t="s">
        <v>244</v>
      </c>
      <c r="B2014" s="13" t="s">
        <v>918</v>
      </c>
      <c r="C2014" s="11" t="s">
        <v>919</v>
      </c>
      <c r="D2014" s="13" t="s">
        <v>10361</v>
      </c>
      <c r="E2014" s="13" t="s">
        <v>10362</v>
      </c>
      <c r="F2014" s="13" t="s">
        <v>10363</v>
      </c>
      <c r="G2014" s="13" t="s">
        <v>10364</v>
      </c>
      <c r="H2014" s="13" t="s">
        <v>10365</v>
      </c>
    </row>
    <row r="2015" customFormat="false" ht="15" hidden="false" customHeight="true" outlineLevel="0" collapsed="false">
      <c r="A2015" s="13" t="s">
        <v>244</v>
      </c>
      <c r="B2015" s="13" t="s">
        <v>925</v>
      </c>
      <c r="C2015" s="11" t="s">
        <v>926</v>
      </c>
      <c r="D2015" s="13" t="s">
        <v>10366</v>
      </c>
      <c r="E2015" s="13" t="s">
        <v>10367</v>
      </c>
      <c r="F2015" s="13" t="s">
        <v>10368</v>
      </c>
      <c r="G2015" s="13" t="s">
        <v>10369</v>
      </c>
      <c r="H2015" s="13" t="s">
        <v>10370</v>
      </c>
    </row>
    <row r="2016" customFormat="false" ht="15" hidden="false" customHeight="true" outlineLevel="0" collapsed="false">
      <c r="A2016" s="13" t="s">
        <v>244</v>
      </c>
      <c r="B2016" s="13" t="s">
        <v>932</v>
      </c>
      <c r="C2016" s="11" t="s">
        <v>933</v>
      </c>
      <c r="D2016" s="13" t="s">
        <v>10371</v>
      </c>
      <c r="E2016" s="13" t="s">
        <v>10372</v>
      </c>
      <c r="F2016" s="13" t="s">
        <v>10373</v>
      </c>
      <c r="G2016" s="13" t="s">
        <v>10374</v>
      </c>
      <c r="H2016" s="13" t="s">
        <v>10375</v>
      </c>
    </row>
    <row r="2017" customFormat="false" ht="15" hidden="false" customHeight="true" outlineLevel="0" collapsed="false">
      <c r="A2017" s="13" t="s">
        <v>244</v>
      </c>
      <c r="B2017" s="13" t="s">
        <v>939</v>
      </c>
      <c r="C2017" s="11" t="s">
        <v>940</v>
      </c>
      <c r="D2017" s="13" t="s">
        <v>10376</v>
      </c>
      <c r="E2017" s="13" t="s">
        <v>10377</v>
      </c>
      <c r="F2017" s="13" t="s">
        <v>10378</v>
      </c>
      <c r="G2017" s="13" t="s">
        <v>10379</v>
      </c>
      <c r="H2017" s="13" t="s">
        <v>10380</v>
      </c>
    </row>
    <row r="2018" customFormat="false" ht="15" hidden="false" customHeight="true" outlineLevel="0" collapsed="false">
      <c r="A2018" s="13" t="s">
        <v>244</v>
      </c>
      <c r="B2018" s="13" t="s">
        <v>946</v>
      </c>
      <c r="C2018" s="11" t="s">
        <v>947</v>
      </c>
      <c r="D2018" s="13" t="s">
        <v>10381</v>
      </c>
      <c r="E2018" s="13" t="s">
        <v>10382</v>
      </c>
      <c r="F2018" s="13" t="s">
        <v>10383</v>
      </c>
      <c r="G2018" s="13" t="s">
        <v>10384</v>
      </c>
      <c r="H2018" s="13" t="s">
        <v>10385</v>
      </c>
    </row>
    <row r="2019" customFormat="false" ht="15" hidden="false" customHeight="true" outlineLevel="0" collapsed="false">
      <c r="A2019" s="13" t="s">
        <v>244</v>
      </c>
      <c r="B2019" s="13" t="s">
        <v>953</v>
      </c>
      <c r="C2019" s="11" t="s">
        <v>954</v>
      </c>
      <c r="D2019" s="13" t="s">
        <v>10386</v>
      </c>
      <c r="E2019" s="13" t="s">
        <v>10387</v>
      </c>
      <c r="F2019" s="13" t="s">
        <v>10388</v>
      </c>
      <c r="G2019" s="13" t="s">
        <v>10389</v>
      </c>
      <c r="H2019" s="13" t="s">
        <v>10390</v>
      </c>
    </row>
    <row r="2020" customFormat="false" ht="15" hidden="false" customHeight="true" outlineLevel="0" collapsed="false">
      <c r="A2020" s="13" t="s">
        <v>244</v>
      </c>
      <c r="B2020" s="13" t="s">
        <v>960</v>
      </c>
      <c r="C2020" s="11" t="s">
        <v>961</v>
      </c>
      <c r="D2020" s="13" t="s">
        <v>10391</v>
      </c>
      <c r="E2020" s="13" t="s">
        <v>10392</v>
      </c>
      <c r="F2020" s="13" t="s">
        <v>10393</v>
      </c>
      <c r="G2020" s="13" t="s">
        <v>10394</v>
      </c>
      <c r="H2020" s="13" t="s">
        <v>10395</v>
      </c>
    </row>
    <row r="2021" customFormat="false" ht="15" hidden="false" customHeight="true" outlineLevel="0" collapsed="false">
      <c r="A2021" s="13" t="s">
        <v>244</v>
      </c>
      <c r="B2021" s="13" t="s">
        <v>967</v>
      </c>
      <c r="C2021" s="11" t="s">
        <v>968</v>
      </c>
      <c r="D2021" s="13" t="s">
        <v>8353</v>
      </c>
      <c r="E2021" s="13" t="s">
        <v>10396</v>
      </c>
      <c r="F2021" s="13" t="s">
        <v>10397</v>
      </c>
      <c r="G2021" s="13" t="s">
        <v>10398</v>
      </c>
      <c r="H2021" s="13" t="s">
        <v>10399</v>
      </c>
    </row>
    <row r="2022" customFormat="false" ht="15" hidden="false" customHeight="true" outlineLevel="0" collapsed="false">
      <c r="A2022" s="13" t="s">
        <v>244</v>
      </c>
      <c r="B2022" s="13" t="s">
        <v>974</v>
      </c>
      <c r="C2022" s="11" t="s">
        <v>975</v>
      </c>
      <c r="D2022" s="13" t="s">
        <v>10400</v>
      </c>
      <c r="E2022" s="13" t="s">
        <v>7616</v>
      </c>
      <c r="F2022" s="13" t="s">
        <v>10401</v>
      </c>
      <c r="G2022" s="13" t="s">
        <v>10402</v>
      </c>
      <c r="H2022" s="13" t="s">
        <v>10403</v>
      </c>
    </row>
    <row r="2023" customFormat="false" ht="15" hidden="false" customHeight="true" outlineLevel="0" collapsed="false">
      <c r="A2023" s="13" t="s">
        <v>244</v>
      </c>
      <c r="B2023" s="13" t="s">
        <v>981</v>
      </c>
      <c r="C2023" s="11" t="s">
        <v>982</v>
      </c>
      <c r="D2023" s="13" t="s">
        <v>10404</v>
      </c>
      <c r="E2023" s="13" t="s">
        <v>10405</v>
      </c>
      <c r="F2023" s="13" t="s">
        <v>10406</v>
      </c>
      <c r="G2023" s="13" t="s">
        <v>10407</v>
      </c>
      <c r="H2023" s="13" t="s">
        <v>10408</v>
      </c>
    </row>
    <row r="2024" customFormat="false" ht="15" hidden="false" customHeight="true" outlineLevel="0" collapsed="false">
      <c r="A2024" s="13" t="s">
        <v>244</v>
      </c>
      <c r="B2024" s="13" t="s">
        <v>988</v>
      </c>
      <c r="C2024" s="11" t="s">
        <v>989</v>
      </c>
      <c r="D2024" s="13" t="s">
        <v>10409</v>
      </c>
      <c r="E2024" s="13" t="s">
        <v>10410</v>
      </c>
      <c r="F2024" s="13" t="s">
        <v>10411</v>
      </c>
      <c r="G2024" s="13" t="s">
        <v>10412</v>
      </c>
      <c r="H2024" s="13" t="s">
        <v>10413</v>
      </c>
    </row>
    <row r="2025" customFormat="false" ht="15" hidden="false" customHeight="true" outlineLevel="0" collapsed="false">
      <c r="A2025" s="13" t="s">
        <v>244</v>
      </c>
      <c r="B2025" s="13" t="s">
        <v>995</v>
      </c>
      <c r="C2025" s="11" t="s">
        <v>996</v>
      </c>
      <c r="D2025" s="13" t="s">
        <v>10414</v>
      </c>
      <c r="E2025" s="13" t="s">
        <v>10415</v>
      </c>
      <c r="F2025" s="13" t="s">
        <v>10416</v>
      </c>
      <c r="G2025" s="13" t="s">
        <v>10417</v>
      </c>
      <c r="H2025" s="13" t="s">
        <v>10418</v>
      </c>
    </row>
    <row r="2026" customFormat="false" ht="15" hidden="false" customHeight="true" outlineLevel="0" collapsed="false">
      <c r="A2026" s="13" t="s">
        <v>244</v>
      </c>
      <c r="B2026" s="13" t="s">
        <v>1002</v>
      </c>
      <c r="C2026" s="11" t="s">
        <v>1003</v>
      </c>
      <c r="D2026" s="13" t="s">
        <v>10419</v>
      </c>
      <c r="E2026" s="13" t="s">
        <v>10420</v>
      </c>
      <c r="F2026" s="13" t="s">
        <v>10421</v>
      </c>
      <c r="G2026" s="13" t="s">
        <v>10422</v>
      </c>
      <c r="H2026" s="13" t="s">
        <v>10423</v>
      </c>
    </row>
    <row r="2027" customFormat="false" ht="15" hidden="false" customHeight="true" outlineLevel="0" collapsed="false">
      <c r="A2027" s="13" t="s">
        <v>244</v>
      </c>
      <c r="B2027" s="13" t="s">
        <v>1009</v>
      </c>
      <c r="C2027" s="11" t="s">
        <v>1010</v>
      </c>
      <c r="D2027" s="13" t="s">
        <v>10424</v>
      </c>
      <c r="E2027" s="13" t="s">
        <v>10425</v>
      </c>
      <c r="F2027" s="13" t="s">
        <v>10426</v>
      </c>
      <c r="G2027" s="13" t="s">
        <v>10427</v>
      </c>
      <c r="H2027" s="13" t="s">
        <v>10428</v>
      </c>
    </row>
    <row r="2028" customFormat="false" ht="15" hidden="false" customHeight="true" outlineLevel="0" collapsed="false">
      <c r="A2028" s="13" t="s">
        <v>252</v>
      </c>
      <c r="B2028" s="13" t="s">
        <v>345</v>
      </c>
      <c r="C2028" s="11" t="s">
        <v>346</v>
      </c>
      <c r="D2028" s="13" t="s">
        <v>3406</v>
      </c>
      <c r="E2028" s="13" t="s">
        <v>10429</v>
      </c>
      <c r="F2028" s="13" t="s">
        <v>10430</v>
      </c>
      <c r="G2028" s="13" t="s">
        <v>10431</v>
      </c>
      <c r="H2028" s="13" t="s">
        <v>10432</v>
      </c>
    </row>
    <row r="2029" customFormat="false" ht="15" hidden="false" customHeight="true" outlineLevel="0" collapsed="false">
      <c r="A2029" s="13" t="s">
        <v>252</v>
      </c>
      <c r="B2029" s="13" t="s">
        <v>352</v>
      </c>
      <c r="C2029" s="11" t="s">
        <v>353</v>
      </c>
      <c r="D2029" s="13" t="s">
        <v>10433</v>
      </c>
      <c r="E2029" s="13" t="s">
        <v>10434</v>
      </c>
      <c r="F2029" s="13" t="s">
        <v>10435</v>
      </c>
      <c r="G2029" s="13" t="s">
        <v>10436</v>
      </c>
      <c r="H2029" s="13" t="s">
        <v>10437</v>
      </c>
    </row>
    <row r="2030" customFormat="false" ht="15" hidden="false" customHeight="true" outlineLevel="0" collapsed="false">
      <c r="A2030" s="13" t="s">
        <v>252</v>
      </c>
      <c r="B2030" s="13" t="s">
        <v>359</v>
      </c>
      <c r="C2030" s="11" t="s">
        <v>360</v>
      </c>
      <c r="D2030" s="13" t="s">
        <v>10438</v>
      </c>
      <c r="E2030" s="13" t="s">
        <v>10439</v>
      </c>
      <c r="F2030" s="13" t="s">
        <v>10440</v>
      </c>
      <c r="G2030" s="13" t="s">
        <v>10441</v>
      </c>
      <c r="H2030" s="13" t="s">
        <v>10442</v>
      </c>
    </row>
    <row r="2031" customFormat="false" ht="15" hidden="false" customHeight="true" outlineLevel="0" collapsed="false">
      <c r="A2031" s="13" t="s">
        <v>252</v>
      </c>
      <c r="B2031" s="13" t="s">
        <v>366</v>
      </c>
      <c r="C2031" s="11" t="s">
        <v>367</v>
      </c>
      <c r="D2031" s="13" t="s">
        <v>10443</v>
      </c>
      <c r="E2031" s="13" t="s">
        <v>2364</v>
      </c>
      <c r="F2031" s="13" t="s">
        <v>10444</v>
      </c>
      <c r="G2031" s="13" t="s">
        <v>10445</v>
      </c>
      <c r="H2031" s="13" t="s">
        <v>10446</v>
      </c>
    </row>
    <row r="2032" customFormat="false" ht="15" hidden="false" customHeight="true" outlineLevel="0" collapsed="false">
      <c r="A2032" s="13" t="s">
        <v>252</v>
      </c>
      <c r="B2032" s="13" t="s">
        <v>373</v>
      </c>
      <c r="C2032" s="11" t="s">
        <v>374</v>
      </c>
      <c r="D2032" s="13" t="s">
        <v>10447</v>
      </c>
      <c r="E2032" s="13" t="s">
        <v>10448</v>
      </c>
      <c r="F2032" s="13" t="s">
        <v>10449</v>
      </c>
      <c r="G2032" s="13" t="s">
        <v>10450</v>
      </c>
      <c r="H2032" s="13" t="s">
        <v>10451</v>
      </c>
    </row>
    <row r="2033" customFormat="false" ht="15" hidden="false" customHeight="true" outlineLevel="0" collapsed="false">
      <c r="A2033" s="13" t="s">
        <v>252</v>
      </c>
      <c r="B2033" s="13" t="s">
        <v>380</v>
      </c>
      <c r="C2033" s="11" t="s">
        <v>381</v>
      </c>
      <c r="D2033" s="13" t="s">
        <v>10452</v>
      </c>
      <c r="E2033" s="13" t="s">
        <v>10453</v>
      </c>
      <c r="F2033" s="13" t="s">
        <v>10454</v>
      </c>
      <c r="G2033" s="13" t="s">
        <v>10455</v>
      </c>
      <c r="H2033" s="13" t="s">
        <v>10456</v>
      </c>
    </row>
    <row r="2034" customFormat="false" ht="15" hidden="false" customHeight="true" outlineLevel="0" collapsed="false">
      <c r="A2034" s="13" t="s">
        <v>252</v>
      </c>
      <c r="B2034" s="13" t="s">
        <v>387</v>
      </c>
      <c r="C2034" s="11" t="s">
        <v>388</v>
      </c>
      <c r="D2034" s="13" t="s">
        <v>10457</v>
      </c>
      <c r="E2034" s="13" t="s">
        <v>10458</v>
      </c>
      <c r="F2034" s="13" t="s">
        <v>10459</v>
      </c>
      <c r="G2034" s="13" t="s">
        <v>10460</v>
      </c>
      <c r="H2034" s="13" t="s">
        <v>10461</v>
      </c>
    </row>
    <row r="2035" customFormat="false" ht="15" hidden="false" customHeight="true" outlineLevel="0" collapsed="false">
      <c r="A2035" s="13" t="s">
        <v>252</v>
      </c>
      <c r="B2035" s="13" t="s">
        <v>394</v>
      </c>
      <c r="C2035" s="11" t="s">
        <v>395</v>
      </c>
      <c r="D2035" s="13" t="s">
        <v>10462</v>
      </c>
      <c r="E2035" s="13" t="s">
        <v>10463</v>
      </c>
      <c r="F2035" s="13" t="s">
        <v>10464</v>
      </c>
      <c r="G2035" s="13" t="s">
        <v>10465</v>
      </c>
      <c r="H2035" s="13" t="s">
        <v>10466</v>
      </c>
    </row>
    <row r="2036" customFormat="false" ht="15" hidden="false" customHeight="true" outlineLevel="0" collapsed="false">
      <c r="A2036" s="13" t="s">
        <v>252</v>
      </c>
      <c r="B2036" s="13" t="s">
        <v>401</v>
      </c>
      <c r="C2036" s="11" t="s">
        <v>402</v>
      </c>
      <c r="D2036" s="13" t="s">
        <v>10467</v>
      </c>
      <c r="E2036" s="13" t="s">
        <v>10468</v>
      </c>
      <c r="F2036" s="13" t="s">
        <v>10469</v>
      </c>
      <c r="G2036" s="13" t="s">
        <v>10470</v>
      </c>
      <c r="H2036" s="13" t="s">
        <v>10471</v>
      </c>
    </row>
    <row r="2037" customFormat="false" ht="15" hidden="false" customHeight="true" outlineLevel="0" collapsed="false">
      <c r="A2037" s="13" t="s">
        <v>252</v>
      </c>
      <c r="B2037" s="13" t="s">
        <v>408</v>
      </c>
      <c r="C2037" s="11" t="s">
        <v>409</v>
      </c>
      <c r="D2037" s="13" t="s">
        <v>10472</v>
      </c>
      <c r="E2037" s="13" t="s">
        <v>10473</v>
      </c>
      <c r="F2037" s="13" t="s">
        <v>10474</v>
      </c>
      <c r="G2037" s="13" t="s">
        <v>10475</v>
      </c>
      <c r="H2037" s="13" t="s">
        <v>10476</v>
      </c>
    </row>
    <row r="2038" customFormat="false" ht="15" hidden="false" customHeight="true" outlineLevel="0" collapsed="false">
      <c r="A2038" s="13" t="s">
        <v>252</v>
      </c>
      <c r="B2038" s="13" t="s">
        <v>415</v>
      </c>
      <c r="C2038" s="11" t="s">
        <v>416</v>
      </c>
      <c r="D2038" s="13" t="s">
        <v>10477</v>
      </c>
      <c r="E2038" s="13" t="s">
        <v>10478</v>
      </c>
      <c r="F2038" s="13" t="s">
        <v>10479</v>
      </c>
      <c r="G2038" s="13" t="s">
        <v>10480</v>
      </c>
      <c r="H2038" s="13" t="s">
        <v>10481</v>
      </c>
    </row>
    <row r="2039" customFormat="false" ht="15" hidden="false" customHeight="true" outlineLevel="0" collapsed="false">
      <c r="A2039" s="13" t="s">
        <v>252</v>
      </c>
      <c r="B2039" s="13" t="s">
        <v>422</v>
      </c>
      <c r="C2039" s="11" t="s">
        <v>423</v>
      </c>
      <c r="D2039" s="13" t="s">
        <v>10482</v>
      </c>
      <c r="E2039" s="13" t="s">
        <v>10483</v>
      </c>
      <c r="F2039" s="13" t="s">
        <v>10484</v>
      </c>
      <c r="G2039" s="13" t="s">
        <v>10485</v>
      </c>
      <c r="H2039" s="13" t="s">
        <v>10486</v>
      </c>
    </row>
    <row r="2040" customFormat="false" ht="15" hidden="false" customHeight="true" outlineLevel="0" collapsed="false">
      <c r="A2040" s="13" t="s">
        <v>252</v>
      </c>
      <c r="B2040" s="13" t="s">
        <v>429</v>
      </c>
      <c r="C2040" s="11" t="s">
        <v>430</v>
      </c>
      <c r="D2040" s="13" t="s">
        <v>10487</v>
      </c>
      <c r="E2040" s="13" t="s">
        <v>10488</v>
      </c>
      <c r="F2040" s="13" t="s">
        <v>10489</v>
      </c>
      <c r="G2040" s="13" t="s">
        <v>10490</v>
      </c>
      <c r="H2040" s="13" t="s">
        <v>10491</v>
      </c>
    </row>
    <row r="2041" customFormat="false" ht="15" hidden="false" customHeight="true" outlineLevel="0" collapsed="false">
      <c r="A2041" s="13" t="s">
        <v>252</v>
      </c>
      <c r="B2041" s="13" t="s">
        <v>436</v>
      </c>
      <c r="C2041" s="11" t="s">
        <v>437</v>
      </c>
      <c r="D2041" s="13" t="s">
        <v>3625</v>
      </c>
      <c r="E2041" s="13" t="s">
        <v>10492</v>
      </c>
      <c r="F2041" s="13" t="s">
        <v>10493</v>
      </c>
      <c r="G2041" s="13" t="s">
        <v>10494</v>
      </c>
      <c r="H2041" s="13" t="s">
        <v>10495</v>
      </c>
    </row>
    <row r="2042" customFormat="false" ht="15" hidden="false" customHeight="true" outlineLevel="0" collapsed="false">
      <c r="A2042" s="13" t="s">
        <v>252</v>
      </c>
      <c r="B2042" s="13" t="s">
        <v>443</v>
      </c>
      <c r="C2042" s="11" t="s">
        <v>444</v>
      </c>
      <c r="D2042" s="13" t="s">
        <v>10496</v>
      </c>
      <c r="E2042" s="13" t="s">
        <v>10497</v>
      </c>
      <c r="F2042" s="13" t="s">
        <v>10498</v>
      </c>
      <c r="G2042" s="13" t="s">
        <v>10499</v>
      </c>
      <c r="H2042" s="13" t="s">
        <v>10500</v>
      </c>
    </row>
    <row r="2043" customFormat="false" ht="15" hidden="false" customHeight="true" outlineLevel="0" collapsed="false">
      <c r="A2043" s="13" t="s">
        <v>252</v>
      </c>
      <c r="B2043" s="13" t="s">
        <v>450</v>
      </c>
      <c r="C2043" s="11" t="s">
        <v>451</v>
      </c>
      <c r="D2043" s="13" t="s">
        <v>10501</v>
      </c>
      <c r="E2043" s="13" t="s">
        <v>10502</v>
      </c>
      <c r="F2043" s="13" t="s">
        <v>10503</v>
      </c>
      <c r="G2043" s="13" t="s">
        <v>10504</v>
      </c>
      <c r="H2043" s="13" t="s">
        <v>10505</v>
      </c>
    </row>
    <row r="2044" customFormat="false" ht="15" hidden="false" customHeight="true" outlineLevel="0" collapsed="false">
      <c r="A2044" s="13" t="s">
        <v>252</v>
      </c>
      <c r="B2044" s="13" t="s">
        <v>457</v>
      </c>
      <c r="C2044" s="11" t="s">
        <v>458</v>
      </c>
      <c r="D2044" s="13" t="s">
        <v>10506</v>
      </c>
      <c r="E2044" s="13" t="s">
        <v>10507</v>
      </c>
      <c r="F2044" s="13" t="s">
        <v>10508</v>
      </c>
      <c r="G2044" s="13" t="s">
        <v>10509</v>
      </c>
      <c r="H2044" s="13" t="s">
        <v>10510</v>
      </c>
    </row>
    <row r="2045" customFormat="false" ht="15" hidden="false" customHeight="true" outlineLevel="0" collapsed="false">
      <c r="A2045" s="13" t="s">
        <v>252</v>
      </c>
      <c r="B2045" s="13" t="s">
        <v>464</v>
      </c>
      <c r="C2045" s="11" t="s">
        <v>465</v>
      </c>
      <c r="D2045" s="13" t="s">
        <v>10511</v>
      </c>
      <c r="E2045" s="13" t="s">
        <v>10512</v>
      </c>
      <c r="F2045" s="13" t="s">
        <v>10513</v>
      </c>
      <c r="G2045" s="13" t="s">
        <v>10514</v>
      </c>
      <c r="H2045" s="13" t="s">
        <v>10515</v>
      </c>
    </row>
    <row r="2046" customFormat="false" ht="15" hidden="false" customHeight="true" outlineLevel="0" collapsed="false">
      <c r="A2046" s="13" t="s">
        <v>252</v>
      </c>
      <c r="B2046" s="13" t="s">
        <v>471</v>
      </c>
      <c r="C2046" s="11" t="s">
        <v>472</v>
      </c>
      <c r="D2046" s="13" t="s">
        <v>10516</v>
      </c>
      <c r="E2046" s="13" t="s">
        <v>10517</v>
      </c>
      <c r="F2046" s="13" t="s">
        <v>10518</v>
      </c>
      <c r="G2046" s="13" t="s">
        <v>10519</v>
      </c>
      <c r="H2046" s="13" t="s">
        <v>10520</v>
      </c>
    </row>
    <row r="2047" customFormat="false" ht="15" hidden="false" customHeight="true" outlineLevel="0" collapsed="false">
      <c r="A2047" s="13" t="s">
        <v>252</v>
      </c>
      <c r="B2047" s="13" t="s">
        <v>478</v>
      </c>
      <c r="C2047" s="11" t="s">
        <v>479</v>
      </c>
      <c r="D2047" s="13" t="s">
        <v>10521</v>
      </c>
      <c r="E2047" s="13" t="s">
        <v>10522</v>
      </c>
      <c r="F2047" s="13" t="s">
        <v>10523</v>
      </c>
      <c r="G2047" s="13" t="s">
        <v>10524</v>
      </c>
      <c r="H2047" s="13" t="s">
        <v>10525</v>
      </c>
    </row>
    <row r="2048" customFormat="false" ht="15" hidden="false" customHeight="true" outlineLevel="0" collapsed="false">
      <c r="A2048" s="13" t="s">
        <v>252</v>
      </c>
      <c r="B2048" s="13" t="s">
        <v>485</v>
      </c>
      <c r="C2048" s="11" t="s">
        <v>486</v>
      </c>
      <c r="D2048" s="13" t="s">
        <v>10526</v>
      </c>
      <c r="E2048" s="13" t="s">
        <v>10527</v>
      </c>
      <c r="F2048" s="13" t="s">
        <v>10528</v>
      </c>
      <c r="G2048" s="13" t="s">
        <v>10529</v>
      </c>
      <c r="H2048" s="13" t="s">
        <v>10530</v>
      </c>
    </row>
    <row r="2049" customFormat="false" ht="15" hidden="false" customHeight="true" outlineLevel="0" collapsed="false">
      <c r="A2049" s="13" t="s">
        <v>252</v>
      </c>
      <c r="B2049" s="13" t="s">
        <v>492</v>
      </c>
      <c r="C2049" s="11" t="s">
        <v>493</v>
      </c>
      <c r="D2049" s="13" t="s">
        <v>10531</v>
      </c>
      <c r="E2049" s="13" t="s">
        <v>10532</v>
      </c>
      <c r="F2049" s="13" t="s">
        <v>10533</v>
      </c>
      <c r="G2049" s="13" t="s">
        <v>10534</v>
      </c>
      <c r="H2049" s="13" t="s">
        <v>10535</v>
      </c>
    </row>
    <row r="2050" customFormat="false" ht="15" hidden="false" customHeight="true" outlineLevel="0" collapsed="false">
      <c r="A2050" s="13" t="s">
        <v>252</v>
      </c>
      <c r="B2050" s="13" t="s">
        <v>499</v>
      </c>
      <c r="C2050" s="11" t="s">
        <v>500</v>
      </c>
      <c r="D2050" s="13" t="s">
        <v>10536</v>
      </c>
      <c r="E2050" s="13" t="s">
        <v>10537</v>
      </c>
      <c r="F2050" s="13" t="s">
        <v>10538</v>
      </c>
      <c r="G2050" s="13" t="s">
        <v>10539</v>
      </c>
      <c r="H2050" s="13" t="s">
        <v>10540</v>
      </c>
    </row>
    <row r="2051" customFormat="false" ht="15" hidden="false" customHeight="true" outlineLevel="0" collapsed="false">
      <c r="A2051" s="13" t="s">
        <v>252</v>
      </c>
      <c r="B2051" s="13" t="s">
        <v>506</v>
      </c>
      <c r="C2051" s="11" t="s">
        <v>507</v>
      </c>
      <c r="D2051" s="13" t="s">
        <v>10541</v>
      </c>
      <c r="E2051" s="13" t="s">
        <v>10542</v>
      </c>
      <c r="F2051" s="13" t="s">
        <v>10543</v>
      </c>
      <c r="G2051" s="13" t="s">
        <v>10544</v>
      </c>
      <c r="H2051" s="13" t="s">
        <v>10545</v>
      </c>
    </row>
    <row r="2052" customFormat="false" ht="15" hidden="false" customHeight="true" outlineLevel="0" collapsed="false">
      <c r="A2052" s="13" t="s">
        <v>252</v>
      </c>
      <c r="B2052" s="13" t="s">
        <v>513</v>
      </c>
      <c r="C2052" s="11" t="s">
        <v>514</v>
      </c>
      <c r="D2052" s="13" t="s">
        <v>10546</v>
      </c>
      <c r="E2052" s="13" t="s">
        <v>10547</v>
      </c>
      <c r="F2052" s="13" t="s">
        <v>10548</v>
      </c>
      <c r="G2052" s="13" t="s">
        <v>10549</v>
      </c>
      <c r="H2052" s="13" t="s">
        <v>10550</v>
      </c>
    </row>
    <row r="2053" customFormat="false" ht="15" hidden="false" customHeight="true" outlineLevel="0" collapsed="false">
      <c r="A2053" s="13" t="s">
        <v>252</v>
      </c>
      <c r="B2053" s="13" t="s">
        <v>520</v>
      </c>
      <c r="C2053" s="11" t="s">
        <v>521</v>
      </c>
      <c r="D2053" s="13" t="s">
        <v>10551</v>
      </c>
      <c r="E2053" s="13" t="s">
        <v>10552</v>
      </c>
      <c r="F2053" s="13" t="s">
        <v>10553</v>
      </c>
      <c r="G2053" s="13" t="s">
        <v>10554</v>
      </c>
      <c r="H2053" s="13" t="s">
        <v>10555</v>
      </c>
    </row>
    <row r="2054" customFormat="false" ht="15" hidden="false" customHeight="true" outlineLevel="0" collapsed="false">
      <c r="A2054" s="13" t="s">
        <v>252</v>
      </c>
      <c r="B2054" s="13" t="s">
        <v>527</v>
      </c>
      <c r="C2054" s="11" t="s">
        <v>528</v>
      </c>
      <c r="D2054" s="13" t="s">
        <v>10556</v>
      </c>
      <c r="E2054" s="13" t="s">
        <v>10557</v>
      </c>
      <c r="F2054" s="13" t="s">
        <v>10558</v>
      </c>
      <c r="G2054" s="13" t="s">
        <v>10559</v>
      </c>
      <c r="H2054" s="13" t="s">
        <v>10560</v>
      </c>
    </row>
    <row r="2055" customFormat="false" ht="15" hidden="false" customHeight="true" outlineLevel="0" collapsed="false">
      <c r="A2055" s="13" t="s">
        <v>252</v>
      </c>
      <c r="B2055" s="13" t="s">
        <v>534</v>
      </c>
      <c r="C2055" s="11" t="s">
        <v>535</v>
      </c>
      <c r="D2055" s="13" t="s">
        <v>10561</v>
      </c>
      <c r="E2055" s="13" t="s">
        <v>10562</v>
      </c>
      <c r="F2055" s="13" t="s">
        <v>10563</v>
      </c>
      <c r="G2055" s="13" t="s">
        <v>10564</v>
      </c>
      <c r="H2055" s="13" t="s">
        <v>10565</v>
      </c>
    </row>
    <row r="2056" customFormat="false" ht="15" hidden="false" customHeight="true" outlineLevel="0" collapsed="false">
      <c r="A2056" s="13" t="s">
        <v>252</v>
      </c>
      <c r="B2056" s="13" t="s">
        <v>541</v>
      </c>
      <c r="C2056" s="11" t="s">
        <v>542</v>
      </c>
      <c r="D2056" s="13" t="s">
        <v>10566</v>
      </c>
      <c r="E2056" s="13" t="s">
        <v>10567</v>
      </c>
      <c r="F2056" s="13" t="s">
        <v>10568</v>
      </c>
      <c r="G2056" s="13" t="s">
        <v>10569</v>
      </c>
      <c r="H2056" s="13" t="s">
        <v>10570</v>
      </c>
    </row>
    <row r="2057" customFormat="false" ht="15" hidden="false" customHeight="true" outlineLevel="0" collapsed="false">
      <c r="A2057" s="13" t="s">
        <v>252</v>
      </c>
      <c r="B2057" s="13" t="s">
        <v>548</v>
      </c>
      <c r="C2057" s="11" t="s">
        <v>549</v>
      </c>
      <c r="D2057" s="13" t="s">
        <v>10571</v>
      </c>
      <c r="E2057" s="13" t="s">
        <v>10572</v>
      </c>
      <c r="F2057" s="13" t="s">
        <v>10573</v>
      </c>
      <c r="G2057" s="13" t="s">
        <v>10574</v>
      </c>
      <c r="H2057" s="13" t="s">
        <v>10575</v>
      </c>
    </row>
    <row r="2058" customFormat="false" ht="15" hidden="false" customHeight="true" outlineLevel="0" collapsed="false">
      <c r="A2058" s="13" t="s">
        <v>252</v>
      </c>
      <c r="B2058" s="13" t="s">
        <v>555</v>
      </c>
      <c r="C2058" s="11" t="s">
        <v>556</v>
      </c>
      <c r="D2058" s="13" t="s">
        <v>10576</v>
      </c>
      <c r="E2058" s="13" t="s">
        <v>10577</v>
      </c>
      <c r="F2058" s="13" t="s">
        <v>10578</v>
      </c>
      <c r="G2058" s="13" t="s">
        <v>10579</v>
      </c>
      <c r="H2058" s="13" t="s">
        <v>10580</v>
      </c>
    </row>
    <row r="2059" customFormat="false" ht="15" hidden="false" customHeight="true" outlineLevel="0" collapsed="false">
      <c r="A2059" s="13" t="s">
        <v>252</v>
      </c>
      <c r="B2059" s="13" t="s">
        <v>562</v>
      </c>
      <c r="C2059" s="11" t="s">
        <v>563</v>
      </c>
      <c r="D2059" s="13" t="s">
        <v>10581</v>
      </c>
      <c r="E2059" s="13" t="s">
        <v>10582</v>
      </c>
      <c r="F2059" s="13" t="s">
        <v>10583</v>
      </c>
      <c r="G2059" s="13" t="s">
        <v>10584</v>
      </c>
      <c r="H2059" s="13" t="s">
        <v>10585</v>
      </c>
    </row>
    <row r="2060" customFormat="false" ht="15" hidden="false" customHeight="true" outlineLevel="0" collapsed="false">
      <c r="A2060" s="13" t="s">
        <v>252</v>
      </c>
      <c r="B2060" s="13" t="s">
        <v>569</v>
      </c>
      <c r="C2060" s="11" t="s">
        <v>570</v>
      </c>
      <c r="D2060" s="13" t="s">
        <v>10586</v>
      </c>
      <c r="E2060" s="13" t="s">
        <v>10587</v>
      </c>
      <c r="F2060" s="13" t="s">
        <v>10588</v>
      </c>
      <c r="G2060" s="13" t="s">
        <v>10589</v>
      </c>
      <c r="H2060" s="13" t="s">
        <v>10590</v>
      </c>
    </row>
    <row r="2061" customFormat="false" ht="15" hidden="false" customHeight="true" outlineLevel="0" collapsed="false">
      <c r="A2061" s="13" t="s">
        <v>252</v>
      </c>
      <c r="B2061" s="13" t="s">
        <v>576</v>
      </c>
      <c r="C2061" s="11" t="s">
        <v>577</v>
      </c>
      <c r="D2061" s="13" t="s">
        <v>10591</v>
      </c>
      <c r="E2061" s="13" t="s">
        <v>10592</v>
      </c>
      <c r="F2061" s="13" t="s">
        <v>10593</v>
      </c>
      <c r="G2061" s="13" t="s">
        <v>10594</v>
      </c>
      <c r="H2061" s="13" t="s">
        <v>10595</v>
      </c>
    </row>
    <row r="2062" customFormat="false" ht="15" hidden="false" customHeight="true" outlineLevel="0" collapsed="false">
      <c r="A2062" s="13" t="s">
        <v>252</v>
      </c>
      <c r="B2062" s="13" t="s">
        <v>583</v>
      </c>
      <c r="C2062" s="11" t="s">
        <v>584</v>
      </c>
      <c r="D2062" s="13" t="s">
        <v>10596</v>
      </c>
      <c r="E2062" s="13" t="s">
        <v>10597</v>
      </c>
      <c r="F2062" s="13" t="s">
        <v>10598</v>
      </c>
      <c r="G2062" s="13" t="s">
        <v>10599</v>
      </c>
      <c r="H2062" s="13" t="s">
        <v>10600</v>
      </c>
    </row>
    <row r="2063" customFormat="false" ht="15" hidden="false" customHeight="true" outlineLevel="0" collapsed="false">
      <c r="A2063" s="13" t="s">
        <v>252</v>
      </c>
      <c r="B2063" s="13" t="s">
        <v>590</v>
      </c>
      <c r="C2063" s="11" t="s">
        <v>591</v>
      </c>
      <c r="D2063" s="13" t="s">
        <v>10601</v>
      </c>
      <c r="E2063" s="13" t="s">
        <v>10602</v>
      </c>
      <c r="F2063" s="13" t="s">
        <v>4784</v>
      </c>
      <c r="G2063" s="13" t="s">
        <v>10603</v>
      </c>
      <c r="H2063" s="13" t="s">
        <v>10604</v>
      </c>
    </row>
    <row r="2064" customFormat="false" ht="15" hidden="false" customHeight="true" outlineLevel="0" collapsed="false">
      <c r="A2064" s="13" t="s">
        <v>252</v>
      </c>
      <c r="B2064" s="13" t="s">
        <v>597</v>
      </c>
      <c r="C2064" s="11" t="s">
        <v>598</v>
      </c>
      <c r="D2064" s="13" t="s">
        <v>10605</v>
      </c>
      <c r="E2064" s="13" t="s">
        <v>10606</v>
      </c>
      <c r="F2064" s="13" t="s">
        <v>10607</v>
      </c>
      <c r="G2064" s="13" t="s">
        <v>10608</v>
      </c>
      <c r="H2064" s="13" t="s">
        <v>10609</v>
      </c>
    </row>
    <row r="2065" customFormat="false" ht="15" hidden="false" customHeight="true" outlineLevel="0" collapsed="false">
      <c r="A2065" s="13" t="s">
        <v>252</v>
      </c>
      <c r="B2065" s="13" t="s">
        <v>604</v>
      </c>
      <c r="C2065" s="11" t="s">
        <v>605</v>
      </c>
      <c r="D2065" s="13" t="s">
        <v>10610</v>
      </c>
      <c r="E2065" s="13" t="s">
        <v>10611</v>
      </c>
      <c r="F2065" s="13" t="s">
        <v>10612</v>
      </c>
      <c r="G2065" s="13" t="s">
        <v>10613</v>
      </c>
      <c r="H2065" s="13" t="s">
        <v>10614</v>
      </c>
    </row>
    <row r="2066" customFormat="false" ht="15" hidden="false" customHeight="true" outlineLevel="0" collapsed="false">
      <c r="A2066" s="13" t="s">
        <v>252</v>
      </c>
      <c r="B2066" s="13" t="s">
        <v>611</v>
      </c>
      <c r="C2066" s="11" t="s">
        <v>612</v>
      </c>
      <c r="D2066" s="13" t="s">
        <v>10615</v>
      </c>
      <c r="E2066" s="13" t="s">
        <v>10616</v>
      </c>
      <c r="F2066" s="13" t="s">
        <v>10617</v>
      </c>
      <c r="G2066" s="13" t="s">
        <v>10618</v>
      </c>
      <c r="H2066" s="13" t="s">
        <v>10619</v>
      </c>
    </row>
    <row r="2067" customFormat="false" ht="15" hidden="false" customHeight="true" outlineLevel="0" collapsed="false">
      <c r="A2067" s="13" t="s">
        <v>252</v>
      </c>
      <c r="B2067" s="13" t="s">
        <v>618</v>
      </c>
      <c r="C2067" s="11" t="s">
        <v>619</v>
      </c>
      <c r="D2067" s="13" t="s">
        <v>10620</v>
      </c>
      <c r="E2067" s="13" t="s">
        <v>10621</v>
      </c>
      <c r="F2067" s="13" t="s">
        <v>10622</v>
      </c>
      <c r="G2067" s="13" t="s">
        <v>10623</v>
      </c>
      <c r="H2067" s="13" t="s">
        <v>10624</v>
      </c>
    </row>
    <row r="2068" customFormat="false" ht="15" hidden="false" customHeight="true" outlineLevel="0" collapsed="false">
      <c r="A2068" s="13" t="s">
        <v>252</v>
      </c>
      <c r="B2068" s="13" t="s">
        <v>625</v>
      </c>
      <c r="C2068" s="11" t="s">
        <v>626</v>
      </c>
      <c r="D2068" s="13" t="s">
        <v>10625</v>
      </c>
      <c r="E2068" s="13" t="s">
        <v>10626</v>
      </c>
      <c r="F2068" s="13" t="s">
        <v>10627</v>
      </c>
      <c r="G2068" s="13" t="s">
        <v>10628</v>
      </c>
      <c r="H2068" s="13" t="s">
        <v>10629</v>
      </c>
    </row>
    <row r="2069" customFormat="false" ht="15" hidden="false" customHeight="true" outlineLevel="0" collapsed="false">
      <c r="A2069" s="13" t="s">
        <v>252</v>
      </c>
      <c r="B2069" s="13" t="s">
        <v>632</v>
      </c>
      <c r="C2069" s="11" t="s">
        <v>633</v>
      </c>
      <c r="D2069" s="13" t="s">
        <v>10630</v>
      </c>
      <c r="E2069" s="13" t="s">
        <v>10631</v>
      </c>
      <c r="F2069" s="13" t="s">
        <v>10632</v>
      </c>
      <c r="G2069" s="13" t="s">
        <v>10633</v>
      </c>
      <c r="H2069" s="13" t="s">
        <v>10634</v>
      </c>
    </row>
    <row r="2070" customFormat="false" ht="15" hidden="false" customHeight="true" outlineLevel="0" collapsed="false">
      <c r="A2070" s="13" t="s">
        <v>252</v>
      </c>
      <c r="B2070" s="13" t="s">
        <v>639</v>
      </c>
      <c r="C2070" s="11" t="s">
        <v>640</v>
      </c>
      <c r="D2070" s="13" t="s">
        <v>10635</v>
      </c>
      <c r="E2070" s="13" t="s">
        <v>10636</v>
      </c>
      <c r="F2070" s="13" t="s">
        <v>10637</v>
      </c>
      <c r="G2070" s="13" t="s">
        <v>10638</v>
      </c>
      <c r="H2070" s="13" t="s">
        <v>10639</v>
      </c>
    </row>
    <row r="2071" customFormat="false" ht="15" hidden="false" customHeight="true" outlineLevel="0" collapsed="false">
      <c r="A2071" s="13" t="s">
        <v>252</v>
      </c>
      <c r="B2071" s="13" t="s">
        <v>646</v>
      </c>
      <c r="C2071" s="11" t="s">
        <v>647</v>
      </c>
      <c r="D2071" s="13" t="s">
        <v>10640</v>
      </c>
      <c r="E2071" s="13" t="s">
        <v>10641</v>
      </c>
      <c r="F2071" s="13" t="s">
        <v>10642</v>
      </c>
      <c r="G2071" s="13" t="s">
        <v>10643</v>
      </c>
      <c r="H2071" s="13" t="s">
        <v>10644</v>
      </c>
    </row>
    <row r="2072" customFormat="false" ht="15" hidden="false" customHeight="true" outlineLevel="0" collapsed="false">
      <c r="A2072" s="13" t="s">
        <v>252</v>
      </c>
      <c r="B2072" s="13" t="s">
        <v>653</v>
      </c>
      <c r="C2072" s="11" t="s">
        <v>654</v>
      </c>
      <c r="D2072" s="13" t="s">
        <v>3629</v>
      </c>
      <c r="E2072" s="13" t="s">
        <v>2673</v>
      </c>
      <c r="F2072" s="13" t="s">
        <v>10645</v>
      </c>
      <c r="G2072" s="13" t="s">
        <v>10646</v>
      </c>
      <c r="H2072" s="13" t="s">
        <v>10647</v>
      </c>
    </row>
    <row r="2073" customFormat="false" ht="15" hidden="false" customHeight="true" outlineLevel="0" collapsed="false">
      <c r="A2073" s="13" t="s">
        <v>252</v>
      </c>
      <c r="B2073" s="13" t="s">
        <v>660</v>
      </c>
      <c r="C2073" s="11" t="s">
        <v>661</v>
      </c>
      <c r="D2073" s="13" t="s">
        <v>7179</v>
      </c>
      <c r="E2073" s="13" t="s">
        <v>10648</v>
      </c>
      <c r="F2073" s="13" t="s">
        <v>10649</v>
      </c>
      <c r="G2073" s="13" t="s">
        <v>5556</v>
      </c>
      <c r="H2073" s="13" t="s">
        <v>10650</v>
      </c>
    </row>
    <row r="2074" customFormat="false" ht="15" hidden="false" customHeight="true" outlineLevel="0" collapsed="false">
      <c r="A2074" s="13" t="s">
        <v>252</v>
      </c>
      <c r="B2074" s="13" t="s">
        <v>667</v>
      </c>
      <c r="C2074" s="11" t="s">
        <v>668</v>
      </c>
      <c r="D2074" s="13" t="s">
        <v>10651</v>
      </c>
      <c r="E2074" s="13" t="s">
        <v>10652</v>
      </c>
      <c r="F2074" s="13" t="s">
        <v>10653</v>
      </c>
      <c r="G2074" s="13" t="s">
        <v>10654</v>
      </c>
      <c r="H2074" s="13" t="s">
        <v>10655</v>
      </c>
    </row>
    <row r="2075" customFormat="false" ht="15" hidden="false" customHeight="true" outlineLevel="0" collapsed="false">
      <c r="A2075" s="13" t="s">
        <v>252</v>
      </c>
      <c r="B2075" s="13" t="s">
        <v>674</v>
      </c>
      <c r="C2075" s="11" t="s">
        <v>675</v>
      </c>
      <c r="D2075" s="13" t="s">
        <v>10656</v>
      </c>
      <c r="E2075" s="13" t="s">
        <v>10657</v>
      </c>
      <c r="F2075" s="13" t="s">
        <v>10658</v>
      </c>
      <c r="G2075" s="13" t="s">
        <v>10659</v>
      </c>
      <c r="H2075" s="13" t="s">
        <v>10660</v>
      </c>
    </row>
    <row r="2076" customFormat="false" ht="15" hidden="false" customHeight="true" outlineLevel="0" collapsed="false">
      <c r="A2076" s="13" t="s">
        <v>252</v>
      </c>
      <c r="B2076" s="13" t="s">
        <v>681</v>
      </c>
      <c r="C2076" s="11" t="s">
        <v>682</v>
      </c>
      <c r="D2076" s="13" t="s">
        <v>10661</v>
      </c>
      <c r="E2076" s="13" t="s">
        <v>10662</v>
      </c>
      <c r="F2076" s="13" t="s">
        <v>10663</v>
      </c>
      <c r="G2076" s="13" t="s">
        <v>10664</v>
      </c>
      <c r="H2076" s="13" t="s">
        <v>10665</v>
      </c>
    </row>
    <row r="2077" customFormat="false" ht="15" hidden="false" customHeight="true" outlineLevel="0" collapsed="false">
      <c r="A2077" s="13" t="s">
        <v>252</v>
      </c>
      <c r="B2077" s="13" t="s">
        <v>688</v>
      </c>
      <c r="C2077" s="11" t="s">
        <v>689</v>
      </c>
      <c r="D2077" s="13" t="s">
        <v>10666</v>
      </c>
      <c r="E2077" s="13" t="s">
        <v>10667</v>
      </c>
      <c r="F2077" s="13" t="s">
        <v>10668</v>
      </c>
      <c r="G2077" s="13" t="s">
        <v>10669</v>
      </c>
      <c r="H2077" s="13" t="s">
        <v>10670</v>
      </c>
    </row>
    <row r="2078" customFormat="false" ht="15" hidden="false" customHeight="true" outlineLevel="0" collapsed="false">
      <c r="A2078" s="13" t="s">
        <v>252</v>
      </c>
      <c r="B2078" s="13" t="s">
        <v>695</v>
      </c>
      <c r="C2078" s="11" t="s">
        <v>696</v>
      </c>
      <c r="D2078" s="13" t="s">
        <v>10671</v>
      </c>
      <c r="E2078" s="13" t="s">
        <v>10672</v>
      </c>
      <c r="F2078" s="13" t="s">
        <v>1370</v>
      </c>
      <c r="G2078" s="13" t="s">
        <v>10673</v>
      </c>
      <c r="H2078" s="13" t="s">
        <v>10674</v>
      </c>
    </row>
    <row r="2079" customFormat="false" ht="15" hidden="false" customHeight="true" outlineLevel="0" collapsed="false">
      <c r="A2079" s="13" t="s">
        <v>252</v>
      </c>
      <c r="B2079" s="13" t="s">
        <v>702</v>
      </c>
      <c r="C2079" s="11" t="s">
        <v>703</v>
      </c>
      <c r="D2079" s="13" t="s">
        <v>10675</v>
      </c>
      <c r="E2079" s="13" t="s">
        <v>10676</v>
      </c>
      <c r="F2079" s="13" t="s">
        <v>10677</v>
      </c>
      <c r="G2079" s="13" t="s">
        <v>10678</v>
      </c>
      <c r="H2079" s="13" t="s">
        <v>10679</v>
      </c>
    </row>
    <row r="2080" customFormat="false" ht="15" hidden="false" customHeight="true" outlineLevel="0" collapsed="false">
      <c r="A2080" s="13" t="s">
        <v>252</v>
      </c>
      <c r="B2080" s="13" t="s">
        <v>709</v>
      </c>
      <c r="C2080" s="11" t="s">
        <v>710</v>
      </c>
      <c r="D2080" s="13" t="s">
        <v>10680</v>
      </c>
      <c r="E2080" s="13" t="s">
        <v>10681</v>
      </c>
      <c r="F2080" s="13" t="s">
        <v>10682</v>
      </c>
      <c r="G2080" s="13" t="s">
        <v>10683</v>
      </c>
      <c r="H2080" s="13" t="s">
        <v>10684</v>
      </c>
    </row>
    <row r="2081" customFormat="false" ht="15" hidden="false" customHeight="true" outlineLevel="0" collapsed="false">
      <c r="A2081" s="13" t="s">
        <v>252</v>
      </c>
      <c r="B2081" s="13" t="s">
        <v>716</v>
      </c>
      <c r="C2081" s="11" t="s">
        <v>717</v>
      </c>
      <c r="D2081" s="13" t="s">
        <v>10685</v>
      </c>
      <c r="E2081" s="13" t="s">
        <v>10686</v>
      </c>
      <c r="F2081" s="13" t="s">
        <v>10687</v>
      </c>
      <c r="G2081" s="13" t="s">
        <v>10688</v>
      </c>
      <c r="H2081" s="13" t="s">
        <v>10689</v>
      </c>
    </row>
    <row r="2082" customFormat="false" ht="15" hidden="false" customHeight="true" outlineLevel="0" collapsed="false">
      <c r="A2082" s="13" t="s">
        <v>252</v>
      </c>
      <c r="B2082" s="13" t="s">
        <v>723</v>
      </c>
      <c r="C2082" s="11" t="s">
        <v>724</v>
      </c>
      <c r="D2082" s="13" t="s">
        <v>10690</v>
      </c>
      <c r="E2082" s="13" t="s">
        <v>10691</v>
      </c>
      <c r="F2082" s="13" t="s">
        <v>10692</v>
      </c>
      <c r="G2082" s="13" t="s">
        <v>10693</v>
      </c>
      <c r="H2082" s="13" t="s">
        <v>10694</v>
      </c>
    </row>
    <row r="2083" customFormat="false" ht="15" hidden="false" customHeight="true" outlineLevel="0" collapsed="false">
      <c r="A2083" s="13" t="s">
        <v>252</v>
      </c>
      <c r="B2083" s="13" t="s">
        <v>730</v>
      </c>
      <c r="C2083" s="11" t="s">
        <v>731</v>
      </c>
      <c r="D2083" s="13" t="s">
        <v>10695</v>
      </c>
      <c r="E2083" s="13" t="s">
        <v>10696</v>
      </c>
      <c r="F2083" s="13" t="s">
        <v>10697</v>
      </c>
      <c r="G2083" s="13" t="s">
        <v>10698</v>
      </c>
      <c r="H2083" s="13" t="s">
        <v>1301</v>
      </c>
    </row>
    <row r="2084" customFormat="false" ht="15" hidden="false" customHeight="true" outlineLevel="0" collapsed="false">
      <c r="A2084" s="13" t="s">
        <v>252</v>
      </c>
      <c r="B2084" s="13" t="s">
        <v>737</v>
      </c>
      <c r="C2084" s="11" t="s">
        <v>738</v>
      </c>
      <c r="D2084" s="13" t="s">
        <v>10699</v>
      </c>
      <c r="E2084" s="13" t="s">
        <v>10700</v>
      </c>
      <c r="F2084" s="13" t="s">
        <v>10701</v>
      </c>
      <c r="G2084" s="13" t="s">
        <v>10702</v>
      </c>
      <c r="H2084" s="13" t="s">
        <v>10703</v>
      </c>
    </row>
    <row r="2085" customFormat="false" ht="15" hidden="false" customHeight="true" outlineLevel="0" collapsed="false">
      <c r="A2085" s="13" t="s">
        <v>252</v>
      </c>
      <c r="B2085" s="13" t="s">
        <v>744</v>
      </c>
      <c r="C2085" s="11" t="s">
        <v>745</v>
      </c>
      <c r="D2085" s="13" t="s">
        <v>10704</v>
      </c>
      <c r="E2085" s="13" t="s">
        <v>10705</v>
      </c>
      <c r="F2085" s="13" t="s">
        <v>10706</v>
      </c>
      <c r="G2085" s="13" t="s">
        <v>10707</v>
      </c>
      <c r="H2085" s="13" t="s">
        <v>10708</v>
      </c>
    </row>
    <row r="2086" customFormat="false" ht="15" hidden="false" customHeight="true" outlineLevel="0" collapsed="false">
      <c r="A2086" s="13" t="s">
        <v>252</v>
      </c>
      <c r="B2086" s="13" t="s">
        <v>751</v>
      </c>
      <c r="C2086" s="11" t="s">
        <v>752</v>
      </c>
      <c r="D2086" s="13" t="s">
        <v>10709</v>
      </c>
      <c r="E2086" s="13" t="s">
        <v>10710</v>
      </c>
      <c r="F2086" s="13" t="s">
        <v>10711</v>
      </c>
      <c r="G2086" s="13" t="s">
        <v>10712</v>
      </c>
      <c r="H2086" s="13" t="s">
        <v>10713</v>
      </c>
    </row>
    <row r="2087" customFormat="false" ht="15" hidden="false" customHeight="true" outlineLevel="0" collapsed="false">
      <c r="A2087" s="13" t="s">
        <v>252</v>
      </c>
      <c r="B2087" s="13" t="s">
        <v>758</v>
      </c>
      <c r="C2087" s="11" t="s">
        <v>759</v>
      </c>
      <c r="D2087" s="13" t="s">
        <v>10714</v>
      </c>
      <c r="E2087" s="13" t="s">
        <v>10715</v>
      </c>
      <c r="F2087" s="13" t="s">
        <v>10716</v>
      </c>
      <c r="G2087" s="13" t="s">
        <v>10717</v>
      </c>
      <c r="H2087" s="13" t="s">
        <v>10718</v>
      </c>
    </row>
    <row r="2088" customFormat="false" ht="15" hidden="false" customHeight="true" outlineLevel="0" collapsed="false">
      <c r="A2088" s="13" t="s">
        <v>252</v>
      </c>
      <c r="B2088" s="13" t="s">
        <v>765</v>
      </c>
      <c r="C2088" s="11" t="s">
        <v>766</v>
      </c>
      <c r="D2088" s="13" t="s">
        <v>10719</v>
      </c>
      <c r="E2088" s="13" t="s">
        <v>10720</v>
      </c>
      <c r="F2088" s="13" t="s">
        <v>10721</v>
      </c>
      <c r="G2088" s="13" t="s">
        <v>10722</v>
      </c>
      <c r="H2088" s="13" t="s">
        <v>10723</v>
      </c>
    </row>
    <row r="2089" customFormat="false" ht="15" hidden="false" customHeight="true" outlineLevel="0" collapsed="false">
      <c r="A2089" s="13" t="s">
        <v>252</v>
      </c>
      <c r="B2089" s="13" t="s">
        <v>772</v>
      </c>
      <c r="C2089" s="11" t="s">
        <v>773</v>
      </c>
      <c r="D2089" s="13" t="s">
        <v>10724</v>
      </c>
      <c r="E2089" s="13" t="s">
        <v>10725</v>
      </c>
      <c r="F2089" s="13" t="s">
        <v>10726</v>
      </c>
      <c r="G2089" s="13" t="s">
        <v>10727</v>
      </c>
      <c r="H2089" s="13" t="s">
        <v>10728</v>
      </c>
    </row>
    <row r="2090" customFormat="false" ht="15" hidden="false" customHeight="true" outlineLevel="0" collapsed="false">
      <c r="A2090" s="13" t="s">
        <v>252</v>
      </c>
      <c r="B2090" s="13" t="s">
        <v>779</v>
      </c>
      <c r="C2090" s="11" t="s">
        <v>780</v>
      </c>
      <c r="D2090" s="13" t="s">
        <v>10729</v>
      </c>
      <c r="E2090" s="13" t="s">
        <v>10730</v>
      </c>
      <c r="F2090" s="13" t="s">
        <v>10731</v>
      </c>
      <c r="G2090" s="13" t="s">
        <v>10732</v>
      </c>
      <c r="H2090" s="13" t="s">
        <v>10733</v>
      </c>
    </row>
    <row r="2091" customFormat="false" ht="15" hidden="false" customHeight="true" outlineLevel="0" collapsed="false">
      <c r="A2091" s="13" t="s">
        <v>252</v>
      </c>
      <c r="B2091" s="13" t="s">
        <v>786</v>
      </c>
      <c r="C2091" s="11" t="s">
        <v>787</v>
      </c>
      <c r="D2091" s="13" t="s">
        <v>10734</v>
      </c>
      <c r="E2091" s="13" t="s">
        <v>10735</v>
      </c>
      <c r="F2091" s="13" t="s">
        <v>10736</v>
      </c>
      <c r="G2091" s="13" t="s">
        <v>10737</v>
      </c>
      <c r="H2091" s="13" t="s">
        <v>10738</v>
      </c>
    </row>
    <row r="2092" customFormat="false" ht="15" hidden="false" customHeight="true" outlineLevel="0" collapsed="false">
      <c r="A2092" s="13" t="s">
        <v>252</v>
      </c>
      <c r="B2092" s="13" t="s">
        <v>793</v>
      </c>
      <c r="C2092" s="11" t="s">
        <v>794</v>
      </c>
      <c r="D2092" s="13" t="s">
        <v>10739</v>
      </c>
      <c r="E2092" s="13" t="s">
        <v>10740</v>
      </c>
      <c r="F2092" s="13" t="s">
        <v>10741</v>
      </c>
      <c r="G2092" s="13" t="s">
        <v>10742</v>
      </c>
      <c r="H2092" s="13" t="s">
        <v>10743</v>
      </c>
    </row>
    <row r="2093" customFormat="false" ht="15" hidden="false" customHeight="true" outlineLevel="0" collapsed="false">
      <c r="A2093" s="13" t="s">
        <v>252</v>
      </c>
      <c r="B2093" s="13" t="s">
        <v>800</v>
      </c>
      <c r="C2093" s="11" t="s">
        <v>801</v>
      </c>
      <c r="D2093" s="13" t="s">
        <v>2677</v>
      </c>
      <c r="E2093" s="13" t="s">
        <v>10744</v>
      </c>
      <c r="F2093" s="13" t="s">
        <v>10745</v>
      </c>
      <c r="G2093" s="13" t="s">
        <v>10746</v>
      </c>
      <c r="H2093" s="13" t="s">
        <v>10747</v>
      </c>
    </row>
    <row r="2094" customFormat="false" ht="15" hidden="false" customHeight="true" outlineLevel="0" collapsed="false">
      <c r="A2094" s="13" t="s">
        <v>252</v>
      </c>
      <c r="B2094" s="13" t="s">
        <v>806</v>
      </c>
      <c r="C2094" s="11" t="s">
        <v>807</v>
      </c>
      <c r="D2094" s="13" t="s">
        <v>10748</v>
      </c>
      <c r="E2094" s="13" t="s">
        <v>10749</v>
      </c>
      <c r="F2094" s="13" t="s">
        <v>10750</v>
      </c>
      <c r="G2094" s="13" t="s">
        <v>10751</v>
      </c>
      <c r="H2094" s="13" t="s">
        <v>10752</v>
      </c>
    </row>
    <row r="2095" customFormat="false" ht="15" hidden="false" customHeight="true" outlineLevel="0" collapsed="false">
      <c r="A2095" s="13" t="s">
        <v>252</v>
      </c>
      <c r="B2095" s="13" t="s">
        <v>813</v>
      </c>
      <c r="C2095" s="11" t="s">
        <v>814</v>
      </c>
      <c r="D2095" s="13" t="s">
        <v>10753</v>
      </c>
      <c r="E2095" s="13" t="s">
        <v>10754</v>
      </c>
      <c r="F2095" s="13" t="s">
        <v>10755</v>
      </c>
      <c r="G2095" s="13" t="s">
        <v>10756</v>
      </c>
      <c r="H2095" s="13" t="s">
        <v>10757</v>
      </c>
    </row>
    <row r="2096" customFormat="false" ht="15" hidden="false" customHeight="true" outlineLevel="0" collapsed="false">
      <c r="A2096" s="13" t="s">
        <v>252</v>
      </c>
      <c r="B2096" s="13" t="s">
        <v>820</v>
      </c>
      <c r="C2096" s="11" t="s">
        <v>821</v>
      </c>
      <c r="D2096" s="13" t="s">
        <v>10758</v>
      </c>
      <c r="E2096" s="13" t="s">
        <v>10759</v>
      </c>
      <c r="F2096" s="13" t="s">
        <v>10760</v>
      </c>
      <c r="G2096" s="13" t="s">
        <v>10761</v>
      </c>
      <c r="H2096" s="13" t="s">
        <v>10762</v>
      </c>
    </row>
    <row r="2097" customFormat="false" ht="15" hidden="false" customHeight="true" outlineLevel="0" collapsed="false">
      <c r="A2097" s="13" t="s">
        <v>252</v>
      </c>
      <c r="B2097" s="13" t="s">
        <v>827</v>
      </c>
      <c r="C2097" s="11" t="s">
        <v>828</v>
      </c>
      <c r="D2097" s="13" t="s">
        <v>10763</v>
      </c>
      <c r="E2097" s="13" t="s">
        <v>10764</v>
      </c>
      <c r="F2097" s="13" t="s">
        <v>10765</v>
      </c>
      <c r="G2097" s="13" t="s">
        <v>10766</v>
      </c>
      <c r="H2097" s="13" t="s">
        <v>10767</v>
      </c>
    </row>
    <row r="2098" customFormat="false" ht="15" hidden="false" customHeight="true" outlineLevel="0" collapsed="false">
      <c r="A2098" s="13" t="s">
        <v>252</v>
      </c>
      <c r="B2098" s="13" t="s">
        <v>834</v>
      </c>
      <c r="C2098" s="11" t="s">
        <v>835</v>
      </c>
      <c r="D2098" s="13" t="s">
        <v>10768</v>
      </c>
      <c r="E2098" s="13" t="s">
        <v>10769</v>
      </c>
      <c r="F2098" s="13" t="s">
        <v>10770</v>
      </c>
      <c r="G2098" s="13" t="s">
        <v>10771</v>
      </c>
      <c r="H2098" s="13" t="s">
        <v>10772</v>
      </c>
    </row>
    <row r="2099" customFormat="false" ht="15" hidden="false" customHeight="true" outlineLevel="0" collapsed="false">
      <c r="A2099" s="13" t="s">
        <v>252</v>
      </c>
      <c r="B2099" s="13" t="s">
        <v>841</v>
      </c>
      <c r="C2099" s="11" t="s">
        <v>842</v>
      </c>
      <c r="D2099" s="13" t="s">
        <v>10773</v>
      </c>
      <c r="E2099" s="13" t="s">
        <v>10774</v>
      </c>
      <c r="F2099" s="13" t="s">
        <v>10775</v>
      </c>
      <c r="G2099" s="13" t="s">
        <v>10776</v>
      </c>
      <c r="H2099" s="13" t="s">
        <v>10777</v>
      </c>
    </row>
    <row r="2100" customFormat="false" ht="15" hidden="false" customHeight="true" outlineLevel="0" collapsed="false">
      <c r="A2100" s="13" t="s">
        <v>252</v>
      </c>
      <c r="B2100" s="13" t="s">
        <v>848</v>
      </c>
      <c r="C2100" s="11" t="s">
        <v>849</v>
      </c>
      <c r="D2100" s="13" t="s">
        <v>10778</v>
      </c>
      <c r="E2100" s="13" t="s">
        <v>10779</v>
      </c>
      <c r="F2100" s="13" t="s">
        <v>10780</v>
      </c>
      <c r="G2100" s="13" t="s">
        <v>10781</v>
      </c>
      <c r="H2100" s="13" t="s">
        <v>10782</v>
      </c>
    </row>
    <row r="2101" customFormat="false" ht="15" hidden="false" customHeight="true" outlineLevel="0" collapsed="false">
      <c r="A2101" s="13" t="s">
        <v>252</v>
      </c>
      <c r="B2101" s="13" t="s">
        <v>855</v>
      </c>
      <c r="C2101" s="11" t="s">
        <v>856</v>
      </c>
      <c r="D2101" s="13" t="s">
        <v>10783</v>
      </c>
      <c r="E2101" s="13" t="s">
        <v>10784</v>
      </c>
      <c r="F2101" s="13" t="s">
        <v>10785</v>
      </c>
      <c r="G2101" s="13" t="s">
        <v>10786</v>
      </c>
      <c r="H2101" s="13" t="s">
        <v>10787</v>
      </c>
    </row>
    <row r="2102" customFormat="false" ht="15" hidden="false" customHeight="true" outlineLevel="0" collapsed="false">
      <c r="A2102" s="13" t="s">
        <v>252</v>
      </c>
      <c r="B2102" s="13" t="s">
        <v>862</v>
      </c>
      <c r="C2102" s="11" t="s">
        <v>863</v>
      </c>
      <c r="D2102" s="13" t="s">
        <v>10788</v>
      </c>
      <c r="E2102" s="13" t="s">
        <v>10789</v>
      </c>
      <c r="F2102" s="13" t="s">
        <v>10790</v>
      </c>
      <c r="G2102" s="13" t="s">
        <v>10791</v>
      </c>
      <c r="H2102" s="13" t="s">
        <v>10792</v>
      </c>
    </row>
    <row r="2103" customFormat="false" ht="15" hidden="false" customHeight="true" outlineLevel="0" collapsed="false">
      <c r="A2103" s="13" t="s">
        <v>252</v>
      </c>
      <c r="B2103" s="13" t="s">
        <v>869</v>
      </c>
      <c r="C2103" s="11" t="s">
        <v>870</v>
      </c>
      <c r="D2103" s="13" t="s">
        <v>10793</v>
      </c>
      <c r="E2103" s="13" t="s">
        <v>10794</v>
      </c>
      <c r="F2103" s="13" t="s">
        <v>10795</v>
      </c>
      <c r="G2103" s="13" t="s">
        <v>10796</v>
      </c>
      <c r="H2103" s="13" t="s">
        <v>10797</v>
      </c>
    </row>
    <row r="2104" customFormat="false" ht="15" hidden="false" customHeight="true" outlineLevel="0" collapsed="false">
      <c r="A2104" s="13" t="s">
        <v>252</v>
      </c>
      <c r="B2104" s="13" t="s">
        <v>876</v>
      </c>
      <c r="C2104" s="11" t="s">
        <v>877</v>
      </c>
      <c r="D2104" s="13" t="s">
        <v>10798</v>
      </c>
      <c r="E2104" s="13" t="s">
        <v>9798</v>
      </c>
      <c r="F2104" s="13" t="s">
        <v>10799</v>
      </c>
      <c r="G2104" s="13" t="s">
        <v>10800</v>
      </c>
      <c r="H2104" s="13" t="s">
        <v>10801</v>
      </c>
    </row>
    <row r="2105" customFormat="false" ht="15" hidden="false" customHeight="true" outlineLevel="0" collapsed="false">
      <c r="A2105" s="13" t="s">
        <v>252</v>
      </c>
      <c r="B2105" s="13" t="s">
        <v>883</v>
      </c>
      <c r="C2105" s="11" t="s">
        <v>884</v>
      </c>
      <c r="D2105" s="13" t="s">
        <v>10802</v>
      </c>
      <c r="E2105" s="13" t="s">
        <v>2855</v>
      </c>
      <c r="F2105" s="13" t="s">
        <v>10803</v>
      </c>
      <c r="G2105" s="13" t="s">
        <v>10804</v>
      </c>
      <c r="H2105" s="13" t="s">
        <v>10805</v>
      </c>
    </row>
    <row r="2106" customFormat="false" ht="15" hidden="false" customHeight="true" outlineLevel="0" collapsed="false">
      <c r="A2106" s="13" t="s">
        <v>252</v>
      </c>
      <c r="B2106" s="13" t="s">
        <v>890</v>
      </c>
      <c r="C2106" s="11" t="s">
        <v>891</v>
      </c>
      <c r="D2106" s="13" t="s">
        <v>10806</v>
      </c>
      <c r="E2106" s="13" t="s">
        <v>10807</v>
      </c>
      <c r="F2106" s="13" t="s">
        <v>10808</v>
      </c>
      <c r="G2106" s="13" t="s">
        <v>10809</v>
      </c>
      <c r="H2106" s="13" t="s">
        <v>10810</v>
      </c>
    </row>
    <row r="2107" customFormat="false" ht="15" hidden="false" customHeight="true" outlineLevel="0" collapsed="false">
      <c r="A2107" s="13" t="s">
        <v>252</v>
      </c>
      <c r="B2107" s="13" t="s">
        <v>897</v>
      </c>
      <c r="C2107" s="11" t="s">
        <v>898</v>
      </c>
      <c r="D2107" s="13" t="s">
        <v>10811</v>
      </c>
      <c r="E2107" s="13" t="s">
        <v>10812</v>
      </c>
      <c r="F2107" s="13" t="s">
        <v>10813</v>
      </c>
      <c r="G2107" s="13" t="s">
        <v>10814</v>
      </c>
      <c r="H2107" s="13" t="s">
        <v>10815</v>
      </c>
    </row>
    <row r="2108" customFormat="false" ht="15" hidden="false" customHeight="true" outlineLevel="0" collapsed="false">
      <c r="A2108" s="13" t="s">
        <v>252</v>
      </c>
      <c r="B2108" s="13" t="s">
        <v>904</v>
      </c>
      <c r="C2108" s="11" t="s">
        <v>905</v>
      </c>
      <c r="D2108" s="13" t="s">
        <v>10816</v>
      </c>
      <c r="E2108" s="13" t="s">
        <v>10817</v>
      </c>
      <c r="F2108" s="13" t="s">
        <v>10818</v>
      </c>
      <c r="G2108" s="13" t="s">
        <v>10819</v>
      </c>
      <c r="H2108" s="13" t="s">
        <v>10820</v>
      </c>
    </row>
    <row r="2109" customFormat="false" ht="15" hidden="false" customHeight="true" outlineLevel="0" collapsed="false">
      <c r="A2109" s="13" t="s">
        <v>252</v>
      </c>
      <c r="B2109" s="13" t="s">
        <v>911</v>
      </c>
      <c r="C2109" s="11" t="s">
        <v>912</v>
      </c>
      <c r="D2109" s="13" t="s">
        <v>10821</v>
      </c>
      <c r="E2109" s="13" t="s">
        <v>10822</v>
      </c>
      <c r="F2109" s="13" t="s">
        <v>10823</v>
      </c>
      <c r="G2109" s="13" t="s">
        <v>10824</v>
      </c>
      <c r="H2109" s="13" t="s">
        <v>10825</v>
      </c>
    </row>
    <row r="2110" customFormat="false" ht="15" hidden="false" customHeight="true" outlineLevel="0" collapsed="false">
      <c r="A2110" s="13" t="s">
        <v>252</v>
      </c>
      <c r="B2110" s="13" t="s">
        <v>918</v>
      </c>
      <c r="C2110" s="11" t="s">
        <v>919</v>
      </c>
      <c r="D2110" s="13" t="s">
        <v>10826</v>
      </c>
      <c r="E2110" s="13" t="s">
        <v>10827</v>
      </c>
      <c r="F2110" s="13" t="s">
        <v>10828</v>
      </c>
      <c r="G2110" s="13" t="s">
        <v>10829</v>
      </c>
      <c r="H2110" s="13" t="s">
        <v>10830</v>
      </c>
    </row>
    <row r="2111" customFormat="false" ht="15" hidden="false" customHeight="true" outlineLevel="0" collapsed="false">
      <c r="A2111" s="13" t="s">
        <v>252</v>
      </c>
      <c r="B2111" s="13" t="s">
        <v>925</v>
      </c>
      <c r="C2111" s="11" t="s">
        <v>926</v>
      </c>
      <c r="D2111" s="13" t="s">
        <v>10831</v>
      </c>
      <c r="E2111" s="13" t="s">
        <v>10832</v>
      </c>
      <c r="F2111" s="13" t="s">
        <v>10833</v>
      </c>
      <c r="G2111" s="13" t="s">
        <v>10834</v>
      </c>
      <c r="H2111" s="13" t="s">
        <v>10835</v>
      </c>
    </row>
    <row r="2112" customFormat="false" ht="15" hidden="false" customHeight="true" outlineLevel="0" collapsed="false">
      <c r="A2112" s="13" t="s">
        <v>252</v>
      </c>
      <c r="B2112" s="13" t="s">
        <v>932</v>
      </c>
      <c r="C2112" s="11" t="s">
        <v>933</v>
      </c>
      <c r="D2112" s="13" t="s">
        <v>10836</v>
      </c>
      <c r="E2112" s="13" t="s">
        <v>10837</v>
      </c>
      <c r="F2112" s="13" t="s">
        <v>10838</v>
      </c>
      <c r="G2112" s="13" t="s">
        <v>10839</v>
      </c>
      <c r="H2112" s="13" t="s">
        <v>7089</v>
      </c>
    </row>
    <row r="2113" customFormat="false" ht="15" hidden="false" customHeight="true" outlineLevel="0" collapsed="false">
      <c r="A2113" s="13" t="s">
        <v>252</v>
      </c>
      <c r="B2113" s="13" t="s">
        <v>939</v>
      </c>
      <c r="C2113" s="11" t="s">
        <v>940</v>
      </c>
      <c r="D2113" s="13" t="s">
        <v>10840</v>
      </c>
      <c r="E2113" s="13" t="s">
        <v>10841</v>
      </c>
      <c r="F2113" s="13" t="s">
        <v>10842</v>
      </c>
      <c r="G2113" s="13" t="s">
        <v>10843</v>
      </c>
      <c r="H2113" s="13" t="s">
        <v>10844</v>
      </c>
    </row>
    <row r="2114" customFormat="false" ht="15" hidden="false" customHeight="true" outlineLevel="0" collapsed="false">
      <c r="A2114" s="13" t="s">
        <v>252</v>
      </c>
      <c r="B2114" s="13" t="s">
        <v>946</v>
      </c>
      <c r="C2114" s="11" t="s">
        <v>947</v>
      </c>
      <c r="D2114" s="13" t="s">
        <v>10845</v>
      </c>
      <c r="E2114" s="13" t="s">
        <v>10846</v>
      </c>
      <c r="F2114" s="13" t="s">
        <v>10847</v>
      </c>
      <c r="G2114" s="13" t="s">
        <v>10848</v>
      </c>
      <c r="H2114" s="13" t="s">
        <v>10849</v>
      </c>
    </row>
    <row r="2115" customFormat="false" ht="15" hidden="false" customHeight="true" outlineLevel="0" collapsed="false">
      <c r="A2115" s="13" t="s">
        <v>252</v>
      </c>
      <c r="B2115" s="13" t="s">
        <v>953</v>
      </c>
      <c r="C2115" s="11" t="s">
        <v>954</v>
      </c>
      <c r="D2115" s="13" t="s">
        <v>10850</v>
      </c>
      <c r="E2115" s="13" t="s">
        <v>10851</v>
      </c>
      <c r="F2115" s="13" t="s">
        <v>10852</v>
      </c>
      <c r="G2115" s="13" t="s">
        <v>10853</v>
      </c>
      <c r="H2115" s="13" t="s">
        <v>10854</v>
      </c>
    </row>
    <row r="2116" customFormat="false" ht="15" hidden="false" customHeight="true" outlineLevel="0" collapsed="false">
      <c r="A2116" s="13" t="s">
        <v>252</v>
      </c>
      <c r="B2116" s="13" t="s">
        <v>960</v>
      </c>
      <c r="C2116" s="11" t="s">
        <v>961</v>
      </c>
      <c r="D2116" s="13" t="s">
        <v>10855</v>
      </c>
      <c r="E2116" s="13" t="s">
        <v>10856</v>
      </c>
      <c r="F2116" s="13" t="s">
        <v>10857</v>
      </c>
      <c r="G2116" s="13" t="s">
        <v>10858</v>
      </c>
      <c r="H2116" s="13" t="s">
        <v>10859</v>
      </c>
    </row>
    <row r="2117" customFormat="false" ht="15" hidden="false" customHeight="true" outlineLevel="0" collapsed="false">
      <c r="A2117" s="13" t="s">
        <v>252</v>
      </c>
      <c r="B2117" s="13" t="s">
        <v>967</v>
      </c>
      <c r="C2117" s="11" t="s">
        <v>968</v>
      </c>
      <c r="D2117" s="13" t="s">
        <v>10860</v>
      </c>
      <c r="E2117" s="13" t="s">
        <v>10861</v>
      </c>
      <c r="F2117" s="13" t="s">
        <v>10862</v>
      </c>
      <c r="G2117" s="13" t="s">
        <v>10863</v>
      </c>
      <c r="H2117" s="13" t="s">
        <v>10864</v>
      </c>
    </row>
    <row r="2118" customFormat="false" ht="15" hidden="false" customHeight="true" outlineLevel="0" collapsed="false">
      <c r="A2118" s="13" t="s">
        <v>252</v>
      </c>
      <c r="B2118" s="13" t="s">
        <v>974</v>
      </c>
      <c r="C2118" s="11" t="s">
        <v>975</v>
      </c>
      <c r="D2118" s="13" t="s">
        <v>10865</v>
      </c>
      <c r="E2118" s="13" t="s">
        <v>10866</v>
      </c>
      <c r="F2118" s="13" t="s">
        <v>10867</v>
      </c>
      <c r="G2118" s="13" t="s">
        <v>10868</v>
      </c>
      <c r="H2118" s="13" t="s">
        <v>10869</v>
      </c>
    </row>
    <row r="2119" customFormat="false" ht="15" hidden="false" customHeight="true" outlineLevel="0" collapsed="false">
      <c r="A2119" s="13" t="s">
        <v>252</v>
      </c>
      <c r="B2119" s="13" t="s">
        <v>981</v>
      </c>
      <c r="C2119" s="11" t="s">
        <v>982</v>
      </c>
      <c r="D2119" s="13" t="s">
        <v>10870</v>
      </c>
      <c r="E2119" s="13" t="s">
        <v>10871</v>
      </c>
      <c r="F2119" s="13" t="s">
        <v>10872</v>
      </c>
      <c r="G2119" s="13" t="s">
        <v>10873</v>
      </c>
      <c r="H2119" s="13" t="s">
        <v>10874</v>
      </c>
    </row>
    <row r="2120" customFormat="false" ht="15" hidden="false" customHeight="true" outlineLevel="0" collapsed="false">
      <c r="A2120" s="13" t="s">
        <v>252</v>
      </c>
      <c r="B2120" s="13" t="s">
        <v>988</v>
      </c>
      <c r="C2120" s="11" t="s">
        <v>989</v>
      </c>
      <c r="D2120" s="13" t="s">
        <v>10875</v>
      </c>
      <c r="E2120" s="13" t="s">
        <v>10876</v>
      </c>
      <c r="F2120" s="13" t="s">
        <v>10877</v>
      </c>
      <c r="G2120" s="13" t="s">
        <v>10878</v>
      </c>
      <c r="H2120" s="13" t="s">
        <v>10879</v>
      </c>
    </row>
    <row r="2121" customFormat="false" ht="15" hidden="false" customHeight="true" outlineLevel="0" collapsed="false">
      <c r="A2121" s="13" t="s">
        <v>252</v>
      </c>
      <c r="B2121" s="13" t="s">
        <v>995</v>
      </c>
      <c r="C2121" s="11" t="s">
        <v>996</v>
      </c>
      <c r="D2121" s="13" t="s">
        <v>10880</v>
      </c>
      <c r="E2121" s="13" t="s">
        <v>10881</v>
      </c>
      <c r="F2121" s="13" t="s">
        <v>10882</v>
      </c>
      <c r="G2121" s="13" t="s">
        <v>10883</v>
      </c>
      <c r="H2121" s="13" t="s">
        <v>10884</v>
      </c>
    </row>
    <row r="2122" customFormat="false" ht="15" hidden="false" customHeight="true" outlineLevel="0" collapsed="false">
      <c r="A2122" s="13" t="s">
        <v>252</v>
      </c>
      <c r="B2122" s="13" t="s">
        <v>1002</v>
      </c>
      <c r="C2122" s="11" t="s">
        <v>1003</v>
      </c>
      <c r="D2122" s="13" t="s">
        <v>10885</v>
      </c>
      <c r="E2122" s="13" t="s">
        <v>10886</v>
      </c>
      <c r="F2122" s="13" t="s">
        <v>10887</v>
      </c>
      <c r="G2122" s="13" t="s">
        <v>10888</v>
      </c>
      <c r="H2122" s="13" t="s">
        <v>10889</v>
      </c>
    </row>
    <row r="2123" customFormat="false" ht="15" hidden="false" customHeight="true" outlineLevel="0" collapsed="false">
      <c r="A2123" s="13" t="s">
        <v>252</v>
      </c>
      <c r="B2123" s="13" t="s">
        <v>1009</v>
      </c>
      <c r="C2123" s="11" t="s">
        <v>1010</v>
      </c>
      <c r="D2123" s="13" t="s">
        <v>10890</v>
      </c>
      <c r="E2123" s="13" t="s">
        <v>10891</v>
      </c>
      <c r="F2123" s="13" t="s">
        <v>10892</v>
      </c>
      <c r="G2123" s="13" t="s">
        <v>10893</v>
      </c>
      <c r="H2123" s="13" t="s">
        <v>10894</v>
      </c>
    </row>
    <row r="2124" customFormat="false" ht="15" hidden="false" customHeight="true" outlineLevel="0" collapsed="false">
      <c r="A2124" s="13" t="s">
        <v>260</v>
      </c>
      <c r="B2124" s="13" t="s">
        <v>345</v>
      </c>
      <c r="C2124" s="11" t="s">
        <v>346</v>
      </c>
      <c r="D2124" s="13" t="s">
        <v>10895</v>
      </c>
      <c r="E2124" s="13" t="s">
        <v>3432</v>
      </c>
      <c r="F2124" s="13" t="s">
        <v>10896</v>
      </c>
      <c r="G2124" s="13" t="s">
        <v>10897</v>
      </c>
      <c r="H2124" s="13" t="s">
        <v>10898</v>
      </c>
    </row>
    <row r="2125" customFormat="false" ht="15" hidden="false" customHeight="true" outlineLevel="0" collapsed="false">
      <c r="A2125" s="13" t="s">
        <v>260</v>
      </c>
      <c r="B2125" s="13" t="s">
        <v>352</v>
      </c>
      <c r="C2125" s="11" t="s">
        <v>353</v>
      </c>
      <c r="D2125" s="13" t="s">
        <v>10899</v>
      </c>
      <c r="E2125" s="13" t="s">
        <v>10900</v>
      </c>
      <c r="F2125" s="13" t="s">
        <v>10901</v>
      </c>
      <c r="G2125" s="13" t="s">
        <v>10902</v>
      </c>
      <c r="H2125" s="13" t="s">
        <v>10903</v>
      </c>
    </row>
    <row r="2126" customFormat="false" ht="15" hidden="false" customHeight="true" outlineLevel="0" collapsed="false">
      <c r="A2126" s="13" t="s">
        <v>260</v>
      </c>
      <c r="B2126" s="13" t="s">
        <v>359</v>
      </c>
      <c r="C2126" s="11" t="s">
        <v>360</v>
      </c>
      <c r="D2126" s="13" t="s">
        <v>10904</v>
      </c>
      <c r="E2126" s="13" t="s">
        <v>10905</v>
      </c>
      <c r="F2126" s="13" t="s">
        <v>10906</v>
      </c>
      <c r="G2126" s="13" t="s">
        <v>10907</v>
      </c>
      <c r="H2126" s="13" t="s">
        <v>10908</v>
      </c>
    </row>
    <row r="2127" customFormat="false" ht="15" hidden="false" customHeight="true" outlineLevel="0" collapsed="false">
      <c r="A2127" s="13" t="s">
        <v>260</v>
      </c>
      <c r="B2127" s="13" t="s">
        <v>366</v>
      </c>
      <c r="C2127" s="11" t="s">
        <v>367</v>
      </c>
      <c r="D2127" s="13" t="s">
        <v>10909</v>
      </c>
      <c r="E2127" s="13" t="s">
        <v>10910</v>
      </c>
      <c r="F2127" s="13" t="s">
        <v>10911</v>
      </c>
      <c r="G2127" s="13" t="s">
        <v>10912</v>
      </c>
      <c r="H2127" s="13" t="s">
        <v>10913</v>
      </c>
    </row>
    <row r="2128" customFormat="false" ht="15" hidden="false" customHeight="true" outlineLevel="0" collapsed="false">
      <c r="A2128" s="13" t="s">
        <v>260</v>
      </c>
      <c r="B2128" s="13" t="s">
        <v>373</v>
      </c>
      <c r="C2128" s="11" t="s">
        <v>374</v>
      </c>
      <c r="D2128" s="13" t="s">
        <v>10914</v>
      </c>
      <c r="E2128" s="13" t="s">
        <v>10915</v>
      </c>
      <c r="F2128" s="13" t="s">
        <v>10916</v>
      </c>
      <c r="G2128" s="13" t="s">
        <v>10917</v>
      </c>
      <c r="H2128" s="13" t="s">
        <v>10918</v>
      </c>
    </row>
    <row r="2129" customFormat="false" ht="15" hidden="false" customHeight="true" outlineLevel="0" collapsed="false">
      <c r="A2129" s="13" t="s">
        <v>260</v>
      </c>
      <c r="B2129" s="13" t="s">
        <v>380</v>
      </c>
      <c r="C2129" s="11" t="s">
        <v>381</v>
      </c>
      <c r="D2129" s="13" t="s">
        <v>9279</v>
      </c>
      <c r="E2129" s="13" t="s">
        <v>10919</v>
      </c>
      <c r="F2129" s="13" t="s">
        <v>10920</v>
      </c>
      <c r="G2129" s="13" t="s">
        <v>10921</v>
      </c>
      <c r="H2129" s="13" t="s">
        <v>10922</v>
      </c>
    </row>
    <row r="2130" customFormat="false" ht="15" hidden="false" customHeight="true" outlineLevel="0" collapsed="false">
      <c r="A2130" s="13" t="s">
        <v>260</v>
      </c>
      <c r="B2130" s="13" t="s">
        <v>387</v>
      </c>
      <c r="C2130" s="11" t="s">
        <v>388</v>
      </c>
      <c r="D2130" s="13" t="s">
        <v>10923</v>
      </c>
      <c r="E2130" s="13" t="s">
        <v>10924</v>
      </c>
      <c r="F2130" s="13" t="s">
        <v>10925</v>
      </c>
      <c r="G2130" s="13" t="s">
        <v>10926</v>
      </c>
      <c r="H2130" s="13" t="s">
        <v>10927</v>
      </c>
    </row>
    <row r="2131" customFormat="false" ht="15" hidden="false" customHeight="true" outlineLevel="0" collapsed="false">
      <c r="A2131" s="13" t="s">
        <v>260</v>
      </c>
      <c r="B2131" s="13" t="s">
        <v>394</v>
      </c>
      <c r="C2131" s="11" t="s">
        <v>395</v>
      </c>
      <c r="D2131" s="13" t="s">
        <v>10928</v>
      </c>
      <c r="E2131" s="13" t="s">
        <v>10929</v>
      </c>
      <c r="F2131" s="13" t="s">
        <v>10930</v>
      </c>
      <c r="G2131" s="13" t="s">
        <v>10931</v>
      </c>
      <c r="H2131" s="13" t="s">
        <v>10932</v>
      </c>
    </row>
    <row r="2132" customFormat="false" ht="15" hidden="false" customHeight="true" outlineLevel="0" collapsed="false">
      <c r="A2132" s="13" t="s">
        <v>260</v>
      </c>
      <c r="B2132" s="13" t="s">
        <v>401</v>
      </c>
      <c r="C2132" s="11" t="s">
        <v>402</v>
      </c>
      <c r="D2132" s="13" t="s">
        <v>10933</v>
      </c>
      <c r="E2132" s="13" t="s">
        <v>7695</v>
      </c>
      <c r="F2132" s="13" t="s">
        <v>10934</v>
      </c>
      <c r="G2132" s="13" t="s">
        <v>10935</v>
      </c>
      <c r="H2132" s="13" t="s">
        <v>10936</v>
      </c>
    </row>
    <row r="2133" customFormat="false" ht="15" hidden="false" customHeight="true" outlineLevel="0" collapsed="false">
      <c r="A2133" s="13" t="s">
        <v>260</v>
      </c>
      <c r="B2133" s="13" t="s">
        <v>408</v>
      </c>
      <c r="C2133" s="11" t="s">
        <v>409</v>
      </c>
      <c r="D2133" s="13" t="s">
        <v>10937</v>
      </c>
      <c r="E2133" s="13" t="s">
        <v>10938</v>
      </c>
      <c r="F2133" s="13" t="s">
        <v>10939</v>
      </c>
      <c r="G2133" s="13" t="s">
        <v>10940</v>
      </c>
      <c r="H2133" s="13" t="s">
        <v>10941</v>
      </c>
    </row>
    <row r="2134" customFormat="false" ht="15" hidden="false" customHeight="true" outlineLevel="0" collapsed="false">
      <c r="A2134" s="13" t="s">
        <v>260</v>
      </c>
      <c r="B2134" s="13" t="s">
        <v>415</v>
      </c>
      <c r="C2134" s="11" t="s">
        <v>416</v>
      </c>
      <c r="D2134" s="13" t="s">
        <v>10942</v>
      </c>
      <c r="E2134" s="13" t="s">
        <v>10943</v>
      </c>
      <c r="F2134" s="13" t="s">
        <v>10944</v>
      </c>
      <c r="G2134" s="13" t="s">
        <v>10945</v>
      </c>
      <c r="H2134" s="13" t="s">
        <v>10946</v>
      </c>
    </row>
    <row r="2135" customFormat="false" ht="15" hidden="false" customHeight="true" outlineLevel="0" collapsed="false">
      <c r="A2135" s="13" t="s">
        <v>260</v>
      </c>
      <c r="B2135" s="13" t="s">
        <v>422</v>
      </c>
      <c r="C2135" s="11" t="s">
        <v>423</v>
      </c>
      <c r="D2135" s="13" t="s">
        <v>10947</v>
      </c>
      <c r="E2135" s="13" t="s">
        <v>10948</v>
      </c>
      <c r="F2135" s="13" t="s">
        <v>10949</v>
      </c>
      <c r="G2135" s="13" t="s">
        <v>10950</v>
      </c>
      <c r="H2135" s="13" t="s">
        <v>10951</v>
      </c>
    </row>
    <row r="2136" customFormat="false" ht="15" hidden="false" customHeight="true" outlineLevel="0" collapsed="false">
      <c r="A2136" s="13" t="s">
        <v>260</v>
      </c>
      <c r="B2136" s="13" t="s">
        <v>429</v>
      </c>
      <c r="C2136" s="11" t="s">
        <v>430</v>
      </c>
      <c r="D2136" s="13" t="s">
        <v>8637</v>
      </c>
      <c r="E2136" s="13" t="s">
        <v>10952</v>
      </c>
      <c r="F2136" s="13" t="s">
        <v>10953</v>
      </c>
      <c r="G2136" s="13" t="s">
        <v>10954</v>
      </c>
      <c r="H2136" s="13" t="s">
        <v>10955</v>
      </c>
    </row>
    <row r="2137" customFormat="false" ht="15" hidden="false" customHeight="true" outlineLevel="0" collapsed="false">
      <c r="A2137" s="13" t="s">
        <v>260</v>
      </c>
      <c r="B2137" s="13" t="s">
        <v>436</v>
      </c>
      <c r="C2137" s="11" t="s">
        <v>437</v>
      </c>
      <c r="D2137" s="13" t="s">
        <v>2696</v>
      </c>
      <c r="E2137" s="13" t="s">
        <v>10492</v>
      </c>
      <c r="F2137" s="13" t="s">
        <v>10956</v>
      </c>
      <c r="G2137" s="13" t="s">
        <v>8900</v>
      </c>
      <c r="H2137" s="13" t="s">
        <v>10957</v>
      </c>
    </row>
    <row r="2138" customFormat="false" ht="15" hidden="false" customHeight="true" outlineLevel="0" collapsed="false">
      <c r="A2138" s="13" t="s">
        <v>260</v>
      </c>
      <c r="B2138" s="13" t="s">
        <v>443</v>
      </c>
      <c r="C2138" s="11" t="s">
        <v>444</v>
      </c>
      <c r="D2138" s="13" t="s">
        <v>10958</v>
      </c>
      <c r="E2138" s="13" t="s">
        <v>10959</v>
      </c>
      <c r="F2138" s="13" t="s">
        <v>10960</v>
      </c>
      <c r="G2138" s="13" t="s">
        <v>10961</v>
      </c>
      <c r="H2138" s="13" t="s">
        <v>10962</v>
      </c>
    </row>
    <row r="2139" customFormat="false" ht="15" hidden="false" customHeight="true" outlineLevel="0" collapsed="false">
      <c r="A2139" s="13" t="s">
        <v>260</v>
      </c>
      <c r="B2139" s="13" t="s">
        <v>450</v>
      </c>
      <c r="C2139" s="11" t="s">
        <v>451</v>
      </c>
      <c r="D2139" s="13" t="s">
        <v>10963</v>
      </c>
      <c r="E2139" s="13" t="s">
        <v>10964</v>
      </c>
      <c r="F2139" s="13" t="s">
        <v>10965</v>
      </c>
      <c r="G2139" s="13" t="s">
        <v>8758</v>
      </c>
      <c r="H2139" s="13" t="s">
        <v>10966</v>
      </c>
    </row>
    <row r="2140" customFormat="false" ht="15" hidden="false" customHeight="true" outlineLevel="0" collapsed="false">
      <c r="A2140" s="13" t="s">
        <v>260</v>
      </c>
      <c r="B2140" s="13" t="s">
        <v>457</v>
      </c>
      <c r="C2140" s="11" t="s">
        <v>458</v>
      </c>
      <c r="D2140" s="13" t="s">
        <v>10967</v>
      </c>
      <c r="E2140" s="13" t="s">
        <v>10968</v>
      </c>
      <c r="F2140" s="13" t="s">
        <v>10969</v>
      </c>
      <c r="G2140" s="13" t="s">
        <v>10970</v>
      </c>
      <c r="H2140" s="13" t="s">
        <v>10971</v>
      </c>
    </row>
    <row r="2141" customFormat="false" ht="15" hidden="false" customHeight="true" outlineLevel="0" collapsed="false">
      <c r="A2141" s="13" t="s">
        <v>260</v>
      </c>
      <c r="B2141" s="13" t="s">
        <v>464</v>
      </c>
      <c r="C2141" s="11" t="s">
        <v>465</v>
      </c>
      <c r="D2141" s="13" t="s">
        <v>10972</v>
      </c>
      <c r="E2141" s="13" t="s">
        <v>5157</v>
      </c>
      <c r="F2141" s="13" t="s">
        <v>10973</v>
      </c>
      <c r="G2141" s="13" t="s">
        <v>10974</v>
      </c>
      <c r="H2141" s="13" t="s">
        <v>10975</v>
      </c>
    </row>
    <row r="2142" customFormat="false" ht="15" hidden="false" customHeight="true" outlineLevel="0" collapsed="false">
      <c r="A2142" s="13" t="s">
        <v>260</v>
      </c>
      <c r="B2142" s="13" t="s">
        <v>471</v>
      </c>
      <c r="C2142" s="11" t="s">
        <v>472</v>
      </c>
      <c r="D2142" s="13" t="s">
        <v>10976</v>
      </c>
      <c r="E2142" s="13" t="s">
        <v>10977</v>
      </c>
      <c r="F2142" s="13" t="s">
        <v>10978</v>
      </c>
      <c r="G2142" s="13" t="s">
        <v>10979</v>
      </c>
      <c r="H2142" s="13" t="s">
        <v>10980</v>
      </c>
    </row>
    <row r="2143" customFormat="false" ht="15" hidden="false" customHeight="true" outlineLevel="0" collapsed="false">
      <c r="A2143" s="13" t="s">
        <v>260</v>
      </c>
      <c r="B2143" s="13" t="s">
        <v>478</v>
      </c>
      <c r="C2143" s="11" t="s">
        <v>479</v>
      </c>
      <c r="D2143" s="13" t="s">
        <v>10981</v>
      </c>
      <c r="E2143" s="13" t="s">
        <v>10982</v>
      </c>
      <c r="F2143" s="13" t="s">
        <v>10983</v>
      </c>
      <c r="G2143" s="13" t="s">
        <v>10984</v>
      </c>
      <c r="H2143" s="13" t="s">
        <v>10985</v>
      </c>
    </row>
    <row r="2144" customFormat="false" ht="15" hidden="false" customHeight="true" outlineLevel="0" collapsed="false">
      <c r="A2144" s="13" t="s">
        <v>260</v>
      </c>
      <c r="B2144" s="13" t="s">
        <v>485</v>
      </c>
      <c r="C2144" s="11" t="s">
        <v>486</v>
      </c>
      <c r="D2144" s="13" t="s">
        <v>10986</v>
      </c>
      <c r="E2144" s="13" t="s">
        <v>10987</v>
      </c>
      <c r="F2144" s="13" t="s">
        <v>10988</v>
      </c>
      <c r="G2144" s="13" t="s">
        <v>10989</v>
      </c>
      <c r="H2144" s="13" t="s">
        <v>10990</v>
      </c>
    </row>
    <row r="2145" customFormat="false" ht="15" hidden="false" customHeight="true" outlineLevel="0" collapsed="false">
      <c r="A2145" s="13" t="s">
        <v>260</v>
      </c>
      <c r="B2145" s="13" t="s">
        <v>492</v>
      </c>
      <c r="C2145" s="11" t="s">
        <v>493</v>
      </c>
      <c r="D2145" s="13" t="s">
        <v>10991</v>
      </c>
      <c r="E2145" s="13" t="s">
        <v>10992</v>
      </c>
      <c r="F2145" s="13" t="s">
        <v>10993</v>
      </c>
      <c r="G2145" s="13" t="s">
        <v>10994</v>
      </c>
      <c r="H2145" s="13" t="s">
        <v>10995</v>
      </c>
    </row>
    <row r="2146" customFormat="false" ht="15" hidden="false" customHeight="true" outlineLevel="0" collapsed="false">
      <c r="A2146" s="13" t="s">
        <v>260</v>
      </c>
      <c r="B2146" s="13" t="s">
        <v>499</v>
      </c>
      <c r="C2146" s="11" t="s">
        <v>500</v>
      </c>
      <c r="D2146" s="13" t="s">
        <v>10996</v>
      </c>
      <c r="E2146" s="13" t="s">
        <v>10997</v>
      </c>
      <c r="F2146" s="13" t="s">
        <v>10998</v>
      </c>
      <c r="G2146" s="13" t="s">
        <v>10999</v>
      </c>
      <c r="H2146" s="13" t="s">
        <v>11000</v>
      </c>
    </row>
    <row r="2147" customFormat="false" ht="15" hidden="false" customHeight="true" outlineLevel="0" collapsed="false">
      <c r="A2147" s="13" t="s">
        <v>260</v>
      </c>
      <c r="B2147" s="13" t="s">
        <v>506</v>
      </c>
      <c r="C2147" s="11" t="s">
        <v>507</v>
      </c>
      <c r="D2147" s="13" t="s">
        <v>11001</v>
      </c>
      <c r="E2147" s="13" t="s">
        <v>11002</v>
      </c>
      <c r="F2147" s="13" t="s">
        <v>11003</v>
      </c>
      <c r="G2147" s="13" t="s">
        <v>11004</v>
      </c>
      <c r="H2147" s="13" t="s">
        <v>11005</v>
      </c>
    </row>
    <row r="2148" customFormat="false" ht="15" hidden="false" customHeight="true" outlineLevel="0" collapsed="false">
      <c r="A2148" s="13" t="s">
        <v>260</v>
      </c>
      <c r="B2148" s="13" t="s">
        <v>513</v>
      </c>
      <c r="C2148" s="11" t="s">
        <v>514</v>
      </c>
      <c r="D2148" s="13" t="s">
        <v>11006</v>
      </c>
      <c r="E2148" s="13" t="s">
        <v>11007</v>
      </c>
      <c r="F2148" s="13" t="s">
        <v>11008</v>
      </c>
      <c r="G2148" s="13" t="s">
        <v>11009</v>
      </c>
      <c r="H2148" s="13" t="s">
        <v>11010</v>
      </c>
    </row>
    <row r="2149" customFormat="false" ht="15" hidden="false" customHeight="true" outlineLevel="0" collapsed="false">
      <c r="A2149" s="13" t="s">
        <v>260</v>
      </c>
      <c r="B2149" s="13" t="s">
        <v>520</v>
      </c>
      <c r="C2149" s="11" t="s">
        <v>521</v>
      </c>
      <c r="D2149" s="13" t="s">
        <v>11011</v>
      </c>
      <c r="E2149" s="13" t="s">
        <v>7301</v>
      </c>
      <c r="F2149" s="13" t="s">
        <v>11012</v>
      </c>
      <c r="G2149" s="13" t="s">
        <v>11013</v>
      </c>
      <c r="H2149" s="13" t="s">
        <v>11014</v>
      </c>
    </row>
    <row r="2150" customFormat="false" ht="15" hidden="false" customHeight="true" outlineLevel="0" collapsed="false">
      <c r="A2150" s="13" t="s">
        <v>260</v>
      </c>
      <c r="B2150" s="13" t="s">
        <v>527</v>
      </c>
      <c r="C2150" s="11" t="s">
        <v>528</v>
      </c>
      <c r="D2150" s="13" t="s">
        <v>11015</v>
      </c>
      <c r="E2150" s="13" t="s">
        <v>11016</v>
      </c>
      <c r="F2150" s="13" t="s">
        <v>11017</v>
      </c>
      <c r="G2150" s="13" t="s">
        <v>11018</v>
      </c>
      <c r="H2150" s="13" t="s">
        <v>11019</v>
      </c>
    </row>
    <row r="2151" customFormat="false" ht="15" hidden="false" customHeight="true" outlineLevel="0" collapsed="false">
      <c r="A2151" s="13" t="s">
        <v>260</v>
      </c>
      <c r="B2151" s="13" t="s">
        <v>534</v>
      </c>
      <c r="C2151" s="11" t="s">
        <v>535</v>
      </c>
      <c r="D2151" s="13" t="s">
        <v>11020</v>
      </c>
      <c r="E2151" s="13" t="s">
        <v>11021</v>
      </c>
      <c r="F2151" s="13" t="s">
        <v>11022</v>
      </c>
      <c r="G2151" s="13" t="s">
        <v>11023</v>
      </c>
      <c r="H2151" s="13" t="s">
        <v>11024</v>
      </c>
    </row>
    <row r="2152" customFormat="false" ht="15" hidden="false" customHeight="true" outlineLevel="0" collapsed="false">
      <c r="A2152" s="13" t="s">
        <v>260</v>
      </c>
      <c r="B2152" s="13" t="s">
        <v>541</v>
      </c>
      <c r="C2152" s="11" t="s">
        <v>542</v>
      </c>
      <c r="D2152" s="13" t="s">
        <v>11025</v>
      </c>
      <c r="E2152" s="13" t="s">
        <v>11026</v>
      </c>
      <c r="F2152" s="13" t="s">
        <v>11027</v>
      </c>
      <c r="G2152" s="13" t="s">
        <v>11028</v>
      </c>
      <c r="H2152" s="13" t="s">
        <v>11029</v>
      </c>
    </row>
    <row r="2153" customFormat="false" ht="15" hidden="false" customHeight="true" outlineLevel="0" collapsed="false">
      <c r="A2153" s="13" t="s">
        <v>260</v>
      </c>
      <c r="B2153" s="13" t="s">
        <v>548</v>
      </c>
      <c r="C2153" s="11" t="s">
        <v>549</v>
      </c>
      <c r="D2153" s="13" t="s">
        <v>11030</v>
      </c>
      <c r="E2153" s="13" t="s">
        <v>11031</v>
      </c>
      <c r="F2153" s="13" t="s">
        <v>11032</v>
      </c>
      <c r="G2153" s="13" t="s">
        <v>11033</v>
      </c>
      <c r="H2153" s="13" t="s">
        <v>11034</v>
      </c>
    </row>
    <row r="2154" customFormat="false" ht="15" hidden="false" customHeight="true" outlineLevel="0" collapsed="false">
      <c r="A2154" s="13" t="s">
        <v>260</v>
      </c>
      <c r="B2154" s="13" t="s">
        <v>555</v>
      </c>
      <c r="C2154" s="11" t="s">
        <v>556</v>
      </c>
      <c r="D2154" s="13" t="s">
        <v>11035</v>
      </c>
      <c r="E2154" s="13" t="s">
        <v>11036</v>
      </c>
      <c r="F2154" s="13" t="s">
        <v>11037</v>
      </c>
      <c r="G2154" s="13" t="s">
        <v>11038</v>
      </c>
      <c r="H2154" s="13" t="s">
        <v>11039</v>
      </c>
    </row>
    <row r="2155" customFormat="false" ht="15" hidden="false" customHeight="true" outlineLevel="0" collapsed="false">
      <c r="A2155" s="13" t="s">
        <v>260</v>
      </c>
      <c r="B2155" s="13" t="s">
        <v>562</v>
      </c>
      <c r="C2155" s="11" t="s">
        <v>563</v>
      </c>
      <c r="D2155" s="13" t="s">
        <v>11040</v>
      </c>
      <c r="E2155" s="13" t="s">
        <v>11041</v>
      </c>
      <c r="F2155" s="13" t="s">
        <v>11042</v>
      </c>
      <c r="G2155" s="13" t="s">
        <v>11043</v>
      </c>
      <c r="H2155" s="13" t="s">
        <v>11044</v>
      </c>
    </row>
    <row r="2156" customFormat="false" ht="15" hidden="false" customHeight="true" outlineLevel="0" collapsed="false">
      <c r="A2156" s="13" t="s">
        <v>260</v>
      </c>
      <c r="B2156" s="13" t="s">
        <v>569</v>
      </c>
      <c r="C2156" s="11" t="s">
        <v>570</v>
      </c>
      <c r="D2156" s="13" t="s">
        <v>11045</v>
      </c>
      <c r="E2156" s="13" t="s">
        <v>11046</v>
      </c>
      <c r="F2156" s="13" t="s">
        <v>11047</v>
      </c>
      <c r="G2156" s="13" t="s">
        <v>11048</v>
      </c>
      <c r="H2156" s="13" t="s">
        <v>11049</v>
      </c>
    </row>
    <row r="2157" customFormat="false" ht="15" hidden="false" customHeight="true" outlineLevel="0" collapsed="false">
      <c r="A2157" s="13" t="s">
        <v>260</v>
      </c>
      <c r="B2157" s="13" t="s">
        <v>576</v>
      </c>
      <c r="C2157" s="11" t="s">
        <v>577</v>
      </c>
      <c r="D2157" s="13" t="s">
        <v>11050</v>
      </c>
      <c r="E2157" s="13" t="s">
        <v>11051</v>
      </c>
      <c r="F2157" s="13" t="s">
        <v>11052</v>
      </c>
      <c r="G2157" s="13" t="s">
        <v>11053</v>
      </c>
      <c r="H2157" s="13" t="s">
        <v>11054</v>
      </c>
    </row>
    <row r="2158" customFormat="false" ht="15" hidden="false" customHeight="true" outlineLevel="0" collapsed="false">
      <c r="A2158" s="13" t="s">
        <v>260</v>
      </c>
      <c r="B2158" s="13" t="s">
        <v>583</v>
      </c>
      <c r="C2158" s="11" t="s">
        <v>584</v>
      </c>
      <c r="D2158" s="13" t="s">
        <v>11055</v>
      </c>
      <c r="E2158" s="13" t="s">
        <v>11056</v>
      </c>
      <c r="F2158" s="13" t="s">
        <v>11057</v>
      </c>
      <c r="G2158" s="13" t="s">
        <v>11058</v>
      </c>
      <c r="H2158" s="13" t="s">
        <v>11059</v>
      </c>
    </row>
    <row r="2159" customFormat="false" ht="15" hidden="false" customHeight="true" outlineLevel="0" collapsed="false">
      <c r="A2159" s="13" t="s">
        <v>260</v>
      </c>
      <c r="B2159" s="13" t="s">
        <v>590</v>
      </c>
      <c r="C2159" s="11" t="s">
        <v>591</v>
      </c>
      <c r="D2159" s="13" t="s">
        <v>4201</v>
      </c>
      <c r="E2159" s="13" t="s">
        <v>11060</v>
      </c>
      <c r="F2159" s="13" t="s">
        <v>9922</v>
      </c>
      <c r="G2159" s="13" t="s">
        <v>11061</v>
      </c>
      <c r="H2159" s="13" t="s">
        <v>11062</v>
      </c>
    </row>
    <row r="2160" customFormat="false" ht="15" hidden="false" customHeight="true" outlineLevel="0" collapsed="false">
      <c r="A2160" s="13" t="s">
        <v>260</v>
      </c>
      <c r="B2160" s="13" t="s">
        <v>597</v>
      </c>
      <c r="C2160" s="11" t="s">
        <v>598</v>
      </c>
      <c r="D2160" s="13" t="s">
        <v>11063</v>
      </c>
      <c r="E2160" s="13" t="s">
        <v>11064</v>
      </c>
      <c r="F2160" s="13" t="s">
        <v>11065</v>
      </c>
      <c r="G2160" s="13" t="s">
        <v>11066</v>
      </c>
      <c r="H2160" s="13" t="s">
        <v>11067</v>
      </c>
    </row>
    <row r="2161" customFormat="false" ht="15" hidden="false" customHeight="true" outlineLevel="0" collapsed="false">
      <c r="A2161" s="13" t="s">
        <v>260</v>
      </c>
      <c r="B2161" s="13" t="s">
        <v>604</v>
      </c>
      <c r="C2161" s="11" t="s">
        <v>605</v>
      </c>
      <c r="D2161" s="13" t="s">
        <v>11068</v>
      </c>
      <c r="E2161" s="13" t="s">
        <v>11069</v>
      </c>
      <c r="F2161" s="13" t="s">
        <v>11070</v>
      </c>
      <c r="G2161" s="13" t="s">
        <v>11071</v>
      </c>
      <c r="H2161" s="13" t="s">
        <v>11072</v>
      </c>
    </row>
    <row r="2162" customFormat="false" ht="15" hidden="false" customHeight="true" outlineLevel="0" collapsed="false">
      <c r="A2162" s="13" t="s">
        <v>260</v>
      </c>
      <c r="B2162" s="13" t="s">
        <v>611</v>
      </c>
      <c r="C2162" s="11" t="s">
        <v>612</v>
      </c>
      <c r="D2162" s="13" t="s">
        <v>11073</v>
      </c>
      <c r="E2162" s="13" t="s">
        <v>11074</v>
      </c>
      <c r="F2162" s="13" t="s">
        <v>11075</v>
      </c>
      <c r="G2162" s="13" t="s">
        <v>11076</v>
      </c>
      <c r="H2162" s="13" t="s">
        <v>11077</v>
      </c>
    </row>
    <row r="2163" customFormat="false" ht="15" hidden="false" customHeight="true" outlineLevel="0" collapsed="false">
      <c r="A2163" s="13" t="s">
        <v>260</v>
      </c>
      <c r="B2163" s="13" t="s">
        <v>618</v>
      </c>
      <c r="C2163" s="11" t="s">
        <v>619</v>
      </c>
      <c r="D2163" s="13" t="s">
        <v>11078</v>
      </c>
      <c r="E2163" s="13" t="s">
        <v>11079</v>
      </c>
      <c r="F2163" s="13" t="s">
        <v>11080</v>
      </c>
      <c r="G2163" s="13" t="s">
        <v>11081</v>
      </c>
      <c r="H2163" s="13" t="s">
        <v>11082</v>
      </c>
    </row>
    <row r="2164" customFormat="false" ht="15" hidden="false" customHeight="true" outlineLevel="0" collapsed="false">
      <c r="A2164" s="13" t="s">
        <v>260</v>
      </c>
      <c r="B2164" s="13" t="s">
        <v>625</v>
      </c>
      <c r="C2164" s="11" t="s">
        <v>626</v>
      </c>
      <c r="D2164" s="13" t="s">
        <v>11083</v>
      </c>
      <c r="E2164" s="13" t="s">
        <v>11084</v>
      </c>
      <c r="F2164" s="13" t="s">
        <v>11085</v>
      </c>
      <c r="G2164" s="13" t="s">
        <v>11086</v>
      </c>
      <c r="H2164" s="13" t="s">
        <v>11087</v>
      </c>
    </row>
    <row r="2165" customFormat="false" ht="15" hidden="false" customHeight="true" outlineLevel="0" collapsed="false">
      <c r="A2165" s="13" t="s">
        <v>260</v>
      </c>
      <c r="B2165" s="13" t="s">
        <v>632</v>
      </c>
      <c r="C2165" s="11" t="s">
        <v>633</v>
      </c>
      <c r="D2165" s="13" t="s">
        <v>11088</v>
      </c>
      <c r="E2165" s="13" t="s">
        <v>11089</v>
      </c>
      <c r="F2165" s="13" t="s">
        <v>11090</v>
      </c>
      <c r="G2165" s="13" t="s">
        <v>11091</v>
      </c>
      <c r="H2165" s="13" t="s">
        <v>11092</v>
      </c>
    </row>
    <row r="2166" customFormat="false" ht="15" hidden="false" customHeight="true" outlineLevel="0" collapsed="false">
      <c r="A2166" s="13" t="s">
        <v>260</v>
      </c>
      <c r="B2166" s="13" t="s">
        <v>639</v>
      </c>
      <c r="C2166" s="11" t="s">
        <v>640</v>
      </c>
      <c r="D2166" s="13" t="s">
        <v>1241</v>
      </c>
      <c r="E2166" s="13" t="s">
        <v>11093</v>
      </c>
      <c r="F2166" s="13" t="s">
        <v>11094</v>
      </c>
      <c r="G2166" s="13" t="s">
        <v>11095</v>
      </c>
      <c r="H2166" s="13" t="s">
        <v>11096</v>
      </c>
    </row>
    <row r="2167" customFormat="false" ht="15" hidden="false" customHeight="true" outlineLevel="0" collapsed="false">
      <c r="A2167" s="13" t="s">
        <v>260</v>
      </c>
      <c r="B2167" s="13" t="s">
        <v>646</v>
      </c>
      <c r="C2167" s="11" t="s">
        <v>647</v>
      </c>
      <c r="D2167" s="13" t="s">
        <v>1221</v>
      </c>
      <c r="E2167" s="13" t="s">
        <v>11097</v>
      </c>
      <c r="F2167" s="13" t="s">
        <v>11098</v>
      </c>
      <c r="G2167" s="13" t="s">
        <v>11099</v>
      </c>
      <c r="H2167" s="13" t="s">
        <v>11100</v>
      </c>
    </row>
    <row r="2168" customFormat="false" ht="15" hidden="false" customHeight="true" outlineLevel="0" collapsed="false">
      <c r="A2168" s="13" t="s">
        <v>260</v>
      </c>
      <c r="B2168" s="13" t="s">
        <v>653</v>
      </c>
      <c r="C2168" s="11" t="s">
        <v>654</v>
      </c>
      <c r="D2168" s="13" t="s">
        <v>3625</v>
      </c>
      <c r="E2168" s="13" t="s">
        <v>5990</v>
      </c>
      <c r="F2168" s="13" t="s">
        <v>11101</v>
      </c>
      <c r="G2168" s="13" t="s">
        <v>11102</v>
      </c>
      <c r="H2168" s="13" t="s">
        <v>11103</v>
      </c>
    </row>
    <row r="2169" customFormat="false" ht="15" hidden="false" customHeight="true" outlineLevel="0" collapsed="false">
      <c r="A2169" s="13" t="s">
        <v>260</v>
      </c>
      <c r="B2169" s="13" t="s">
        <v>660</v>
      </c>
      <c r="C2169" s="11" t="s">
        <v>661</v>
      </c>
      <c r="D2169" s="13" t="s">
        <v>2672</v>
      </c>
      <c r="E2169" s="13" t="s">
        <v>11104</v>
      </c>
      <c r="F2169" s="13" t="s">
        <v>11105</v>
      </c>
      <c r="G2169" s="13" t="s">
        <v>11106</v>
      </c>
      <c r="H2169" s="13" t="s">
        <v>11107</v>
      </c>
    </row>
    <row r="2170" customFormat="false" ht="15" hidden="false" customHeight="true" outlineLevel="0" collapsed="false">
      <c r="A2170" s="13" t="s">
        <v>260</v>
      </c>
      <c r="B2170" s="13" t="s">
        <v>667</v>
      </c>
      <c r="C2170" s="11" t="s">
        <v>668</v>
      </c>
      <c r="D2170" s="13" t="s">
        <v>11108</v>
      </c>
      <c r="E2170" s="13" t="s">
        <v>11109</v>
      </c>
      <c r="F2170" s="13" t="s">
        <v>11110</v>
      </c>
      <c r="G2170" s="13" t="s">
        <v>11111</v>
      </c>
      <c r="H2170" s="13" t="s">
        <v>11112</v>
      </c>
    </row>
    <row r="2171" customFormat="false" ht="15" hidden="false" customHeight="true" outlineLevel="0" collapsed="false">
      <c r="A2171" s="13" t="s">
        <v>260</v>
      </c>
      <c r="B2171" s="13" t="s">
        <v>674</v>
      </c>
      <c r="C2171" s="11" t="s">
        <v>675</v>
      </c>
      <c r="D2171" s="13" t="s">
        <v>11113</v>
      </c>
      <c r="E2171" s="13" t="s">
        <v>11114</v>
      </c>
      <c r="F2171" s="13" t="s">
        <v>11115</v>
      </c>
      <c r="G2171" s="13" t="s">
        <v>11116</v>
      </c>
      <c r="H2171" s="13" t="s">
        <v>11117</v>
      </c>
    </row>
    <row r="2172" customFormat="false" ht="15" hidden="false" customHeight="true" outlineLevel="0" collapsed="false">
      <c r="A2172" s="13" t="s">
        <v>260</v>
      </c>
      <c r="B2172" s="13" t="s">
        <v>681</v>
      </c>
      <c r="C2172" s="11" t="s">
        <v>682</v>
      </c>
      <c r="D2172" s="13" t="s">
        <v>11118</v>
      </c>
      <c r="E2172" s="13" t="s">
        <v>11119</v>
      </c>
      <c r="F2172" s="13" t="s">
        <v>11120</v>
      </c>
      <c r="G2172" s="13" t="s">
        <v>11121</v>
      </c>
      <c r="H2172" s="13" t="s">
        <v>11122</v>
      </c>
    </row>
    <row r="2173" customFormat="false" ht="15" hidden="false" customHeight="true" outlineLevel="0" collapsed="false">
      <c r="A2173" s="13" t="s">
        <v>260</v>
      </c>
      <c r="B2173" s="13" t="s">
        <v>688</v>
      </c>
      <c r="C2173" s="11" t="s">
        <v>689</v>
      </c>
      <c r="D2173" s="13" t="s">
        <v>10202</v>
      </c>
      <c r="E2173" s="13" t="s">
        <v>10203</v>
      </c>
      <c r="F2173" s="13" t="s">
        <v>11123</v>
      </c>
      <c r="G2173" s="13" t="s">
        <v>11124</v>
      </c>
      <c r="H2173" s="13" t="s">
        <v>11125</v>
      </c>
    </row>
    <row r="2174" customFormat="false" ht="15" hidden="false" customHeight="true" outlineLevel="0" collapsed="false">
      <c r="A2174" s="13" t="s">
        <v>260</v>
      </c>
      <c r="B2174" s="13" t="s">
        <v>695</v>
      </c>
      <c r="C2174" s="11" t="s">
        <v>696</v>
      </c>
      <c r="D2174" s="13" t="s">
        <v>8287</v>
      </c>
      <c r="E2174" s="13" t="s">
        <v>3632</v>
      </c>
      <c r="F2174" s="13" t="s">
        <v>11126</v>
      </c>
      <c r="G2174" s="13" t="s">
        <v>11127</v>
      </c>
      <c r="H2174" s="13" t="s">
        <v>11128</v>
      </c>
    </row>
    <row r="2175" customFormat="false" ht="15" hidden="false" customHeight="true" outlineLevel="0" collapsed="false">
      <c r="A2175" s="13" t="s">
        <v>260</v>
      </c>
      <c r="B2175" s="13" t="s">
        <v>702</v>
      </c>
      <c r="C2175" s="11" t="s">
        <v>703</v>
      </c>
      <c r="D2175" s="13" t="s">
        <v>11129</v>
      </c>
      <c r="E2175" s="13" t="s">
        <v>11130</v>
      </c>
      <c r="F2175" s="13" t="s">
        <v>11131</v>
      </c>
      <c r="G2175" s="13" t="s">
        <v>11132</v>
      </c>
      <c r="H2175" s="13" t="s">
        <v>11133</v>
      </c>
    </row>
    <row r="2176" customFormat="false" ht="15" hidden="false" customHeight="true" outlineLevel="0" collapsed="false">
      <c r="A2176" s="13" t="s">
        <v>260</v>
      </c>
      <c r="B2176" s="13" t="s">
        <v>709</v>
      </c>
      <c r="C2176" s="11" t="s">
        <v>710</v>
      </c>
      <c r="D2176" s="13" t="s">
        <v>11134</v>
      </c>
      <c r="E2176" s="13" t="s">
        <v>11135</v>
      </c>
      <c r="F2176" s="13" t="s">
        <v>11136</v>
      </c>
      <c r="G2176" s="13" t="s">
        <v>11137</v>
      </c>
      <c r="H2176" s="13" t="s">
        <v>11138</v>
      </c>
    </row>
    <row r="2177" customFormat="false" ht="15" hidden="false" customHeight="true" outlineLevel="0" collapsed="false">
      <c r="A2177" s="13" t="s">
        <v>260</v>
      </c>
      <c r="B2177" s="13" t="s">
        <v>716</v>
      </c>
      <c r="C2177" s="11" t="s">
        <v>717</v>
      </c>
      <c r="D2177" s="13" t="s">
        <v>11139</v>
      </c>
      <c r="E2177" s="13" t="s">
        <v>11140</v>
      </c>
      <c r="F2177" s="13" t="s">
        <v>11141</v>
      </c>
      <c r="G2177" s="13" t="s">
        <v>11142</v>
      </c>
      <c r="H2177" s="13" t="s">
        <v>11143</v>
      </c>
    </row>
    <row r="2178" customFormat="false" ht="15" hidden="false" customHeight="true" outlineLevel="0" collapsed="false">
      <c r="A2178" s="13" t="s">
        <v>260</v>
      </c>
      <c r="B2178" s="13" t="s">
        <v>723</v>
      </c>
      <c r="C2178" s="11" t="s">
        <v>724</v>
      </c>
      <c r="D2178" s="13" t="s">
        <v>11144</v>
      </c>
      <c r="E2178" s="13" t="s">
        <v>11145</v>
      </c>
      <c r="F2178" s="13" t="s">
        <v>11146</v>
      </c>
      <c r="G2178" s="13" t="s">
        <v>11147</v>
      </c>
      <c r="H2178" s="13" t="s">
        <v>11148</v>
      </c>
    </row>
    <row r="2179" customFormat="false" ht="15" hidden="false" customHeight="true" outlineLevel="0" collapsed="false">
      <c r="A2179" s="13" t="s">
        <v>260</v>
      </c>
      <c r="B2179" s="13" t="s">
        <v>730</v>
      </c>
      <c r="C2179" s="11" t="s">
        <v>731</v>
      </c>
      <c r="D2179" s="13" t="s">
        <v>11149</v>
      </c>
      <c r="E2179" s="13" t="s">
        <v>11150</v>
      </c>
      <c r="F2179" s="13" t="s">
        <v>11151</v>
      </c>
      <c r="G2179" s="13" t="s">
        <v>11152</v>
      </c>
      <c r="H2179" s="13" t="s">
        <v>11153</v>
      </c>
    </row>
    <row r="2180" customFormat="false" ht="15" hidden="false" customHeight="true" outlineLevel="0" collapsed="false">
      <c r="A2180" s="13" t="s">
        <v>260</v>
      </c>
      <c r="B2180" s="13" t="s">
        <v>737</v>
      </c>
      <c r="C2180" s="11" t="s">
        <v>738</v>
      </c>
      <c r="D2180" s="13" t="s">
        <v>11154</v>
      </c>
      <c r="E2180" s="13" t="s">
        <v>11155</v>
      </c>
      <c r="F2180" s="13" t="s">
        <v>11156</v>
      </c>
      <c r="G2180" s="13" t="s">
        <v>11157</v>
      </c>
      <c r="H2180" s="13" t="s">
        <v>11158</v>
      </c>
    </row>
    <row r="2181" customFormat="false" ht="15" hidden="false" customHeight="true" outlineLevel="0" collapsed="false">
      <c r="A2181" s="13" t="s">
        <v>260</v>
      </c>
      <c r="B2181" s="13" t="s">
        <v>744</v>
      </c>
      <c r="C2181" s="11" t="s">
        <v>745</v>
      </c>
      <c r="D2181" s="13" t="s">
        <v>11159</v>
      </c>
      <c r="E2181" s="13" t="s">
        <v>11160</v>
      </c>
      <c r="F2181" s="13" t="s">
        <v>11161</v>
      </c>
      <c r="G2181" s="13" t="s">
        <v>11162</v>
      </c>
      <c r="H2181" s="13" t="s">
        <v>11163</v>
      </c>
    </row>
    <row r="2182" customFormat="false" ht="15" hidden="false" customHeight="true" outlineLevel="0" collapsed="false">
      <c r="A2182" s="13" t="s">
        <v>260</v>
      </c>
      <c r="B2182" s="13" t="s">
        <v>751</v>
      </c>
      <c r="C2182" s="11" t="s">
        <v>752</v>
      </c>
      <c r="D2182" s="13" t="s">
        <v>11164</v>
      </c>
      <c r="E2182" s="13" t="s">
        <v>11165</v>
      </c>
      <c r="F2182" s="13" t="s">
        <v>11166</v>
      </c>
      <c r="G2182" s="13" t="s">
        <v>11167</v>
      </c>
      <c r="H2182" s="13" t="s">
        <v>11168</v>
      </c>
    </row>
    <row r="2183" customFormat="false" ht="15" hidden="false" customHeight="true" outlineLevel="0" collapsed="false">
      <c r="A2183" s="13" t="s">
        <v>260</v>
      </c>
      <c r="B2183" s="13" t="s">
        <v>758</v>
      </c>
      <c r="C2183" s="11" t="s">
        <v>759</v>
      </c>
      <c r="D2183" s="13" t="s">
        <v>11169</v>
      </c>
      <c r="E2183" s="13" t="s">
        <v>11170</v>
      </c>
      <c r="F2183" s="13" t="s">
        <v>11171</v>
      </c>
      <c r="G2183" s="13" t="s">
        <v>11172</v>
      </c>
      <c r="H2183" s="13" t="s">
        <v>11173</v>
      </c>
    </row>
    <row r="2184" customFormat="false" ht="15" hidden="false" customHeight="true" outlineLevel="0" collapsed="false">
      <c r="A2184" s="13" t="s">
        <v>260</v>
      </c>
      <c r="B2184" s="13" t="s">
        <v>765</v>
      </c>
      <c r="C2184" s="11" t="s">
        <v>766</v>
      </c>
      <c r="D2184" s="13" t="s">
        <v>11174</v>
      </c>
      <c r="E2184" s="13" t="s">
        <v>11175</v>
      </c>
      <c r="F2184" s="13" t="s">
        <v>11176</v>
      </c>
      <c r="G2184" s="13" t="s">
        <v>11177</v>
      </c>
      <c r="H2184" s="13" t="s">
        <v>11178</v>
      </c>
    </row>
    <row r="2185" customFormat="false" ht="15" hidden="false" customHeight="true" outlineLevel="0" collapsed="false">
      <c r="A2185" s="13" t="s">
        <v>260</v>
      </c>
      <c r="B2185" s="13" t="s">
        <v>772</v>
      </c>
      <c r="C2185" s="11" t="s">
        <v>773</v>
      </c>
      <c r="D2185" s="13" t="s">
        <v>11179</v>
      </c>
      <c r="E2185" s="13" t="s">
        <v>11180</v>
      </c>
      <c r="F2185" s="13" t="s">
        <v>11181</v>
      </c>
      <c r="G2185" s="13" t="s">
        <v>11182</v>
      </c>
      <c r="H2185" s="13" t="s">
        <v>11183</v>
      </c>
    </row>
    <row r="2186" customFormat="false" ht="15" hidden="false" customHeight="true" outlineLevel="0" collapsed="false">
      <c r="A2186" s="13" t="s">
        <v>260</v>
      </c>
      <c r="B2186" s="13" t="s">
        <v>779</v>
      </c>
      <c r="C2186" s="11" t="s">
        <v>780</v>
      </c>
      <c r="D2186" s="13" t="s">
        <v>11184</v>
      </c>
      <c r="E2186" s="13" t="s">
        <v>11185</v>
      </c>
      <c r="F2186" s="13" t="s">
        <v>11186</v>
      </c>
      <c r="G2186" s="13" t="s">
        <v>11187</v>
      </c>
      <c r="H2186" s="13" t="s">
        <v>11188</v>
      </c>
    </row>
    <row r="2187" customFormat="false" ht="15" hidden="false" customHeight="true" outlineLevel="0" collapsed="false">
      <c r="A2187" s="13" t="s">
        <v>260</v>
      </c>
      <c r="B2187" s="13" t="s">
        <v>786</v>
      </c>
      <c r="C2187" s="11" t="s">
        <v>787</v>
      </c>
      <c r="D2187" s="13" t="s">
        <v>11189</v>
      </c>
      <c r="E2187" s="13" t="s">
        <v>11190</v>
      </c>
      <c r="F2187" s="13" t="s">
        <v>11191</v>
      </c>
      <c r="G2187" s="13" t="s">
        <v>11192</v>
      </c>
      <c r="H2187" s="13" t="s">
        <v>11193</v>
      </c>
    </row>
    <row r="2188" customFormat="false" ht="15" hidden="false" customHeight="true" outlineLevel="0" collapsed="false">
      <c r="A2188" s="13" t="s">
        <v>260</v>
      </c>
      <c r="B2188" s="13" t="s">
        <v>793</v>
      </c>
      <c r="C2188" s="11" t="s">
        <v>794</v>
      </c>
      <c r="D2188" s="13" t="s">
        <v>11194</v>
      </c>
      <c r="E2188" s="13" t="s">
        <v>11195</v>
      </c>
      <c r="F2188" s="13" t="s">
        <v>11196</v>
      </c>
      <c r="G2188" s="13" t="s">
        <v>11197</v>
      </c>
      <c r="H2188" s="13" t="s">
        <v>11198</v>
      </c>
    </row>
    <row r="2189" customFormat="false" ht="15" hidden="false" customHeight="true" outlineLevel="0" collapsed="false">
      <c r="A2189" s="13" t="s">
        <v>260</v>
      </c>
      <c r="B2189" s="13" t="s">
        <v>800</v>
      </c>
      <c r="C2189" s="11" t="s">
        <v>801</v>
      </c>
      <c r="D2189" s="13" t="s">
        <v>11199</v>
      </c>
      <c r="E2189" s="13" t="s">
        <v>11200</v>
      </c>
      <c r="F2189" s="13" t="s">
        <v>11201</v>
      </c>
      <c r="G2189" s="13" t="s">
        <v>649</v>
      </c>
      <c r="H2189" s="13" t="s">
        <v>11202</v>
      </c>
    </row>
    <row r="2190" customFormat="false" ht="15" hidden="false" customHeight="true" outlineLevel="0" collapsed="false">
      <c r="A2190" s="13" t="s">
        <v>260</v>
      </c>
      <c r="B2190" s="13" t="s">
        <v>806</v>
      </c>
      <c r="C2190" s="11" t="s">
        <v>807</v>
      </c>
      <c r="D2190" s="13" t="s">
        <v>11203</v>
      </c>
      <c r="E2190" s="13" t="s">
        <v>11204</v>
      </c>
      <c r="F2190" s="13" t="s">
        <v>11205</v>
      </c>
      <c r="G2190" s="13" t="s">
        <v>11206</v>
      </c>
      <c r="H2190" s="13" t="s">
        <v>11207</v>
      </c>
    </row>
    <row r="2191" customFormat="false" ht="15" hidden="false" customHeight="true" outlineLevel="0" collapsed="false">
      <c r="A2191" s="13" t="s">
        <v>260</v>
      </c>
      <c r="B2191" s="13" t="s">
        <v>813</v>
      </c>
      <c r="C2191" s="11" t="s">
        <v>814</v>
      </c>
      <c r="D2191" s="13" t="s">
        <v>11208</v>
      </c>
      <c r="E2191" s="13" t="s">
        <v>11209</v>
      </c>
      <c r="F2191" s="13" t="s">
        <v>11210</v>
      </c>
      <c r="G2191" s="13" t="s">
        <v>11211</v>
      </c>
      <c r="H2191" s="13" t="s">
        <v>11212</v>
      </c>
    </row>
    <row r="2192" customFormat="false" ht="15" hidden="false" customHeight="true" outlineLevel="0" collapsed="false">
      <c r="A2192" s="13" t="s">
        <v>260</v>
      </c>
      <c r="B2192" s="13" t="s">
        <v>820</v>
      </c>
      <c r="C2192" s="11" t="s">
        <v>821</v>
      </c>
      <c r="D2192" s="13" t="s">
        <v>11213</v>
      </c>
      <c r="E2192" s="13" t="s">
        <v>11214</v>
      </c>
      <c r="F2192" s="13" t="s">
        <v>11215</v>
      </c>
      <c r="G2192" s="13" t="s">
        <v>11216</v>
      </c>
      <c r="H2192" s="13" t="s">
        <v>11217</v>
      </c>
    </row>
    <row r="2193" customFormat="false" ht="15" hidden="false" customHeight="true" outlineLevel="0" collapsed="false">
      <c r="A2193" s="13" t="s">
        <v>260</v>
      </c>
      <c r="B2193" s="13" t="s">
        <v>827</v>
      </c>
      <c r="C2193" s="11" t="s">
        <v>828</v>
      </c>
      <c r="D2193" s="13" t="s">
        <v>11218</v>
      </c>
      <c r="E2193" s="13" t="s">
        <v>11219</v>
      </c>
      <c r="F2193" s="13" t="s">
        <v>11220</v>
      </c>
      <c r="G2193" s="13" t="s">
        <v>11221</v>
      </c>
      <c r="H2193" s="13" t="s">
        <v>11222</v>
      </c>
    </row>
    <row r="2194" customFormat="false" ht="15" hidden="false" customHeight="true" outlineLevel="0" collapsed="false">
      <c r="A2194" s="13" t="s">
        <v>260</v>
      </c>
      <c r="B2194" s="13" t="s">
        <v>834</v>
      </c>
      <c r="C2194" s="11" t="s">
        <v>835</v>
      </c>
      <c r="D2194" s="13" t="s">
        <v>11223</v>
      </c>
      <c r="E2194" s="13" t="s">
        <v>11224</v>
      </c>
      <c r="F2194" s="13" t="s">
        <v>11225</v>
      </c>
      <c r="G2194" s="13" t="s">
        <v>11226</v>
      </c>
      <c r="H2194" s="13" t="s">
        <v>11227</v>
      </c>
    </row>
    <row r="2195" customFormat="false" ht="15" hidden="false" customHeight="true" outlineLevel="0" collapsed="false">
      <c r="A2195" s="13" t="s">
        <v>260</v>
      </c>
      <c r="B2195" s="13" t="s">
        <v>841</v>
      </c>
      <c r="C2195" s="11" t="s">
        <v>842</v>
      </c>
      <c r="D2195" s="13" t="s">
        <v>11228</v>
      </c>
      <c r="E2195" s="13" t="s">
        <v>11229</v>
      </c>
      <c r="F2195" s="13" t="s">
        <v>11230</v>
      </c>
      <c r="G2195" s="13" t="s">
        <v>11231</v>
      </c>
      <c r="H2195" s="13" t="s">
        <v>11232</v>
      </c>
    </row>
    <row r="2196" customFormat="false" ht="15" hidden="false" customHeight="true" outlineLevel="0" collapsed="false">
      <c r="A2196" s="13" t="s">
        <v>260</v>
      </c>
      <c r="B2196" s="13" t="s">
        <v>848</v>
      </c>
      <c r="C2196" s="11" t="s">
        <v>849</v>
      </c>
      <c r="D2196" s="13" t="s">
        <v>11233</v>
      </c>
      <c r="E2196" s="13" t="s">
        <v>11234</v>
      </c>
      <c r="F2196" s="13" t="s">
        <v>11235</v>
      </c>
      <c r="G2196" s="13" t="s">
        <v>11236</v>
      </c>
      <c r="H2196" s="13" t="s">
        <v>11237</v>
      </c>
    </row>
    <row r="2197" customFormat="false" ht="15" hidden="false" customHeight="true" outlineLevel="0" collapsed="false">
      <c r="A2197" s="13" t="s">
        <v>260</v>
      </c>
      <c r="B2197" s="13" t="s">
        <v>855</v>
      </c>
      <c r="C2197" s="11" t="s">
        <v>856</v>
      </c>
      <c r="D2197" s="13" t="s">
        <v>11238</v>
      </c>
      <c r="E2197" s="13" t="s">
        <v>11239</v>
      </c>
      <c r="F2197" s="13" t="s">
        <v>11240</v>
      </c>
      <c r="G2197" s="13" t="s">
        <v>11241</v>
      </c>
      <c r="H2197" s="13" t="s">
        <v>11242</v>
      </c>
    </row>
    <row r="2198" customFormat="false" ht="15" hidden="false" customHeight="true" outlineLevel="0" collapsed="false">
      <c r="A2198" s="13" t="s">
        <v>260</v>
      </c>
      <c r="B2198" s="13" t="s">
        <v>862</v>
      </c>
      <c r="C2198" s="11" t="s">
        <v>863</v>
      </c>
      <c r="D2198" s="13" t="s">
        <v>11243</v>
      </c>
      <c r="E2198" s="13" t="s">
        <v>11244</v>
      </c>
      <c r="F2198" s="13" t="s">
        <v>11245</v>
      </c>
      <c r="G2198" s="13" t="s">
        <v>11246</v>
      </c>
      <c r="H2198" s="13" t="s">
        <v>11247</v>
      </c>
    </row>
    <row r="2199" customFormat="false" ht="15" hidden="false" customHeight="true" outlineLevel="0" collapsed="false">
      <c r="A2199" s="13" t="s">
        <v>260</v>
      </c>
      <c r="B2199" s="13" t="s">
        <v>869</v>
      </c>
      <c r="C2199" s="11" t="s">
        <v>870</v>
      </c>
      <c r="D2199" s="13" t="s">
        <v>11248</v>
      </c>
      <c r="E2199" s="13" t="s">
        <v>11249</v>
      </c>
      <c r="F2199" s="13" t="s">
        <v>11250</v>
      </c>
      <c r="G2199" s="13" t="s">
        <v>11251</v>
      </c>
      <c r="H2199" s="13" t="s">
        <v>11252</v>
      </c>
    </row>
    <row r="2200" customFormat="false" ht="15" hidden="false" customHeight="true" outlineLevel="0" collapsed="false">
      <c r="A2200" s="13" t="s">
        <v>260</v>
      </c>
      <c r="B2200" s="13" t="s">
        <v>876</v>
      </c>
      <c r="C2200" s="11" t="s">
        <v>877</v>
      </c>
      <c r="D2200" s="13" t="s">
        <v>11253</v>
      </c>
      <c r="E2200" s="13" t="s">
        <v>11254</v>
      </c>
      <c r="F2200" s="13" t="s">
        <v>11255</v>
      </c>
      <c r="G2200" s="13" t="s">
        <v>11256</v>
      </c>
      <c r="H2200" s="13" t="s">
        <v>11257</v>
      </c>
    </row>
    <row r="2201" customFormat="false" ht="15" hidden="false" customHeight="true" outlineLevel="0" collapsed="false">
      <c r="A2201" s="13" t="s">
        <v>260</v>
      </c>
      <c r="B2201" s="13" t="s">
        <v>883</v>
      </c>
      <c r="C2201" s="11" t="s">
        <v>884</v>
      </c>
      <c r="D2201" s="13" t="s">
        <v>11258</v>
      </c>
      <c r="E2201" s="13" t="s">
        <v>11259</v>
      </c>
      <c r="F2201" s="13" t="s">
        <v>11260</v>
      </c>
      <c r="G2201" s="13" t="s">
        <v>11261</v>
      </c>
      <c r="H2201" s="13" t="s">
        <v>11262</v>
      </c>
    </row>
    <row r="2202" customFormat="false" ht="15" hidden="false" customHeight="true" outlineLevel="0" collapsed="false">
      <c r="A2202" s="13" t="s">
        <v>260</v>
      </c>
      <c r="B2202" s="13" t="s">
        <v>890</v>
      </c>
      <c r="C2202" s="11" t="s">
        <v>891</v>
      </c>
      <c r="D2202" s="13" t="s">
        <v>11263</v>
      </c>
      <c r="E2202" s="13" t="s">
        <v>11264</v>
      </c>
      <c r="F2202" s="13" t="s">
        <v>1784</v>
      </c>
      <c r="G2202" s="13" t="s">
        <v>11265</v>
      </c>
      <c r="H2202" s="13" t="s">
        <v>11266</v>
      </c>
    </row>
    <row r="2203" customFormat="false" ht="15" hidden="false" customHeight="true" outlineLevel="0" collapsed="false">
      <c r="A2203" s="13" t="s">
        <v>260</v>
      </c>
      <c r="B2203" s="13" t="s">
        <v>897</v>
      </c>
      <c r="C2203" s="11" t="s">
        <v>898</v>
      </c>
      <c r="D2203" s="13" t="s">
        <v>11267</v>
      </c>
      <c r="E2203" s="13" t="s">
        <v>11268</v>
      </c>
      <c r="F2203" s="13" t="s">
        <v>11269</v>
      </c>
      <c r="G2203" s="13" t="s">
        <v>11270</v>
      </c>
      <c r="H2203" s="13" t="s">
        <v>11271</v>
      </c>
    </row>
    <row r="2204" customFormat="false" ht="15" hidden="false" customHeight="true" outlineLevel="0" collapsed="false">
      <c r="A2204" s="13" t="s">
        <v>260</v>
      </c>
      <c r="B2204" s="13" t="s">
        <v>904</v>
      </c>
      <c r="C2204" s="11" t="s">
        <v>905</v>
      </c>
      <c r="D2204" s="13" t="s">
        <v>11272</v>
      </c>
      <c r="E2204" s="13" t="s">
        <v>11273</v>
      </c>
      <c r="F2204" s="13" t="s">
        <v>11274</v>
      </c>
      <c r="G2204" s="13" t="s">
        <v>11275</v>
      </c>
      <c r="H2204" s="13" t="s">
        <v>11276</v>
      </c>
    </row>
    <row r="2205" customFormat="false" ht="15" hidden="false" customHeight="true" outlineLevel="0" collapsed="false">
      <c r="A2205" s="13" t="s">
        <v>260</v>
      </c>
      <c r="B2205" s="13" t="s">
        <v>911</v>
      </c>
      <c r="C2205" s="11" t="s">
        <v>912</v>
      </c>
      <c r="D2205" s="13" t="s">
        <v>11277</v>
      </c>
      <c r="E2205" s="13" t="s">
        <v>11278</v>
      </c>
      <c r="F2205" s="13" t="s">
        <v>11279</v>
      </c>
      <c r="G2205" s="13" t="s">
        <v>11280</v>
      </c>
      <c r="H2205" s="13" t="s">
        <v>11281</v>
      </c>
    </row>
    <row r="2206" customFormat="false" ht="15" hidden="false" customHeight="true" outlineLevel="0" collapsed="false">
      <c r="A2206" s="13" t="s">
        <v>260</v>
      </c>
      <c r="B2206" s="13" t="s">
        <v>918</v>
      </c>
      <c r="C2206" s="11" t="s">
        <v>919</v>
      </c>
      <c r="D2206" s="13" t="s">
        <v>11282</v>
      </c>
      <c r="E2206" s="13" t="s">
        <v>11283</v>
      </c>
      <c r="F2206" s="13" t="s">
        <v>11284</v>
      </c>
      <c r="G2206" s="13" t="s">
        <v>11285</v>
      </c>
      <c r="H2206" s="13" t="s">
        <v>11286</v>
      </c>
    </row>
    <row r="2207" customFormat="false" ht="15" hidden="false" customHeight="true" outlineLevel="0" collapsed="false">
      <c r="A2207" s="13" t="s">
        <v>260</v>
      </c>
      <c r="B2207" s="13" t="s">
        <v>925</v>
      </c>
      <c r="C2207" s="11" t="s">
        <v>926</v>
      </c>
      <c r="D2207" s="13" t="s">
        <v>11287</v>
      </c>
      <c r="E2207" s="13" t="s">
        <v>11288</v>
      </c>
      <c r="F2207" s="13" t="s">
        <v>11289</v>
      </c>
      <c r="G2207" s="13" t="s">
        <v>11290</v>
      </c>
      <c r="H2207" s="13" t="s">
        <v>11291</v>
      </c>
    </row>
    <row r="2208" customFormat="false" ht="15" hidden="false" customHeight="true" outlineLevel="0" collapsed="false">
      <c r="A2208" s="13" t="s">
        <v>260</v>
      </c>
      <c r="B2208" s="13" t="s">
        <v>932</v>
      </c>
      <c r="C2208" s="11" t="s">
        <v>933</v>
      </c>
      <c r="D2208" s="13" t="s">
        <v>11292</v>
      </c>
      <c r="E2208" s="13" t="s">
        <v>11293</v>
      </c>
      <c r="F2208" s="13" t="s">
        <v>11294</v>
      </c>
      <c r="G2208" s="13" t="s">
        <v>11295</v>
      </c>
      <c r="H2208" s="13" t="s">
        <v>11296</v>
      </c>
    </row>
    <row r="2209" customFormat="false" ht="15" hidden="false" customHeight="true" outlineLevel="0" collapsed="false">
      <c r="A2209" s="13" t="s">
        <v>260</v>
      </c>
      <c r="B2209" s="13" t="s">
        <v>939</v>
      </c>
      <c r="C2209" s="11" t="s">
        <v>940</v>
      </c>
      <c r="D2209" s="13" t="s">
        <v>11297</v>
      </c>
      <c r="E2209" s="13" t="s">
        <v>11298</v>
      </c>
      <c r="F2209" s="13" t="s">
        <v>11299</v>
      </c>
      <c r="G2209" s="13" t="s">
        <v>11300</v>
      </c>
      <c r="H2209" s="13" t="s">
        <v>11301</v>
      </c>
    </row>
    <row r="2210" customFormat="false" ht="15" hidden="false" customHeight="true" outlineLevel="0" collapsed="false">
      <c r="A2210" s="13" t="s">
        <v>260</v>
      </c>
      <c r="B2210" s="13" t="s">
        <v>946</v>
      </c>
      <c r="C2210" s="11" t="s">
        <v>947</v>
      </c>
      <c r="D2210" s="13" t="s">
        <v>11302</v>
      </c>
      <c r="E2210" s="13" t="s">
        <v>11303</v>
      </c>
      <c r="F2210" s="13" t="s">
        <v>11304</v>
      </c>
      <c r="G2210" s="13" t="s">
        <v>11305</v>
      </c>
      <c r="H2210" s="13" t="s">
        <v>11306</v>
      </c>
    </row>
    <row r="2211" customFormat="false" ht="15" hidden="false" customHeight="true" outlineLevel="0" collapsed="false">
      <c r="A2211" s="13" t="s">
        <v>260</v>
      </c>
      <c r="B2211" s="13" t="s">
        <v>953</v>
      </c>
      <c r="C2211" s="11" t="s">
        <v>954</v>
      </c>
      <c r="D2211" s="13" t="s">
        <v>11307</v>
      </c>
      <c r="E2211" s="13" t="s">
        <v>11308</v>
      </c>
      <c r="F2211" s="13" t="s">
        <v>11309</v>
      </c>
      <c r="G2211" s="13" t="s">
        <v>11310</v>
      </c>
      <c r="H2211" s="13" t="s">
        <v>11311</v>
      </c>
    </row>
    <row r="2212" customFormat="false" ht="15" hidden="false" customHeight="true" outlineLevel="0" collapsed="false">
      <c r="A2212" s="13" t="s">
        <v>260</v>
      </c>
      <c r="B2212" s="13" t="s">
        <v>960</v>
      </c>
      <c r="C2212" s="11" t="s">
        <v>961</v>
      </c>
      <c r="D2212" s="13" t="s">
        <v>11312</v>
      </c>
      <c r="E2212" s="13" t="s">
        <v>11313</v>
      </c>
      <c r="F2212" s="13" t="s">
        <v>11314</v>
      </c>
      <c r="G2212" s="13" t="s">
        <v>11315</v>
      </c>
      <c r="H2212" s="13" t="s">
        <v>11316</v>
      </c>
    </row>
    <row r="2213" customFormat="false" ht="15" hidden="false" customHeight="true" outlineLevel="0" collapsed="false">
      <c r="A2213" s="13" t="s">
        <v>260</v>
      </c>
      <c r="B2213" s="13" t="s">
        <v>967</v>
      </c>
      <c r="C2213" s="11" t="s">
        <v>968</v>
      </c>
      <c r="D2213" s="13" t="s">
        <v>11317</v>
      </c>
      <c r="E2213" s="13" t="s">
        <v>11318</v>
      </c>
      <c r="F2213" s="13" t="s">
        <v>11194</v>
      </c>
      <c r="G2213" s="13" t="s">
        <v>11319</v>
      </c>
      <c r="H2213" s="13" t="s">
        <v>11320</v>
      </c>
    </row>
    <row r="2214" customFormat="false" ht="15" hidden="false" customHeight="true" outlineLevel="0" collapsed="false">
      <c r="A2214" s="13" t="s">
        <v>260</v>
      </c>
      <c r="B2214" s="13" t="s">
        <v>974</v>
      </c>
      <c r="C2214" s="11" t="s">
        <v>975</v>
      </c>
      <c r="D2214" s="13" t="s">
        <v>11321</v>
      </c>
      <c r="E2214" s="13" t="s">
        <v>11322</v>
      </c>
      <c r="F2214" s="13" t="s">
        <v>11323</v>
      </c>
      <c r="G2214" s="13" t="s">
        <v>11324</v>
      </c>
      <c r="H2214" s="13" t="s">
        <v>11325</v>
      </c>
    </row>
    <row r="2215" customFormat="false" ht="15" hidden="false" customHeight="true" outlineLevel="0" collapsed="false">
      <c r="A2215" s="13" t="s">
        <v>260</v>
      </c>
      <c r="B2215" s="13" t="s">
        <v>981</v>
      </c>
      <c r="C2215" s="11" t="s">
        <v>982</v>
      </c>
      <c r="D2215" s="13" t="s">
        <v>11326</v>
      </c>
      <c r="E2215" s="13" t="s">
        <v>11327</v>
      </c>
      <c r="F2215" s="13" t="s">
        <v>11328</v>
      </c>
      <c r="G2215" s="13" t="s">
        <v>11329</v>
      </c>
      <c r="H2215" s="13" t="s">
        <v>11330</v>
      </c>
    </row>
    <row r="2216" customFormat="false" ht="15" hidden="false" customHeight="true" outlineLevel="0" collapsed="false">
      <c r="A2216" s="13" t="s">
        <v>260</v>
      </c>
      <c r="B2216" s="13" t="s">
        <v>988</v>
      </c>
      <c r="C2216" s="11" t="s">
        <v>989</v>
      </c>
      <c r="D2216" s="13" t="s">
        <v>11331</v>
      </c>
      <c r="E2216" s="13" t="s">
        <v>11332</v>
      </c>
      <c r="F2216" s="13" t="s">
        <v>11333</v>
      </c>
      <c r="G2216" s="13" t="s">
        <v>11334</v>
      </c>
      <c r="H2216" s="13" t="s">
        <v>11335</v>
      </c>
    </row>
    <row r="2217" customFormat="false" ht="15" hidden="false" customHeight="true" outlineLevel="0" collapsed="false">
      <c r="A2217" s="13" t="s">
        <v>260</v>
      </c>
      <c r="B2217" s="13" t="s">
        <v>995</v>
      </c>
      <c r="C2217" s="11" t="s">
        <v>996</v>
      </c>
      <c r="D2217" s="13" t="s">
        <v>11336</v>
      </c>
      <c r="E2217" s="13" t="s">
        <v>11337</v>
      </c>
      <c r="F2217" s="13" t="s">
        <v>11338</v>
      </c>
      <c r="G2217" s="13" t="s">
        <v>11339</v>
      </c>
      <c r="H2217" s="13" t="s">
        <v>11340</v>
      </c>
    </row>
    <row r="2218" customFormat="false" ht="15" hidden="false" customHeight="true" outlineLevel="0" collapsed="false">
      <c r="A2218" s="13" t="s">
        <v>260</v>
      </c>
      <c r="B2218" s="13" t="s">
        <v>1002</v>
      </c>
      <c r="C2218" s="11" t="s">
        <v>1003</v>
      </c>
      <c r="D2218" s="13" t="s">
        <v>11341</v>
      </c>
      <c r="E2218" s="13" t="s">
        <v>11342</v>
      </c>
      <c r="F2218" s="13" t="s">
        <v>11343</v>
      </c>
      <c r="G2218" s="13" t="s">
        <v>11344</v>
      </c>
      <c r="H2218" s="13" t="s">
        <v>11345</v>
      </c>
    </row>
    <row r="2219" customFormat="false" ht="15" hidden="false" customHeight="true" outlineLevel="0" collapsed="false">
      <c r="A2219" s="13" t="s">
        <v>260</v>
      </c>
      <c r="B2219" s="13" t="s">
        <v>1009</v>
      </c>
      <c r="C2219" s="11" t="s">
        <v>1010</v>
      </c>
      <c r="D2219" s="13" t="s">
        <v>1086</v>
      </c>
      <c r="E2219" s="13" t="s">
        <v>11346</v>
      </c>
      <c r="F2219" s="13" t="s">
        <v>11347</v>
      </c>
      <c r="G2219" s="13" t="s">
        <v>11348</v>
      </c>
      <c r="H2219" s="13" t="s">
        <v>11349</v>
      </c>
    </row>
    <row r="2220" customFormat="false" ht="15" hidden="false" customHeight="true" outlineLevel="0" collapsed="false">
      <c r="A2220" s="13" t="s">
        <v>268</v>
      </c>
      <c r="B2220" s="13" t="s">
        <v>345</v>
      </c>
      <c r="C2220" s="11" t="s">
        <v>346</v>
      </c>
      <c r="D2220" s="13" t="s">
        <v>3883</v>
      </c>
      <c r="E2220" s="13" t="s">
        <v>11350</v>
      </c>
      <c r="F2220" s="13" t="s">
        <v>11351</v>
      </c>
      <c r="G2220" s="13" t="s">
        <v>11352</v>
      </c>
      <c r="H2220" s="13" t="s">
        <v>11353</v>
      </c>
    </row>
    <row r="2221" customFormat="false" ht="15" hidden="false" customHeight="true" outlineLevel="0" collapsed="false">
      <c r="A2221" s="13" t="s">
        <v>268</v>
      </c>
      <c r="B2221" s="13" t="s">
        <v>352</v>
      </c>
      <c r="C2221" s="11" t="s">
        <v>353</v>
      </c>
      <c r="D2221" s="13" t="s">
        <v>11354</v>
      </c>
      <c r="E2221" s="13" t="s">
        <v>11355</v>
      </c>
      <c r="F2221" s="13" t="s">
        <v>11356</v>
      </c>
      <c r="G2221" s="13" t="s">
        <v>11357</v>
      </c>
      <c r="H2221" s="13" t="s">
        <v>11358</v>
      </c>
    </row>
    <row r="2222" customFormat="false" ht="15" hidden="false" customHeight="true" outlineLevel="0" collapsed="false">
      <c r="A2222" s="13" t="s">
        <v>268</v>
      </c>
      <c r="B2222" s="13" t="s">
        <v>359</v>
      </c>
      <c r="C2222" s="11" t="s">
        <v>360</v>
      </c>
      <c r="D2222" s="13" t="s">
        <v>11359</v>
      </c>
      <c r="E2222" s="13" t="s">
        <v>11360</v>
      </c>
      <c r="F2222" s="13" t="s">
        <v>11361</v>
      </c>
      <c r="G2222" s="13" t="s">
        <v>11362</v>
      </c>
      <c r="H2222" s="13" t="s">
        <v>11363</v>
      </c>
    </row>
    <row r="2223" customFormat="false" ht="15" hidden="false" customHeight="true" outlineLevel="0" collapsed="false">
      <c r="A2223" s="13" t="s">
        <v>268</v>
      </c>
      <c r="B2223" s="13" t="s">
        <v>366</v>
      </c>
      <c r="C2223" s="11" t="s">
        <v>367</v>
      </c>
      <c r="D2223" s="13" t="s">
        <v>11364</v>
      </c>
      <c r="E2223" s="13" t="s">
        <v>11365</v>
      </c>
      <c r="F2223" s="13" t="s">
        <v>11366</v>
      </c>
      <c r="G2223" s="13" t="s">
        <v>11367</v>
      </c>
      <c r="H2223" s="13" t="s">
        <v>11368</v>
      </c>
    </row>
    <row r="2224" customFormat="false" ht="15" hidden="false" customHeight="true" outlineLevel="0" collapsed="false">
      <c r="A2224" s="13" t="s">
        <v>268</v>
      </c>
      <c r="B2224" s="13" t="s">
        <v>373</v>
      </c>
      <c r="C2224" s="11" t="s">
        <v>374</v>
      </c>
      <c r="D2224" s="13" t="s">
        <v>11369</v>
      </c>
      <c r="E2224" s="13" t="s">
        <v>11370</v>
      </c>
      <c r="F2224" s="13" t="s">
        <v>11371</v>
      </c>
      <c r="G2224" s="13" t="s">
        <v>11372</v>
      </c>
      <c r="H2224" s="13" t="s">
        <v>11373</v>
      </c>
    </row>
    <row r="2225" customFormat="false" ht="15" hidden="false" customHeight="true" outlineLevel="0" collapsed="false">
      <c r="A2225" s="13" t="s">
        <v>268</v>
      </c>
      <c r="B2225" s="13" t="s">
        <v>380</v>
      </c>
      <c r="C2225" s="11" t="s">
        <v>381</v>
      </c>
      <c r="D2225" s="13" t="s">
        <v>11374</v>
      </c>
      <c r="E2225" s="13" t="s">
        <v>11375</v>
      </c>
      <c r="F2225" s="13" t="s">
        <v>11376</v>
      </c>
      <c r="G2225" s="13" t="s">
        <v>11377</v>
      </c>
      <c r="H2225" s="13" t="s">
        <v>11378</v>
      </c>
    </row>
    <row r="2226" customFormat="false" ht="15" hidden="false" customHeight="true" outlineLevel="0" collapsed="false">
      <c r="A2226" s="13" t="s">
        <v>268</v>
      </c>
      <c r="B2226" s="13" t="s">
        <v>387</v>
      </c>
      <c r="C2226" s="11" t="s">
        <v>388</v>
      </c>
      <c r="D2226" s="13" t="s">
        <v>11379</v>
      </c>
      <c r="E2226" s="13" t="s">
        <v>11380</v>
      </c>
      <c r="F2226" s="13" t="s">
        <v>11381</v>
      </c>
      <c r="G2226" s="13" t="s">
        <v>11382</v>
      </c>
      <c r="H2226" s="13" t="s">
        <v>11383</v>
      </c>
    </row>
    <row r="2227" customFormat="false" ht="15" hidden="false" customHeight="true" outlineLevel="0" collapsed="false">
      <c r="A2227" s="13" t="s">
        <v>268</v>
      </c>
      <c r="B2227" s="13" t="s">
        <v>394</v>
      </c>
      <c r="C2227" s="11" t="s">
        <v>395</v>
      </c>
      <c r="D2227" s="13" t="s">
        <v>11384</v>
      </c>
      <c r="E2227" s="13" t="s">
        <v>11385</v>
      </c>
      <c r="F2227" s="13" t="s">
        <v>11386</v>
      </c>
      <c r="G2227" s="13" t="s">
        <v>11387</v>
      </c>
      <c r="H2227" s="13" t="s">
        <v>11388</v>
      </c>
    </row>
    <row r="2228" customFormat="false" ht="15" hidden="false" customHeight="true" outlineLevel="0" collapsed="false">
      <c r="A2228" s="13" t="s">
        <v>268</v>
      </c>
      <c r="B2228" s="13" t="s">
        <v>401</v>
      </c>
      <c r="C2228" s="11" t="s">
        <v>402</v>
      </c>
      <c r="D2228" s="13" t="s">
        <v>11389</v>
      </c>
      <c r="E2228" s="13" t="s">
        <v>11390</v>
      </c>
      <c r="F2228" s="13" t="s">
        <v>11391</v>
      </c>
      <c r="G2228" s="13" t="s">
        <v>11392</v>
      </c>
      <c r="H2228" s="13" t="s">
        <v>11393</v>
      </c>
    </row>
    <row r="2229" customFormat="false" ht="15" hidden="false" customHeight="true" outlineLevel="0" collapsed="false">
      <c r="A2229" s="13" t="s">
        <v>268</v>
      </c>
      <c r="B2229" s="13" t="s">
        <v>408</v>
      </c>
      <c r="C2229" s="11" t="s">
        <v>409</v>
      </c>
      <c r="D2229" s="13" t="s">
        <v>11394</v>
      </c>
      <c r="E2229" s="13" t="s">
        <v>11395</v>
      </c>
      <c r="F2229" s="13" t="s">
        <v>11396</v>
      </c>
      <c r="G2229" s="13" t="s">
        <v>11397</v>
      </c>
      <c r="H2229" s="13" t="s">
        <v>11398</v>
      </c>
    </row>
    <row r="2230" customFormat="false" ht="15" hidden="false" customHeight="true" outlineLevel="0" collapsed="false">
      <c r="A2230" s="13" t="s">
        <v>268</v>
      </c>
      <c r="B2230" s="13" t="s">
        <v>415</v>
      </c>
      <c r="C2230" s="11" t="s">
        <v>416</v>
      </c>
      <c r="D2230" s="13" t="s">
        <v>11399</v>
      </c>
      <c r="E2230" s="13" t="s">
        <v>11400</v>
      </c>
      <c r="F2230" s="13" t="s">
        <v>11401</v>
      </c>
      <c r="G2230" s="13" t="s">
        <v>11402</v>
      </c>
      <c r="H2230" s="13" t="s">
        <v>11403</v>
      </c>
    </row>
    <row r="2231" customFormat="false" ht="15" hidden="false" customHeight="true" outlineLevel="0" collapsed="false">
      <c r="A2231" s="13" t="s">
        <v>268</v>
      </c>
      <c r="B2231" s="13" t="s">
        <v>422</v>
      </c>
      <c r="C2231" s="11" t="s">
        <v>423</v>
      </c>
      <c r="D2231" s="13" t="s">
        <v>11404</v>
      </c>
      <c r="E2231" s="13" t="s">
        <v>11405</v>
      </c>
      <c r="F2231" s="13" t="s">
        <v>11406</v>
      </c>
      <c r="G2231" s="13" t="s">
        <v>11407</v>
      </c>
      <c r="H2231" s="13" t="s">
        <v>11408</v>
      </c>
    </row>
    <row r="2232" customFormat="false" ht="15" hidden="false" customHeight="true" outlineLevel="0" collapsed="false">
      <c r="A2232" s="13" t="s">
        <v>268</v>
      </c>
      <c r="B2232" s="13" t="s">
        <v>429</v>
      </c>
      <c r="C2232" s="11" t="s">
        <v>430</v>
      </c>
      <c r="D2232" s="13" t="s">
        <v>11409</v>
      </c>
      <c r="E2232" s="13" t="s">
        <v>11410</v>
      </c>
      <c r="F2232" s="13" t="s">
        <v>11411</v>
      </c>
      <c r="G2232" s="13" t="s">
        <v>11412</v>
      </c>
      <c r="H2232" s="13" t="s">
        <v>11413</v>
      </c>
    </row>
    <row r="2233" customFormat="false" ht="15" hidden="false" customHeight="true" outlineLevel="0" collapsed="false">
      <c r="A2233" s="13" t="s">
        <v>268</v>
      </c>
      <c r="B2233" s="13" t="s">
        <v>436</v>
      </c>
      <c r="C2233" s="11" t="s">
        <v>437</v>
      </c>
      <c r="D2233" s="13" t="s">
        <v>3406</v>
      </c>
      <c r="E2233" s="13" t="s">
        <v>11414</v>
      </c>
      <c r="F2233" s="13" t="s">
        <v>11415</v>
      </c>
      <c r="G2233" s="13" t="s">
        <v>11416</v>
      </c>
      <c r="H2233" s="13" t="s">
        <v>11417</v>
      </c>
    </row>
    <row r="2234" customFormat="false" ht="15" hidden="false" customHeight="true" outlineLevel="0" collapsed="false">
      <c r="A2234" s="13" t="s">
        <v>268</v>
      </c>
      <c r="B2234" s="13" t="s">
        <v>443</v>
      </c>
      <c r="C2234" s="11" t="s">
        <v>444</v>
      </c>
      <c r="D2234" s="13" t="s">
        <v>11418</v>
      </c>
      <c r="E2234" s="13" t="s">
        <v>11419</v>
      </c>
      <c r="F2234" s="13" t="s">
        <v>11420</v>
      </c>
      <c r="G2234" s="13" t="s">
        <v>11421</v>
      </c>
      <c r="H2234" s="13" t="s">
        <v>11422</v>
      </c>
    </row>
    <row r="2235" customFormat="false" ht="15" hidden="false" customHeight="true" outlineLevel="0" collapsed="false">
      <c r="A2235" s="13" t="s">
        <v>268</v>
      </c>
      <c r="B2235" s="13" t="s">
        <v>450</v>
      </c>
      <c r="C2235" s="11" t="s">
        <v>451</v>
      </c>
      <c r="D2235" s="13" t="s">
        <v>11423</v>
      </c>
      <c r="E2235" s="13" t="s">
        <v>11424</v>
      </c>
      <c r="F2235" s="13" t="s">
        <v>11425</v>
      </c>
      <c r="G2235" s="13" t="s">
        <v>11426</v>
      </c>
      <c r="H2235" s="13" t="s">
        <v>11427</v>
      </c>
    </row>
    <row r="2236" customFormat="false" ht="15" hidden="false" customHeight="true" outlineLevel="0" collapsed="false">
      <c r="A2236" s="13" t="s">
        <v>268</v>
      </c>
      <c r="B2236" s="13" t="s">
        <v>457</v>
      </c>
      <c r="C2236" s="11" t="s">
        <v>458</v>
      </c>
      <c r="D2236" s="13" t="s">
        <v>11428</v>
      </c>
      <c r="E2236" s="13" t="s">
        <v>11429</v>
      </c>
      <c r="F2236" s="13" t="s">
        <v>11430</v>
      </c>
      <c r="G2236" s="13" t="s">
        <v>11431</v>
      </c>
      <c r="H2236" s="13" t="s">
        <v>11432</v>
      </c>
    </row>
    <row r="2237" customFormat="false" ht="15" hidden="false" customHeight="true" outlineLevel="0" collapsed="false">
      <c r="A2237" s="13" t="s">
        <v>268</v>
      </c>
      <c r="B2237" s="13" t="s">
        <v>464</v>
      </c>
      <c r="C2237" s="11" t="s">
        <v>465</v>
      </c>
      <c r="D2237" s="13" t="s">
        <v>11433</v>
      </c>
      <c r="E2237" s="13" t="s">
        <v>11434</v>
      </c>
      <c r="F2237" s="13" t="s">
        <v>11435</v>
      </c>
      <c r="G2237" s="13" t="s">
        <v>11436</v>
      </c>
      <c r="H2237" s="13" t="s">
        <v>11437</v>
      </c>
    </row>
    <row r="2238" customFormat="false" ht="15" hidden="false" customHeight="true" outlineLevel="0" collapsed="false">
      <c r="A2238" s="13" t="s">
        <v>268</v>
      </c>
      <c r="B2238" s="13" t="s">
        <v>471</v>
      </c>
      <c r="C2238" s="11" t="s">
        <v>472</v>
      </c>
      <c r="D2238" s="13" t="s">
        <v>11438</v>
      </c>
      <c r="E2238" s="13" t="s">
        <v>11439</v>
      </c>
      <c r="F2238" s="13" t="s">
        <v>11440</v>
      </c>
      <c r="G2238" s="13" t="s">
        <v>11441</v>
      </c>
      <c r="H2238" s="13" t="s">
        <v>11442</v>
      </c>
    </row>
    <row r="2239" customFormat="false" ht="15" hidden="false" customHeight="true" outlineLevel="0" collapsed="false">
      <c r="A2239" s="13" t="s">
        <v>268</v>
      </c>
      <c r="B2239" s="13" t="s">
        <v>478</v>
      </c>
      <c r="C2239" s="11" t="s">
        <v>479</v>
      </c>
      <c r="D2239" s="13" t="s">
        <v>11443</v>
      </c>
      <c r="E2239" s="13" t="s">
        <v>11444</v>
      </c>
      <c r="F2239" s="13" t="s">
        <v>11445</v>
      </c>
      <c r="G2239" s="13" t="s">
        <v>11446</v>
      </c>
      <c r="H2239" s="13" t="s">
        <v>11447</v>
      </c>
    </row>
    <row r="2240" customFormat="false" ht="15" hidden="false" customHeight="true" outlineLevel="0" collapsed="false">
      <c r="A2240" s="13" t="s">
        <v>268</v>
      </c>
      <c r="B2240" s="13" t="s">
        <v>485</v>
      </c>
      <c r="C2240" s="11" t="s">
        <v>486</v>
      </c>
      <c r="D2240" s="13" t="s">
        <v>11448</v>
      </c>
      <c r="E2240" s="13" t="s">
        <v>11449</v>
      </c>
      <c r="F2240" s="13" t="s">
        <v>11450</v>
      </c>
      <c r="G2240" s="13" t="s">
        <v>11451</v>
      </c>
      <c r="H2240" s="13" t="s">
        <v>11452</v>
      </c>
    </row>
    <row r="2241" customFormat="false" ht="15" hidden="false" customHeight="true" outlineLevel="0" collapsed="false">
      <c r="A2241" s="13" t="s">
        <v>268</v>
      </c>
      <c r="B2241" s="13" t="s">
        <v>492</v>
      </c>
      <c r="C2241" s="11" t="s">
        <v>493</v>
      </c>
      <c r="D2241" s="13" t="s">
        <v>11453</v>
      </c>
      <c r="E2241" s="13" t="s">
        <v>11454</v>
      </c>
      <c r="F2241" s="13" t="s">
        <v>11455</v>
      </c>
      <c r="G2241" s="13" t="s">
        <v>11456</v>
      </c>
      <c r="H2241" s="13" t="s">
        <v>11457</v>
      </c>
    </row>
    <row r="2242" customFormat="false" ht="15" hidden="false" customHeight="true" outlineLevel="0" collapsed="false">
      <c r="A2242" s="13" t="s">
        <v>268</v>
      </c>
      <c r="B2242" s="13" t="s">
        <v>499</v>
      </c>
      <c r="C2242" s="11" t="s">
        <v>500</v>
      </c>
      <c r="D2242" s="13" t="s">
        <v>11458</v>
      </c>
      <c r="E2242" s="13" t="s">
        <v>11459</v>
      </c>
      <c r="F2242" s="13" t="s">
        <v>11460</v>
      </c>
      <c r="G2242" s="13" t="s">
        <v>11461</v>
      </c>
      <c r="H2242" s="13" t="s">
        <v>11462</v>
      </c>
    </row>
    <row r="2243" customFormat="false" ht="15" hidden="false" customHeight="true" outlineLevel="0" collapsed="false">
      <c r="A2243" s="13" t="s">
        <v>268</v>
      </c>
      <c r="B2243" s="13" t="s">
        <v>506</v>
      </c>
      <c r="C2243" s="11" t="s">
        <v>507</v>
      </c>
      <c r="D2243" s="13" t="s">
        <v>11463</v>
      </c>
      <c r="E2243" s="13" t="s">
        <v>11464</v>
      </c>
      <c r="F2243" s="13" t="s">
        <v>11465</v>
      </c>
      <c r="G2243" s="13" t="s">
        <v>11466</v>
      </c>
      <c r="H2243" s="13" t="s">
        <v>11467</v>
      </c>
    </row>
    <row r="2244" customFormat="false" ht="15" hidden="false" customHeight="true" outlineLevel="0" collapsed="false">
      <c r="A2244" s="13" t="s">
        <v>268</v>
      </c>
      <c r="B2244" s="13" t="s">
        <v>513</v>
      </c>
      <c r="C2244" s="11" t="s">
        <v>514</v>
      </c>
      <c r="D2244" s="13" t="s">
        <v>11468</v>
      </c>
      <c r="E2244" s="13" t="s">
        <v>11469</v>
      </c>
      <c r="F2244" s="13" t="s">
        <v>11470</v>
      </c>
      <c r="G2244" s="13" t="s">
        <v>11471</v>
      </c>
      <c r="H2244" s="13" t="s">
        <v>4681</v>
      </c>
    </row>
    <row r="2245" customFormat="false" ht="15" hidden="false" customHeight="true" outlineLevel="0" collapsed="false">
      <c r="A2245" s="13" t="s">
        <v>268</v>
      </c>
      <c r="B2245" s="13" t="s">
        <v>520</v>
      </c>
      <c r="C2245" s="11" t="s">
        <v>521</v>
      </c>
      <c r="D2245" s="13" t="s">
        <v>11472</v>
      </c>
      <c r="E2245" s="13" t="s">
        <v>11473</v>
      </c>
      <c r="F2245" s="13" t="s">
        <v>11474</v>
      </c>
      <c r="G2245" s="13" t="s">
        <v>11475</v>
      </c>
      <c r="H2245" s="13" t="s">
        <v>11476</v>
      </c>
    </row>
    <row r="2246" customFormat="false" ht="15" hidden="false" customHeight="true" outlineLevel="0" collapsed="false">
      <c r="A2246" s="13" t="s">
        <v>268</v>
      </c>
      <c r="B2246" s="13" t="s">
        <v>527</v>
      </c>
      <c r="C2246" s="11" t="s">
        <v>528</v>
      </c>
      <c r="D2246" s="13" t="s">
        <v>11477</v>
      </c>
      <c r="E2246" s="13" t="s">
        <v>11478</v>
      </c>
      <c r="F2246" s="13" t="s">
        <v>11479</v>
      </c>
      <c r="G2246" s="13" t="s">
        <v>11480</v>
      </c>
      <c r="H2246" s="13" t="s">
        <v>11481</v>
      </c>
    </row>
    <row r="2247" customFormat="false" ht="15" hidden="false" customHeight="true" outlineLevel="0" collapsed="false">
      <c r="A2247" s="13" t="s">
        <v>268</v>
      </c>
      <c r="B2247" s="13" t="s">
        <v>534</v>
      </c>
      <c r="C2247" s="11" t="s">
        <v>535</v>
      </c>
      <c r="D2247" s="13" t="s">
        <v>11482</v>
      </c>
      <c r="E2247" s="13" t="s">
        <v>11483</v>
      </c>
      <c r="F2247" s="13" t="s">
        <v>11484</v>
      </c>
      <c r="G2247" s="13" t="s">
        <v>11485</v>
      </c>
      <c r="H2247" s="13" t="s">
        <v>11486</v>
      </c>
    </row>
    <row r="2248" customFormat="false" ht="15" hidden="false" customHeight="true" outlineLevel="0" collapsed="false">
      <c r="A2248" s="13" t="s">
        <v>268</v>
      </c>
      <c r="B2248" s="13" t="s">
        <v>541</v>
      </c>
      <c r="C2248" s="11" t="s">
        <v>542</v>
      </c>
      <c r="D2248" s="13" t="s">
        <v>11487</v>
      </c>
      <c r="E2248" s="13" t="s">
        <v>11488</v>
      </c>
      <c r="F2248" s="13" t="s">
        <v>11489</v>
      </c>
      <c r="G2248" s="13" t="s">
        <v>11490</v>
      </c>
      <c r="H2248" s="13" t="s">
        <v>11491</v>
      </c>
    </row>
    <row r="2249" customFormat="false" ht="15" hidden="false" customHeight="true" outlineLevel="0" collapsed="false">
      <c r="A2249" s="13" t="s">
        <v>268</v>
      </c>
      <c r="B2249" s="13" t="s">
        <v>548</v>
      </c>
      <c r="C2249" s="11" t="s">
        <v>549</v>
      </c>
      <c r="D2249" s="13" t="s">
        <v>11492</v>
      </c>
      <c r="E2249" s="13" t="s">
        <v>11493</v>
      </c>
      <c r="F2249" s="13" t="s">
        <v>11494</v>
      </c>
      <c r="G2249" s="13" t="s">
        <v>11495</v>
      </c>
      <c r="H2249" s="13" t="s">
        <v>11496</v>
      </c>
    </row>
    <row r="2250" customFormat="false" ht="15" hidden="false" customHeight="true" outlineLevel="0" collapsed="false">
      <c r="A2250" s="13" t="s">
        <v>268</v>
      </c>
      <c r="B2250" s="13" t="s">
        <v>555</v>
      </c>
      <c r="C2250" s="11" t="s">
        <v>556</v>
      </c>
      <c r="D2250" s="13" t="s">
        <v>11497</v>
      </c>
      <c r="E2250" s="13" t="s">
        <v>11498</v>
      </c>
      <c r="F2250" s="13" t="s">
        <v>11499</v>
      </c>
      <c r="G2250" s="13" t="s">
        <v>11500</v>
      </c>
      <c r="H2250" s="13" t="s">
        <v>11501</v>
      </c>
    </row>
    <row r="2251" customFormat="false" ht="15" hidden="false" customHeight="true" outlineLevel="0" collapsed="false">
      <c r="A2251" s="13" t="s">
        <v>268</v>
      </c>
      <c r="B2251" s="13" t="s">
        <v>562</v>
      </c>
      <c r="C2251" s="11" t="s">
        <v>563</v>
      </c>
      <c r="D2251" s="13" t="s">
        <v>11502</v>
      </c>
      <c r="E2251" s="13" t="s">
        <v>11503</v>
      </c>
      <c r="F2251" s="13" t="s">
        <v>11504</v>
      </c>
      <c r="G2251" s="13" t="s">
        <v>11505</v>
      </c>
      <c r="H2251" s="13" t="s">
        <v>11506</v>
      </c>
    </row>
    <row r="2252" customFormat="false" ht="15" hidden="false" customHeight="true" outlineLevel="0" collapsed="false">
      <c r="A2252" s="13" t="s">
        <v>268</v>
      </c>
      <c r="B2252" s="13" t="s">
        <v>569</v>
      </c>
      <c r="C2252" s="11" t="s">
        <v>570</v>
      </c>
      <c r="D2252" s="13" t="s">
        <v>11507</v>
      </c>
      <c r="E2252" s="13" t="s">
        <v>11508</v>
      </c>
      <c r="F2252" s="13" t="s">
        <v>11509</v>
      </c>
      <c r="G2252" s="13" t="s">
        <v>11510</v>
      </c>
      <c r="H2252" s="13" t="s">
        <v>11511</v>
      </c>
    </row>
    <row r="2253" customFormat="false" ht="15" hidden="false" customHeight="true" outlineLevel="0" collapsed="false">
      <c r="A2253" s="13" t="s">
        <v>268</v>
      </c>
      <c r="B2253" s="13" t="s">
        <v>576</v>
      </c>
      <c r="C2253" s="11" t="s">
        <v>577</v>
      </c>
      <c r="D2253" s="13" t="s">
        <v>11512</v>
      </c>
      <c r="E2253" s="13" t="s">
        <v>11513</v>
      </c>
      <c r="F2253" s="13" t="s">
        <v>11514</v>
      </c>
      <c r="G2253" s="13" t="s">
        <v>11515</v>
      </c>
      <c r="H2253" s="13" t="s">
        <v>11516</v>
      </c>
    </row>
    <row r="2254" customFormat="false" ht="15" hidden="false" customHeight="true" outlineLevel="0" collapsed="false">
      <c r="A2254" s="13" t="s">
        <v>268</v>
      </c>
      <c r="B2254" s="13" t="s">
        <v>583</v>
      </c>
      <c r="C2254" s="11" t="s">
        <v>584</v>
      </c>
      <c r="D2254" s="13" t="s">
        <v>11517</v>
      </c>
      <c r="E2254" s="13" t="s">
        <v>11518</v>
      </c>
      <c r="F2254" s="13" t="s">
        <v>11519</v>
      </c>
      <c r="G2254" s="13" t="s">
        <v>11520</v>
      </c>
      <c r="H2254" s="13" t="s">
        <v>11521</v>
      </c>
    </row>
    <row r="2255" customFormat="false" ht="15" hidden="false" customHeight="true" outlineLevel="0" collapsed="false">
      <c r="A2255" s="13" t="s">
        <v>268</v>
      </c>
      <c r="B2255" s="13" t="s">
        <v>590</v>
      </c>
      <c r="C2255" s="11" t="s">
        <v>591</v>
      </c>
      <c r="D2255" s="13" t="s">
        <v>11522</v>
      </c>
      <c r="E2255" s="13" t="s">
        <v>11523</v>
      </c>
      <c r="F2255" s="13" t="s">
        <v>11524</v>
      </c>
      <c r="G2255" s="13" t="s">
        <v>11525</v>
      </c>
      <c r="H2255" s="13" t="s">
        <v>11526</v>
      </c>
    </row>
    <row r="2256" customFormat="false" ht="15" hidden="false" customHeight="true" outlineLevel="0" collapsed="false">
      <c r="A2256" s="13" t="s">
        <v>268</v>
      </c>
      <c r="B2256" s="13" t="s">
        <v>597</v>
      </c>
      <c r="C2256" s="11" t="s">
        <v>598</v>
      </c>
      <c r="D2256" s="13" t="s">
        <v>11527</v>
      </c>
      <c r="E2256" s="13" t="s">
        <v>11528</v>
      </c>
      <c r="F2256" s="13" t="s">
        <v>11529</v>
      </c>
      <c r="G2256" s="13" t="s">
        <v>11530</v>
      </c>
      <c r="H2256" s="13" t="s">
        <v>11531</v>
      </c>
    </row>
    <row r="2257" customFormat="false" ht="15" hidden="false" customHeight="true" outlineLevel="0" collapsed="false">
      <c r="A2257" s="13" t="s">
        <v>268</v>
      </c>
      <c r="B2257" s="13" t="s">
        <v>604</v>
      </c>
      <c r="C2257" s="11" t="s">
        <v>605</v>
      </c>
      <c r="D2257" s="13" t="s">
        <v>11532</v>
      </c>
      <c r="E2257" s="13" t="s">
        <v>11533</v>
      </c>
      <c r="F2257" s="13" t="s">
        <v>11534</v>
      </c>
      <c r="G2257" s="13" t="s">
        <v>11535</v>
      </c>
      <c r="H2257" s="13" t="s">
        <v>11536</v>
      </c>
    </row>
    <row r="2258" customFormat="false" ht="15" hidden="false" customHeight="true" outlineLevel="0" collapsed="false">
      <c r="A2258" s="13" t="s">
        <v>268</v>
      </c>
      <c r="B2258" s="13" t="s">
        <v>611</v>
      </c>
      <c r="C2258" s="11" t="s">
        <v>612</v>
      </c>
      <c r="D2258" s="13" t="s">
        <v>11537</v>
      </c>
      <c r="E2258" s="13" t="s">
        <v>11538</v>
      </c>
      <c r="F2258" s="13" t="s">
        <v>11539</v>
      </c>
      <c r="G2258" s="13" t="s">
        <v>11540</v>
      </c>
      <c r="H2258" s="13" t="s">
        <v>11541</v>
      </c>
    </row>
    <row r="2259" customFormat="false" ht="15" hidden="false" customHeight="true" outlineLevel="0" collapsed="false">
      <c r="A2259" s="13" t="s">
        <v>268</v>
      </c>
      <c r="B2259" s="13" t="s">
        <v>618</v>
      </c>
      <c r="C2259" s="11" t="s">
        <v>619</v>
      </c>
      <c r="D2259" s="13" t="s">
        <v>11542</v>
      </c>
      <c r="E2259" s="13" t="s">
        <v>11543</v>
      </c>
      <c r="F2259" s="13" t="s">
        <v>11544</v>
      </c>
      <c r="G2259" s="13" t="s">
        <v>11545</v>
      </c>
      <c r="H2259" s="13" t="s">
        <v>11546</v>
      </c>
    </row>
    <row r="2260" customFormat="false" ht="15" hidden="false" customHeight="true" outlineLevel="0" collapsed="false">
      <c r="A2260" s="13" t="s">
        <v>268</v>
      </c>
      <c r="B2260" s="13" t="s">
        <v>625</v>
      </c>
      <c r="C2260" s="11" t="s">
        <v>626</v>
      </c>
      <c r="D2260" s="13" t="s">
        <v>11547</v>
      </c>
      <c r="E2260" s="13" t="s">
        <v>11548</v>
      </c>
      <c r="F2260" s="13" t="s">
        <v>11549</v>
      </c>
      <c r="G2260" s="13" t="s">
        <v>11550</v>
      </c>
      <c r="H2260" s="13" t="s">
        <v>11551</v>
      </c>
    </row>
    <row r="2261" customFormat="false" ht="15" hidden="false" customHeight="true" outlineLevel="0" collapsed="false">
      <c r="A2261" s="13" t="s">
        <v>268</v>
      </c>
      <c r="B2261" s="13" t="s">
        <v>632</v>
      </c>
      <c r="C2261" s="11" t="s">
        <v>633</v>
      </c>
      <c r="D2261" s="13" t="s">
        <v>11552</v>
      </c>
      <c r="E2261" s="13" t="s">
        <v>11553</v>
      </c>
      <c r="F2261" s="13" t="s">
        <v>11554</v>
      </c>
      <c r="G2261" s="13" t="s">
        <v>11555</v>
      </c>
      <c r="H2261" s="13" t="s">
        <v>11556</v>
      </c>
    </row>
    <row r="2262" customFormat="false" ht="15" hidden="false" customHeight="true" outlineLevel="0" collapsed="false">
      <c r="A2262" s="13" t="s">
        <v>268</v>
      </c>
      <c r="B2262" s="13" t="s">
        <v>639</v>
      </c>
      <c r="C2262" s="11" t="s">
        <v>640</v>
      </c>
      <c r="D2262" s="13" t="s">
        <v>3139</v>
      </c>
      <c r="E2262" s="13" t="s">
        <v>11557</v>
      </c>
      <c r="F2262" s="13" t="s">
        <v>11558</v>
      </c>
      <c r="G2262" s="13" t="s">
        <v>11559</v>
      </c>
      <c r="H2262" s="13" t="s">
        <v>11560</v>
      </c>
    </row>
    <row r="2263" customFormat="false" ht="15" hidden="false" customHeight="true" outlineLevel="0" collapsed="false">
      <c r="A2263" s="13" t="s">
        <v>268</v>
      </c>
      <c r="B2263" s="13" t="s">
        <v>646</v>
      </c>
      <c r="C2263" s="11" t="s">
        <v>647</v>
      </c>
      <c r="D2263" s="13" t="s">
        <v>11561</v>
      </c>
      <c r="E2263" s="13" t="s">
        <v>11562</v>
      </c>
      <c r="F2263" s="13" t="s">
        <v>11563</v>
      </c>
      <c r="G2263" s="13" t="s">
        <v>11564</v>
      </c>
      <c r="H2263" s="13" t="s">
        <v>11565</v>
      </c>
    </row>
    <row r="2264" customFormat="false" ht="15" hidden="false" customHeight="true" outlineLevel="0" collapsed="false">
      <c r="A2264" s="13" t="s">
        <v>268</v>
      </c>
      <c r="B2264" s="13" t="s">
        <v>653</v>
      </c>
      <c r="C2264" s="11" t="s">
        <v>654</v>
      </c>
      <c r="D2264" s="13" t="s">
        <v>2929</v>
      </c>
      <c r="E2264" s="13" t="s">
        <v>10182</v>
      </c>
      <c r="F2264" s="13" t="s">
        <v>11566</v>
      </c>
      <c r="G2264" s="13" t="s">
        <v>11567</v>
      </c>
      <c r="H2264" s="13" t="s">
        <v>11568</v>
      </c>
    </row>
    <row r="2265" customFormat="false" ht="15" hidden="false" customHeight="true" outlineLevel="0" collapsed="false">
      <c r="A2265" s="13" t="s">
        <v>268</v>
      </c>
      <c r="B2265" s="13" t="s">
        <v>660</v>
      </c>
      <c r="C2265" s="11" t="s">
        <v>661</v>
      </c>
      <c r="D2265" s="13" t="s">
        <v>11569</v>
      </c>
      <c r="E2265" s="13" t="s">
        <v>11570</v>
      </c>
      <c r="F2265" s="13" t="s">
        <v>9211</v>
      </c>
      <c r="G2265" s="13" t="s">
        <v>11571</v>
      </c>
      <c r="H2265" s="13" t="s">
        <v>11572</v>
      </c>
    </row>
    <row r="2266" customFormat="false" ht="15" hidden="false" customHeight="true" outlineLevel="0" collapsed="false">
      <c r="A2266" s="13" t="s">
        <v>268</v>
      </c>
      <c r="B2266" s="13" t="s">
        <v>667</v>
      </c>
      <c r="C2266" s="11" t="s">
        <v>668</v>
      </c>
      <c r="D2266" s="13" t="s">
        <v>11573</v>
      </c>
      <c r="E2266" s="13" t="s">
        <v>4267</v>
      </c>
      <c r="F2266" s="13" t="s">
        <v>11574</v>
      </c>
      <c r="G2266" s="13" t="s">
        <v>11575</v>
      </c>
      <c r="H2266" s="13" t="s">
        <v>11576</v>
      </c>
    </row>
    <row r="2267" customFormat="false" ht="15" hidden="false" customHeight="true" outlineLevel="0" collapsed="false">
      <c r="A2267" s="13" t="s">
        <v>268</v>
      </c>
      <c r="B2267" s="13" t="s">
        <v>674</v>
      </c>
      <c r="C2267" s="11" t="s">
        <v>675</v>
      </c>
      <c r="D2267" s="13" t="s">
        <v>11577</v>
      </c>
      <c r="E2267" s="13" t="s">
        <v>11578</v>
      </c>
      <c r="F2267" s="13" t="s">
        <v>11579</v>
      </c>
      <c r="G2267" s="13" t="s">
        <v>11580</v>
      </c>
      <c r="H2267" s="13" t="s">
        <v>11581</v>
      </c>
    </row>
    <row r="2268" customFormat="false" ht="15" hidden="false" customHeight="true" outlineLevel="0" collapsed="false">
      <c r="A2268" s="13" t="s">
        <v>268</v>
      </c>
      <c r="B2268" s="13" t="s">
        <v>681</v>
      </c>
      <c r="C2268" s="11" t="s">
        <v>682</v>
      </c>
      <c r="D2268" s="13" t="s">
        <v>11582</v>
      </c>
      <c r="E2268" s="13" t="s">
        <v>11583</v>
      </c>
      <c r="F2268" s="13" t="s">
        <v>11584</v>
      </c>
      <c r="G2268" s="13" t="s">
        <v>11585</v>
      </c>
      <c r="H2268" s="13" t="s">
        <v>11586</v>
      </c>
    </row>
    <row r="2269" customFormat="false" ht="15" hidden="false" customHeight="true" outlineLevel="0" collapsed="false">
      <c r="A2269" s="13" t="s">
        <v>268</v>
      </c>
      <c r="B2269" s="13" t="s">
        <v>688</v>
      </c>
      <c r="C2269" s="11" t="s">
        <v>689</v>
      </c>
      <c r="D2269" s="13" t="s">
        <v>11587</v>
      </c>
      <c r="E2269" s="13" t="s">
        <v>11588</v>
      </c>
      <c r="F2269" s="13" t="s">
        <v>11374</v>
      </c>
      <c r="G2269" s="13" t="s">
        <v>11589</v>
      </c>
      <c r="H2269" s="13" t="s">
        <v>11590</v>
      </c>
    </row>
    <row r="2270" customFormat="false" ht="15" hidden="false" customHeight="true" outlineLevel="0" collapsed="false">
      <c r="A2270" s="13" t="s">
        <v>268</v>
      </c>
      <c r="B2270" s="13" t="s">
        <v>695</v>
      </c>
      <c r="C2270" s="11" t="s">
        <v>696</v>
      </c>
      <c r="D2270" s="13" t="s">
        <v>11591</v>
      </c>
      <c r="E2270" s="13" t="s">
        <v>11592</v>
      </c>
      <c r="F2270" s="13" t="s">
        <v>11243</v>
      </c>
      <c r="G2270" s="13" t="s">
        <v>11593</v>
      </c>
      <c r="H2270" s="13" t="s">
        <v>11594</v>
      </c>
    </row>
    <row r="2271" customFormat="false" ht="15" hidden="false" customHeight="true" outlineLevel="0" collapsed="false">
      <c r="A2271" s="13" t="s">
        <v>268</v>
      </c>
      <c r="B2271" s="13" t="s">
        <v>702</v>
      </c>
      <c r="C2271" s="11" t="s">
        <v>703</v>
      </c>
      <c r="D2271" s="13" t="s">
        <v>11595</v>
      </c>
      <c r="E2271" s="13" t="s">
        <v>11596</v>
      </c>
      <c r="F2271" s="13" t="s">
        <v>11597</v>
      </c>
      <c r="G2271" s="13" t="s">
        <v>11598</v>
      </c>
      <c r="H2271" s="13" t="s">
        <v>11599</v>
      </c>
    </row>
    <row r="2272" customFormat="false" ht="15" hidden="false" customHeight="true" outlineLevel="0" collapsed="false">
      <c r="A2272" s="13" t="s">
        <v>268</v>
      </c>
      <c r="B2272" s="13" t="s">
        <v>709</v>
      </c>
      <c r="C2272" s="11" t="s">
        <v>710</v>
      </c>
      <c r="D2272" s="13" t="s">
        <v>9504</v>
      </c>
      <c r="E2272" s="13" t="s">
        <v>11600</v>
      </c>
      <c r="F2272" s="13" t="s">
        <v>11601</v>
      </c>
      <c r="G2272" s="13" t="s">
        <v>11602</v>
      </c>
      <c r="H2272" s="13" t="s">
        <v>11603</v>
      </c>
    </row>
    <row r="2273" customFormat="false" ht="15" hidden="false" customHeight="true" outlineLevel="0" collapsed="false">
      <c r="A2273" s="13" t="s">
        <v>268</v>
      </c>
      <c r="B2273" s="13" t="s">
        <v>716</v>
      </c>
      <c r="C2273" s="11" t="s">
        <v>717</v>
      </c>
      <c r="D2273" s="13" t="s">
        <v>11604</v>
      </c>
      <c r="E2273" s="13" t="s">
        <v>11605</v>
      </c>
      <c r="F2273" s="13" t="s">
        <v>11606</v>
      </c>
      <c r="G2273" s="13" t="s">
        <v>11607</v>
      </c>
      <c r="H2273" s="13" t="s">
        <v>11608</v>
      </c>
    </row>
    <row r="2274" customFormat="false" ht="15" hidden="false" customHeight="true" outlineLevel="0" collapsed="false">
      <c r="A2274" s="13" t="s">
        <v>268</v>
      </c>
      <c r="B2274" s="13" t="s">
        <v>723</v>
      </c>
      <c r="C2274" s="11" t="s">
        <v>724</v>
      </c>
      <c r="D2274" s="13" t="s">
        <v>11609</v>
      </c>
      <c r="E2274" s="13" t="s">
        <v>11610</v>
      </c>
      <c r="F2274" s="13" t="s">
        <v>11611</v>
      </c>
      <c r="G2274" s="13" t="s">
        <v>11612</v>
      </c>
      <c r="H2274" s="13" t="s">
        <v>11613</v>
      </c>
    </row>
    <row r="2275" customFormat="false" ht="15" hidden="false" customHeight="true" outlineLevel="0" collapsed="false">
      <c r="A2275" s="13" t="s">
        <v>268</v>
      </c>
      <c r="B2275" s="13" t="s">
        <v>730</v>
      </c>
      <c r="C2275" s="11" t="s">
        <v>731</v>
      </c>
      <c r="D2275" s="13" t="s">
        <v>11614</v>
      </c>
      <c r="E2275" s="13" t="s">
        <v>11615</v>
      </c>
      <c r="F2275" s="13" t="s">
        <v>11616</v>
      </c>
      <c r="G2275" s="13" t="s">
        <v>11617</v>
      </c>
      <c r="H2275" s="13" t="s">
        <v>11618</v>
      </c>
    </row>
    <row r="2276" customFormat="false" ht="15" hidden="false" customHeight="true" outlineLevel="0" collapsed="false">
      <c r="A2276" s="13" t="s">
        <v>268</v>
      </c>
      <c r="B2276" s="13" t="s">
        <v>737</v>
      </c>
      <c r="C2276" s="11" t="s">
        <v>738</v>
      </c>
      <c r="D2276" s="13" t="s">
        <v>11619</v>
      </c>
      <c r="E2276" s="13" t="s">
        <v>11620</v>
      </c>
      <c r="F2276" s="13" t="s">
        <v>11621</v>
      </c>
      <c r="G2276" s="13" t="s">
        <v>11622</v>
      </c>
      <c r="H2276" s="13" t="s">
        <v>11623</v>
      </c>
    </row>
    <row r="2277" customFormat="false" ht="15" hidden="false" customHeight="true" outlineLevel="0" collapsed="false">
      <c r="A2277" s="13" t="s">
        <v>268</v>
      </c>
      <c r="B2277" s="13" t="s">
        <v>744</v>
      </c>
      <c r="C2277" s="11" t="s">
        <v>745</v>
      </c>
      <c r="D2277" s="13" t="s">
        <v>11624</v>
      </c>
      <c r="E2277" s="13" t="s">
        <v>11625</v>
      </c>
      <c r="F2277" s="13" t="s">
        <v>11626</v>
      </c>
      <c r="G2277" s="13" t="s">
        <v>11627</v>
      </c>
      <c r="H2277" s="13" t="s">
        <v>4386</v>
      </c>
    </row>
    <row r="2278" customFormat="false" ht="15" hidden="false" customHeight="true" outlineLevel="0" collapsed="false">
      <c r="A2278" s="13" t="s">
        <v>268</v>
      </c>
      <c r="B2278" s="13" t="s">
        <v>751</v>
      </c>
      <c r="C2278" s="11" t="s">
        <v>752</v>
      </c>
      <c r="D2278" s="13" t="s">
        <v>11628</v>
      </c>
      <c r="E2278" s="13" t="s">
        <v>11629</v>
      </c>
      <c r="F2278" s="13" t="s">
        <v>11630</v>
      </c>
      <c r="G2278" s="13" t="s">
        <v>11631</v>
      </c>
      <c r="H2278" s="13" t="s">
        <v>11632</v>
      </c>
    </row>
    <row r="2279" customFormat="false" ht="15" hidden="false" customHeight="true" outlineLevel="0" collapsed="false">
      <c r="A2279" s="13" t="s">
        <v>268</v>
      </c>
      <c r="B2279" s="13" t="s">
        <v>758</v>
      </c>
      <c r="C2279" s="11" t="s">
        <v>759</v>
      </c>
      <c r="D2279" s="13" t="s">
        <v>11633</v>
      </c>
      <c r="E2279" s="13" t="s">
        <v>11634</v>
      </c>
      <c r="F2279" s="13" t="s">
        <v>11635</v>
      </c>
      <c r="G2279" s="13" t="s">
        <v>11636</v>
      </c>
      <c r="H2279" s="13" t="s">
        <v>11637</v>
      </c>
    </row>
    <row r="2280" customFormat="false" ht="15" hidden="false" customHeight="true" outlineLevel="0" collapsed="false">
      <c r="A2280" s="13" t="s">
        <v>268</v>
      </c>
      <c r="B2280" s="13" t="s">
        <v>765</v>
      </c>
      <c r="C2280" s="11" t="s">
        <v>766</v>
      </c>
      <c r="D2280" s="13" t="s">
        <v>11638</v>
      </c>
      <c r="E2280" s="13" t="s">
        <v>11639</v>
      </c>
      <c r="F2280" s="13" t="s">
        <v>11640</v>
      </c>
      <c r="G2280" s="13" t="s">
        <v>11641</v>
      </c>
      <c r="H2280" s="13" t="s">
        <v>11642</v>
      </c>
    </row>
    <row r="2281" customFormat="false" ht="15" hidden="false" customHeight="true" outlineLevel="0" collapsed="false">
      <c r="A2281" s="13" t="s">
        <v>268</v>
      </c>
      <c r="B2281" s="13" t="s">
        <v>772</v>
      </c>
      <c r="C2281" s="11" t="s">
        <v>773</v>
      </c>
      <c r="D2281" s="13" t="s">
        <v>11643</v>
      </c>
      <c r="E2281" s="13" t="s">
        <v>11644</v>
      </c>
      <c r="F2281" s="13" t="s">
        <v>11645</v>
      </c>
      <c r="G2281" s="13" t="s">
        <v>11646</v>
      </c>
      <c r="H2281" s="13" t="s">
        <v>11647</v>
      </c>
    </row>
    <row r="2282" customFormat="false" ht="15" hidden="false" customHeight="true" outlineLevel="0" collapsed="false">
      <c r="A2282" s="13" t="s">
        <v>268</v>
      </c>
      <c r="B2282" s="13" t="s">
        <v>779</v>
      </c>
      <c r="C2282" s="11" t="s">
        <v>780</v>
      </c>
      <c r="D2282" s="13" t="s">
        <v>11648</v>
      </c>
      <c r="E2282" s="13" t="s">
        <v>11649</v>
      </c>
      <c r="F2282" s="13" t="s">
        <v>11650</v>
      </c>
      <c r="G2282" s="13" t="s">
        <v>11651</v>
      </c>
      <c r="H2282" s="13" t="s">
        <v>5271</v>
      </c>
    </row>
    <row r="2283" customFormat="false" ht="15" hidden="false" customHeight="true" outlineLevel="0" collapsed="false">
      <c r="A2283" s="13" t="s">
        <v>268</v>
      </c>
      <c r="B2283" s="13" t="s">
        <v>786</v>
      </c>
      <c r="C2283" s="11" t="s">
        <v>787</v>
      </c>
      <c r="D2283" s="13" t="s">
        <v>11652</v>
      </c>
      <c r="E2283" s="13" t="s">
        <v>11653</v>
      </c>
      <c r="F2283" s="13" t="s">
        <v>11654</v>
      </c>
      <c r="G2283" s="13" t="s">
        <v>11655</v>
      </c>
      <c r="H2283" s="13" t="s">
        <v>11656</v>
      </c>
    </row>
    <row r="2284" customFormat="false" ht="15" hidden="false" customHeight="true" outlineLevel="0" collapsed="false">
      <c r="A2284" s="13" t="s">
        <v>268</v>
      </c>
      <c r="B2284" s="13" t="s">
        <v>793</v>
      </c>
      <c r="C2284" s="11" t="s">
        <v>794</v>
      </c>
      <c r="D2284" s="13" t="s">
        <v>11657</v>
      </c>
      <c r="E2284" s="13" t="s">
        <v>11658</v>
      </c>
      <c r="F2284" s="13" t="s">
        <v>11659</v>
      </c>
      <c r="G2284" s="13" t="s">
        <v>11660</v>
      </c>
      <c r="H2284" s="13" t="s">
        <v>11661</v>
      </c>
    </row>
    <row r="2285" customFormat="false" ht="15" hidden="false" customHeight="true" outlineLevel="0" collapsed="false">
      <c r="A2285" s="13" t="s">
        <v>268</v>
      </c>
      <c r="B2285" s="13" t="s">
        <v>800</v>
      </c>
      <c r="C2285" s="11" t="s">
        <v>801</v>
      </c>
      <c r="D2285" s="13" t="s">
        <v>11662</v>
      </c>
      <c r="E2285" s="13" t="s">
        <v>11663</v>
      </c>
      <c r="F2285" s="13" t="s">
        <v>11664</v>
      </c>
      <c r="G2285" s="13" t="s">
        <v>11665</v>
      </c>
      <c r="H2285" s="13" t="s">
        <v>11666</v>
      </c>
    </row>
    <row r="2286" customFormat="false" ht="15" hidden="false" customHeight="true" outlineLevel="0" collapsed="false">
      <c r="A2286" s="13" t="s">
        <v>268</v>
      </c>
      <c r="B2286" s="13" t="s">
        <v>806</v>
      </c>
      <c r="C2286" s="11" t="s">
        <v>807</v>
      </c>
      <c r="D2286" s="13" t="s">
        <v>11667</v>
      </c>
      <c r="E2286" s="13" t="s">
        <v>11668</v>
      </c>
      <c r="F2286" s="13" t="s">
        <v>11669</v>
      </c>
      <c r="G2286" s="13" t="s">
        <v>11670</v>
      </c>
      <c r="H2286" s="13" t="s">
        <v>11671</v>
      </c>
    </row>
    <row r="2287" customFormat="false" ht="15" hidden="false" customHeight="true" outlineLevel="0" collapsed="false">
      <c r="A2287" s="13" t="s">
        <v>268</v>
      </c>
      <c r="B2287" s="13" t="s">
        <v>813</v>
      </c>
      <c r="C2287" s="11" t="s">
        <v>814</v>
      </c>
      <c r="D2287" s="13" t="s">
        <v>11672</v>
      </c>
      <c r="E2287" s="13" t="s">
        <v>11673</v>
      </c>
      <c r="F2287" s="13" t="s">
        <v>11674</v>
      </c>
      <c r="G2287" s="13" t="s">
        <v>11675</v>
      </c>
      <c r="H2287" s="13" t="s">
        <v>11676</v>
      </c>
    </row>
    <row r="2288" customFormat="false" ht="15" hidden="false" customHeight="true" outlineLevel="0" collapsed="false">
      <c r="A2288" s="13" t="s">
        <v>268</v>
      </c>
      <c r="B2288" s="13" t="s">
        <v>820</v>
      </c>
      <c r="C2288" s="11" t="s">
        <v>821</v>
      </c>
      <c r="D2288" s="13" t="s">
        <v>11677</v>
      </c>
      <c r="E2288" s="13" t="s">
        <v>11678</v>
      </c>
      <c r="F2288" s="13" t="s">
        <v>11679</v>
      </c>
      <c r="G2288" s="13" t="s">
        <v>11680</v>
      </c>
      <c r="H2288" s="13" t="s">
        <v>11681</v>
      </c>
    </row>
    <row r="2289" customFormat="false" ht="15" hidden="false" customHeight="true" outlineLevel="0" collapsed="false">
      <c r="A2289" s="13" t="s">
        <v>268</v>
      </c>
      <c r="B2289" s="13" t="s">
        <v>827</v>
      </c>
      <c r="C2289" s="11" t="s">
        <v>828</v>
      </c>
      <c r="D2289" s="13" t="s">
        <v>11682</v>
      </c>
      <c r="E2289" s="13" t="s">
        <v>11683</v>
      </c>
      <c r="F2289" s="13" t="s">
        <v>11684</v>
      </c>
      <c r="G2289" s="13" t="s">
        <v>11685</v>
      </c>
      <c r="H2289" s="13" t="s">
        <v>11686</v>
      </c>
    </row>
    <row r="2290" customFormat="false" ht="15" hidden="false" customHeight="true" outlineLevel="0" collapsed="false">
      <c r="A2290" s="13" t="s">
        <v>268</v>
      </c>
      <c r="B2290" s="13" t="s">
        <v>834</v>
      </c>
      <c r="C2290" s="11" t="s">
        <v>835</v>
      </c>
      <c r="D2290" s="13" t="s">
        <v>11687</v>
      </c>
      <c r="E2290" s="13" t="s">
        <v>11688</v>
      </c>
      <c r="F2290" s="13" t="s">
        <v>11689</v>
      </c>
      <c r="G2290" s="13" t="s">
        <v>11690</v>
      </c>
      <c r="H2290" s="13" t="s">
        <v>11691</v>
      </c>
    </row>
    <row r="2291" customFormat="false" ht="15" hidden="false" customHeight="true" outlineLevel="0" collapsed="false">
      <c r="A2291" s="13" t="s">
        <v>268</v>
      </c>
      <c r="B2291" s="13" t="s">
        <v>841</v>
      </c>
      <c r="C2291" s="11" t="s">
        <v>842</v>
      </c>
      <c r="D2291" s="13" t="s">
        <v>11692</v>
      </c>
      <c r="E2291" s="13" t="s">
        <v>11693</v>
      </c>
      <c r="F2291" s="13" t="s">
        <v>11694</v>
      </c>
      <c r="G2291" s="13" t="s">
        <v>11695</v>
      </c>
      <c r="H2291" s="13" t="s">
        <v>11696</v>
      </c>
    </row>
    <row r="2292" customFormat="false" ht="15" hidden="false" customHeight="true" outlineLevel="0" collapsed="false">
      <c r="A2292" s="13" t="s">
        <v>268</v>
      </c>
      <c r="B2292" s="13" t="s">
        <v>848</v>
      </c>
      <c r="C2292" s="11" t="s">
        <v>849</v>
      </c>
      <c r="D2292" s="13" t="s">
        <v>11697</v>
      </c>
      <c r="E2292" s="13" t="s">
        <v>11698</v>
      </c>
      <c r="F2292" s="13" t="s">
        <v>11699</v>
      </c>
      <c r="G2292" s="13" t="s">
        <v>11700</v>
      </c>
      <c r="H2292" s="13" t="s">
        <v>11701</v>
      </c>
    </row>
    <row r="2293" customFormat="false" ht="15" hidden="false" customHeight="true" outlineLevel="0" collapsed="false">
      <c r="A2293" s="13" t="s">
        <v>268</v>
      </c>
      <c r="B2293" s="13" t="s">
        <v>855</v>
      </c>
      <c r="C2293" s="11" t="s">
        <v>856</v>
      </c>
      <c r="D2293" s="13" t="s">
        <v>11702</v>
      </c>
      <c r="E2293" s="13" t="s">
        <v>11703</v>
      </c>
      <c r="F2293" s="13" t="s">
        <v>11704</v>
      </c>
      <c r="G2293" s="13" t="s">
        <v>11705</v>
      </c>
      <c r="H2293" s="13" t="s">
        <v>11706</v>
      </c>
    </row>
    <row r="2294" customFormat="false" ht="15" hidden="false" customHeight="true" outlineLevel="0" collapsed="false">
      <c r="A2294" s="13" t="s">
        <v>268</v>
      </c>
      <c r="B2294" s="13" t="s">
        <v>862</v>
      </c>
      <c r="C2294" s="11" t="s">
        <v>863</v>
      </c>
      <c r="D2294" s="13" t="s">
        <v>11707</v>
      </c>
      <c r="E2294" s="13" t="s">
        <v>11708</v>
      </c>
      <c r="F2294" s="13" t="s">
        <v>11709</v>
      </c>
      <c r="G2294" s="13" t="s">
        <v>11710</v>
      </c>
      <c r="H2294" s="13" t="s">
        <v>11711</v>
      </c>
    </row>
    <row r="2295" customFormat="false" ht="15" hidden="false" customHeight="true" outlineLevel="0" collapsed="false">
      <c r="A2295" s="13" t="s">
        <v>268</v>
      </c>
      <c r="B2295" s="13" t="s">
        <v>869</v>
      </c>
      <c r="C2295" s="11" t="s">
        <v>870</v>
      </c>
      <c r="D2295" s="13" t="s">
        <v>11712</v>
      </c>
      <c r="E2295" s="13" t="s">
        <v>11713</v>
      </c>
      <c r="F2295" s="13" t="s">
        <v>11714</v>
      </c>
      <c r="G2295" s="13" t="s">
        <v>11715</v>
      </c>
      <c r="H2295" s="13" t="s">
        <v>11716</v>
      </c>
    </row>
    <row r="2296" customFormat="false" ht="15" hidden="false" customHeight="true" outlineLevel="0" collapsed="false">
      <c r="A2296" s="13" t="s">
        <v>268</v>
      </c>
      <c r="B2296" s="13" t="s">
        <v>876</v>
      </c>
      <c r="C2296" s="11" t="s">
        <v>877</v>
      </c>
      <c r="D2296" s="13" t="s">
        <v>11717</v>
      </c>
      <c r="E2296" s="13" t="s">
        <v>11718</v>
      </c>
      <c r="F2296" s="13" t="s">
        <v>11719</v>
      </c>
      <c r="G2296" s="13" t="s">
        <v>11720</v>
      </c>
      <c r="H2296" s="13" t="s">
        <v>11721</v>
      </c>
    </row>
    <row r="2297" customFormat="false" ht="15" hidden="false" customHeight="true" outlineLevel="0" collapsed="false">
      <c r="A2297" s="13" t="s">
        <v>268</v>
      </c>
      <c r="B2297" s="13" t="s">
        <v>883</v>
      </c>
      <c r="C2297" s="11" t="s">
        <v>884</v>
      </c>
      <c r="D2297" s="13" t="s">
        <v>11722</v>
      </c>
      <c r="E2297" s="13" t="s">
        <v>11723</v>
      </c>
      <c r="F2297" s="13" t="s">
        <v>11724</v>
      </c>
      <c r="G2297" s="13" t="s">
        <v>11725</v>
      </c>
      <c r="H2297" s="13" t="s">
        <v>11726</v>
      </c>
    </row>
    <row r="2298" customFormat="false" ht="15" hidden="false" customHeight="true" outlineLevel="0" collapsed="false">
      <c r="A2298" s="13" t="s">
        <v>268</v>
      </c>
      <c r="B2298" s="13" t="s">
        <v>890</v>
      </c>
      <c r="C2298" s="11" t="s">
        <v>891</v>
      </c>
      <c r="D2298" s="13" t="s">
        <v>11727</v>
      </c>
      <c r="E2298" s="13" t="s">
        <v>11728</v>
      </c>
      <c r="F2298" s="13" t="s">
        <v>11729</v>
      </c>
      <c r="G2298" s="13" t="s">
        <v>11730</v>
      </c>
      <c r="H2298" s="13" t="s">
        <v>11731</v>
      </c>
    </row>
    <row r="2299" customFormat="false" ht="15" hidden="false" customHeight="true" outlineLevel="0" collapsed="false">
      <c r="A2299" s="13" t="s">
        <v>268</v>
      </c>
      <c r="B2299" s="13" t="s">
        <v>897</v>
      </c>
      <c r="C2299" s="11" t="s">
        <v>898</v>
      </c>
      <c r="D2299" s="13" t="s">
        <v>11732</v>
      </c>
      <c r="E2299" s="13" t="s">
        <v>11733</v>
      </c>
      <c r="F2299" s="13" t="s">
        <v>11734</v>
      </c>
      <c r="G2299" s="13" t="s">
        <v>11735</v>
      </c>
      <c r="H2299" s="13" t="s">
        <v>11736</v>
      </c>
    </row>
    <row r="2300" customFormat="false" ht="15" hidden="false" customHeight="true" outlineLevel="0" collapsed="false">
      <c r="A2300" s="13" t="s">
        <v>268</v>
      </c>
      <c r="B2300" s="13" t="s">
        <v>904</v>
      </c>
      <c r="C2300" s="11" t="s">
        <v>905</v>
      </c>
      <c r="D2300" s="13" t="s">
        <v>11737</v>
      </c>
      <c r="E2300" s="13" t="s">
        <v>11738</v>
      </c>
      <c r="F2300" s="13" t="s">
        <v>11739</v>
      </c>
      <c r="G2300" s="13" t="s">
        <v>11740</v>
      </c>
      <c r="H2300" s="13" t="s">
        <v>11741</v>
      </c>
    </row>
    <row r="2301" customFormat="false" ht="15" hidden="false" customHeight="true" outlineLevel="0" collapsed="false">
      <c r="A2301" s="13" t="s">
        <v>268</v>
      </c>
      <c r="B2301" s="13" t="s">
        <v>911</v>
      </c>
      <c r="C2301" s="11" t="s">
        <v>912</v>
      </c>
      <c r="D2301" s="13" t="s">
        <v>11742</v>
      </c>
      <c r="E2301" s="13" t="s">
        <v>11743</v>
      </c>
      <c r="F2301" s="13" t="s">
        <v>11744</v>
      </c>
      <c r="G2301" s="13" t="s">
        <v>11745</v>
      </c>
      <c r="H2301" s="13" t="s">
        <v>11746</v>
      </c>
    </row>
    <row r="2302" customFormat="false" ht="15" hidden="false" customHeight="true" outlineLevel="0" collapsed="false">
      <c r="A2302" s="13" t="s">
        <v>268</v>
      </c>
      <c r="B2302" s="13" t="s">
        <v>918</v>
      </c>
      <c r="C2302" s="11" t="s">
        <v>919</v>
      </c>
      <c r="D2302" s="13" t="s">
        <v>11747</v>
      </c>
      <c r="E2302" s="13" t="s">
        <v>11748</v>
      </c>
      <c r="F2302" s="13" t="s">
        <v>11749</v>
      </c>
      <c r="G2302" s="13" t="s">
        <v>11750</v>
      </c>
      <c r="H2302" s="13" t="s">
        <v>11751</v>
      </c>
    </row>
    <row r="2303" customFormat="false" ht="15" hidden="false" customHeight="true" outlineLevel="0" collapsed="false">
      <c r="A2303" s="13" t="s">
        <v>268</v>
      </c>
      <c r="B2303" s="13" t="s">
        <v>925</v>
      </c>
      <c r="C2303" s="11" t="s">
        <v>926</v>
      </c>
      <c r="D2303" s="13" t="s">
        <v>11752</v>
      </c>
      <c r="E2303" s="13" t="s">
        <v>11753</v>
      </c>
      <c r="F2303" s="13" t="s">
        <v>11754</v>
      </c>
      <c r="G2303" s="13" t="s">
        <v>11755</v>
      </c>
      <c r="H2303" s="13" t="s">
        <v>11756</v>
      </c>
    </row>
    <row r="2304" customFormat="false" ht="15" hidden="false" customHeight="true" outlineLevel="0" collapsed="false">
      <c r="A2304" s="13" t="s">
        <v>268</v>
      </c>
      <c r="B2304" s="13" t="s">
        <v>932</v>
      </c>
      <c r="C2304" s="11" t="s">
        <v>933</v>
      </c>
      <c r="D2304" s="13" t="s">
        <v>11757</v>
      </c>
      <c r="E2304" s="13" t="s">
        <v>11758</v>
      </c>
      <c r="F2304" s="13" t="s">
        <v>11759</v>
      </c>
      <c r="G2304" s="13" t="s">
        <v>11760</v>
      </c>
      <c r="H2304" s="13" t="s">
        <v>10957</v>
      </c>
    </row>
    <row r="2305" customFormat="false" ht="15" hidden="false" customHeight="true" outlineLevel="0" collapsed="false">
      <c r="A2305" s="13" t="s">
        <v>268</v>
      </c>
      <c r="B2305" s="13" t="s">
        <v>939</v>
      </c>
      <c r="C2305" s="11" t="s">
        <v>940</v>
      </c>
      <c r="D2305" s="13" t="s">
        <v>11761</v>
      </c>
      <c r="E2305" s="13" t="s">
        <v>11762</v>
      </c>
      <c r="F2305" s="13" t="s">
        <v>11763</v>
      </c>
      <c r="G2305" s="13" t="s">
        <v>11764</v>
      </c>
      <c r="H2305" s="13" t="s">
        <v>11765</v>
      </c>
    </row>
    <row r="2306" customFormat="false" ht="15" hidden="false" customHeight="true" outlineLevel="0" collapsed="false">
      <c r="A2306" s="13" t="s">
        <v>268</v>
      </c>
      <c r="B2306" s="13" t="s">
        <v>946</v>
      </c>
      <c r="C2306" s="11" t="s">
        <v>947</v>
      </c>
      <c r="D2306" s="13" t="s">
        <v>11766</v>
      </c>
      <c r="E2306" s="13" t="s">
        <v>11767</v>
      </c>
      <c r="F2306" s="13" t="s">
        <v>1272</v>
      </c>
      <c r="G2306" s="13" t="s">
        <v>11768</v>
      </c>
      <c r="H2306" s="13" t="s">
        <v>11769</v>
      </c>
    </row>
    <row r="2307" customFormat="false" ht="15" hidden="false" customHeight="true" outlineLevel="0" collapsed="false">
      <c r="A2307" s="13" t="s">
        <v>268</v>
      </c>
      <c r="B2307" s="13" t="s">
        <v>953</v>
      </c>
      <c r="C2307" s="11" t="s">
        <v>954</v>
      </c>
      <c r="D2307" s="13" t="s">
        <v>11770</v>
      </c>
      <c r="E2307" s="13" t="s">
        <v>11771</v>
      </c>
      <c r="F2307" s="13" t="s">
        <v>11772</v>
      </c>
      <c r="G2307" s="13" t="s">
        <v>11773</v>
      </c>
      <c r="H2307" s="13" t="s">
        <v>11774</v>
      </c>
    </row>
    <row r="2308" customFormat="false" ht="15" hidden="false" customHeight="true" outlineLevel="0" collapsed="false">
      <c r="A2308" s="13" t="s">
        <v>268</v>
      </c>
      <c r="B2308" s="13" t="s">
        <v>960</v>
      </c>
      <c r="C2308" s="11" t="s">
        <v>961</v>
      </c>
      <c r="D2308" s="13" t="s">
        <v>11775</v>
      </c>
      <c r="E2308" s="13" t="s">
        <v>11776</v>
      </c>
      <c r="F2308" s="13" t="s">
        <v>11777</v>
      </c>
      <c r="G2308" s="13" t="s">
        <v>11778</v>
      </c>
      <c r="H2308" s="13" t="s">
        <v>11779</v>
      </c>
    </row>
    <row r="2309" customFormat="false" ht="15" hidden="false" customHeight="true" outlineLevel="0" collapsed="false">
      <c r="A2309" s="13" t="s">
        <v>268</v>
      </c>
      <c r="B2309" s="13" t="s">
        <v>967</v>
      </c>
      <c r="C2309" s="11" t="s">
        <v>968</v>
      </c>
      <c r="D2309" s="13" t="s">
        <v>11780</v>
      </c>
      <c r="E2309" s="13" t="s">
        <v>11781</v>
      </c>
      <c r="F2309" s="13" t="s">
        <v>11782</v>
      </c>
      <c r="G2309" s="13" t="s">
        <v>11783</v>
      </c>
      <c r="H2309" s="13" t="s">
        <v>11784</v>
      </c>
    </row>
    <row r="2310" customFormat="false" ht="15" hidden="false" customHeight="true" outlineLevel="0" collapsed="false">
      <c r="A2310" s="13" t="s">
        <v>268</v>
      </c>
      <c r="B2310" s="13" t="s">
        <v>974</v>
      </c>
      <c r="C2310" s="11" t="s">
        <v>975</v>
      </c>
      <c r="D2310" s="13" t="s">
        <v>11785</v>
      </c>
      <c r="E2310" s="13" t="s">
        <v>11786</v>
      </c>
      <c r="F2310" s="13" t="s">
        <v>11787</v>
      </c>
      <c r="G2310" s="13" t="s">
        <v>11788</v>
      </c>
      <c r="H2310" s="13" t="s">
        <v>11789</v>
      </c>
    </row>
    <row r="2311" customFormat="false" ht="15" hidden="false" customHeight="true" outlineLevel="0" collapsed="false">
      <c r="A2311" s="13" t="s">
        <v>268</v>
      </c>
      <c r="B2311" s="13" t="s">
        <v>981</v>
      </c>
      <c r="C2311" s="11" t="s">
        <v>982</v>
      </c>
      <c r="D2311" s="13" t="s">
        <v>11790</v>
      </c>
      <c r="E2311" s="13" t="s">
        <v>11791</v>
      </c>
      <c r="F2311" s="13" t="s">
        <v>11792</v>
      </c>
      <c r="G2311" s="13" t="s">
        <v>11793</v>
      </c>
      <c r="H2311" s="13" t="s">
        <v>11794</v>
      </c>
    </row>
    <row r="2312" customFormat="false" ht="15" hidden="false" customHeight="true" outlineLevel="0" collapsed="false">
      <c r="A2312" s="13" t="s">
        <v>268</v>
      </c>
      <c r="B2312" s="13" t="s">
        <v>988</v>
      </c>
      <c r="C2312" s="11" t="s">
        <v>989</v>
      </c>
      <c r="D2312" s="13" t="s">
        <v>11795</v>
      </c>
      <c r="E2312" s="13" t="s">
        <v>11796</v>
      </c>
      <c r="F2312" s="13" t="s">
        <v>11797</v>
      </c>
      <c r="G2312" s="13" t="s">
        <v>11798</v>
      </c>
      <c r="H2312" s="13" t="s">
        <v>11799</v>
      </c>
    </row>
    <row r="2313" customFormat="false" ht="15" hidden="false" customHeight="true" outlineLevel="0" collapsed="false">
      <c r="A2313" s="13" t="s">
        <v>268</v>
      </c>
      <c r="B2313" s="13" t="s">
        <v>995</v>
      </c>
      <c r="C2313" s="11" t="s">
        <v>996</v>
      </c>
      <c r="D2313" s="13" t="s">
        <v>11800</v>
      </c>
      <c r="E2313" s="13" t="s">
        <v>11801</v>
      </c>
      <c r="F2313" s="13" t="s">
        <v>11802</v>
      </c>
      <c r="G2313" s="13" t="s">
        <v>11803</v>
      </c>
      <c r="H2313" s="13" t="s">
        <v>11804</v>
      </c>
    </row>
    <row r="2314" customFormat="false" ht="15" hidden="false" customHeight="true" outlineLevel="0" collapsed="false">
      <c r="A2314" s="13" t="s">
        <v>268</v>
      </c>
      <c r="B2314" s="13" t="s">
        <v>1002</v>
      </c>
      <c r="C2314" s="11" t="s">
        <v>1003</v>
      </c>
      <c r="D2314" s="13" t="s">
        <v>11805</v>
      </c>
      <c r="E2314" s="13" t="s">
        <v>11806</v>
      </c>
      <c r="F2314" s="13" t="s">
        <v>11807</v>
      </c>
      <c r="G2314" s="13" t="s">
        <v>11808</v>
      </c>
      <c r="H2314" s="13" t="s">
        <v>11809</v>
      </c>
    </row>
    <row r="2315" customFormat="false" ht="15" hidden="false" customHeight="true" outlineLevel="0" collapsed="false">
      <c r="A2315" s="13" t="s">
        <v>268</v>
      </c>
      <c r="B2315" s="13" t="s">
        <v>1009</v>
      </c>
      <c r="C2315" s="11" t="s">
        <v>1010</v>
      </c>
      <c r="D2315" s="13" t="s">
        <v>11810</v>
      </c>
      <c r="E2315" s="13" t="s">
        <v>11811</v>
      </c>
      <c r="F2315" s="13" t="s">
        <v>11812</v>
      </c>
      <c r="G2315" s="13" t="s">
        <v>11813</v>
      </c>
      <c r="H2315" s="13" t="s">
        <v>11814</v>
      </c>
    </row>
    <row r="2316" customFormat="false" ht="15" hidden="false" customHeight="true" outlineLevel="0" collapsed="false">
      <c r="A2316" s="13" t="s">
        <v>276</v>
      </c>
      <c r="B2316" s="13" t="s">
        <v>345</v>
      </c>
      <c r="C2316" s="11" t="s">
        <v>346</v>
      </c>
      <c r="D2316" s="13" t="s">
        <v>4579</v>
      </c>
      <c r="E2316" s="13" t="s">
        <v>10636</v>
      </c>
      <c r="F2316" s="13" t="s">
        <v>11815</v>
      </c>
      <c r="G2316" s="13" t="s">
        <v>11816</v>
      </c>
      <c r="H2316" s="13" t="s">
        <v>11817</v>
      </c>
    </row>
    <row r="2317" customFormat="false" ht="15" hidden="false" customHeight="true" outlineLevel="0" collapsed="false">
      <c r="A2317" s="13" t="s">
        <v>276</v>
      </c>
      <c r="B2317" s="13" t="s">
        <v>352</v>
      </c>
      <c r="C2317" s="11" t="s">
        <v>353</v>
      </c>
      <c r="D2317" s="13" t="s">
        <v>11818</v>
      </c>
      <c r="E2317" s="13" t="s">
        <v>11819</v>
      </c>
      <c r="F2317" s="13" t="s">
        <v>11820</v>
      </c>
      <c r="G2317" s="13" t="s">
        <v>11821</v>
      </c>
      <c r="H2317" s="13" t="s">
        <v>11822</v>
      </c>
    </row>
    <row r="2318" customFormat="false" ht="15" hidden="false" customHeight="true" outlineLevel="0" collapsed="false">
      <c r="A2318" s="13" t="s">
        <v>276</v>
      </c>
      <c r="B2318" s="13" t="s">
        <v>359</v>
      </c>
      <c r="C2318" s="11" t="s">
        <v>360</v>
      </c>
      <c r="D2318" s="13" t="s">
        <v>11823</v>
      </c>
      <c r="E2318" s="13" t="s">
        <v>11824</v>
      </c>
      <c r="F2318" s="13" t="s">
        <v>11825</v>
      </c>
      <c r="G2318" s="13" t="s">
        <v>11826</v>
      </c>
      <c r="H2318" s="13" t="s">
        <v>11827</v>
      </c>
    </row>
    <row r="2319" customFormat="false" ht="15" hidden="false" customHeight="true" outlineLevel="0" collapsed="false">
      <c r="A2319" s="13" t="s">
        <v>276</v>
      </c>
      <c r="B2319" s="13" t="s">
        <v>366</v>
      </c>
      <c r="C2319" s="11" t="s">
        <v>367</v>
      </c>
      <c r="D2319" s="13" t="s">
        <v>11828</v>
      </c>
      <c r="E2319" s="13" t="s">
        <v>11829</v>
      </c>
      <c r="F2319" s="13" t="s">
        <v>11830</v>
      </c>
      <c r="G2319" s="13" t="s">
        <v>11831</v>
      </c>
      <c r="H2319" s="13" t="s">
        <v>11832</v>
      </c>
    </row>
    <row r="2320" customFormat="false" ht="15" hidden="false" customHeight="true" outlineLevel="0" collapsed="false">
      <c r="A2320" s="13" t="s">
        <v>276</v>
      </c>
      <c r="B2320" s="13" t="s">
        <v>373</v>
      </c>
      <c r="C2320" s="11" t="s">
        <v>374</v>
      </c>
      <c r="D2320" s="13" t="s">
        <v>11833</v>
      </c>
      <c r="E2320" s="13" t="s">
        <v>11834</v>
      </c>
      <c r="F2320" s="13" t="s">
        <v>11835</v>
      </c>
      <c r="G2320" s="13" t="s">
        <v>7254</v>
      </c>
      <c r="H2320" s="13" t="s">
        <v>11836</v>
      </c>
    </row>
    <row r="2321" customFormat="false" ht="15" hidden="false" customHeight="true" outlineLevel="0" collapsed="false">
      <c r="A2321" s="13" t="s">
        <v>276</v>
      </c>
      <c r="B2321" s="13" t="s">
        <v>380</v>
      </c>
      <c r="C2321" s="11" t="s">
        <v>381</v>
      </c>
      <c r="D2321" s="13" t="s">
        <v>11837</v>
      </c>
      <c r="E2321" s="13" t="s">
        <v>11838</v>
      </c>
      <c r="F2321" s="13" t="s">
        <v>11839</v>
      </c>
      <c r="G2321" s="13" t="s">
        <v>11840</v>
      </c>
      <c r="H2321" s="13" t="s">
        <v>11841</v>
      </c>
    </row>
    <row r="2322" customFormat="false" ht="15" hidden="false" customHeight="true" outlineLevel="0" collapsed="false">
      <c r="A2322" s="13" t="s">
        <v>276</v>
      </c>
      <c r="B2322" s="13" t="s">
        <v>387</v>
      </c>
      <c r="C2322" s="11" t="s">
        <v>388</v>
      </c>
      <c r="D2322" s="13" t="s">
        <v>11842</v>
      </c>
      <c r="E2322" s="13" t="s">
        <v>11843</v>
      </c>
      <c r="F2322" s="13" t="s">
        <v>3987</v>
      </c>
      <c r="G2322" s="13" t="s">
        <v>11844</v>
      </c>
      <c r="H2322" s="13" t="s">
        <v>11845</v>
      </c>
    </row>
    <row r="2323" customFormat="false" ht="15" hidden="false" customHeight="true" outlineLevel="0" collapsed="false">
      <c r="A2323" s="13" t="s">
        <v>276</v>
      </c>
      <c r="B2323" s="13" t="s">
        <v>394</v>
      </c>
      <c r="C2323" s="11" t="s">
        <v>395</v>
      </c>
      <c r="D2323" s="13" t="s">
        <v>11846</v>
      </c>
      <c r="E2323" s="13" t="s">
        <v>11847</v>
      </c>
      <c r="F2323" s="13" t="s">
        <v>11848</v>
      </c>
      <c r="G2323" s="13" t="s">
        <v>11849</v>
      </c>
      <c r="H2323" s="13" t="s">
        <v>11850</v>
      </c>
    </row>
    <row r="2324" customFormat="false" ht="15" hidden="false" customHeight="true" outlineLevel="0" collapsed="false">
      <c r="A2324" s="13" t="s">
        <v>276</v>
      </c>
      <c r="B2324" s="13" t="s">
        <v>401</v>
      </c>
      <c r="C2324" s="11" t="s">
        <v>402</v>
      </c>
      <c r="D2324" s="13" t="s">
        <v>11851</v>
      </c>
      <c r="E2324" s="13" t="s">
        <v>11852</v>
      </c>
      <c r="F2324" s="13" t="s">
        <v>11853</v>
      </c>
      <c r="G2324" s="13" t="s">
        <v>11854</v>
      </c>
      <c r="H2324" s="13" t="s">
        <v>11855</v>
      </c>
    </row>
    <row r="2325" customFormat="false" ht="15" hidden="false" customHeight="true" outlineLevel="0" collapsed="false">
      <c r="A2325" s="13" t="s">
        <v>276</v>
      </c>
      <c r="B2325" s="13" t="s">
        <v>408</v>
      </c>
      <c r="C2325" s="11" t="s">
        <v>409</v>
      </c>
      <c r="D2325" s="13" t="s">
        <v>11856</v>
      </c>
      <c r="E2325" s="13" t="s">
        <v>11857</v>
      </c>
      <c r="F2325" s="13" t="s">
        <v>11858</v>
      </c>
      <c r="G2325" s="13" t="s">
        <v>11859</v>
      </c>
      <c r="H2325" s="13" t="s">
        <v>11860</v>
      </c>
    </row>
    <row r="2326" customFormat="false" ht="15" hidden="false" customHeight="true" outlineLevel="0" collapsed="false">
      <c r="A2326" s="13" t="s">
        <v>276</v>
      </c>
      <c r="B2326" s="13" t="s">
        <v>415</v>
      </c>
      <c r="C2326" s="11" t="s">
        <v>416</v>
      </c>
      <c r="D2326" s="13" t="s">
        <v>11861</v>
      </c>
      <c r="E2326" s="13" t="s">
        <v>11862</v>
      </c>
      <c r="F2326" s="13" t="s">
        <v>11863</v>
      </c>
      <c r="G2326" s="13" t="s">
        <v>11864</v>
      </c>
      <c r="H2326" s="13" t="s">
        <v>11865</v>
      </c>
    </row>
    <row r="2327" customFormat="false" ht="15" hidden="false" customHeight="true" outlineLevel="0" collapsed="false">
      <c r="A2327" s="13" t="s">
        <v>276</v>
      </c>
      <c r="B2327" s="13" t="s">
        <v>422</v>
      </c>
      <c r="C2327" s="11" t="s">
        <v>423</v>
      </c>
      <c r="D2327" s="13" t="s">
        <v>11866</v>
      </c>
      <c r="E2327" s="13" t="s">
        <v>11867</v>
      </c>
      <c r="F2327" s="13" t="s">
        <v>11868</v>
      </c>
      <c r="G2327" s="13" t="s">
        <v>11869</v>
      </c>
      <c r="H2327" s="13" t="s">
        <v>11870</v>
      </c>
    </row>
    <row r="2328" customFormat="false" ht="15" hidden="false" customHeight="true" outlineLevel="0" collapsed="false">
      <c r="A2328" s="13" t="s">
        <v>276</v>
      </c>
      <c r="B2328" s="13" t="s">
        <v>429</v>
      </c>
      <c r="C2328" s="11" t="s">
        <v>430</v>
      </c>
      <c r="D2328" s="13" t="s">
        <v>11871</v>
      </c>
      <c r="E2328" s="13" t="s">
        <v>11872</v>
      </c>
      <c r="F2328" s="13" t="s">
        <v>11873</v>
      </c>
      <c r="G2328" s="13" t="s">
        <v>11874</v>
      </c>
      <c r="H2328" s="13" t="s">
        <v>11875</v>
      </c>
    </row>
    <row r="2329" customFormat="false" ht="15" hidden="false" customHeight="true" outlineLevel="0" collapsed="false">
      <c r="A2329" s="13" t="s">
        <v>276</v>
      </c>
      <c r="B2329" s="13" t="s">
        <v>436</v>
      </c>
      <c r="C2329" s="11" t="s">
        <v>437</v>
      </c>
      <c r="D2329" s="13" t="s">
        <v>1500</v>
      </c>
      <c r="E2329" s="13" t="s">
        <v>656</v>
      </c>
      <c r="F2329" s="13" t="s">
        <v>11876</v>
      </c>
      <c r="G2329" s="13" t="s">
        <v>11877</v>
      </c>
      <c r="H2329" s="13" t="s">
        <v>11878</v>
      </c>
    </row>
    <row r="2330" customFormat="false" ht="15" hidden="false" customHeight="true" outlineLevel="0" collapsed="false">
      <c r="A2330" s="13" t="s">
        <v>276</v>
      </c>
      <c r="B2330" s="13" t="s">
        <v>443</v>
      </c>
      <c r="C2330" s="11" t="s">
        <v>444</v>
      </c>
      <c r="D2330" s="13" t="s">
        <v>11879</v>
      </c>
      <c r="E2330" s="13" t="s">
        <v>11880</v>
      </c>
      <c r="F2330" s="13" t="s">
        <v>11881</v>
      </c>
      <c r="G2330" s="13" t="s">
        <v>11882</v>
      </c>
      <c r="H2330" s="13" t="s">
        <v>11883</v>
      </c>
    </row>
    <row r="2331" customFormat="false" ht="15" hidden="false" customHeight="true" outlineLevel="0" collapsed="false">
      <c r="A2331" s="13" t="s">
        <v>276</v>
      </c>
      <c r="B2331" s="13" t="s">
        <v>450</v>
      </c>
      <c r="C2331" s="11" t="s">
        <v>451</v>
      </c>
      <c r="D2331" s="13" t="s">
        <v>11884</v>
      </c>
      <c r="E2331" s="13" t="s">
        <v>11885</v>
      </c>
      <c r="F2331" s="13" t="s">
        <v>11886</v>
      </c>
      <c r="G2331" s="13" t="s">
        <v>11887</v>
      </c>
      <c r="H2331" s="13" t="s">
        <v>11888</v>
      </c>
    </row>
    <row r="2332" customFormat="false" ht="15" hidden="false" customHeight="true" outlineLevel="0" collapsed="false">
      <c r="A2332" s="13" t="s">
        <v>276</v>
      </c>
      <c r="B2332" s="13" t="s">
        <v>457</v>
      </c>
      <c r="C2332" s="11" t="s">
        <v>458</v>
      </c>
      <c r="D2332" s="13" t="s">
        <v>11889</v>
      </c>
      <c r="E2332" s="13" t="s">
        <v>11890</v>
      </c>
      <c r="F2332" s="13" t="s">
        <v>11891</v>
      </c>
      <c r="G2332" s="13" t="s">
        <v>11892</v>
      </c>
      <c r="H2332" s="13" t="s">
        <v>11893</v>
      </c>
    </row>
    <row r="2333" customFormat="false" ht="15" hidden="false" customHeight="true" outlineLevel="0" collapsed="false">
      <c r="A2333" s="13" t="s">
        <v>276</v>
      </c>
      <c r="B2333" s="13" t="s">
        <v>464</v>
      </c>
      <c r="C2333" s="11" t="s">
        <v>465</v>
      </c>
      <c r="D2333" s="13" t="s">
        <v>11894</v>
      </c>
      <c r="E2333" s="13" t="s">
        <v>11895</v>
      </c>
      <c r="F2333" s="13" t="s">
        <v>11896</v>
      </c>
      <c r="G2333" s="13" t="s">
        <v>11897</v>
      </c>
      <c r="H2333" s="13" t="s">
        <v>11898</v>
      </c>
    </row>
    <row r="2334" customFormat="false" ht="15" hidden="false" customHeight="true" outlineLevel="0" collapsed="false">
      <c r="A2334" s="13" t="s">
        <v>276</v>
      </c>
      <c r="B2334" s="13" t="s">
        <v>471</v>
      </c>
      <c r="C2334" s="11" t="s">
        <v>472</v>
      </c>
      <c r="D2334" s="13" t="s">
        <v>11899</v>
      </c>
      <c r="E2334" s="13" t="s">
        <v>11900</v>
      </c>
      <c r="F2334" s="13" t="s">
        <v>11901</v>
      </c>
      <c r="G2334" s="13" t="s">
        <v>11902</v>
      </c>
      <c r="H2334" s="13" t="s">
        <v>11903</v>
      </c>
    </row>
    <row r="2335" customFormat="false" ht="15" hidden="false" customHeight="true" outlineLevel="0" collapsed="false">
      <c r="A2335" s="13" t="s">
        <v>276</v>
      </c>
      <c r="B2335" s="13" t="s">
        <v>478</v>
      </c>
      <c r="C2335" s="11" t="s">
        <v>479</v>
      </c>
      <c r="D2335" s="13" t="s">
        <v>11904</v>
      </c>
      <c r="E2335" s="13" t="s">
        <v>11905</v>
      </c>
      <c r="F2335" s="13" t="s">
        <v>11906</v>
      </c>
      <c r="G2335" s="13" t="s">
        <v>11907</v>
      </c>
      <c r="H2335" s="13" t="s">
        <v>11908</v>
      </c>
    </row>
    <row r="2336" customFormat="false" ht="15" hidden="false" customHeight="true" outlineLevel="0" collapsed="false">
      <c r="A2336" s="13" t="s">
        <v>276</v>
      </c>
      <c r="B2336" s="13" t="s">
        <v>485</v>
      </c>
      <c r="C2336" s="11" t="s">
        <v>486</v>
      </c>
      <c r="D2336" s="13" t="s">
        <v>11909</v>
      </c>
      <c r="E2336" s="13" t="s">
        <v>11910</v>
      </c>
      <c r="F2336" s="13" t="s">
        <v>11911</v>
      </c>
      <c r="G2336" s="13" t="s">
        <v>11912</v>
      </c>
      <c r="H2336" s="13" t="s">
        <v>11913</v>
      </c>
    </row>
    <row r="2337" customFormat="false" ht="15" hidden="false" customHeight="true" outlineLevel="0" collapsed="false">
      <c r="A2337" s="13" t="s">
        <v>276</v>
      </c>
      <c r="B2337" s="13" t="s">
        <v>492</v>
      </c>
      <c r="C2337" s="11" t="s">
        <v>493</v>
      </c>
      <c r="D2337" s="13" t="s">
        <v>11914</v>
      </c>
      <c r="E2337" s="13" t="s">
        <v>11915</v>
      </c>
      <c r="F2337" s="13" t="s">
        <v>11916</v>
      </c>
      <c r="G2337" s="13" t="s">
        <v>11917</v>
      </c>
      <c r="H2337" s="13" t="s">
        <v>11918</v>
      </c>
    </row>
    <row r="2338" customFormat="false" ht="15" hidden="false" customHeight="true" outlineLevel="0" collapsed="false">
      <c r="A2338" s="13" t="s">
        <v>276</v>
      </c>
      <c r="B2338" s="13" t="s">
        <v>499</v>
      </c>
      <c r="C2338" s="11" t="s">
        <v>500</v>
      </c>
      <c r="D2338" s="13" t="s">
        <v>11919</v>
      </c>
      <c r="E2338" s="13" t="s">
        <v>11920</v>
      </c>
      <c r="F2338" s="13" t="s">
        <v>11921</v>
      </c>
      <c r="G2338" s="13" t="s">
        <v>11922</v>
      </c>
      <c r="H2338" s="13" t="s">
        <v>11923</v>
      </c>
    </row>
    <row r="2339" customFormat="false" ht="15" hidden="false" customHeight="true" outlineLevel="0" collapsed="false">
      <c r="A2339" s="13" t="s">
        <v>276</v>
      </c>
      <c r="B2339" s="13" t="s">
        <v>506</v>
      </c>
      <c r="C2339" s="11" t="s">
        <v>507</v>
      </c>
      <c r="D2339" s="13" t="s">
        <v>11924</v>
      </c>
      <c r="E2339" s="13" t="s">
        <v>11925</v>
      </c>
      <c r="F2339" s="13" t="s">
        <v>11926</v>
      </c>
      <c r="G2339" s="13" t="s">
        <v>11927</v>
      </c>
      <c r="H2339" s="13" t="s">
        <v>11928</v>
      </c>
    </row>
    <row r="2340" customFormat="false" ht="15" hidden="false" customHeight="true" outlineLevel="0" collapsed="false">
      <c r="A2340" s="13" t="s">
        <v>276</v>
      </c>
      <c r="B2340" s="13" t="s">
        <v>513</v>
      </c>
      <c r="C2340" s="11" t="s">
        <v>514</v>
      </c>
      <c r="D2340" s="13" t="s">
        <v>11929</v>
      </c>
      <c r="E2340" s="13" t="s">
        <v>11930</v>
      </c>
      <c r="F2340" s="13" t="s">
        <v>11931</v>
      </c>
      <c r="G2340" s="13" t="s">
        <v>11932</v>
      </c>
      <c r="H2340" s="13" t="s">
        <v>11933</v>
      </c>
    </row>
    <row r="2341" customFormat="false" ht="15" hidden="false" customHeight="true" outlineLevel="0" collapsed="false">
      <c r="A2341" s="13" t="s">
        <v>276</v>
      </c>
      <c r="B2341" s="13" t="s">
        <v>520</v>
      </c>
      <c r="C2341" s="11" t="s">
        <v>521</v>
      </c>
      <c r="D2341" s="13" t="s">
        <v>11934</v>
      </c>
      <c r="E2341" s="13" t="s">
        <v>11935</v>
      </c>
      <c r="F2341" s="13" t="s">
        <v>11936</v>
      </c>
      <c r="G2341" s="13" t="s">
        <v>11937</v>
      </c>
      <c r="H2341" s="13" t="s">
        <v>11938</v>
      </c>
    </row>
    <row r="2342" customFormat="false" ht="15" hidden="false" customHeight="true" outlineLevel="0" collapsed="false">
      <c r="A2342" s="13" t="s">
        <v>276</v>
      </c>
      <c r="B2342" s="13" t="s">
        <v>527</v>
      </c>
      <c r="C2342" s="11" t="s">
        <v>528</v>
      </c>
      <c r="D2342" s="13" t="s">
        <v>11939</v>
      </c>
      <c r="E2342" s="13" t="s">
        <v>11940</v>
      </c>
      <c r="F2342" s="13" t="s">
        <v>11941</v>
      </c>
      <c r="G2342" s="13" t="s">
        <v>11942</v>
      </c>
      <c r="H2342" s="13" t="s">
        <v>11943</v>
      </c>
    </row>
    <row r="2343" customFormat="false" ht="15" hidden="false" customHeight="true" outlineLevel="0" collapsed="false">
      <c r="A2343" s="13" t="s">
        <v>276</v>
      </c>
      <c r="B2343" s="13" t="s">
        <v>534</v>
      </c>
      <c r="C2343" s="11" t="s">
        <v>535</v>
      </c>
      <c r="D2343" s="13" t="s">
        <v>11944</v>
      </c>
      <c r="E2343" s="13" t="s">
        <v>11945</v>
      </c>
      <c r="F2343" s="13" t="s">
        <v>11946</v>
      </c>
      <c r="G2343" s="13" t="s">
        <v>11947</v>
      </c>
      <c r="H2343" s="13" t="s">
        <v>11948</v>
      </c>
    </row>
    <row r="2344" customFormat="false" ht="15" hidden="false" customHeight="true" outlineLevel="0" collapsed="false">
      <c r="A2344" s="13" t="s">
        <v>276</v>
      </c>
      <c r="B2344" s="13" t="s">
        <v>541</v>
      </c>
      <c r="C2344" s="11" t="s">
        <v>542</v>
      </c>
      <c r="D2344" s="13" t="s">
        <v>11949</v>
      </c>
      <c r="E2344" s="13" t="s">
        <v>11950</v>
      </c>
      <c r="F2344" s="13" t="s">
        <v>11951</v>
      </c>
      <c r="G2344" s="13" t="s">
        <v>11952</v>
      </c>
      <c r="H2344" s="13" t="s">
        <v>11953</v>
      </c>
    </row>
    <row r="2345" customFormat="false" ht="15" hidden="false" customHeight="true" outlineLevel="0" collapsed="false">
      <c r="A2345" s="13" t="s">
        <v>276</v>
      </c>
      <c r="B2345" s="13" t="s">
        <v>548</v>
      </c>
      <c r="C2345" s="11" t="s">
        <v>549</v>
      </c>
      <c r="D2345" s="13" t="s">
        <v>11954</v>
      </c>
      <c r="E2345" s="13" t="s">
        <v>11955</v>
      </c>
      <c r="F2345" s="13" t="s">
        <v>11956</v>
      </c>
      <c r="G2345" s="13" t="s">
        <v>11957</v>
      </c>
      <c r="H2345" s="13" t="s">
        <v>11958</v>
      </c>
    </row>
    <row r="2346" customFormat="false" ht="15" hidden="false" customHeight="true" outlineLevel="0" collapsed="false">
      <c r="A2346" s="13" t="s">
        <v>276</v>
      </c>
      <c r="B2346" s="13" t="s">
        <v>555</v>
      </c>
      <c r="C2346" s="11" t="s">
        <v>556</v>
      </c>
      <c r="D2346" s="13" t="s">
        <v>11959</v>
      </c>
      <c r="E2346" s="13" t="s">
        <v>11960</v>
      </c>
      <c r="F2346" s="13" t="s">
        <v>11961</v>
      </c>
      <c r="G2346" s="13" t="s">
        <v>11962</v>
      </c>
      <c r="H2346" s="13" t="s">
        <v>11963</v>
      </c>
    </row>
    <row r="2347" customFormat="false" ht="15" hidden="false" customHeight="true" outlineLevel="0" collapsed="false">
      <c r="A2347" s="13" t="s">
        <v>276</v>
      </c>
      <c r="B2347" s="13" t="s">
        <v>562</v>
      </c>
      <c r="C2347" s="11" t="s">
        <v>563</v>
      </c>
      <c r="D2347" s="13" t="s">
        <v>11964</v>
      </c>
      <c r="E2347" s="13" t="s">
        <v>11965</v>
      </c>
      <c r="F2347" s="13" t="s">
        <v>11966</v>
      </c>
      <c r="G2347" s="13" t="s">
        <v>11967</v>
      </c>
      <c r="H2347" s="13" t="s">
        <v>11968</v>
      </c>
    </row>
    <row r="2348" customFormat="false" ht="15" hidden="false" customHeight="true" outlineLevel="0" collapsed="false">
      <c r="A2348" s="13" t="s">
        <v>276</v>
      </c>
      <c r="B2348" s="13" t="s">
        <v>569</v>
      </c>
      <c r="C2348" s="11" t="s">
        <v>570</v>
      </c>
      <c r="D2348" s="13" t="s">
        <v>11969</v>
      </c>
      <c r="E2348" s="13" t="s">
        <v>11970</v>
      </c>
      <c r="F2348" s="13" t="s">
        <v>11971</v>
      </c>
      <c r="G2348" s="13" t="s">
        <v>11972</v>
      </c>
      <c r="H2348" s="13" t="s">
        <v>11973</v>
      </c>
    </row>
    <row r="2349" customFormat="false" ht="15" hidden="false" customHeight="true" outlineLevel="0" collapsed="false">
      <c r="A2349" s="13" t="s">
        <v>276</v>
      </c>
      <c r="B2349" s="13" t="s">
        <v>576</v>
      </c>
      <c r="C2349" s="11" t="s">
        <v>577</v>
      </c>
      <c r="D2349" s="13" t="s">
        <v>11974</v>
      </c>
      <c r="E2349" s="13" t="s">
        <v>11975</v>
      </c>
      <c r="F2349" s="13" t="s">
        <v>11976</v>
      </c>
      <c r="G2349" s="13" t="s">
        <v>11977</v>
      </c>
      <c r="H2349" s="13" t="s">
        <v>11978</v>
      </c>
    </row>
    <row r="2350" customFormat="false" ht="15" hidden="false" customHeight="true" outlineLevel="0" collapsed="false">
      <c r="A2350" s="13" t="s">
        <v>276</v>
      </c>
      <c r="B2350" s="13" t="s">
        <v>583</v>
      </c>
      <c r="C2350" s="11" t="s">
        <v>584</v>
      </c>
      <c r="D2350" s="13" t="s">
        <v>11979</v>
      </c>
      <c r="E2350" s="13" t="s">
        <v>11980</v>
      </c>
      <c r="F2350" s="13" t="s">
        <v>11981</v>
      </c>
      <c r="G2350" s="13" t="s">
        <v>11982</v>
      </c>
      <c r="H2350" s="13" t="s">
        <v>11983</v>
      </c>
    </row>
    <row r="2351" customFormat="false" ht="15" hidden="false" customHeight="true" outlineLevel="0" collapsed="false">
      <c r="A2351" s="13" t="s">
        <v>276</v>
      </c>
      <c r="B2351" s="13" t="s">
        <v>590</v>
      </c>
      <c r="C2351" s="11" t="s">
        <v>591</v>
      </c>
      <c r="D2351" s="13" t="s">
        <v>11984</v>
      </c>
      <c r="E2351" s="13" t="s">
        <v>11985</v>
      </c>
      <c r="F2351" s="13" t="s">
        <v>11986</v>
      </c>
      <c r="G2351" s="13" t="s">
        <v>11987</v>
      </c>
      <c r="H2351" s="13" t="s">
        <v>11988</v>
      </c>
    </row>
    <row r="2352" customFormat="false" ht="15" hidden="false" customHeight="true" outlineLevel="0" collapsed="false">
      <c r="A2352" s="13" t="s">
        <v>276</v>
      </c>
      <c r="B2352" s="13" t="s">
        <v>597</v>
      </c>
      <c r="C2352" s="11" t="s">
        <v>598</v>
      </c>
      <c r="D2352" s="13" t="s">
        <v>11989</v>
      </c>
      <c r="E2352" s="13" t="s">
        <v>11990</v>
      </c>
      <c r="F2352" s="13" t="s">
        <v>11991</v>
      </c>
      <c r="G2352" s="13" t="s">
        <v>11992</v>
      </c>
      <c r="H2352" s="13" t="s">
        <v>11993</v>
      </c>
    </row>
    <row r="2353" customFormat="false" ht="15" hidden="false" customHeight="true" outlineLevel="0" collapsed="false">
      <c r="A2353" s="13" t="s">
        <v>276</v>
      </c>
      <c r="B2353" s="13" t="s">
        <v>604</v>
      </c>
      <c r="C2353" s="11" t="s">
        <v>605</v>
      </c>
      <c r="D2353" s="13" t="s">
        <v>11994</v>
      </c>
      <c r="E2353" s="13" t="s">
        <v>11995</v>
      </c>
      <c r="F2353" s="13" t="s">
        <v>11996</v>
      </c>
      <c r="G2353" s="13" t="s">
        <v>11997</v>
      </c>
      <c r="H2353" s="13" t="s">
        <v>11998</v>
      </c>
    </row>
    <row r="2354" customFormat="false" ht="15" hidden="false" customHeight="true" outlineLevel="0" collapsed="false">
      <c r="A2354" s="13" t="s">
        <v>276</v>
      </c>
      <c r="B2354" s="13" t="s">
        <v>611</v>
      </c>
      <c r="C2354" s="11" t="s">
        <v>612</v>
      </c>
      <c r="D2354" s="13" t="s">
        <v>11999</v>
      </c>
      <c r="E2354" s="13" t="s">
        <v>12000</v>
      </c>
      <c r="F2354" s="13" t="s">
        <v>12001</v>
      </c>
      <c r="G2354" s="13" t="s">
        <v>12002</v>
      </c>
      <c r="H2354" s="13" t="s">
        <v>12003</v>
      </c>
    </row>
    <row r="2355" customFormat="false" ht="15" hidden="false" customHeight="true" outlineLevel="0" collapsed="false">
      <c r="A2355" s="13" t="s">
        <v>276</v>
      </c>
      <c r="B2355" s="13" t="s">
        <v>618</v>
      </c>
      <c r="C2355" s="11" t="s">
        <v>619</v>
      </c>
      <c r="D2355" s="13" t="s">
        <v>12004</v>
      </c>
      <c r="E2355" s="13" t="s">
        <v>12005</v>
      </c>
      <c r="F2355" s="13" t="s">
        <v>12006</v>
      </c>
      <c r="G2355" s="13" t="s">
        <v>12007</v>
      </c>
      <c r="H2355" s="13" t="s">
        <v>12008</v>
      </c>
    </row>
    <row r="2356" customFormat="false" ht="15" hidden="false" customHeight="true" outlineLevel="0" collapsed="false">
      <c r="A2356" s="13" t="s">
        <v>276</v>
      </c>
      <c r="B2356" s="13" t="s">
        <v>625</v>
      </c>
      <c r="C2356" s="11" t="s">
        <v>626</v>
      </c>
      <c r="D2356" s="13" t="s">
        <v>12009</v>
      </c>
      <c r="E2356" s="13" t="s">
        <v>12010</v>
      </c>
      <c r="F2356" s="13" t="s">
        <v>12011</v>
      </c>
      <c r="G2356" s="13" t="s">
        <v>747</v>
      </c>
      <c r="H2356" s="13" t="s">
        <v>12012</v>
      </c>
    </row>
    <row r="2357" customFormat="false" ht="15" hidden="false" customHeight="true" outlineLevel="0" collapsed="false">
      <c r="A2357" s="13" t="s">
        <v>276</v>
      </c>
      <c r="B2357" s="13" t="s">
        <v>632</v>
      </c>
      <c r="C2357" s="11" t="s">
        <v>633</v>
      </c>
      <c r="D2357" s="13" t="s">
        <v>12013</v>
      </c>
      <c r="E2357" s="13" t="s">
        <v>12014</v>
      </c>
      <c r="F2357" s="13" t="s">
        <v>12015</v>
      </c>
      <c r="G2357" s="13" t="s">
        <v>12016</v>
      </c>
      <c r="H2357" s="13" t="s">
        <v>12017</v>
      </c>
    </row>
    <row r="2358" customFormat="false" ht="15" hidden="false" customHeight="true" outlineLevel="0" collapsed="false">
      <c r="A2358" s="13" t="s">
        <v>276</v>
      </c>
      <c r="B2358" s="13" t="s">
        <v>639</v>
      </c>
      <c r="C2358" s="11" t="s">
        <v>640</v>
      </c>
      <c r="D2358" s="13" t="s">
        <v>3664</v>
      </c>
      <c r="E2358" s="13" t="s">
        <v>12018</v>
      </c>
      <c r="F2358" s="13" t="s">
        <v>5520</v>
      </c>
      <c r="G2358" s="13" t="s">
        <v>12019</v>
      </c>
      <c r="H2358" s="13" t="s">
        <v>12020</v>
      </c>
    </row>
    <row r="2359" customFormat="false" ht="15" hidden="false" customHeight="true" outlineLevel="0" collapsed="false">
      <c r="A2359" s="13" t="s">
        <v>276</v>
      </c>
      <c r="B2359" s="13" t="s">
        <v>646</v>
      </c>
      <c r="C2359" s="11" t="s">
        <v>647</v>
      </c>
      <c r="D2359" s="13" t="s">
        <v>3480</v>
      </c>
      <c r="E2359" s="13" t="s">
        <v>3207</v>
      </c>
      <c r="F2359" s="13" t="s">
        <v>12021</v>
      </c>
      <c r="G2359" s="13" t="s">
        <v>12022</v>
      </c>
      <c r="H2359" s="13" t="s">
        <v>12023</v>
      </c>
    </row>
    <row r="2360" customFormat="false" ht="15" hidden="false" customHeight="true" outlineLevel="0" collapsed="false">
      <c r="A2360" s="13" t="s">
        <v>276</v>
      </c>
      <c r="B2360" s="13" t="s">
        <v>653</v>
      </c>
      <c r="C2360" s="11" t="s">
        <v>654</v>
      </c>
      <c r="D2360" s="13" t="s">
        <v>5989</v>
      </c>
      <c r="E2360" s="13" t="s">
        <v>9719</v>
      </c>
      <c r="F2360" s="13" t="s">
        <v>12024</v>
      </c>
      <c r="G2360" s="13" t="s">
        <v>12025</v>
      </c>
      <c r="H2360" s="13" t="s">
        <v>9220</v>
      </c>
    </row>
    <row r="2361" customFormat="false" ht="15" hidden="false" customHeight="true" outlineLevel="0" collapsed="false">
      <c r="A2361" s="13" t="s">
        <v>276</v>
      </c>
      <c r="B2361" s="13" t="s">
        <v>660</v>
      </c>
      <c r="C2361" s="11" t="s">
        <v>661</v>
      </c>
      <c r="D2361" s="13" t="s">
        <v>1976</v>
      </c>
      <c r="E2361" s="13" t="s">
        <v>1720</v>
      </c>
      <c r="F2361" s="13" t="s">
        <v>12026</v>
      </c>
      <c r="G2361" s="13" t="s">
        <v>12027</v>
      </c>
      <c r="H2361" s="13" t="s">
        <v>12028</v>
      </c>
    </row>
    <row r="2362" customFormat="false" ht="15" hidden="false" customHeight="true" outlineLevel="0" collapsed="false">
      <c r="A2362" s="13" t="s">
        <v>276</v>
      </c>
      <c r="B2362" s="13" t="s">
        <v>667</v>
      </c>
      <c r="C2362" s="11" t="s">
        <v>668</v>
      </c>
      <c r="D2362" s="13" t="s">
        <v>12029</v>
      </c>
      <c r="E2362" s="13" t="s">
        <v>12030</v>
      </c>
      <c r="F2362" s="13" t="s">
        <v>12031</v>
      </c>
      <c r="G2362" s="13" t="s">
        <v>12032</v>
      </c>
      <c r="H2362" s="13" t="s">
        <v>12033</v>
      </c>
    </row>
    <row r="2363" customFormat="false" ht="15" hidden="false" customHeight="true" outlineLevel="0" collapsed="false">
      <c r="A2363" s="13" t="s">
        <v>276</v>
      </c>
      <c r="B2363" s="13" t="s">
        <v>674</v>
      </c>
      <c r="C2363" s="11" t="s">
        <v>675</v>
      </c>
      <c r="D2363" s="13" t="s">
        <v>12034</v>
      </c>
      <c r="E2363" s="13" t="s">
        <v>12035</v>
      </c>
      <c r="F2363" s="13" t="s">
        <v>12036</v>
      </c>
      <c r="G2363" s="13" t="s">
        <v>12037</v>
      </c>
      <c r="H2363" s="13" t="s">
        <v>12038</v>
      </c>
    </row>
    <row r="2364" customFormat="false" ht="15" hidden="false" customHeight="true" outlineLevel="0" collapsed="false">
      <c r="A2364" s="13" t="s">
        <v>276</v>
      </c>
      <c r="B2364" s="13" t="s">
        <v>681</v>
      </c>
      <c r="C2364" s="11" t="s">
        <v>682</v>
      </c>
      <c r="D2364" s="13" t="s">
        <v>12039</v>
      </c>
      <c r="E2364" s="13" t="s">
        <v>12040</v>
      </c>
      <c r="F2364" s="13" t="s">
        <v>12041</v>
      </c>
      <c r="G2364" s="13" t="s">
        <v>12042</v>
      </c>
      <c r="H2364" s="13" t="s">
        <v>12043</v>
      </c>
    </row>
    <row r="2365" customFormat="false" ht="15" hidden="false" customHeight="true" outlineLevel="0" collapsed="false">
      <c r="A2365" s="13" t="s">
        <v>276</v>
      </c>
      <c r="B2365" s="13" t="s">
        <v>688</v>
      </c>
      <c r="C2365" s="11" t="s">
        <v>689</v>
      </c>
      <c r="D2365" s="13" t="s">
        <v>12044</v>
      </c>
      <c r="E2365" s="13" t="s">
        <v>12045</v>
      </c>
      <c r="F2365" s="13" t="s">
        <v>12046</v>
      </c>
      <c r="G2365" s="13" t="s">
        <v>12047</v>
      </c>
      <c r="H2365" s="13" t="s">
        <v>12048</v>
      </c>
    </row>
    <row r="2366" customFormat="false" ht="15" hidden="false" customHeight="true" outlineLevel="0" collapsed="false">
      <c r="A2366" s="13" t="s">
        <v>276</v>
      </c>
      <c r="B2366" s="13" t="s">
        <v>695</v>
      </c>
      <c r="C2366" s="11" t="s">
        <v>696</v>
      </c>
      <c r="D2366" s="13" t="s">
        <v>12049</v>
      </c>
      <c r="E2366" s="13" t="s">
        <v>10669</v>
      </c>
      <c r="F2366" s="13" t="s">
        <v>12050</v>
      </c>
      <c r="G2366" s="13" t="s">
        <v>12051</v>
      </c>
      <c r="H2366" s="13" t="s">
        <v>12052</v>
      </c>
    </row>
    <row r="2367" customFormat="false" ht="15" hidden="false" customHeight="true" outlineLevel="0" collapsed="false">
      <c r="A2367" s="13" t="s">
        <v>276</v>
      </c>
      <c r="B2367" s="13" t="s">
        <v>702</v>
      </c>
      <c r="C2367" s="11" t="s">
        <v>703</v>
      </c>
      <c r="D2367" s="13" t="s">
        <v>12053</v>
      </c>
      <c r="E2367" s="13" t="s">
        <v>12054</v>
      </c>
      <c r="F2367" s="13" t="s">
        <v>12055</v>
      </c>
      <c r="G2367" s="13" t="s">
        <v>12056</v>
      </c>
      <c r="H2367" s="13" t="s">
        <v>12057</v>
      </c>
    </row>
    <row r="2368" customFormat="false" ht="15" hidden="false" customHeight="true" outlineLevel="0" collapsed="false">
      <c r="A2368" s="13" t="s">
        <v>276</v>
      </c>
      <c r="B2368" s="13" t="s">
        <v>709</v>
      </c>
      <c r="C2368" s="11" t="s">
        <v>710</v>
      </c>
      <c r="D2368" s="13" t="s">
        <v>1267</v>
      </c>
      <c r="E2368" s="13" t="s">
        <v>12058</v>
      </c>
      <c r="F2368" s="13" t="s">
        <v>12059</v>
      </c>
      <c r="G2368" s="13" t="s">
        <v>4160</v>
      </c>
      <c r="H2368" s="13" t="s">
        <v>12060</v>
      </c>
    </row>
    <row r="2369" customFormat="false" ht="15" hidden="false" customHeight="true" outlineLevel="0" collapsed="false">
      <c r="A2369" s="13" t="s">
        <v>276</v>
      </c>
      <c r="B2369" s="13" t="s">
        <v>716</v>
      </c>
      <c r="C2369" s="11" t="s">
        <v>717</v>
      </c>
      <c r="D2369" s="13" t="s">
        <v>12061</v>
      </c>
      <c r="E2369" s="13" t="s">
        <v>12062</v>
      </c>
      <c r="F2369" s="13" t="s">
        <v>12063</v>
      </c>
      <c r="G2369" s="13" t="s">
        <v>12064</v>
      </c>
      <c r="H2369" s="13" t="s">
        <v>12065</v>
      </c>
    </row>
    <row r="2370" customFormat="false" ht="15" hidden="false" customHeight="true" outlineLevel="0" collapsed="false">
      <c r="A2370" s="13" t="s">
        <v>276</v>
      </c>
      <c r="B2370" s="13" t="s">
        <v>723</v>
      </c>
      <c r="C2370" s="11" t="s">
        <v>724</v>
      </c>
      <c r="D2370" s="13" t="s">
        <v>12066</v>
      </c>
      <c r="E2370" s="13" t="s">
        <v>12067</v>
      </c>
      <c r="F2370" s="13" t="s">
        <v>12068</v>
      </c>
      <c r="G2370" s="13" t="s">
        <v>12069</v>
      </c>
      <c r="H2370" s="13" t="s">
        <v>12070</v>
      </c>
    </row>
    <row r="2371" customFormat="false" ht="15" hidden="false" customHeight="true" outlineLevel="0" collapsed="false">
      <c r="A2371" s="13" t="s">
        <v>276</v>
      </c>
      <c r="B2371" s="13" t="s">
        <v>730</v>
      </c>
      <c r="C2371" s="11" t="s">
        <v>731</v>
      </c>
      <c r="D2371" s="13" t="s">
        <v>12071</v>
      </c>
      <c r="E2371" s="13" t="s">
        <v>12072</v>
      </c>
      <c r="F2371" s="13" t="s">
        <v>12073</v>
      </c>
      <c r="G2371" s="13" t="s">
        <v>12074</v>
      </c>
      <c r="H2371" s="13" t="s">
        <v>12075</v>
      </c>
    </row>
    <row r="2372" customFormat="false" ht="15" hidden="false" customHeight="true" outlineLevel="0" collapsed="false">
      <c r="A2372" s="13" t="s">
        <v>276</v>
      </c>
      <c r="B2372" s="13" t="s">
        <v>737</v>
      </c>
      <c r="C2372" s="11" t="s">
        <v>738</v>
      </c>
      <c r="D2372" s="13" t="s">
        <v>12076</v>
      </c>
      <c r="E2372" s="13" t="s">
        <v>12077</v>
      </c>
      <c r="F2372" s="13" t="s">
        <v>12078</v>
      </c>
      <c r="G2372" s="13" t="s">
        <v>12079</v>
      </c>
      <c r="H2372" s="13" t="s">
        <v>12080</v>
      </c>
    </row>
    <row r="2373" customFormat="false" ht="15" hidden="false" customHeight="true" outlineLevel="0" collapsed="false">
      <c r="A2373" s="13" t="s">
        <v>276</v>
      </c>
      <c r="B2373" s="13" t="s">
        <v>744</v>
      </c>
      <c r="C2373" s="11" t="s">
        <v>745</v>
      </c>
      <c r="D2373" s="13" t="s">
        <v>12081</v>
      </c>
      <c r="E2373" s="13" t="s">
        <v>12082</v>
      </c>
      <c r="F2373" s="13" t="s">
        <v>7865</v>
      </c>
      <c r="G2373" s="13" t="s">
        <v>12083</v>
      </c>
      <c r="H2373" s="13" t="s">
        <v>12084</v>
      </c>
    </row>
    <row r="2374" customFormat="false" ht="15" hidden="false" customHeight="true" outlineLevel="0" collapsed="false">
      <c r="A2374" s="13" t="s">
        <v>276</v>
      </c>
      <c r="B2374" s="13" t="s">
        <v>751</v>
      </c>
      <c r="C2374" s="11" t="s">
        <v>752</v>
      </c>
      <c r="D2374" s="13" t="s">
        <v>12085</v>
      </c>
      <c r="E2374" s="13" t="s">
        <v>12086</v>
      </c>
      <c r="F2374" s="13" t="s">
        <v>12087</v>
      </c>
      <c r="G2374" s="13" t="s">
        <v>12088</v>
      </c>
      <c r="H2374" s="13" t="s">
        <v>12089</v>
      </c>
    </row>
    <row r="2375" customFormat="false" ht="15" hidden="false" customHeight="true" outlineLevel="0" collapsed="false">
      <c r="A2375" s="13" t="s">
        <v>276</v>
      </c>
      <c r="B2375" s="13" t="s">
        <v>758</v>
      </c>
      <c r="C2375" s="11" t="s">
        <v>759</v>
      </c>
      <c r="D2375" s="13" t="s">
        <v>12090</v>
      </c>
      <c r="E2375" s="13" t="s">
        <v>12091</v>
      </c>
      <c r="F2375" s="13" t="s">
        <v>12092</v>
      </c>
      <c r="G2375" s="13" t="s">
        <v>12093</v>
      </c>
      <c r="H2375" s="13" t="s">
        <v>12094</v>
      </c>
    </row>
    <row r="2376" customFormat="false" ht="15" hidden="false" customHeight="true" outlineLevel="0" collapsed="false">
      <c r="A2376" s="13" t="s">
        <v>276</v>
      </c>
      <c r="B2376" s="13" t="s">
        <v>765</v>
      </c>
      <c r="C2376" s="11" t="s">
        <v>766</v>
      </c>
      <c r="D2376" s="13" t="s">
        <v>12095</v>
      </c>
      <c r="E2376" s="13" t="s">
        <v>12096</v>
      </c>
      <c r="F2376" s="13" t="s">
        <v>12097</v>
      </c>
      <c r="G2376" s="13" t="s">
        <v>12098</v>
      </c>
      <c r="H2376" s="13" t="s">
        <v>12099</v>
      </c>
    </row>
    <row r="2377" customFormat="false" ht="15" hidden="false" customHeight="true" outlineLevel="0" collapsed="false">
      <c r="A2377" s="13" t="s">
        <v>276</v>
      </c>
      <c r="B2377" s="13" t="s">
        <v>772</v>
      </c>
      <c r="C2377" s="11" t="s">
        <v>773</v>
      </c>
      <c r="D2377" s="13" t="s">
        <v>12100</v>
      </c>
      <c r="E2377" s="13" t="s">
        <v>12101</v>
      </c>
      <c r="F2377" s="13" t="s">
        <v>12102</v>
      </c>
      <c r="G2377" s="13" t="s">
        <v>12103</v>
      </c>
      <c r="H2377" s="13" t="s">
        <v>12104</v>
      </c>
    </row>
    <row r="2378" customFormat="false" ht="15" hidden="false" customHeight="true" outlineLevel="0" collapsed="false">
      <c r="A2378" s="13" t="s">
        <v>276</v>
      </c>
      <c r="B2378" s="13" t="s">
        <v>779</v>
      </c>
      <c r="C2378" s="11" t="s">
        <v>780</v>
      </c>
      <c r="D2378" s="13" t="s">
        <v>12105</v>
      </c>
      <c r="E2378" s="13" t="s">
        <v>12106</v>
      </c>
      <c r="F2378" s="13" t="s">
        <v>12107</v>
      </c>
      <c r="G2378" s="13" t="s">
        <v>12108</v>
      </c>
      <c r="H2378" s="13" t="s">
        <v>12109</v>
      </c>
    </row>
    <row r="2379" customFormat="false" ht="15" hidden="false" customHeight="true" outlineLevel="0" collapsed="false">
      <c r="A2379" s="13" t="s">
        <v>276</v>
      </c>
      <c r="B2379" s="13" t="s">
        <v>786</v>
      </c>
      <c r="C2379" s="11" t="s">
        <v>787</v>
      </c>
      <c r="D2379" s="13" t="s">
        <v>7880</v>
      </c>
      <c r="E2379" s="13" t="s">
        <v>12110</v>
      </c>
      <c r="F2379" s="13" t="s">
        <v>12111</v>
      </c>
      <c r="G2379" s="13" t="s">
        <v>12112</v>
      </c>
      <c r="H2379" s="13" t="s">
        <v>12113</v>
      </c>
    </row>
    <row r="2380" customFormat="false" ht="15" hidden="false" customHeight="true" outlineLevel="0" collapsed="false">
      <c r="A2380" s="13" t="s">
        <v>276</v>
      </c>
      <c r="B2380" s="13" t="s">
        <v>793</v>
      </c>
      <c r="C2380" s="11" t="s">
        <v>794</v>
      </c>
      <c r="D2380" s="13" t="s">
        <v>12114</v>
      </c>
      <c r="E2380" s="13" t="s">
        <v>12115</v>
      </c>
      <c r="F2380" s="13" t="s">
        <v>12116</v>
      </c>
      <c r="G2380" s="13" t="s">
        <v>12117</v>
      </c>
      <c r="H2380" s="13" t="s">
        <v>12118</v>
      </c>
    </row>
    <row r="2381" customFormat="false" ht="15" hidden="false" customHeight="true" outlineLevel="0" collapsed="false">
      <c r="A2381" s="13" t="s">
        <v>276</v>
      </c>
      <c r="B2381" s="13" t="s">
        <v>800</v>
      </c>
      <c r="C2381" s="11" t="s">
        <v>801</v>
      </c>
      <c r="D2381" s="13" t="s">
        <v>12119</v>
      </c>
      <c r="E2381" s="13" t="s">
        <v>12120</v>
      </c>
      <c r="F2381" s="13" t="s">
        <v>12121</v>
      </c>
      <c r="G2381" s="13" t="s">
        <v>12122</v>
      </c>
      <c r="H2381" s="13" t="s">
        <v>12123</v>
      </c>
    </row>
    <row r="2382" customFormat="false" ht="15" hidden="false" customHeight="true" outlineLevel="0" collapsed="false">
      <c r="A2382" s="13" t="s">
        <v>276</v>
      </c>
      <c r="B2382" s="13" t="s">
        <v>806</v>
      </c>
      <c r="C2382" s="11" t="s">
        <v>807</v>
      </c>
      <c r="D2382" s="13" t="s">
        <v>8353</v>
      </c>
      <c r="E2382" s="13" t="s">
        <v>12124</v>
      </c>
      <c r="F2382" s="13" t="s">
        <v>12125</v>
      </c>
      <c r="G2382" s="13" t="s">
        <v>12126</v>
      </c>
      <c r="H2382" s="13" t="s">
        <v>12127</v>
      </c>
    </row>
    <row r="2383" customFormat="false" ht="15" hidden="false" customHeight="true" outlineLevel="0" collapsed="false">
      <c r="A2383" s="13" t="s">
        <v>276</v>
      </c>
      <c r="B2383" s="13" t="s">
        <v>813</v>
      </c>
      <c r="C2383" s="11" t="s">
        <v>814</v>
      </c>
      <c r="D2383" s="13" t="s">
        <v>12128</v>
      </c>
      <c r="E2383" s="13" t="s">
        <v>12129</v>
      </c>
      <c r="F2383" s="13" t="s">
        <v>12130</v>
      </c>
      <c r="G2383" s="13" t="s">
        <v>12131</v>
      </c>
      <c r="H2383" s="13" t="s">
        <v>12132</v>
      </c>
    </row>
    <row r="2384" customFormat="false" ht="15" hidden="false" customHeight="true" outlineLevel="0" collapsed="false">
      <c r="A2384" s="13" t="s">
        <v>276</v>
      </c>
      <c r="B2384" s="13" t="s">
        <v>820</v>
      </c>
      <c r="C2384" s="11" t="s">
        <v>821</v>
      </c>
      <c r="D2384" s="13" t="s">
        <v>12133</v>
      </c>
      <c r="E2384" s="13" t="s">
        <v>12134</v>
      </c>
      <c r="F2384" s="13" t="s">
        <v>12135</v>
      </c>
      <c r="G2384" s="13" t="s">
        <v>12136</v>
      </c>
      <c r="H2384" s="13" t="s">
        <v>12137</v>
      </c>
    </row>
    <row r="2385" customFormat="false" ht="15" hidden="false" customHeight="true" outlineLevel="0" collapsed="false">
      <c r="A2385" s="13" t="s">
        <v>276</v>
      </c>
      <c r="B2385" s="13" t="s">
        <v>827</v>
      </c>
      <c r="C2385" s="11" t="s">
        <v>828</v>
      </c>
      <c r="D2385" s="13" t="s">
        <v>12138</v>
      </c>
      <c r="E2385" s="13" t="s">
        <v>12139</v>
      </c>
      <c r="F2385" s="13" t="s">
        <v>12140</v>
      </c>
      <c r="G2385" s="13" t="s">
        <v>12141</v>
      </c>
      <c r="H2385" s="13" t="s">
        <v>12142</v>
      </c>
    </row>
    <row r="2386" customFormat="false" ht="15" hidden="false" customHeight="true" outlineLevel="0" collapsed="false">
      <c r="A2386" s="13" t="s">
        <v>276</v>
      </c>
      <c r="B2386" s="13" t="s">
        <v>834</v>
      </c>
      <c r="C2386" s="11" t="s">
        <v>835</v>
      </c>
      <c r="D2386" s="13" t="s">
        <v>12143</v>
      </c>
      <c r="E2386" s="13" t="s">
        <v>12144</v>
      </c>
      <c r="F2386" s="13" t="s">
        <v>12145</v>
      </c>
      <c r="G2386" s="13" t="s">
        <v>12146</v>
      </c>
      <c r="H2386" s="13" t="s">
        <v>12147</v>
      </c>
    </row>
    <row r="2387" customFormat="false" ht="15" hidden="false" customHeight="true" outlineLevel="0" collapsed="false">
      <c r="A2387" s="13" t="s">
        <v>276</v>
      </c>
      <c r="B2387" s="13" t="s">
        <v>841</v>
      </c>
      <c r="C2387" s="11" t="s">
        <v>842</v>
      </c>
      <c r="D2387" s="13" t="s">
        <v>12148</v>
      </c>
      <c r="E2387" s="13" t="s">
        <v>12149</v>
      </c>
      <c r="F2387" s="13" t="s">
        <v>12150</v>
      </c>
      <c r="G2387" s="13" t="s">
        <v>12151</v>
      </c>
      <c r="H2387" s="13" t="s">
        <v>12152</v>
      </c>
    </row>
    <row r="2388" customFormat="false" ht="15" hidden="false" customHeight="true" outlineLevel="0" collapsed="false">
      <c r="A2388" s="13" t="s">
        <v>276</v>
      </c>
      <c r="B2388" s="13" t="s">
        <v>848</v>
      </c>
      <c r="C2388" s="11" t="s">
        <v>849</v>
      </c>
      <c r="D2388" s="13" t="s">
        <v>12153</v>
      </c>
      <c r="E2388" s="13" t="s">
        <v>12154</v>
      </c>
      <c r="F2388" s="13" t="s">
        <v>12155</v>
      </c>
      <c r="G2388" s="13" t="s">
        <v>12156</v>
      </c>
      <c r="H2388" s="13" t="s">
        <v>12157</v>
      </c>
    </row>
    <row r="2389" customFormat="false" ht="15" hidden="false" customHeight="true" outlineLevel="0" collapsed="false">
      <c r="A2389" s="13" t="s">
        <v>276</v>
      </c>
      <c r="B2389" s="13" t="s">
        <v>855</v>
      </c>
      <c r="C2389" s="11" t="s">
        <v>856</v>
      </c>
      <c r="D2389" s="13" t="s">
        <v>12158</v>
      </c>
      <c r="E2389" s="13" t="s">
        <v>12159</v>
      </c>
      <c r="F2389" s="13" t="s">
        <v>12160</v>
      </c>
      <c r="G2389" s="13" t="s">
        <v>12161</v>
      </c>
      <c r="H2389" s="13" t="s">
        <v>12162</v>
      </c>
    </row>
    <row r="2390" customFormat="false" ht="15" hidden="false" customHeight="true" outlineLevel="0" collapsed="false">
      <c r="A2390" s="13" t="s">
        <v>276</v>
      </c>
      <c r="B2390" s="13" t="s">
        <v>862</v>
      </c>
      <c r="C2390" s="11" t="s">
        <v>863</v>
      </c>
      <c r="D2390" s="13" t="s">
        <v>12163</v>
      </c>
      <c r="E2390" s="13" t="s">
        <v>12164</v>
      </c>
      <c r="F2390" s="13" t="s">
        <v>12165</v>
      </c>
      <c r="G2390" s="13" t="s">
        <v>12166</v>
      </c>
      <c r="H2390" s="13" t="s">
        <v>12167</v>
      </c>
    </row>
    <row r="2391" customFormat="false" ht="15" hidden="false" customHeight="true" outlineLevel="0" collapsed="false">
      <c r="A2391" s="13" t="s">
        <v>276</v>
      </c>
      <c r="B2391" s="13" t="s">
        <v>869</v>
      </c>
      <c r="C2391" s="11" t="s">
        <v>870</v>
      </c>
      <c r="D2391" s="13" t="s">
        <v>12168</v>
      </c>
      <c r="E2391" s="13" t="s">
        <v>12169</v>
      </c>
      <c r="F2391" s="13" t="s">
        <v>12170</v>
      </c>
      <c r="G2391" s="13" t="s">
        <v>12171</v>
      </c>
      <c r="H2391" s="13" t="s">
        <v>12172</v>
      </c>
    </row>
    <row r="2392" customFormat="false" ht="15" hidden="false" customHeight="true" outlineLevel="0" collapsed="false">
      <c r="A2392" s="13" t="s">
        <v>276</v>
      </c>
      <c r="B2392" s="13" t="s">
        <v>876</v>
      </c>
      <c r="C2392" s="11" t="s">
        <v>877</v>
      </c>
      <c r="D2392" s="13" t="s">
        <v>12173</v>
      </c>
      <c r="E2392" s="13" t="s">
        <v>12174</v>
      </c>
      <c r="F2392" s="13" t="s">
        <v>12175</v>
      </c>
      <c r="G2392" s="13" t="s">
        <v>12176</v>
      </c>
      <c r="H2392" s="13" t="s">
        <v>12177</v>
      </c>
    </row>
    <row r="2393" customFormat="false" ht="15" hidden="false" customHeight="true" outlineLevel="0" collapsed="false">
      <c r="A2393" s="13" t="s">
        <v>276</v>
      </c>
      <c r="B2393" s="13" t="s">
        <v>883</v>
      </c>
      <c r="C2393" s="11" t="s">
        <v>884</v>
      </c>
      <c r="D2393" s="13" t="s">
        <v>12178</v>
      </c>
      <c r="E2393" s="13" t="s">
        <v>12179</v>
      </c>
      <c r="F2393" s="13" t="s">
        <v>4062</v>
      </c>
      <c r="G2393" s="13" t="s">
        <v>12180</v>
      </c>
      <c r="H2393" s="13" t="s">
        <v>12181</v>
      </c>
    </row>
    <row r="2394" customFormat="false" ht="15" hidden="false" customHeight="true" outlineLevel="0" collapsed="false">
      <c r="A2394" s="13" t="s">
        <v>276</v>
      </c>
      <c r="B2394" s="13" t="s">
        <v>890</v>
      </c>
      <c r="C2394" s="11" t="s">
        <v>891</v>
      </c>
      <c r="D2394" s="13" t="s">
        <v>12182</v>
      </c>
      <c r="E2394" s="13" t="s">
        <v>12183</v>
      </c>
      <c r="F2394" s="13" t="s">
        <v>12184</v>
      </c>
      <c r="G2394" s="13" t="s">
        <v>12185</v>
      </c>
      <c r="H2394" s="13" t="s">
        <v>12186</v>
      </c>
    </row>
    <row r="2395" customFormat="false" ht="15" hidden="false" customHeight="true" outlineLevel="0" collapsed="false">
      <c r="A2395" s="13" t="s">
        <v>276</v>
      </c>
      <c r="B2395" s="13" t="s">
        <v>897</v>
      </c>
      <c r="C2395" s="11" t="s">
        <v>898</v>
      </c>
      <c r="D2395" s="13" t="s">
        <v>12187</v>
      </c>
      <c r="E2395" s="13" t="s">
        <v>12188</v>
      </c>
      <c r="F2395" s="13" t="s">
        <v>12189</v>
      </c>
      <c r="G2395" s="13" t="s">
        <v>12190</v>
      </c>
      <c r="H2395" s="13" t="s">
        <v>12191</v>
      </c>
    </row>
    <row r="2396" customFormat="false" ht="15" hidden="false" customHeight="true" outlineLevel="0" collapsed="false">
      <c r="A2396" s="13" t="s">
        <v>276</v>
      </c>
      <c r="B2396" s="13" t="s">
        <v>904</v>
      </c>
      <c r="C2396" s="11" t="s">
        <v>905</v>
      </c>
      <c r="D2396" s="13" t="s">
        <v>12192</v>
      </c>
      <c r="E2396" s="13" t="s">
        <v>12193</v>
      </c>
      <c r="F2396" s="13" t="s">
        <v>12194</v>
      </c>
      <c r="G2396" s="13" t="s">
        <v>12195</v>
      </c>
      <c r="H2396" s="13" t="s">
        <v>12196</v>
      </c>
    </row>
    <row r="2397" customFormat="false" ht="15" hidden="false" customHeight="true" outlineLevel="0" collapsed="false">
      <c r="A2397" s="13" t="s">
        <v>276</v>
      </c>
      <c r="B2397" s="13" t="s">
        <v>911</v>
      </c>
      <c r="C2397" s="11" t="s">
        <v>912</v>
      </c>
      <c r="D2397" s="13" t="s">
        <v>12197</v>
      </c>
      <c r="E2397" s="13" t="s">
        <v>12198</v>
      </c>
      <c r="F2397" s="13" t="s">
        <v>12199</v>
      </c>
      <c r="G2397" s="13" t="s">
        <v>12200</v>
      </c>
      <c r="H2397" s="13" t="s">
        <v>12201</v>
      </c>
    </row>
    <row r="2398" customFormat="false" ht="15" hidden="false" customHeight="true" outlineLevel="0" collapsed="false">
      <c r="A2398" s="13" t="s">
        <v>276</v>
      </c>
      <c r="B2398" s="13" t="s">
        <v>918</v>
      </c>
      <c r="C2398" s="11" t="s">
        <v>919</v>
      </c>
      <c r="D2398" s="13" t="s">
        <v>12202</v>
      </c>
      <c r="E2398" s="13" t="s">
        <v>12203</v>
      </c>
      <c r="F2398" s="13" t="s">
        <v>12204</v>
      </c>
      <c r="G2398" s="13" t="s">
        <v>12205</v>
      </c>
      <c r="H2398" s="13" t="s">
        <v>12206</v>
      </c>
    </row>
    <row r="2399" customFormat="false" ht="15" hidden="false" customHeight="true" outlineLevel="0" collapsed="false">
      <c r="A2399" s="13" t="s">
        <v>276</v>
      </c>
      <c r="B2399" s="13" t="s">
        <v>925</v>
      </c>
      <c r="C2399" s="11" t="s">
        <v>926</v>
      </c>
      <c r="D2399" s="13" t="s">
        <v>12207</v>
      </c>
      <c r="E2399" s="13" t="s">
        <v>12208</v>
      </c>
      <c r="F2399" s="13" t="s">
        <v>12209</v>
      </c>
      <c r="G2399" s="13" t="s">
        <v>12210</v>
      </c>
      <c r="H2399" s="13" t="s">
        <v>12211</v>
      </c>
    </row>
    <row r="2400" customFormat="false" ht="15" hidden="false" customHeight="true" outlineLevel="0" collapsed="false">
      <c r="A2400" s="13" t="s">
        <v>276</v>
      </c>
      <c r="B2400" s="13" t="s">
        <v>932</v>
      </c>
      <c r="C2400" s="11" t="s">
        <v>933</v>
      </c>
      <c r="D2400" s="13" t="s">
        <v>12212</v>
      </c>
      <c r="E2400" s="13" t="s">
        <v>12213</v>
      </c>
      <c r="F2400" s="13" t="s">
        <v>12214</v>
      </c>
      <c r="G2400" s="13" t="s">
        <v>12215</v>
      </c>
      <c r="H2400" s="13" t="s">
        <v>12216</v>
      </c>
    </row>
    <row r="2401" customFormat="false" ht="15" hidden="false" customHeight="true" outlineLevel="0" collapsed="false">
      <c r="A2401" s="13" t="s">
        <v>276</v>
      </c>
      <c r="B2401" s="13" t="s">
        <v>939</v>
      </c>
      <c r="C2401" s="11" t="s">
        <v>940</v>
      </c>
      <c r="D2401" s="13" t="s">
        <v>12217</v>
      </c>
      <c r="E2401" s="13" t="s">
        <v>12218</v>
      </c>
      <c r="F2401" s="13" t="s">
        <v>12219</v>
      </c>
      <c r="G2401" s="13" t="s">
        <v>12220</v>
      </c>
      <c r="H2401" s="13" t="s">
        <v>12221</v>
      </c>
    </row>
    <row r="2402" customFormat="false" ht="15" hidden="false" customHeight="true" outlineLevel="0" collapsed="false">
      <c r="A2402" s="13" t="s">
        <v>276</v>
      </c>
      <c r="B2402" s="13" t="s">
        <v>946</v>
      </c>
      <c r="C2402" s="11" t="s">
        <v>947</v>
      </c>
      <c r="D2402" s="13" t="s">
        <v>12222</v>
      </c>
      <c r="E2402" s="13" t="s">
        <v>12223</v>
      </c>
      <c r="F2402" s="13" t="s">
        <v>12224</v>
      </c>
      <c r="G2402" s="13" t="s">
        <v>12225</v>
      </c>
      <c r="H2402" s="13" t="s">
        <v>12226</v>
      </c>
    </row>
    <row r="2403" customFormat="false" ht="15" hidden="false" customHeight="true" outlineLevel="0" collapsed="false">
      <c r="A2403" s="13" t="s">
        <v>276</v>
      </c>
      <c r="B2403" s="13" t="s">
        <v>953</v>
      </c>
      <c r="C2403" s="11" t="s">
        <v>954</v>
      </c>
      <c r="D2403" s="13" t="s">
        <v>12227</v>
      </c>
      <c r="E2403" s="13" t="s">
        <v>12228</v>
      </c>
      <c r="F2403" s="13" t="s">
        <v>12229</v>
      </c>
      <c r="G2403" s="13" t="s">
        <v>12230</v>
      </c>
      <c r="H2403" s="13" t="s">
        <v>12231</v>
      </c>
    </row>
    <row r="2404" customFormat="false" ht="15" hidden="false" customHeight="true" outlineLevel="0" collapsed="false">
      <c r="A2404" s="13" t="s">
        <v>276</v>
      </c>
      <c r="B2404" s="13" t="s">
        <v>960</v>
      </c>
      <c r="C2404" s="11" t="s">
        <v>961</v>
      </c>
      <c r="D2404" s="13" t="s">
        <v>12232</v>
      </c>
      <c r="E2404" s="13" t="s">
        <v>12233</v>
      </c>
      <c r="F2404" s="13" t="s">
        <v>12234</v>
      </c>
      <c r="G2404" s="13" t="s">
        <v>12235</v>
      </c>
      <c r="H2404" s="13" t="s">
        <v>12236</v>
      </c>
    </row>
    <row r="2405" customFormat="false" ht="15" hidden="false" customHeight="true" outlineLevel="0" collapsed="false">
      <c r="A2405" s="13" t="s">
        <v>276</v>
      </c>
      <c r="B2405" s="13" t="s">
        <v>967</v>
      </c>
      <c r="C2405" s="11" t="s">
        <v>968</v>
      </c>
      <c r="D2405" s="13" t="s">
        <v>11780</v>
      </c>
      <c r="E2405" s="13" t="s">
        <v>12237</v>
      </c>
      <c r="F2405" s="13" t="s">
        <v>12238</v>
      </c>
      <c r="G2405" s="13" t="s">
        <v>12239</v>
      </c>
      <c r="H2405" s="13" t="s">
        <v>12240</v>
      </c>
    </row>
    <row r="2406" customFormat="false" ht="15" hidden="false" customHeight="true" outlineLevel="0" collapsed="false">
      <c r="A2406" s="13" t="s">
        <v>276</v>
      </c>
      <c r="B2406" s="13" t="s">
        <v>974</v>
      </c>
      <c r="C2406" s="11" t="s">
        <v>975</v>
      </c>
      <c r="D2406" s="13" t="s">
        <v>10862</v>
      </c>
      <c r="E2406" s="13" t="s">
        <v>12241</v>
      </c>
      <c r="F2406" s="13" t="s">
        <v>748</v>
      </c>
      <c r="G2406" s="13" t="s">
        <v>12242</v>
      </c>
      <c r="H2406" s="13" t="s">
        <v>12243</v>
      </c>
    </row>
    <row r="2407" customFormat="false" ht="15" hidden="false" customHeight="true" outlineLevel="0" collapsed="false">
      <c r="A2407" s="13" t="s">
        <v>276</v>
      </c>
      <c r="B2407" s="13" t="s">
        <v>981</v>
      </c>
      <c r="C2407" s="11" t="s">
        <v>982</v>
      </c>
      <c r="D2407" s="13" t="s">
        <v>12244</v>
      </c>
      <c r="E2407" s="13" t="s">
        <v>12245</v>
      </c>
      <c r="F2407" s="13" t="s">
        <v>12246</v>
      </c>
      <c r="G2407" s="13" t="s">
        <v>12247</v>
      </c>
      <c r="H2407" s="13" t="s">
        <v>12248</v>
      </c>
    </row>
    <row r="2408" customFormat="false" ht="15" hidden="false" customHeight="true" outlineLevel="0" collapsed="false">
      <c r="A2408" s="13" t="s">
        <v>276</v>
      </c>
      <c r="B2408" s="13" t="s">
        <v>988</v>
      </c>
      <c r="C2408" s="11" t="s">
        <v>989</v>
      </c>
      <c r="D2408" s="13" t="s">
        <v>12249</v>
      </c>
      <c r="E2408" s="13" t="s">
        <v>12250</v>
      </c>
      <c r="F2408" s="13" t="s">
        <v>12251</v>
      </c>
      <c r="G2408" s="13" t="s">
        <v>12252</v>
      </c>
      <c r="H2408" s="13" t="s">
        <v>12253</v>
      </c>
    </row>
    <row r="2409" customFormat="false" ht="15" hidden="false" customHeight="true" outlineLevel="0" collapsed="false">
      <c r="A2409" s="13" t="s">
        <v>276</v>
      </c>
      <c r="B2409" s="13" t="s">
        <v>995</v>
      </c>
      <c r="C2409" s="11" t="s">
        <v>996</v>
      </c>
      <c r="D2409" s="13" t="s">
        <v>12254</v>
      </c>
      <c r="E2409" s="13" t="s">
        <v>12255</v>
      </c>
      <c r="F2409" s="13" t="s">
        <v>12256</v>
      </c>
      <c r="G2409" s="13" t="s">
        <v>12257</v>
      </c>
      <c r="H2409" s="13" t="s">
        <v>12258</v>
      </c>
    </row>
    <row r="2410" customFormat="false" ht="15" hidden="false" customHeight="true" outlineLevel="0" collapsed="false">
      <c r="A2410" s="13" t="s">
        <v>276</v>
      </c>
      <c r="B2410" s="13" t="s">
        <v>1002</v>
      </c>
      <c r="C2410" s="11" t="s">
        <v>1003</v>
      </c>
      <c r="D2410" s="13" t="s">
        <v>12259</v>
      </c>
      <c r="E2410" s="13" t="s">
        <v>9273</v>
      </c>
      <c r="F2410" s="13" t="s">
        <v>12260</v>
      </c>
      <c r="G2410" s="13" t="s">
        <v>12261</v>
      </c>
      <c r="H2410" s="13" t="s">
        <v>12262</v>
      </c>
    </row>
    <row r="2411" customFormat="false" ht="15" hidden="false" customHeight="true" outlineLevel="0" collapsed="false">
      <c r="A2411" s="13" t="s">
        <v>276</v>
      </c>
      <c r="B2411" s="13" t="s">
        <v>1009</v>
      </c>
      <c r="C2411" s="11" t="s">
        <v>1010</v>
      </c>
      <c r="D2411" s="13" t="s">
        <v>5737</v>
      </c>
      <c r="E2411" s="13" t="s">
        <v>12263</v>
      </c>
      <c r="F2411" s="13" t="s">
        <v>690</v>
      </c>
      <c r="G2411" s="13" t="s">
        <v>12264</v>
      </c>
      <c r="H2411" s="13" t="s">
        <v>12265</v>
      </c>
    </row>
    <row r="2412" customFormat="false" ht="15" hidden="false" customHeight="true" outlineLevel="0" collapsed="false">
      <c r="A2412" s="13" t="s">
        <v>284</v>
      </c>
      <c r="B2412" s="13" t="s">
        <v>345</v>
      </c>
      <c r="C2412" s="11" t="s">
        <v>346</v>
      </c>
      <c r="D2412" s="13" t="s">
        <v>2672</v>
      </c>
      <c r="E2412" s="13" t="s">
        <v>12266</v>
      </c>
      <c r="F2412" s="13" t="s">
        <v>12267</v>
      </c>
      <c r="G2412" s="13" t="s">
        <v>12268</v>
      </c>
      <c r="H2412" s="13" t="s">
        <v>12269</v>
      </c>
    </row>
    <row r="2413" customFormat="false" ht="15" hidden="false" customHeight="true" outlineLevel="0" collapsed="false">
      <c r="A2413" s="13" t="s">
        <v>284</v>
      </c>
      <c r="B2413" s="13" t="s">
        <v>352</v>
      </c>
      <c r="C2413" s="11" t="s">
        <v>353</v>
      </c>
      <c r="D2413" s="13" t="s">
        <v>12270</v>
      </c>
      <c r="E2413" s="13" t="s">
        <v>12271</v>
      </c>
      <c r="F2413" s="13" t="s">
        <v>12272</v>
      </c>
      <c r="G2413" s="13" t="s">
        <v>12273</v>
      </c>
      <c r="H2413" s="13" t="s">
        <v>12274</v>
      </c>
    </row>
    <row r="2414" customFormat="false" ht="15" hidden="false" customHeight="true" outlineLevel="0" collapsed="false">
      <c r="A2414" s="13" t="s">
        <v>284</v>
      </c>
      <c r="B2414" s="13" t="s">
        <v>359</v>
      </c>
      <c r="C2414" s="11" t="s">
        <v>360</v>
      </c>
      <c r="D2414" s="13" t="s">
        <v>12275</v>
      </c>
      <c r="E2414" s="13" t="s">
        <v>12276</v>
      </c>
      <c r="F2414" s="13" t="s">
        <v>12277</v>
      </c>
      <c r="G2414" s="13" t="s">
        <v>12278</v>
      </c>
      <c r="H2414" s="13" t="s">
        <v>12279</v>
      </c>
    </row>
    <row r="2415" customFormat="false" ht="15" hidden="false" customHeight="true" outlineLevel="0" collapsed="false">
      <c r="A2415" s="13" t="s">
        <v>284</v>
      </c>
      <c r="B2415" s="13" t="s">
        <v>366</v>
      </c>
      <c r="C2415" s="11" t="s">
        <v>367</v>
      </c>
      <c r="D2415" s="13" t="s">
        <v>12280</v>
      </c>
      <c r="E2415" s="13" t="s">
        <v>3409</v>
      </c>
      <c r="F2415" s="13" t="s">
        <v>12281</v>
      </c>
      <c r="G2415" s="13" t="s">
        <v>12282</v>
      </c>
      <c r="H2415" s="13" t="s">
        <v>12283</v>
      </c>
    </row>
    <row r="2416" customFormat="false" ht="15" hidden="false" customHeight="true" outlineLevel="0" collapsed="false">
      <c r="A2416" s="13" t="s">
        <v>284</v>
      </c>
      <c r="B2416" s="13" t="s">
        <v>373</v>
      </c>
      <c r="C2416" s="11" t="s">
        <v>374</v>
      </c>
      <c r="D2416" s="13" t="s">
        <v>12284</v>
      </c>
      <c r="E2416" s="13" t="s">
        <v>12285</v>
      </c>
      <c r="F2416" s="13" t="s">
        <v>12286</v>
      </c>
      <c r="G2416" s="13" t="s">
        <v>12287</v>
      </c>
      <c r="H2416" s="13" t="s">
        <v>12288</v>
      </c>
    </row>
    <row r="2417" customFormat="false" ht="15" hidden="false" customHeight="true" outlineLevel="0" collapsed="false">
      <c r="A2417" s="13" t="s">
        <v>284</v>
      </c>
      <c r="B2417" s="13" t="s">
        <v>380</v>
      </c>
      <c r="C2417" s="11" t="s">
        <v>381</v>
      </c>
      <c r="D2417" s="13" t="s">
        <v>12289</v>
      </c>
      <c r="E2417" s="13" t="s">
        <v>12290</v>
      </c>
      <c r="F2417" s="13" t="s">
        <v>12291</v>
      </c>
      <c r="G2417" s="13" t="s">
        <v>12292</v>
      </c>
      <c r="H2417" s="13" t="s">
        <v>12293</v>
      </c>
    </row>
    <row r="2418" customFormat="false" ht="15" hidden="false" customHeight="true" outlineLevel="0" collapsed="false">
      <c r="A2418" s="13" t="s">
        <v>284</v>
      </c>
      <c r="B2418" s="13" t="s">
        <v>387</v>
      </c>
      <c r="C2418" s="11" t="s">
        <v>388</v>
      </c>
      <c r="D2418" s="13" t="s">
        <v>12294</v>
      </c>
      <c r="E2418" s="13" t="s">
        <v>12295</v>
      </c>
      <c r="F2418" s="13" t="s">
        <v>12296</v>
      </c>
      <c r="G2418" s="13" t="s">
        <v>12297</v>
      </c>
      <c r="H2418" s="13" t="s">
        <v>12298</v>
      </c>
    </row>
    <row r="2419" customFormat="false" ht="15" hidden="false" customHeight="true" outlineLevel="0" collapsed="false">
      <c r="A2419" s="13" t="s">
        <v>284</v>
      </c>
      <c r="B2419" s="13" t="s">
        <v>394</v>
      </c>
      <c r="C2419" s="11" t="s">
        <v>395</v>
      </c>
      <c r="D2419" s="13" t="s">
        <v>12299</v>
      </c>
      <c r="E2419" s="13" t="s">
        <v>12300</v>
      </c>
      <c r="F2419" s="13" t="s">
        <v>12301</v>
      </c>
      <c r="G2419" s="13" t="s">
        <v>12302</v>
      </c>
      <c r="H2419" s="13" t="s">
        <v>12303</v>
      </c>
    </row>
    <row r="2420" customFormat="false" ht="15" hidden="false" customHeight="true" outlineLevel="0" collapsed="false">
      <c r="A2420" s="13" t="s">
        <v>284</v>
      </c>
      <c r="B2420" s="13" t="s">
        <v>401</v>
      </c>
      <c r="C2420" s="11" t="s">
        <v>402</v>
      </c>
      <c r="D2420" s="13" t="s">
        <v>11409</v>
      </c>
      <c r="E2420" s="13" t="s">
        <v>12304</v>
      </c>
      <c r="F2420" s="13" t="s">
        <v>12305</v>
      </c>
      <c r="G2420" s="13" t="s">
        <v>12306</v>
      </c>
      <c r="H2420" s="13" t="s">
        <v>12307</v>
      </c>
    </row>
    <row r="2421" customFormat="false" ht="15" hidden="false" customHeight="true" outlineLevel="0" collapsed="false">
      <c r="A2421" s="13" t="s">
        <v>284</v>
      </c>
      <c r="B2421" s="13" t="s">
        <v>408</v>
      </c>
      <c r="C2421" s="11" t="s">
        <v>409</v>
      </c>
      <c r="D2421" s="13" t="s">
        <v>12308</v>
      </c>
      <c r="E2421" s="13" t="s">
        <v>12309</v>
      </c>
      <c r="F2421" s="13" t="s">
        <v>12310</v>
      </c>
      <c r="G2421" s="13" t="s">
        <v>12311</v>
      </c>
      <c r="H2421" s="13" t="s">
        <v>12312</v>
      </c>
    </row>
    <row r="2422" customFormat="false" ht="15" hidden="false" customHeight="true" outlineLevel="0" collapsed="false">
      <c r="A2422" s="13" t="s">
        <v>284</v>
      </c>
      <c r="B2422" s="13" t="s">
        <v>415</v>
      </c>
      <c r="C2422" s="11" t="s">
        <v>416</v>
      </c>
      <c r="D2422" s="13" t="s">
        <v>12313</v>
      </c>
      <c r="E2422" s="13" t="s">
        <v>12314</v>
      </c>
      <c r="F2422" s="13" t="s">
        <v>12315</v>
      </c>
      <c r="G2422" s="13" t="s">
        <v>12316</v>
      </c>
      <c r="H2422" s="13" t="s">
        <v>12317</v>
      </c>
    </row>
    <row r="2423" customFormat="false" ht="15" hidden="false" customHeight="true" outlineLevel="0" collapsed="false">
      <c r="A2423" s="13" t="s">
        <v>284</v>
      </c>
      <c r="B2423" s="13" t="s">
        <v>422</v>
      </c>
      <c r="C2423" s="11" t="s">
        <v>423</v>
      </c>
      <c r="D2423" s="13" t="s">
        <v>12318</v>
      </c>
      <c r="E2423" s="13" t="s">
        <v>12319</v>
      </c>
      <c r="F2423" s="13" t="s">
        <v>12320</v>
      </c>
      <c r="G2423" s="13" t="s">
        <v>12321</v>
      </c>
      <c r="H2423" s="13" t="s">
        <v>12322</v>
      </c>
    </row>
    <row r="2424" customFormat="false" ht="15" hidden="false" customHeight="true" outlineLevel="0" collapsed="false">
      <c r="A2424" s="13" t="s">
        <v>284</v>
      </c>
      <c r="B2424" s="13" t="s">
        <v>429</v>
      </c>
      <c r="C2424" s="11" t="s">
        <v>430</v>
      </c>
      <c r="D2424" s="13" t="s">
        <v>12323</v>
      </c>
      <c r="E2424" s="13" t="s">
        <v>12324</v>
      </c>
      <c r="F2424" s="13" t="s">
        <v>12325</v>
      </c>
      <c r="G2424" s="13" t="s">
        <v>12326</v>
      </c>
      <c r="H2424" s="13" t="s">
        <v>12327</v>
      </c>
    </row>
    <row r="2425" customFormat="false" ht="15" hidden="false" customHeight="true" outlineLevel="0" collapsed="false">
      <c r="A2425" s="13" t="s">
        <v>284</v>
      </c>
      <c r="B2425" s="13" t="s">
        <v>436</v>
      </c>
      <c r="C2425" s="11" t="s">
        <v>437</v>
      </c>
      <c r="D2425" s="13" t="s">
        <v>8895</v>
      </c>
      <c r="E2425" s="13" t="s">
        <v>10492</v>
      </c>
      <c r="F2425" s="13" t="s">
        <v>12328</v>
      </c>
      <c r="G2425" s="13" t="s">
        <v>12329</v>
      </c>
      <c r="H2425" s="13" t="s">
        <v>12330</v>
      </c>
    </row>
    <row r="2426" customFormat="false" ht="15" hidden="false" customHeight="true" outlineLevel="0" collapsed="false">
      <c r="A2426" s="13" t="s">
        <v>284</v>
      </c>
      <c r="B2426" s="13" t="s">
        <v>443</v>
      </c>
      <c r="C2426" s="11" t="s">
        <v>444</v>
      </c>
      <c r="D2426" s="13" t="s">
        <v>12331</v>
      </c>
      <c r="E2426" s="13" t="s">
        <v>12332</v>
      </c>
      <c r="F2426" s="13" t="s">
        <v>12333</v>
      </c>
      <c r="G2426" s="13" t="s">
        <v>12334</v>
      </c>
      <c r="H2426" s="13" t="s">
        <v>12335</v>
      </c>
    </row>
    <row r="2427" customFormat="false" ht="15" hidden="false" customHeight="true" outlineLevel="0" collapsed="false">
      <c r="A2427" s="13" t="s">
        <v>284</v>
      </c>
      <c r="B2427" s="13" t="s">
        <v>450</v>
      </c>
      <c r="C2427" s="11" t="s">
        <v>451</v>
      </c>
      <c r="D2427" s="13" t="s">
        <v>12336</v>
      </c>
      <c r="E2427" s="13" t="s">
        <v>12337</v>
      </c>
      <c r="F2427" s="13" t="s">
        <v>12338</v>
      </c>
      <c r="G2427" s="13" t="s">
        <v>12339</v>
      </c>
      <c r="H2427" s="13" t="s">
        <v>12340</v>
      </c>
    </row>
    <row r="2428" customFormat="false" ht="15" hidden="false" customHeight="true" outlineLevel="0" collapsed="false">
      <c r="A2428" s="13" t="s">
        <v>284</v>
      </c>
      <c r="B2428" s="13" t="s">
        <v>457</v>
      </c>
      <c r="C2428" s="11" t="s">
        <v>458</v>
      </c>
      <c r="D2428" s="13" t="s">
        <v>12341</v>
      </c>
      <c r="E2428" s="13" t="s">
        <v>12342</v>
      </c>
      <c r="F2428" s="13" t="s">
        <v>12343</v>
      </c>
      <c r="G2428" s="13" t="s">
        <v>12344</v>
      </c>
      <c r="H2428" s="13" t="s">
        <v>12345</v>
      </c>
    </row>
    <row r="2429" customFormat="false" ht="15" hidden="false" customHeight="true" outlineLevel="0" collapsed="false">
      <c r="A2429" s="13" t="s">
        <v>284</v>
      </c>
      <c r="B2429" s="13" t="s">
        <v>464</v>
      </c>
      <c r="C2429" s="11" t="s">
        <v>465</v>
      </c>
      <c r="D2429" s="13" t="s">
        <v>12346</v>
      </c>
      <c r="E2429" s="13" t="s">
        <v>12347</v>
      </c>
      <c r="F2429" s="13" t="s">
        <v>12348</v>
      </c>
      <c r="G2429" s="13" t="s">
        <v>12349</v>
      </c>
      <c r="H2429" s="13" t="s">
        <v>12350</v>
      </c>
    </row>
    <row r="2430" customFormat="false" ht="15" hidden="false" customHeight="true" outlineLevel="0" collapsed="false">
      <c r="A2430" s="13" t="s">
        <v>284</v>
      </c>
      <c r="B2430" s="13" t="s">
        <v>471</v>
      </c>
      <c r="C2430" s="11" t="s">
        <v>472</v>
      </c>
      <c r="D2430" s="13" t="s">
        <v>12351</v>
      </c>
      <c r="E2430" s="13" t="s">
        <v>12352</v>
      </c>
      <c r="F2430" s="13" t="s">
        <v>12353</v>
      </c>
      <c r="G2430" s="13" t="s">
        <v>12354</v>
      </c>
      <c r="H2430" s="13" t="s">
        <v>12355</v>
      </c>
    </row>
    <row r="2431" customFormat="false" ht="15" hidden="false" customHeight="true" outlineLevel="0" collapsed="false">
      <c r="A2431" s="13" t="s">
        <v>284</v>
      </c>
      <c r="B2431" s="13" t="s">
        <v>478</v>
      </c>
      <c r="C2431" s="11" t="s">
        <v>479</v>
      </c>
      <c r="D2431" s="13" t="s">
        <v>12356</v>
      </c>
      <c r="E2431" s="13" t="s">
        <v>12357</v>
      </c>
      <c r="F2431" s="13" t="s">
        <v>12358</v>
      </c>
      <c r="G2431" s="13" t="s">
        <v>7599</v>
      </c>
      <c r="H2431" s="13" t="s">
        <v>12359</v>
      </c>
    </row>
    <row r="2432" customFormat="false" ht="15" hidden="false" customHeight="true" outlineLevel="0" collapsed="false">
      <c r="A2432" s="13" t="s">
        <v>284</v>
      </c>
      <c r="B2432" s="13" t="s">
        <v>485</v>
      </c>
      <c r="C2432" s="11" t="s">
        <v>486</v>
      </c>
      <c r="D2432" s="13" t="s">
        <v>12360</v>
      </c>
      <c r="E2432" s="13" t="s">
        <v>12361</v>
      </c>
      <c r="F2432" s="13" t="s">
        <v>12362</v>
      </c>
      <c r="G2432" s="13" t="s">
        <v>12363</v>
      </c>
      <c r="H2432" s="13" t="s">
        <v>12364</v>
      </c>
    </row>
    <row r="2433" customFormat="false" ht="15" hidden="false" customHeight="true" outlineLevel="0" collapsed="false">
      <c r="A2433" s="13" t="s">
        <v>284</v>
      </c>
      <c r="B2433" s="13" t="s">
        <v>492</v>
      </c>
      <c r="C2433" s="11" t="s">
        <v>493</v>
      </c>
      <c r="D2433" s="13" t="s">
        <v>12365</v>
      </c>
      <c r="E2433" s="13" t="s">
        <v>12366</v>
      </c>
      <c r="F2433" s="13" t="s">
        <v>12367</v>
      </c>
      <c r="G2433" s="13" t="s">
        <v>12368</v>
      </c>
      <c r="H2433" s="13" t="s">
        <v>12369</v>
      </c>
    </row>
    <row r="2434" customFormat="false" ht="15" hidden="false" customHeight="true" outlineLevel="0" collapsed="false">
      <c r="A2434" s="13" t="s">
        <v>284</v>
      </c>
      <c r="B2434" s="13" t="s">
        <v>499</v>
      </c>
      <c r="C2434" s="11" t="s">
        <v>500</v>
      </c>
      <c r="D2434" s="13" t="s">
        <v>12370</v>
      </c>
      <c r="E2434" s="13" t="s">
        <v>12371</v>
      </c>
      <c r="F2434" s="13" t="s">
        <v>12372</v>
      </c>
      <c r="G2434" s="13" t="s">
        <v>12373</v>
      </c>
      <c r="H2434" s="13" t="s">
        <v>12374</v>
      </c>
    </row>
    <row r="2435" customFormat="false" ht="15" hidden="false" customHeight="true" outlineLevel="0" collapsed="false">
      <c r="A2435" s="13" t="s">
        <v>284</v>
      </c>
      <c r="B2435" s="13" t="s">
        <v>506</v>
      </c>
      <c r="C2435" s="11" t="s">
        <v>507</v>
      </c>
      <c r="D2435" s="13" t="s">
        <v>12375</v>
      </c>
      <c r="E2435" s="13" t="s">
        <v>12376</v>
      </c>
      <c r="F2435" s="13" t="s">
        <v>12377</v>
      </c>
      <c r="G2435" s="13" t="s">
        <v>12378</v>
      </c>
      <c r="H2435" s="13" t="s">
        <v>12379</v>
      </c>
    </row>
    <row r="2436" customFormat="false" ht="15" hidden="false" customHeight="true" outlineLevel="0" collapsed="false">
      <c r="A2436" s="13" t="s">
        <v>284</v>
      </c>
      <c r="B2436" s="13" t="s">
        <v>513</v>
      </c>
      <c r="C2436" s="11" t="s">
        <v>514</v>
      </c>
      <c r="D2436" s="13" t="s">
        <v>12380</v>
      </c>
      <c r="E2436" s="13" t="s">
        <v>12381</v>
      </c>
      <c r="F2436" s="13" t="s">
        <v>12382</v>
      </c>
      <c r="G2436" s="13" t="s">
        <v>12383</v>
      </c>
      <c r="H2436" s="13" t="s">
        <v>12384</v>
      </c>
    </row>
    <row r="2437" customFormat="false" ht="15" hidden="false" customHeight="true" outlineLevel="0" collapsed="false">
      <c r="A2437" s="13" t="s">
        <v>284</v>
      </c>
      <c r="B2437" s="13" t="s">
        <v>520</v>
      </c>
      <c r="C2437" s="11" t="s">
        <v>521</v>
      </c>
      <c r="D2437" s="13" t="s">
        <v>12385</v>
      </c>
      <c r="E2437" s="13" t="s">
        <v>12386</v>
      </c>
      <c r="F2437" s="13" t="s">
        <v>12387</v>
      </c>
      <c r="G2437" s="13" t="s">
        <v>12388</v>
      </c>
      <c r="H2437" s="13" t="s">
        <v>12389</v>
      </c>
    </row>
    <row r="2438" customFormat="false" ht="15" hidden="false" customHeight="true" outlineLevel="0" collapsed="false">
      <c r="A2438" s="13" t="s">
        <v>284</v>
      </c>
      <c r="B2438" s="13" t="s">
        <v>527</v>
      </c>
      <c r="C2438" s="11" t="s">
        <v>528</v>
      </c>
      <c r="D2438" s="13" t="s">
        <v>12390</v>
      </c>
      <c r="E2438" s="13" t="s">
        <v>12391</v>
      </c>
      <c r="F2438" s="13" t="s">
        <v>12392</v>
      </c>
      <c r="G2438" s="13" t="s">
        <v>12393</v>
      </c>
      <c r="H2438" s="13" t="s">
        <v>12394</v>
      </c>
    </row>
    <row r="2439" customFormat="false" ht="15" hidden="false" customHeight="true" outlineLevel="0" collapsed="false">
      <c r="A2439" s="13" t="s">
        <v>284</v>
      </c>
      <c r="B2439" s="13" t="s">
        <v>534</v>
      </c>
      <c r="C2439" s="11" t="s">
        <v>535</v>
      </c>
      <c r="D2439" s="13" t="s">
        <v>12395</v>
      </c>
      <c r="E2439" s="13" t="s">
        <v>12396</v>
      </c>
      <c r="F2439" s="13" t="s">
        <v>12397</v>
      </c>
      <c r="G2439" s="13" t="s">
        <v>12398</v>
      </c>
      <c r="H2439" s="13" t="s">
        <v>12399</v>
      </c>
    </row>
    <row r="2440" customFormat="false" ht="15" hidden="false" customHeight="true" outlineLevel="0" collapsed="false">
      <c r="A2440" s="13" t="s">
        <v>284</v>
      </c>
      <c r="B2440" s="13" t="s">
        <v>541</v>
      </c>
      <c r="C2440" s="11" t="s">
        <v>542</v>
      </c>
      <c r="D2440" s="13" t="s">
        <v>12400</v>
      </c>
      <c r="E2440" s="13" t="s">
        <v>12401</v>
      </c>
      <c r="F2440" s="13" t="s">
        <v>12402</v>
      </c>
      <c r="G2440" s="13" t="s">
        <v>12403</v>
      </c>
      <c r="H2440" s="13" t="s">
        <v>12404</v>
      </c>
    </row>
    <row r="2441" customFormat="false" ht="15" hidden="false" customHeight="true" outlineLevel="0" collapsed="false">
      <c r="A2441" s="13" t="s">
        <v>284</v>
      </c>
      <c r="B2441" s="13" t="s">
        <v>548</v>
      </c>
      <c r="C2441" s="11" t="s">
        <v>549</v>
      </c>
      <c r="D2441" s="13" t="s">
        <v>12405</v>
      </c>
      <c r="E2441" s="13" t="s">
        <v>12406</v>
      </c>
      <c r="F2441" s="13" t="s">
        <v>12407</v>
      </c>
      <c r="G2441" s="13" t="s">
        <v>12408</v>
      </c>
      <c r="H2441" s="13" t="s">
        <v>8357</v>
      </c>
    </row>
    <row r="2442" customFormat="false" ht="15" hidden="false" customHeight="true" outlineLevel="0" collapsed="false">
      <c r="A2442" s="13" t="s">
        <v>284</v>
      </c>
      <c r="B2442" s="13" t="s">
        <v>555</v>
      </c>
      <c r="C2442" s="11" t="s">
        <v>556</v>
      </c>
      <c r="D2442" s="13" t="s">
        <v>12409</v>
      </c>
      <c r="E2442" s="13" t="s">
        <v>12410</v>
      </c>
      <c r="F2442" s="13" t="s">
        <v>12411</v>
      </c>
      <c r="G2442" s="13" t="s">
        <v>12412</v>
      </c>
      <c r="H2442" s="13" t="s">
        <v>12413</v>
      </c>
    </row>
    <row r="2443" customFormat="false" ht="15" hidden="false" customHeight="true" outlineLevel="0" collapsed="false">
      <c r="A2443" s="13" t="s">
        <v>284</v>
      </c>
      <c r="B2443" s="13" t="s">
        <v>562</v>
      </c>
      <c r="C2443" s="11" t="s">
        <v>563</v>
      </c>
      <c r="D2443" s="13" t="s">
        <v>12414</v>
      </c>
      <c r="E2443" s="13" t="s">
        <v>12415</v>
      </c>
      <c r="F2443" s="13" t="s">
        <v>12416</v>
      </c>
      <c r="G2443" s="13" t="s">
        <v>12417</v>
      </c>
      <c r="H2443" s="13" t="s">
        <v>12418</v>
      </c>
    </row>
    <row r="2444" customFormat="false" ht="15" hidden="false" customHeight="true" outlineLevel="0" collapsed="false">
      <c r="A2444" s="13" t="s">
        <v>284</v>
      </c>
      <c r="B2444" s="13" t="s">
        <v>569</v>
      </c>
      <c r="C2444" s="11" t="s">
        <v>570</v>
      </c>
      <c r="D2444" s="13" t="s">
        <v>12419</v>
      </c>
      <c r="E2444" s="13" t="s">
        <v>12420</v>
      </c>
      <c r="F2444" s="13" t="s">
        <v>4351</v>
      </c>
      <c r="G2444" s="13" t="s">
        <v>12421</v>
      </c>
      <c r="H2444" s="13" t="s">
        <v>12422</v>
      </c>
    </row>
    <row r="2445" customFormat="false" ht="15" hidden="false" customHeight="true" outlineLevel="0" collapsed="false">
      <c r="A2445" s="13" t="s">
        <v>284</v>
      </c>
      <c r="B2445" s="13" t="s">
        <v>576</v>
      </c>
      <c r="C2445" s="11" t="s">
        <v>577</v>
      </c>
      <c r="D2445" s="13" t="s">
        <v>12423</v>
      </c>
      <c r="E2445" s="13" t="s">
        <v>12424</v>
      </c>
      <c r="F2445" s="13" t="s">
        <v>12425</v>
      </c>
      <c r="G2445" s="13" t="s">
        <v>12426</v>
      </c>
      <c r="H2445" s="13" t="s">
        <v>12427</v>
      </c>
    </row>
    <row r="2446" customFormat="false" ht="15" hidden="false" customHeight="true" outlineLevel="0" collapsed="false">
      <c r="A2446" s="13" t="s">
        <v>284</v>
      </c>
      <c r="B2446" s="13" t="s">
        <v>583</v>
      </c>
      <c r="C2446" s="11" t="s">
        <v>584</v>
      </c>
      <c r="D2446" s="13" t="s">
        <v>12428</v>
      </c>
      <c r="E2446" s="13" t="s">
        <v>12429</v>
      </c>
      <c r="F2446" s="13" t="s">
        <v>12430</v>
      </c>
      <c r="G2446" s="13" t="s">
        <v>12431</v>
      </c>
      <c r="H2446" s="13" t="s">
        <v>12432</v>
      </c>
    </row>
    <row r="2447" customFormat="false" ht="15" hidden="false" customHeight="true" outlineLevel="0" collapsed="false">
      <c r="A2447" s="13" t="s">
        <v>284</v>
      </c>
      <c r="B2447" s="13" t="s">
        <v>590</v>
      </c>
      <c r="C2447" s="11" t="s">
        <v>591</v>
      </c>
      <c r="D2447" s="13" t="s">
        <v>12433</v>
      </c>
      <c r="E2447" s="13" t="s">
        <v>9037</v>
      </c>
      <c r="F2447" s="13" t="s">
        <v>12434</v>
      </c>
      <c r="G2447" s="13" t="s">
        <v>12435</v>
      </c>
      <c r="H2447" s="13" t="s">
        <v>12436</v>
      </c>
    </row>
    <row r="2448" customFormat="false" ht="15" hidden="false" customHeight="true" outlineLevel="0" collapsed="false">
      <c r="A2448" s="13" t="s">
        <v>284</v>
      </c>
      <c r="B2448" s="13" t="s">
        <v>597</v>
      </c>
      <c r="C2448" s="11" t="s">
        <v>598</v>
      </c>
      <c r="D2448" s="13" t="s">
        <v>12437</v>
      </c>
      <c r="E2448" s="13" t="s">
        <v>12438</v>
      </c>
      <c r="F2448" s="13" t="s">
        <v>12439</v>
      </c>
      <c r="G2448" s="13" t="s">
        <v>12440</v>
      </c>
      <c r="H2448" s="13" t="s">
        <v>12441</v>
      </c>
    </row>
    <row r="2449" customFormat="false" ht="15" hidden="false" customHeight="true" outlineLevel="0" collapsed="false">
      <c r="A2449" s="13" t="s">
        <v>284</v>
      </c>
      <c r="B2449" s="13" t="s">
        <v>604</v>
      </c>
      <c r="C2449" s="11" t="s">
        <v>605</v>
      </c>
      <c r="D2449" s="13" t="s">
        <v>12442</v>
      </c>
      <c r="E2449" s="13" t="s">
        <v>12443</v>
      </c>
      <c r="F2449" s="13" t="s">
        <v>12444</v>
      </c>
      <c r="G2449" s="13" t="s">
        <v>12445</v>
      </c>
      <c r="H2449" s="13" t="s">
        <v>12446</v>
      </c>
    </row>
    <row r="2450" customFormat="false" ht="15" hidden="false" customHeight="true" outlineLevel="0" collapsed="false">
      <c r="A2450" s="13" t="s">
        <v>284</v>
      </c>
      <c r="B2450" s="13" t="s">
        <v>611</v>
      </c>
      <c r="C2450" s="11" t="s">
        <v>612</v>
      </c>
      <c r="D2450" s="13" t="s">
        <v>12447</v>
      </c>
      <c r="E2450" s="13" t="s">
        <v>12448</v>
      </c>
      <c r="F2450" s="13" t="s">
        <v>12449</v>
      </c>
      <c r="G2450" s="13" t="s">
        <v>12450</v>
      </c>
      <c r="H2450" s="13" t="s">
        <v>12451</v>
      </c>
    </row>
    <row r="2451" customFormat="false" ht="15" hidden="false" customHeight="true" outlineLevel="0" collapsed="false">
      <c r="A2451" s="13" t="s">
        <v>284</v>
      </c>
      <c r="B2451" s="13" t="s">
        <v>618</v>
      </c>
      <c r="C2451" s="11" t="s">
        <v>619</v>
      </c>
      <c r="D2451" s="13" t="s">
        <v>12452</v>
      </c>
      <c r="E2451" s="13" t="s">
        <v>12453</v>
      </c>
      <c r="F2451" s="13" t="s">
        <v>12454</v>
      </c>
      <c r="G2451" s="13" t="s">
        <v>12455</v>
      </c>
      <c r="H2451" s="13" t="s">
        <v>12456</v>
      </c>
    </row>
    <row r="2452" customFormat="false" ht="15" hidden="false" customHeight="true" outlineLevel="0" collapsed="false">
      <c r="A2452" s="13" t="s">
        <v>284</v>
      </c>
      <c r="B2452" s="13" t="s">
        <v>625</v>
      </c>
      <c r="C2452" s="11" t="s">
        <v>626</v>
      </c>
      <c r="D2452" s="13" t="s">
        <v>12457</v>
      </c>
      <c r="E2452" s="13" t="s">
        <v>12458</v>
      </c>
      <c r="F2452" s="13" t="s">
        <v>12459</v>
      </c>
      <c r="G2452" s="13" t="s">
        <v>12460</v>
      </c>
      <c r="H2452" s="13" t="s">
        <v>7885</v>
      </c>
    </row>
    <row r="2453" customFormat="false" ht="15" hidden="false" customHeight="true" outlineLevel="0" collapsed="false">
      <c r="A2453" s="13" t="s">
        <v>284</v>
      </c>
      <c r="B2453" s="13" t="s">
        <v>632</v>
      </c>
      <c r="C2453" s="11" t="s">
        <v>633</v>
      </c>
      <c r="D2453" s="13" t="s">
        <v>12461</v>
      </c>
      <c r="E2453" s="13" t="s">
        <v>12462</v>
      </c>
      <c r="F2453" s="13" t="s">
        <v>12463</v>
      </c>
      <c r="G2453" s="13" t="s">
        <v>12464</v>
      </c>
      <c r="H2453" s="13" t="s">
        <v>12465</v>
      </c>
    </row>
    <row r="2454" customFormat="false" ht="15" hidden="false" customHeight="true" outlineLevel="0" collapsed="false">
      <c r="A2454" s="13" t="s">
        <v>284</v>
      </c>
      <c r="B2454" s="13" t="s">
        <v>639</v>
      </c>
      <c r="C2454" s="11" t="s">
        <v>640</v>
      </c>
      <c r="D2454" s="13" t="s">
        <v>12466</v>
      </c>
      <c r="E2454" s="13" t="s">
        <v>12467</v>
      </c>
      <c r="F2454" s="13" t="s">
        <v>7966</v>
      </c>
      <c r="G2454" s="13" t="s">
        <v>12468</v>
      </c>
      <c r="H2454" s="13" t="s">
        <v>12469</v>
      </c>
    </row>
    <row r="2455" customFormat="false" ht="15" hidden="false" customHeight="true" outlineLevel="0" collapsed="false">
      <c r="A2455" s="13" t="s">
        <v>284</v>
      </c>
      <c r="B2455" s="13" t="s">
        <v>646</v>
      </c>
      <c r="C2455" s="11" t="s">
        <v>647</v>
      </c>
      <c r="D2455" s="13" t="s">
        <v>12470</v>
      </c>
      <c r="E2455" s="13" t="s">
        <v>12471</v>
      </c>
      <c r="F2455" s="13" t="s">
        <v>12472</v>
      </c>
      <c r="G2455" s="13" t="s">
        <v>12473</v>
      </c>
      <c r="H2455" s="13" t="s">
        <v>12474</v>
      </c>
    </row>
    <row r="2456" customFormat="false" ht="15" hidden="false" customHeight="true" outlineLevel="0" collapsed="false">
      <c r="A2456" s="13" t="s">
        <v>284</v>
      </c>
      <c r="B2456" s="13" t="s">
        <v>653</v>
      </c>
      <c r="C2456" s="11" t="s">
        <v>654</v>
      </c>
      <c r="D2456" s="13" t="s">
        <v>2929</v>
      </c>
      <c r="E2456" s="13" t="s">
        <v>2995</v>
      </c>
      <c r="F2456" s="13" t="s">
        <v>12475</v>
      </c>
      <c r="G2456" s="13" t="s">
        <v>4614</v>
      </c>
      <c r="H2456" s="13" t="s">
        <v>12476</v>
      </c>
    </row>
    <row r="2457" customFormat="false" ht="15" hidden="false" customHeight="true" outlineLevel="0" collapsed="false">
      <c r="A2457" s="13" t="s">
        <v>284</v>
      </c>
      <c r="B2457" s="13" t="s">
        <v>660</v>
      </c>
      <c r="C2457" s="11" t="s">
        <v>661</v>
      </c>
      <c r="D2457" s="13" t="s">
        <v>12477</v>
      </c>
      <c r="E2457" s="13" t="s">
        <v>12478</v>
      </c>
      <c r="F2457" s="13" t="s">
        <v>12323</v>
      </c>
      <c r="G2457" s="13" t="s">
        <v>12479</v>
      </c>
      <c r="H2457" s="13" t="s">
        <v>12480</v>
      </c>
    </row>
    <row r="2458" customFormat="false" ht="15" hidden="false" customHeight="true" outlineLevel="0" collapsed="false">
      <c r="A2458" s="13" t="s">
        <v>284</v>
      </c>
      <c r="B2458" s="13" t="s">
        <v>667</v>
      </c>
      <c r="C2458" s="11" t="s">
        <v>668</v>
      </c>
      <c r="D2458" s="13" t="s">
        <v>12481</v>
      </c>
      <c r="E2458" s="13" t="s">
        <v>12482</v>
      </c>
      <c r="F2458" s="13" t="s">
        <v>12483</v>
      </c>
      <c r="G2458" s="13" t="s">
        <v>12484</v>
      </c>
      <c r="H2458" s="13" t="s">
        <v>12485</v>
      </c>
    </row>
    <row r="2459" customFormat="false" ht="15" hidden="false" customHeight="true" outlineLevel="0" collapsed="false">
      <c r="A2459" s="13" t="s">
        <v>284</v>
      </c>
      <c r="B2459" s="13" t="s">
        <v>674</v>
      </c>
      <c r="C2459" s="11" t="s">
        <v>675</v>
      </c>
      <c r="D2459" s="13" t="s">
        <v>12486</v>
      </c>
      <c r="E2459" s="13" t="s">
        <v>12487</v>
      </c>
      <c r="F2459" s="13" t="s">
        <v>12488</v>
      </c>
      <c r="G2459" s="13" t="s">
        <v>12489</v>
      </c>
      <c r="H2459" s="13" t="s">
        <v>12490</v>
      </c>
    </row>
    <row r="2460" customFormat="false" ht="15" hidden="false" customHeight="true" outlineLevel="0" collapsed="false">
      <c r="A2460" s="13" t="s">
        <v>284</v>
      </c>
      <c r="B2460" s="13" t="s">
        <v>681</v>
      </c>
      <c r="C2460" s="11" t="s">
        <v>682</v>
      </c>
      <c r="D2460" s="13" t="s">
        <v>12491</v>
      </c>
      <c r="E2460" s="13" t="s">
        <v>12492</v>
      </c>
      <c r="F2460" s="13" t="s">
        <v>12493</v>
      </c>
      <c r="G2460" s="13" t="s">
        <v>12494</v>
      </c>
      <c r="H2460" s="13" t="s">
        <v>12495</v>
      </c>
    </row>
    <row r="2461" customFormat="false" ht="15" hidden="false" customHeight="true" outlineLevel="0" collapsed="false">
      <c r="A2461" s="13" t="s">
        <v>284</v>
      </c>
      <c r="B2461" s="13" t="s">
        <v>688</v>
      </c>
      <c r="C2461" s="11" t="s">
        <v>689</v>
      </c>
      <c r="D2461" s="13" t="s">
        <v>12496</v>
      </c>
      <c r="E2461" s="13" t="s">
        <v>10669</v>
      </c>
      <c r="F2461" s="13" t="s">
        <v>1971</v>
      </c>
      <c r="G2461" s="13" t="s">
        <v>12497</v>
      </c>
      <c r="H2461" s="13" t="s">
        <v>12498</v>
      </c>
    </row>
    <row r="2462" customFormat="false" ht="15" hidden="false" customHeight="true" outlineLevel="0" collapsed="false">
      <c r="A2462" s="13" t="s">
        <v>284</v>
      </c>
      <c r="B2462" s="13" t="s">
        <v>695</v>
      </c>
      <c r="C2462" s="11" t="s">
        <v>696</v>
      </c>
      <c r="D2462" s="13" t="s">
        <v>12499</v>
      </c>
      <c r="E2462" s="13" t="s">
        <v>12500</v>
      </c>
      <c r="F2462" s="13" t="s">
        <v>12501</v>
      </c>
      <c r="G2462" s="13" t="s">
        <v>12502</v>
      </c>
      <c r="H2462" s="13" t="s">
        <v>12503</v>
      </c>
    </row>
    <row r="2463" customFormat="false" ht="15" hidden="false" customHeight="true" outlineLevel="0" collapsed="false">
      <c r="A2463" s="13" t="s">
        <v>284</v>
      </c>
      <c r="B2463" s="13" t="s">
        <v>702</v>
      </c>
      <c r="C2463" s="11" t="s">
        <v>703</v>
      </c>
      <c r="D2463" s="13" t="s">
        <v>12504</v>
      </c>
      <c r="E2463" s="13" t="s">
        <v>12505</v>
      </c>
      <c r="F2463" s="13" t="s">
        <v>12506</v>
      </c>
      <c r="G2463" s="13" t="s">
        <v>10085</v>
      </c>
      <c r="H2463" s="13" t="s">
        <v>12507</v>
      </c>
    </row>
    <row r="2464" customFormat="false" ht="15" hidden="false" customHeight="true" outlineLevel="0" collapsed="false">
      <c r="A2464" s="13" t="s">
        <v>284</v>
      </c>
      <c r="B2464" s="13" t="s">
        <v>709</v>
      </c>
      <c r="C2464" s="11" t="s">
        <v>710</v>
      </c>
      <c r="D2464" s="13" t="s">
        <v>8574</v>
      </c>
      <c r="E2464" s="13" t="s">
        <v>12508</v>
      </c>
      <c r="F2464" s="13" t="s">
        <v>12509</v>
      </c>
      <c r="G2464" s="13" t="s">
        <v>12510</v>
      </c>
      <c r="H2464" s="13" t="s">
        <v>12511</v>
      </c>
    </row>
    <row r="2465" customFormat="false" ht="15" hidden="false" customHeight="true" outlineLevel="0" collapsed="false">
      <c r="A2465" s="13" t="s">
        <v>284</v>
      </c>
      <c r="B2465" s="13" t="s">
        <v>716</v>
      </c>
      <c r="C2465" s="11" t="s">
        <v>717</v>
      </c>
      <c r="D2465" s="13" t="s">
        <v>12512</v>
      </c>
      <c r="E2465" s="13" t="s">
        <v>12513</v>
      </c>
      <c r="F2465" s="13" t="s">
        <v>12514</v>
      </c>
      <c r="G2465" s="13" t="s">
        <v>12515</v>
      </c>
      <c r="H2465" s="13" t="s">
        <v>9421</v>
      </c>
    </row>
    <row r="2466" customFormat="false" ht="15" hidden="false" customHeight="true" outlineLevel="0" collapsed="false">
      <c r="A2466" s="13" t="s">
        <v>284</v>
      </c>
      <c r="B2466" s="13" t="s">
        <v>723</v>
      </c>
      <c r="C2466" s="11" t="s">
        <v>724</v>
      </c>
      <c r="D2466" s="13" t="s">
        <v>12516</v>
      </c>
      <c r="E2466" s="13" t="s">
        <v>1289</v>
      </c>
      <c r="F2466" s="13" t="s">
        <v>12517</v>
      </c>
      <c r="G2466" s="13" t="s">
        <v>12518</v>
      </c>
      <c r="H2466" s="13" t="s">
        <v>12519</v>
      </c>
    </row>
    <row r="2467" customFormat="false" ht="15" hidden="false" customHeight="true" outlineLevel="0" collapsed="false">
      <c r="A2467" s="13" t="s">
        <v>284</v>
      </c>
      <c r="B2467" s="13" t="s">
        <v>730</v>
      </c>
      <c r="C2467" s="11" t="s">
        <v>731</v>
      </c>
      <c r="D2467" s="13" t="s">
        <v>12520</v>
      </c>
      <c r="E2467" s="13" t="s">
        <v>12521</v>
      </c>
      <c r="F2467" s="13" t="s">
        <v>12522</v>
      </c>
      <c r="G2467" s="13" t="s">
        <v>12523</v>
      </c>
      <c r="H2467" s="13" t="s">
        <v>12524</v>
      </c>
    </row>
    <row r="2468" customFormat="false" ht="15" hidden="false" customHeight="true" outlineLevel="0" collapsed="false">
      <c r="A2468" s="13" t="s">
        <v>284</v>
      </c>
      <c r="B2468" s="13" t="s">
        <v>737</v>
      </c>
      <c r="C2468" s="11" t="s">
        <v>738</v>
      </c>
      <c r="D2468" s="13" t="s">
        <v>12525</v>
      </c>
      <c r="E2468" s="13" t="s">
        <v>12526</v>
      </c>
      <c r="F2468" s="13" t="s">
        <v>12527</v>
      </c>
      <c r="G2468" s="13" t="s">
        <v>12528</v>
      </c>
      <c r="H2468" s="13" t="s">
        <v>12529</v>
      </c>
    </row>
    <row r="2469" customFormat="false" ht="15" hidden="false" customHeight="true" outlineLevel="0" collapsed="false">
      <c r="A2469" s="13" t="s">
        <v>284</v>
      </c>
      <c r="B2469" s="13" t="s">
        <v>744</v>
      </c>
      <c r="C2469" s="11" t="s">
        <v>745</v>
      </c>
      <c r="D2469" s="13" t="s">
        <v>12530</v>
      </c>
      <c r="E2469" s="13" t="s">
        <v>12531</v>
      </c>
      <c r="F2469" s="13" t="s">
        <v>12532</v>
      </c>
      <c r="G2469" s="13" t="s">
        <v>12533</v>
      </c>
      <c r="H2469" s="13" t="s">
        <v>12534</v>
      </c>
    </row>
    <row r="2470" customFormat="false" ht="15" hidden="false" customHeight="true" outlineLevel="0" collapsed="false">
      <c r="A2470" s="13" t="s">
        <v>284</v>
      </c>
      <c r="B2470" s="13" t="s">
        <v>751</v>
      </c>
      <c r="C2470" s="11" t="s">
        <v>752</v>
      </c>
      <c r="D2470" s="13" t="s">
        <v>12535</v>
      </c>
      <c r="E2470" s="13" t="s">
        <v>12536</v>
      </c>
      <c r="F2470" s="13" t="s">
        <v>12537</v>
      </c>
      <c r="G2470" s="13" t="s">
        <v>12538</v>
      </c>
      <c r="H2470" s="13" t="s">
        <v>12539</v>
      </c>
    </row>
    <row r="2471" customFormat="false" ht="15" hidden="false" customHeight="true" outlineLevel="0" collapsed="false">
      <c r="A2471" s="13" t="s">
        <v>284</v>
      </c>
      <c r="B2471" s="13" t="s">
        <v>758</v>
      </c>
      <c r="C2471" s="11" t="s">
        <v>759</v>
      </c>
      <c r="D2471" s="13" t="s">
        <v>12540</v>
      </c>
      <c r="E2471" s="13" t="s">
        <v>12541</v>
      </c>
      <c r="F2471" s="13" t="s">
        <v>12542</v>
      </c>
      <c r="G2471" s="13" t="s">
        <v>12543</v>
      </c>
      <c r="H2471" s="13" t="s">
        <v>12544</v>
      </c>
    </row>
    <row r="2472" customFormat="false" ht="15" hidden="false" customHeight="true" outlineLevel="0" collapsed="false">
      <c r="A2472" s="13" t="s">
        <v>284</v>
      </c>
      <c r="B2472" s="13" t="s">
        <v>765</v>
      </c>
      <c r="C2472" s="11" t="s">
        <v>766</v>
      </c>
      <c r="D2472" s="13" t="s">
        <v>12545</v>
      </c>
      <c r="E2472" s="13" t="s">
        <v>12546</v>
      </c>
      <c r="F2472" s="13" t="s">
        <v>12547</v>
      </c>
      <c r="G2472" s="13" t="s">
        <v>12548</v>
      </c>
      <c r="H2472" s="13" t="s">
        <v>12549</v>
      </c>
    </row>
    <row r="2473" customFormat="false" ht="15" hidden="false" customHeight="true" outlineLevel="0" collapsed="false">
      <c r="A2473" s="13" t="s">
        <v>284</v>
      </c>
      <c r="B2473" s="13" t="s">
        <v>772</v>
      </c>
      <c r="C2473" s="11" t="s">
        <v>773</v>
      </c>
      <c r="D2473" s="13" t="s">
        <v>12550</v>
      </c>
      <c r="E2473" s="13" t="s">
        <v>12551</v>
      </c>
      <c r="F2473" s="13" t="s">
        <v>12552</v>
      </c>
      <c r="G2473" s="13" t="s">
        <v>12553</v>
      </c>
      <c r="H2473" s="13" t="s">
        <v>12554</v>
      </c>
    </row>
    <row r="2474" customFormat="false" ht="15" hidden="false" customHeight="true" outlineLevel="0" collapsed="false">
      <c r="A2474" s="13" t="s">
        <v>284</v>
      </c>
      <c r="B2474" s="13" t="s">
        <v>779</v>
      </c>
      <c r="C2474" s="11" t="s">
        <v>780</v>
      </c>
      <c r="D2474" s="13" t="s">
        <v>12555</v>
      </c>
      <c r="E2474" s="13" t="s">
        <v>12556</v>
      </c>
      <c r="F2474" s="13" t="s">
        <v>12557</v>
      </c>
      <c r="G2474" s="13" t="s">
        <v>12558</v>
      </c>
      <c r="H2474" s="13" t="s">
        <v>12559</v>
      </c>
    </row>
    <row r="2475" customFormat="false" ht="15" hidden="false" customHeight="true" outlineLevel="0" collapsed="false">
      <c r="A2475" s="13" t="s">
        <v>284</v>
      </c>
      <c r="B2475" s="13" t="s">
        <v>786</v>
      </c>
      <c r="C2475" s="11" t="s">
        <v>787</v>
      </c>
      <c r="D2475" s="13" t="s">
        <v>12560</v>
      </c>
      <c r="E2475" s="13" t="s">
        <v>12561</v>
      </c>
      <c r="F2475" s="13" t="s">
        <v>12562</v>
      </c>
      <c r="G2475" s="13" t="s">
        <v>12563</v>
      </c>
      <c r="H2475" s="13" t="s">
        <v>12564</v>
      </c>
    </row>
    <row r="2476" customFormat="false" ht="15" hidden="false" customHeight="true" outlineLevel="0" collapsed="false">
      <c r="A2476" s="13" t="s">
        <v>284</v>
      </c>
      <c r="B2476" s="13" t="s">
        <v>793</v>
      </c>
      <c r="C2476" s="11" t="s">
        <v>794</v>
      </c>
      <c r="D2476" s="13" t="s">
        <v>12565</v>
      </c>
      <c r="E2476" s="13" t="s">
        <v>12566</v>
      </c>
      <c r="F2476" s="13" t="s">
        <v>12567</v>
      </c>
      <c r="G2476" s="13" t="s">
        <v>12568</v>
      </c>
      <c r="H2476" s="13" t="s">
        <v>12569</v>
      </c>
    </row>
    <row r="2477" customFormat="false" ht="15" hidden="false" customHeight="true" outlineLevel="0" collapsed="false">
      <c r="A2477" s="13" t="s">
        <v>284</v>
      </c>
      <c r="B2477" s="13" t="s">
        <v>800</v>
      </c>
      <c r="C2477" s="11" t="s">
        <v>801</v>
      </c>
      <c r="D2477" s="13" t="s">
        <v>1231</v>
      </c>
      <c r="E2477" s="13" t="s">
        <v>12570</v>
      </c>
      <c r="F2477" s="13" t="s">
        <v>12571</v>
      </c>
      <c r="G2477" s="13" t="s">
        <v>12572</v>
      </c>
      <c r="H2477" s="13" t="s">
        <v>12573</v>
      </c>
    </row>
    <row r="2478" customFormat="false" ht="15" hidden="false" customHeight="true" outlineLevel="0" collapsed="false">
      <c r="A2478" s="13" t="s">
        <v>284</v>
      </c>
      <c r="B2478" s="13" t="s">
        <v>806</v>
      </c>
      <c r="C2478" s="11" t="s">
        <v>807</v>
      </c>
      <c r="D2478" s="13" t="s">
        <v>8895</v>
      </c>
      <c r="E2478" s="13" t="s">
        <v>12574</v>
      </c>
      <c r="F2478" s="13" t="s">
        <v>12575</v>
      </c>
      <c r="G2478" s="13" t="s">
        <v>12576</v>
      </c>
      <c r="H2478" s="13" t="s">
        <v>12577</v>
      </c>
    </row>
    <row r="2479" customFormat="false" ht="15" hidden="false" customHeight="true" outlineLevel="0" collapsed="false">
      <c r="A2479" s="13" t="s">
        <v>284</v>
      </c>
      <c r="B2479" s="13" t="s">
        <v>813</v>
      </c>
      <c r="C2479" s="11" t="s">
        <v>814</v>
      </c>
      <c r="D2479" s="13" t="s">
        <v>12578</v>
      </c>
      <c r="E2479" s="13" t="s">
        <v>12579</v>
      </c>
      <c r="F2479" s="13" t="s">
        <v>12580</v>
      </c>
      <c r="G2479" s="13" t="s">
        <v>12581</v>
      </c>
      <c r="H2479" s="13" t="s">
        <v>12582</v>
      </c>
    </row>
    <row r="2480" customFormat="false" ht="15" hidden="false" customHeight="true" outlineLevel="0" collapsed="false">
      <c r="A2480" s="13" t="s">
        <v>284</v>
      </c>
      <c r="B2480" s="13" t="s">
        <v>820</v>
      </c>
      <c r="C2480" s="11" t="s">
        <v>821</v>
      </c>
      <c r="D2480" s="13" t="s">
        <v>1415</v>
      </c>
      <c r="E2480" s="13" t="s">
        <v>12583</v>
      </c>
      <c r="F2480" s="13" t="s">
        <v>12584</v>
      </c>
      <c r="G2480" s="13" t="s">
        <v>12585</v>
      </c>
      <c r="H2480" s="13" t="s">
        <v>12586</v>
      </c>
    </row>
    <row r="2481" customFormat="false" ht="15" hidden="false" customHeight="true" outlineLevel="0" collapsed="false">
      <c r="A2481" s="13" t="s">
        <v>284</v>
      </c>
      <c r="B2481" s="13" t="s">
        <v>827</v>
      </c>
      <c r="C2481" s="11" t="s">
        <v>828</v>
      </c>
      <c r="D2481" s="13" t="s">
        <v>12587</v>
      </c>
      <c r="E2481" s="13" t="s">
        <v>12588</v>
      </c>
      <c r="F2481" s="13" t="s">
        <v>12589</v>
      </c>
      <c r="G2481" s="13" t="s">
        <v>12590</v>
      </c>
      <c r="H2481" s="13" t="s">
        <v>12591</v>
      </c>
    </row>
    <row r="2482" customFormat="false" ht="15" hidden="false" customHeight="true" outlineLevel="0" collapsed="false">
      <c r="A2482" s="13" t="s">
        <v>284</v>
      </c>
      <c r="B2482" s="13" t="s">
        <v>834</v>
      </c>
      <c r="C2482" s="11" t="s">
        <v>835</v>
      </c>
      <c r="D2482" s="13" t="s">
        <v>12592</v>
      </c>
      <c r="E2482" s="13" t="s">
        <v>12593</v>
      </c>
      <c r="F2482" s="13" t="s">
        <v>12594</v>
      </c>
      <c r="G2482" s="13" t="s">
        <v>12595</v>
      </c>
      <c r="H2482" s="13" t="s">
        <v>12596</v>
      </c>
    </row>
    <row r="2483" customFormat="false" ht="15" hidden="false" customHeight="true" outlineLevel="0" collapsed="false">
      <c r="A2483" s="13" t="s">
        <v>284</v>
      </c>
      <c r="B2483" s="13" t="s">
        <v>841</v>
      </c>
      <c r="C2483" s="11" t="s">
        <v>842</v>
      </c>
      <c r="D2483" s="13" t="s">
        <v>12597</v>
      </c>
      <c r="E2483" s="13" t="s">
        <v>12598</v>
      </c>
      <c r="F2483" s="13" t="s">
        <v>12599</v>
      </c>
      <c r="G2483" s="13" t="s">
        <v>12600</v>
      </c>
      <c r="H2483" s="13" t="s">
        <v>12601</v>
      </c>
    </row>
    <row r="2484" customFormat="false" ht="15" hidden="false" customHeight="true" outlineLevel="0" collapsed="false">
      <c r="A2484" s="13" t="s">
        <v>284</v>
      </c>
      <c r="B2484" s="13" t="s">
        <v>848</v>
      </c>
      <c r="C2484" s="11" t="s">
        <v>849</v>
      </c>
      <c r="D2484" s="13" t="s">
        <v>12602</v>
      </c>
      <c r="E2484" s="13" t="s">
        <v>12603</v>
      </c>
      <c r="F2484" s="13" t="s">
        <v>12604</v>
      </c>
      <c r="G2484" s="13" t="s">
        <v>12605</v>
      </c>
      <c r="H2484" s="13" t="s">
        <v>12606</v>
      </c>
    </row>
    <row r="2485" customFormat="false" ht="15" hidden="false" customHeight="true" outlineLevel="0" collapsed="false">
      <c r="A2485" s="13" t="s">
        <v>284</v>
      </c>
      <c r="B2485" s="13" t="s">
        <v>855</v>
      </c>
      <c r="C2485" s="11" t="s">
        <v>856</v>
      </c>
      <c r="D2485" s="13" t="s">
        <v>12607</v>
      </c>
      <c r="E2485" s="13" t="s">
        <v>12608</v>
      </c>
      <c r="F2485" s="13" t="s">
        <v>12609</v>
      </c>
      <c r="G2485" s="13" t="s">
        <v>12610</v>
      </c>
      <c r="H2485" s="13" t="s">
        <v>12611</v>
      </c>
    </row>
    <row r="2486" customFormat="false" ht="15" hidden="false" customHeight="true" outlineLevel="0" collapsed="false">
      <c r="A2486" s="13" t="s">
        <v>284</v>
      </c>
      <c r="B2486" s="13" t="s">
        <v>862</v>
      </c>
      <c r="C2486" s="11" t="s">
        <v>863</v>
      </c>
      <c r="D2486" s="13" t="s">
        <v>12612</v>
      </c>
      <c r="E2486" s="13" t="s">
        <v>12613</v>
      </c>
      <c r="F2486" s="13" t="s">
        <v>12614</v>
      </c>
      <c r="G2486" s="13" t="s">
        <v>12615</v>
      </c>
      <c r="H2486" s="13" t="s">
        <v>12616</v>
      </c>
    </row>
    <row r="2487" customFormat="false" ht="15" hidden="false" customHeight="true" outlineLevel="0" collapsed="false">
      <c r="A2487" s="13" t="s">
        <v>284</v>
      </c>
      <c r="B2487" s="13" t="s">
        <v>869</v>
      </c>
      <c r="C2487" s="11" t="s">
        <v>870</v>
      </c>
      <c r="D2487" s="13" t="s">
        <v>12617</v>
      </c>
      <c r="E2487" s="13" t="s">
        <v>12618</v>
      </c>
      <c r="F2487" s="13" t="s">
        <v>12619</v>
      </c>
      <c r="G2487" s="13" t="s">
        <v>12620</v>
      </c>
      <c r="H2487" s="13" t="s">
        <v>12621</v>
      </c>
    </row>
    <row r="2488" customFormat="false" ht="15" hidden="false" customHeight="true" outlineLevel="0" collapsed="false">
      <c r="A2488" s="13" t="s">
        <v>284</v>
      </c>
      <c r="B2488" s="13" t="s">
        <v>876</v>
      </c>
      <c r="C2488" s="11" t="s">
        <v>877</v>
      </c>
      <c r="D2488" s="13" t="s">
        <v>12622</v>
      </c>
      <c r="E2488" s="13" t="s">
        <v>12623</v>
      </c>
      <c r="F2488" s="13" t="s">
        <v>12624</v>
      </c>
      <c r="G2488" s="13" t="s">
        <v>12625</v>
      </c>
      <c r="H2488" s="13" t="s">
        <v>12626</v>
      </c>
    </row>
    <row r="2489" customFormat="false" ht="15" hidden="false" customHeight="true" outlineLevel="0" collapsed="false">
      <c r="A2489" s="13" t="s">
        <v>284</v>
      </c>
      <c r="B2489" s="13" t="s">
        <v>883</v>
      </c>
      <c r="C2489" s="11" t="s">
        <v>884</v>
      </c>
      <c r="D2489" s="13" t="s">
        <v>12627</v>
      </c>
      <c r="E2489" s="13" t="s">
        <v>12628</v>
      </c>
      <c r="F2489" s="13" t="s">
        <v>12629</v>
      </c>
      <c r="G2489" s="13" t="s">
        <v>12630</v>
      </c>
      <c r="H2489" s="13" t="s">
        <v>12631</v>
      </c>
    </row>
    <row r="2490" customFormat="false" ht="15" hidden="false" customHeight="true" outlineLevel="0" collapsed="false">
      <c r="A2490" s="13" t="s">
        <v>284</v>
      </c>
      <c r="B2490" s="13" t="s">
        <v>890</v>
      </c>
      <c r="C2490" s="11" t="s">
        <v>891</v>
      </c>
      <c r="D2490" s="13" t="s">
        <v>12632</v>
      </c>
      <c r="E2490" s="13" t="s">
        <v>12633</v>
      </c>
      <c r="F2490" s="13" t="s">
        <v>12634</v>
      </c>
      <c r="G2490" s="13" t="s">
        <v>12635</v>
      </c>
      <c r="H2490" s="13" t="s">
        <v>12636</v>
      </c>
    </row>
    <row r="2491" customFormat="false" ht="15" hidden="false" customHeight="true" outlineLevel="0" collapsed="false">
      <c r="A2491" s="13" t="s">
        <v>284</v>
      </c>
      <c r="B2491" s="13" t="s">
        <v>897</v>
      </c>
      <c r="C2491" s="11" t="s">
        <v>898</v>
      </c>
      <c r="D2491" s="13" t="s">
        <v>12637</v>
      </c>
      <c r="E2491" s="13" t="s">
        <v>12638</v>
      </c>
      <c r="F2491" s="13" t="s">
        <v>12639</v>
      </c>
      <c r="G2491" s="13" t="s">
        <v>12640</v>
      </c>
      <c r="H2491" s="13" t="s">
        <v>12641</v>
      </c>
    </row>
    <row r="2492" customFormat="false" ht="15" hidden="false" customHeight="true" outlineLevel="0" collapsed="false">
      <c r="A2492" s="13" t="s">
        <v>284</v>
      </c>
      <c r="B2492" s="13" t="s">
        <v>904</v>
      </c>
      <c r="C2492" s="11" t="s">
        <v>905</v>
      </c>
      <c r="D2492" s="13" t="s">
        <v>12642</v>
      </c>
      <c r="E2492" s="13" t="s">
        <v>12643</v>
      </c>
      <c r="F2492" s="13" t="s">
        <v>12644</v>
      </c>
      <c r="G2492" s="13" t="s">
        <v>12645</v>
      </c>
      <c r="H2492" s="13" t="s">
        <v>12646</v>
      </c>
    </row>
    <row r="2493" customFormat="false" ht="15" hidden="false" customHeight="true" outlineLevel="0" collapsed="false">
      <c r="A2493" s="13" t="s">
        <v>284</v>
      </c>
      <c r="B2493" s="13" t="s">
        <v>911</v>
      </c>
      <c r="C2493" s="11" t="s">
        <v>912</v>
      </c>
      <c r="D2493" s="13" t="s">
        <v>12647</v>
      </c>
      <c r="E2493" s="13" t="s">
        <v>12648</v>
      </c>
      <c r="F2493" s="13" t="s">
        <v>12649</v>
      </c>
      <c r="G2493" s="13" t="s">
        <v>12650</v>
      </c>
      <c r="H2493" s="13" t="s">
        <v>12651</v>
      </c>
    </row>
    <row r="2494" customFormat="false" ht="15" hidden="false" customHeight="true" outlineLevel="0" collapsed="false">
      <c r="A2494" s="13" t="s">
        <v>284</v>
      </c>
      <c r="B2494" s="13" t="s">
        <v>918</v>
      </c>
      <c r="C2494" s="11" t="s">
        <v>919</v>
      </c>
      <c r="D2494" s="13" t="s">
        <v>12652</v>
      </c>
      <c r="E2494" s="13" t="s">
        <v>12653</v>
      </c>
      <c r="F2494" s="13" t="s">
        <v>12654</v>
      </c>
      <c r="G2494" s="13" t="s">
        <v>12655</v>
      </c>
      <c r="H2494" s="13" t="s">
        <v>12656</v>
      </c>
    </row>
    <row r="2495" customFormat="false" ht="15" hidden="false" customHeight="true" outlineLevel="0" collapsed="false">
      <c r="A2495" s="13" t="s">
        <v>284</v>
      </c>
      <c r="B2495" s="13" t="s">
        <v>925</v>
      </c>
      <c r="C2495" s="11" t="s">
        <v>926</v>
      </c>
      <c r="D2495" s="13" t="s">
        <v>12657</v>
      </c>
      <c r="E2495" s="13" t="s">
        <v>12658</v>
      </c>
      <c r="F2495" s="13" t="s">
        <v>12659</v>
      </c>
      <c r="G2495" s="13" t="s">
        <v>12660</v>
      </c>
      <c r="H2495" s="13" t="s">
        <v>12661</v>
      </c>
    </row>
    <row r="2496" customFormat="false" ht="15" hidden="false" customHeight="true" outlineLevel="0" collapsed="false">
      <c r="A2496" s="13" t="s">
        <v>284</v>
      </c>
      <c r="B2496" s="13" t="s">
        <v>932</v>
      </c>
      <c r="C2496" s="11" t="s">
        <v>933</v>
      </c>
      <c r="D2496" s="13" t="s">
        <v>12662</v>
      </c>
      <c r="E2496" s="13" t="s">
        <v>12663</v>
      </c>
      <c r="F2496" s="13" t="s">
        <v>12664</v>
      </c>
      <c r="G2496" s="13" t="s">
        <v>12665</v>
      </c>
      <c r="H2496" s="13" t="s">
        <v>12666</v>
      </c>
    </row>
    <row r="2497" customFormat="false" ht="15" hidden="false" customHeight="true" outlineLevel="0" collapsed="false">
      <c r="A2497" s="13" t="s">
        <v>284</v>
      </c>
      <c r="B2497" s="13" t="s">
        <v>939</v>
      </c>
      <c r="C2497" s="11" t="s">
        <v>940</v>
      </c>
      <c r="D2497" s="13" t="s">
        <v>12667</v>
      </c>
      <c r="E2497" s="13" t="s">
        <v>12668</v>
      </c>
      <c r="F2497" s="13" t="s">
        <v>12669</v>
      </c>
      <c r="G2497" s="13" t="s">
        <v>12670</v>
      </c>
      <c r="H2497" s="13" t="s">
        <v>12671</v>
      </c>
    </row>
    <row r="2498" customFormat="false" ht="15" hidden="false" customHeight="true" outlineLevel="0" collapsed="false">
      <c r="A2498" s="13" t="s">
        <v>284</v>
      </c>
      <c r="B2498" s="13" t="s">
        <v>946</v>
      </c>
      <c r="C2498" s="11" t="s">
        <v>947</v>
      </c>
      <c r="D2498" s="13" t="s">
        <v>11323</v>
      </c>
      <c r="E2498" s="13" t="s">
        <v>12672</v>
      </c>
      <c r="F2498" s="13" t="s">
        <v>12673</v>
      </c>
      <c r="G2498" s="13" t="s">
        <v>12674</v>
      </c>
      <c r="H2498" s="13" t="s">
        <v>12675</v>
      </c>
    </row>
    <row r="2499" customFormat="false" ht="15" hidden="false" customHeight="true" outlineLevel="0" collapsed="false">
      <c r="A2499" s="13" t="s">
        <v>284</v>
      </c>
      <c r="B2499" s="13" t="s">
        <v>953</v>
      </c>
      <c r="C2499" s="11" t="s">
        <v>954</v>
      </c>
      <c r="D2499" s="13" t="s">
        <v>12676</v>
      </c>
      <c r="E2499" s="13" t="s">
        <v>12677</v>
      </c>
      <c r="F2499" s="13" t="s">
        <v>12678</v>
      </c>
      <c r="G2499" s="13" t="s">
        <v>12679</v>
      </c>
      <c r="H2499" s="13" t="s">
        <v>12680</v>
      </c>
    </row>
    <row r="2500" customFormat="false" ht="15" hidden="false" customHeight="true" outlineLevel="0" collapsed="false">
      <c r="A2500" s="13" t="s">
        <v>284</v>
      </c>
      <c r="B2500" s="13" t="s">
        <v>960</v>
      </c>
      <c r="C2500" s="11" t="s">
        <v>961</v>
      </c>
      <c r="D2500" s="13" t="s">
        <v>12681</v>
      </c>
      <c r="E2500" s="13" t="s">
        <v>12682</v>
      </c>
      <c r="F2500" s="13" t="s">
        <v>12683</v>
      </c>
      <c r="G2500" s="13" t="s">
        <v>12684</v>
      </c>
      <c r="H2500" s="13" t="s">
        <v>12685</v>
      </c>
    </row>
    <row r="2501" customFormat="false" ht="15" hidden="false" customHeight="true" outlineLevel="0" collapsed="false">
      <c r="A2501" s="13" t="s">
        <v>284</v>
      </c>
      <c r="B2501" s="13" t="s">
        <v>967</v>
      </c>
      <c r="C2501" s="11" t="s">
        <v>968</v>
      </c>
      <c r="D2501" s="13" t="s">
        <v>12686</v>
      </c>
      <c r="E2501" s="13" t="s">
        <v>12687</v>
      </c>
      <c r="F2501" s="13" t="s">
        <v>12688</v>
      </c>
      <c r="G2501" s="13" t="s">
        <v>12689</v>
      </c>
      <c r="H2501" s="13" t="s">
        <v>12690</v>
      </c>
    </row>
    <row r="2502" customFormat="false" ht="15" hidden="false" customHeight="true" outlineLevel="0" collapsed="false">
      <c r="A2502" s="13" t="s">
        <v>284</v>
      </c>
      <c r="B2502" s="13" t="s">
        <v>974</v>
      </c>
      <c r="C2502" s="11" t="s">
        <v>975</v>
      </c>
      <c r="D2502" s="13" t="s">
        <v>12691</v>
      </c>
      <c r="E2502" s="13" t="s">
        <v>12692</v>
      </c>
      <c r="F2502" s="13" t="s">
        <v>12693</v>
      </c>
      <c r="G2502" s="13" t="s">
        <v>12694</v>
      </c>
      <c r="H2502" s="13" t="s">
        <v>12695</v>
      </c>
    </row>
    <row r="2503" customFormat="false" ht="15" hidden="false" customHeight="true" outlineLevel="0" collapsed="false">
      <c r="A2503" s="13" t="s">
        <v>284</v>
      </c>
      <c r="B2503" s="13" t="s">
        <v>981</v>
      </c>
      <c r="C2503" s="11" t="s">
        <v>982</v>
      </c>
      <c r="D2503" s="13" t="s">
        <v>12696</v>
      </c>
      <c r="E2503" s="13" t="s">
        <v>12697</v>
      </c>
      <c r="F2503" s="13" t="s">
        <v>12698</v>
      </c>
      <c r="G2503" s="13" t="s">
        <v>12699</v>
      </c>
      <c r="H2503" s="13" t="s">
        <v>12700</v>
      </c>
    </row>
    <row r="2504" customFormat="false" ht="15" hidden="false" customHeight="true" outlineLevel="0" collapsed="false">
      <c r="A2504" s="13" t="s">
        <v>284</v>
      </c>
      <c r="B2504" s="13" t="s">
        <v>988</v>
      </c>
      <c r="C2504" s="11" t="s">
        <v>989</v>
      </c>
      <c r="D2504" s="13" t="s">
        <v>12701</v>
      </c>
      <c r="E2504" s="13" t="s">
        <v>12702</v>
      </c>
      <c r="F2504" s="13" t="s">
        <v>12703</v>
      </c>
      <c r="G2504" s="13" t="s">
        <v>12704</v>
      </c>
      <c r="H2504" s="13" t="s">
        <v>12705</v>
      </c>
    </row>
    <row r="2505" customFormat="false" ht="15" hidden="false" customHeight="true" outlineLevel="0" collapsed="false">
      <c r="A2505" s="13" t="s">
        <v>284</v>
      </c>
      <c r="B2505" s="13" t="s">
        <v>995</v>
      </c>
      <c r="C2505" s="11" t="s">
        <v>996</v>
      </c>
      <c r="D2505" s="13" t="s">
        <v>12706</v>
      </c>
      <c r="E2505" s="13" t="s">
        <v>12707</v>
      </c>
      <c r="F2505" s="13" t="s">
        <v>12708</v>
      </c>
      <c r="G2505" s="13" t="s">
        <v>12709</v>
      </c>
      <c r="H2505" s="13" t="s">
        <v>12710</v>
      </c>
    </row>
    <row r="2506" customFormat="false" ht="15" hidden="false" customHeight="true" outlineLevel="0" collapsed="false">
      <c r="A2506" s="13" t="s">
        <v>284</v>
      </c>
      <c r="B2506" s="13" t="s">
        <v>1002</v>
      </c>
      <c r="C2506" s="11" t="s">
        <v>1003</v>
      </c>
      <c r="D2506" s="13" t="s">
        <v>12711</v>
      </c>
      <c r="E2506" s="13" t="s">
        <v>12712</v>
      </c>
      <c r="F2506" s="13" t="s">
        <v>12713</v>
      </c>
      <c r="G2506" s="13" t="s">
        <v>12714</v>
      </c>
      <c r="H2506" s="13" t="s">
        <v>12715</v>
      </c>
    </row>
    <row r="2507" customFormat="false" ht="15" hidden="false" customHeight="true" outlineLevel="0" collapsed="false">
      <c r="A2507" s="13" t="s">
        <v>284</v>
      </c>
      <c r="B2507" s="13" t="s">
        <v>1009</v>
      </c>
      <c r="C2507" s="11" t="s">
        <v>1010</v>
      </c>
      <c r="D2507" s="13" t="s">
        <v>11317</v>
      </c>
      <c r="E2507" s="13" t="s">
        <v>12716</v>
      </c>
      <c r="F2507" s="13" t="s">
        <v>12717</v>
      </c>
      <c r="G2507" s="13" t="s">
        <v>12718</v>
      </c>
      <c r="H2507" s="13" t="s">
        <v>12719</v>
      </c>
    </row>
    <row r="2508" customFormat="false" ht="15" hidden="false" customHeight="true" outlineLevel="0" collapsed="false">
      <c r="A2508" s="13" t="s">
        <v>293</v>
      </c>
      <c r="B2508" s="13" t="s">
        <v>345</v>
      </c>
      <c r="C2508" s="11" t="s">
        <v>346</v>
      </c>
      <c r="D2508" s="13" t="s">
        <v>4831</v>
      </c>
      <c r="E2508" s="13" t="s">
        <v>12720</v>
      </c>
      <c r="F2508" s="13" t="s">
        <v>5050</v>
      </c>
      <c r="G2508" s="13" t="s">
        <v>12721</v>
      </c>
      <c r="H2508" s="13" t="s">
        <v>12722</v>
      </c>
    </row>
    <row r="2509" customFormat="false" ht="15" hidden="false" customHeight="true" outlineLevel="0" collapsed="false">
      <c r="A2509" s="13" t="s">
        <v>293</v>
      </c>
      <c r="B2509" s="13" t="s">
        <v>352</v>
      </c>
      <c r="C2509" s="11" t="s">
        <v>353</v>
      </c>
      <c r="D2509" s="13" t="s">
        <v>12723</v>
      </c>
      <c r="E2509" s="13" t="s">
        <v>12724</v>
      </c>
      <c r="F2509" s="13" t="s">
        <v>12725</v>
      </c>
      <c r="G2509" s="13" t="s">
        <v>12726</v>
      </c>
      <c r="H2509" s="13" t="s">
        <v>12727</v>
      </c>
    </row>
    <row r="2510" customFormat="false" ht="15" hidden="false" customHeight="true" outlineLevel="0" collapsed="false">
      <c r="A2510" s="13" t="s">
        <v>293</v>
      </c>
      <c r="B2510" s="13" t="s">
        <v>359</v>
      </c>
      <c r="C2510" s="11" t="s">
        <v>360</v>
      </c>
      <c r="D2510" s="13" t="s">
        <v>12728</v>
      </c>
      <c r="E2510" s="13" t="s">
        <v>12729</v>
      </c>
      <c r="F2510" s="13" t="s">
        <v>12730</v>
      </c>
      <c r="G2510" s="13" t="s">
        <v>12731</v>
      </c>
      <c r="H2510" s="13" t="s">
        <v>12732</v>
      </c>
    </row>
    <row r="2511" customFormat="false" ht="15" hidden="false" customHeight="true" outlineLevel="0" collapsed="false">
      <c r="A2511" s="13" t="s">
        <v>293</v>
      </c>
      <c r="B2511" s="13" t="s">
        <v>366</v>
      </c>
      <c r="C2511" s="11" t="s">
        <v>367</v>
      </c>
      <c r="D2511" s="13" t="s">
        <v>12733</v>
      </c>
      <c r="E2511" s="13" t="s">
        <v>12734</v>
      </c>
      <c r="F2511" s="13" t="s">
        <v>12735</v>
      </c>
      <c r="G2511" s="13" t="s">
        <v>12736</v>
      </c>
      <c r="H2511" s="13" t="s">
        <v>12737</v>
      </c>
    </row>
    <row r="2512" customFormat="false" ht="15" hidden="false" customHeight="true" outlineLevel="0" collapsed="false">
      <c r="A2512" s="13" t="s">
        <v>293</v>
      </c>
      <c r="B2512" s="13" t="s">
        <v>373</v>
      </c>
      <c r="C2512" s="11" t="s">
        <v>374</v>
      </c>
      <c r="D2512" s="13" t="s">
        <v>12738</v>
      </c>
      <c r="E2512" s="13" t="s">
        <v>12739</v>
      </c>
      <c r="F2512" s="13" t="s">
        <v>12740</v>
      </c>
      <c r="G2512" s="13" t="s">
        <v>12741</v>
      </c>
      <c r="H2512" s="13" t="s">
        <v>12742</v>
      </c>
    </row>
    <row r="2513" customFormat="false" ht="15" hidden="false" customHeight="true" outlineLevel="0" collapsed="false">
      <c r="A2513" s="13" t="s">
        <v>293</v>
      </c>
      <c r="B2513" s="13" t="s">
        <v>380</v>
      </c>
      <c r="C2513" s="11" t="s">
        <v>381</v>
      </c>
      <c r="D2513" s="13" t="s">
        <v>12743</v>
      </c>
      <c r="E2513" s="13" t="s">
        <v>12744</v>
      </c>
      <c r="F2513" s="13" t="s">
        <v>12745</v>
      </c>
      <c r="G2513" s="13" t="s">
        <v>12746</v>
      </c>
      <c r="H2513" s="13" t="s">
        <v>12747</v>
      </c>
    </row>
    <row r="2514" customFormat="false" ht="15" hidden="false" customHeight="true" outlineLevel="0" collapsed="false">
      <c r="A2514" s="13" t="s">
        <v>293</v>
      </c>
      <c r="B2514" s="13" t="s">
        <v>387</v>
      </c>
      <c r="C2514" s="11" t="s">
        <v>388</v>
      </c>
      <c r="D2514" s="13" t="s">
        <v>12748</v>
      </c>
      <c r="E2514" s="13" t="s">
        <v>12749</v>
      </c>
      <c r="F2514" s="13" t="s">
        <v>12750</v>
      </c>
      <c r="G2514" s="13" t="s">
        <v>12751</v>
      </c>
      <c r="H2514" s="13" t="s">
        <v>12752</v>
      </c>
    </row>
    <row r="2515" customFormat="false" ht="15" hidden="false" customHeight="true" outlineLevel="0" collapsed="false">
      <c r="A2515" s="13" t="s">
        <v>293</v>
      </c>
      <c r="B2515" s="13" t="s">
        <v>394</v>
      </c>
      <c r="C2515" s="11" t="s">
        <v>395</v>
      </c>
      <c r="D2515" s="13" t="s">
        <v>12753</v>
      </c>
      <c r="E2515" s="13" t="s">
        <v>12754</v>
      </c>
      <c r="F2515" s="13" t="s">
        <v>12755</v>
      </c>
      <c r="G2515" s="13" t="s">
        <v>12756</v>
      </c>
      <c r="H2515" s="13" t="s">
        <v>12757</v>
      </c>
    </row>
    <row r="2516" customFormat="false" ht="15" hidden="false" customHeight="true" outlineLevel="0" collapsed="false">
      <c r="A2516" s="13" t="s">
        <v>293</v>
      </c>
      <c r="B2516" s="13" t="s">
        <v>401</v>
      </c>
      <c r="C2516" s="11" t="s">
        <v>402</v>
      </c>
      <c r="D2516" s="13" t="s">
        <v>12758</v>
      </c>
      <c r="E2516" s="13" t="s">
        <v>12759</v>
      </c>
      <c r="F2516" s="13" t="s">
        <v>12760</v>
      </c>
      <c r="G2516" s="13" t="s">
        <v>12761</v>
      </c>
      <c r="H2516" s="13" t="s">
        <v>12762</v>
      </c>
    </row>
    <row r="2517" customFormat="false" ht="15" hidden="false" customHeight="true" outlineLevel="0" collapsed="false">
      <c r="A2517" s="13" t="s">
        <v>293</v>
      </c>
      <c r="B2517" s="13" t="s">
        <v>408</v>
      </c>
      <c r="C2517" s="11" t="s">
        <v>409</v>
      </c>
      <c r="D2517" s="13" t="s">
        <v>12763</v>
      </c>
      <c r="E2517" s="13" t="s">
        <v>12764</v>
      </c>
      <c r="F2517" s="13" t="s">
        <v>12765</v>
      </c>
      <c r="G2517" s="13" t="s">
        <v>12766</v>
      </c>
      <c r="H2517" s="13" t="s">
        <v>12767</v>
      </c>
    </row>
    <row r="2518" customFormat="false" ht="15" hidden="false" customHeight="true" outlineLevel="0" collapsed="false">
      <c r="A2518" s="13" t="s">
        <v>293</v>
      </c>
      <c r="B2518" s="13" t="s">
        <v>415</v>
      </c>
      <c r="C2518" s="11" t="s">
        <v>416</v>
      </c>
      <c r="D2518" s="13" t="s">
        <v>12768</v>
      </c>
      <c r="E2518" s="13" t="s">
        <v>12769</v>
      </c>
      <c r="F2518" s="13" t="s">
        <v>12770</v>
      </c>
      <c r="G2518" s="13" t="s">
        <v>12771</v>
      </c>
      <c r="H2518" s="13" t="s">
        <v>12772</v>
      </c>
    </row>
    <row r="2519" customFormat="false" ht="15" hidden="false" customHeight="true" outlineLevel="0" collapsed="false">
      <c r="A2519" s="13" t="s">
        <v>293</v>
      </c>
      <c r="B2519" s="13" t="s">
        <v>422</v>
      </c>
      <c r="C2519" s="11" t="s">
        <v>423</v>
      </c>
      <c r="D2519" s="13" t="s">
        <v>12773</v>
      </c>
      <c r="E2519" s="13" t="s">
        <v>12774</v>
      </c>
      <c r="F2519" s="13" t="s">
        <v>12775</v>
      </c>
      <c r="G2519" s="13" t="s">
        <v>12776</v>
      </c>
      <c r="H2519" s="13" t="s">
        <v>12777</v>
      </c>
    </row>
    <row r="2520" customFormat="false" ht="15" hidden="false" customHeight="true" outlineLevel="0" collapsed="false">
      <c r="A2520" s="13" t="s">
        <v>293</v>
      </c>
      <c r="B2520" s="13" t="s">
        <v>429</v>
      </c>
      <c r="C2520" s="11" t="s">
        <v>430</v>
      </c>
      <c r="D2520" s="13" t="s">
        <v>12778</v>
      </c>
      <c r="E2520" s="13" t="s">
        <v>12779</v>
      </c>
      <c r="F2520" s="13" t="s">
        <v>12780</v>
      </c>
      <c r="G2520" s="13" t="s">
        <v>12781</v>
      </c>
      <c r="H2520" s="13" t="s">
        <v>12782</v>
      </c>
    </row>
    <row r="2521" customFormat="false" ht="15" hidden="false" customHeight="true" outlineLevel="0" collapsed="false">
      <c r="A2521" s="13" t="s">
        <v>293</v>
      </c>
      <c r="B2521" s="13" t="s">
        <v>436</v>
      </c>
      <c r="C2521" s="11" t="s">
        <v>437</v>
      </c>
      <c r="D2521" s="13" t="s">
        <v>1495</v>
      </c>
      <c r="E2521" s="13" t="s">
        <v>12783</v>
      </c>
      <c r="F2521" s="13" t="s">
        <v>12784</v>
      </c>
      <c r="G2521" s="13" t="s">
        <v>12785</v>
      </c>
      <c r="H2521" s="13" t="s">
        <v>12786</v>
      </c>
    </row>
    <row r="2522" customFormat="false" ht="15" hidden="false" customHeight="true" outlineLevel="0" collapsed="false">
      <c r="A2522" s="13" t="s">
        <v>293</v>
      </c>
      <c r="B2522" s="13" t="s">
        <v>443</v>
      </c>
      <c r="C2522" s="11" t="s">
        <v>444</v>
      </c>
      <c r="D2522" s="13" t="s">
        <v>12787</v>
      </c>
      <c r="E2522" s="13" t="s">
        <v>12788</v>
      </c>
      <c r="F2522" s="13" t="s">
        <v>12789</v>
      </c>
      <c r="G2522" s="13" t="s">
        <v>12790</v>
      </c>
      <c r="H2522" s="13" t="s">
        <v>12791</v>
      </c>
    </row>
    <row r="2523" customFormat="false" ht="15" hidden="false" customHeight="true" outlineLevel="0" collapsed="false">
      <c r="A2523" s="13" t="s">
        <v>293</v>
      </c>
      <c r="B2523" s="13" t="s">
        <v>450</v>
      </c>
      <c r="C2523" s="11" t="s">
        <v>451</v>
      </c>
      <c r="D2523" s="13" t="s">
        <v>12792</v>
      </c>
      <c r="E2523" s="13" t="s">
        <v>12793</v>
      </c>
      <c r="F2523" s="13" t="s">
        <v>12794</v>
      </c>
      <c r="G2523" s="13" t="s">
        <v>2147</v>
      </c>
      <c r="H2523" s="13" t="s">
        <v>12795</v>
      </c>
    </row>
    <row r="2524" customFormat="false" ht="15" hidden="false" customHeight="true" outlineLevel="0" collapsed="false">
      <c r="A2524" s="13" t="s">
        <v>293</v>
      </c>
      <c r="B2524" s="13" t="s">
        <v>457</v>
      </c>
      <c r="C2524" s="11" t="s">
        <v>458</v>
      </c>
      <c r="D2524" s="13" t="s">
        <v>12796</v>
      </c>
      <c r="E2524" s="13" t="s">
        <v>12797</v>
      </c>
      <c r="F2524" s="13" t="s">
        <v>12798</v>
      </c>
      <c r="G2524" s="13" t="s">
        <v>12799</v>
      </c>
      <c r="H2524" s="13" t="s">
        <v>12800</v>
      </c>
    </row>
    <row r="2525" customFormat="false" ht="15" hidden="false" customHeight="true" outlineLevel="0" collapsed="false">
      <c r="A2525" s="13" t="s">
        <v>293</v>
      </c>
      <c r="B2525" s="13" t="s">
        <v>464</v>
      </c>
      <c r="C2525" s="11" t="s">
        <v>465</v>
      </c>
      <c r="D2525" s="13" t="s">
        <v>12801</v>
      </c>
      <c r="E2525" s="13" t="s">
        <v>12802</v>
      </c>
      <c r="F2525" s="13" t="s">
        <v>12803</v>
      </c>
      <c r="G2525" s="13" t="s">
        <v>12804</v>
      </c>
      <c r="H2525" s="13" t="s">
        <v>12805</v>
      </c>
    </row>
    <row r="2526" customFormat="false" ht="15" hidden="false" customHeight="true" outlineLevel="0" collapsed="false">
      <c r="A2526" s="13" t="s">
        <v>293</v>
      </c>
      <c r="B2526" s="13" t="s">
        <v>471</v>
      </c>
      <c r="C2526" s="11" t="s">
        <v>472</v>
      </c>
      <c r="D2526" s="13" t="s">
        <v>12806</v>
      </c>
      <c r="E2526" s="13" t="s">
        <v>12807</v>
      </c>
      <c r="F2526" s="13" t="s">
        <v>12808</v>
      </c>
      <c r="G2526" s="13" t="s">
        <v>12809</v>
      </c>
      <c r="H2526" s="13" t="s">
        <v>12810</v>
      </c>
    </row>
    <row r="2527" customFormat="false" ht="15" hidden="false" customHeight="true" outlineLevel="0" collapsed="false">
      <c r="A2527" s="13" t="s">
        <v>293</v>
      </c>
      <c r="B2527" s="13" t="s">
        <v>478</v>
      </c>
      <c r="C2527" s="11" t="s">
        <v>479</v>
      </c>
      <c r="D2527" s="13" t="s">
        <v>12811</v>
      </c>
      <c r="E2527" s="13" t="s">
        <v>12812</v>
      </c>
      <c r="F2527" s="13" t="s">
        <v>12813</v>
      </c>
      <c r="G2527" s="13" t="s">
        <v>12814</v>
      </c>
      <c r="H2527" s="13" t="s">
        <v>12815</v>
      </c>
    </row>
    <row r="2528" customFormat="false" ht="15" hidden="false" customHeight="true" outlineLevel="0" collapsed="false">
      <c r="A2528" s="13" t="s">
        <v>293</v>
      </c>
      <c r="B2528" s="13" t="s">
        <v>485</v>
      </c>
      <c r="C2528" s="11" t="s">
        <v>486</v>
      </c>
      <c r="D2528" s="13" t="s">
        <v>12816</v>
      </c>
      <c r="E2528" s="13" t="s">
        <v>12817</v>
      </c>
      <c r="F2528" s="13" t="s">
        <v>12818</v>
      </c>
      <c r="G2528" s="13" t="s">
        <v>12819</v>
      </c>
      <c r="H2528" s="13" t="s">
        <v>12820</v>
      </c>
    </row>
    <row r="2529" customFormat="false" ht="15" hidden="false" customHeight="true" outlineLevel="0" collapsed="false">
      <c r="A2529" s="13" t="s">
        <v>293</v>
      </c>
      <c r="B2529" s="13" t="s">
        <v>492</v>
      </c>
      <c r="C2529" s="11" t="s">
        <v>493</v>
      </c>
      <c r="D2529" s="13" t="s">
        <v>12821</v>
      </c>
      <c r="E2529" s="13" t="s">
        <v>12822</v>
      </c>
      <c r="F2529" s="13" t="s">
        <v>12823</v>
      </c>
      <c r="G2529" s="13" t="s">
        <v>12824</v>
      </c>
      <c r="H2529" s="13" t="s">
        <v>12825</v>
      </c>
    </row>
    <row r="2530" customFormat="false" ht="15" hidden="false" customHeight="true" outlineLevel="0" collapsed="false">
      <c r="A2530" s="13" t="s">
        <v>293</v>
      </c>
      <c r="B2530" s="13" t="s">
        <v>499</v>
      </c>
      <c r="C2530" s="11" t="s">
        <v>500</v>
      </c>
      <c r="D2530" s="13" t="s">
        <v>12826</v>
      </c>
      <c r="E2530" s="13" t="s">
        <v>12827</v>
      </c>
      <c r="F2530" s="13" t="s">
        <v>12828</v>
      </c>
      <c r="G2530" s="13" t="s">
        <v>12829</v>
      </c>
      <c r="H2530" s="13" t="s">
        <v>12830</v>
      </c>
    </row>
    <row r="2531" customFormat="false" ht="15" hidden="false" customHeight="true" outlineLevel="0" collapsed="false">
      <c r="A2531" s="13" t="s">
        <v>293</v>
      </c>
      <c r="B2531" s="13" t="s">
        <v>506</v>
      </c>
      <c r="C2531" s="11" t="s">
        <v>507</v>
      </c>
      <c r="D2531" s="13" t="s">
        <v>12831</v>
      </c>
      <c r="E2531" s="13" t="s">
        <v>12832</v>
      </c>
      <c r="F2531" s="13" t="s">
        <v>12833</v>
      </c>
      <c r="G2531" s="13" t="s">
        <v>12834</v>
      </c>
      <c r="H2531" s="13" t="s">
        <v>12835</v>
      </c>
    </row>
    <row r="2532" customFormat="false" ht="15" hidden="false" customHeight="true" outlineLevel="0" collapsed="false">
      <c r="A2532" s="13" t="s">
        <v>293</v>
      </c>
      <c r="B2532" s="13" t="s">
        <v>513</v>
      </c>
      <c r="C2532" s="11" t="s">
        <v>514</v>
      </c>
      <c r="D2532" s="13" t="s">
        <v>12836</v>
      </c>
      <c r="E2532" s="13" t="s">
        <v>12837</v>
      </c>
      <c r="F2532" s="13" t="s">
        <v>12838</v>
      </c>
      <c r="G2532" s="13" t="s">
        <v>12839</v>
      </c>
      <c r="H2532" s="13" t="s">
        <v>12840</v>
      </c>
    </row>
    <row r="2533" customFormat="false" ht="15" hidden="false" customHeight="true" outlineLevel="0" collapsed="false">
      <c r="A2533" s="13" t="s">
        <v>293</v>
      </c>
      <c r="B2533" s="13" t="s">
        <v>520</v>
      </c>
      <c r="C2533" s="11" t="s">
        <v>521</v>
      </c>
      <c r="D2533" s="13" t="s">
        <v>12841</v>
      </c>
      <c r="E2533" s="13" t="s">
        <v>12842</v>
      </c>
      <c r="F2533" s="13" t="s">
        <v>12843</v>
      </c>
      <c r="G2533" s="13" t="s">
        <v>12844</v>
      </c>
      <c r="H2533" s="13" t="s">
        <v>12845</v>
      </c>
    </row>
    <row r="2534" customFormat="false" ht="15" hidden="false" customHeight="true" outlineLevel="0" collapsed="false">
      <c r="A2534" s="13" t="s">
        <v>293</v>
      </c>
      <c r="B2534" s="13" t="s">
        <v>527</v>
      </c>
      <c r="C2534" s="11" t="s">
        <v>528</v>
      </c>
      <c r="D2534" s="13" t="s">
        <v>12846</v>
      </c>
      <c r="E2534" s="13" t="s">
        <v>12847</v>
      </c>
      <c r="F2534" s="13" t="s">
        <v>12848</v>
      </c>
      <c r="G2534" s="13" t="s">
        <v>12849</v>
      </c>
      <c r="H2534" s="13" t="s">
        <v>12850</v>
      </c>
    </row>
    <row r="2535" customFormat="false" ht="15" hidden="false" customHeight="true" outlineLevel="0" collapsed="false">
      <c r="A2535" s="13" t="s">
        <v>293</v>
      </c>
      <c r="B2535" s="13" t="s">
        <v>534</v>
      </c>
      <c r="C2535" s="11" t="s">
        <v>535</v>
      </c>
      <c r="D2535" s="13" t="s">
        <v>12851</v>
      </c>
      <c r="E2535" s="13" t="s">
        <v>12852</v>
      </c>
      <c r="F2535" s="13" t="s">
        <v>12853</v>
      </c>
      <c r="G2535" s="13" t="s">
        <v>12854</v>
      </c>
      <c r="H2535" s="13" t="s">
        <v>12855</v>
      </c>
    </row>
    <row r="2536" customFormat="false" ht="15" hidden="false" customHeight="true" outlineLevel="0" collapsed="false">
      <c r="A2536" s="13" t="s">
        <v>293</v>
      </c>
      <c r="B2536" s="13" t="s">
        <v>541</v>
      </c>
      <c r="C2536" s="11" t="s">
        <v>542</v>
      </c>
      <c r="D2536" s="13" t="s">
        <v>12856</v>
      </c>
      <c r="E2536" s="13" t="s">
        <v>12857</v>
      </c>
      <c r="F2536" s="13" t="s">
        <v>12858</v>
      </c>
      <c r="G2536" s="13" t="s">
        <v>12859</v>
      </c>
      <c r="H2536" s="13" t="s">
        <v>12860</v>
      </c>
    </row>
    <row r="2537" customFormat="false" ht="15" hidden="false" customHeight="true" outlineLevel="0" collapsed="false">
      <c r="A2537" s="13" t="s">
        <v>293</v>
      </c>
      <c r="B2537" s="13" t="s">
        <v>548</v>
      </c>
      <c r="C2537" s="11" t="s">
        <v>549</v>
      </c>
      <c r="D2537" s="13" t="s">
        <v>12861</v>
      </c>
      <c r="E2537" s="13" t="s">
        <v>12862</v>
      </c>
      <c r="F2537" s="13" t="s">
        <v>12863</v>
      </c>
      <c r="G2537" s="13" t="s">
        <v>12864</v>
      </c>
      <c r="H2537" s="13" t="s">
        <v>12865</v>
      </c>
    </row>
    <row r="2538" customFormat="false" ht="15" hidden="false" customHeight="true" outlineLevel="0" collapsed="false">
      <c r="A2538" s="13" t="s">
        <v>293</v>
      </c>
      <c r="B2538" s="13" t="s">
        <v>555</v>
      </c>
      <c r="C2538" s="11" t="s">
        <v>556</v>
      </c>
      <c r="D2538" s="13" t="s">
        <v>12866</v>
      </c>
      <c r="E2538" s="13" t="s">
        <v>12867</v>
      </c>
      <c r="F2538" s="13" t="s">
        <v>12868</v>
      </c>
      <c r="G2538" s="13" t="s">
        <v>12869</v>
      </c>
      <c r="H2538" s="13" t="s">
        <v>12870</v>
      </c>
    </row>
    <row r="2539" customFormat="false" ht="15" hidden="false" customHeight="true" outlineLevel="0" collapsed="false">
      <c r="A2539" s="13" t="s">
        <v>293</v>
      </c>
      <c r="B2539" s="13" t="s">
        <v>562</v>
      </c>
      <c r="C2539" s="11" t="s">
        <v>563</v>
      </c>
      <c r="D2539" s="13" t="s">
        <v>12871</v>
      </c>
      <c r="E2539" s="13" t="s">
        <v>12872</v>
      </c>
      <c r="F2539" s="13" t="s">
        <v>12873</v>
      </c>
      <c r="G2539" s="13" t="s">
        <v>12874</v>
      </c>
      <c r="H2539" s="13" t="s">
        <v>12875</v>
      </c>
    </row>
    <row r="2540" customFormat="false" ht="15" hidden="false" customHeight="true" outlineLevel="0" collapsed="false">
      <c r="A2540" s="13" t="s">
        <v>293</v>
      </c>
      <c r="B2540" s="13" t="s">
        <v>569</v>
      </c>
      <c r="C2540" s="11" t="s">
        <v>570</v>
      </c>
      <c r="D2540" s="13" t="s">
        <v>12876</v>
      </c>
      <c r="E2540" s="13" t="s">
        <v>12877</v>
      </c>
      <c r="F2540" s="13" t="s">
        <v>12878</v>
      </c>
      <c r="G2540" s="13" t="s">
        <v>12879</v>
      </c>
      <c r="H2540" s="13" t="s">
        <v>12880</v>
      </c>
    </row>
    <row r="2541" customFormat="false" ht="15" hidden="false" customHeight="true" outlineLevel="0" collapsed="false">
      <c r="A2541" s="13" t="s">
        <v>293</v>
      </c>
      <c r="B2541" s="13" t="s">
        <v>576</v>
      </c>
      <c r="C2541" s="11" t="s">
        <v>577</v>
      </c>
      <c r="D2541" s="13" t="s">
        <v>12881</v>
      </c>
      <c r="E2541" s="13" t="s">
        <v>12882</v>
      </c>
      <c r="F2541" s="13" t="s">
        <v>12883</v>
      </c>
      <c r="G2541" s="13" t="s">
        <v>12884</v>
      </c>
      <c r="H2541" s="13" t="s">
        <v>12885</v>
      </c>
    </row>
    <row r="2542" customFormat="false" ht="15" hidden="false" customHeight="true" outlineLevel="0" collapsed="false">
      <c r="A2542" s="13" t="s">
        <v>293</v>
      </c>
      <c r="B2542" s="13" t="s">
        <v>583</v>
      </c>
      <c r="C2542" s="11" t="s">
        <v>584</v>
      </c>
      <c r="D2542" s="13" t="s">
        <v>12886</v>
      </c>
      <c r="E2542" s="13" t="s">
        <v>12887</v>
      </c>
      <c r="F2542" s="13" t="s">
        <v>12888</v>
      </c>
      <c r="G2542" s="13" t="s">
        <v>12889</v>
      </c>
      <c r="H2542" s="13" t="s">
        <v>12890</v>
      </c>
    </row>
    <row r="2543" customFormat="false" ht="15" hidden="false" customHeight="true" outlineLevel="0" collapsed="false">
      <c r="A2543" s="13" t="s">
        <v>293</v>
      </c>
      <c r="B2543" s="13" t="s">
        <v>590</v>
      </c>
      <c r="C2543" s="11" t="s">
        <v>591</v>
      </c>
      <c r="D2543" s="13" t="s">
        <v>10750</v>
      </c>
      <c r="E2543" s="13" t="s">
        <v>12891</v>
      </c>
      <c r="F2543" s="13" t="s">
        <v>12892</v>
      </c>
      <c r="G2543" s="13" t="s">
        <v>12893</v>
      </c>
      <c r="H2543" s="13" t="s">
        <v>12894</v>
      </c>
    </row>
    <row r="2544" customFormat="false" ht="15" hidden="false" customHeight="true" outlineLevel="0" collapsed="false">
      <c r="A2544" s="13" t="s">
        <v>293</v>
      </c>
      <c r="B2544" s="13" t="s">
        <v>597</v>
      </c>
      <c r="C2544" s="11" t="s">
        <v>598</v>
      </c>
      <c r="D2544" s="13" t="s">
        <v>12895</v>
      </c>
      <c r="E2544" s="13" t="s">
        <v>12896</v>
      </c>
      <c r="F2544" s="13" t="s">
        <v>12897</v>
      </c>
      <c r="G2544" s="13" t="s">
        <v>12898</v>
      </c>
      <c r="H2544" s="13" t="s">
        <v>12899</v>
      </c>
    </row>
    <row r="2545" customFormat="false" ht="15" hidden="false" customHeight="true" outlineLevel="0" collapsed="false">
      <c r="A2545" s="13" t="s">
        <v>293</v>
      </c>
      <c r="B2545" s="13" t="s">
        <v>604</v>
      </c>
      <c r="C2545" s="11" t="s">
        <v>605</v>
      </c>
      <c r="D2545" s="13" t="s">
        <v>12900</v>
      </c>
      <c r="E2545" s="13" t="s">
        <v>12901</v>
      </c>
      <c r="F2545" s="13" t="s">
        <v>12902</v>
      </c>
      <c r="G2545" s="13" t="s">
        <v>12903</v>
      </c>
      <c r="H2545" s="13" t="s">
        <v>12904</v>
      </c>
    </row>
    <row r="2546" customFormat="false" ht="15" hidden="false" customHeight="true" outlineLevel="0" collapsed="false">
      <c r="A2546" s="13" t="s">
        <v>293</v>
      </c>
      <c r="B2546" s="13" t="s">
        <v>611</v>
      </c>
      <c r="C2546" s="11" t="s">
        <v>612</v>
      </c>
      <c r="D2546" s="13" t="s">
        <v>12905</v>
      </c>
      <c r="E2546" s="13" t="s">
        <v>12906</v>
      </c>
      <c r="F2546" s="13" t="s">
        <v>12907</v>
      </c>
      <c r="G2546" s="13" t="s">
        <v>12908</v>
      </c>
      <c r="H2546" s="13" t="s">
        <v>12909</v>
      </c>
    </row>
    <row r="2547" customFormat="false" ht="15" hidden="false" customHeight="true" outlineLevel="0" collapsed="false">
      <c r="A2547" s="13" t="s">
        <v>293</v>
      </c>
      <c r="B2547" s="13" t="s">
        <v>618</v>
      </c>
      <c r="C2547" s="11" t="s">
        <v>619</v>
      </c>
      <c r="D2547" s="13" t="s">
        <v>12910</v>
      </c>
      <c r="E2547" s="13" t="s">
        <v>12911</v>
      </c>
      <c r="F2547" s="13" t="s">
        <v>12912</v>
      </c>
      <c r="G2547" s="13" t="s">
        <v>12913</v>
      </c>
      <c r="H2547" s="13" t="s">
        <v>12914</v>
      </c>
    </row>
    <row r="2548" customFormat="false" ht="15" hidden="false" customHeight="true" outlineLevel="0" collapsed="false">
      <c r="A2548" s="13" t="s">
        <v>293</v>
      </c>
      <c r="B2548" s="13" t="s">
        <v>625</v>
      </c>
      <c r="C2548" s="11" t="s">
        <v>626</v>
      </c>
      <c r="D2548" s="13" t="s">
        <v>12915</v>
      </c>
      <c r="E2548" s="13" t="s">
        <v>12916</v>
      </c>
      <c r="F2548" s="13" t="s">
        <v>12917</v>
      </c>
      <c r="G2548" s="13" t="s">
        <v>12918</v>
      </c>
      <c r="H2548" s="13" t="s">
        <v>12919</v>
      </c>
    </row>
    <row r="2549" customFormat="false" ht="15" hidden="false" customHeight="true" outlineLevel="0" collapsed="false">
      <c r="A2549" s="13" t="s">
        <v>293</v>
      </c>
      <c r="B2549" s="13" t="s">
        <v>632</v>
      </c>
      <c r="C2549" s="11" t="s">
        <v>633</v>
      </c>
      <c r="D2549" s="13" t="s">
        <v>12920</v>
      </c>
      <c r="E2549" s="13" t="s">
        <v>12921</v>
      </c>
      <c r="F2549" s="13" t="s">
        <v>12922</v>
      </c>
      <c r="G2549" s="13" t="s">
        <v>12923</v>
      </c>
      <c r="H2549" s="13" t="s">
        <v>12924</v>
      </c>
    </row>
    <row r="2550" customFormat="false" ht="15" hidden="false" customHeight="true" outlineLevel="0" collapsed="false">
      <c r="A2550" s="13" t="s">
        <v>293</v>
      </c>
      <c r="B2550" s="13" t="s">
        <v>639</v>
      </c>
      <c r="C2550" s="11" t="s">
        <v>640</v>
      </c>
      <c r="D2550" s="13" t="s">
        <v>12925</v>
      </c>
      <c r="E2550" s="13" t="s">
        <v>2196</v>
      </c>
      <c r="F2550" s="13" t="s">
        <v>6212</v>
      </c>
      <c r="G2550" s="13" t="s">
        <v>12926</v>
      </c>
      <c r="H2550" s="13" t="s">
        <v>12927</v>
      </c>
    </row>
    <row r="2551" customFormat="false" ht="15" hidden="false" customHeight="true" outlineLevel="0" collapsed="false">
      <c r="A2551" s="13" t="s">
        <v>293</v>
      </c>
      <c r="B2551" s="13" t="s">
        <v>646</v>
      </c>
      <c r="C2551" s="11" t="s">
        <v>647</v>
      </c>
      <c r="D2551" s="13" t="s">
        <v>12928</v>
      </c>
      <c r="E2551" s="13" t="s">
        <v>12929</v>
      </c>
      <c r="F2551" s="13" t="s">
        <v>12930</v>
      </c>
      <c r="G2551" s="13" t="s">
        <v>12931</v>
      </c>
      <c r="H2551" s="13" t="s">
        <v>12932</v>
      </c>
    </row>
    <row r="2552" customFormat="false" ht="15" hidden="false" customHeight="true" outlineLevel="0" collapsed="false">
      <c r="A2552" s="13" t="s">
        <v>293</v>
      </c>
      <c r="B2552" s="13" t="s">
        <v>653</v>
      </c>
      <c r="C2552" s="11" t="s">
        <v>654</v>
      </c>
      <c r="D2552" s="13" t="s">
        <v>655</v>
      </c>
      <c r="E2552" s="13" t="s">
        <v>6929</v>
      </c>
      <c r="F2552" s="13" t="s">
        <v>12933</v>
      </c>
      <c r="G2552" s="13" t="s">
        <v>12934</v>
      </c>
      <c r="H2552" s="13" t="s">
        <v>12935</v>
      </c>
    </row>
    <row r="2553" customFormat="false" ht="15" hidden="false" customHeight="true" outlineLevel="0" collapsed="false">
      <c r="A2553" s="13" t="s">
        <v>293</v>
      </c>
      <c r="B2553" s="13" t="s">
        <v>660</v>
      </c>
      <c r="C2553" s="11" t="s">
        <v>661</v>
      </c>
      <c r="D2553" s="13" t="s">
        <v>1345</v>
      </c>
      <c r="E2553" s="13" t="s">
        <v>4580</v>
      </c>
      <c r="F2553" s="13" t="s">
        <v>12936</v>
      </c>
      <c r="G2553" s="13" t="s">
        <v>12937</v>
      </c>
      <c r="H2553" s="13" t="s">
        <v>12938</v>
      </c>
    </row>
    <row r="2554" customFormat="false" ht="15" hidden="false" customHeight="true" outlineLevel="0" collapsed="false">
      <c r="A2554" s="13" t="s">
        <v>293</v>
      </c>
      <c r="B2554" s="13" t="s">
        <v>667</v>
      </c>
      <c r="C2554" s="11" t="s">
        <v>668</v>
      </c>
      <c r="D2554" s="13" t="s">
        <v>12939</v>
      </c>
      <c r="E2554" s="13" t="s">
        <v>12940</v>
      </c>
      <c r="F2554" s="13" t="s">
        <v>12941</v>
      </c>
      <c r="G2554" s="13" t="s">
        <v>12942</v>
      </c>
      <c r="H2554" s="13" t="s">
        <v>12943</v>
      </c>
    </row>
    <row r="2555" customFormat="false" ht="15" hidden="false" customHeight="true" outlineLevel="0" collapsed="false">
      <c r="A2555" s="13" t="s">
        <v>293</v>
      </c>
      <c r="B2555" s="13" t="s">
        <v>674</v>
      </c>
      <c r="C2555" s="11" t="s">
        <v>675</v>
      </c>
      <c r="D2555" s="13" t="s">
        <v>12944</v>
      </c>
      <c r="E2555" s="13" t="s">
        <v>12945</v>
      </c>
      <c r="F2555" s="13" t="s">
        <v>12946</v>
      </c>
      <c r="G2555" s="13" t="s">
        <v>12947</v>
      </c>
      <c r="H2555" s="13" t="s">
        <v>12948</v>
      </c>
    </row>
    <row r="2556" customFormat="false" ht="15" hidden="false" customHeight="true" outlineLevel="0" collapsed="false">
      <c r="A2556" s="13" t="s">
        <v>293</v>
      </c>
      <c r="B2556" s="13" t="s">
        <v>681</v>
      </c>
      <c r="C2556" s="11" t="s">
        <v>682</v>
      </c>
      <c r="D2556" s="13" t="s">
        <v>12949</v>
      </c>
      <c r="E2556" s="13" t="s">
        <v>12950</v>
      </c>
      <c r="F2556" s="13" t="s">
        <v>12951</v>
      </c>
      <c r="G2556" s="13" t="s">
        <v>12952</v>
      </c>
      <c r="H2556" s="13" t="s">
        <v>12953</v>
      </c>
    </row>
    <row r="2557" customFormat="false" ht="15" hidden="false" customHeight="true" outlineLevel="0" collapsed="false">
      <c r="A2557" s="13" t="s">
        <v>293</v>
      </c>
      <c r="B2557" s="13" t="s">
        <v>688</v>
      </c>
      <c r="C2557" s="11" t="s">
        <v>689</v>
      </c>
      <c r="D2557" s="13" t="s">
        <v>1241</v>
      </c>
      <c r="E2557" s="13" t="s">
        <v>12954</v>
      </c>
      <c r="F2557" s="13" t="s">
        <v>5297</v>
      </c>
      <c r="G2557" s="13" t="s">
        <v>12955</v>
      </c>
      <c r="H2557" s="13" t="s">
        <v>12956</v>
      </c>
    </row>
    <row r="2558" customFormat="false" ht="15" hidden="false" customHeight="true" outlineLevel="0" collapsed="false">
      <c r="A2558" s="13" t="s">
        <v>293</v>
      </c>
      <c r="B2558" s="13" t="s">
        <v>695</v>
      </c>
      <c r="C2558" s="11" t="s">
        <v>696</v>
      </c>
      <c r="D2558" s="13" t="s">
        <v>12957</v>
      </c>
      <c r="E2558" s="13" t="s">
        <v>12958</v>
      </c>
      <c r="F2558" s="13" t="s">
        <v>12959</v>
      </c>
      <c r="G2558" s="13" t="s">
        <v>12960</v>
      </c>
      <c r="H2558" s="13" t="s">
        <v>12961</v>
      </c>
    </row>
    <row r="2559" customFormat="false" ht="15" hidden="false" customHeight="true" outlineLevel="0" collapsed="false">
      <c r="A2559" s="13" t="s">
        <v>293</v>
      </c>
      <c r="B2559" s="13" t="s">
        <v>702</v>
      </c>
      <c r="C2559" s="11" t="s">
        <v>703</v>
      </c>
      <c r="D2559" s="13" t="s">
        <v>12962</v>
      </c>
      <c r="E2559" s="13" t="s">
        <v>12963</v>
      </c>
      <c r="F2559" s="13" t="s">
        <v>12964</v>
      </c>
      <c r="G2559" s="13" t="s">
        <v>12965</v>
      </c>
      <c r="H2559" s="13" t="s">
        <v>12966</v>
      </c>
    </row>
    <row r="2560" customFormat="false" ht="15" hidden="false" customHeight="true" outlineLevel="0" collapsed="false">
      <c r="A2560" s="13" t="s">
        <v>293</v>
      </c>
      <c r="B2560" s="13" t="s">
        <v>709</v>
      </c>
      <c r="C2560" s="11" t="s">
        <v>710</v>
      </c>
      <c r="D2560" s="13" t="s">
        <v>2449</v>
      </c>
      <c r="E2560" s="13" t="s">
        <v>12967</v>
      </c>
      <c r="F2560" s="13" t="s">
        <v>4087</v>
      </c>
      <c r="G2560" s="13" t="s">
        <v>12968</v>
      </c>
      <c r="H2560" s="13" t="s">
        <v>12969</v>
      </c>
    </row>
    <row r="2561" customFormat="false" ht="15" hidden="false" customHeight="true" outlineLevel="0" collapsed="false">
      <c r="A2561" s="13" t="s">
        <v>293</v>
      </c>
      <c r="B2561" s="13" t="s">
        <v>716</v>
      </c>
      <c r="C2561" s="11" t="s">
        <v>717</v>
      </c>
      <c r="D2561" s="13" t="s">
        <v>12970</v>
      </c>
      <c r="E2561" s="13" t="s">
        <v>12971</v>
      </c>
      <c r="F2561" s="13" t="s">
        <v>12972</v>
      </c>
      <c r="G2561" s="13" t="s">
        <v>12973</v>
      </c>
      <c r="H2561" s="13" t="s">
        <v>12974</v>
      </c>
    </row>
    <row r="2562" customFormat="false" ht="15" hidden="false" customHeight="true" outlineLevel="0" collapsed="false">
      <c r="A2562" s="13" t="s">
        <v>293</v>
      </c>
      <c r="B2562" s="13" t="s">
        <v>723</v>
      </c>
      <c r="C2562" s="11" t="s">
        <v>724</v>
      </c>
      <c r="D2562" s="13" t="s">
        <v>12975</v>
      </c>
      <c r="E2562" s="13" t="s">
        <v>12976</v>
      </c>
      <c r="F2562" s="13" t="s">
        <v>12977</v>
      </c>
      <c r="G2562" s="13" t="s">
        <v>12978</v>
      </c>
      <c r="H2562" s="13" t="s">
        <v>12979</v>
      </c>
    </row>
    <row r="2563" customFormat="false" ht="15" hidden="false" customHeight="true" outlineLevel="0" collapsed="false">
      <c r="A2563" s="13" t="s">
        <v>293</v>
      </c>
      <c r="B2563" s="13" t="s">
        <v>730</v>
      </c>
      <c r="C2563" s="11" t="s">
        <v>731</v>
      </c>
      <c r="D2563" s="13" t="s">
        <v>12980</v>
      </c>
      <c r="E2563" s="13" t="s">
        <v>12981</v>
      </c>
      <c r="F2563" s="13" t="s">
        <v>12982</v>
      </c>
      <c r="G2563" s="13" t="s">
        <v>12983</v>
      </c>
      <c r="H2563" s="13" t="s">
        <v>12984</v>
      </c>
    </row>
    <row r="2564" customFormat="false" ht="15" hidden="false" customHeight="true" outlineLevel="0" collapsed="false">
      <c r="A2564" s="13" t="s">
        <v>293</v>
      </c>
      <c r="B2564" s="13" t="s">
        <v>737</v>
      </c>
      <c r="C2564" s="11" t="s">
        <v>738</v>
      </c>
      <c r="D2564" s="13" t="s">
        <v>12985</v>
      </c>
      <c r="E2564" s="13" t="s">
        <v>12986</v>
      </c>
      <c r="F2564" s="13" t="s">
        <v>12987</v>
      </c>
      <c r="G2564" s="13" t="s">
        <v>12988</v>
      </c>
      <c r="H2564" s="13" t="s">
        <v>12989</v>
      </c>
    </row>
    <row r="2565" customFormat="false" ht="15" hidden="false" customHeight="true" outlineLevel="0" collapsed="false">
      <c r="A2565" s="13" t="s">
        <v>293</v>
      </c>
      <c r="B2565" s="13" t="s">
        <v>744</v>
      </c>
      <c r="C2565" s="11" t="s">
        <v>745</v>
      </c>
      <c r="D2565" s="13" t="s">
        <v>12990</v>
      </c>
      <c r="E2565" s="13" t="s">
        <v>12991</v>
      </c>
      <c r="F2565" s="13" t="s">
        <v>12992</v>
      </c>
      <c r="G2565" s="13" t="s">
        <v>12993</v>
      </c>
      <c r="H2565" s="13" t="s">
        <v>12994</v>
      </c>
    </row>
    <row r="2566" customFormat="false" ht="15" hidden="false" customHeight="true" outlineLevel="0" collapsed="false">
      <c r="A2566" s="13" t="s">
        <v>293</v>
      </c>
      <c r="B2566" s="13" t="s">
        <v>751</v>
      </c>
      <c r="C2566" s="11" t="s">
        <v>752</v>
      </c>
      <c r="D2566" s="13" t="s">
        <v>12995</v>
      </c>
      <c r="E2566" s="13" t="s">
        <v>12996</v>
      </c>
      <c r="F2566" s="13" t="s">
        <v>12997</v>
      </c>
      <c r="G2566" s="13" t="s">
        <v>12998</v>
      </c>
      <c r="H2566" s="13" t="s">
        <v>12999</v>
      </c>
    </row>
    <row r="2567" customFormat="false" ht="15" hidden="false" customHeight="true" outlineLevel="0" collapsed="false">
      <c r="A2567" s="13" t="s">
        <v>293</v>
      </c>
      <c r="B2567" s="13" t="s">
        <v>758</v>
      </c>
      <c r="C2567" s="11" t="s">
        <v>759</v>
      </c>
      <c r="D2567" s="13" t="s">
        <v>13000</v>
      </c>
      <c r="E2567" s="13" t="s">
        <v>13001</v>
      </c>
      <c r="F2567" s="13" t="s">
        <v>13002</v>
      </c>
      <c r="G2567" s="13" t="s">
        <v>13003</v>
      </c>
      <c r="H2567" s="13" t="s">
        <v>13004</v>
      </c>
    </row>
    <row r="2568" customFormat="false" ht="15" hidden="false" customHeight="true" outlineLevel="0" collapsed="false">
      <c r="A2568" s="13" t="s">
        <v>293</v>
      </c>
      <c r="B2568" s="13" t="s">
        <v>765</v>
      </c>
      <c r="C2568" s="11" t="s">
        <v>766</v>
      </c>
      <c r="D2568" s="13" t="s">
        <v>9423</v>
      </c>
      <c r="E2568" s="13" t="s">
        <v>13005</v>
      </c>
      <c r="F2568" s="13" t="s">
        <v>13006</v>
      </c>
      <c r="G2568" s="13" t="s">
        <v>13007</v>
      </c>
      <c r="H2568" s="13" t="s">
        <v>13008</v>
      </c>
    </row>
    <row r="2569" customFormat="false" ht="15" hidden="false" customHeight="true" outlineLevel="0" collapsed="false">
      <c r="A2569" s="13" t="s">
        <v>293</v>
      </c>
      <c r="B2569" s="13" t="s">
        <v>772</v>
      </c>
      <c r="C2569" s="11" t="s">
        <v>773</v>
      </c>
      <c r="D2569" s="13" t="s">
        <v>13009</v>
      </c>
      <c r="E2569" s="13" t="s">
        <v>13010</v>
      </c>
      <c r="F2569" s="13" t="s">
        <v>13011</v>
      </c>
      <c r="G2569" s="13" t="s">
        <v>13012</v>
      </c>
      <c r="H2569" s="13" t="s">
        <v>13013</v>
      </c>
    </row>
    <row r="2570" customFormat="false" ht="15" hidden="false" customHeight="true" outlineLevel="0" collapsed="false">
      <c r="A2570" s="13" t="s">
        <v>293</v>
      </c>
      <c r="B2570" s="13" t="s">
        <v>779</v>
      </c>
      <c r="C2570" s="11" t="s">
        <v>780</v>
      </c>
      <c r="D2570" s="13" t="s">
        <v>13014</v>
      </c>
      <c r="E2570" s="13" t="s">
        <v>13015</v>
      </c>
      <c r="F2570" s="13" t="s">
        <v>13016</v>
      </c>
      <c r="G2570" s="13" t="s">
        <v>13017</v>
      </c>
      <c r="H2570" s="13" t="s">
        <v>13018</v>
      </c>
    </row>
    <row r="2571" customFormat="false" ht="15" hidden="false" customHeight="true" outlineLevel="0" collapsed="false">
      <c r="A2571" s="13" t="s">
        <v>293</v>
      </c>
      <c r="B2571" s="13" t="s">
        <v>786</v>
      </c>
      <c r="C2571" s="11" t="s">
        <v>787</v>
      </c>
      <c r="D2571" s="13" t="s">
        <v>13019</v>
      </c>
      <c r="E2571" s="13" t="s">
        <v>13020</v>
      </c>
      <c r="F2571" s="13" t="s">
        <v>13021</v>
      </c>
      <c r="G2571" s="13" t="s">
        <v>13022</v>
      </c>
      <c r="H2571" s="13" t="s">
        <v>13023</v>
      </c>
    </row>
    <row r="2572" customFormat="false" ht="15" hidden="false" customHeight="true" outlineLevel="0" collapsed="false">
      <c r="A2572" s="13" t="s">
        <v>293</v>
      </c>
      <c r="B2572" s="13" t="s">
        <v>793</v>
      </c>
      <c r="C2572" s="11" t="s">
        <v>794</v>
      </c>
      <c r="D2572" s="13" t="s">
        <v>13024</v>
      </c>
      <c r="E2572" s="13" t="s">
        <v>13025</v>
      </c>
      <c r="F2572" s="13" t="s">
        <v>13026</v>
      </c>
      <c r="G2572" s="13" t="s">
        <v>13027</v>
      </c>
      <c r="H2572" s="13" t="s">
        <v>13028</v>
      </c>
    </row>
    <row r="2573" customFormat="false" ht="15" hidden="false" customHeight="true" outlineLevel="0" collapsed="false">
      <c r="A2573" s="13" t="s">
        <v>293</v>
      </c>
      <c r="B2573" s="13" t="s">
        <v>800</v>
      </c>
      <c r="C2573" s="11" t="s">
        <v>801</v>
      </c>
      <c r="D2573" s="13" t="s">
        <v>10666</v>
      </c>
      <c r="E2573" s="13" t="s">
        <v>13029</v>
      </c>
      <c r="F2573" s="13" t="s">
        <v>13030</v>
      </c>
      <c r="G2573" s="13" t="s">
        <v>13031</v>
      </c>
      <c r="H2573" s="13" t="s">
        <v>13032</v>
      </c>
    </row>
    <row r="2574" customFormat="false" ht="15" hidden="false" customHeight="true" outlineLevel="0" collapsed="false">
      <c r="A2574" s="13" t="s">
        <v>293</v>
      </c>
      <c r="B2574" s="13" t="s">
        <v>806</v>
      </c>
      <c r="C2574" s="11" t="s">
        <v>807</v>
      </c>
      <c r="D2574" s="13" t="s">
        <v>13033</v>
      </c>
      <c r="E2574" s="13" t="s">
        <v>13034</v>
      </c>
      <c r="F2574" s="13" t="s">
        <v>13035</v>
      </c>
      <c r="G2574" s="13" t="s">
        <v>13036</v>
      </c>
      <c r="H2574" s="13" t="s">
        <v>13037</v>
      </c>
    </row>
    <row r="2575" customFormat="false" ht="15" hidden="false" customHeight="true" outlineLevel="0" collapsed="false">
      <c r="A2575" s="13" t="s">
        <v>293</v>
      </c>
      <c r="B2575" s="13" t="s">
        <v>813</v>
      </c>
      <c r="C2575" s="11" t="s">
        <v>814</v>
      </c>
      <c r="D2575" s="13" t="s">
        <v>8107</v>
      </c>
      <c r="E2575" s="13" t="s">
        <v>13038</v>
      </c>
      <c r="F2575" s="13" t="s">
        <v>13039</v>
      </c>
      <c r="G2575" s="13" t="s">
        <v>13040</v>
      </c>
      <c r="H2575" s="13" t="s">
        <v>13041</v>
      </c>
    </row>
    <row r="2576" customFormat="false" ht="15" hidden="false" customHeight="true" outlineLevel="0" collapsed="false">
      <c r="A2576" s="13" t="s">
        <v>293</v>
      </c>
      <c r="B2576" s="13" t="s">
        <v>820</v>
      </c>
      <c r="C2576" s="11" t="s">
        <v>821</v>
      </c>
      <c r="D2576" s="13" t="s">
        <v>13042</v>
      </c>
      <c r="E2576" s="13" t="s">
        <v>13043</v>
      </c>
      <c r="F2576" s="13" t="s">
        <v>13044</v>
      </c>
      <c r="G2576" s="13" t="s">
        <v>13045</v>
      </c>
      <c r="H2576" s="13" t="s">
        <v>13046</v>
      </c>
    </row>
    <row r="2577" customFormat="false" ht="15" hidden="false" customHeight="true" outlineLevel="0" collapsed="false">
      <c r="A2577" s="13" t="s">
        <v>293</v>
      </c>
      <c r="B2577" s="13" t="s">
        <v>827</v>
      </c>
      <c r="C2577" s="11" t="s">
        <v>828</v>
      </c>
      <c r="D2577" s="13" t="s">
        <v>13047</v>
      </c>
      <c r="E2577" s="13" t="s">
        <v>13048</v>
      </c>
      <c r="F2577" s="13" t="s">
        <v>13049</v>
      </c>
      <c r="G2577" s="13" t="s">
        <v>13050</v>
      </c>
      <c r="H2577" s="13" t="s">
        <v>13051</v>
      </c>
    </row>
    <row r="2578" customFormat="false" ht="15" hidden="false" customHeight="true" outlineLevel="0" collapsed="false">
      <c r="A2578" s="13" t="s">
        <v>293</v>
      </c>
      <c r="B2578" s="13" t="s">
        <v>834</v>
      </c>
      <c r="C2578" s="11" t="s">
        <v>835</v>
      </c>
      <c r="D2578" s="13" t="s">
        <v>13052</v>
      </c>
      <c r="E2578" s="13" t="s">
        <v>13053</v>
      </c>
      <c r="F2578" s="13" t="s">
        <v>13054</v>
      </c>
      <c r="G2578" s="13" t="s">
        <v>13055</v>
      </c>
      <c r="H2578" s="13" t="s">
        <v>13056</v>
      </c>
    </row>
    <row r="2579" customFormat="false" ht="15" hidden="false" customHeight="true" outlineLevel="0" collapsed="false">
      <c r="A2579" s="13" t="s">
        <v>293</v>
      </c>
      <c r="B2579" s="13" t="s">
        <v>841</v>
      </c>
      <c r="C2579" s="11" t="s">
        <v>842</v>
      </c>
      <c r="D2579" s="13" t="s">
        <v>13057</v>
      </c>
      <c r="E2579" s="13" t="s">
        <v>13058</v>
      </c>
      <c r="F2579" s="13" t="s">
        <v>13059</v>
      </c>
      <c r="G2579" s="13" t="s">
        <v>13060</v>
      </c>
      <c r="H2579" s="13" t="s">
        <v>13061</v>
      </c>
    </row>
    <row r="2580" customFormat="false" ht="15" hidden="false" customHeight="true" outlineLevel="0" collapsed="false">
      <c r="A2580" s="13" t="s">
        <v>293</v>
      </c>
      <c r="B2580" s="13" t="s">
        <v>848</v>
      </c>
      <c r="C2580" s="11" t="s">
        <v>849</v>
      </c>
      <c r="D2580" s="13" t="s">
        <v>13062</v>
      </c>
      <c r="E2580" s="13" t="s">
        <v>13063</v>
      </c>
      <c r="F2580" s="13" t="s">
        <v>13064</v>
      </c>
      <c r="G2580" s="13" t="s">
        <v>13065</v>
      </c>
      <c r="H2580" s="13" t="s">
        <v>13066</v>
      </c>
    </row>
    <row r="2581" customFormat="false" ht="15" hidden="false" customHeight="true" outlineLevel="0" collapsed="false">
      <c r="A2581" s="13" t="s">
        <v>293</v>
      </c>
      <c r="B2581" s="13" t="s">
        <v>855</v>
      </c>
      <c r="C2581" s="11" t="s">
        <v>856</v>
      </c>
      <c r="D2581" s="13" t="s">
        <v>13067</v>
      </c>
      <c r="E2581" s="13" t="s">
        <v>13068</v>
      </c>
      <c r="F2581" s="13" t="s">
        <v>13069</v>
      </c>
      <c r="G2581" s="13" t="s">
        <v>13070</v>
      </c>
      <c r="H2581" s="13" t="s">
        <v>13071</v>
      </c>
    </row>
    <row r="2582" customFormat="false" ht="15" hidden="false" customHeight="true" outlineLevel="0" collapsed="false">
      <c r="A2582" s="13" t="s">
        <v>293</v>
      </c>
      <c r="B2582" s="13" t="s">
        <v>862</v>
      </c>
      <c r="C2582" s="11" t="s">
        <v>863</v>
      </c>
      <c r="D2582" s="13" t="s">
        <v>13072</v>
      </c>
      <c r="E2582" s="13" t="s">
        <v>13073</v>
      </c>
      <c r="F2582" s="13" t="s">
        <v>13074</v>
      </c>
      <c r="G2582" s="13" t="s">
        <v>13075</v>
      </c>
      <c r="H2582" s="13" t="s">
        <v>13076</v>
      </c>
    </row>
    <row r="2583" customFormat="false" ht="15" hidden="false" customHeight="true" outlineLevel="0" collapsed="false">
      <c r="A2583" s="13" t="s">
        <v>293</v>
      </c>
      <c r="B2583" s="13" t="s">
        <v>869</v>
      </c>
      <c r="C2583" s="11" t="s">
        <v>870</v>
      </c>
      <c r="D2583" s="13" t="s">
        <v>13077</v>
      </c>
      <c r="E2583" s="13" t="s">
        <v>13078</v>
      </c>
      <c r="F2583" s="13" t="s">
        <v>13079</v>
      </c>
      <c r="G2583" s="13" t="s">
        <v>13080</v>
      </c>
      <c r="H2583" s="13" t="s">
        <v>13081</v>
      </c>
    </row>
    <row r="2584" customFormat="false" ht="15" hidden="false" customHeight="true" outlineLevel="0" collapsed="false">
      <c r="A2584" s="13" t="s">
        <v>293</v>
      </c>
      <c r="B2584" s="13" t="s">
        <v>876</v>
      </c>
      <c r="C2584" s="11" t="s">
        <v>877</v>
      </c>
      <c r="D2584" s="13" t="s">
        <v>13082</v>
      </c>
      <c r="E2584" s="13" t="s">
        <v>13083</v>
      </c>
      <c r="F2584" s="13" t="s">
        <v>13084</v>
      </c>
      <c r="G2584" s="13" t="s">
        <v>13085</v>
      </c>
      <c r="H2584" s="13" t="s">
        <v>13086</v>
      </c>
    </row>
    <row r="2585" customFormat="false" ht="15" hidden="false" customHeight="true" outlineLevel="0" collapsed="false">
      <c r="A2585" s="13" t="s">
        <v>293</v>
      </c>
      <c r="B2585" s="13" t="s">
        <v>883</v>
      </c>
      <c r="C2585" s="11" t="s">
        <v>884</v>
      </c>
      <c r="D2585" s="13" t="s">
        <v>13087</v>
      </c>
      <c r="E2585" s="13" t="s">
        <v>13088</v>
      </c>
      <c r="F2585" s="13" t="s">
        <v>13089</v>
      </c>
      <c r="G2585" s="13" t="s">
        <v>13090</v>
      </c>
      <c r="H2585" s="13" t="s">
        <v>13091</v>
      </c>
    </row>
    <row r="2586" customFormat="false" ht="15" hidden="false" customHeight="true" outlineLevel="0" collapsed="false">
      <c r="A2586" s="13" t="s">
        <v>293</v>
      </c>
      <c r="B2586" s="13" t="s">
        <v>890</v>
      </c>
      <c r="C2586" s="11" t="s">
        <v>891</v>
      </c>
      <c r="D2586" s="13" t="s">
        <v>13092</v>
      </c>
      <c r="E2586" s="13" t="s">
        <v>13093</v>
      </c>
      <c r="F2586" s="13" t="s">
        <v>13094</v>
      </c>
      <c r="G2586" s="13" t="s">
        <v>13095</v>
      </c>
      <c r="H2586" s="13" t="s">
        <v>13096</v>
      </c>
    </row>
    <row r="2587" customFormat="false" ht="15" hidden="false" customHeight="true" outlineLevel="0" collapsed="false">
      <c r="A2587" s="13" t="s">
        <v>293</v>
      </c>
      <c r="B2587" s="13" t="s">
        <v>897</v>
      </c>
      <c r="C2587" s="11" t="s">
        <v>898</v>
      </c>
      <c r="D2587" s="13" t="s">
        <v>13097</v>
      </c>
      <c r="E2587" s="13" t="s">
        <v>13098</v>
      </c>
      <c r="F2587" s="13" t="s">
        <v>13099</v>
      </c>
      <c r="G2587" s="13" t="s">
        <v>13100</v>
      </c>
      <c r="H2587" s="13" t="s">
        <v>13101</v>
      </c>
    </row>
    <row r="2588" customFormat="false" ht="15" hidden="false" customHeight="true" outlineLevel="0" collapsed="false">
      <c r="A2588" s="13" t="s">
        <v>293</v>
      </c>
      <c r="B2588" s="13" t="s">
        <v>904</v>
      </c>
      <c r="C2588" s="11" t="s">
        <v>905</v>
      </c>
      <c r="D2588" s="13" t="s">
        <v>13102</v>
      </c>
      <c r="E2588" s="13" t="s">
        <v>13103</v>
      </c>
      <c r="F2588" s="13" t="s">
        <v>13104</v>
      </c>
      <c r="G2588" s="13" t="s">
        <v>13105</v>
      </c>
      <c r="H2588" s="13" t="s">
        <v>13106</v>
      </c>
    </row>
    <row r="2589" customFormat="false" ht="15" hidden="false" customHeight="true" outlineLevel="0" collapsed="false">
      <c r="A2589" s="13" t="s">
        <v>293</v>
      </c>
      <c r="B2589" s="13" t="s">
        <v>911</v>
      </c>
      <c r="C2589" s="11" t="s">
        <v>912</v>
      </c>
      <c r="D2589" s="13" t="s">
        <v>13107</v>
      </c>
      <c r="E2589" s="13" t="s">
        <v>13108</v>
      </c>
      <c r="F2589" s="13" t="s">
        <v>13109</v>
      </c>
      <c r="G2589" s="13" t="s">
        <v>13110</v>
      </c>
      <c r="H2589" s="13" t="s">
        <v>13111</v>
      </c>
    </row>
    <row r="2590" customFormat="false" ht="15" hidden="false" customHeight="true" outlineLevel="0" collapsed="false">
      <c r="A2590" s="13" t="s">
        <v>293</v>
      </c>
      <c r="B2590" s="13" t="s">
        <v>918</v>
      </c>
      <c r="C2590" s="11" t="s">
        <v>919</v>
      </c>
      <c r="D2590" s="13" t="s">
        <v>13112</v>
      </c>
      <c r="E2590" s="13" t="s">
        <v>13113</v>
      </c>
      <c r="F2590" s="13" t="s">
        <v>13114</v>
      </c>
      <c r="G2590" s="13" t="s">
        <v>13115</v>
      </c>
      <c r="H2590" s="13" t="s">
        <v>13116</v>
      </c>
    </row>
    <row r="2591" customFormat="false" ht="15" hidden="false" customHeight="true" outlineLevel="0" collapsed="false">
      <c r="A2591" s="13" t="s">
        <v>293</v>
      </c>
      <c r="B2591" s="13" t="s">
        <v>925</v>
      </c>
      <c r="C2591" s="11" t="s">
        <v>926</v>
      </c>
      <c r="D2591" s="13" t="s">
        <v>13117</v>
      </c>
      <c r="E2591" s="13" t="s">
        <v>13118</v>
      </c>
      <c r="F2591" s="13" t="s">
        <v>13119</v>
      </c>
      <c r="G2591" s="13" t="s">
        <v>13120</v>
      </c>
      <c r="H2591" s="13" t="s">
        <v>13121</v>
      </c>
    </row>
    <row r="2592" customFormat="false" ht="15" hidden="false" customHeight="true" outlineLevel="0" collapsed="false">
      <c r="A2592" s="13" t="s">
        <v>293</v>
      </c>
      <c r="B2592" s="13" t="s">
        <v>932</v>
      </c>
      <c r="C2592" s="11" t="s">
        <v>933</v>
      </c>
      <c r="D2592" s="13" t="s">
        <v>13122</v>
      </c>
      <c r="E2592" s="13" t="s">
        <v>13123</v>
      </c>
      <c r="F2592" s="13" t="s">
        <v>13124</v>
      </c>
      <c r="G2592" s="13" t="s">
        <v>13125</v>
      </c>
      <c r="H2592" s="13" t="s">
        <v>13126</v>
      </c>
    </row>
    <row r="2593" customFormat="false" ht="15" hidden="false" customHeight="true" outlineLevel="0" collapsed="false">
      <c r="A2593" s="13" t="s">
        <v>293</v>
      </c>
      <c r="B2593" s="13" t="s">
        <v>939</v>
      </c>
      <c r="C2593" s="11" t="s">
        <v>940</v>
      </c>
      <c r="D2593" s="13" t="s">
        <v>13127</v>
      </c>
      <c r="E2593" s="13" t="s">
        <v>13128</v>
      </c>
      <c r="F2593" s="13" t="s">
        <v>13129</v>
      </c>
      <c r="G2593" s="13" t="s">
        <v>13130</v>
      </c>
      <c r="H2593" s="13" t="s">
        <v>13131</v>
      </c>
    </row>
    <row r="2594" customFormat="false" ht="15" hidden="false" customHeight="true" outlineLevel="0" collapsed="false">
      <c r="A2594" s="13" t="s">
        <v>293</v>
      </c>
      <c r="B2594" s="13" t="s">
        <v>946</v>
      </c>
      <c r="C2594" s="11" t="s">
        <v>947</v>
      </c>
      <c r="D2594" s="13" t="s">
        <v>13132</v>
      </c>
      <c r="E2594" s="13" t="s">
        <v>13133</v>
      </c>
      <c r="F2594" s="13" t="s">
        <v>13134</v>
      </c>
      <c r="G2594" s="13" t="s">
        <v>13135</v>
      </c>
      <c r="H2594" s="13" t="s">
        <v>13136</v>
      </c>
    </row>
    <row r="2595" customFormat="false" ht="15" hidden="false" customHeight="true" outlineLevel="0" collapsed="false">
      <c r="A2595" s="13" t="s">
        <v>293</v>
      </c>
      <c r="B2595" s="13" t="s">
        <v>953</v>
      </c>
      <c r="C2595" s="11" t="s">
        <v>954</v>
      </c>
      <c r="D2595" s="13" t="s">
        <v>13137</v>
      </c>
      <c r="E2595" s="13" t="s">
        <v>13138</v>
      </c>
      <c r="F2595" s="13" t="s">
        <v>13139</v>
      </c>
      <c r="G2595" s="13" t="s">
        <v>13140</v>
      </c>
      <c r="H2595" s="13" t="s">
        <v>13141</v>
      </c>
    </row>
    <row r="2596" customFormat="false" ht="15" hidden="false" customHeight="true" outlineLevel="0" collapsed="false">
      <c r="A2596" s="13" t="s">
        <v>293</v>
      </c>
      <c r="B2596" s="13" t="s">
        <v>960</v>
      </c>
      <c r="C2596" s="11" t="s">
        <v>961</v>
      </c>
      <c r="D2596" s="13" t="s">
        <v>13142</v>
      </c>
      <c r="E2596" s="13" t="s">
        <v>13143</v>
      </c>
      <c r="F2596" s="13" t="s">
        <v>13144</v>
      </c>
      <c r="G2596" s="13" t="s">
        <v>13145</v>
      </c>
      <c r="H2596" s="13" t="s">
        <v>13146</v>
      </c>
    </row>
    <row r="2597" customFormat="false" ht="15" hidden="false" customHeight="true" outlineLevel="0" collapsed="false">
      <c r="A2597" s="13" t="s">
        <v>293</v>
      </c>
      <c r="B2597" s="13" t="s">
        <v>967</v>
      </c>
      <c r="C2597" s="11" t="s">
        <v>968</v>
      </c>
      <c r="D2597" s="13" t="s">
        <v>13147</v>
      </c>
      <c r="E2597" s="13" t="s">
        <v>13148</v>
      </c>
      <c r="F2597" s="13" t="s">
        <v>13149</v>
      </c>
      <c r="G2597" s="13" t="s">
        <v>13150</v>
      </c>
      <c r="H2597" s="13" t="s">
        <v>13151</v>
      </c>
    </row>
    <row r="2598" customFormat="false" ht="15" hidden="false" customHeight="true" outlineLevel="0" collapsed="false">
      <c r="A2598" s="13" t="s">
        <v>293</v>
      </c>
      <c r="B2598" s="13" t="s">
        <v>974</v>
      </c>
      <c r="C2598" s="11" t="s">
        <v>975</v>
      </c>
      <c r="D2598" s="13" t="s">
        <v>13152</v>
      </c>
      <c r="E2598" s="13" t="s">
        <v>13153</v>
      </c>
      <c r="F2598" s="13" t="s">
        <v>13154</v>
      </c>
      <c r="G2598" s="13" t="s">
        <v>13155</v>
      </c>
      <c r="H2598" s="13" t="s">
        <v>13156</v>
      </c>
    </row>
    <row r="2599" customFormat="false" ht="15" hidden="false" customHeight="true" outlineLevel="0" collapsed="false">
      <c r="A2599" s="13" t="s">
        <v>293</v>
      </c>
      <c r="B2599" s="13" t="s">
        <v>981</v>
      </c>
      <c r="C2599" s="11" t="s">
        <v>982</v>
      </c>
      <c r="D2599" s="13" t="s">
        <v>13157</v>
      </c>
      <c r="E2599" s="13" t="s">
        <v>13158</v>
      </c>
      <c r="F2599" s="13" t="s">
        <v>13159</v>
      </c>
      <c r="G2599" s="13" t="s">
        <v>13160</v>
      </c>
      <c r="H2599" s="13" t="s">
        <v>13161</v>
      </c>
    </row>
    <row r="2600" customFormat="false" ht="15" hidden="false" customHeight="true" outlineLevel="0" collapsed="false">
      <c r="A2600" s="13" t="s">
        <v>293</v>
      </c>
      <c r="B2600" s="13" t="s">
        <v>988</v>
      </c>
      <c r="C2600" s="11" t="s">
        <v>989</v>
      </c>
      <c r="D2600" s="13" t="s">
        <v>13162</v>
      </c>
      <c r="E2600" s="13" t="s">
        <v>13163</v>
      </c>
      <c r="F2600" s="13" t="s">
        <v>13164</v>
      </c>
      <c r="G2600" s="13" t="s">
        <v>13165</v>
      </c>
      <c r="H2600" s="13" t="s">
        <v>13166</v>
      </c>
    </row>
    <row r="2601" customFormat="false" ht="15" hidden="false" customHeight="true" outlineLevel="0" collapsed="false">
      <c r="A2601" s="13" t="s">
        <v>293</v>
      </c>
      <c r="B2601" s="13" t="s">
        <v>995</v>
      </c>
      <c r="C2601" s="11" t="s">
        <v>996</v>
      </c>
      <c r="D2601" s="13" t="s">
        <v>13167</v>
      </c>
      <c r="E2601" s="13" t="s">
        <v>13168</v>
      </c>
      <c r="F2601" s="13" t="s">
        <v>13169</v>
      </c>
      <c r="G2601" s="13" t="s">
        <v>13170</v>
      </c>
      <c r="H2601" s="13" t="s">
        <v>13171</v>
      </c>
    </row>
    <row r="2602" customFormat="false" ht="15" hidden="false" customHeight="true" outlineLevel="0" collapsed="false">
      <c r="A2602" s="13" t="s">
        <v>293</v>
      </c>
      <c r="B2602" s="13" t="s">
        <v>1002</v>
      </c>
      <c r="C2602" s="11" t="s">
        <v>1003</v>
      </c>
      <c r="D2602" s="13" t="s">
        <v>13172</v>
      </c>
      <c r="E2602" s="13" t="s">
        <v>13173</v>
      </c>
      <c r="F2602" s="13" t="s">
        <v>13174</v>
      </c>
      <c r="G2602" s="13" t="s">
        <v>13175</v>
      </c>
      <c r="H2602" s="13" t="s">
        <v>13176</v>
      </c>
    </row>
    <row r="2603" customFormat="false" ht="15" hidden="false" customHeight="true" outlineLevel="0" collapsed="false">
      <c r="A2603" s="13" t="s">
        <v>293</v>
      </c>
      <c r="B2603" s="13" t="s">
        <v>1009</v>
      </c>
      <c r="C2603" s="11" t="s">
        <v>1010</v>
      </c>
      <c r="D2603" s="13" t="s">
        <v>3729</v>
      </c>
      <c r="E2603" s="13" t="s">
        <v>13177</v>
      </c>
      <c r="F2603" s="13" t="s">
        <v>13178</v>
      </c>
      <c r="G2603" s="13" t="s">
        <v>13179</v>
      </c>
      <c r="H2603" s="13" t="s">
        <v>13180</v>
      </c>
    </row>
    <row r="2604" customFormat="false" ht="15" hidden="false" customHeight="true" outlineLevel="0" collapsed="false">
      <c r="A2604" s="13" t="s">
        <v>293</v>
      </c>
      <c r="B2604" s="13" t="s">
        <v>1016</v>
      </c>
      <c r="C2604" s="11" t="s">
        <v>1017</v>
      </c>
      <c r="D2604" s="13" t="s">
        <v>1018</v>
      </c>
      <c r="E2604" s="13" t="s">
        <v>1019</v>
      </c>
      <c r="F2604" s="13" t="s">
        <v>13181</v>
      </c>
      <c r="G2604" s="13" t="s">
        <v>1019</v>
      </c>
      <c r="H2604" s="13" t="s">
        <v>1019</v>
      </c>
    </row>
    <row r="2605" customFormat="false" ht="15" hidden="false" customHeight="true" outlineLevel="0" collapsed="false">
      <c r="A2605" s="13" t="s">
        <v>301</v>
      </c>
      <c r="B2605" s="13" t="s">
        <v>345</v>
      </c>
      <c r="C2605" s="11" t="s">
        <v>346</v>
      </c>
      <c r="D2605" s="13" t="s">
        <v>10895</v>
      </c>
      <c r="E2605" s="13" t="s">
        <v>13182</v>
      </c>
      <c r="F2605" s="13" t="s">
        <v>13183</v>
      </c>
      <c r="G2605" s="13" t="s">
        <v>13184</v>
      </c>
      <c r="H2605" s="13" t="s">
        <v>13185</v>
      </c>
    </row>
    <row r="2606" customFormat="false" ht="15" hidden="false" customHeight="true" outlineLevel="0" collapsed="false">
      <c r="A2606" s="13" t="s">
        <v>301</v>
      </c>
      <c r="B2606" s="13" t="s">
        <v>352</v>
      </c>
      <c r="C2606" s="11" t="s">
        <v>353</v>
      </c>
      <c r="D2606" s="13" t="s">
        <v>13186</v>
      </c>
      <c r="E2606" s="13" t="s">
        <v>13187</v>
      </c>
      <c r="F2606" s="13" t="s">
        <v>13188</v>
      </c>
      <c r="G2606" s="13" t="s">
        <v>13189</v>
      </c>
      <c r="H2606" s="13" t="s">
        <v>13190</v>
      </c>
    </row>
    <row r="2607" customFormat="false" ht="15" hidden="false" customHeight="true" outlineLevel="0" collapsed="false">
      <c r="A2607" s="13" t="s">
        <v>301</v>
      </c>
      <c r="B2607" s="13" t="s">
        <v>359</v>
      </c>
      <c r="C2607" s="11" t="s">
        <v>360</v>
      </c>
      <c r="D2607" s="13" t="s">
        <v>13191</v>
      </c>
      <c r="E2607" s="13" t="s">
        <v>13192</v>
      </c>
      <c r="F2607" s="13" t="s">
        <v>13193</v>
      </c>
      <c r="G2607" s="13" t="s">
        <v>13194</v>
      </c>
      <c r="H2607" s="13" t="s">
        <v>13195</v>
      </c>
    </row>
    <row r="2608" customFormat="false" ht="15" hidden="false" customHeight="true" outlineLevel="0" collapsed="false">
      <c r="A2608" s="13" t="s">
        <v>301</v>
      </c>
      <c r="B2608" s="13" t="s">
        <v>366</v>
      </c>
      <c r="C2608" s="11" t="s">
        <v>367</v>
      </c>
      <c r="D2608" s="13" t="s">
        <v>13196</v>
      </c>
      <c r="E2608" s="13" t="s">
        <v>13197</v>
      </c>
      <c r="F2608" s="13" t="s">
        <v>13198</v>
      </c>
      <c r="G2608" s="13" t="s">
        <v>13199</v>
      </c>
      <c r="H2608" s="13" t="s">
        <v>13200</v>
      </c>
    </row>
    <row r="2609" customFormat="false" ht="15" hidden="false" customHeight="true" outlineLevel="0" collapsed="false">
      <c r="A2609" s="13" t="s">
        <v>301</v>
      </c>
      <c r="B2609" s="13" t="s">
        <v>373</v>
      </c>
      <c r="C2609" s="11" t="s">
        <v>374</v>
      </c>
      <c r="D2609" s="13" t="s">
        <v>13201</v>
      </c>
      <c r="E2609" s="13" t="s">
        <v>13202</v>
      </c>
      <c r="F2609" s="13" t="s">
        <v>13203</v>
      </c>
      <c r="G2609" s="13" t="s">
        <v>13204</v>
      </c>
      <c r="H2609" s="13" t="s">
        <v>13205</v>
      </c>
    </row>
    <row r="2610" customFormat="false" ht="15" hidden="false" customHeight="true" outlineLevel="0" collapsed="false">
      <c r="A2610" s="13" t="s">
        <v>301</v>
      </c>
      <c r="B2610" s="13" t="s">
        <v>380</v>
      </c>
      <c r="C2610" s="11" t="s">
        <v>381</v>
      </c>
      <c r="D2610" s="13" t="s">
        <v>13206</v>
      </c>
      <c r="E2610" s="13" t="s">
        <v>13207</v>
      </c>
      <c r="F2610" s="13" t="s">
        <v>13208</v>
      </c>
      <c r="G2610" s="13" t="s">
        <v>13209</v>
      </c>
      <c r="H2610" s="13" t="s">
        <v>13210</v>
      </c>
    </row>
    <row r="2611" customFormat="false" ht="15" hidden="false" customHeight="true" outlineLevel="0" collapsed="false">
      <c r="A2611" s="13" t="s">
        <v>301</v>
      </c>
      <c r="B2611" s="13" t="s">
        <v>387</v>
      </c>
      <c r="C2611" s="11" t="s">
        <v>388</v>
      </c>
      <c r="D2611" s="13" t="s">
        <v>13211</v>
      </c>
      <c r="E2611" s="13" t="s">
        <v>13212</v>
      </c>
      <c r="F2611" s="13" t="s">
        <v>13213</v>
      </c>
      <c r="G2611" s="13" t="s">
        <v>13214</v>
      </c>
      <c r="H2611" s="13" t="s">
        <v>13215</v>
      </c>
    </row>
    <row r="2612" customFormat="false" ht="15" hidden="false" customHeight="true" outlineLevel="0" collapsed="false">
      <c r="A2612" s="13" t="s">
        <v>301</v>
      </c>
      <c r="B2612" s="13" t="s">
        <v>394</v>
      </c>
      <c r="C2612" s="11" t="s">
        <v>395</v>
      </c>
      <c r="D2612" s="13" t="s">
        <v>13216</v>
      </c>
      <c r="E2612" s="13" t="s">
        <v>13217</v>
      </c>
      <c r="F2612" s="13" t="s">
        <v>13218</v>
      </c>
      <c r="G2612" s="13" t="s">
        <v>13219</v>
      </c>
      <c r="H2612" s="13" t="s">
        <v>13220</v>
      </c>
    </row>
    <row r="2613" customFormat="false" ht="15" hidden="false" customHeight="true" outlineLevel="0" collapsed="false">
      <c r="A2613" s="13" t="s">
        <v>301</v>
      </c>
      <c r="B2613" s="13" t="s">
        <v>401</v>
      </c>
      <c r="C2613" s="11" t="s">
        <v>402</v>
      </c>
      <c r="D2613" s="13" t="s">
        <v>6982</v>
      </c>
      <c r="E2613" s="13" t="s">
        <v>13221</v>
      </c>
      <c r="F2613" s="13" t="s">
        <v>13222</v>
      </c>
      <c r="G2613" s="13" t="s">
        <v>13223</v>
      </c>
      <c r="H2613" s="13" t="s">
        <v>13224</v>
      </c>
    </row>
    <row r="2614" customFormat="false" ht="15" hidden="false" customHeight="true" outlineLevel="0" collapsed="false">
      <c r="A2614" s="13" t="s">
        <v>301</v>
      </c>
      <c r="B2614" s="13" t="s">
        <v>408</v>
      </c>
      <c r="C2614" s="11" t="s">
        <v>409</v>
      </c>
      <c r="D2614" s="13" t="s">
        <v>13225</v>
      </c>
      <c r="E2614" s="13" t="s">
        <v>13226</v>
      </c>
      <c r="F2614" s="13" t="s">
        <v>13227</v>
      </c>
      <c r="G2614" s="13" t="s">
        <v>13228</v>
      </c>
      <c r="H2614" s="13" t="s">
        <v>13229</v>
      </c>
    </row>
    <row r="2615" customFormat="false" ht="15" hidden="false" customHeight="true" outlineLevel="0" collapsed="false">
      <c r="A2615" s="13" t="s">
        <v>301</v>
      </c>
      <c r="B2615" s="13" t="s">
        <v>415</v>
      </c>
      <c r="C2615" s="11" t="s">
        <v>416</v>
      </c>
      <c r="D2615" s="13" t="s">
        <v>13230</v>
      </c>
      <c r="E2615" s="13" t="s">
        <v>13231</v>
      </c>
      <c r="F2615" s="13" t="s">
        <v>13232</v>
      </c>
      <c r="G2615" s="13" t="s">
        <v>13233</v>
      </c>
      <c r="H2615" s="13" t="s">
        <v>13234</v>
      </c>
    </row>
    <row r="2616" customFormat="false" ht="15" hidden="false" customHeight="true" outlineLevel="0" collapsed="false">
      <c r="A2616" s="13" t="s">
        <v>301</v>
      </c>
      <c r="B2616" s="13" t="s">
        <v>422</v>
      </c>
      <c r="C2616" s="11" t="s">
        <v>423</v>
      </c>
      <c r="D2616" s="13" t="s">
        <v>13235</v>
      </c>
      <c r="E2616" s="13" t="s">
        <v>13236</v>
      </c>
      <c r="F2616" s="13" t="s">
        <v>13237</v>
      </c>
      <c r="G2616" s="13" t="s">
        <v>13238</v>
      </c>
      <c r="H2616" s="13" t="s">
        <v>13239</v>
      </c>
    </row>
    <row r="2617" customFormat="false" ht="15" hidden="false" customHeight="true" outlineLevel="0" collapsed="false">
      <c r="A2617" s="13" t="s">
        <v>301</v>
      </c>
      <c r="B2617" s="13" t="s">
        <v>429</v>
      </c>
      <c r="C2617" s="11" t="s">
        <v>430</v>
      </c>
      <c r="D2617" s="13" t="s">
        <v>13240</v>
      </c>
      <c r="E2617" s="13" t="s">
        <v>13241</v>
      </c>
      <c r="F2617" s="13" t="s">
        <v>4449</v>
      </c>
      <c r="G2617" s="13" t="s">
        <v>13242</v>
      </c>
      <c r="H2617" s="13" t="s">
        <v>13243</v>
      </c>
    </row>
    <row r="2618" customFormat="false" ht="15" hidden="false" customHeight="true" outlineLevel="0" collapsed="false">
      <c r="A2618" s="13" t="s">
        <v>301</v>
      </c>
      <c r="B2618" s="13" t="s">
        <v>436</v>
      </c>
      <c r="C2618" s="11" t="s">
        <v>437</v>
      </c>
      <c r="D2618" s="13" t="s">
        <v>13244</v>
      </c>
      <c r="E2618" s="13" t="s">
        <v>13245</v>
      </c>
      <c r="F2618" s="13" t="s">
        <v>13246</v>
      </c>
      <c r="G2618" s="13" t="s">
        <v>13247</v>
      </c>
      <c r="H2618" s="13" t="s">
        <v>13248</v>
      </c>
    </row>
    <row r="2619" customFormat="false" ht="15" hidden="false" customHeight="true" outlineLevel="0" collapsed="false">
      <c r="A2619" s="13" t="s">
        <v>301</v>
      </c>
      <c r="B2619" s="13" t="s">
        <v>443</v>
      </c>
      <c r="C2619" s="11" t="s">
        <v>444</v>
      </c>
      <c r="D2619" s="13" t="s">
        <v>13249</v>
      </c>
      <c r="E2619" s="13" t="s">
        <v>13250</v>
      </c>
      <c r="F2619" s="13" t="s">
        <v>13251</v>
      </c>
      <c r="G2619" s="13" t="s">
        <v>13252</v>
      </c>
      <c r="H2619" s="13" t="s">
        <v>13253</v>
      </c>
    </row>
    <row r="2620" customFormat="false" ht="15" hidden="false" customHeight="true" outlineLevel="0" collapsed="false">
      <c r="A2620" s="13" t="s">
        <v>301</v>
      </c>
      <c r="B2620" s="13" t="s">
        <v>450</v>
      </c>
      <c r="C2620" s="11" t="s">
        <v>451</v>
      </c>
      <c r="D2620" s="13" t="s">
        <v>13254</v>
      </c>
      <c r="E2620" s="13" t="s">
        <v>13255</v>
      </c>
      <c r="F2620" s="13" t="s">
        <v>13256</v>
      </c>
      <c r="G2620" s="13" t="s">
        <v>13257</v>
      </c>
      <c r="H2620" s="13" t="s">
        <v>13258</v>
      </c>
    </row>
    <row r="2621" customFormat="false" ht="15" hidden="false" customHeight="true" outlineLevel="0" collapsed="false">
      <c r="A2621" s="13" t="s">
        <v>301</v>
      </c>
      <c r="B2621" s="13" t="s">
        <v>457</v>
      </c>
      <c r="C2621" s="11" t="s">
        <v>458</v>
      </c>
      <c r="D2621" s="13" t="s">
        <v>13259</v>
      </c>
      <c r="E2621" s="13" t="s">
        <v>13260</v>
      </c>
      <c r="F2621" s="13" t="s">
        <v>13261</v>
      </c>
      <c r="G2621" s="13" t="s">
        <v>13262</v>
      </c>
      <c r="H2621" s="13" t="s">
        <v>13263</v>
      </c>
    </row>
    <row r="2622" customFormat="false" ht="15" hidden="false" customHeight="true" outlineLevel="0" collapsed="false">
      <c r="A2622" s="13" t="s">
        <v>301</v>
      </c>
      <c r="B2622" s="13" t="s">
        <v>464</v>
      </c>
      <c r="C2622" s="11" t="s">
        <v>465</v>
      </c>
      <c r="D2622" s="13" t="s">
        <v>13264</v>
      </c>
      <c r="E2622" s="13" t="s">
        <v>13265</v>
      </c>
      <c r="F2622" s="13" t="s">
        <v>13266</v>
      </c>
      <c r="G2622" s="13" t="s">
        <v>13267</v>
      </c>
      <c r="H2622" s="13" t="s">
        <v>13268</v>
      </c>
    </row>
    <row r="2623" customFormat="false" ht="15" hidden="false" customHeight="true" outlineLevel="0" collapsed="false">
      <c r="A2623" s="13" t="s">
        <v>301</v>
      </c>
      <c r="B2623" s="13" t="s">
        <v>471</v>
      </c>
      <c r="C2623" s="11" t="s">
        <v>472</v>
      </c>
      <c r="D2623" s="13" t="s">
        <v>13269</v>
      </c>
      <c r="E2623" s="13" t="s">
        <v>13270</v>
      </c>
      <c r="F2623" s="13" t="s">
        <v>13271</v>
      </c>
      <c r="G2623" s="13" t="s">
        <v>13272</v>
      </c>
      <c r="H2623" s="13" t="s">
        <v>13273</v>
      </c>
    </row>
    <row r="2624" customFormat="false" ht="15" hidden="false" customHeight="true" outlineLevel="0" collapsed="false">
      <c r="A2624" s="13" t="s">
        <v>301</v>
      </c>
      <c r="B2624" s="13" t="s">
        <v>478</v>
      </c>
      <c r="C2624" s="11" t="s">
        <v>479</v>
      </c>
      <c r="D2624" s="13" t="s">
        <v>13274</v>
      </c>
      <c r="E2624" s="13" t="s">
        <v>13275</v>
      </c>
      <c r="F2624" s="13" t="s">
        <v>13276</v>
      </c>
      <c r="G2624" s="13" t="s">
        <v>13277</v>
      </c>
      <c r="H2624" s="13" t="s">
        <v>13278</v>
      </c>
    </row>
    <row r="2625" customFormat="false" ht="15" hidden="false" customHeight="true" outlineLevel="0" collapsed="false">
      <c r="A2625" s="13" t="s">
        <v>301</v>
      </c>
      <c r="B2625" s="13" t="s">
        <v>485</v>
      </c>
      <c r="C2625" s="11" t="s">
        <v>486</v>
      </c>
      <c r="D2625" s="13" t="s">
        <v>13279</v>
      </c>
      <c r="E2625" s="13" t="s">
        <v>13280</v>
      </c>
      <c r="F2625" s="13" t="s">
        <v>13281</v>
      </c>
      <c r="G2625" s="13" t="s">
        <v>13282</v>
      </c>
      <c r="H2625" s="13" t="s">
        <v>13283</v>
      </c>
    </row>
    <row r="2626" customFormat="false" ht="15" hidden="false" customHeight="true" outlineLevel="0" collapsed="false">
      <c r="A2626" s="13" t="s">
        <v>301</v>
      </c>
      <c r="B2626" s="13" t="s">
        <v>492</v>
      </c>
      <c r="C2626" s="11" t="s">
        <v>493</v>
      </c>
      <c r="D2626" s="13" t="s">
        <v>13284</v>
      </c>
      <c r="E2626" s="13" t="s">
        <v>13285</v>
      </c>
      <c r="F2626" s="13" t="s">
        <v>13286</v>
      </c>
      <c r="G2626" s="13" t="s">
        <v>13287</v>
      </c>
      <c r="H2626" s="13" t="s">
        <v>13288</v>
      </c>
    </row>
    <row r="2627" customFormat="false" ht="15" hidden="false" customHeight="true" outlineLevel="0" collapsed="false">
      <c r="A2627" s="13" t="s">
        <v>301</v>
      </c>
      <c r="B2627" s="13" t="s">
        <v>499</v>
      </c>
      <c r="C2627" s="11" t="s">
        <v>500</v>
      </c>
      <c r="D2627" s="13" t="s">
        <v>13289</v>
      </c>
      <c r="E2627" s="13" t="s">
        <v>13290</v>
      </c>
      <c r="F2627" s="13" t="s">
        <v>13291</v>
      </c>
      <c r="G2627" s="13" t="s">
        <v>13292</v>
      </c>
      <c r="H2627" s="13" t="s">
        <v>13293</v>
      </c>
    </row>
    <row r="2628" customFormat="false" ht="15" hidden="false" customHeight="true" outlineLevel="0" collapsed="false">
      <c r="A2628" s="13" t="s">
        <v>301</v>
      </c>
      <c r="B2628" s="13" t="s">
        <v>506</v>
      </c>
      <c r="C2628" s="11" t="s">
        <v>507</v>
      </c>
      <c r="D2628" s="13" t="s">
        <v>13294</v>
      </c>
      <c r="E2628" s="13" t="s">
        <v>13295</v>
      </c>
      <c r="F2628" s="13" t="s">
        <v>13296</v>
      </c>
      <c r="G2628" s="13" t="s">
        <v>13297</v>
      </c>
      <c r="H2628" s="13" t="s">
        <v>13298</v>
      </c>
    </row>
    <row r="2629" customFormat="false" ht="15" hidden="false" customHeight="true" outlineLevel="0" collapsed="false">
      <c r="A2629" s="13" t="s">
        <v>301</v>
      </c>
      <c r="B2629" s="13" t="s">
        <v>513</v>
      </c>
      <c r="C2629" s="11" t="s">
        <v>514</v>
      </c>
      <c r="D2629" s="13" t="s">
        <v>13299</v>
      </c>
      <c r="E2629" s="13" t="s">
        <v>735</v>
      </c>
      <c r="F2629" s="13" t="s">
        <v>13300</v>
      </c>
      <c r="G2629" s="13" t="s">
        <v>13301</v>
      </c>
      <c r="H2629" s="13" t="s">
        <v>13302</v>
      </c>
    </row>
    <row r="2630" customFormat="false" ht="15" hidden="false" customHeight="true" outlineLevel="0" collapsed="false">
      <c r="A2630" s="13" t="s">
        <v>301</v>
      </c>
      <c r="B2630" s="13" t="s">
        <v>520</v>
      </c>
      <c r="C2630" s="11" t="s">
        <v>521</v>
      </c>
      <c r="D2630" s="13" t="s">
        <v>13303</v>
      </c>
      <c r="E2630" s="13" t="s">
        <v>13304</v>
      </c>
      <c r="F2630" s="13" t="s">
        <v>13305</v>
      </c>
      <c r="G2630" s="13" t="s">
        <v>13306</v>
      </c>
      <c r="H2630" s="13" t="s">
        <v>13307</v>
      </c>
    </row>
    <row r="2631" customFormat="false" ht="15" hidden="false" customHeight="true" outlineLevel="0" collapsed="false">
      <c r="A2631" s="13" t="s">
        <v>301</v>
      </c>
      <c r="B2631" s="13" t="s">
        <v>527</v>
      </c>
      <c r="C2631" s="11" t="s">
        <v>528</v>
      </c>
      <c r="D2631" s="13" t="s">
        <v>13308</v>
      </c>
      <c r="E2631" s="13" t="s">
        <v>13309</v>
      </c>
      <c r="F2631" s="13" t="s">
        <v>13310</v>
      </c>
      <c r="G2631" s="13" t="s">
        <v>13311</v>
      </c>
      <c r="H2631" s="13" t="s">
        <v>13312</v>
      </c>
    </row>
    <row r="2632" customFormat="false" ht="15" hidden="false" customHeight="true" outlineLevel="0" collapsed="false">
      <c r="A2632" s="13" t="s">
        <v>301</v>
      </c>
      <c r="B2632" s="13" t="s">
        <v>534</v>
      </c>
      <c r="C2632" s="11" t="s">
        <v>535</v>
      </c>
      <c r="D2632" s="13" t="s">
        <v>13313</v>
      </c>
      <c r="E2632" s="13" t="s">
        <v>13314</v>
      </c>
      <c r="F2632" s="13" t="s">
        <v>13315</v>
      </c>
      <c r="G2632" s="13" t="s">
        <v>13316</v>
      </c>
      <c r="H2632" s="13" t="s">
        <v>13317</v>
      </c>
    </row>
    <row r="2633" customFormat="false" ht="15" hidden="false" customHeight="true" outlineLevel="0" collapsed="false">
      <c r="A2633" s="13" t="s">
        <v>301</v>
      </c>
      <c r="B2633" s="13" t="s">
        <v>541</v>
      </c>
      <c r="C2633" s="11" t="s">
        <v>542</v>
      </c>
      <c r="D2633" s="13" t="s">
        <v>13318</v>
      </c>
      <c r="E2633" s="13" t="s">
        <v>13319</v>
      </c>
      <c r="F2633" s="13" t="s">
        <v>13320</v>
      </c>
      <c r="G2633" s="13" t="s">
        <v>13321</v>
      </c>
      <c r="H2633" s="13" t="s">
        <v>13322</v>
      </c>
    </row>
    <row r="2634" customFormat="false" ht="15" hidden="false" customHeight="true" outlineLevel="0" collapsed="false">
      <c r="A2634" s="13" t="s">
        <v>301</v>
      </c>
      <c r="B2634" s="13" t="s">
        <v>548</v>
      </c>
      <c r="C2634" s="11" t="s">
        <v>549</v>
      </c>
      <c r="D2634" s="13" t="s">
        <v>13323</v>
      </c>
      <c r="E2634" s="13" t="s">
        <v>13324</v>
      </c>
      <c r="F2634" s="13" t="s">
        <v>13325</v>
      </c>
      <c r="G2634" s="13" t="s">
        <v>13326</v>
      </c>
      <c r="H2634" s="13" t="s">
        <v>13327</v>
      </c>
    </row>
    <row r="2635" customFormat="false" ht="15" hidden="false" customHeight="true" outlineLevel="0" collapsed="false">
      <c r="A2635" s="13" t="s">
        <v>301</v>
      </c>
      <c r="B2635" s="13" t="s">
        <v>555</v>
      </c>
      <c r="C2635" s="11" t="s">
        <v>556</v>
      </c>
      <c r="D2635" s="13" t="s">
        <v>13328</v>
      </c>
      <c r="E2635" s="13" t="s">
        <v>13329</v>
      </c>
      <c r="F2635" s="13" t="s">
        <v>13330</v>
      </c>
      <c r="G2635" s="13" t="s">
        <v>13331</v>
      </c>
      <c r="H2635" s="13" t="s">
        <v>13332</v>
      </c>
    </row>
    <row r="2636" customFormat="false" ht="15" hidden="false" customHeight="true" outlineLevel="0" collapsed="false">
      <c r="A2636" s="13" t="s">
        <v>301</v>
      </c>
      <c r="B2636" s="13" t="s">
        <v>562</v>
      </c>
      <c r="C2636" s="11" t="s">
        <v>563</v>
      </c>
      <c r="D2636" s="13" t="s">
        <v>13333</v>
      </c>
      <c r="E2636" s="13" t="s">
        <v>13334</v>
      </c>
      <c r="F2636" s="13" t="s">
        <v>13335</v>
      </c>
      <c r="G2636" s="13" t="s">
        <v>13336</v>
      </c>
      <c r="H2636" s="13" t="s">
        <v>13337</v>
      </c>
    </row>
    <row r="2637" customFormat="false" ht="15" hidden="false" customHeight="true" outlineLevel="0" collapsed="false">
      <c r="A2637" s="13" t="s">
        <v>301</v>
      </c>
      <c r="B2637" s="13" t="s">
        <v>569</v>
      </c>
      <c r="C2637" s="11" t="s">
        <v>570</v>
      </c>
      <c r="D2637" s="13" t="s">
        <v>13338</v>
      </c>
      <c r="E2637" s="13" t="s">
        <v>13339</v>
      </c>
      <c r="F2637" s="13" t="s">
        <v>13340</v>
      </c>
      <c r="G2637" s="13" t="s">
        <v>13341</v>
      </c>
      <c r="H2637" s="13" t="s">
        <v>13342</v>
      </c>
    </row>
    <row r="2638" customFormat="false" ht="15" hidden="false" customHeight="true" outlineLevel="0" collapsed="false">
      <c r="A2638" s="13" t="s">
        <v>301</v>
      </c>
      <c r="B2638" s="13" t="s">
        <v>576</v>
      </c>
      <c r="C2638" s="11" t="s">
        <v>577</v>
      </c>
      <c r="D2638" s="13" t="s">
        <v>13343</v>
      </c>
      <c r="E2638" s="13" t="s">
        <v>13344</v>
      </c>
      <c r="F2638" s="13" t="s">
        <v>13345</v>
      </c>
      <c r="G2638" s="13" t="s">
        <v>13346</v>
      </c>
      <c r="H2638" s="13" t="s">
        <v>13347</v>
      </c>
    </row>
    <row r="2639" customFormat="false" ht="15" hidden="false" customHeight="true" outlineLevel="0" collapsed="false">
      <c r="A2639" s="13" t="s">
        <v>301</v>
      </c>
      <c r="B2639" s="13" t="s">
        <v>583</v>
      </c>
      <c r="C2639" s="11" t="s">
        <v>584</v>
      </c>
      <c r="D2639" s="13" t="s">
        <v>13348</v>
      </c>
      <c r="E2639" s="13" t="s">
        <v>13349</v>
      </c>
      <c r="F2639" s="13" t="s">
        <v>13350</v>
      </c>
      <c r="G2639" s="13" t="s">
        <v>13351</v>
      </c>
      <c r="H2639" s="13" t="s">
        <v>13352</v>
      </c>
    </row>
    <row r="2640" customFormat="false" ht="15" hidden="false" customHeight="true" outlineLevel="0" collapsed="false">
      <c r="A2640" s="13" t="s">
        <v>301</v>
      </c>
      <c r="B2640" s="13" t="s">
        <v>590</v>
      </c>
      <c r="C2640" s="11" t="s">
        <v>591</v>
      </c>
      <c r="D2640" s="13" t="s">
        <v>13353</v>
      </c>
      <c r="E2640" s="13" t="s">
        <v>13354</v>
      </c>
      <c r="F2640" s="13" t="s">
        <v>13355</v>
      </c>
      <c r="G2640" s="13" t="s">
        <v>13356</v>
      </c>
      <c r="H2640" s="13" t="s">
        <v>13357</v>
      </c>
    </row>
    <row r="2641" customFormat="false" ht="15" hidden="false" customHeight="true" outlineLevel="0" collapsed="false">
      <c r="A2641" s="13" t="s">
        <v>301</v>
      </c>
      <c r="B2641" s="13" t="s">
        <v>597</v>
      </c>
      <c r="C2641" s="11" t="s">
        <v>598</v>
      </c>
      <c r="D2641" s="13" t="s">
        <v>13358</v>
      </c>
      <c r="E2641" s="13" t="s">
        <v>13359</v>
      </c>
      <c r="F2641" s="13" t="s">
        <v>13360</v>
      </c>
      <c r="G2641" s="13" t="s">
        <v>13361</v>
      </c>
      <c r="H2641" s="13" t="s">
        <v>13362</v>
      </c>
    </row>
    <row r="2642" customFormat="false" ht="15" hidden="false" customHeight="true" outlineLevel="0" collapsed="false">
      <c r="A2642" s="13" t="s">
        <v>301</v>
      </c>
      <c r="B2642" s="13" t="s">
        <v>604</v>
      </c>
      <c r="C2642" s="11" t="s">
        <v>605</v>
      </c>
      <c r="D2642" s="13" t="s">
        <v>13363</v>
      </c>
      <c r="E2642" s="13" t="s">
        <v>13364</v>
      </c>
      <c r="F2642" s="13" t="s">
        <v>13365</v>
      </c>
      <c r="G2642" s="13" t="s">
        <v>13366</v>
      </c>
      <c r="H2642" s="13" t="s">
        <v>13367</v>
      </c>
    </row>
    <row r="2643" customFormat="false" ht="15" hidden="false" customHeight="true" outlineLevel="0" collapsed="false">
      <c r="A2643" s="13" t="s">
        <v>301</v>
      </c>
      <c r="B2643" s="13" t="s">
        <v>611</v>
      </c>
      <c r="C2643" s="11" t="s">
        <v>612</v>
      </c>
      <c r="D2643" s="13" t="s">
        <v>13368</v>
      </c>
      <c r="E2643" s="13" t="s">
        <v>13369</v>
      </c>
      <c r="F2643" s="13" t="s">
        <v>13370</v>
      </c>
      <c r="G2643" s="13" t="s">
        <v>13371</v>
      </c>
      <c r="H2643" s="13" t="s">
        <v>13372</v>
      </c>
    </row>
    <row r="2644" customFormat="false" ht="15" hidden="false" customHeight="true" outlineLevel="0" collapsed="false">
      <c r="A2644" s="13" t="s">
        <v>301</v>
      </c>
      <c r="B2644" s="13" t="s">
        <v>618</v>
      </c>
      <c r="C2644" s="11" t="s">
        <v>619</v>
      </c>
      <c r="D2644" s="13" t="s">
        <v>13373</v>
      </c>
      <c r="E2644" s="13" t="s">
        <v>13374</v>
      </c>
      <c r="F2644" s="13" t="s">
        <v>13375</v>
      </c>
      <c r="G2644" s="13" t="s">
        <v>13376</v>
      </c>
      <c r="H2644" s="13" t="s">
        <v>13377</v>
      </c>
    </row>
    <row r="2645" customFormat="false" ht="15" hidden="false" customHeight="true" outlineLevel="0" collapsed="false">
      <c r="A2645" s="13" t="s">
        <v>301</v>
      </c>
      <c r="B2645" s="13" t="s">
        <v>625</v>
      </c>
      <c r="C2645" s="11" t="s">
        <v>626</v>
      </c>
      <c r="D2645" s="13" t="s">
        <v>13378</v>
      </c>
      <c r="E2645" s="13" t="s">
        <v>13379</v>
      </c>
      <c r="F2645" s="13" t="s">
        <v>13380</v>
      </c>
      <c r="G2645" s="13" t="s">
        <v>13381</v>
      </c>
      <c r="H2645" s="13" t="s">
        <v>10468</v>
      </c>
    </row>
    <row r="2646" customFormat="false" ht="15" hidden="false" customHeight="true" outlineLevel="0" collapsed="false">
      <c r="A2646" s="13" t="s">
        <v>301</v>
      </c>
      <c r="B2646" s="13" t="s">
        <v>632</v>
      </c>
      <c r="C2646" s="11" t="s">
        <v>633</v>
      </c>
      <c r="D2646" s="13" t="s">
        <v>13382</v>
      </c>
      <c r="E2646" s="13" t="s">
        <v>13383</v>
      </c>
      <c r="F2646" s="13" t="s">
        <v>13384</v>
      </c>
      <c r="G2646" s="13" t="s">
        <v>13385</v>
      </c>
      <c r="H2646" s="13" t="s">
        <v>13386</v>
      </c>
    </row>
    <row r="2647" customFormat="false" ht="15" hidden="false" customHeight="true" outlineLevel="0" collapsed="false">
      <c r="A2647" s="13" t="s">
        <v>301</v>
      </c>
      <c r="B2647" s="13" t="s">
        <v>639</v>
      </c>
      <c r="C2647" s="11" t="s">
        <v>640</v>
      </c>
      <c r="D2647" s="13" t="s">
        <v>13387</v>
      </c>
      <c r="E2647" s="13" t="s">
        <v>13388</v>
      </c>
      <c r="F2647" s="13" t="s">
        <v>13389</v>
      </c>
      <c r="G2647" s="13" t="s">
        <v>13390</v>
      </c>
      <c r="H2647" s="13" t="s">
        <v>13391</v>
      </c>
    </row>
    <row r="2648" customFormat="false" ht="15" hidden="false" customHeight="true" outlineLevel="0" collapsed="false">
      <c r="A2648" s="13" t="s">
        <v>301</v>
      </c>
      <c r="B2648" s="13" t="s">
        <v>646</v>
      </c>
      <c r="C2648" s="11" t="s">
        <v>647</v>
      </c>
      <c r="D2648" s="13" t="s">
        <v>13392</v>
      </c>
      <c r="E2648" s="13" t="s">
        <v>13393</v>
      </c>
      <c r="F2648" s="13" t="s">
        <v>13394</v>
      </c>
      <c r="G2648" s="13" t="s">
        <v>13395</v>
      </c>
      <c r="H2648" s="13" t="s">
        <v>13396</v>
      </c>
    </row>
    <row r="2649" customFormat="false" ht="15" hidden="false" customHeight="true" outlineLevel="0" collapsed="false">
      <c r="A2649" s="13" t="s">
        <v>301</v>
      </c>
      <c r="B2649" s="13" t="s">
        <v>653</v>
      </c>
      <c r="C2649" s="11" t="s">
        <v>654</v>
      </c>
      <c r="D2649" s="13" t="s">
        <v>3629</v>
      </c>
      <c r="E2649" s="13" t="s">
        <v>1720</v>
      </c>
      <c r="F2649" s="13" t="s">
        <v>13397</v>
      </c>
      <c r="G2649" s="13" t="s">
        <v>13398</v>
      </c>
      <c r="H2649" s="13" t="s">
        <v>13399</v>
      </c>
    </row>
    <row r="2650" customFormat="false" ht="15" hidden="false" customHeight="true" outlineLevel="0" collapsed="false">
      <c r="A2650" s="13" t="s">
        <v>301</v>
      </c>
      <c r="B2650" s="13" t="s">
        <v>660</v>
      </c>
      <c r="C2650" s="11" t="s">
        <v>661</v>
      </c>
      <c r="D2650" s="13" t="s">
        <v>13400</v>
      </c>
      <c r="E2650" s="13" t="s">
        <v>3471</v>
      </c>
      <c r="F2650" s="13" t="s">
        <v>13401</v>
      </c>
      <c r="G2650" s="13" t="s">
        <v>13402</v>
      </c>
      <c r="H2650" s="13" t="s">
        <v>13403</v>
      </c>
    </row>
    <row r="2651" customFormat="false" ht="15" hidden="false" customHeight="true" outlineLevel="0" collapsed="false">
      <c r="A2651" s="13" t="s">
        <v>301</v>
      </c>
      <c r="B2651" s="13" t="s">
        <v>667</v>
      </c>
      <c r="C2651" s="11" t="s">
        <v>668</v>
      </c>
      <c r="D2651" s="13" t="s">
        <v>13404</v>
      </c>
      <c r="E2651" s="13" t="s">
        <v>13405</v>
      </c>
      <c r="F2651" s="13" t="s">
        <v>13406</v>
      </c>
      <c r="G2651" s="13" t="s">
        <v>13407</v>
      </c>
      <c r="H2651" s="13" t="s">
        <v>13408</v>
      </c>
    </row>
    <row r="2652" customFormat="false" ht="15" hidden="false" customHeight="true" outlineLevel="0" collapsed="false">
      <c r="A2652" s="13" t="s">
        <v>301</v>
      </c>
      <c r="B2652" s="13" t="s">
        <v>674</v>
      </c>
      <c r="C2652" s="11" t="s">
        <v>675</v>
      </c>
      <c r="D2652" s="13" t="s">
        <v>13409</v>
      </c>
      <c r="E2652" s="13" t="s">
        <v>13410</v>
      </c>
      <c r="F2652" s="13" t="s">
        <v>13411</v>
      </c>
      <c r="G2652" s="13" t="s">
        <v>13412</v>
      </c>
      <c r="H2652" s="13" t="s">
        <v>13413</v>
      </c>
    </row>
    <row r="2653" customFormat="false" ht="15" hidden="false" customHeight="true" outlineLevel="0" collapsed="false">
      <c r="A2653" s="13" t="s">
        <v>301</v>
      </c>
      <c r="B2653" s="13" t="s">
        <v>681</v>
      </c>
      <c r="C2653" s="11" t="s">
        <v>682</v>
      </c>
      <c r="D2653" s="13" t="s">
        <v>13414</v>
      </c>
      <c r="E2653" s="13" t="s">
        <v>13415</v>
      </c>
      <c r="F2653" s="13" t="s">
        <v>13416</v>
      </c>
      <c r="G2653" s="13" t="s">
        <v>13417</v>
      </c>
      <c r="H2653" s="13" t="s">
        <v>13418</v>
      </c>
    </row>
    <row r="2654" customFormat="false" ht="15" hidden="false" customHeight="true" outlineLevel="0" collapsed="false">
      <c r="A2654" s="13" t="s">
        <v>301</v>
      </c>
      <c r="B2654" s="13" t="s">
        <v>688</v>
      </c>
      <c r="C2654" s="11" t="s">
        <v>689</v>
      </c>
      <c r="D2654" s="13" t="s">
        <v>5541</v>
      </c>
      <c r="E2654" s="13" t="s">
        <v>13419</v>
      </c>
      <c r="F2654" s="13" t="s">
        <v>13420</v>
      </c>
      <c r="G2654" s="13" t="s">
        <v>13421</v>
      </c>
      <c r="H2654" s="13" t="s">
        <v>13422</v>
      </c>
    </row>
    <row r="2655" customFormat="false" ht="15" hidden="false" customHeight="true" outlineLevel="0" collapsed="false">
      <c r="A2655" s="13" t="s">
        <v>301</v>
      </c>
      <c r="B2655" s="13" t="s">
        <v>695</v>
      </c>
      <c r="C2655" s="11" t="s">
        <v>696</v>
      </c>
      <c r="D2655" s="13" t="s">
        <v>6556</v>
      </c>
      <c r="E2655" s="13" t="s">
        <v>13423</v>
      </c>
      <c r="F2655" s="13" t="s">
        <v>13424</v>
      </c>
      <c r="G2655" s="13" t="s">
        <v>13425</v>
      </c>
      <c r="H2655" s="13" t="s">
        <v>13426</v>
      </c>
    </row>
    <row r="2656" customFormat="false" ht="15" hidden="false" customHeight="true" outlineLevel="0" collapsed="false">
      <c r="A2656" s="13" t="s">
        <v>301</v>
      </c>
      <c r="B2656" s="13" t="s">
        <v>702</v>
      </c>
      <c r="C2656" s="11" t="s">
        <v>703</v>
      </c>
      <c r="D2656" s="13" t="s">
        <v>13427</v>
      </c>
      <c r="E2656" s="13" t="s">
        <v>13428</v>
      </c>
      <c r="F2656" s="13" t="s">
        <v>13429</v>
      </c>
      <c r="G2656" s="13" t="s">
        <v>13430</v>
      </c>
      <c r="H2656" s="13" t="s">
        <v>13431</v>
      </c>
    </row>
    <row r="2657" customFormat="false" ht="15" hidden="false" customHeight="true" outlineLevel="0" collapsed="false">
      <c r="A2657" s="13" t="s">
        <v>301</v>
      </c>
      <c r="B2657" s="13" t="s">
        <v>709</v>
      </c>
      <c r="C2657" s="11" t="s">
        <v>710</v>
      </c>
      <c r="D2657" s="13" t="s">
        <v>7387</v>
      </c>
      <c r="E2657" s="13" t="s">
        <v>12467</v>
      </c>
      <c r="F2657" s="13" t="s">
        <v>13432</v>
      </c>
      <c r="G2657" s="13" t="s">
        <v>13433</v>
      </c>
      <c r="H2657" s="13" t="s">
        <v>13434</v>
      </c>
    </row>
    <row r="2658" customFormat="false" ht="15" hidden="false" customHeight="true" outlineLevel="0" collapsed="false">
      <c r="A2658" s="13" t="s">
        <v>301</v>
      </c>
      <c r="B2658" s="13" t="s">
        <v>716</v>
      </c>
      <c r="C2658" s="11" t="s">
        <v>717</v>
      </c>
      <c r="D2658" s="13" t="s">
        <v>13435</v>
      </c>
      <c r="E2658" s="13" t="s">
        <v>13436</v>
      </c>
      <c r="F2658" s="13" t="s">
        <v>13437</v>
      </c>
      <c r="G2658" s="13" t="s">
        <v>13438</v>
      </c>
      <c r="H2658" s="13" t="s">
        <v>13439</v>
      </c>
    </row>
    <row r="2659" customFormat="false" ht="15" hidden="false" customHeight="true" outlineLevel="0" collapsed="false">
      <c r="A2659" s="13" t="s">
        <v>301</v>
      </c>
      <c r="B2659" s="13" t="s">
        <v>723</v>
      </c>
      <c r="C2659" s="11" t="s">
        <v>724</v>
      </c>
      <c r="D2659" s="13" t="s">
        <v>13440</v>
      </c>
      <c r="E2659" s="13" t="s">
        <v>13441</v>
      </c>
      <c r="F2659" s="13" t="s">
        <v>13442</v>
      </c>
      <c r="G2659" s="13" t="s">
        <v>13443</v>
      </c>
      <c r="H2659" s="13" t="s">
        <v>13444</v>
      </c>
    </row>
    <row r="2660" customFormat="false" ht="15" hidden="false" customHeight="true" outlineLevel="0" collapsed="false">
      <c r="A2660" s="13" t="s">
        <v>301</v>
      </c>
      <c r="B2660" s="13" t="s">
        <v>730</v>
      </c>
      <c r="C2660" s="11" t="s">
        <v>731</v>
      </c>
      <c r="D2660" s="13" t="s">
        <v>13445</v>
      </c>
      <c r="E2660" s="13" t="s">
        <v>13446</v>
      </c>
      <c r="F2660" s="13" t="s">
        <v>13447</v>
      </c>
      <c r="G2660" s="13" t="s">
        <v>13448</v>
      </c>
      <c r="H2660" s="13" t="s">
        <v>13449</v>
      </c>
    </row>
    <row r="2661" customFormat="false" ht="15" hidden="false" customHeight="true" outlineLevel="0" collapsed="false">
      <c r="A2661" s="13" t="s">
        <v>301</v>
      </c>
      <c r="B2661" s="13" t="s">
        <v>737</v>
      </c>
      <c r="C2661" s="11" t="s">
        <v>738</v>
      </c>
      <c r="D2661" s="13" t="s">
        <v>13450</v>
      </c>
      <c r="E2661" s="13" t="s">
        <v>8120</v>
      </c>
      <c r="F2661" s="13" t="s">
        <v>13451</v>
      </c>
      <c r="G2661" s="13" t="s">
        <v>13452</v>
      </c>
      <c r="H2661" s="13" t="s">
        <v>13453</v>
      </c>
    </row>
    <row r="2662" customFormat="false" ht="15" hidden="false" customHeight="true" outlineLevel="0" collapsed="false">
      <c r="A2662" s="13" t="s">
        <v>301</v>
      </c>
      <c r="B2662" s="13" t="s">
        <v>744</v>
      </c>
      <c r="C2662" s="11" t="s">
        <v>745</v>
      </c>
      <c r="D2662" s="13" t="s">
        <v>13454</v>
      </c>
      <c r="E2662" s="13" t="s">
        <v>13455</v>
      </c>
      <c r="F2662" s="13" t="s">
        <v>13456</v>
      </c>
      <c r="G2662" s="13" t="s">
        <v>13457</v>
      </c>
      <c r="H2662" s="13" t="s">
        <v>13458</v>
      </c>
    </row>
    <row r="2663" customFormat="false" ht="15" hidden="false" customHeight="true" outlineLevel="0" collapsed="false">
      <c r="A2663" s="13" t="s">
        <v>301</v>
      </c>
      <c r="B2663" s="13" t="s">
        <v>751</v>
      </c>
      <c r="C2663" s="11" t="s">
        <v>752</v>
      </c>
      <c r="D2663" s="13" t="s">
        <v>13459</v>
      </c>
      <c r="E2663" s="13" t="s">
        <v>13460</v>
      </c>
      <c r="F2663" s="13" t="s">
        <v>13461</v>
      </c>
      <c r="G2663" s="13" t="s">
        <v>13462</v>
      </c>
      <c r="H2663" s="13" t="s">
        <v>13463</v>
      </c>
    </row>
    <row r="2664" customFormat="false" ht="15" hidden="false" customHeight="true" outlineLevel="0" collapsed="false">
      <c r="A2664" s="13" t="s">
        <v>301</v>
      </c>
      <c r="B2664" s="13" t="s">
        <v>758</v>
      </c>
      <c r="C2664" s="11" t="s">
        <v>759</v>
      </c>
      <c r="D2664" s="13" t="s">
        <v>6045</v>
      </c>
      <c r="E2664" s="13" t="s">
        <v>13464</v>
      </c>
      <c r="F2664" s="13" t="s">
        <v>13465</v>
      </c>
      <c r="G2664" s="13" t="s">
        <v>13466</v>
      </c>
      <c r="H2664" s="13" t="s">
        <v>13467</v>
      </c>
    </row>
    <row r="2665" customFormat="false" ht="15" hidden="false" customHeight="true" outlineLevel="0" collapsed="false">
      <c r="A2665" s="13" t="s">
        <v>301</v>
      </c>
      <c r="B2665" s="13" t="s">
        <v>765</v>
      </c>
      <c r="C2665" s="11" t="s">
        <v>766</v>
      </c>
      <c r="D2665" s="13" t="s">
        <v>13468</v>
      </c>
      <c r="E2665" s="13" t="s">
        <v>13469</v>
      </c>
      <c r="F2665" s="13" t="s">
        <v>13470</v>
      </c>
      <c r="G2665" s="13" t="s">
        <v>13471</v>
      </c>
      <c r="H2665" s="13" t="s">
        <v>13472</v>
      </c>
    </row>
    <row r="2666" customFormat="false" ht="15" hidden="false" customHeight="true" outlineLevel="0" collapsed="false">
      <c r="A2666" s="13" t="s">
        <v>301</v>
      </c>
      <c r="B2666" s="13" t="s">
        <v>772</v>
      </c>
      <c r="C2666" s="11" t="s">
        <v>773</v>
      </c>
      <c r="D2666" s="13" t="s">
        <v>13473</v>
      </c>
      <c r="E2666" s="13" t="s">
        <v>13474</v>
      </c>
      <c r="F2666" s="13" t="s">
        <v>13475</v>
      </c>
      <c r="G2666" s="13" t="s">
        <v>13476</v>
      </c>
      <c r="H2666" s="13" t="s">
        <v>13477</v>
      </c>
    </row>
    <row r="2667" customFormat="false" ht="15" hidden="false" customHeight="true" outlineLevel="0" collapsed="false">
      <c r="A2667" s="13" t="s">
        <v>301</v>
      </c>
      <c r="B2667" s="13" t="s">
        <v>779</v>
      </c>
      <c r="C2667" s="11" t="s">
        <v>780</v>
      </c>
      <c r="D2667" s="13" t="s">
        <v>13478</v>
      </c>
      <c r="E2667" s="13" t="s">
        <v>13479</v>
      </c>
      <c r="F2667" s="13" t="s">
        <v>13480</v>
      </c>
      <c r="G2667" s="13" t="s">
        <v>13481</v>
      </c>
      <c r="H2667" s="13" t="s">
        <v>13482</v>
      </c>
    </row>
    <row r="2668" customFormat="false" ht="15" hidden="false" customHeight="true" outlineLevel="0" collapsed="false">
      <c r="A2668" s="13" t="s">
        <v>301</v>
      </c>
      <c r="B2668" s="13" t="s">
        <v>786</v>
      </c>
      <c r="C2668" s="11" t="s">
        <v>787</v>
      </c>
      <c r="D2668" s="13" t="s">
        <v>13483</v>
      </c>
      <c r="E2668" s="13" t="s">
        <v>6700</v>
      </c>
      <c r="F2668" s="13" t="s">
        <v>13484</v>
      </c>
      <c r="G2668" s="13" t="s">
        <v>13485</v>
      </c>
      <c r="H2668" s="13" t="s">
        <v>13486</v>
      </c>
    </row>
    <row r="2669" customFormat="false" ht="15" hidden="false" customHeight="true" outlineLevel="0" collapsed="false">
      <c r="A2669" s="13" t="s">
        <v>301</v>
      </c>
      <c r="B2669" s="13" t="s">
        <v>793</v>
      </c>
      <c r="C2669" s="11" t="s">
        <v>794</v>
      </c>
      <c r="D2669" s="13" t="s">
        <v>13487</v>
      </c>
      <c r="E2669" s="13" t="s">
        <v>13488</v>
      </c>
      <c r="F2669" s="13" t="s">
        <v>12629</v>
      </c>
      <c r="G2669" s="13" t="s">
        <v>13489</v>
      </c>
      <c r="H2669" s="13" t="s">
        <v>13490</v>
      </c>
    </row>
    <row r="2670" customFormat="false" ht="15" hidden="false" customHeight="true" outlineLevel="0" collapsed="false">
      <c r="A2670" s="13" t="s">
        <v>301</v>
      </c>
      <c r="B2670" s="13" t="s">
        <v>800</v>
      </c>
      <c r="C2670" s="11" t="s">
        <v>801</v>
      </c>
      <c r="D2670" s="13" t="s">
        <v>5518</v>
      </c>
      <c r="E2670" s="13" t="s">
        <v>9260</v>
      </c>
      <c r="F2670" s="13" t="s">
        <v>13491</v>
      </c>
      <c r="G2670" s="13" t="s">
        <v>13492</v>
      </c>
      <c r="H2670" s="13" t="s">
        <v>13493</v>
      </c>
    </row>
    <row r="2671" customFormat="false" ht="15" hidden="false" customHeight="true" outlineLevel="0" collapsed="false">
      <c r="A2671" s="13" t="s">
        <v>301</v>
      </c>
      <c r="B2671" s="13" t="s">
        <v>806</v>
      </c>
      <c r="C2671" s="11" t="s">
        <v>807</v>
      </c>
      <c r="D2671" s="13" t="s">
        <v>13147</v>
      </c>
      <c r="E2671" s="13" t="s">
        <v>13494</v>
      </c>
      <c r="F2671" s="13" t="s">
        <v>13495</v>
      </c>
      <c r="G2671" s="13" t="s">
        <v>7089</v>
      </c>
      <c r="H2671" s="13" t="s">
        <v>13496</v>
      </c>
    </row>
    <row r="2672" customFormat="false" ht="15" hidden="false" customHeight="true" outlineLevel="0" collapsed="false">
      <c r="A2672" s="13" t="s">
        <v>301</v>
      </c>
      <c r="B2672" s="13" t="s">
        <v>813</v>
      </c>
      <c r="C2672" s="11" t="s">
        <v>814</v>
      </c>
      <c r="D2672" s="13" t="s">
        <v>13497</v>
      </c>
      <c r="E2672" s="13" t="s">
        <v>13498</v>
      </c>
      <c r="F2672" s="13" t="s">
        <v>13499</v>
      </c>
      <c r="G2672" s="13" t="s">
        <v>13500</v>
      </c>
      <c r="H2672" s="13" t="s">
        <v>13501</v>
      </c>
    </row>
    <row r="2673" customFormat="false" ht="15" hidden="false" customHeight="true" outlineLevel="0" collapsed="false">
      <c r="A2673" s="13" t="s">
        <v>301</v>
      </c>
      <c r="B2673" s="13" t="s">
        <v>820</v>
      </c>
      <c r="C2673" s="11" t="s">
        <v>821</v>
      </c>
      <c r="D2673" s="13" t="s">
        <v>13502</v>
      </c>
      <c r="E2673" s="13" t="s">
        <v>13503</v>
      </c>
      <c r="F2673" s="13" t="s">
        <v>13504</v>
      </c>
      <c r="G2673" s="13" t="s">
        <v>13505</v>
      </c>
      <c r="H2673" s="13" t="s">
        <v>13506</v>
      </c>
    </row>
    <row r="2674" customFormat="false" ht="15" hidden="false" customHeight="true" outlineLevel="0" collapsed="false">
      <c r="A2674" s="13" t="s">
        <v>301</v>
      </c>
      <c r="B2674" s="13" t="s">
        <v>827</v>
      </c>
      <c r="C2674" s="11" t="s">
        <v>828</v>
      </c>
      <c r="D2674" s="13" t="s">
        <v>13507</v>
      </c>
      <c r="E2674" s="13" t="s">
        <v>13508</v>
      </c>
      <c r="F2674" s="13" t="s">
        <v>13509</v>
      </c>
      <c r="G2674" s="13" t="s">
        <v>13510</v>
      </c>
      <c r="H2674" s="13" t="s">
        <v>13511</v>
      </c>
    </row>
    <row r="2675" customFormat="false" ht="15" hidden="false" customHeight="true" outlineLevel="0" collapsed="false">
      <c r="A2675" s="13" t="s">
        <v>301</v>
      </c>
      <c r="B2675" s="13" t="s">
        <v>834</v>
      </c>
      <c r="C2675" s="11" t="s">
        <v>835</v>
      </c>
      <c r="D2675" s="13" t="s">
        <v>13512</v>
      </c>
      <c r="E2675" s="13" t="s">
        <v>13513</v>
      </c>
      <c r="F2675" s="13" t="s">
        <v>13514</v>
      </c>
      <c r="G2675" s="13" t="s">
        <v>13515</v>
      </c>
      <c r="H2675" s="13" t="s">
        <v>13516</v>
      </c>
    </row>
    <row r="2676" customFormat="false" ht="15" hidden="false" customHeight="true" outlineLevel="0" collapsed="false">
      <c r="A2676" s="13" t="s">
        <v>301</v>
      </c>
      <c r="B2676" s="13" t="s">
        <v>841</v>
      </c>
      <c r="C2676" s="11" t="s">
        <v>842</v>
      </c>
      <c r="D2676" s="13" t="s">
        <v>13517</v>
      </c>
      <c r="E2676" s="13" t="s">
        <v>13518</v>
      </c>
      <c r="F2676" s="13" t="s">
        <v>13519</v>
      </c>
      <c r="G2676" s="13" t="s">
        <v>13520</v>
      </c>
      <c r="H2676" s="13" t="s">
        <v>13521</v>
      </c>
    </row>
    <row r="2677" customFormat="false" ht="15" hidden="false" customHeight="true" outlineLevel="0" collapsed="false">
      <c r="A2677" s="13" t="s">
        <v>301</v>
      </c>
      <c r="B2677" s="13" t="s">
        <v>848</v>
      </c>
      <c r="C2677" s="11" t="s">
        <v>849</v>
      </c>
      <c r="D2677" s="13" t="s">
        <v>13522</v>
      </c>
      <c r="E2677" s="13" t="s">
        <v>13523</v>
      </c>
      <c r="F2677" s="13" t="s">
        <v>13524</v>
      </c>
      <c r="G2677" s="13" t="s">
        <v>13525</v>
      </c>
      <c r="H2677" s="13" t="s">
        <v>13526</v>
      </c>
    </row>
    <row r="2678" customFormat="false" ht="15" hidden="false" customHeight="true" outlineLevel="0" collapsed="false">
      <c r="A2678" s="13" t="s">
        <v>301</v>
      </c>
      <c r="B2678" s="13" t="s">
        <v>855</v>
      </c>
      <c r="C2678" s="11" t="s">
        <v>856</v>
      </c>
      <c r="D2678" s="13" t="s">
        <v>13527</v>
      </c>
      <c r="E2678" s="13" t="s">
        <v>13528</v>
      </c>
      <c r="F2678" s="13" t="s">
        <v>13529</v>
      </c>
      <c r="G2678" s="13" t="s">
        <v>13530</v>
      </c>
      <c r="H2678" s="13" t="s">
        <v>13531</v>
      </c>
    </row>
    <row r="2679" customFormat="false" ht="15" hidden="false" customHeight="true" outlineLevel="0" collapsed="false">
      <c r="A2679" s="13" t="s">
        <v>301</v>
      </c>
      <c r="B2679" s="13" t="s">
        <v>862</v>
      </c>
      <c r="C2679" s="11" t="s">
        <v>863</v>
      </c>
      <c r="D2679" s="13" t="s">
        <v>13532</v>
      </c>
      <c r="E2679" s="13" t="s">
        <v>13533</v>
      </c>
      <c r="F2679" s="13" t="s">
        <v>13534</v>
      </c>
      <c r="G2679" s="13" t="s">
        <v>13535</v>
      </c>
      <c r="H2679" s="13" t="s">
        <v>13536</v>
      </c>
    </row>
    <row r="2680" customFormat="false" ht="15" hidden="false" customHeight="true" outlineLevel="0" collapsed="false">
      <c r="A2680" s="13" t="s">
        <v>301</v>
      </c>
      <c r="B2680" s="13" t="s">
        <v>869</v>
      </c>
      <c r="C2680" s="11" t="s">
        <v>870</v>
      </c>
      <c r="D2680" s="13" t="s">
        <v>13537</v>
      </c>
      <c r="E2680" s="13" t="s">
        <v>13538</v>
      </c>
      <c r="F2680" s="13" t="s">
        <v>13539</v>
      </c>
      <c r="G2680" s="13" t="s">
        <v>13540</v>
      </c>
      <c r="H2680" s="13" t="s">
        <v>13541</v>
      </c>
    </row>
    <row r="2681" customFormat="false" ht="15" hidden="false" customHeight="true" outlineLevel="0" collapsed="false">
      <c r="A2681" s="13" t="s">
        <v>301</v>
      </c>
      <c r="B2681" s="13" t="s">
        <v>876</v>
      </c>
      <c r="C2681" s="11" t="s">
        <v>877</v>
      </c>
      <c r="D2681" s="13" t="s">
        <v>13542</v>
      </c>
      <c r="E2681" s="13" t="s">
        <v>13543</v>
      </c>
      <c r="F2681" s="13" t="s">
        <v>13544</v>
      </c>
      <c r="G2681" s="13" t="s">
        <v>13545</v>
      </c>
      <c r="H2681" s="13" t="s">
        <v>13546</v>
      </c>
    </row>
    <row r="2682" customFormat="false" ht="15" hidden="false" customHeight="true" outlineLevel="0" collapsed="false">
      <c r="A2682" s="13" t="s">
        <v>301</v>
      </c>
      <c r="B2682" s="13" t="s">
        <v>883</v>
      </c>
      <c r="C2682" s="11" t="s">
        <v>884</v>
      </c>
      <c r="D2682" s="13" t="s">
        <v>13547</v>
      </c>
      <c r="E2682" s="13" t="s">
        <v>13548</v>
      </c>
      <c r="F2682" s="13" t="s">
        <v>13549</v>
      </c>
      <c r="G2682" s="13" t="s">
        <v>13550</v>
      </c>
      <c r="H2682" s="13" t="s">
        <v>13551</v>
      </c>
    </row>
    <row r="2683" customFormat="false" ht="15" hidden="false" customHeight="true" outlineLevel="0" collapsed="false">
      <c r="A2683" s="13" t="s">
        <v>301</v>
      </c>
      <c r="B2683" s="13" t="s">
        <v>890</v>
      </c>
      <c r="C2683" s="11" t="s">
        <v>891</v>
      </c>
      <c r="D2683" s="13" t="s">
        <v>13552</v>
      </c>
      <c r="E2683" s="13" t="s">
        <v>13553</v>
      </c>
      <c r="F2683" s="13" t="s">
        <v>13554</v>
      </c>
      <c r="G2683" s="13" t="s">
        <v>13555</v>
      </c>
      <c r="H2683" s="13" t="s">
        <v>13556</v>
      </c>
    </row>
    <row r="2684" customFormat="false" ht="15" hidden="false" customHeight="true" outlineLevel="0" collapsed="false">
      <c r="A2684" s="13" t="s">
        <v>301</v>
      </c>
      <c r="B2684" s="13" t="s">
        <v>897</v>
      </c>
      <c r="C2684" s="11" t="s">
        <v>898</v>
      </c>
      <c r="D2684" s="13" t="s">
        <v>13557</v>
      </c>
      <c r="E2684" s="13" t="s">
        <v>13558</v>
      </c>
      <c r="F2684" s="13" t="s">
        <v>13559</v>
      </c>
      <c r="G2684" s="13" t="s">
        <v>13560</v>
      </c>
      <c r="H2684" s="13" t="s">
        <v>13561</v>
      </c>
    </row>
    <row r="2685" customFormat="false" ht="15" hidden="false" customHeight="true" outlineLevel="0" collapsed="false">
      <c r="A2685" s="13" t="s">
        <v>301</v>
      </c>
      <c r="B2685" s="13" t="s">
        <v>904</v>
      </c>
      <c r="C2685" s="11" t="s">
        <v>905</v>
      </c>
      <c r="D2685" s="13" t="s">
        <v>13562</v>
      </c>
      <c r="E2685" s="13" t="s">
        <v>13563</v>
      </c>
      <c r="F2685" s="13" t="s">
        <v>13564</v>
      </c>
      <c r="G2685" s="13" t="s">
        <v>13565</v>
      </c>
      <c r="H2685" s="13" t="s">
        <v>13566</v>
      </c>
    </row>
    <row r="2686" customFormat="false" ht="15" hidden="false" customHeight="true" outlineLevel="0" collapsed="false">
      <c r="A2686" s="13" t="s">
        <v>301</v>
      </c>
      <c r="B2686" s="13" t="s">
        <v>911</v>
      </c>
      <c r="C2686" s="11" t="s">
        <v>912</v>
      </c>
      <c r="D2686" s="13" t="s">
        <v>13567</v>
      </c>
      <c r="E2686" s="13" t="s">
        <v>13568</v>
      </c>
      <c r="F2686" s="13" t="s">
        <v>13569</v>
      </c>
      <c r="G2686" s="13" t="s">
        <v>13570</v>
      </c>
      <c r="H2686" s="13" t="s">
        <v>13571</v>
      </c>
    </row>
    <row r="2687" customFormat="false" ht="15" hidden="false" customHeight="true" outlineLevel="0" collapsed="false">
      <c r="A2687" s="13" t="s">
        <v>301</v>
      </c>
      <c r="B2687" s="13" t="s">
        <v>918</v>
      </c>
      <c r="C2687" s="11" t="s">
        <v>919</v>
      </c>
      <c r="D2687" s="13" t="s">
        <v>13572</v>
      </c>
      <c r="E2687" s="13" t="s">
        <v>13573</v>
      </c>
      <c r="F2687" s="13" t="s">
        <v>13574</v>
      </c>
      <c r="G2687" s="13" t="s">
        <v>13575</v>
      </c>
      <c r="H2687" s="13" t="s">
        <v>13576</v>
      </c>
    </row>
    <row r="2688" customFormat="false" ht="15" hidden="false" customHeight="true" outlineLevel="0" collapsed="false">
      <c r="A2688" s="13" t="s">
        <v>301</v>
      </c>
      <c r="B2688" s="13" t="s">
        <v>925</v>
      </c>
      <c r="C2688" s="11" t="s">
        <v>926</v>
      </c>
      <c r="D2688" s="13" t="s">
        <v>13577</v>
      </c>
      <c r="E2688" s="13" t="s">
        <v>13578</v>
      </c>
      <c r="F2688" s="13" t="s">
        <v>13579</v>
      </c>
      <c r="G2688" s="13" t="s">
        <v>13580</v>
      </c>
      <c r="H2688" s="13" t="s">
        <v>13581</v>
      </c>
    </row>
    <row r="2689" customFormat="false" ht="15" hidden="false" customHeight="true" outlineLevel="0" collapsed="false">
      <c r="A2689" s="13" t="s">
        <v>301</v>
      </c>
      <c r="B2689" s="13" t="s">
        <v>932</v>
      </c>
      <c r="C2689" s="11" t="s">
        <v>933</v>
      </c>
      <c r="D2689" s="13" t="s">
        <v>13582</v>
      </c>
      <c r="E2689" s="13" t="s">
        <v>13583</v>
      </c>
      <c r="F2689" s="13" t="s">
        <v>13584</v>
      </c>
      <c r="G2689" s="13" t="s">
        <v>13585</v>
      </c>
      <c r="H2689" s="13" t="s">
        <v>13586</v>
      </c>
    </row>
    <row r="2690" customFormat="false" ht="15" hidden="false" customHeight="true" outlineLevel="0" collapsed="false">
      <c r="A2690" s="13" t="s">
        <v>301</v>
      </c>
      <c r="B2690" s="13" t="s">
        <v>939</v>
      </c>
      <c r="C2690" s="11" t="s">
        <v>940</v>
      </c>
      <c r="D2690" s="13" t="s">
        <v>13587</v>
      </c>
      <c r="E2690" s="13" t="s">
        <v>13588</v>
      </c>
      <c r="F2690" s="13" t="s">
        <v>13589</v>
      </c>
      <c r="G2690" s="13" t="s">
        <v>13590</v>
      </c>
      <c r="H2690" s="13" t="s">
        <v>13591</v>
      </c>
    </row>
    <row r="2691" customFormat="false" ht="15" hidden="false" customHeight="true" outlineLevel="0" collapsed="false">
      <c r="A2691" s="13" t="s">
        <v>301</v>
      </c>
      <c r="B2691" s="13" t="s">
        <v>946</v>
      </c>
      <c r="C2691" s="11" t="s">
        <v>947</v>
      </c>
      <c r="D2691" s="13" t="s">
        <v>13592</v>
      </c>
      <c r="E2691" s="13" t="s">
        <v>13593</v>
      </c>
      <c r="F2691" s="13" t="s">
        <v>13594</v>
      </c>
      <c r="G2691" s="13" t="s">
        <v>13595</v>
      </c>
      <c r="H2691" s="13" t="s">
        <v>13596</v>
      </c>
    </row>
    <row r="2692" customFormat="false" ht="15" hidden="false" customHeight="true" outlineLevel="0" collapsed="false">
      <c r="A2692" s="13" t="s">
        <v>301</v>
      </c>
      <c r="B2692" s="13" t="s">
        <v>953</v>
      </c>
      <c r="C2692" s="11" t="s">
        <v>954</v>
      </c>
      <c r="D2692" s="13" t="s">
        <v>13597</v>
      </c>
      <c r="E2692" s="13" t="s">
        <v>13598</v>
      </c>
      <c r="F2692" s="13" t="s">
        <v>13599</v>
      </c>
      <c r="G2692" s="13" t="s">
        <v>13600</v>
      </c>
      <c r="H2692" s="13" t="s">
        <v>13601</v>
      </c>
    </row>
    <row r="2693" customFormat="false" ht="15" hidden="false" customHeight="true" outlineLevel="0" collapsed="false">
      <c r="A2693" s="13" t="s">
        <v>301</v>
      </c>
      <c r="B2693" s="13" t="s">
        <v>960</v>
      </c>
      <c r="C2693" s="11" t="s">
        <v>961</v>
      </c>
      <c r="D2693" s="13" t="s">
        <v>13602</v>
      </c>
      <c r="E2693" s="13" t="s">
        <v>13603</v>
      </c>
      <c r="F2693" s="13" t="s">
        <v>13604</v>
      </c>
      <c r="G2693" s="13" t="s">
        <v>13605</v>
      </c>
      <c r="H2693" s="13" t="s">
        <v>13606</v>
      </c>
    </row>
    <row r="2694" customFormat="false" ht="15" hidden="false" customHeight="true" outlineLevel="0" collapsed="false">
      <c r="A2694" s="13" t="s">
        <v>301</v>
      </c>
      <c r="B2694" s="13" t="s">
        <v>967</v>
      </c>
      <c r="C2694" s="11" t="s">
        <v>968</v>
      </c>
      <c r="D2694" s="13" t="s">
        <v>438</v>
      </c>
      <c r="E2694" s="13" t="s">
        <v>13607</v>
      </c>
      <c r="F2694" s="13" t="s">
        <v>13608</v>
      </c>
      <c r="G2694" s="13" t="s">
        <v>13609</v>
      </c>
      <c r="H2694" s="13" t="s">
        <v>13610</v>
      </c>
    </row>
    <row r="2695" customFormat="false" ht="15" hidden="false" customHeight="true" outlineLevel="0" collapsed="false">
      <c r="A2695" s="13" t="s">
        <v>301</v>
      </c>
      <c r="B2695" s="13" t="s">
        <v>974</v>
      </c>
      <c r="C2695" s="11" t="s">
        <v>975</v>
      </c>
      <c r="D2695" s="13" t="s">
        <v>13611</v>
      </c>
      <c r="E2695" s="13" t="s">
        <v>13612</v>
      </c>
      <c r="F2695" s="13" t="s">
        <v>13613</v>
      </c>
      <c r="G2695" s="13" t="s">
        <v>13614</v>
      </c>
      <c r="H2695" s="13" t="s">
        <v>13615</v>
      </c>
    </row>
    <row r="2696" customFormat="false" ht="15" hidden="false" customHeight="true" outlineLevel="0" collapsed="false">
      <c r="A2696" s="13" t="s">
        <v>301</v>
      </c>
      <c r="B2696" s="13" t="s">
        <v>981</v>
      </c>
      <c r="C2696" s="11" t="s">
        <v>982</v>
      </c>
      <c r="D2696" s="13" t="s">
        <v>13616</v>
      </c>
      <c r="E2696" s="13" t="s">
        <v>13617</v>
      </c>
      <c r="F2696" s="13" t="s">
        <v>13618</v>
      </c>
      <c r="G2696" s="13" t="s">
        <v>13619</v>
      </c>
      <c r="H2696" s="13" t="s">
        <v>13620</v>
      </c>
    </row>
    <row r="2697" customFormat="false" ht="15" hidden="false" customHeight="true" outlineLevel="0" collapsed="false">
      <c r="A2697" s="13" t="s">
        <v>301</v>
      </c>
      <c r="B2697" s="13" t="s">
        <v>988</v>
      </c>
      <c r="C2697" s="11" t="s">
        <v>989</v>
      </c>
      <c r="D2697" s="13" t="s">
        <v>13621</v>
      </c>
      <c r="E2697" s="13" t="s">
        <v>13622</v>
      </c>
      <c r="F2697" s="13" t="s">
        <v>13623</v>
      </c>
      <c r="G2697" s="13" t="s">
        <v>13624</v>
      </c>
      <c r="H2697" s="13" t="s">
        <v>13625</v>
      </c>
    </row>
    <row r="2698" customFormat="false" ht="15" hidden="false" customHeight="true" outlineLevel="0" collapsed="false">
      <c r="A2698" s="13" t="s">
        <v>301</v>
      </c>
      <c r="B2698" s="13" t="s">
        <v>995</v>
      </c>
      <c r="C2698" s="11" t="s">
        <v>996</v>
      </c>
      <c r="D2698" s="13" t="s">
        <v>13626</v>
      </c>
      <c r="E2698" s="13" t="s">
        <v>13627</v>
      </c>
      <c r="F2698" s="13" t="s">
        <v>13628</v>
      </c>
      <c r="G2698" s="13" t="s">
        <v>13629</v>
      </c>
      <c r="H2698" s="13" t="s">
        <v>13630</v>
      </c>
    </row>
    <row r="2699" customFormat="false" ht="15" hidden="false" customHeight="true" outlineLevel="0" collapsed="false">
      <c r="A2699" s="13" t="s">
        <v>301</v>
      </c>
      <c r="B2699" s="13" t="s">
        <v>1002</v>
      </c>
      <c r="C2699" s="11" t="s">
        <v>1003</v>
      </c>
      <c r="D2699" s="13" t="s">
        <v>13631</v>
      </c>
      <c r="E2699" s="13" t="s">
        <v>13632</v>
      </c>
      <c r="F2699" s="13" t="s">
        <v>13633</v>
      </c>
      <c r="G2699" s="13" t="s">
        <v>13634</v>
      </c>
      <c r="H2699" s="13" t="s">
        <v>13635</v>
      </c>
    </row>
    <row r="2700" customFormat="false" ht="15" hidden="false" customHeight="true" outlineLevel="0" collapsed="false">
      <c r="A2700" s="13" t="s">
        <v>301</v>
      </c>
      <c r="B2700" s="13" t="s">
        <v>1009</v>
      </c>
      <c r="C2700" s="11" t="s">
        <v>1010</v>
      </c>
      <c r="D2700" s="13" t="s">
        <v>13636</v>
      </c>
      <c r="E2700" s="13" t="s">
        <v>13637</v>
      </c>
      <c r="F2700" s="13" t="s">
        <v>13638</v>
      </c>
      <c r="G2700" s="13" t="s">
        <v>13639</v>
      </c>
      <c r="H2700" s="13" t="s">
        <v>13640</v>
      </c>
    </row>
    <row r="2701" customFormat="false" ht="15" hidden="false" customHeight="true" outlineLevel="0" collapsed="false">
      <c r="A2701" s="13" t="s">
        <v>309</v>
      </c>
      <c r="B2701" s="13" t="s">
        <v>345</v>
      </c>
      <c r="C2701" s="11" t="s">
        <v>346</v>
      </c>
      <c r="D2701" s="13" t="s">
        <v>13641</v>
      </c>
      <c r="E2701" s="13" t="s">
        <v>9086</v>
      </c>
      <c r="F2701" s="13" t="s">
        <v>11558</v>
      </c>
      <c r="G2701" s="13" t="s">
        <v>13642</v>
      </c>
      <c r="H2701" s="13" t="s">
        <v>13643</v>
      </c>
    </row>
    <row r="2702" customFormat="false" ht="15" hidden="false" customHeight="true" outlineLevel="0" collapsed="false">
      <c r="A2702" s="13" t="s">
        <v>309</v>
      </c>
      <c r="B2702" s="13" t="s">
        <v>352</v>
      </c>
      <c r="C2702" s="11" t="s">
        <v>353</v>
      </c>
      <c r="D2702" s="13" t="s">
        <v>13644</v>
      </c>
      <c r="E2702" s="13" t="s">
        <v>13645</v>
      </c>
      <c r="F2702" s="13" t="s">
        <v>13646</v>
      </c>
      <c r="G2702" s="13" t="s">
        <v>13647</v>
      </c>
      <c r="H2702" s="13" t="s">
        <v>13648</v>
      </c>
    </row>
    <row r="2703" customFormat="false" ht="15" hidden="false" customHeight="true" outlineLevel="0" collapsed="false">
      <c r="A2703" s="13" t="s">
        <v>309</v>
      </c>
      <c r="B2703" s="13" t="s">
        <v>359</v>
      </c>
      <c r="C2703" s="11" t="s">
        <v>360</v>
      </c>
      <c r="D2703" s="13" t="s">
        <v>13649</v>
      </c>
      <c r="E2703" s="13" t="s">
        <v>13650</v>
      </c>
      <c r="F2703" s="13" t="s">
        <v>13651</v>
      </c>
      <c r="G2703" s="13" t="s">
        <v>13652</v>
      </c>
      <c r="H2703" s="13" t="s">
        <v>13653</v>
      </c>
    </row>
    <row r="2704" customFormat="false" ht="15" hidden="false" customHeight="true" outlineLevel="0" collapsed="false">
      <c r="A2704" s="13" t="s">
        <v>309</v>
      </c>
      <c r="B2704" s="13" t="s">
        <v>366</v>
      </c>
      <c r="C2704" s="11" t="s">
        <v>367</v>
      </c>
      <c r="D2704" s="13" t="s">
        <v>13654</v>
      </c>
      <c r="E2704" s="13" t="s">
        <v>4530</v>
      </c>
      <c r="F2704" s="13" t="s">
        <v>13655</v>
      </c>
      <c r="G2704" s="13" t="s">
        <v>13656</v>
      </c>
      <c r="H2704" s="13" t="s">
        <v>13657</v>
      </c>
    </row>
    <row r="2705" customFormat="false" ht="15" hidden="false" customHeight="true" outlineLevel="0" collapsed="false">
      <c r="A2705" s="13" t="s">
        <v>309</v>
      </c>
      <c r="B2705" s="13" t="s">
        <v>373</v>
      </c>
      <c r="C2705" s="11" t="s">
        <v>374</v>
      </c>
      <c r="D2705" s="13" t="s">
        <v>13658</v>
      </c>
      <c r="E2705" s="13" t="s">
        <v>13659</v>
      </c>
      <c r="F2705" s="13" t="s">
        <v>13660</v>
      </c>
      <c r="G2705" s="13" t="s">
        <v>13661</v>
      </c>
      <c r="H2705" s="13" t="s">
        <v>13662</v>
      </c>
    </row>
    <row r="2706" customFormat="false" ht="15" hidden="false" customHeight="true" outlineLevel="0" collapsed="false">
      <c r="A2706" s="13" t="s">
        <v>309</v>
      </c>
      <c r="B2706" s="13" t="s">
        <v>380</v>
      </c>
      <c r="C2706" s="11" t="s">
        <v>381</v>
      </c>
      <c r="D2706" s="13" t="s">
        <v>13663</v>
      </c>
      <c r="E2706" s="13" t="s">
        <v>8603</v>
      </c>
      <c r="F2706" s="13" t="s">
        <v>13664</v>
      </c>
      <c r="G2706" s="13" t="s">
        <v>13665</v>
      </c>
      <c r="H2706" s="13" t="s">
        <v>13666</v>
      </c>
    </row>
    <row r="2707" customFormat="false" ht="15" hidden="false" customHeight="true" outlineLevel="0" collapsed="false">
      <c r="A2707" s="13" t="s">
        <v>309</v>
      </c>
      <c r="B2707" s="13" t="s">
        <v>387</v>
      </c>
      <c r="C2707" s="11" t="s">
        <v>388</v>
      </c>
      <c r="D2707" s="13" t="s">
        <v>13667</v>
      </c>
      <c r="E2707" s="13" t="s">
        <v>13668</v>
      </c>
      <c r="F2707" s="13" t="s">
        <v>13669</v>
      </c>
      <c r="G2707" s="13" t="s">
        <v>13670</v>
      </c>
      <c r="H2707" s="13" t="s">
        <v>13671</v>
      </c>
    </row>
    <row r="2708" customFormat="false" ht="15" hidden="false" customHeight="true" outlineLevel="0" collapsed="false">
      <c r="A2708" s="13" t="s">
        <v>309</v>
      </c>
      <c r="B2708" s="13" t="s">
        <v>394</v>
      </c>
      <c r="C2708" s="11" t="s">
        <v>395</v>
      </c>
      <c r="D2708" s="13" t="s">
        <v>13672</v>
      </c>
      <c r="E2708" s="13" t="s">
        <v>13673</v>
      </c>
      <c r="F2708" s="13" t="s">
        <v>13674</v>
      </c>
      <c r="G2708" s="13" t="s">
        <v>13675</v>
      </c>
      <c r="H2708" s="13" t="s">
        <v>13676</v>
      </c>
    </row>
    <row r="2709" customFormat="false" ht="15" hidden="false" customHeight="true" outlineLevel="0" collapsed="false">
      <c r="A2709" s="13" t="s">
        <v>309</v>
      </c>
      <c r="B2709" s="13" t="s">
        <v>401</v>
      </c>
      <c r="C2709" s="11" t="s">
        <v>402</v>
      </c>
      <c r="D2709" s="13" t="s">
        <v>2402</v>
      </c>
      <c r="E2709" s="13" t="s">
        <v>693</v>
      </c>
      <c r="F2709" s="13" t="s">
        <v>13677</v>
      </c>
      <c r="G2709" s="13" t="s">
        <v>13678</v>
      </c>
      <c r="H2709" s="13" t="s">
        <v>13679</v>
      </c>
    </row>
    <row r="2710" customFormat="false" ht="15" hidden="false" customHeight="true" outlineLevel="0" collapsed="false">
      <c r="A2710" s="13" t="s">
        <v>309</v>
      </c>
      <c r="B2710" s="13" t="s">
        <v>408</v>
      </c>
      <c r="C2710" s="11" t="s">
        <v>409</v>
      </c>
      <c r="D2710" s="13" t="s">
        <v>13680</v>
      </c>
      <c r="E2710" s="13" t="s">
        <v>13681</v>
      </c>
      <c r="F2710" s="13" t="s">
        <v>13682</v>
      </c>
      <c r="G2710" s="13" t="s">
        <v>13683</v>
      </c>
      <c r="H2710" s="13" t="s">
        <v>13684</v>
      </c>
    </row>
    <row r="2711" customFormat="false" ht="15" hidden="false" customHeight="true" outlineLevel="0" collapsed="false">
      <c r="A2711" s="13" t="s">
        <v>309</v>
      </c>
      <c r="B2711" s="13" t="s">
        <v>415</v>
      </c>
      <c r="C2711" s="11" t="s">
        <v>416</v>
      </c>
      <c r="D2711" s="13" t="s">
        <v>13685</v>
      </c>
      <c r="E2711" s="13" t="s">
        <v>13686</v>
      </c>
      <c r="F2711" s="13" t="s">
        <v>13687</v>
      </c>
      <c r="G2711" s="13" t="s">
        <v>13688</v>
      </c>
      <c r="H2711" s="13" t="s">
        <v>13689</v>
      </c>
    </row>
    <row r="2712" customFormat="false" ht="15" hidden="false" customHeight="true" outlineLevel="0" collapsed="false">
      <c r="A2712" s="13" t="s">
        <v>309</v>
      </c>
      <c r="B2712" s="13" t="s">
        <v>422</v>
      </c>
      <c r="C2712" s="11" t="s">
        <v>423</v>
      </c>
      <c r="D2712" s="13" t="s">
        <v>13690</v>
      </c>
      <c r="E2712" s="13" t="s">
        <v>13691</v>
      </c>
      <c r="F2712" s="13" t="s">
        <v>13692</v>
      </c>
      <c r="G2712" s="13" t="s">
        <v>13693</v>
      </c>
      <c r="H2712" s="13" t="s">
        <v>13694</v>
      </c>
    </row>
    <row r="2713" customFormat="false" ht="15" hidden="false" customHeight="true" outlineLevel="0" collapsed="false">
      <c r="A2713" s="13" t="s">
        <v>309</v>
      </c>
      <c r="B2713" s="13" t="s">
        <v>429</v>
      </c>
      <c r="C2713" s="11" t="s">
        <v>430</v>
      </c>
      <c r="D2713" s="13" t="s">
        <v>2149</v>
      </c>
      <c r="E2713" s="13" t="s">
        <v>13695</v>
      </c>
      <c r="F2713" s="13" t="s">
        <v>13696</v>
      </c>
      <c r="G2713" s="13" t="s">
        <v>13697</v>
      </c>
      <c r="H2713" s="13" t="s">
        <v>13698</v>
      </c>
    </row>
    <row r="2714" customFormat="false" ht="15" hidden="false" customHeight="true" outlineLevel="0" collapsed="false">
      <c r="A2714" s="13" t="s">
        <v>309</v>
      </c>
      <c r="B2714" s="13" t="s">
        <v>436</v>
      </c>
      <c r="C2714" s="11" t="s">
        <v>437</v>
      </c>
      <c r="D2714" s="13" t="s">
        <v>13699</v>
      </c>
      <c r="E2714" s="13" t="s">
        <v>12478</v>
      </c>
      <c r="F2714" s="13" t="s">
        <v>13700</v>
      </c>
      <c r="G2714" s="13" t="s">
        <v>13701</v>
      </c>
      <c r="H2714" s="13" t="s">
        <v>13702</v>
      </c>
    </row>
    <row r="2715" customFormat="false" ht="15" hidden="false" customHeight="true" outlineLevel="0" collapsed="false">
      <c r="A2715" s="13" t="s">
        <v>309</v>
      </c>
      <c r="B2715" s="13" t="s">
        <v>443</v>
      </c>
      <c r="C2715" s="11" t="s">
        <v>444</v>
      </c>
      <c r="D2715" s="13" t="s">
        <v>13703</v>
      </c>
      <c r="E2715" s="13" t="s">
        <v>13704</v>
      </c>
      <c r="F2715" s="13" t="s">
        <v>13705</v>
      </c>
      <c r="G2715" s="13" t="s">
        <v>13706</v>
      </c>
      <c r="H2715" s="13" t="s">
        <v>13707</v>
      </c>
    </row>
    <row r="2716" customFormat="false" ht="15" hidden="false" customHeight="true" outlineLevel="0" collapsed="false">
      <c r="A2716" s="13" t="s">
        <v>309</v>
      </c>
      <c r="B2716" s="13" t="s">
        <v>450</v>
      </c>
      <c r="C2716" s="11" t="s">
        <v>451</v>
      </c>
      <c r="D2716" s="13" t="s">
        <v>13708</v>
      </c>
      <c r="E2716" s="13" t="s">
        <v>13709</v>
      </c>
      <c r="F2716" s="13" t="s">
        <v>13710</v>
      </c>
      <c r="G2716" s="13" t="s">
        <v>13711</v>
      </c>
      <c r="H2716" s="13" t="s">
        <v>13712</v>
      </c>
    </row>
    <row r="2717" customFormat="false" ht="15" hidden="false" customHeight="true" outlineLevel="0" collapsed="false">
      <c r="A2717" s="13" t="s">
        <v>309</v>
      </c>
      <c r="B2717" s="13" t="s">
        <v>457</v>
      </c>
      <c r="C2717" s="11" t="s">
        <v>458</v>
      </c>
      <c r="D2717" s="13" t="s">
        <v>13713</v>
      </c>
      <c r="E2717" s="13" t="s">
        <v>13714</v>
      </c>
      <c r="F2717" s="13" t="s">
        <v>13715</v>
      </c>
      <c r="G2717" s="13" t="s">
        <v>13716</v>
      </c>
      <c r="H2717" s="13" t="s">
        <v>13717</v>
      </c>
    </row>
    <row r="2718" customFormat="false" ht="15" hidden="false" customHeight="true" outlineLevel="0" collapsed="false">
      <c r="A2718" s="13" t="s">
        <v>309</v>
      </c>
      <c r="B2718" s="13" t="s">
        <v>464</v>
      </c>
      <c r="C2718" s="11" t="s">
        <v>465</v>
      </c>
      <c r="D2718" s="13" t="s">
        <v>13718</v>
      </c>
      <c r="E2718" s="13" t="s">
        <v>13719</v>
      </c>
      <c r="F2718" s="13" t="s">
        <v>13720</v>
      </c>
      <c r="G2718" s="13" t="s">
        <v>13721</v>
      </c>
      <c r="H2718" s="13" t="s">
        <v>13722</v>
      </c>
    </row>
    <row r="2719" customFormat="false" ht="15" hidden="false" customHeight="true" outlineLevel="0" collapsed="false">
      <c r="A2719" s="13" t="s">
        <v>309</v>
      </c>
      <c r="B2719" s="13" t="s">
        <v>471</v>
      </c>
      <c r="C2719" s="11" t="s">
        <v>472</v>
      </c>
      <c r="D2719" s="13" t="s">
        <v>13723</v>
      </c>
      <c r="E2719" s="13" t="s">
        <v>13724</v>
      </c>
      <c r="F2719" s="13" t="s">
        <v>13725</v>
      </c>
      <c r="G2719" s="13" t="s">
        <v>13726</v>
      </c>
      <c r="H2719" s="13" t="s">
        <v>13727</v>
      </c>
    </row>
    <row r="2720" customFormat="false" ht="15" hidden="false" customHeight="true" outlineLevel="0" collapsed="false">
      <c r="A2720" s="13" t="s">
        <v>309</v>
      </c>
      <c r="B2720" s="13" t="s">
        <v>478</v>
      </c>
      <c r="C2720" s="11" t="s">
        <v>479</v>
      </c>
      <c r="D2720" s="13" t="s">
        <v>13728</v>
      </c>
      <c r="E2720" s="13" t="s">
        <v>13729</v>
      </c>
      <c r="F2720" s="13" t="s">
        <v>13730</v>
      </c>
      <c r="G2720" s="13" t="s">
        <v>13731</v>
      </c>
      <c r="H2720" s="13" t="s">
        <v>13732</v>
      </c>
    </row>
    <row r="2721" customFormat="false" ht="15" hidden="false" customHeight="true" outlineLevel="0" collapsed="false">
      <c r="A2721" s="13" t="s">
        <v>309</v>
      </c>
      <c r="B2721" s="13" t="s">
        <v>485</v>
      </c>
      <c r="C2721" s="11" t="s">
        <v>486</v>
      </c>
      <c r="D2721" s="13" t="s">
        <v>13733</v>
      </c>
      <c r="E2721" s="13" t="s">
        <v>13734</v>
      </c>
      <c r="F2721" s="13" t="s">
        <v>13735</v>
      </c>
      <c r="G2721" s="13" t="s">
        <v>13736</v>
      </c>
      <c r="H2721" s="13" t="s">
        <v>13737</v>
      </c>
    </row>
    <row r="2722" customFormat="false" ht="15" hidden="false" customHeight="true" outlineLevel="0" collapsed="false">
      <c r="A2722" s="13" t="s">
        <v>309</v>
      </c>
      <c r="B2722" s="13" t="s">
        <v>492</v>
      </c>
      <c r="C2722" s="11" t="s">
        <v>493</v>
      </c>
      <c r="D2722" s="13" t="s">
        <v>13738</v>
      </c>
      <c r="E2722" s="13" t="s">
        <v>13739</v>
      </c>
      <c r="F2722" s="13" t="s">
        <v>13740</v>
      </c>
      <c r="G2722" s="13" t="s">
        <v>13741</v>
      </c>
      <c r="H2722" s="13" t="s">
        <v>13742</v>
      </c>
    </row>
    <row r="2723" customFormat="false" ht="15" hidden="false" customHeight="true" outlineLevel="0" collapsed="false">
      <c r="A2723" s="13" t="s">
        <v>309</v>
      </c>
      <c r="B2723" s="13" t="s">
        <v>499</v>
      </c>
      <c r="C2723" s="11" t="s">
        <v>500</v>
      </c>
      <c r="D2723" s="13" t="s">
        <v>13743</v>
      </c>
      <c r="E2723" s="13" t="s">
        <v>13744</v>
      </c>
      <c r="F2723" s="13" t="s">
        <v>13745</v>
      </c>
      <c r="G2723" s="13" t="s">
        <v>13746</v>
      </c>
      <c r="H2723" s="13" t="s">
        <v>13747</v>
      </c>
    </row>
    <row r="2724" customFormat="false" ht="15" hidden="false" customHeight="true" outlineLevel="0" collapsed="false">
      <c r="A2724" s="13" t="s">
        <v>309</v>
      </c>
      <c r="B2724" s="13" t="s">
        <v>506</v>
      </c>
      <c r="C2724" s="11" t="s">
        <v>507</v>
      </c>
      <c r="D2724" s="13" t="s">
        <v>13748</v>
      </c>
      <c r="E2724" s="13" t="s">
        <v>13749</v>
      </c>
      <c r="F2724" s="13" t="s">
        <v>13750</v>
      </c>
      <c r="G2724" s="13" t="s">
        <v>13751</v>
      </c>
      <c r="H2724" s="13" t="s">
        <v>13752</v>
      </c>
    </row>
    <row r="2725" customFormat="false" ht="15" hidden="false" customHeight="true" outlineLevel="0" collapsed="false">
      <c r="A2725" s="13" t="s">
        <v>309</v>
      </c>
      <c r="B2725" s="13" t="s">
        <v>513</v>
      </c>
      <c r="C2725" s="11" t="s">
        <v>514</v>
      </c>
      <c r="D2725" s="13" t="s">
        <v>13753</v>
      </c>
      <c r="E2725" s="13" t="s">
        <v>13754</v>
      </c>
      <c r="F2725" s="13" t="s">
        <v>13755</v>
      </c>
      <c r="G2725" s="13" t="s">
        <v>13756</v>
      </c>
      <c r="H2725" s="13" t="s">
        <v>13757</v>
      </c>
    </row>
    <row r="2726" customFormat="false" ht="15" hidden="false" customHeight="true" outlineLevel="0" collapsed="false">
      <c r="A2726" s="13" t="s">
        <v>309</v>
      </c>
      <c r="B2726" s="13" t="s">
        <v>520</v>
      </c>
      <c r="C2726" s="11" t="s">
        <v>521</v>
      </c>
      <c r="D2726" s="13" t="s">
        <v>13758</v>
      </c>
      <c r="E2726" s="13" t="s">
        <v>13759</v>
      </c>
      <c r="F2726" s="13" t="s">
        <v>13760</v>
      </c>
      <c r="G2726" s="13" t="s">
        <v>13761</v>
      </c>
      <c r="H2726" s="13" t="s">
        <v>13762</v>
      </c>
    </row>
    <row r="2727" customFormat="false" ht="15" hidden="false" customHeight="true" outlineLevel="0" collapsed="false">
      <c r="A2727" s="13" t="s">
        <v>309</v>
      </c>
      <c r="B2727" s="13" t="s">
        <v>527</v>
      </c>
      <c r="C2727" s="11" t="s">
        <v>528</v>
      </c>
      <c r="D2727" s="13" t="s">
        <v>13763</v>
      </c>
      <c r="E2727" s="13" t="s">
        <v>13764</v>
      </c>
      <c r="F2727" s="13" t="s">
        <v>13765</v>
      </c>
      <c r="G2727" s="13" t="s">
        <v>13766</v>
      </c>
      <c r="H2727" s="13" t="s">
        <v>13767</v>
      </c>
    </row>
    <row r="2728" customFormat="false" ht="15" hidden="false" customHeight="true" outlineLevel="0" collapsed="false">
      <c r="A2728" s="13" t="s">
        <v>309</v>
      </c>
      <c r="B2728" s="13" t="s">
        <v>534</v>
      </c>
      <c r="C2728" s="11" t="s">
        <v>535</v>
      </c>
      <c r="D2728" s="13" t="s">
        <v>13768</v>
      </c>
      <c r="E2728" s="13" t="s">
        <v>13769</v>
      </c>
      <c r="F2728" s="13" t="s">
        <v>13770</v>
      </c>
      <c r="G2728" s="13" t="s">
        <v>13771</v>
      </c>
      <c r="H2728" s="13" t="s">
        <v>13772</v>
      </c>
    </row>
    <row r="2729" customFormat="false" ht="15" hidden="false" customHeight="true" outlineLevel="0" collapsed="false">
      <c r="A2729" s="13" t="s">
        <v>309</v>
      </c>
      <c r="B2729" s="13" t="s">
        <v>541</v>
      </c>
      <c r="C2729" s="11" t="s">
        <v>542</v>
      </c>
      <c r="D2729" s="13" t="s">
        <v>13773</v>
      </c>
      <c r="E2729" s="13" t="s">
        <v>13774</v>
      </c>
      <c r="F2729" s="13" t="s">
        <v>13775</v>
      </c>
      <c r="G2729" s="13" t="s">
        <v>13776</v>
      </c>
      <c r="H2729" s="13" t="s">
        <v>13777</v>
      </c>
    </row>
    <row r="2730" customFormat="false" ht="15" hidden="false" customHeight="true" outlineLevel="0" collapsed="false">
      <c r="A2730" s="13" t="s">
        <v>309</v>
      </c>
      <c r="B2730" s="13" t="s">
        <v>548</v>
      </c>
      <c r="C2730" s="11" t="s">
        <v>549</v>
      </c>
      <c r="D2730" s="13" t="s">
        <v>13778</v>
      </c>
      <c r="E2730" s="13" t="s">
        <v>13779</v>
      </c>
      <c r="F2730" s="13" t="s">
        <v>13780</v>
      </c>
      <c r="G2730" s="13" t="s">
        <v>13781</v>
      </c>
      <c r="H2730" s="13" t="s">
        <v>13782</v>
      </c>
    </row>
    <row r="2731" customFormat="false" ht="15" hidden="false" customHeight="true" outlineLevel="0" collapsed="false">
      <c r="A2731" s="13" t="s">
        <v>309</v>
      </c>
      <c r="B2731" s="13" t="s">
        <v>555</v>
      </c>
      <c r="C2731" s="11" t="s">
        <v>556</v>
      </c>
      <c r="D2731" s="13" t="s">
        <v>13783</v>
      </c>
      <c r="E2731" s="13" t="s">
        <v>13784</v>
      </c>
      <c r="F2731" s="13" t="s">
        <v>13785</v>
      </c>
      <c r="G2731" s="13" t="s">
        <v>13786</v>
      </c>
      <c r="H2731" s="13" t="s">
        <v>13787</v>
      </c>
    </row>
    <row r="2732" customFormat="false" ht="15" hidden="false" customHeight="true" outlineLevel="0" collapsed="false">
      <c r="A2732" s="13" t="s">
        <v>309</v>
      </c>
      <c r="B2732" s="13" t="s">
        <v>562</v>
      </c>
      <c r="C2732" s="11" t="s">
        <v>563</v>
      </c>
      <c r="D2732" s="13" t="s">
        <v>13788</v>
      </c>
      <c r="E2732" s="13" t="s">
        <v>13789</v>
      </c>
      <c r="F2732" s="13" t="s">
        <v>13790</v>
      </c>
      <c r="G2732" s="13" t="s">
        <v>13791</v>
      </c>
      <c r="H2732" s="13" t="s">
        <v>13792</v>
      </c>
    </row>
    <row r="2733" customFormat="false" ht="15" hidden="false" customHeight="true" outlineLevel="0" collapsed="false">
      <c r="A2733" s="13" t="s">
        <v>309</v>
      </c>
      <c r="B2733" s="13" t="s">
        <v>569</v>
      </c>
      <c r="C2733" s="11" t="s">
        <v>570</v>
      </c>
      <c r="D2733" s="13" t="s">
        <v>13793</v>
      </c>
      <c r="E2733" s="13" t="s">
        <v>13794</v>
      </c>
      <c r="F2733" s="13" t="s">
        <v>13795</v>
      </c>
      <c r="G2733" s="13" t="s">
        <v>13796</v>
      </c>
      <c r="H2733" s="13" t="s">
        <v>13797</v>
      </c>
    </row>
    <row r="2734" customFormat="false" ht="15" hidden="false" customHeight="true" outlineLevel="0" collapsed="false">
      <c r="A2734" s="13" t="s">
        <v>309</v>
      </c>
      <c r="B2734" s="13" t="s">
        <v>576</v>
      </c>
      <c r="C2734" s="11" t="s">
        <v>577</v>
      </c>
      <c r="D2734" s="13" t="s">
        <v>13798</v>
      </c>
      <c r="E2734" s="13" t="s">
        <v>13799</v>
      </c>
      <c r="F2734" s="13" t="s">
        <v>13800</v>
      </c>
      <c r="G2734" s="13" t="s">
        <v>13801</v>
      </c>
      <c r="H2734" s="13" t="s">
        <v>13802</v>
      </c>
    </row>
    <row r="2735" customFormat="false" ht="15" hidden="false" customHeight="true" outlineLevel="0" collapsed="false">
      <c r="A2735" s="13" t="s">
        <v>309</v>
      </c>
      <c r="B2735" s="13" t="s">
        <v>583</v>
      </c>
      <c r="C2735" s="11" t="s">
        <v>584</v>
      </c>
      <c r="D2735" s="13" t="s">
        <v>13803</v>
      </c>
      <c r="E2735" s="13" t="s">
        <v>13804</v>
      </c>
      <c r="F2735" s="13" t="s">
        <v>13805</v>
      </c>
      <c r="G2735" s="13" t="s">
        <v>13806</v>
      </c>
      <c r="H2735" s="13" t="s">
        <v>13807</v>
      </c>
    </row>
    <row r="2736" customFormat="false" ht="15" hidden="false" customHeight="true" outlineLevel="0" collapsed="false">
      <c r="A2736" s="13" t="s">
        <v>309</v>
      </c>
      <c r="B2736" s="13" t="s">
        <v>590</v>
      </c>
      <c r="C2736" s="11" t="s">
        <v>591</v>
      </c>
      <c r="D2736" s="13" t="s">
        <v>13808</v>
      </c>
      <c r="E2736" s="13" t="s">
        <v>13809</v>
      </c>
      <c r="F2736" s="13" t="s">
        <v>13810</v>
      </c>
      <c r="G2736" s="13" t="s">
        <v>13811</v>
      </c>
      <c r="H2736" s="13" t="s">
        <v>13812</v>
      </c>
    </row>
    <row r="2737" customFormat="false" ht="15" hidden="false" customHeight="true" outlineLevel="0" collapsed="false">
      <c r="A2737" s="13" t="s">
        <v>309</v>
      </c>
      <c r="B2737" s="13" t="s">
        <v>597</v>
      </c>
      <c r="C2737" s="11" t="s">
        <v>598</v>
      </c>
      <c r="D2737" s="13" t="s">
        <v>13813</v>
      </c>
      <c r="E2737" s="13" t="s">
        <v>13814</v>
      </c>
      <c r="F2737" s="13" t="s">
        <v>13815</v>
      </c>
      <c r="G2737" s="13" t="s">
        <v>13816</v>
      </c>
      <c r="H2737" s="13" t="s">
        <v>13817</v>
      </c>
    </row>
    <row r="2738" customFormat="false" ht="15" hidden="false" customHeight="true" outlineLevel="0" collapsed="false">
      <c r="A2738" s="13" t="s">
        <v>309</v>
      </c>
      <c r="B2738" s="13" t="s">
        <v>604</v>
      </c>
      <c r="C2738" s="11" t="s">
        <v>605</v>
      </c>
      <c r="D2738" s="13" t="s">
        <v>13818</v>
      </c>
      <c r="E2738" s="13" t="s">
        <v>13819</v>
      </c>
      <c r="F2738" s="13" t="s">
        <v>13820</v>
      </c>
      <c r="G2738" s="13" t="s">
        <v>13821</v>
      </c>
      <c r="H2738" s="13" t="s">
        <v>13822</v>
      </c>
    </row>
    <row r="2739" customFormat="false" ht="15" hidden="false" customHeight="true" outlineLevel="0" collapsed="false">
      <c r="A2739" s="13" t="s">
        <v>309</v>
      </c>
      <c r="B2739" s="13" t="s">
        <v>611</v>
      </c>
      <c r="C2739" s="11" t="s">
        <v>612</v>
      </c>
      <c r="D2739" s="13" t="s">
        <v>13823</v>
      </c>
      <c r="E2739" s="13" t="s">
        <v>13824</v>
      </c>
      <c r="F2739" s="13" t="s">
        <v>13825</v>
      </c>
      <c r="G2739" s="13" t="s">
        <v>13826</v>
      </c>
      <c r="H2739" s="13" t="s">
        <v>13827</v>
      </c>
    </row>
    <row r="2740" customFormat="false" ht="15" hidden="false" customHeight="true" outlineLevel="0" collapsed="false">
      <c r="A2740" s="13" t="s">
        <v>309</v>
      </c>
      <c r="B2740" s="13" t="s">
        <v>618</v>
      </c>
      <c r="C2740" s="11" t="s">
        <v>619</v>
      </c>
      <c r="D2740" s="13" t="s">
        <v>13828</v>
      </c>
      <c r="E2740" s="13" t="s">
        <v>13829</v>
      </c>
      <c r="F2740" s="13" t="s">
        <v>13830</v>
      </c>
      <c r="G2740" s="13" t="s">
        <v>13831</v>
      </c>
      <c r="H2740" s="13" t="s">
        <v>13832</v>
      </c>
    </row>
    <row r="2741" customFormat="false" ht="15" hidden="false" customHeight="true" outlineLevel="0" collapsed="false">
      <c r="A2741" s="13" t="s">
        <v>309</v>
      </c>
      <c r="B2741" s="13" t="s">
        <v>625</v>
      </c>
      <c r="C2741" s="11" t="s">
        <v>626</v>
      </c>
      <c r="D2741" s="13" t="s">
        <v>13833</v>
      </c>
      <c r="E2741" s="13" t="s">
        <v>13834</v>
      </c>
      <c r="F2741" s="13" t="s">
        <v>13835</v>
      </c>
      <c r="G2741" s="13" t="s">
        <v>13836</v>
      </c>
      <c r="H2741" s="13" t="s">
        <v>13837</v>
      </c>
    </row>
    <row r="2742" customFormat="false" ht="15" hidden="false" customHeight="true" outlineLevel="0" collapsed="false">
      <c r="A2742" s="13" t="s">
        <v>309</v>
      </c>
      <c r="B2742" s="13" t="s">
        <v>632</v>
      </c>
      <c r="C2742" s="11" t="s">
        <v>633</v>
      </c>
      <c r="D2742" s="13" t="s">
        <v>13838</v>
      </c>
      <c r="E2742" s="13" t="s">
        <v>13839</v>
      </c>
      <c r="F2742" s="13" t="s">
        <v>13840</v>
      </c>
      <c r="G2742" s="13" t="s">
        <v>13841</v>
      </c>
      <c r="H2742" s="13" t="s">
        <v>13842</v>
      </c>
    </row>
    <row r="2743" customFormat="false" ht="15" hidden="false" customHeight="true" outlineLevel="0" collapsed="false">
      <c r="A2743" s="13" t="s">
        <v>309</v>
      </c>
      <c r="B2743" s="13" t="s">
        <v>639</v>
      </c>
      <c r="C2743" s="11" t="s">
        <v>640</v>
      </c>
      <c r="D2743" s="13" t="s">
        <v>2924</v>
      </c>
      <c r="E2743" s="13" t="s">
        <v>13843</v>
      </c>
      <c r="F2743" s="13" t="s">
        <v>13844</v>
      </c>
      <c r="G2743" s="13" t="s">
        <v>13845</v>
      </c>
      <c r="H2743" s="13" t="s">
        <v>13846</v>
      </c>
    </row>
    <row r="2744" customFormat="false" ht="15" hidden="false" customHeight="true" outlineLevel="0" collapsed="false">
      <c r="A2744" s="13" t="s">
        <v>309</v>
      </c>
      <c r="B2744" s="13" t="s">
        <v>646</v>
      </c>
      <c r="C2744" s="11" t="s">
        <v>647</v>
      </c>
      <c r="D2744" s="13" t="s">
        <v>13847</v>
      </c>
      <c r="E2744" s="13" t="s">
        <v>13848</v>
      </c>
      <c r="F2744" s="13" t="s">
        <v>13849</v>
      </c>
      <c r="G2744" s="13" t="s">
        <v>13850</v>
      </c>
      <c r="H2744" s="13" t="s">
        <v>13851</v>
      </c>
    </row>
    <row r="2745" customFormat="false" ht="15" hidden="false" customHeight="true" outlineLevel="0" collapsed="false">
      <c r="A2745" s="13" t="s">
        <v>309</v>
      </c>
      <c r="B2745" s="13" t="s">
        <v>653</v>
      </c>
      <c r="C2745" s="11" t="s">
        <v>654</v>
      </c>
      <c r="D2745" s="13" t="s">
        <v>12119</v>
      </c>
      <c r="E2745" s="13" t="s">
        <v>13852</v>
      </c>
      <c r="F2745" s="13" t="s">
        <v>13853</v>
      </c>
      <c r="G2745" s="13" t="s">
        <v>13854</v>
      </c>
      <c r="H2745" s="13" t="s">
        <v>13855</v>
      </c>
    </row>
    <row r="2746" customFormat="false" ht="15" hidden="false" customHeight="true" outlineLevel="0" collapsed="false">
      <c r="A2746" s="13" t="s">
        <v>309</v>
      </c>
      <c r="B2746" s="13" t="s">
        <v>660</v>
      </c>
      <c r="C2746" s="11" t="s">
        <v>661</v>
      </c>
      <c r="D2746" s="13" t="s">
        <v>13856</v>
      </c>
      <c r="E2746" s="13" t="s">
        <v>13857</v>
      </c>
      <c r="F2746" s="13" t="s">
        <v>13858</v>
      </c>
      <c r="G2746" s="13" t="s">
        <v>13859</v>
      </c>
      <c r="H2746" s="13" t="s">
        <v>13860</v>
      </c>
    </row>
    <row r="2747" customFormat="false" ht="15" hidden="false" customHeight="true" outlineLevel="0" collapsed="false">
      <c r="A2747" s="13" t="s">
        <v>309</v>
      </c>
      <c r="B2747" s="13" t="s">
        <v>667</v>
      </c>
      <c r="C2747" s="11" t="s">
        <v>668</v>
      </c>
      <c r="D2747" s="13" t="s">
        <v>13861</v>
      </c>
      <c r="E2747" s="13" t="s">
        <v>13862</v>
      </c>
      <c r="F2747" s="13" t="s">
        <v>13863</v>
      </c>
      <c r="G2747" s="13" t="s">
        <v>13864</v>
      </c>
      <c r="H2747" s="13" t="s">
        <v>13865</v>
      </c>
    </row>
    <row r="2748" customFormat="false" ht="15" hidden="false" customHeight="true" outlineLevel="0" collapsed="false">
      <c r="A2748" s="13" t="s">
        <v>309</v>
      </c>
      <c r="B2748" s="13" t="s">
        <v>674</v>
      </c>
      <c r="C2748" s="11" t="s">
        <v>675</v>
      </c>
      <c r="D2748" s="13" t="s">
        <v>13866</v>
      </c>
      <c r="E2748" s="13" t="s">
        <v>13867</v>
      </c>
      <c r="F2748" s="13" t="s">
        <v>13868</v>
      </c>
      <c r="G2748" s="13" t="s">
        <v>13869</v>
      </c>
      <c r="H2748" s="13" t="s">
        <v>13870</v>
      </c>
    </row>
    <row r="2749" customFormat="false" ht="15" hidden="false" customHeight="true" outlineLevel="0" collapsed="false">
      <c r="A2749" s="13" t="s">
        <v>309</v>
      </c>
      <c r="B2749" s="13" t="s">
        <v>681</v>
      </c>
      <c r="C2749" s="11" t="s">
        <v>682</v>
      </c>
      <c r="D2749" s="13" t="s">
        <v>13871</v>
      </c>
      <c r="E2749" s="13" t="s">
        <v>13872</v>
      </c>
      <c r="F2749" s="13" t="s">
        <v>13873</v>
      </c>
      <c r="G2749" s="13" t="s">
        <v>13874</v>
      </c>
      <c r="H2749" s="13" t="s">
        <v>13875</v>
      </c>
    </row>
    <row r="2750" customFormat="false" ht="15" hidden="false" customHeight="true" outlineLevel="0" collapsed="false">
      <c r="A2750" s="13" t="s">
        <v>309</v>
      </c>
      <c r="B2750" s="13" t="s">
        <v>688</v>
      </c>
      <c r="C2750" s="11" t="s">
        <v>689</v>
      </c>
      <c r="D2750" s="13" t="s">
        <v>13876</v>
      </c>
      <c r="E2750" s="13" t="s">
        <v>13877</v>
      </c>
      <c r="F2750" s="13" t="s">
        <v>13878</v>
      </c>
      <c r="G2750" s="13" t="s">
        <v>13879</v>
      </c>
      <c r="H2750" s="13" t="s">
        <v>13880</v>
      </c>
    </row>
    <row r="2751" customFormat="false" ht="15" hidden="false" customHeight="true" outlineLevel="0" collapsed="false">
      <c r="A2751" s="13" t="s">
        <v>309</v>
      </c>
      <c r="B2751" s="13" t="s">
        <v>695</v>
      </c>
      <c r="C2751" s="11" t="s">
        <v>696</v>
      </c>
      <c r="D2751" s="13" t="s">
        <v>13881</v>
      </c>
      <c r="E2751" s="13" t="s">
        <v>13882</v>
      </c>
      <c r="F2751" s="13" t="s">
        <v>13883</v>
      </c>
      <c r="G2751" s="13" t="s">
        <v>10626</v>
      </c>
      <c r="H2751" s="13" t="s">
        <v>13884</v>
      </c>
    </row>
    <row r="2752" customFormat="false" ht="15" hidden="false" customHeight="true" outlineLevel="0" collapsed="false">
      <c r="A2752" s="13" t="s">
        <v>309</v>
      </c>
      <c r="B2752" s="13" t="s">
        <v>702</v>
      </c>
      <c r="C2752" s="11" t="s">
        <v>703</v>
      </c>
      <c r="D2752" s="13" t="s">
        <v>13885</v>
      </c>
      <c r="E2752" s="13" t="s">
        <v>13886</v>
      </c>
      <c r="F2752" s="13" t="s">
        <v>454</v>
      </c>
      <c r="G2752" s="13" t="s">
        <v>13887</v>
      </c>
      <c r="H2752" s="13" t="s">
        <v>13888</v>
      </c>
    </row>
    <row r="2753" customFormat="false" ht="15" hidden="false" customHeight="true" outlineLevel="0" collapsed="false">
      <c r="A2753" s="13" t="s">
        <v>309</v>
      </c>
      <c r="B2753" s="13" t="s">
        <v>709</v>
      </c>
      <c r="C2753" s="11" t="s">
        <v>710</v>
      </c>
      <c r="D2753" s="13" t="s">
        <v>13889</v>
      </c>
      <c r="E2753" s="13" t="s">
        <v>13890</v>
      </c>
      <c r="F2753" s="13" t="s">
        <v>13891</v>
      </c>
      <c r="G2753" s="13" t="s">
        <v>13892</v>
      </c>
      <c r="H2753" s="13" t="s">
        <v>13893</v>
      </c>
    </row>
    <row r="2754" customFormat="false" ht="15" hidden="false" customHeight="true" outlineLevel="0" collapsed="false">
      <c r="A2754" s="13" t="s">
        <v>309</v>
      </c>
      <c r="B2754" s="13" t="s">
        <v>716</v>
      </c>
      <c r="C2754" s="11" t="s">
        <v>717</v>
      </c>
      <c r="D2754" s="13" t="s">
        <v>13894</v>
      </c>
      <c r="E2754" s="13" t="s">
        <v>13895</v>
      </c>
      <c r="F2754" s="13" t="s">
        <v>13896</v>
      </c>
      <c r="G2754" s="13" t="s">
        <v>13897</v>
      </c>
      <c r="H2754" s="13" t="s">
        <v>13898</v>
      </c>
    </row>
    <row r="2755" customFormat="false" ht="15" hidden="false" customHeight="true" outlineLevel="0" collapsed="false">
      <c r="A2755" s="13" t="s">
        <v>309</v>
      </c>
      <c r="B2755" s="13" t="s">
        <v>723</v>
      </c>
      <c r="C2755" s="11" t="s">
        <v>724</v>
      </c>
      <c r="D2755" s="13" t="s">
        <v>13899</v>
      </c>
      <c r="E2755" s="13" t="s">
        <v>13900</v>
      </c>
      <c r="F2755" s="13" t="s">
        <v>13901</v>
      </c>
      <c r="G2755" s="13" t="s">
        <v>13902</v>
      </c>
      <c r="H2755" s="13" t="s">
        <v>13903</v>
      </c>
    </row>
    <row r="2756" customFormat="false" ht="15" hidden="false" customHeight="true" outlineLevel="0" collapsed="false">
      <c r="A2756" s="13" t="s">
        <v>309</v>
      </c>
      <c r="B2756" s="13" t="s">
        <v>730</v>
      </c>
      <c r="C2756" s="11" t="s">
        <v>731</v>
      </c>
      <c r="D2756" s="13" t="s">
        <v>13904</v>
      </c>
      <c r="E2756" s="13" t="s">
        <v>13905</v>
      </c>
      <c r="F2756" s="13" t="s">
        <v>13906</v>
      </c>
      <c r="G2756" s="13" t="s">
        <v>13907</v>
      </c>
      <c r="H2756" s="13" t="s">
        <v>13908</v>
      </c>
    </row>
    <row r="2757" customFormat="false" ht="15" hidden="false" customHeight="true" outlineLevel="0" collapsed="false">
      <c r="A2757" s="13" t="s">
        <v>309</v>
      </c>
      <c r="B2757" s="13" t="s">
        <v>737</v>
      </c>
      <c r="C2757" s="11" t="s">
        <v>738</v>
      </c>
      <c r="D2757" s="13" t="s">
        <v>13909</v>
      </c>
      <c r="E2757" s="13" t="s">
        <v>13910</v>
      </c>
      <c r="F2757" s="13" t="s">
        <v>13911</v>
      </c>
      <c r="G2757" s="13" t="s">
        <v>13912</v>
      </c>
      <c r="H2757" s="13" t="s">
        <v>13913</v>
      </c>
    </row>
    <row r="2758" customFormat="false" ht="15" hidden="false" customHeight="true" outlineLevel="0" collapsed="false">
      <c r="A2758" s="13" t="s">
        <v>309</v>
      </c>
      <c r="B2758" s="13" t="s">
        <v>744</v>
      </c>
      <c r="C2758" s="11" t="s">
        <v>745</v>
      </c>
      <c r="D2758" s="13" t="s">
        <v>13914</v>
      </c>
      <c r="E2758" s="13" t="s">
        <v>13915</v>
      </c>
      <c r="F2758" s="13" t="s">
        <v>13916</v>
      </c>
      <c r="G2758" s="13" t="s">
        <v>13917</v>
      </c>
      <c r="H2758" s="13" t="s">
        <v>9533</v>
      </c>
    </row>
    <row r="2759" customFormat="false" ht="15" hidden="false" customHeight="true" outlineLevel="0" collapsed="false">
      <c r="A2759" s="13" t="s">
        <v>309</v>
      </c>
      <c r="B2759" s="13" t="s">
        <v>751</v>
      </c>
      <c r="C2759" s="11" t="s">
        <v>752</v>
      </c>
      <c r="D2759" s="13" t="s">
        <v>13918</v>
      </c>
      <c r="E2759" s="13" t="s">
        <v>13919</v>
      </c>
      <c r="F2759" s="13" t="s">
        <v>13920</v>
      </c>
      <c r="G2759" s="13" t="s">
        <v>13921</v>
      </c>
      <c r="H2759" s="13" t="s">
        <v>13922</v>
      </c>
    </row>
    <row r="2760" customFormat="false" ht="15" hidden="false" customHeight="true" outlineLevel="0" collapsed="false">
      <c r="A2760" s="13" t="s">
        <v>309</v>
      </c>
      <c r="B2760" s="13" t="s">
        <v>758</v>
      </c>
      <c r="C2760" s="11" t="s">
        <v>759</v>
      </c>
      <c r="D2760" s="13" t="s">
        <v>13923</v>
      </c>
      <c r="E2760" s="13" t="s">
        <v>13924</v>
      </c>
      <c r="F2760" s="13" t="s">
        <v>13925</v>
      </c>
      <c r="G2760" s="13" t="s">
        <v>13926</v>
      </c>
      <c r="H2760" s="13" t="s">
        <v>13927</v>
      </c>
    </row>
    <row r="2761" customFormat="false" ht="15" hidden="false" customHeight="true" outlineLevel="0" collapsed="false">
      <c r="A2761" s="13" t="s">
        <v>309</v>
      </c>
      <c r="B2761" s="13" t="s">
        <v>765</v>
      </c>
      <c r="C2761" s="11" t="s">
        <v>766</v>
      </c>
      <c r="D2761" s="13" t="s">
        <v>13928</v>
      </c>
      <c r="E2761" s="13" t="s">
        <v>13929</v>
      </c>
      <c r="F2761" s="13" t="s">
        <v>13930</v>
      </c>
      <c r="G2761" s="13" t="s">
        <v>13931</v>
      </c>
      <c r="H2761" s="13" t="s">
        <v>13932</v>
      </c>
    </row>
    <row r="2762" customFormat="false" ht="15" hidden="false" customHeight="true" outlineLevel="0" collapsed="false">
      <c r="A2762" s="13" t="s">
        <v>309</v>
      </c>
      <c r="B2762" s="13" t="s">
        <v>772</v>
      </c>
      <c r="C2762" s="11" t="s">
        <v>773</v>
      </c>
      <c r="D2762" s="13" t="s">
        <v>13933</v>
      </c>
      <c r="E2762" s="13" t="s">
        <v>13934</v>
      </c>
      <c r="F2762" s="13" t="s">
        <v>13935</v>
      </c>
      <c r="G2762" s="13" t="s">
        <v>13936</v>
      </c>
      <c r="H2762" s="13" t="s">
        <v>13937</v>
      </c>
    </row>
    <row r="2763" customFormat="false" ht="15" hidden="false" customHeight="true" outlineLevel="0" collapsed="false">
      <c r="A2763" s="13" t="s">
        <v>309</v>
      </c>
      <c r="B2763" s="13" t="s">
        <v>779</v>
      </c>
      <c r="C2763" s="11" t="s">
        <v>780</v>
      </c>
      <c r="D2763" s="13" t="s">
        <v>13938</v>
      </c>
      <c r="E2763" s="13" t="s">
        <v>13939</v>
      </c>
      <c r="F2763" s="13" t="s">
        <v>13940</v>
      </c>
      <c r="G2763" s="13" t="s">
        <v>13941</v>
      </c>
      <c r="H2763" s="13" t="s">
        <v>13942</v>
      </c>
    </row>
    <row r="2764" customFormat="false" ht="15" hidden="false" customHeight="true" outlineLevel="0" collapsed="false">
      <c r="A2764" s="13" t="s">
        <v>309</v>
      </c>
      <c r="B2764" s="13" t="s">
        <v>786</v>
      </c>
      <c r="C2764" s="11" t="s">
        <v>787</v>
      </c>
      <c r="D2764" s="13" t="s">
        <v>13943</v>
      </c>
      <c r="E2764" s="13" t="s">
        <v>13944</v>
      </c>
      <c r="F2764" s="13" t="s">
        <v>13945</v>
      </c>
      <c r="G2764" s="13" t="s">
        <v>13946</v>
      </c>
      <c r="H2764" s="13" t="s">
        <v>13947</v>
      </c>
    </row>
    <row r="2765" customFormat="false" ht="15" hidden="false" customHeight="true" outlineLevel="0" collapsed="false">
      <c r="A2765" s="13" t="s">
        <v>309</v>
      </c>
      <c r="B2765" s="13" t="s">
        <v>793</v>
      </c>
      <c r="C2765" s="11" t="s">
        <v>794</v>
      </c>
      <c r="D2765" s="13" t="s">
        <v>13948</v>
      </c>
      <c r="E2765" s="13" t="s">
        <v>13949</v>
      </c>
      <c r="F2765" s="13" t="s">
        <v>13950</v>
      </c>
      <c r="G2765" s="13" t="s">
        <v>13951</v>
      </c>
      <c r="H2765" s="13" t="s">
        <v>13952</v>
      </c>
    </row>
    <row r="2766" customFormat="false" ht="15" hidden="false" customHeight="true" outlineLevel="0" collapsed="false">
      <c r="A2766" s="13" t="s">
        <v>309</v>
      </c>
      <c r="B2766" s="13" t="s">
        <v>800</v>
      </c>
      <c r="C2766" s="11" t="s">
        <v>801</v>
      </c>
      <c r="D2766" s="13" t="s">
        <v>3139</v>
      </c>
      <c r="E2766" s="13" t="s">
        <v>13953</v>
      </c>
      <c r="F2766" s="13" t="s">
        <v>13954</v>
      </c>
      <c r="G2766" s="13" t="s">
        <v>13955</v>
      </c>
      <c r="H2766" s="13" t="s">
        <v>13956</v>
      </c>
    </row>
    <row r="2767" customFormat="false" ht="15" hidden="false" customHeight="true" outlineLevel="0" collapsed="false">
      <c r="A2767" s="13" t="s">
        <v>309</v>
      </c>
      <c r="B2767" s="13" t="s">
        <v>806</v>
      </c>
      <c r="C2767" s="11" t="s">
        <v>807</v>
      </c>
      <c r="D2767" s="13" t="s">
        <v>13957</v>
      </c>
      <c r="E2767" s="13" t="s">
        <v>13958</v>
      </c>
      <c r="F2767" s="13" t="s">
        <v>13959</v>
      </c>
      <c r="G2767" s="13" t="s">
        <v>13960</v>
      </c>
      <c r="H2767" s="13" t="s">
        <v>13961</v>
      </c>
    </row>
    <row r="2768" customFormat="false" ht="15" hidden="false" customHeight="true" outlineLevel="0" collapsed="false">
      <c r="A2768" s="13" t="s">
        <v>309</v>
      </c>
      <c r="B2768" s="13" t="s">
        <v>813</v>
      </c>
      <c r="C2768" s="11" t="s">
        <v>814</v>
      </c>
      <c r="D2768" s="13" t="s">
        <v>13962</v>
      </c>
      <c r="E2768" s="13" t="s">
        <v>13963</v>
      </c>
      <c r="F2768" s="13" t="s">
        <v>13964</v>
      </c>
      <c r="G2768" s="13" t="s">
        <v>13965</v>
      </c>
      <c r="H2768" s="13" t="s">
        <v>13966</v>
      </c>
    </row>
    <row r="2769" customFormat="false" ht="15" hidden="false" customHeight="true" outlineLevel="0" collapsed="false">
      <c r="A2769" s="13" t="s">
        <v>309</v>
      </c>
      <c r="B2769" s="13" t="s">
        <v>820</v>
      </c>
      <c r="C2769" s="11" t="s">
        <v>821</v>
      </c>
      <c r="D2769" s="13" t="s">
        <v>13967</v>
      </c>
      <c r="E2769" s="13" t="s">
        <v>13968</v>
      </c>
      <c r="F2769" s="13" t="s">
        <v>13969</v>
      </c>
      <c r="G2769" s="13" t="s">
        <v>13970</v>
      </c>
      <c r="H2769" s="13" t="s">
        <v>13971</v>
      </c>
    </row>
    <row r="2770" customFormat="false" ht="15" hidden="false" customHeight="true" outlineLevel="0" collapsed="false">
      <c r="A2770" s="13" t="s">
        <v>309</v>
      </c>
      <c r="B2770" s="13" t="s">
        <v>827</v>
      </c>
      <c r="C2770" s="11" t="s">
        <v>828</v>
      </c>
      <c r="D2770" s="13" t="s">
        <v>13972</v>
      </c>
      <c r="E2770" s="13" t="s">
        <v>13973</v>
      </c>
      <c r="F2770" s="13" t="s">
        <v>13974</v>
      </c>
      <c r="G2770" s="13" t="s">
        <v>13975</v>
      </c>
      <c r="H2770" s="13" t="s">
        <v>13976</v>
      </c>
    </row>
    <row r="2771" customFormat="false" ht="15" hidden="false" customHeight="true" outlineLevel="0" collapsed="false">
      <c r="A2771" s="13" t="s">
        <v>309</v>
      </c>
      <c r="B2771" s="13" t="s">
        <v>834</v>
      </c>
      <c r="C2771" s="11" t="s">
        <v>835</v>
      </c>
      <c r="D2771" s="13" t="s">
        <v>13977</v>
      </c>
      <c r="E2771" s="13" t="s">
        <v>13978</v>
      </c>
      <c r="F2771" s="13" t="s">
        <v>13979</v>
      </c>
      <c r="G2771" s="13" t="s">
        <v>13980</v>
      </c>
      <c r="H2771" s="13" t="s">
        <v>13981</v>
      </c>
    </row>
    <row r="2772" customFormat="false" ht="15" hidden="false" customHeight="true" outlineLevel="0" collapsed="false">
      <c r="A2772" s="13" t="s">
        <v>309</v>
      </c>
      <c r="B2772" s="13" t="s">
        <v>841</v>
      </c>
      <c r="C2772" s="11" t="s">
        <v>842</v>
      </c>
      <c r="D2772" s="13" t="s">
        <v>13982</v>
      </c>
      <c r="E2772" s="13" t="s">
        <v>13983</v>
      </c>
      <c r="F2772" s="13" t="s">
        <v>13984</v>
      </c>
      <c r="G2772" s="13" t="s">
        <v>13985</v>
      </c>
      <c r="H2772" s="13" t="s">
        <v>13986</v>
      </c>
    </row>
    <row r="2773" customFormat="false" ht="15" hidden="false" customHeight="true" outlineLevel="0" collapsed="false">
      <c r="A2773" s="13" t="s">
        <v>309</v>
      </c>
      <c r="B2773" s="13" t="s">
        <v>848</v>
      </c>
      <c r="C2773" s="11" t="s">
        <v>849</v>
      </c>
      <c r="D2773" s="13" t="s">
        <v>13987</v>
      </c>
      <c r="E2773" s="13" t="s">
        <v>13988</v>
      </c>
      <c r="F2773" s="13" t="s">
        <v>13989</v>
      </c>
      <c r="G2773" s="13" t="s">
        <v>13990</v>
      </c>
      <c r="H2773" s="13" t="s">
        <v>13991</v>
      </c>
    </row>
    <row r="2774" customFormat="false" ht="15" hidden="false" customHeight="true" outlineLevel="0" collapsed="false">
      <c r="A2774" s="13" t="s">
        <v>309</v>
      </c>
      <c r="B2774" s="13" t="s">
        <v>855</v>
      </c>
      <c r="C2774" s="11" t="s">
        <v>856</v>
      </c>
      <c r="D2774" s="13" t="s">
        <v>13992</v>
      </c>
      <c r="E2774" s="13" t="s">
        <v>13993</v>
      </c>
      <c r="F2774" s="13" t="s">
        <v>13994</v>
      </c>
      <c r="G2774" s="13" t="s">
        <v>13995</v>
      </c>
      <c r="H2774" s="13" t="s">
        <v>13996</v>
      </c>
    </row>
    <row r="2775" customFormat="false" ht="15" hidden="false" customHeight="true" outlineLevel="0" collapsed="false">
      <c r="A2775" s="13" t="s">
        <v>309</v>
      </c>
      <c r="B2775" s="13" t="s">
        <v>862</v>
      </c>
      <c r="C2775" s="11" t="s">
        <v>863</v>
      </c>
      <c r="D2775" s="13" t="s">
        <v>13997</v>
      </c>
      <c r="E2775" s="13" t="s">
        <v>13998</v>
      </c>
      <c r="F2775" s="13" t="s">
        <v>13999</v>
      </c>
      <c r="G2775" s="13" t="s">
        <v>14000</v>
      </c>
      <c r="H2775" s="13" t="s">
        <v>14001</v>
      </c>
    </row>
    <row r="2776" customFormat="false" ht="15" hidden="false" customHeight="true" outlineLevel="0" collapsed="false">
      <c r="A2776" s="13" t="s">
        <v>309</v>
      </c>
      <c r="B2776" s="13" t="s">
        <v>869</v>
      </c>
      <c r="C2776" s="11" t="s">
        <v>870</v>
      </c>
      <c r="D2776" s="13" t="s">
        <v>14002</v>
      </c>
      <c r="E2776" s="13" t="s">
        <v>14003</v>
      </c>
      <c r="F2776" s="13" t="s">
        <v>14004</v>
      </c>
      <c r="G2776" s="13" t="s">
        <v>14005</v>
      </c>
      <c r="H2776" s="13" t="s">
        <v>14006</v>
      </c>
    </row>
    <row r="2777" customFormat="false" ht="15" hidden="false" customHeight="true" outlineLevel="0" collapsed="false">
      <c r="A2777" s="13" t="s">
        <v>309</v>
      </c>
      <c r="B2777" s="13" t="s">
        <v>876</v>
      </c>
      <c r="C2777" s="11" t="s">
        <v>877</v>
      </c>
      <c r="D2777" s="13" t="s">
        <v>14007</v>
      </c>
      <c r="E2777" s="13" t="s">
        <v>14008</v>
      </c>
      <c r="F2777" s="13" t="s">
        <v>14009</v>
      </c>
      <c r="G2777" s="13" t="s">
        <v>14010</v>
      </c>
      <c r="H2777" s="13" t="s">
        <v>14011</v>
      </c>
    </row>
    <row r="2778" customFormat="false" ht="15" hidden="false" customHeight="true" outlineLevel="0" collapsed="false">
      <c r="A2778" s="13" t="s">
        <v>309</v>
      </c>
      <c r="B2778" s="13" t="s">
        <v>883</v>
      </c>
      <c r="C2778" s="11" t="s">
        <v>884</v>
      </c>
      <c r="D2778" s="13" t="s">
        <v>14012</v>
      </c>
      <c r="E2778" s="13" t="s">
        <v>14013</v>
      </c>
      <c r="F2778" s="13" t="s">
        <v>14014</v>
      </c>
      <c r="G2778" s="13" t="s">
        <v>4325</v>
      </c>
      <c r="H2778" s="13" t="s">
        <v>14015</v>
      </c>
    </row>
    <row r="2779" customFormat="false" ht="15" hidden="false" customHeight="true" outlineLevel="0" collapsed="false">
      <c r="A2779" s="13" t="s">
        <v>309</v>
      </c>
      <c r="B2779" s="13" t="s">
        <v>890</v>
      </c>
      <c r="C2779" s="11" t="s">
        <v>891</v>
      </c>
      <c r="D2779" s="13" t="s">
        <v>14016</v>
      </c>
      <c r="E2779" s="13" t="s">
        <v>14017</v>
      </c>
      <c r="F2779" s="13" t="s">
        <v>14018</v>
      </c>
      <c r="G2779" s="13" t="s">
        <v>14019</v>
      </c>
      <c r="H2779" s="13" t="s">
        <v>14020</v>
      </c>
    </row>
    <row r="2780" customFormat="false" ht="15" hidden="false" customHeight="true" outlineLevel="0" collapsed="false">
      <c r="A2780" s="13" t="s">
        <v>309</v>
      </c>
      <c r="B2780" s="13" t="s">
        <v>897</v>
      </c>
      <c r="C2780" s="11" t="s">
        <v>898</v>
      </c>
      <c r="D2780" s="13" t="s">
        <v>14021</v>
      </c>
      <c r="E2780" s="13" t="s">
        <v>14022</v>
      </c>
      <c r="F2780" s="13" t="s">
        <v>14023</v>
      </c>
      <c r="G2780" s="13" t="s">
        <v>14024</v>
      </c>
      <c r="H2780" s="13" t="s">
        <v>14025</v>
      </c>
    </row>
    <row r="2781" customFormat="false" ht="15" hidden="false" customHeight="true" outlineLevel="0" collapsed="false">
      <c r="A2781" s="13" t="s">
        <v>309</v>
      </c>
      <c r="B2781" s="13" t="s">
        <v>904</v>
      </c>
      <c r="C2781" s="11" t="s">
        <v>905</v>
      </c>
      <c r="D2781" s="13" t="s">
        <v>14026</v>
      </c>
      <c r="E2781" s="13" t="s">
        <v>14027</v>
      </c>
      <c r="F2781" s="13" t="s">
        <v>14028</v>
      </c>
      <c r="G2781" s="13" t="s">
        <v>14029</v>
      </c>
      <c r="H2781" s="13" t="s">
        <v>14030</v>
      </c>
    </row>
    <row r="2782" customFormat="false" ht="15" hidden="false" customHeight="true" outlineLevel="0" collapsed="false">
      <c r="A2782" s="13" t="s">
        <v>309</v>
      </c>
      <c r="B2782" s="13" t="s">
        <v>911</v>
      </c>
      <c r="C2782" s="11" t="s">
        <v>912</v>
      </c>
      <c r="D2782" s="13" t="s">
        <v>14031</v>
      </c>
      <c r="E2782" s="13" t="s">
        <v>14032</v>
      </c>
      <c r="F2782" s="13" t="s">
        <v>14033</v>
      </c>
      <c r="G2782" s="13" t="s">
        <v>14034</v>
      </c>
      <c r="H2782" s="13" t="s">
        <v>14035</v>
      </c>
    </row>
    <row r="2783" customFormat="false" ht="15" hidden="false" customHeight="true" outlineLevel="0" collapsed="false">
      <c r="A2783" s="13" t="s">
        <v>309</v>
      </c>
      <c r="B2783" s="13" t="s">
        <v>918</v>
      </c>
      <c r="C2783" s="11" t="s">
        <v>919</v>
      </c>
      <c r="D2783" s="13" t="s">
        <v>14036</v>
      </c>
      <c r="E2783" s="13" t="s">
        <v>14037</v>
      </c>
      <c r="F2783" s="13" t="s">
        <v>14038</v>
      </c>
      <c r="G2783" s="13" t="s">
        <v>14039</v>
      </c>
      <c r="H2783" s="13" t="s">
        <v>14040</v>
      </c>
    </row>
    <row r="2784" customFormat="false" ht="15" hidden="false" customHeight="true" outlineLevel="0" collapsed="false">
      <c r="A2784" s="13" t="s">
        <v>309</v>
      </c>
      <c r="B2784" s="13" t="s">
        <v>925</v>
      </c>
      <c r="C2784" s="11" t="s">
        <v>926</v>
      </c>
      <c r="D2784" s="13" t="s">
        <v>14041</v>
      </c>
      <c r="E2784" s="13" t="s">
        <v>14042</v>
      </c>
      <c r="F2784" s="13" t="s">
        <v>14043</v>
      </c>
      <c r="G2784" s="13" t="s">
        <v>14044</v>
      </c>
      <c r="H2784" s="13" t="s">
        <v>14045</v>
      </c>
    </row>
    <row r="2785" customFormat="false" ht="15" hidden="false" customHeight="true" outlineLevel="0" collapsed="false">
      <c r="A2785" s="13" t="s">
        <v>309</v>
      </c>
      <c r="B2785" s="13" t="s">
        <v>932</v>
      </c>
      <c r="C2785" s="11" t="s">
        <v>933</v>
      </c>
      <c r="D2785" s="13" t="s">
        <v>14046</v>
      </c>
      <c r="E2785" s="13" t="s">
        <v>14047</v>
      </c>
      <c r="F2785" s="13" t="s">
        <v>14048</v>
      </c>
      <c r="G2785" s="13" t="s">
        <v>10713</v>
      </c>
      <c r="H2785" s="13" t="s">
        <v>14049</v>
      </c>
    </row>
    <row r="2786" customFormat="false" ht="15" hidden="false" customHeight="true" outlineLevel="0" collapsed="false">
      <c r="A2786" s="13" t="s">
        <v>309</v>
      </c>
      <c r="B2786" s="13" t="s">
        <v>939</v>
      </c>
      <c r="C2786" s="11" t="s">
        <v>940</v>
      </c>
      <c r="D2786" s="13" t="s">
        <v>14050</v>
      </c>
      <c r="E2786" s="13" t="s">
        <v>14051</v>
      </c>
      <c r="F2786" s="13" t="s">
        <v>14052</v>
      </c>
      <c r="G2786" s="13" t="s">
        <v>14053</v>
      </c>
      <c r="H2786" s="13" t="s">
        <v>14054</v>
      </c>
    </row>
    <row r="2787" customFormat="false" ht="15" hidden="false" customHeight="true" outlineLevel="0" collapsed="false">
      <c r="A2787" s="13" t="s">
        <v>309</v>
      </c>
      <c r="B2787" s="13" t="s">
        <v>946</v>
      </c>
      <c r="C2787" s="11" t="s">
        <v>947</v>
      </c>
      <c r="D2787" s="13" t="s">
        <v>14055</v>
      </c>
      <c r="E2787" s="13" t="s">
        <v>14056</v>
      </c>
      <c r="F2787" s="13" t="s">
        <v>6989</v>
      </c>
      <c r="G2787" s="13" t="s">
        <v>14057</v>
      </c>
      <c r="H2787" s="13" t="s">
        <v>14058</v>
      </c>
    </row>
    <row r="2788" customFormat="false" ht="15" hidden="false" customHeight="true" outlineLevel="0" collapsed="false">
      <c r="A2788" s="13" t="s">
        <v>309</v>
      </c>
      <c r="B2788" s="13" t="s">
        <v>953</v>
      </c>
      <c r="C2788" s="11" t="s">
        <v>954</v>
      </c>
      <c r="D2788" s="13" t="s">
        <v>14059</v>
      </c>
      <c r="E2788" s="13" t="s">
        <v>14060</v>
      </c>
      <c r="F2788" s="13" t="s">
        <v>14061</v>
      </c>
      <c r="G2788" s="13" t="s">
        <v>14062</v>
      </c>
      <c r="H2788" s="13" t="s">
        <v>14063</v>
      </c>
    </row>
    <row r="2789" customFormat="false" ht="15" hidden="false" customHeight="true" outlineLevel="0" collapsed="false">
      <c r="A2789" s="13" t="s">
        <v>309</v>
      </c>
      <c r="B2789" s="13" t="s">
        <v>960</v>
      </c>
      <c r="C2789" s="11" t="s">
        <v>961</v>
      </c>
      <c r="D2789" s="13" t="s">
        <v>14064</v>
      </c>
      <c r="E2789" s="13" t="s">
        <v>14065</v>
      </c>
      <c r="F2789" s="13" t="s">
        <v>14066</v>
      </c>
      <c r="G2789" s="13" t="s">
        <v>14067</v>
      </c>
      <c r="H2789" s="13" t="s">
        <v>14068</v>
      </c>
    </row>
    <row r="2790" customFormat="false" ht="15" hidden="false" customHeight="true" outlineLevel="0" collapsed="false">
      <c r="A2790" s="13" t="s">
        <v>309</v>
      </c>
      <c r="B2790" s="13" t="s">
        <v>967</v>
      </c>
      <c r="C2790" s="11" t="s">
        <v>968</v>
      </c>
      <c r="D2790" s="13" t="s">
        <v>14069</v>
      </c>
      <c r="E2790" s="13" t="s">
        <v>14070</v>
      </c>
      <c r="F2790" s="13" t="s">
        <v>14071</v>
      </c>
      <c r="G2790" s="13" t="s">
        <v>14072</v>
      </c>
      <c r="H2790" s="13" t="s">
        <v>14073</v>
      </c>
    </row>
    <row r="2791" customFormat="false" ht="15" hidden="false" customHeight="true" outlineLevel="0" collapsed="false">
      <c r="A2791" s="13" t="s">
        <v>309</v>
      </c>
      <c r="B2791" s="13" t="s">
        <v>974</v>
      </c>
      <c r="C2791" s="11" t="s">
        <v>975</v>
      </c>
      <c r="D2791" s="13" t="s">
        <v>14074</v>
      </c>
      <c r="E2791" s="13" t="s">
        <v>14075</v>
      </c>
      <c r="F2791" s="13" t="s">
        <v>14076</v>
      </c>
      <c r="G2791" s="13" t="s">
        <v>14077</v>
      </c>
      <c r="H2791" s="13" t="s">
        <v>14078</v>
      </c>
    </row>
    <row r="2792" customFormat="false" ht="15" hidden="false" customHeight="true" outlineLevel="0" collapsed="false">
      <c r="A2792" s="13" t="s">
        <v>309</v>
      </c>
      <c r="B2792" s="13" t="s">
        <v>981</v>
      </c>
      <c r="C2792" s="11" t="s">
        <v>982</v>
      </c>
      <c r="D2792" s="13" t="s">
        <v>14079</v>
      </c>
      <c r="E2792" s="13" t="s">
        <v>14080</v>
      </c>
      <c r="F2792" s="13" t="s">
        <v>14081</v>
      </c>
      <c r="G2792" s="13" t="s">
        <v>14082</v>
      </c>
      <c r="H2792" s="13" t="s">
        <v>14083</v>
      </c>
    </row>
    <row r="2793" customFormat="false" ht="15" hidden="false" customHeight="true" outlineLevel="0" collapsed="false">
      <c r="A2793" s="13" t="s">
        <v>309</v>
      </c>
      <c r="B2793" s="13" t="s">
        <v>988</v>
      </c>
      <c r="C2793" s="11" t="s">
        <v>989</v>
      </c>
      <c r="D2793" s="13" t="s">
        <v>14084</v>
      </c>
      <c r="E2793" s="13" t="s">
        <v>14085</v>
      </c>
      <c r="F2793" s="13" t="s">
        <v>14086</v>
      </c>
      <c r="G2793" s="13" t="s">
        <v>14087</v>
      </c>
      <c r="H2793" s="13" t="s">
        <v>14088</v>
      </c>
    </row>
    <row r="2794" customFormat="false" ht="15" hidden="false" customHeight="true" outlineLevel="0" collapsed="false">
      <c r="A2794" s="13" t="s">
        <v>309</v>
      </c>
      <c r="B2794" s="13" t="s">
        <v>995</v>
      </c>
      <c r="C2794" s="11" t="s">
        <v>996</v>
      </c>
      <c r="D2794" s="13" t="s">
        <v>14089</v>
      </c>
      <c r="E2794" s="13" t="s">
        <v>14090</v>
      </c>
      <c r="F2794" s="13" t="s">
        <v>14091</v>
      </c>
      <c r="G2794" s="13" t="s">
        <v>14092</v>
      </c>
      <c r="H2794" s="13" t="s">
        <v>14093</v>
      </c>
    </row>
    <row r="2795" customFormat="false" ht="15" hidden="false" customHeight="true" outlineLevel="0" collapsed="false">
      <c r="A2795" s="13" t="s">
        <v>309</v>
      </c>
      <c r="B2795" s="13" t="s">
        <v>1002</v>
      </c>
      <c r="C2795" s="11" t="s">
        <v>1003</v>
      </c>
      <c r="D2795" s="13" t="s">
        <v>14094</v>
      </c>
      <c r="E2795" s="13" t="s">
        <v>14095</v>
      </c>
      <c r="F2795" s="13" t="s">
        <v>14096</v>
      </c>
      <c r="G2795" s="13" t="s">
        <v>14097</v>
      </c>
      <c r="H2795" s="13" t="s">
        <v>14098</v>
      </c>
    </row>
    <row r="2796" customFormat="false" ht="15" hidden="false" customHeight="true" outlineLevel="0" collapsed="false">
      <c r="A2796" s="13" t="s">
        <v>309</v>
      </c>
      <c r="B2796" s="13" t="s">
        <v>1009</v>
      </c>
      <c r="C2796" s="11" t="s">
        <v>1010</v>
      </c>
      <c r="D2796" s="13" t="s">
        <v>14099</v>
      </c>
      <c r="E2796" s="13" t="s">
        <v>14100</v>
      </c>
      <c r="F2796" s="13" t="s">
        <v>5991</v>
      </c>
      <c r="G2796" s="13" t="s">
        <v>14101</v>
      </c>
      <c r="H2796" s="13" t="s">
        <v>11325</v>
      </c>
    </row>
    <row r="2797" customFormat="false" ht="15" hidden="false" customHeight="true" outlineLevel="0" collapsed="false">
      <c r="A2797" s="13" t="s">
        <v>317</v>
      </c>
      <c r="B2797" s="13" t="s">
        <v>345</v>
      </c>
      <c r="C2797" s="11" t="s">
        <v>346</v>
      </c>
      <c r="D2797" s="13" t="s">
        <v>14102</v>
      </c>
      <c r="E2797" s="13" t="s">
        <v>14103</v>
      </c>
      <c r="F2797" s="13" t="s">
        <v>14104</v>
      </c>
      <c r="G2797" s="13" t="s">
        <v>14105</v>
      </c>
      <c r="H2797" s="13" t="s">
        <v>14106</v>
      </c>
    </row>
    <row r="2798" customFormat="false" ht="15" hidden="false" customHeight="true" outlineLevel="0" collapsed="false">
      <c r="A2798" s="13" t="s">
        <v>317</v>
      </c>
      <c r="B2798" s="13" t="s">
        <v>352</v>
      </c>
      <c r="C2798" s="11" t="s">
        <v>353</v>
      </c>
      <c r="D2798" s="13" t="s">
        <v>14107</v>
      </c>
      <c r="E2798" s="13" t="s">
        <v>14108</v>
      </c>
      <c r="F2798" s="13" t="s">
        <v>14109</v>
      </c>
      <c r="G2798" s="13" t="s">
        <v>14110</v>
      </c>
      <c r="H2798" s="13" t="s">
        <v>14111</v>
      </c>
    </row>
    <row r="2799" customFormat="false" ht="15" hidden="false" customHeight="true" outlineLevel="0" collapsed="false">
      <c r="A2799" s="13" t="s">
        <v>317</v>
      </c>
      <c r="B2799" s="13" t="s">
        <v>359</v>
      </c>
      <c r="C2799" s="11" t="s">
        <v>360</v>
      </c>
      <c r="D2799" s="13" t="s">
        <v>14112</v>
      </c>
      <c r="E2799" s="13" t="s">
        <v>14113</v>
      </c>
      <c r="F2799" s="13" t="s">
        <v>14114</v>
      </c>
      <c r="G2799" s="13" t="s">
        <v>14115</v>
      </c>
      <c r="H2799" s="13" t="s">
        <v>14116</v>
      </c>
    </row>
    <row r="2800" customFormat="false" ht="15" hidden="false" customHeight="true" outlineLevel="0" collapsed="false">
      <c r="A2800" s="13" t="s">
        <v>317</v>
      </c>
      <c r="B2800" s="13" t="s">
        <v>366</v>
      </c>
      <c r="C2800" s="11" t="s">
        <v>367</v>
      </c>
      <c r="D2800" s="13" t="s">
        <v>14117</v>
      </c>
      <c r="E2800" s="13" t="s">
        <v>14118</v>
      </c>
      <c r="F2800" s="13" t="s">
        <v>14119</v>
      </c>
      <c r="G2800" s="13" t="s">
        <v>14120</v>
      </c>
      <c r="H2800" s="13" t="s">
        <v>14121</v>
      </c>
    </row>
    <row r="2801" customFormat="false" ht="15" hidden="false" customHeight="true" outlineLevel="0" collapsed="false">
      <c r="A2801" s="13" t="s">
        <v>317</v>
      </c>
      <c r="B2801" s="13" t="s">
        <v>373</v>
      </c>
      <c r="C2801" s="11" t="s">
        <v>374</v>
      </c>
      <c r="D2801" s="13" t="s">
        <v>14122</v>
      </c>
      <c r="E2801" s="13" t="s">
        <v>14123</v>
      </c>
      <c r="F2801" s="13" t="s">
        <v>14124</v>
      </c>
      <c r="G2801" s="13" t="s">
        <v>14125</v>
      </c>
      <c r="H2801" s="13" t="s">
        <v>14126</v>
      </c>
    </row>
    <row r="2802" customFormat="false" ht="15" hidden="false" customHeight="true" outlineLevel="0" collapsed="false">
      <c r="A2802" s="13" t="s">
        <v>317</v>
      </c>
      <c r="B2802" s="13" t="s">
        <v>380</v>
      </c>
      <c r="C2802" s="11" t="s">
        <v>381</v>
      </c>
      <c r="D2802" s="13" t="s">
        <v>14127</v>
      </c>
      <c r="E2802" s="13" t="s">
        <v>14128</v>
      </c>
      <c r="F2802" s="13" t="s">
        <v>14129</v>
      </c>
      <c r="G2802" s="13" t="s">
        <v>14130</v>
      </c>
      <c r="H2802" s="13" t="s">
        <v>14131</v>
      </c>
    </row>
    <row r="2803" customFormat="false" ht="15" hidden="false" customHeight="true" outlineLevel="0" collapsed="false">
      <c r="A2803" s="13" t="s">
        <v>317</v>
      </c>
      <c r="B2803" s="13" t="s">
        <v>387</v>
      </c>
      <c r="C2803" s="11" t="s">
        <v>388</v>
      </c>
      <c r="D2803" s="13" t="s">
        <v>14132</v>
      </c>
      <c r="E2803" s="13" t="s">
        <v>13466</v>
      </c>
      <c r="F2803" s="13" t="s">
        <v>14133</v>
      </c>
      <c r="G2803" s="13" t="s">
        <v>14134</v>
      </c>
      <c r="H2803" s="13" t="s">
        <v>14135</v>
      </c>
    </row>
    <row r="2804" customFormat="false" ht="15" hidden="false" customHeight="true" outlineLevel="0" collapsed="false">
      <c r="A2804" s="13" t="s">
        <v>317</v>
      </c>
      <c r="B2804" s="13" t="s">
        <v>394</v>
      </c>
      <c r="C2804" s="11" t="s">
        <v>395</v>
      </c>
      <c r="D2804" s="13" t="s">
        <v>14136</v>
      </c>
      <c r="E2804" s="13" t="s">
        <v>14137</v>
      </c>
      <c r="F2804" s="13" t="s">
        <v>14138</v>
      </c>
      <c r="G2804" s="13" t="s">
        <v>14139</v>
      </c>
      <c r="H2804" s="13" t="s">
        <v>14140</v>
      </c>
    </row>
    <row r="2805" customFormat="false" ht="15" hidden="false" customHeight="true" outlineLevel="0" collapsed="false">
      <c r="A2805" s="13" t="s">
        <v>317</v>
      </c>
      <c r="B2805" s="13" t="s">
        <v>401</v>
      </c>
      <c r="C2805" s="11" t="s">
        <v>402</v>
      </c>
      <c r="D2805" s="13" t="s">
        <v>14141</v>
      </c>
      <c r="E2805" s="13" t="s">
        <v>14142</v>
      </c>
      <c r="F2805" s="13" t="s">
        <v>14143</v>
      </c>
      <c r="G2805" s="13" t="s">
        <v>14144</v>
      </c>
      <c r="H2805" s="13" t="s">
        <v>14145</v>
      </c>
    </row>
    <row r="2806" customFormat="false" ht="15" hidden="false" customHeight="true" outlineLevel="0" collapsed="false">
      <c r="A2806" s="13" t="s">
        <v>317</v>
      </c>
      <c r="B2806" s="13" t="s">
        <v>408</v>
      </c>
      <c r="C2806" s="11" t="s">
        <v>409</v>
      </c>
      <c r="D2806" s="13" t="s">
        <v>14146</v>
      </c>
      <c r="E2806" s="13" t="s">
        <v>14147</v>
      </c>
      <c r="F2806" s="13" t="s">
        <v>14148</v>
      </c>
      <c r="G2806" s="13" t="s">
        <v>14149</v>
      </c>
      <c r="H2806" s="13" t="s">
        <v>14150</v>
      </c>
    </row>
    <row r="2807" customFormat="false" ht="15" hidden="false" customHeight="true" outlineLevel="0" collapsed="false">
      <c r="A2807" s="13" t="s">
        <v>317</v>
      </c>
      <c r="B2807" s="13" t="s">
        <v>415</v>
      </c>
      <c r="C2807" s="11" t="s">
        <v>416</v>
      </c>
      <c r="D2807" s="13" t="s">
        <v>14151</v>
      </c>
      <c r="E2807" s="13" t="s">
        <v>14152</v>
      </c>
      <c r="F2807" s="13" t="s">
        <v>14153</v>
      </c>
      <c r="G2807" s="13" t="s">
        <v>14154</v>
      </c>
      <c r="H2807" s="13" t="s">
        <v>14155</v>
      </c>
    </row>
    <row r="2808" customFormat="false" ht="15" hidden="false" customHeight="true" outlineLevel="0" collapsed="false">
      <c r="A2808" s="13" t="s">
        <v>317</v>
      </c>
      <c r="B2808" s="13" t="s">
        <v>422</v>
      </c>
      <c r="C2808" s="11" t="s">
        <v>423</v>
      </c>
      <c r="D2808" s="13" t="s">
        <v>14156</v>
      </c>
      <c r="E2808" s="13" t="s">
        <v>14157</v>
      </c>
      <c r="F2808" s="13" t="s">
        <v>14158</v>
      </c>
      <c r="G2808" s="13" t="s">
        <v>14159</v>
      </c>
      <c r="H2808" s="13" t="s">
        <v>14160</v>
      </c>
    </row>
    <row r="2809" customFormat="false" ht="15" hidden="false" customHeight="true" outlineLevel="0" collapsed="false">
      <c r="A2809" s="13" t="s">
        <v>317</v>
      </c>
      <c r="B2809" s="13" t="s">
        <v>429</v>
      </c>
      <c r="C2809" s="11" t="s">
        <v>430</v>
      </c>
      <c r="D2809" s="13" t="s">
        <v>14161</v>
      </c>
      <c r="E2809" s="13" t="s">
        <v>14162</v>
      </c>
      <c r="F2809" s="13" t="s">
        <v>14163</v>
      </c>
      <c r="G2809" s="13" t="s">
        <v>14164</v>
      </c>
      <c r="H2809" s="13" t="s">
        <v>14165</v>
      </c>
    </row>
    <row r="2810" customFormat="false" ht="15" hidden="false" customHeight="true" outlineLevel="0" collapsed="false">
      <c r="A2810" s="13" t="s">
        <v>317</v>
      </c>
      <c r="B2810" s="13" t="s">
        <v>436</v>
      </c>
      <c r="C2810" s="11" t="s">
        <v>437</v>
      </c>
      <c r="D2810" s="13" t="s">
        <v>4831</v>
      </c>
      <c r="E2810" s="13" t="s">
        <v>13245</v>
      </c>
      <c r="F2810" s="13" t="s">
        <v>14166</v>
      </c>
      <c r="G2810" s="13" t="s">
        <v>14167</v>
      </c>
      <c r="H2810" s="13" t="s">
        <v>14168</v>
      </c>
    </row>
    <row r="2811" customFormat="false" ht="15" hidden="false" customHeight="true" outlineLevel="0" collapsed="false">
      <c r="A2811" s="13" t="s">
        <v>317</v>
      </c>
      <c r="B2811" s="13" t="s">
        <v>443</v>
      </c>
      <c r="C2811" s="11" t="s">
        <v>444</v>
      </c>
      <c r="D2811" s="13" t="s">
        <v>14169</v>
      </c>
      <c r="E2811" s="13" t="s">
        <v>14170</v>
      </c>
      <c r="F2811" s="13" t="s">
        <v>14171</v>
      </c>
      <c r="G2811" s="13" t="s">
        <v>14172</v>
      </c>
      <c r="H2811" s="13" t="s">
        <v>14173</v>
      </c>
    </row>
    <row r="2812" customFormat="false" ht="15" hidden="false" customHeight="true" outlineLevel="0" collapsed="false">
      <c r="A2812" s="13" t="s">
        <v>317</v>
      </c>
      <c r="B2812" s="13" t="s">
        <v>450</v>
      </c>
      <c r="C2812" s="11" t="s">
        <v>451</v>
      </c>
      <c r="D2812" s="13" t="s">
        <v>14174</v>
      </c>
      <c r="E2812" s="13" t="s">
        <v>14175</v>
      </c>
      <c r="F2812" s="13" t="s">
        <v>14176</v>
      </c>
      <c r="G2812" s="13" t="s">
        <v>14177</v>
      </c>
      <c r="H2812" s="13" t="s">
        <v>14178</v>
      </c>
    </row>
    <row r="2813" customFormat="false" ht="15" hidden="false" customHeight="true" outlineLevel="0" collapsed="false">
      <c r="A2813" s="13" t="s">
        <v>317</v>
      </c>
      <c r="B2813" s="13" t="s">
        <v>457</v>
      </c>
      <c r="C2813" s="11" t="s">
        <v>458</v>
      </c>
      <c r="D2813" s="13" t="s">
        <v>14179</v>
      </c>
      <c r="E2813" s="13" t="s">
        <v>14180</v>
      </c>
      <c r="F2813" s="13" t="s">
        <v>14181</v>
      </c>
      <c r="G2813" s="13" t="s">
        <v>14182</v>
      </c>
      <c r="H2813" s="13" t="s">
        <v>14183</v>
      </c>
    </row>
    <row r="2814" customFormat="false" ht="15" hidden="false" customHeight="true" outlineLevel="0" collapsed="false">
      <c r="A2814" s="13" t="s">
        <v>317</v>
      </c>
      <c r="B2814" s="13" t="s">
        <v>464</v>
      </c>
      <c r="C2814" s="11" t="s">
        <v>465</v>
      </c>
      <c r="D2814" s="13" t="s">
        <v>14184</v>
      </c>
      <c r="E2814" s="13" t="s">
        <v>14185</v>
      </c>
      <c r="F2814" s="13" t="s">
        <v>14186</v>
      </c>
      <c r="G2814" s="13" t="s">
        <v>14187</v>
      </c>
      <c r="H2814" s="13" t="s">
        <v>14188</v>
      </c>
    </row>
    <row r="2815" customFormat="false" ht="15" hidden="false" customHeight="true" outlineLevel="0" collapsed="false">
      <c r="A2815" s="13" t="s">
        <v>317</v>
      </c>
      <c r="B2815" s="13" t="s">
        <v>471</v>
      </c>
      <c r="C2815" s="11" t="s">
        <v>472</v>
      </c>
      <c r="D2815" s="13" t="s">
        <v>14189</v>
      </c>
      <c r="E2815" s="13" t="s">
        <v>14190</v>
      </c>
      <c r="F2815" s="13" t="s">
        <v>14191</v>
      </c>
      <c r="G2815" s="13" t="s">
        <v>14192</v>
      </c>
      <c r="H2815" s="13" t="s">
        <v>14193</v>
      </c>
    </row>
    <row r="2816" customFormat="false" ht="15" hidden="false" customHeight="true" outlineLevel="0" collapsed="false">
      <c r="A2816" s="13" t="s">
        <v>317</v>
      </c>
      <c r="B2816" s="13" t="s">
        <v>478</v>
      </c>
      <c r="C2816" s="11" t="s">
        <v>479</v>
      </c>
      <c r="D2816" s="13" t="s">
        <v>14194</v>
      </c>
      <c r="E2816" s="13" t="s">
        <v>14195</v>
      </c>
      <c r="F2816" s="13" t="s">
        <v>14196</v>
      </c>
      <c r="G2816" s="13" t="s">
        <v>14197</v>
      </c>
      <c r="H2816" s="13" t="s">
        <v>14198</v>
      </c>
    </row>
    <row r="2817" customFormat="false" ht="15" hidden="false" customHeight="true" outlineLevel="0" collapsed="false">
      <c r="A2817" s="13" t="s">
        <v>317</v>
      </c>
      <c r="B2817" s="13" t="s">
        <v>485</v>
      </c>
      <c r="C2817" s="11" t="s">
        <v>486</v>
      </c>
      <c r="D2817" s="13" t="s">
        <v>14199</v>
      </c>
      <c r="E2817" s="13" t="s">
        <v>14200</v>
      </c>
      <c r="F2817" s="13" t="s">
        <v>14201</v>
      </c>
      <c r="G2817" s="13" t="s">
        <v>14202</v>
      </c>
      <c r="H2817" s="13" t="s">
        <v>9099</v>
      </c>
    </row>
    <row r="2818" customFormat="false" ht="15" hidden="false" customHeight="true" outlineLevel="0" collapsed="false">
      <c r="A2818" s="13" t="s">
        <v>317</v>
      </c>
      <c r="B2818" s="13" t="s">
        <v>492</v>
      </c>
      <c r="C2818" s="11" t="s">
        <v>493</v>
      </c>
      <c r="D2818" s="13" t="s">
        <v>14203</v>
      </c>
      <c r="E2818" s="13" t="s">
        <v>14204</v>
      </c>
      <c r="F2818" s="13" t="s">
        <v>14205</v>
      </c>
      <c r="G2818" s="13" t="s">
        <v>14206</v>
      </c>
      <c r="H2818" s="13" t="s">
        <v>14207</v>
      </c>
    </row>
    <row r="2819" customFormat="false" ht="15" hidden="false" customHeight="true" outlineLevel="0" collapsed="false">
      <c r="A2819" s="13" t="s">
        <v>317</v>
      </c>
      <c r="B2819" s="13" t="s">
        <v>499</v>
      </c>
      <c r="C2819" s="11" t="s">
        <v>500</v>
      </c>
      <c r="D2819" s="13" t="s">
        <v>14208</v>
      </c>
      <c r="E2819" s="13" t="s">
        <v>14209</v>
      </c>
      <c r="F2819" s="13" t="s">
        <v>14210</v>
      </c>
      <c r="G2819" s="13" t="s">
        <v>14211</v>
      </c>
      <c r="H2819" s="13" t="s">
        <v>14212</v>
      </c>
    </row>
    <row r="2820" customFormat="false" ht="15" hidden="false" customHeight="true" outlineLevel="0" collapsed="false">
      <c r="A2820" s="13" t="s">
        <v>317</v>
      </c>
      <c r="B2820" s="13" t="s">
        <v>506</v>
      </c>
      <c r="C2820" s="11" t="s">
        <v>507</v>
      </c>
      <c r="D2820" s="13" t="s">
        <v>14213</v>
      </c>
      <c r="E2820" s="13" t="s">
        <v>14214</v>
      </c>
      <c r="F2820" s="13" t="s">
        <v>14215</v>
      </c>
      <c r="G2820" s="13" t="s">
        <v>14216</v>
      </c>
      <c r="H2820" s="13" t="s">
        <v>14217</v>
      </c>
    </row>
    <row r="2821" customFormat="false" ht="15" hidden="false" customHeight="true" outlineLevel="0" collapsed="false">
      <c r="A2821" s="13" t="s">
        <v>317</v>
      </c>
      <c r="B2821" s="13" t="s">
        <v>513</v>
      </c>
      <c r="C2821" s="11" t="s">
        <v>514</v>
      </c>
      <c r="D2821" s="13" t="s">
        <v>14218</v>
      </c>
      <c r="E2821" s="13" t="s">
        <v>14219</v>
      </c>
      <c r="F2821" s="13" t="s">
        <v>14220</v>
      </c>
      <c r="G2821" s="13" t="s">
        <v>14221</v>
      </c>
      <c r="H2821" s="13" t="s">
        <v>14222</v>
      </c>
    </row>
    <row r="2822" customFormat="false" ht="15" hidden="false" customHeight="true" outlineLevel="0" collapsed="false">
      <c r="A2822" s="13" t="s">
        <v>317</v>
      </c>
      <c r="B2822" s="13" t="s">
        <v>520</v>
      </c>
      <c r="C2822" s="11" t="s">
        <v>521</v>
      </c>
      <c r="D2822" s="13" t="s">
        <v>14223</v>
      </c>
      <c r="E2822" s="13" t="s">
        <v>14224</v>
      </c>
      <c r="F2822" s="13" t="s">
        <v>14225</v>
      </c>
      <c r="G2822" s="13" t="s">
        <v>14226</v>
      </c>
      <c r="H2822" s="13" t="s">
        <v>14227</v>
      </c>
    </row>
    <row r="2823" customFormat="false" ht="15" hidden="false" customHeight="true" outlineLevel="0" collapsed="false">
      <c r="A2823" s="13" t="s">
        <v>317</v>
      </c>
      <c r="B2823" s="13" t="s">
        <v>527</v>
      </c>
      <c r="C2823" s="11" t="s">
        <v>528</v>
      </c>
      <c r="D2823" s="13" t="s">
        <v>14228</v>
      </c>
      <c r="E2823" s="13" t="s">
        <v>14229</v>
      </c>
      <c r="F2823" s="13" t="s">
        <v>14230</v>
      </c>
      <c r="G2823" s="13" t="s">
        <v>14231</v>
      </c>
      <c r="H2823" s="13" t="s">
        <v>14232</v>
      </c>
    </row>
    <row r="2824" customFormat="false" ht="15" hidden="false" customHeight="true" outlineLevel="0" collapsed="false">
      <c r="A2824" s="13" t="s">
        <v>317</v>
      </c>
      <c r="B2824" s="13" t="s">
        <v>534</v>
      </c>
      <c r="C2824" s="11" t="s">
        <v>535</v>
      </c>
      <c r="D2824" s="13" t="s">
        <v>14233</v>
      </c>
      <c r="E2824" s="13" t="s">
        <v>14234</v>
      </c>
      <c r="F2824" s="13" t="s">
        <v>14235</v>
      </c>
      <c r="G2824" s="13" t="s">
        <v>14236</v>
      </c>
      <c r="H2824" s="13" t="s">
        <v>14237</v>
      </c>
    </row>
    <row r="2825" customFormat="false" ht="15" hidden="false" customHeight="true" outlineLevel="0" collapsed="false">
      <c r="A2825" s="13" t="s">
        <v>317</v>
      </c>
      <c r="B2825" s="13" t="s">
        <v>541</v>
      </c>
      <c r="C2825" s="11" t="s">
        <v>542</v>
      </c>
      <c r="D2825" s="13" t="s">
        <v>14238</v>
      </c>
      <c r="E2825" s="13" t="s">
        <v>14239</v>
      </c>
      <c r="F2825" s="13" t="s">
        <v>14240</v>
      </c>
      <c r="G2825" s="13" t="s">
        <v>14241</v>
      </c>
      <c r="H2825" s="13" t="s">
        <v>14242</v>
      </c>
    </row>
    <row r="2826" customFormat="false" ht="15" hidden="false" customHeight="true" outlineLevel="0" collapsed="false">
      <c r="A2826" s="13" t="s">
        <v>317</v>
      </c>
      <c r="B2826" s="13" t="s">
        <v>548</v>
      </c>
      <c r="C2826" s="11" t="s">
        <v>549</v>
      </c>
      <c r="D2826" s="13" t="s">
        <v>14243</v>
      </c>
      <c r="E2826" s="13" t="s">
        <v>14244</v>
      </c>
      <c r="F2826" s="13" t="s">
        <v>14245</v>
      </c>
      <c r="G2826" s="13" t="s">
        <v>14246</v>
      </c>
      <c r="H2826" s="13" t="s">
        <v>14247</v>
      </c>
    </row>
    <row r="2827" customFormat="false" ht="15" hidden="false" customHeight="true" outlineLevel="0" collapsed="false">
      <c r="A2827" s="13" t="s">
        <v>317</v>
      </c>
      <c r="B2827" s="13" t="s">
        <v>555</v>
      </c>
      <c r="C2827" s="11" t="s">
        <v>556</v>
      </c>
      <c r="D2827" s="13" t="s">
        <v>14248</v>
      </c>
      <c r="E2827" s="13" t="s">
        <v>14249</v>
      </c>
      <c r="F2827" s="13" t="s">
        <v>14250</v>
      </c>
      <c r="G2827" s="13" t="s">
        <v>14251</v>
      </c>
      <c r="H2827" s="13" t="s">
        <v>14252</v>
      </c>
    </row>
    <row r="2828" customFormat="false" ht="15" hidden="false" customHeight="true" outlineLevel="0" collapsed="false">
      <c r="A2828" s="13" t="s">
        <v>317</v>
      </c>
      <c r="B2828" s="13" t="s">
        <v>562</v>
      </c>
      <c r="C2828" s="11" t="s">
        <v>563</v>
      </c>
      <c r="D2828" s="13" t="s">
        <v>14253</v>
      </c>
      <c r="E2828" s="13" t="s">
        <v>14254</v>
      </c>
      <c r="F2828" s="13" t="s">
        <v>14255</v>
      </c>
      <c r="G2828" s="13" t="s">
        <v>14256</v>
      </c>
      <c r="H2828" s="13" t="s">
        <v>14257</v>
      </c>
    </row>
    <row r="2829" customFormat="false" ht="15" hidden="false" customHeight="true" outlineLevel="0" collapsed="false">
      <c r="A2829" s="13" t="s">
        <v>317</v>
      </c>
      <c r="B2829" s="13" t="s">
        <v>569</v>
      </c>
      <c r="C2829" s="11" t="s">
        <v>570</v>
      </c>
      <c r="D2829" s="13" t="s">
        <v>14258</v>
      </c>
      <c r="E2829" s="13" t="s">
        <v>14259</v>
      </c>
      <c r="F2829" s="13" t="s">
        <v>14260</v>
      </c>
      <c r="G2829" s="13" t="s">
        <v>14261</v>
      </c>
      <c r="H2829" s="13" t="s">
        <v>14262</v>
      </c>
    </row>
    <row r="2830" customFormat="false" ht="15" hidden="false" customHeight="true" outlineLevel="0" collapsed="false">
      <c r="A2830" s="13" t="s">
        <v>317</v>
      </c>
      <c r="B2830" s="13" t="s">
        <v>576</v>
      </c>
      <c r="C2830" s="11" t="s">
        <v>577</v>
      </c>
      <c r="D2830" s="13" t="s">
        <v>14263</v>
      </c>
      <c r="E2830" s="13" t="s">
        <v>14264</v>
      </c>
      <c r="F2830" s="13" t="s">
        <v>14265</v>
      </c>
      <c r="G2830" s="13" t="s">
        <v>14266</v>
      </c>
      <c r="H2830" s="13" t="s">
        <v>14267</v>
      </c>
    </row>
    <row r="2831" customFormat="false" ht="15" hidden="false" customHeight="true" outlineLevel="0" collapsed="false">
      <c r="A2831" s="13" t="s">
        <v>317</v>
      </c>
      <c r="B2831" s="13" t="s">
        <v>583</v>
      </c>
      <c r="C2831" s="11" t="s">
        <v>584</v>
      </c>
      <c r="D2831" s="13" t="s">
        <v>14268</v>
      </c>
      <c r="E2831" s="13" t="s">
        <v>14269</v>
      </c>
      <c r="F2831" s="13" t="s">
        <v>14270</v>
      </c>
      <c r="G2831" s="13" t="s">
        <v>14271</v>
      </c>
      <c r="H2831" s="13" t="s">
        <v>8291</v>
      </c>
    </row>
    <row r="2832" customFormat="false" ht="15" hidden="false" customHeight="true" outlineLevel="0" collapsed="false">
      <c r="A2832" s="13" t="s">
        <v>317</v>
      </c>
      <c r="B2832" s="13" t="s">
        <v>590</v>
      </c>
      <c r="C2832" s="11" t="s">
        <v>591</v>
      </c>
      <c r="D2832" s="13" t="s">
        <v>14272</v>
      </c>
      <c r="E2832" s="13" t="s">
        <v>14273</v>
      </c>
      <c r="F2832" s="13" t="s">
        <v>14274</v>
      </c>
      <c r="G2832" s="13" t="s">
        <v>14275</v>
      </c>
      <c r="H2832" s="13" t="s">
        <v>14276</v>
      </c>
    </row>
    <row r="2833" customFormat="false" ht="15" hidden="false" customHeight="true" outlineLevel="0" collapsed="false">
      <c r="A2833" s="13" t="s">
        <v>317</v>
      </c>
      <c r="B2833" s="13" t="s">
        <v>597</v>
      </c>
      <c r="C2833" s="11" t="s">
        <v>598</v>
      </c>
      <c r="D2833" s="13" t="s">
        <v>14277</v>
      </c>
      <c r="E2833" s="13" t="s">
        <v>14278</v>
      </c>
      <c r="F2833" s="13" t="s">
        <v>14279</v>
      </c>
      <c r="G2833" s="13" t="s">
        <v>14280</v>
      </c>
      <c r="H2833" s="13" t="s">
        <v>14281</v>
      </c>
    </row>
    <row r="2834" customFormat="false" ht="15" hidden="false" customHeight="true" outlineLevel="0" collapsed="false">
      <c r="A2834" s="13" t="s">
        <v>317</v>
      </c>
      <c r="B2834" s="13" t="s">
        <v>604</v>
      </c>
      <c r="C2834" s="11" t="s">
        <v>605</v>
      </c>
      <c r="D2834" s="13" t="s">
        <v>14282</v>
      </c>
      <c r="E2834" s="13" t="s">
        <v>14283</v>
      </c>
      <c r="F2834" s="13" t="s">
        <v>14284</v>
      </c>
      <c r="G2834" s="13" t="s">
        <v>14285</v>
      </c>
      <c r="H2834" s="13" t="s">
        <v>14286</v>
      </c>
    </row>
    <row r="2835" customFormat="false" ht="15" hidden="false" customHeight="true" outlineLevel="0" collapsed="false">
      <c r="A2835" s="13" t="s">
        <v>317</v>
      </c>
      <c r="B2835" s="13" t="s">
        <v>611</v>
      </c>
      <c r="C2835" s="11" t="s">
        <v>612</v>
      </c>
      <c r="D2835" s="13" t="s">
        <v>14287</v>
      </c>
      <c r="E2835" s="13" t="s">
        <v>14288</v>
      </c>
      <c r="F2835" s="13" t="s">
        <v>14289</v>
      </c>
      <c r="G2835" s="13" t="s">
        <v>14290</v>
      </c>
      <c r="H2835" s="13" t="s">
        <v>14291</v>
      </c>
    </row>
    <row r="2836" customFormat="false" ht="15" hidden="false" customHeight="true" outlineLevel="0" collapsed="false">
      <c r="A2836" s="13" t="s">
        <v>317</v>
      </c>
      <c r="B2836" s="13" t="s">
        <v>618</v>
      </c>
      <c r="C2836" s="11" t="s">
        <v>619</v>
      </c>
      <c r="D2836" s="13" t="s">
        <v>14292</v>
      </c>
      <c r="E2836" s="13" t="s">
        <v>14293</v>
      </c>
      <c r="F2836" s="13" t="s">
        <v>14294</v>
      </c>
      <c r="G2836" s="13" t="s">
        <v>14295</v>
      </c>
      <c r="H2836" s="13" t="s">
        <v>14296</v>
      </c>
    </row>
    <row r="2837" customFormat="false" ht="15" hidden="false" customHeight="true" outlineLevel="0" collapsed="false">
      <c r="A2837" s="13" t="s">
        <v>317</v>
      </c>
      <c r="B2837" s="13" t="s">
        <v>625</v>
      </c>
      <c r="C2837" s="11" t="s">
        <v>626</v>
      </c>
      <c r="D2837" s="13" t="s">
        <v>14297</v>
      </c>
      <c r="E2837" s="13" t="s">
        <v>14298</v>
      </c>
      <c r="F2837" s="13" t="s">
        <v>14299</v>
      </c>
      <c r="G2837" s="13" t="s">
        <v>14300</v>
      </c>
      <c r="H2837" s="13" t="s">
        <v>14301</v>
      </c>
    </row>
    <row r="2838" customFormat="false" ht="15" hidden="false" customHeight="true" outlineLevel="0" collapsed="false">
      <c r="A2838" s="13" t="s">
        <v>317</v>
      </c>
      <c r="B2838" s="13" t="s">
        <v>632</v>
      </c>
      <c r="C2838" s="11" t="s">
        <v>633</v>
      </c>
      <c r="D2838" s="13" t="s">
        <v>14302</v>
      </c>
      <c r="E2838" s="13" t="s">
        <v>14303</v>
      </c>
      <c r="F2838" s="13" t="s">
        <v>14304</v>
      </c>
      <c r="G2838" s="13" t="s">
        <v>14305</v>
      </c>
      <c r="H2838" s="13" t="s">
        <v>14306</v>
      </c>
    </row>
    <row r="2839" customFormat="false" ht="15" hidden="false" customHeight="true" outlineLevel="0" collapsed="false">
      <c r="A2839" s="13" t="s">
        <v>317</v>
      </c>
      <c r="B2839" s="13" t="s">
        <v>639</v>
      </c>
      <c r="C2839" s="11" t="s">
        <v>640</v>
      </c>
      <c r="D2839" s="13" t="s">
        <v>10680</v>
      </c>
      <c r="E2839" s="13" t="s">
        <v>3452</v>
      </c>
      <c r="F2839" s="13" t="s">
        <v>14307</v>
      </c>
      <c r="G2839" s="13" t="s">
        <v>14308</v>
      </c>
      <c r="H2839" s="13" t="s">
        <v>14309</v>
      </c>
    </row>
    <row r="2840" customFormat="false" ht="15" hidden="false" customHeight="true" outlineLevel="0" collapsed="false">
      <c r="A2840" s="13" t="s">
        <v>317</v>
      </c>
      <c r="B2840" s="13" t="s">
        <v>646</v>
      </c>
      <c r="C2840" s="11" t="s">
        <v>647</v>
      </c>
      <c r="D2840" s="13" t="s">
        <v>14310</v>
      </c>
      <c r="E2840" s="13" t="s">
        <v>14311</v>
      </c>
      <c r="F2840" s="13" t="s">
        <v>14312</v>
      </c>
      <c r="G2840" s="13" t="s">
        <v>14313</v>
      </c>
      <c r="H2840" s="13" t="s">
        <v>14314</v>
      </c>
    </row>
    <row r="2841" customFormat="false" ht="15" hidden="false" customHeight="true" outlineLevel="0" collapsed="false">
      <c r="A2841" s="13" t="s">
        <v>317</v>
      </c>
      <c r="B2841" s="13" t="s">
        <v>653</v>
      </c>
      <c r="C2841" s="11" t="s">
        <v>654</v>
      </c>
      <c r="D2841" s="13" t="s">
        <v>655</v>
      </c>
      <c r="E2841" s="13" t="s">
        <v>14315</v>
      </c>
      <c r="F2841" s="13" t="s">
        <v>14316</v>
      </c>
      <c r="G2841" s="13" t="s">
        <v>14317</v>
      </c>
      <c r="H2841" s="13" t="s">
        <v>14318</v>
      </c>
    </row>
    <row r="2842" customFormat="false" ht="15" hidden="false" customHeight="true" outlineLevel="0" collapsed="false">
      <c r="A2842" s="13" t="s">
        <v>317</v>
      </c>
      <c r="B2842" s="13" t="s">
        <v>660</v>
      </c>
      <c r="C2842" s="11" t="s">
        <v>661</v>
      </c>
      <c r="D2842" s="13" t="s">
        <v>1501</v>
      </c>
      <c r="E2842" s="13" t="s">
        <v>14319</v>
      </c>
      <c r="F2842" s="13" t="s">
        <v>14320</v>
      </c>
      <c r="G2842" s="13" t="s">
        <v>14321</v>
      </c>
      <c r="H2842" s="13" t="s">
        <v>14322</v>
      </c>
    </row>
    <row r="2843" customFormat="false" ht="15" hidden="false" customHeight="true" outlineLevel="0" collapsed="false">
      <c r="A2843" s="13" t="s">
        <v>317</v>
      </c>
      <c r="B2843" s="13" t="s">
        <v>667</v>
      </c>
      <c r="C2843" s="11" t="s">
        <v>668</v>
      </c>
      <c r="D2843" s="13" t="s">
        <v>14323</v>
      </c>
      <c r="E2843" s="13" t="s">
        <v>14324</v>
      </c>
      <c r="F2843" s="13" t="s">
        <v>14325</v>
      </c>
      <c r="G2843" s="13" t="s">
        <v>11610</v>
      </c>
      <c r="H2843" s="13" t="s">
        <v>14326</v>
      </c>
    </row>
    <row r="2844" customFormat="false" ht="15" hidden="false" customHeight="true" outlineLevel="0" collapsed="false">
      <c r="A2844" s="13" t="s">
        <v>317</v>
      </c>
      <c r="B2844" s="13" t="s">
        <v>674</v>
      </c>
      <c r="C2844" s="11" t="s">
        <v>675</v>
      </c>
      <c r="D2844" s="13" t="s">
        <v>14327</v>
      </c>
      <c r="E2844" s="13" t="s">
        <v>14328</v>
      </c>
      <c r="F2844" s="13" t="s">
        <v>14329</v>
      </c>
      <c r="G2844" s="13" t="s">
        <v>14330</v>
      </c>
      <c r="H2844" s="13" t="s">
        <v>14331</v>
      </c>
    </row>
    <row r="2845" customFormat="false" ht="15" hidden="false" customHeight="true" outlineLevel="0" collapsed="false">
      <c r="A2845" s="13" t="s">
        <v>317</v>
      </c>
      <c r="B2845" s="13" t="s">
        <v>681</v>
      </c>
      <c r="C2845" s="11" t="s">
        <v>682</v>
      </c>
      <c r="D2845" s="13" t="s">
        <v>14332</v>
      </c>
      <c r="E2845" s="13" t="s">
        <v>14333</v>
      </c>
      <c r="F2845" s="13" t="s">
        <v>14334</v>
      </c>
      <c r="G2845" s="13" t="s">
        <v>14335</v>
      </c>
      <c r="H2845" s="13" t="s">
        <v>14336</v>
      </c>
    </row>
    <row r="2846" customFormat="false" ht="15" hidden="false" customHeight="true" outlineLevel="0" collapsed="false">
      <c r="A2846" s="13" t="s">
        <v>317</v>
      </c>
      <c r="B2846" s="13" t="s">
        <v>688</v>
      </c>
      <c r="C2846" s="11" t="s">
        <v>689</v>
      </c>
      <c r="D2846" s="13" t="s">
        <v>14337</v>
      </c>
      <c r="E2846" s="13" t="s">
        <v>14338</v>
      </c>
      <c r="F2846" s="13" t="s">
        <v>14339</v>
      </c>
      <c r="G2846" s="13" t="s">
        <v>14340</v>
      </c>
      <c r="H2846" s="13" t="s">
        <v>14341</v>
      </c>
    </row>
    <row r="2847" customFormat="false" ht="15" hidden="false" customHeight="true" outlineLevel="0" collapsed="false">
      <c r="A2847" s="13" t="s">
        <v>317</v>
      </c>
      <c r="B2847" s="13" t="s">
        <v>695</v>
      </c>
      <c r="C2847" s="11" t="s">
        <v>696</v>
      </c>
      <c r="D2847" s="13" t="s">
        <v>14342</v>
      </c>
      <c r="E2847" s="13" t="s">
        <v>14343</v>
      </c>
      <c r="F2847" s="13" t="s">
        <v>14344</v>
      </c>
      <c r="G2847" s="13" t="s">
        <v>14345</v>
      </c>
      <c r="H2847" s="13" t="s">
        <v>14346</v>
      </c>
    </row>
    <row r="2848" customFormat="false" ht="15" hidden="false" customHeight="true" outlineLevel="0" collapsed="false">
      <c r="A2848" s="13" t="s">
        <v>317</v>
      </c>
      <c r="B2848" s="13" t="s">
        <v>702</v>
      </c>
      <c r="C2848" s="11" t="s">
        <v>703</v>
      </c>
      <c r="D2848" s="13" t="s">
        <v>14347</v>
      </c>
      <c r="E2848" s="13" t="s">
        <v>14348</v>
      </c>
      <c r="F2848" s="13" t="s">
        <v>14349</v>
      </c>
      <c r="G2848" s="13" t="s">
        <v>14350</v>
      </c>
      <c r="H2848" s="13" t="s">
        <v>14351</v>
      </c>
    </row>
    <row r="2849" customFormat="false" ht="15" hidden="false" customHeight="true" outlineLevel="0" collapsed="false">
      <c r="A2849" s="13" t="s">
        <v>317</v>
      </c>
      <c r="B2849" s="13" t="s">
        <v>709</v>
      </c>
      <c r="C2849" s="11" t="s">
        <v>710</v>
      </c>
      <c r="D2849" s="13" t="s">
        <v>4600</v>
      </c>
      <c r="E2849" s="13" t="s">
        <v>14352</v>
      </c>
      <c r="F2849" s="13" t="s">
        <v>14353</v>
      </c>
      <c r="G2849" s="13" t="s">
        <v>14354</v>
      </c>
      <c r="H2849" s="13" t="s">
        <v>14355</v>
      </c>
    </row>
    <row r="2850" customFormat="false" ht="15" hidden="false" customHeight="true" outlineLevel="0" collapsed="false">
      <c r="A2850" s="13" t="s">
        <v>317</v>
      </c>
      <c r="B2850" s="13" t="s">
        <v>716</v>
      </c>
      <c r="C2850" s="11" t="s">
        <v>717</v>
      </c>
      <c r="D2850" s="13" t="s">
        <v>14356</v>
      </c>
      <c r="E2850" s="13" t="s">
        <v>14357</v>
      </c>
      <c r="F2850" s="13" t="s">
        <v>14358</v>
      </c>
      <c r="G2850" s="13" t="s">
        <v>14359</v>
      </c>
      <c r="H2850" s="13" t="s">
        <v>14360</v>
      </c>
    </row>
    <row r="2851" customFormat="false" ht="15" hidden="false" customHeight="true" outlineLevel="0" collapsed="false">
      <c r="A2851" s="13" t="s">
        <v>317</v>
      </c>
      <c r="B2851" s="13" t="s">
        <v>723</v>
      </c>
      <c r="C2851" s="11" t="s">
        <v>724</v>
      </c>
      <c r="D2851" s="13" t="s">
        <v>14361</v>
      </c>
      <c r="E2851" s="13" t="s">
        <v>14362</v>
      </c>
      <c r="F2851" s="13" t="s">
        <v>14363</v>
      </c>
      <c r="G2851" s="13" t="s">
        <v>14364</v>
      </c>
      <c r="H2851" s="13" t="s">
        <v>14365</v>
      </c>
    </row>
    <row r="2852" customFormat="false" ht="15" hidden="false" customHeight="true" outlineLevel="0" collapsed="false">
      <c r="A2852" s="13" t="s">
        <v>317</v>
      </c>
      <c r="B2852" s="13" t="s">
        <v>730</v>
      </c>
      <c r="C2852" s="11" t="s">
        <v>731</v>
      </c>
      <c r="D2852" s="13" t="s">
        <v>14366</v>
      </c>
      <c r="E2852" s="13" t="s">
        <v>14367</v>
      </c>
      <c r="F2852" s="13" t="s">
        <v>14368</v>
      </c>
      <c r="G2852" s="13" t="s">
        <v>14369</v>
      </c>
      <c r="H2852" s="13" t="s">
        <v>14370</v>
      </c>
    </row>
    <row r="2853" customFormat="false" ht="15" hidden="false" customHeight="true" outlineLevel="0" collapsed="false">
      <c r="A2853" s="13" t="s">
        <v>317</v>
      </c>
      <c r="B2853" s="13" t="s">
        <v>737</v>
      </c>
      <c r="C2853" s="11" t="s">
        <v>738</v>
      </c>
      <c r="D2853" s="13" t="s">
        <v>14371</v>
      </c>
      <c r="E2853" s="13" t="s">
        <v>1552</v>
      </c>
      <c r="F2853" s="13" t="s">
        <v>14372</v>
      </c>
      <c r="G2853" s="13" t="s">
        <v>14373</v>
      </c>
      <c r="H2853" s="13" t="s">
        <v>14374</v>
      </c>
    </row>
    <row r="2854" customFormat="false" ht="15" hidden="false" customHeight="true" outlineLevel="0" collapsed="false">
      <c r="A2854" s="13" t="s">
        <v>317</v>
      </c>
      <c r="B2854" s="13" t="s">
        <v>744</v>
      </c>
      <c r="C2854" s="11" t="s">
        <v>745</v>
      </c>
      <c r="D2854" s="13" t="s">
        <v>14375</v>
      </c>
      <c r="E2854" s="13" t="s">
        <v>14376</v>
      </c>
      <c r="F2854" s="13" t="s">
        <v>14377</v>
      </c>
      <c r="G2854" s="13" t="s">
        <v>14378</v>
      </c>
      <c r="H2854" s="13" t="s">
        <v>8339</v>
      </c>
    </row>
    <row r="2855" customFormat="false" ht="15" hidden="false" customHeight="true" outlineLevel="0" collapsed="false">
      <c r="A2855" s="13" t="s">
        <v>317</v>
      </c>
      <c r="B2855" s="13" t="s">
        <v>751</v>
      </c>
      <c r="C2855" s="11" t="s">
        <v>752</v>
      </c>
      <c r="D2855" s="13" t="s">
        <v>14379</v>
      </c>
      <c r="E2855" s="13" t="s">
        <v>14380</v>
      </c>
      <c r="F2855" s="13" t="s">
        <v>14381</v>
      </c>
      <c r="G2855" s="13" t="s">
        <v>14382</v>
      </c>
      <c r="H2855" s="13" t="s">
        <v>14383</v>
      </c>
    </row>
    <row r="2856" customFormat="false" ht="15" hidden="false" customHeight="true" outlineLevel="0" collapsed="false">
      <c r="A2856" s="13" t="s">
        <v>317</v>
      </c>
      <c r="B2856" s="13" t="s">
        <v>758</v>
      </c>
      <c r="C2856" s="11" t="s">
        <v>759</v>
      </c>
      <c r="D2856" s="13" t="s">
        <v>14384</v>
      </c>
      <c r="E2856" s="13" t="s">
        <v>14385</v>
      </c>
      <c r="F2856" s="13" t="s">
        <v>14386</v>
      </c>
      <c r="G2856" s="13" t="s">
        <v>14387</v>
      </c>
      <c r="H2856" s="13" t="s">
        <v>14388</v>
      </c>
    </row>
    <row r="2857" customFormat="false" ht="15" hidden="false" customHeight="true" outlineLevel="0" collapsed="false">
      <c r="A2857" s="13" t="s">
        <v>317</v>
      </c>
      <c r="B2857" s="13" t="s">
        <v>765</v>
      </c>
      <c r="C2857" s="11" t="s">
        <v>766</v>
      </c>
      <c r="D2857" s="13" t="s">
        <v>14389</v>
      </c>
      <c r="E2857" s="13" t="s">
        <v>14390</v>
      </c>
      <c r="F2857" s="13" t="s">
        <v>14391</v>
      </c>
      <c r="G2857" s="13" t="s">
        <v>14392</v>
      </c>
      <c r="H2857" s="13" t="s">
        <v>14393</v>
      </c>
    </row>
    <row r="2858" customFormat="false" ht="15" hidden="false" customHeight="true" outlineLevel="0" collapsed="false">
      <c r="A2858" s="13" t="s">
        <v>317</v>
      </c>
      <c r="B2858" s="13" t="s">
        <v>772</v>
      </c>
      <c r="C2858" s="11" t="s">
        <v>773</v>
      </c>
      <c r="D2858" s="13" t="s">
        <v>14394</v>
      </c>
      <c r="E2858" s="13" t="s">
        <v>14395</v>
      </c>
      <c r="F2858" s="13" t="s">
        <v>14396</v>
      </c>
      <c r="G2858" s="13" t="s">
        <v>14397</v>
      </c>
      <c r="H2858" s="13" t="s">
        <v>14398</v>
      </c>
    </row>
    <row r="2859" customFormat="false" ht="15" hidden="false" customHeight="true" outlineLevel="0" collapsed="false">
      <c r="A2859" s="13" t="s">
        <v>317</v>
      </c>
      <c r="B2859" s="13" t="s">
        <v>779</v>
      </c>
      <c r="C2859" s="11" t="s">
        <v>780</v>
      </c>
      <c r="D2859" s="13" t="s">
        <v>14399</v>
      </c>
      <c r="E2859" s="13" t="s">
        <v>14400</v>
      </c>
      <c r="F2859" s="13" t="s">
        <v>14401</v>
      </c>
      <c r="G2859" s="13" t="s">
        <v>14402</v>
      </c>
      <c r="H2859" s="13" t="s">
        <v>14403</v>
      </c>
    </row>
    <row r="2860" customFormat="false" ht="15" hidden="false" customHeight="true" outlineLevel="0" collapsed="false">
      <c r="A2860" s="13" t="s">
        <v>317</v>
      </c>
      <c r="B2860" s="13" t="s">
        <v>786</v>
      </c>
      <c r="C2860" s="11" t="s">
        <v>787</v>
      </c>
      <c r="D2860" s="13" t="s">
        <v>14404</v>
      </c>
      <c r="E2860" s="13" t="s">
        <v>14405</v>
      </c>
      <c r="F2860" s="13" t="s">
        <v>14406</v>
      </c>
      <c r="G2860" s="13" t="s">
        <v>14407</v>
      </c>
      <c r="H2860" s="13" t="s">
        <v>14408</v>
      </c>
    </row>
    <row r="2861" customFormat="false" ht="15" hidden="false" customHeight="true" outlineLevel="0" collapsed="false">
      <c r="A2861" s="13" t="s">
        <v>317</v>
      </c>
      <c r="B2861" s="13" t="s">
        <v>793</v>
      </c>
      <c r="C2861" s="11" t="s">
        <v>794</v>
      </c>
      <c r="D2861" s="13" t="s">
        <v>14409</v>
      </c>
      <c r="E2861" s="13" t="s">
        <v>14410</v>
      </c>
      <c r="F2861" s="13" t="s">
        <v>14411</v>
      </c>
      <c r="G2861" s="13" t="s">
        <v>14412</v>
      </c>
      <c r="H2861" s="13" t="s">
        <v>14413</v>
      </c>
    </row>
    <row r="2862" customFormat="false" ht="15" hidden="false" customHeight="true" outlineLevel="0" collapsed="false">
      <c r="A2862" s="13" t="s">
        <v>317</v>
      </c>
      <c r="B2862" s="13" t="s">
        <v>800</v>
      </c>
      <c r="C2862" s="11" t="s">
        <v>801</v>
      </c>
      <c r="D2862" s="13" t="s">
        <v>14414</v>
      </c>
      <c r="E2862" s="13" t="s">
        <v>10681</v>
      </c>
      <c r="F2862" s="13" t="s">
        <v>14415</v>
      </c>
      <c r="G2862" s="13" t="s">
        <v>14416</v>
      </c>
      <c r="H2862" s="13" t="s">
        <v>14417</v>
      </c>
    </row>
    <row r="2863" customFormat="false" ht="15" hidden="false" customHeight="true" outlineLevel="0" collapsed="false">
      <c r="A2863" s="13" t="s">
        <v>317</v>
      </c>
      <c r="B2863" s="13" t="s">
        <v>806</v>
      </c>
      <c r="C2863" s="11" t="s">
        <v>807</v>
      </c>
      <c r="D2863" s="13" t="s">
        <v>969</v>
      </c>
      <c r="E2863" s="13" t="s">
        <v>14418</v>
      </c>
      <c r="F2863" s="13" t="s">
        <v>14419</v>
      </c>
      <c r="G2863" s="13" t="s">
        <v>9361</v>
      </c>
      <c r="H2863" s="13" t="s">
        <v>14420</v>
      </c>
    </row>
    <row r="2864" customFormat="false" ht="15" hidden="false" customHeight="true" outlineLevel="0" collapsed="false">
      <c r="A2864" s="13" t="s">
        <v>317</v>
      </c>
      <c r="B2864" s="13" t="s">
        <v>813</v>
      </c>
      <c r="C2864" s="11" t="s">
        <v>814</v>
      </c>
      <c r="D2864" s="13" t="s">
        <v>14421</v>
      </c>
      <c r="E2864" s="13" t="s">
        <v>14422</v>
      </c>
      <c r="F2864" s="13" t="s">
        <v>14423</v>
      </c>
      <c r="G2864" s="13" t="s">
        <v>14424</v>
      </c>
      <c r="H2864" s="13" t="s">
        <v>14425</v>
      </c>
    </row>
    <row r="2865" customFormat="false" ht="15" hidden="false" customHeight="true" outlineLevel="0" collapsed="false">
      <c r="A2865" s="13" t="s">
        <v>317</v>
      </c>
      <c r="B2865" s="13" t="s">
        <v>820</v>
      </c>
      <c r="C2865" s="11" t="s">
        <v>821</v>
      </c>
      <c r="D2865" s="13" t="s">
        <v>14426</v>
      </c>
      <c r="E2865" s="13" t="s">
        <v>6190</v>
      </c>
      <c r="F2865" s="13" t="s">
        <v>14427</v>
      </c>
      <c r="G2865" s="13" t="s">
        <v>14428</v>
      </c>
      <c r="H2865" s="13" t="s">
        <v>14429</v>
      </c>
    </row>
    <row r="2866" customFormat="false" ht="15" hidden="false" customHeight="true" outlineLevel="0" collapsed="false">
      <c r="A2866" s="13" t="s">
        <v>317</v>
      </c>
      <c r="B2866" s="13" t="s">
        <v>827</v>
      </c>
      <c r="C2866" s="11" t="s">
        <v>828</v>
      </c>
      <c r="D2866" s="13" t="s">
        <v>14430</v>
      </c>
      <c r="E2866" s="13" t="s">
        <v>14431</v>
      </c>
      <c r="F2866" s="13" t="s">
        <v>14432</v>
      </c>
      <c r="G2866" s="13" t="s">
        <v>14433</v>
      </c>
      <c r="H2866" s="13" t="s">
        <v>14434</v>
      </c>
    </row>
    <row r="2867" customFormat="false" ht="15" hidden="false" customHeight="true" outlineLevel="0" collapsed="false">
      <c r="A2867" s="13" t="s">
        <v>317</v>
      </c>
      <c r="B2867" s="13" t="s">
        <v>834</v>
      </c>
      <c r="C2867" s="11" t="s">
        <v>835</v>
      </c>
      <c r="D2867" s="13" t="s">
        <v>14435</v>
      </c>
      <c r="E2867" s="13" t="s">
        <v>14436</v>
      </c>
      <c r="F2867" s="13" t="s">
        <v>14437</v>
      </c>
      <c r="G2867" s="13" t="s">
        <v>14438</v>
      </c>
      <c r="H2867" s="13" t="s">
        <v>14439</v>
      </c>
    </row>
    <row r="2868" customFormat="false" ht="15" hidden="false" customHeight="true" outlineLevel="0" collapsed="false">
      <c r="A2868" s="13" t="s">
        <v>317</v>
      </c>
      <c r="B2868" s="13" t="s">
        <v>841</v>
      </c>
      <c r="C2868" s="11" t="s">
        <v>842</v>
      </c>
      <c r="D2868" s="13" t="s">
        <v>14440</v>
      </c>
      <c r="E2868" s="13" t="s">
        <v>14441</v>
      </c>
      <c r="F2868" s="13" t="s">
        <v>14442</v>
      </c>
      <c r="G2868" s="13" t="s">
        <v>14443</v>
      </c>
      <c r="H2868" s="13" t="s">
        <v>14444</v>
      </c>
    </row>
    <row r="2869" customFormat="false" ht="15" hidden="false" customHeight="true" outlineLevel="0" collapsed="false">
      <c r="A2869" s="13" t="s">
        <v>317</v>
      </c>
      <c r="B2869" s="13" t="s">
        <v>848</v>
      </c>
      <c r="C2869" s="11" t="s">
        <v>849</v>
      </c>
      <c r="D2869" s="13" t="s">
        <v>14445</v>
      </c>
      <c r="E2869" s="13" t="s">
        <v>14446</v>
      </c>
      <c r="F2869" s="13" t="s">
        <v>14447</v>
      </c>
      <c r="G2869" s="13" t="s">
        <v>14448</v>
      </c>
      <c r="H2869" s="13" t="s">
        <v>14449</v>
      </c>
    </row>
    <row r="2870" customFormat="false" ht="15" hidden="false" customHeight="true" outlineLevel="0" collapsed="false">
      <c r="A2870" s="13" t="s">
        <v>317</v>
      </c>
      <c r="B2870" s="13" t="s">
        <v>855</v>
      </c>
      <c r="C2870" s="11" t="s">
        <v>856</v>
      </c>
      <c r="D2870" s="13" t="s">
        <v>14450</v>
      </c>
      <c r="E2870" s="13" t="s">
        <v>14451</v>
      </c>
      <c r="F2870" s="13" t="s">
        <v>14452</v>
      </c>
      <c r="G2870" s="13" t="s">
        <v>14453</v>
      </c>
      <c r="H2870" s="13" t="s">
        <v>14454</v>
      </c>
    </row>
    <row r="2871" customFormat="false" ht="15" hidden="false" customHeight="true" outlineLevel="0" collapsed="false">
      <c r="A2871" s="13" t="s">
        <v>317</v>
      </c>
      <c r="B2871" s="13" t="s">
        <v>862</v>
      </c>
      <c r="C2871" s="11" t="s">
        <v>863</v>
      </c>
      <c r="D2871" s="13" t="s">
        <v>14455</v>
      </c>
      <c r="E2871" s="13" t="s">
        <v>14456</v>
      </c>
      <c r="F2871" s="13" t="s">
        <v>14457</v>
      </c>
      <c r="G2871" s="13" t="s">
        <v>14458</v>
      </c>
      <c r="H2871" s="13" t="s">
        <v>14459</v>
      </c>
    </row>
    <row r="2872" customFormat="false" ht="15" hidden="false" customHeight="true" outlineLevel="0" collapsed="false">
      <c r="A2872" s="13" t="s">
        <v>317</v>
      </c>
      <c r="B2872" s="13" t="s">
        <v>869</v>
      </c>
      <c r="C2872" s="11" t="s">
        <v>870</v>
      </c>
      <c r="D2872" s="13" t="s">
        <v>14460</v>
      </c>
      <c r="E2872" s="13" t="s">
        <v>14461</v>
      </c>
      <c r="F2872" s="13" t="s">
        <v>14462</v>
      </c>
      <c r="G2872" s="13" t="s">
        <v>14463</v>
      </c>
      <c r="H2872" s="13" t="s">
        <v>14464</v>
      </c>
    </row>
    <row r="2873" customFormat="false" ht="15" hidden="false" customHeight="true" outlineLevel="0" collapsed="false">
      <c r="A2873" s="13" t="s">
        <v>317</v>
      </c>
      <c r="B2873" s="13" t="s">
        <v>876</v>
      </c>
      <c r="C2873" s="11" t="s">
        <v>877</v>
      </c>
      <c r="D2873" s="13" t="s">
        <v>14465</v>
      </c>
      <c r="E2873" s="13" t="s">
        <v>14466</v>
      </c>
      <c r="F2873" s="13" t="s">
        <v>14467</v>
      </c>
      <c r="G2873" s="13" t="s">
        <v>14468</v>
      </c>
      <c r="H2873" s="13" t="s">
        <v>14469</v>
      </c>
    </row>
    <row r="2874" customFormat="false" ht="15" hidden="false" customHeight="true" outlineLevel="0" collapsed="false">
      <c r="A2874" s="13" t="s">
        <v>317</v>
      </c>
      <c r="B2874" s="13" t="s">
        <v>883</v>
      </c>
      <c r="C2874" s="11" t="s">
        <v>884</v>
      </c>
      <c r="D2874" s="13" t="s">
        <v>14470</v>
      </c>
      <c r="E2874" s="13" t="s">
        <v>14471</v>
      </c>
      <c r="F2874" s="13" t="s">
        <v>14472</v>
      </c>
      <c r="G2874" s="13" t="s">
        <v>14473</v>
      </c>
      <c r="H2874" s="13" t="s">
        <v>14474</v>
      </c>
    </row>
    <row r="2875" customFormat="false" ht="15" hidden="false" customHeight="true" outlineLevel="0" collapsed="false">
      <c r="A2875" s="13" t="s">
        <v>317</v>
      </c>
      <c r="B2875" s="13" t="s">
        <v>890</v>
      </c>
      <c r="C2875" s="11" t="s">
        <v>891</v>
      </c>
      <c r="D2875" s="13" t="s">
        <v>14475</v>
      </c>
      <c r="E2875" s="13" t="s">
        <v>14476</v>
      </c>
      <c r="F2875" s="13" t="s">
        <v>14477</v>
      </c>
      <c r="G2875" s="13" t="s">
        <v>14478</v>
      </c>
      <c r="H2875" s="13" t="s">
        <v>14479</v>
      </c>
    </row>
    <row r="2876" customFormat="false" ht="15" hidden="false" customHeight="true" outlineLevel="0" collapsed="false">
      <c r="A2876" s="13" t="s">
        <v>317</v>
      </c>
      <c r="B2876" s="13" t="s">
        <v>897</v>
      </c>
      <c r="C2876" s="11" t="s">
        <v>898</v>
      </c>
      <c r="D2876" s="13" t="s">
        <v>14480</v>
      </c>
      <c r="E2876" s="13" t="s">
        <v>14481</v>
      </c>
      <c r="F2876" s="13" t="s">
        <v>14482</v>
      </c>
      <c r="G2876" s="13" t="s">
        <v>14483</v>
      </c>
      <c r="H2876" s="13" t="s">
        <v>14484</v>
      </c>
    </row>
    <row r="2877" customFormat="false" ht="15" hidden="false" customHeight="true" outlineLevel="0" collapsed="false">
      <c r="A2877" s="13" t="s">
        <v>317</v>
      </c>
      <c r="B2877" s="13" t="s">
        <v>904</v>
      </c>
      <c r="C2877" s="11" t="s">
        <v>905</v>
      </c>
      <c r="D2877" s="13" t="s">
        <v>14485</v>
      </c>
      <c r="E2877" s="13" t="s">
        <v>14486</v>
      </c>
      <c r="F2877" s="13" t="s">
        <v>14487</v>
      </c>
      <c r="G2877" s="13" t="s">
        <v>14488</v>
      </c>
      <c r="H2877" s="13" t="s">
        <v>14489</v>
      </c>
    </row>
    <row r="2878" customFormat="false" ht="15" hidden="false" customHeight="true" outlineLevel="0" collapsed="false">
      <c r="A2878" s="13" t="s">
        <v>317</v>
      </c>
      <c r="B2878" s="13" t="s">
        <v>911</v>
      </c>
      <c r="C2878" s="11" t="s">
        <v>912</v>
      </c>
      <c r="D2878" s="13" t="s">
        <v>14490</v>
      </c>
      <c r="E2878" s="13" t="s">
        <v>14491</v>
      </c>
      <c r="F2878" s="13" t="s">
        <v>14492</v>
      </c>
      <c r="G2878" s="13" t="s">
        <v>14493</v>
      </c>
      <c r="H2878" s="13" t="s">
        <v>14494</v>
      </c>
    </row>
    <row r="2879" customFormat="false" ht="15" hidden="false" customHeight="true" outlineLevel="0" collapsed="false">
      <c r="A2879" s="13" t="s">
        <v>317</v>
      </c>
      <c r="B2879" s="13" t="s">
        <v>918</v>
      </c>
      <c r="C2879" s="11" t="s">
        <v>919</v>
      </c>
      <c r="D2879" s="13" t="s">
        <v>14495</v>
      </c>
      <c r="E2879" s="13" t="s">
        <v>14496</v>
      </c>
      <c r="F2879" s="13" t="s">
        <v>14497</v>
      </c>
      <c r="G2879" s="13" t="s">
        <v>14498</v>
      </c>
      <c r="H2879" s="13" t="s">
        <v>14499</v>
      </c>
    </row>
    <row r="2880" customFormat="false" ht="15" hidden="false" customHeight="true" outlineLevel="0" collapsed="false">
      <c r="A2880" s="13" t="s">
        <v>317</v>
      </c>
      <c r="B2880" s="13" t="s">
        <v>925</v>
      </c>
      <c r="C2880" s="11" t="s">
        <v>926</v>
      </c>
      <c r="D2880" s="13" t="s">
        <v>14500</v>
      </c>
      <c r="E2880" s="13" t="s">
        <v>14501</v>
      </c>
      <c r="F2880" s="13" t="s">
        <v>14502</v>
      </c>
      <c r="G2880" s="13" t="s">
        <v>14503</v>
      </c>
      <c r="H2880" s="13" t="s">
        <v>14504</v>
      </c>
    </row>
    <row r="2881" customFormat="false" ht="15" hidden="false" customHeight="true" outlineLevel="0" collapsed="false">
      <c r="A2881" s="13" t="s">
        <v>317</v>
      </c>
      <c r="B2881" s="13" t="s">
        <v>932</v>
      </c>
      <c r="C2881" s="11" t="s">
        <v>933</v>
      </c>
      <c r="D2881" s="13" t="s">
        <v>14505</v>
      </c>
      <c r="E2881" s="13" t="s">
        <v>14506</v>
      </c>
      <c r="F2881" s="13" t="s">
        <v>14507</v>
      </c>
      <c r="G2881" s="13" t="s">
        <v>14508</v>
      </c>
      <c r="H2881" s="13" t="s">
        <v>14509</v>
      </c>
    </row>
    <row r="2882" customFormat="false" ht="15" hidden="false" customHeight="true" outlineLevel="0" collapsed="false">
      <c r="A2882" s="13" t="s">
        <v>317</v>
      </c>
      <c r="B2882" s="13" t="s">
        <v>939</v>
      </c>
      <c r="C2882" s="11" t="s">
        <v>940</v>
      </c>
      <c r="D2882" s="13" t="s">
        <v>14510</v>
      </c>
      <c r="E2882" s="13" t="s">
        <v>14511</v>
      </c>
      <c r="F2882" s="13" t="s">
        <v>14512</v>
      </c>
      <c r="G2882" s="13" t="s">
        <v>14513</v>
      </c>
      <c r="H2882" s="13" t="s">
        <v>14514</v>
      </c>
    </row>
    <row r="2883" customFormat="false" ht="15" hidden="false" customHeight="true" outlineLevel="0" collapsed="false">
      <c r="A2883" s="13" t="s">
        <v>317</v>
      </c>
      <c r="B2883" s="13" t="s">
        <v>946</v>
      </c>
      <c r="C2883" s="11" t="s">
        <v>947</v>
      </c>
      <c r="D2883" s="13" t="s">
        <v>14515</v>
      </c>
      <c r="E2883" s="13" t="s">
        <v>14516</v>
      </c>
      <c r="F2883" s="13" t="s">
        <v>14517</v>
      </c>
      <c r="G2883" s="13" t="s">
        <v>14518</v>
      </c>
      <c r="H2883" s="13" t="s">
        <v>14519</v>
      </c>
    </row>
    <row r="2884" customFormat="false" ht="15" hidden="false" customHeight="true" outlineLevel="0" collapsed="false">
      <c r="A2884" s="13" t="s">
        <v>317</v>
      </c>
      <c r="B2884" s="13" t="s">
        <v>953</v>
      </c>
      <c r="C2884" s="11" t="s">
        <v>954</v>
      </c>
      <c r="D2884" s="13" t="s">
        <v>14520</v>
      </c>
      <c r="E2884" s="13" t="s">
        <v>14521</v>
      </c>
      <c r="F2884" s="13" t="s">
        <v>14522</v>
      </c>
      <c r="G2884" s="13" t="s">
        <v>14523</v>
      </c>
      <c r="H2884" s="13" t="s">
        <v>14524</v>
      </c>
    </row>
    <row r="2885" customFormat="false" ht="15" hidden="false" customHeight="true" outlineLevel="0" collapsed="false">
      <c r="A2885" s="13" t="s">
        <v>317</v>
      </c>
      <c r="B2885" s="13" t="s">
        <v>960</v>
      </c>
      <c r="C2885" s="11" t="s">
        <v>961</v>
      </c>
      <c r="D2885" s="13" t="s">
        <v>14525</v>
      </c>
      <c r="E2885" s="13" t="s">
        <v>14526</v>
      </c>
      <c r="F2885" s="13" t="s">
        <v>14527</v>
      </c>
      <c r="G2885" s="13" t="s">
        <v>14528</v>
      </c>
      <c r="H2885" s="13" t="s">
        <v>14529</v>
      </c>
    </row>
    <row r="2886" customFormat="false" ht="15" hidden="false" customHeight="true" outlineLevel="0" collapsed="false">
      <c r="A2886" s="13" t="s">
        <v>317</v>
      </c>
      <c r="B2886" s="13" t="s">
        <v>967</v>
      </c>
      <c r="C2886" s="11" t="s">
        <v>968</v>
      </c>
      <c r="D2886" s="13" t="s">
        <v>1086</v>
      </c>
      <c r="E2886" s="13" t="s">
        <v>14530</v>
      </c>
      <c r="F2886" s="13" t="s">
        <v>14531</v>
      </c>
      <c r="G2886" s="13" t="s">
        <v>14532</v>
      </c>
      <c r="H2886" s="13" t="s">
        <v>14533</v>
      </c>
    </row>
    <row r="2887" customFormat="false" ht="15" hidden="false" customHeight="true" outlineLevel="0" collapsed="false">
      <c r="A2887" s="13" t="s">
        <v>317</v>
      </c>
      <c r="B2887" s="13" t="s">
        <v>974</v>
      </c>
      <c r="C2887" s="11" t="s">
        <v>975</v>
      </c>
      <c r="D2887" s="13" t="s">
        <v>13948</v>
      </c>
      <c r="E2887" s="13" t="s">
        <v>14534</v>
      </c>
      <c r="F2887" s="13" t="s">
        <v>14535</v>
      </c>
      <c r="G2887" s="13" t="s">
        <v>14536</v>
      </c>
      <c r="H2887" s="13" t="s">
        <v>14537</v>
      </c>
    </row>
    <row r="2888" customFormat="false" ht="15" hidden="false" customHeight="true" outlineLevel="0" collapsed="false">
      <c r="A2888" s="13" t="s">
        <v>317</v>
      </c>
      <c r="B2888" s="13" t="s">
        <v>981</v>
      </c>
      <c r="C2888" s="11" t="s">
        <v>982</v>
      </c>
      <c r="D2888" s="13" t="s">
        <v>14538</v>
      </c>
      <c r="E2888" s="13" t="s">
        <v>14539</v>
      </c>
      <c r="F2888" s="13" t="s">
        <v>6028</v>
      </c>
      <c r="G2888" s="13" t="s">
        <v>14540</v>
      </c>
      <c r="H2888" s="13" t="s">
        <v>14541</v>
      </c>
    </row>
    <row r="2889" customFormat="false" ht="15" hidden="false" customHeight="true" outlineLevel="0" collapsed="false">
      <c r="A2889" s="13" t="s">
        <v>317</v>
      </c>
      <c r="B2889" s="13" t="s">
        <v>988</v>
      </c>
      <c r="C2889" s="11" t="s">
        <v>989</v>
      </c>
      <c r="D2889" s="13" t="s">
        <v>14542</v>
      </c>
      <c r="E2889" s="13" t="s">
        <v>14543</v>
      </c>
      <c r="F2889" s="13" t="s">
        <v>14544</v>
      </c>
      <c r="G2889" s="13" t="s">
        <v>14545</v>
      </c>
      <c r="H2889" s="13" t="s">
        <v>14546</v>
      </c>
    </row>
    <row r="2890" customFormat="false" ht="15" hidden="false" customHeight="true" outlineLevel="0" collapsed="false">
      <c r="A2890" s="13" t="s">
        <v>317</v>
      </c>
      <c r="B2890" s="13" t="s">
        <v>995</v>
      </c>
      <c r="C2890" s="11" t="s">
        <v>996</v>
      </c>
      <c r="D2890" s="13" t="s">
        <v>14547</v>
      </c>
      <c r="E2890" s="13" t="s">
        <v>14548</v>
      </c>
      <c r="F2890" s="13" t="s">
        <v>14549</v>
      </c>
      <c r="G2890" s="13" t="s">
        <v>14550</v>
      </c>
      <c r="H2890" s="13" t="s">
        <v>14551</v>
      </c>
    </row>
    <row r="2891" customFormat="false" ht="15" hidden="false" customHeight="true" outlineLevel="0" collapsed="false">
      <c r="A2891" s="13" t="s">
        <v>317</v>
      </c>
      <c r="B2891" s="13" t="s">
        <v>1002</v>
      </c>
      <c r="C2891" s="11" t="s">
        <v>1003</v>
      </c>
      <c r="D2891" s="13" t="s">
        <v>14552</v>
      </c>
      <c r="E2891" s="13" t="s">
        <v>14553</v>
      </c>
      <c r="F2891" s="13" t="s">
        <v>14554</v>
      </c>
      <c r="G2891" s="13" t="s">
        <v>14555</v>
      </c>
      <c r="H2891" s="13" t="s">
        <v>14556</v>
      </c>
    </row>
    <row r="2892" customFormat="false" ht="15" hidden="false" customHeight="true" outlineLevel="0" collapsed="false">
      <c r="A2892" s="13" t="s">
        <v>317</v>
      </c>
      <c r="B2892" s="13" t="s">
        <v>1009</v>
      </c>
      <c r="C2892" s="11" t="s">
        <v>1010</v>
      </c>
      <c r="D2892" s="13" t="s">
        <v>14557</v>
      </c>
      <c r="E2892" s="13" t="s">
        <v>14558</v>
      </c>
      <c r="F2892" s="13" t="s">
        <v>1023</v>
      </c>
      <c r="G2892" s="13" t="s">
        <v>14559</v>
      </c>
      <c r="H2892" s="13" t="s">
        <v>14560</v>
      </c>
    </row>
    <row r="2893" customFormat="false" ht="15" hidden="false" customHeight="true" outlineLevel="0" collapsed="false">
      <c r="A2893" s="13" t="s">
        <v>325</v>
      </c>
      <c r="B2893" s="13" t="s">
        <v>345</v>
      </c>
      <c r="C2893" s="11" t="s">
        <v>346</v>
      </c>
      <c r="D2893" s="13" t="s">
        <v>1501</v>
      </c>
      <c r="E2893" s="13" t="s">
        <v>13854</v>
      </c>
      <c r="F2893" s="13" t="s">
        <v>11347</v>
      </c>
      <c r="G2893" s="13" t="s">
        <v>14561</v>
      </c>
      <c r="H2893" s="13" t="s">
        <v>7332</v>
      </c>
    </row>
    <row r="2894" customFormat="false" ht="15" hidden="false" customHeight="true" outlineLevel="0" collapsed="false">
      <c r="A2894" s="13" t="s">
        <v>325</v>
      </c>
      <c r="B2894" s="13" t="s">
        <v>352</v>
      </c>
      <c r="C2894" s="11" t="s">
        <v>353</v>
      </c>
      <c r="D2894" s="13" t="s">
        <v>14562</v>
      </c>
      <c r="E2894" s="13" t="s">
        <v>14563</v>
      </c>
      <c r="F2894" s="13" t="s">
        <v>14564</v>
      </c>
      <c r="G2894" s="13" t="s">
        <v>14565</v>
      </c>
      <c r="H2894" s="13" t="s">
        <v>14566</v>
      </c>
    </row>
    <row r="2895" customFormat="false" ht="15" hidden="false" customHeight="true" outlineLevel="0" collapsed="false">
      <c r="A2895" s="13" t="s">
        <v>325</v>
      </c>
      <c r="B2895" s="13" t="s">
        <v>359</v>
      </c>
      <c r="C2895" s="11" t="s">
        <v>360</v>
      </c>
      <c r="D2895" s="13" t="s">
        <v>14567</v>
      </c>
      <c r="E2895" s="13" t="s">
        <v>14568</v>
      </c>
      <c r="F2895" s="13" t="s">
        <v>14569</v>
      </c>
      <c r="G2895" s="13" t="s">
        <v>14570</v>
      </c>
      <c r="H2895" s="13" t="s">
        <v>14571</v>
      </c>
    </row>
    <row r="2896" customFormat="false" ht="15" hidden="false" customHeight="true" outlineLevel="0" collapsed="false">
      <c r="A2896" s="13" t="s">
        <v>325</v>
      </c>
      <c r="B2896" s="13" t="s">
        <v>366</v>
      </c>
      <c r="C2896" s="11" t="s">
        <v>367</v>
      </c>
      <c r="D2896" s="13" t="s">
        <v>14572</v>
      </c>
      <c r="E2896" s="13" t="s">
        <v>14573</v>
      </c>
      <c r="F2896" s="13" t="s">
        <v>14574</v>
      </c>
      <c r="G2896" s="13" t="s">
        <v>14575</v>
      </c>
      <c r="H2896" s="13" t="s">
        <v>14576</v>
      </c>
    </row>
    <row r="2897" customFormat="false" ht="15" hidden="false" customHeight="true" outlineLevel="0" collapsed="false">
      <c r="A2897" s="13" t="s">
        <v>325</v>
      </c>
      <c r="B2897" s="13" t="s">
        <v>373</v>
      </c>
      <c r="C2897" s="11" t="s">
        <v>374</v>
      </c>
      <c r="D2897" s="13" t="s">
        <v>14577</v>
      </c>
      <c r="E2897" s="13" t="s">
        <v>14578</v>
      </c>
      <c r="F2897" s="13" t="s">
        <v>14579</v>
      </c>
      <c r="G2897" s="13" t="s">
        <v>14580</v>
      </c>
      <c r="H2897" s="13" t="s">
        <v>14581</v>
      </c>
    </row>
    <row r="2898" customFormat="false" ht="15" hidden="false" customHeight="true" outlineLevel="0" collapsed="false">
      <c r="A2898" s="13" t="s">
        <v>325</v>
      </c>
      <c r="B2898" s="13" t="s">
        <v>380</v>
      </c>
      <c r="C2898" s="11" t="s">
        <v>381</v>
      </c>
      <c r="D2898" s="13" t="s">
        <v>14582</v>
      </c>
      <c r="E2898" s="13" t="s">
        <v>14583</v>
      </c>
      <c r="F2898" s="13" t="s">
        <v>14584</v>
      </c>
      <c r="G2898" s="13" t="s">
        <v>14585</v>
      </c>
      <c r="H2898" s="13" t="s">
        <v>14586</v>
      </c>
    </row>
    <row r="2899" customFormat="false" ht="15" hidden="false" customHeight="true" outlineLevel="0" collapsed="false">
      <c r="A2899" s="13" t="s">
        <v>325</v>
      </c>
      <c r="B2899" s="13" t="s">
        <v>387</v>
      </c>
      <c r="C2899" s="11" t="s">
        <v>388</v>
      </c>
      <c r="D2899" s="13" t="s">
        <v>14587</v>
      </c>
      <c r="E2899" s="13" t="s">
        <v>14588</v>
      </c>
      <c r="F2899" s="13" t="s">
        <v>14589</v>
      </c>
      <c r="G2899" s="13" t="s">
        <v>14590</v>
      </c>
      <c r="H2899" s="13" t="s">
        <v>14591</v>
      </c>
    </row>
    <row r="2900" customFormat="false" ht="15" hidden="false" customHeight="true" outlineLevel="0" collapsed="false">
      <c r="A2900" s="13" t="s">
        <v>325</v>
      </c>
      <c r="B2900" s="13" t="s">
        <v>394</v>
      </c>
      <c r="C2900" s="11" t="s">
        <v>395</v>
      </c>
      <c r="D2900" s="13" t="s">
        <v>14592</v>
      </c>
      <c r="E2900" s="13" t="s">
        <v>14593</v>
      </c>
      <c r="F2900" s="13" t="s">
        <v>14594</v>
      </c>
      <c r="G2900" s="13" t="s">
        <v>14595</v>
      </c>
      <c r="H2900" s="13" t="s">
        <v>14596</v>
      </c>
    </row>
    <row r="2901" customFormat="false" ht="15" hidden="false" customHeight="true" outlineLevel="0" collapsed="false">
      <c r="A2901" s="13" t="s">
        <v>325</v>
      </c>
      <c r="B2901" s="13" t="s">
        <v>401</v>
      </c>
      <c r="C2901" s="11" t="s">
        <v>402</v>
      </c>
      <c r="D2901" s="13" t="s">
        <v>14597</v>
      </c>
      <c r="E2901" s="13" t="s">
        <v>14598</v>
      </c>
      <c r="F2901" s="13" t="s">
        <v>14599</v>
      </c>
      <c r="G2901" s="13" t="s">
        <v>14600</v>
      </c>
      <c r="H2901" s="13" t="s">
        <v>14601</v>
      </c>
    </row>
    <row r="2902" customFormat="false" ht="15" hidden="false" customHeight="true" outlineLevel="0" collapsed="false">
      <c r="A2902" s="13" t="s">
        <v>325</v>
      </c>
      <c r="B2902" s="13" t="s">
        <v>408</v>
      </c>
      <c r="C2902" s="11" t="s">
        <v>409</v>
      </c>
      <c r="D2902" s="13" t="s">
        <v>14602</v>
      </c>
      <c r="E2902" s="13" t="s">
        <v>14603</v>
      </c>
      <c r="F2902" s="13" t="s">
        <v>14604</v>
      </c>
      <c r="G2902" s="13" t="s">
        <v>14605</v>
      </c>
      <c r="H2902" s="13" t="s">
        <v>14606</v>
      </c>
    </row>
    <row r="2903" customFormat="false" ht="15" hidden="false" customHeight="true" outlineLevel="0" collapsed="false">
      <c r="A2903" s="13" t="s">
        <v>325</v>
      </c>
      <c r="B2903" s="13" t="s">
        <v>415</v>
      </c>
      <c r="C2903" s="11" t="s">
        <v>416</v>
      </c>
      <c r="D2903" s="13" t="s">
        <v>14607</v>
      </c>
      <c r="E2903" s="13" t="s">
        <v>14608</v>
      </c>
      <c r="F2903" s="13" t="s">
        <v>14609</v>
      </c>
      <c r="G2903" s="13" t="s">
        <v>14610</v>
      </c>
      <c r="H2903" s="13" t="s">
        <v>14611</v>
      </c>
    </row>
    <row r="2904" customFormat="false" ht="15" hidden="false" customHeight="true" outlineLevel="0" collapsed="false">
      <c r="A2904" s="13" t="s">
        <v>325</v>
      </c>
      <c r="B2904" s="13" t="s">
        <v>422</v>
      </c>
      <c r="C2904" s="11" t="s">
        <v>423</v>
      </c>
      <c r="D2904" s="13" t="s">
        <v>14612</v>
      </c>
      <c r="E2904" s="13" t="s">
        <v>14613</v>
      </c>
      <c r="F2904" s="13" t="s">
        <v>14614</v>
      </c>
      <c r="G2904" s="13" t="s">
        <v>14615</v>
      </c>
      <c r="H2904" s="13" t="s">
        <v>14616</v>
      </c>
    </row>
    <row r="2905" customFormat="false" ht="15" hidden="false" customHeight="true" outlineLevel="0" collapsed="false">
      <c r="A2905" s="13" t="s">
        <v>325</v>
      </c>
      <c r="B2905" s="13" t="s">
        <v>429</v>
      </c>
      <c r="C2905" s="11" t="s">
        <v>430</v>
      </c>
      <c r="D2905" s="13" t="s">
        <v>14617</v>
      </c>
      <c r="E2905" s="13" t="s">
        <v>14618</v>
      </c>
      <c r="F2905" s="13" t="s">
        <v>14619</v>
      </c>
      <c r="G2905" s="13" t="s">
        <v>14620</v>
      </c>
      <c r="H2905" s="13" t="s">
        <v>14621</v>
      </c>
    </row>
    <row r="2906" customFormat="false" ht="15" hidden="false" customHeight="true" outlineLevel="0" collapsed="false">
      <c r="A2906" s="13" t="s">
        <v>325</v>
      </c>
      <c r="B2906" s="13" t="s">
        <v>436</v>
      </c>
      <c r="C2906" s="11" t="s">
        <v>437</v>
      </c>
      <c r="D2906" s="13" t="s">
        <v>10635</v>
      </c>
      <c r="E2906" s="13" t="s">
        <v>9105</v>
      </c>
      <c r="F2906" s="13" t="s">
        <v>14622</v>
      </c>
      <c r="G2906" s="13" t="s">
        <v>14623</v>
      </c>
      <c r="H2906" s="13" t="s">
        <v>14624</v>
      </c>
    </row>
    <row r="2907" customFormat="false" ht="15" hidden="false" customHeight="true" outlineLevel="0" collapsed="false">
      <c r="A2907" s="13" t="s">
        <v>325</v>
      </c>
      <c r="B2907" s="13" t="s">
        <v>443</v>
      </c>
      <c r="C2907" s="11" t="s">
        <v>444</v>
      </c>
      <c r="D2907" s="13" t="s">
        <v>14625</v>
      </c>
      <c r="E2907" s="13" t="s">
        <v>14626</v>
      </c>
      <c r="F2907" s="13" t="s">
        <v>14627</v>
      </c>
      <c r="G2907" s="13" t="s">
        <v>14628</v>
      </c>
      <c r="H2907" s="13" t="s">
        <v>14629</v>
      </c>
    </row>
    <row r="2908" customFormat="false" ht="15" hidden="false" customHeight="true" outlineLevel="0" collapsed="false">
      <c r="A2908" s="13" t="s">
        <v>325</v>
      </c>
      <c r="B2908" s="13" t="s">
        <v>450</v>
      </c>
      <c r="C2908" s="11" t="s">
        <v>451</v>
      </c>
      <c r="D2908" s="13" t="s">
        <v>14630</v>
      </c>
      <c r="E2908" s="13" t="s">
        <v>14631</v>
      </c>
      <c r="F2908" s="13" t="s">
        <v>14632</v>
      </c>
      <c r="G2908" s="13" t="s">
        <v>14633</v>
      </c>
      <c r="H2908" s="13" t="s">
        <v>14634</v>
      </c>
    </row>
    <row r="2909" customFormat="false" ht="15" hidden="false" customHeight="true" outlineLevel="0" collapsed="false">
      <c r="A2909" s="13" t="s">
        <v>325</v>
      </c>
      <c r="B2909" s="13" t="s">
        <v>457</v>
      </c>
      <c r="C2909" s="11" t="s">
        <v>458</v>
      </c>
      <c r="D2909" s="13" t="s">
        <v>14635</v>
      </c>
      <c r="E2909" s="13" t="s">
        <v>14636</v>
      </c>
      <c r="F2909" s="13" t="s">
        <v>14637</v>
      </c>
      <c r="G2909" s="13" t="s">
        <v>14638</v>
      </c>
      <c r="H2909" s="13" t="s">
        <v>14639</v>
      </c>
    </row>
    <row r="2910" customFormat="false" ht="15" hidden="false" customHeight="true" outlineLevel="0" collapsed="false">
      <c r="A2910" s="13" t="s">
        <v>325</v>
      </c>
      <c r="B2910" s="13" t="s">
        <v>464</v>
      </c>
      <c r="C2910" s="11" t="s">
        <v>465</v>
      </c>
      <c r="D2910" s="13" t="s">
        <v>14640</v>
      </c>
      <c r="E2910" s="13" t="s">
        <v>14641</v>
      </c>
      <c r="F2910" s="13" t="s">
        <v>14642</v>
      </c>
      <c r="G2910" s="13" t="s">
        <v>14643</v>
      </c>
      <c r="H2910" s="13" t="s">
        <v>14644</v>
      </c>
    </row>
    <row r="2911" customFormat="false" ht="15" hidden="false" customHeight="true" outlineLevel="0" collapsed="false">
      <c r="A2911" s="13" t="s">
        <v>325</v>
      </c>
      <c r="B2911" s="13" t="s">
        <v>471</v>
      </c>
      <c r="C2911" s="11" t="s">
        <v>472</v>
      </c>
      <c r="D2911" s="13" t="s">
        <v>14645</v>
      </c>
      <c r="E2911" s="13" t="s">
        <v>14646</v>
      </c>
      <c r="F2911" s="13" t="s">
        <v>14647</v>
      </c>
      <c r="G2911" s="13" t="s">
        <v>14648</v>
      </c>
      <c r="H2911" s="13" t="s">
        <v>14649</v>
      </c>
    </row>
    <row r="2912" customFormat="false" ht="15" hidden="false" customHeight="true" outlineLevel="0" collapsed="false">
      <c r="A2912" s="13" t="s">
        <v>325</v>
      </c>
      <c r="B2912" s="13" t="s">
        <v>478</v>
      </c>
      <c r="C2912" s="11" t="s">
        <v>479</v>
      </c>
      <c r="D2912" s="13" t="s">
        <v>14650</v>
      </c>
      <c r="E2912" s="13" t="s">
        <v>14651</v>
      </c>
      <c r="F2912" s="13" t="s">
        <v>14652</v>
      </c>
      <c r="G2912" s="13" t="s">
        <v>14653</v>
      </c>
      <c r="H2912" s="13" t="s">
        <v>14654</v>
      </c>
    </row>
    <row r="2913" customFormat="false" ht="15" hidden="false" customHeight="true" outlineLevel="0" collapsed="false">
      <c r="A2913" s="13" t="s">
        <v>325</v>
      </c>
      <c r="B2913" s="13" t="s">
        <v>485</v>
      </c>
      <c r="C2913" s="11" t="s">
        <v>486</v>
      </c>
      <c r="D2913" s="13" t="s">
        <v>14655</v>
      </c>
      <c r="E2913" s="13" t="s">
        <v>14656</v>
      </c>
      <c r="F2913" s="13" t="s">
        <v>14657</v>
      </c>
      <c r="G2913" s="13" t="s">
        <v>14658</v>
      </c>
      <c r="H2913" s="13" t="s">
        <v>14659</v>
      </c>
    </row>
    <row r="2914" customFormat="false" ht="15" hidden="false" customHeight="true" outlineLevel="0" collapsed="false">
      <c r="A2914" s="13" t="s">
        <v>325</v>
      </c>
      <c r="B2914" s="13" t="s">
        <v>492</v>
      </c>
      <c r="C2914" s="11" t="s">
        <v>493</v>
      </c>
      <c r="D2914" s="13" t="s">
        <v>14660</v>
      </c>
      <c r="E2914" s="13" t="s">
        <v>14661</v>
      </c>
      <c r="F2914" s="13" t="s">
        <v>14662</v>
      </c>
      <c r="G2914" s="13" t="s">
        <v>14663</v>
      </c>
      <c r="H2914" s="13" t="s">
        <v>14664</v>
      </c>
    </row>
    <row r="2915" customFormat="false" ht="15" hidden="false" customHeight="true" outlineLevel="0" collapsed="false">
      <c r="A2915" s="13" t="s">
        <v>325</v>
      </c>
      <c r="B2915" s="13" t="s">
        <v>499</v>
      </c>
      <c r="C2915" s="11" t="s">
        <v>500</v>
      </c>
      <c r="D2915" s="13" t="s">
        <v>14665</v>
      </c>
      <c r="E2915" s="13" t="s">
        <v>14666</v>
      </c>
      <c r="F2915" s="13" t="s">
        <v>14667</v>
      </c>
      <c r="G2915" s="13" t="s">
        <v>14668</v>
      </c>
      <c r="H2915" s="13" t="s">
        <v>14669</v>
      </c>
    </row>
    <row r="2916" customFormat="false" ht="15" hidden="false" customHeight="true" outlineLevel="0" collapsed="false">
      <c r="A2916" s="13" t="s">
        <v>325</v>
      </c>
      <c r="B2916" s="13" t="s">
        <v>506</v>
      </c>
      <c r="C2916" s="11" t="s">
        <v>507</v>
      </c>
      <c r="D2916" s="13" t="s">
        <v>14670</v>
      </c>
      <c r="E2916" s="13" t="s">
        <v>14671</v>
      </c>
      <c r="F2916" s="13" t="s">
        <v>14672</v>
      </c>
      <c r="G2916" s="13" t="s">
        <v>14673</v>
      </c>
      <c r="H2916" s="13" t="s">
        <v>14674</v>
      </c>
    </row>
    <row r="2917" customFormat="false" ht="15" hidden="false" customHeight="true" outlineLevel="0" collapsed="false">
      <c r="A2917" s="13" t="s">
        <v>325</v>
      </c>
      <c r="B2917" s="13" t="s">
        <v>513</v>
      </c>
      <c r="C2917" s="11" t="s">
        <v>514</v>
      </c>
      <c r="D2917" s="13" t="s">
        <v>14675</v>
      </c>
      <c r="E2917" s="13" t="s">
        <v>14676</v>
      </c>
      <c r="F2917" s="13" t="s">
        <v>14677</v>
      </c>
      <c r="G2917" s="13" t="s">
        <v>14678</v>
      </c>
      <c r="H2917" s="13" t="s">
        <v>6362</v>
      </c>
    </row>
    <row r="2918" customFormat="false" ht="15" hidden="false" customHeight="true" outlineLevel="0" collapsed="false">
      <c r="A2918" s="13" t="s">
        <v>325</v>
      </c>
      <c r="B2918" s="13" t="s">
        <v>520</v>
      </c>
      <c r="C2918" s="11" t="s">
        <v>521</v>
      </c>
      <c r="D2918" s="13" t="s">
        <v>14679</v>
      </c>
      <c r="E2918" s="13" t="s">
        <v>14680</v>
      </c>
      <c r="F2918" s="13" t="s">
        <v>14681</v>
      </c>
      <c r="G2918" s="13" t="s">
        <v>14682</v>
      </c>
      <c r="H2918" s="13" t="s">
        <v>14683</v>
      </c>
    </row>
    <row r="2919" customFormat="false" ht="15" hidden="false" customHeight="true" outlineLevel="0" collapsed="false">
      <c r="A2919" s="13" t="s">
        <v>325</v>
      </c>
      <c r="B2919" s="13" t="s">
        <v>527</v>
      </c>
      <c r="C2919" s="11" t="s">
        <v>528</v>
      </c>
      <c r="D2919" s="13" t="s">
        <v>14684</v>
      </c>
      <c r="E2919" s="13" t="s">
        <v>14685</v>
      </c>
      <c r="F2919" s="13" t="s">
        <v>14686</v>
      </c>
      <c r="G2919" s="13" t="s">
        <v>14687</v>
      </c>
      <c r="H2919" s="13" t="s">
        <v>14688</v>
      </c>
    </row>
    <row r="2920" customFormat="false" ht="15" hidden="false" customHeight="true" outlineLevel="0" collapsed="false">
      <c r="A2920" s="13" t="s">
        <v>325</v>
      </c>
      <c r="B2920" s="13" t="s">
        <v>534</v>
      </c>
      <c r="C2920" s="11" t="s">
        <v>535</v>
      </c>
      <c r="D2920" s="13" t="s">
        <v>14689</v>
      </c>
      <c r="E2920" s="13" t="s">
        <v>14690</v>
      </c>
      <c r="F2920" s="13" t="s">
        <v>14691</v>
      </c>
      <c r="G2920" s="13" t="s">
        <v>14692</v>
      </c>
      <c r="H2920" s="13" t="s">
        <v>14693</v>
      </c>
    </row>
    <row r="2921" customFormat="false" ht="15" hidden="false" customHeight="true" outlineLevel="0" collapsed="false">
      <c r="A2921" s="13" t="s">
        <v>325</v>
      </c>
      <c r="B2921" s="13" t="s">
        <v>541</v>
      </c>
      <c r="C2921" s="11" t="s">
        <v>542</v>
      </c>
      <c r="D2921" s="13" t="s">
        <v>14694</v>
      </c>
      <c r="E2921" s="13" t="s">
        <v>14695</v>
      </c>
      <c r="F2921" s="13" t="s">
        <v>14696</v>
      </c>
      <c r="G2921" s="13" t="s">
        <v>14697</v>
      </c>
      <c r="H2921" s="13" t="s">
        <v>14698</v>
      </c>
    </row>
    <row r="2922" customFormat="false" ht="15" hidden="false" customHeight="true" outlineLevel="0" collapsed="false">
      <c r="A2922" s="13" t="s">
        <v>325</v>
      </c>
      <c r="B2922" s="13" t="s">
        <v>548</v>
      </c>
      <c r="C2922" s="11" t="s">
        <v>549</v>
      </c>
      <c r="D2922" s="13" t="s">
        <v>14699</v>
      </c>
      <c r="E2922" s="13" t="s">
        <v>14700</v>
      </c>
      <c r="F2922" s="13" t="s">
        <v>14701</v>
      </c>
      <c r="G2922" s="13" t="s">
        <v>14702</v>
      </c>
      <c r="H2922" s="13" t="s">
        <v>14703</v>
      </c>
    </row>
    <row r="2923" customFormat="false" ht="15" hidden="false" customHeight="true" outlineLevel="0" collapsed="false">
      <c r="A2923" s="13" t="s">
        <v>325</v>
      </c>
      <c r="B2923" s="13" t="s">
        <v>555</v>
      </c>
      <c r="C2923" s="11" t="s">
        <v>556</v>
      </c>
      <c r="D2923" s="13" t="s">
        <v>14704</v>
      </c>
      <c r="E2923" s="13" t="s">
        <v>14705</v>
      </c>
      <c r="F2923" s="13" t="s">
        <v>14706</v>
      </c>
      <c r="G2923" s="13" t="s">
        <v>14707</v>
      </c>
      <c r="H2923" s="13" t="s">
        <v>14708</v>
      </c>
    </row>
    <row r="2924" customFormat="false" ht="15" hidden="false" customHeight="true" outlineLevel="0" collapsed="false">
      <c r="A2924" s="13" t="s">
        <v>325</v>
      </c>
      <c r="B2924" s="13" t="s">
        <v>562</v>
      </c>
      <c r="C2924" s="11" t="s">
        <v>563</v>
      </c>
      <c r="D2924" s="13" t="s">
        <v>14709</v>
      </c>
      <c r="E2924" s="13" t="s">
        <v>14710</v>
      </c>
      <c r="F2924" s="13" t="s">
        <v>14711</v>
      </c>
      <c r="G2924" s="13" t="s">
        <v>14712</v>
      </c>
      <c r="H2924" s="13" t="s">
        <v>14713</v>
      </c>
    </row>
    <row r="2925" customFormat="false" ht="15" hidden="false" customHeight="true" outlineLevel="0" collapsed="false">
      <c r="A2925" s="13" t="s">
        <v>325</v>
      </c>
      <c r="B2925" s="13" t="s">
        <v>569</v>
      </c>
      <c r="C2925" s="11" t="s">
        <v>570</v>
      </c>
      <c r="D2925" s="13" t="s">
        <v>14714</v>
      </c>
      <c r="E2925" s="13" t="s">
        <v>14715</v>
      </c>
      <c r="F2925" s="13" t="s">
        <v>14716</v>
      </c>
      <c r="G2925" s="13" t="s">
        <v>14717</v>
      </c>
      <c r="H2925" s="13" t="s">
        <v>14718</v>
      </c>
    </row>
    <row r="2926" customFormat="false" ht="15" hidden="false" customHeight="true" outlineLevel="0" collapsed="false">
      <c r="A2926" s="13" t="s">
        <v>325</v>
      </c>
      <c r="B2926" s="13" t="s">
        <v>576</v>
      </c>
      <c r="C2926" s="11" t="s">
        <v>577</v>
      </c>
      <c r="D2926" s="13" t="s">
        <v>14719</v>
      </c>
      <c r="E2926" s="13" t="s">
        <v>14720</v>
      </c>
      <c r="F2926" s="13" t="s">
        <v>14721</v>
      </c>
      <c r="G2926" s="13" t="s">
        <v>14722</v>
      </c>
      <c r="H2926" s="13" t="s">
        <v>14723</v>
      </c>
    </row>
    <row r="2927" customFormat="false" ht="15" hidden="false" customHeight="true" outlineLevel="0" collapsed="false">
      <c r="A2927" s="13" t="s">
        <v>325</v>
      </c>
      <c r="B2927" s="13" t="s">
        <v>583</v>
      </c>
      <c r="C2927" s="11" t="s">
        <v>584</v>
      </c>
      <c r="D2927" s="13" t="s">
        <v>14724</v>
      </c>
      <c r="E2927" s="13" t="s">
        <v>14725</v>
      </c>
      <c r="F2927" s="13" t="s">
        <v>14726</v>
      </c>
      <c r="G2927" s="13" t="s">
        <v>14727</v>
      </c>
      <c r="H2927" s="13" t="s">
        <v>14728</v>
      </c>
    </row>
    <row r="2928" customFormat="false" ht="15" hidden="false" customHeight="true" outlineLevel="0" collapsed="false">
      <c r="A2928" s="13" t="s">
        <v>325</v>
      </c>
      <c r="B2928" s="13" t="s">
        <v>590</v>
      </c>
      <c r="C2928" s="11" t="s">
        <v>591</v>
      </c>
      <c r="D2928" s="13" t="s">
        <v>14729</v>
      </c>
      <c r="E2928" s="13" t="s">
        <v>1889</v>
      </c>
      <c r="F2928" s="13" t="s">
        <v>14730</v>
      </c>
      <c r="G2928" s="13" t="s">
        <v>14731</v>
      </c>
      <c r="H2928" s="13" t="s">
        <v>14732</v>
      </c>
    </row>
    <row r="2929" customFormat="false" ht="15" hidden="false" customHeight="true" outlineLevel="0" collapsed="false">
      <c r="A2929" s="13" t="s">
        <v>325</v>
      </c>
      <c r="B2929" s="13" t="s">
        <v>597</v>
      </c>
      <c r="C2929" s="11" t="s">
        <v>598</v>
      </c>
      <c r="D2929" s="13" t="s">
        <v>14733</v>
      </c>
      <c r="E2929" s="13" t="s">
        <v>14734</v>
      </c>
      <c r="F2929" s="13" t="s">
        <v>14735</v>
      </c>
      <c r="G2929" s="13" t="s">
        <v>14736</v>
      </c>
      <c r="H2929" s="13" t="s">
        <v>14731</v>
      </c>
    </row>
    <row r="2930" customFormat="false" ht="15" hidden="false" customHeight="true" outlineLevel="0" collapsed="false">
      <c r="A2930" s="13" t="s">
        <v>325</v>
      </c>
      <c r="B2930" s="13" t="s">
        <v>604</v>
      </c>
      <c r="C2930" s="11" t="s">
        <v>605</v>
      </c>
      <c r="D2930" s="13" t="s">
        <v>14737</v>
      </c>
      <c r="E2930" s="13" t="s">
        <v>14738</v>
      </c>
      <c r="F2930" s="13" t="s">
        <v>14739</v>
      </c>
      <c r="G2930" s="13" t="s">
        <v>14740</v>
      </c>
      <c r="H2930" s="13" t="s">
        <v>14741</v>
      </c>
    </row>
    <row r="2931" customFormat="false" ht="15" hidden="false" customHeight="true" outlineLevel="0" collapsed="false">
      <c r="A2931" s="13" t="s">
        <v>325</v>
      </c>
      <c r="B2931" s="13" t="s">
        <v>611</v>
      </c>
      <c r="C2931" s="11" t="s">
        <v>612</v>
      </c>
      <c r="D2931" s="13" t="s">
        <v>14742</v>
      </c>
      <c r="E2931" s="13" t="s">
        <v>14743</v>
      </c>
      <c r="F2931" s="13" t="s">
        <v>14744</v>
      </c>
      <c r="G2931" s="13" t="s">
        <v>14745</v>
      </c>
      <c r="H2931" s="13" t="s">
        <v>14746</v>
      </c>
    </row>
    <row r="2932" customFormat="false" ht="15" hidden="false" customHeight="true" outlineLevel="0" collapsed="false">
      <c r="A2932" s="13" t="s">
        <v>325</v>
      </c>
      <c r="B2932" s="13" t="s">
        <v>618</v>
      </c>
      <c r="C2932" s="11" t="s">
        <v>619</v>
      </c>
      <c r="D2932" s="13" t="s">
        <v>14747</v>
      </c>
      <c r="E2932" s="13" t="s">
        <v>14748</v>
      </c>
      <c r="F2932" s="13" t="s">
        <v>14749</v>
      </c>
      <c r="G2932" s="13" t="s">
        <v>14750</v>
      </c>
      <c r="H2932" s="13" t="s">
        <v>14751</v>
      </c>
    </row>
    <row r="2933" customFormat="false" ht="15" hidden="false" customHeight="true" outlineLevel="0" collapsed="false">
      <c r="A2933" s="13" t="s">
        <v>325</v>
      </c>
      <c r="B2933" s="13" t="s">
        <v>625</v>
      </c>
      <c r="C2933" s="11" t="s">
        <v>626</v>
      </c>
      <c r="D2933" s="13" t="s">
        <v>14752</v>
      </c>
      <c r="E2933" s="13" t="s">
        <v>14753</v>
      </c>
      <c r="F2933" s="13" t="s">
        <v>14754</v>
      </c>
      <c r="G2933" s="13" t="s">
        <v>14755</v>
      </c>
      <c r="H2933" s="13" t="s">
        <v>14756</v>
      </c>
    </row>
    <row r="2934" customFormat="false" ht="15" hidden="false" customHeight="true" outlineLevel="0" collapsed="false">
      <c r="A2934" s="13" t="s">
        <v>325</v>
      </c>
      <c r="B2934" s="13" t="s">
        <v>632</v>
      </c>
      <c r="C2934" s="11" t="s">
        <v>633</v>
      </c>
      <c r="D2934" s="13" t="s">
        <v>14757</v>
      </c>
      <c r="E2934" s="13" t="s">
        <v>14758</v>
      </c>
      <c r="F2934" s="13" t="s">
        <v>14759</v>
      </c>
      <c r="G2934" s="13" t="s">
        <v>14760</v>
      </c>
      <c r="H2934" s="13" t="s">
        <v>14761</v>
      </c>
    </row>
    <row r="2935" customFormat="false" ht="15" hidden="false" customHeight="true" outlineLevel="0" collapsed="false">
      <c r="A2935" s="13" t="s">
        <v>325</v>
      </c>
      <c r="B2935" s="13" t="s">
        <v>639</v>
      </c>
      <c r="C2935" s="11" t="s">
        <v>640</v>
      </c>
      <c r="D2935" s="13" t="s">
        <v>14762</v>
      </c>
      <c r="E2935" s="13" t="s">
        <v>14763</v>
      </c>
      <c r="F2935" s="13" t="s">
        <v>14764</v>
      </c>
      <c r="G2935" s="13" t="s">
        <v>14765</v>
      </c>
      <c r="H2935" s="13" t="s">
        <v>14766</v>
      </c>
    </row>
    <row r="2936" customFormat="false" ht="15" hidden="false" customHeight="true" outlineLevel="0" collapsed="false">
      <c r="A2936" s="13" t="s">
        <v>325</v>
      </c>
      <c r="B2936" s="13" t="s">
        <v>646</v>
      </c>
      <c r="C2936" s="11" t="s">
        <v>647</v>
      </c>
      <c r="D2936" s="13" t="s">
        <v>14767</v>
      </c>
      <c r="E2936" s="13" t="s">
        <v>14768</v>
      </c>
      <c r="F2936" s="13" t="s">
        <v>14769</v>
      </c>
      <c r="G2936" s="13" t="s">
        <v>14770</v>
      </c>
      <c r="H2936" s="13" t="s">
        <v>14771</v>
      </c>
    </row>
    <row r="2937" customFormat="false" ht="15" hidden="false" customHeight="true" outlineLevel="0" collapsed="false">
      <c r="A2937" s="13" t="s">
        <v>325</v>
      </c>
      <c r="B2937" s="13" t="s">
        <v>653</v>
      </c>
      <c r="C2937" s="11" t="s">
        <v>654</v>
      </c>
      <c r="D2937" s="13" t="s">
        <v>3625</v>
      </c>
      <c r="E2937" s="13" t="s">
        <v>2673</v>
      </c>
      <c r="F2937" s="13" t="s">
        <v>14772</v>
      </c>
      <c r="G2937" s="13" t="s">
        <v>2711</v>
      </c>
      <c r="H2937" s="13" t="s">
        <v>14773</v>
      </c>
    </row>
    <row r="2938" customFormat="false" ht="15" hidden="false" customHeight="true" outlineLevel="0" collapsed="false">
      <c r="A2938" s="13" t="s">
        <v>325</v>
      </c>
      <c r="B2938" s="13" t="s">
        <v>660</v>
      </c>
      <c r="C2938" s="11" t="s">
        <v>661</v>
      </c>
      <c r="D2938" s="13" t="s">
        <v>3406</v>
      </c>
      <c r="E2938" s="13" t="s">
        <v>14774</v>
      </c>
      <c r="F2938" s="13" t="s">
        <v>14775</v>
      </c>
      <c r="G2938" s="13" t="s">
        <v>4683</v>
      </c>
      <c r="H2938" s="13" t="s">
        <v>14776</v>
      </c>
    </row>
    <row r="2939" customFormat="false" ht="15" hidden="false" customHeight="true" outlineLevel="0" collapsed="false">
      <c r="A2939" s="13" t="s">
        <v>325</v>
      </c>
      <c r="B2939" s="13" t="s">
        <v>667</v>
      </c>
      <c r="C2939" s="11" t="s">
        <v>668</v>
      </c>
      <c r="D2939" s="13" t="s">
        <v>14777</v>
      </c>
      <c r="E2939" s="13" t="s">
        <v>9056</v>
      </c>
      <c r="F2939" s="13" t="s">
        <v>14778</v>
      </c>
      <c r="G2939" s="13" t="s">
        <v>14779</v>
      </c>
      <c r="H2939" s="13" t="s">
        <v>14780</v>
      </c>
    </row>
    <row r="2940" customFormat="false" ht="15" hidden="false" customHeight="true" outlineLevel="0" collapsed="false">
      <c r="A2940" s="13" t="s">
        <v>325</v>
      </c>
      <c r="B2940" s="13" t="s">
        <v>674</v>
      </c>
      <c r="C2940" s="11" t="s">
        <v>675</v>
      </c>
      <c r="D2940" s="13" t="s">
        <v>14781</v>
      </c>
      <c r="E2940" s="13" t="s">
        <v>14782</v>
      </c>
      <c r="F2940" s="13" t="s">
        <v>14783</v>
      </c>
      <c r="G2940" s="13" t="s">
        <v>14784</v>
      </c>
      <c r="H2940" s="13" t="s">
        <v>14785</v>
      </c>
    </row>
    <row r="2941" customFormat="false" ht="15" hidden="false" customHeight="true" outlineLevel="0" collapsed="false">
      <c r="A2941" s="13" t="s">
        <v>325</v>
      </c>
      <c r="B2941" s="13" t="s">
        <v>681</v>
      </c>
      <c r="C2941" s="11" t="s">
        <v>682</v>
      </c>
      <c r="D2941" s="13" t="s">
        <v>14786</v>
      </c>
      <c r="E2941" s="13" t="s">
        <v>14787</v>
      </c>
      <c r="F2941" s="13" t="s">
        <v>14788</v>
      </c>
      <c r="G2941" s="13" t="s">
        <v>14789</v>
      </c>
      <c r="H2941" s="13" t="s">
        <v>3757</v>
      </c>
    </row>
    <row r="2942" customFormat="false" ht="15" hidden="false" customHeight="true" outlineLevel="0" collapsed="false">
      <c r="A2942" s="13" t="s">
        <v>325</v>
      </c>
      <c r="B2942" s="13" t="s">
        <v>688</v>
      </c>
      <c r="C2942" s="11" t="s">
        <v>689</v>
      </c>
      <c r="D2942" s="13" t="s">
        <v>2994</v>
      </c>
      <c r="E2942" s="13" t="s">
        <v>14790</v>
      </c>
      <c r="F2942" s="13" t="s">
        <v>14791</v>
      </c>
      <c r="G2942" s="13" t="s">
        <v>14792</v>
      </c>
      <c r="H2942" s="13" t="s">
        <v>14793</v>
      </c>
    </row>
    <row r="2943" customFormat="false" ht="15" hidden="false" customHeight="true" outlineLevel="0" collapsed="false">
      <c r="A2943" s="13" t="s">
        <v>325</v>
      </c>
      <c r="B2943" s="13" t="s">
        <v>695</v>
      </c>
      <c r="C2943" s="11" t="s">
        <v>696</v>
      </c>
      <c r="D2943" s="13" t="s">
        <v>14794</v>
      </c>
      <c r="E2943" s="13" t="s">
        <v>1283</v>
      </c>
      <c r="F2943" s="13" t="s">
        <v>14795</v>
      </c>
      <c r="G2943" s="13" t="s">
        <v>14796</v>
      </c>
      <c r="H2943" s="13" t="s">
        <v>14797</v>
      </c>
    </row>
    <row r="2944" customFormat="false" ht="15" hidden="false" customHeight="true" outlineLevel="0" collapsed="false">
      <c r="A2944" s="13" t="s">
        <v>325</v>
      </c>
      <c r="B2944" s="13" t="s">
        <v>702</v>
      </c>
      <c r="C2944" s="11" t="s">
        <v>703</v>
      </c>
      <c r="D2944" s="13" t="s">
        <v>14798</v>
      </c>
      <c r="E2944" s="13" t="s">
        <v>14799</v>
      </c>
      <c r="F2944" s="13" t="s">
        <v>14800</v>
      </c>
      <c r="G2944" s="13" t="s">
        <v>14801</v>
      </c>
      <c r="H2944" s="13" t="s">
        <v>14802</v>
      </c>
    </row>
    <row r="2945" customFormat="false" ht="15" hidden="false" customHeight="true" outlineLevel="0" collapsed="false">
      <c r="A2945" s="13" t="s">
        <v>325</v>
      </c>
      <c r="B2945" s="13" t="s">
        <v>709</v>
      </c>
      <c r="C2945" s="11" t="s">
        <v>710</v>
      </c>
      <c r="D2945" s="13" t="s">
        <v>14803</v>
      </c>
      <c r="E2945" s="13" t="s">
        <v>5994</v>
      </c>
      <c r="F2945" s="13" t="s">
        <v>14804</v>
      </c>
      <c r="G2945" s="13" t="s">
        <v>14805</v>
      </c>
      <c r="H2945" s="13" t="s">
        <v>14806</v>
      </c>
    </row>
    <row r="2946" customFormat="false" ht="15" hidden="false" customHeight="true" outlineLevel="0" collapsed="false">
      <c r="A2946" s="13" t="s">
        <v>325</v>
      </c>
      <c r="B2946" s="13" t="s">
        <v>716</v>
      </c>
      <c r="C2946" s="11" t="s">
        <v>717</v>
      </c>
      <c r="D2946" s="13" t="s">
        <v>14807</v>
      </c>
      <c r="E2946" s="13" t="s">
        <v>14808</v>
      </c>
      <c r="F2946" s="13" t="s">
        <v>4454</v>
      </c>
      <c r="G2946" s="13" t="s">
        <v>14809</v>
      </c>
      <c r="H2946" s="13" t="s">
        <v>14810</v>
      </c>
    </row>
    <row r="2947" customFormat="false" ht="15" hidden="false" customHeight="true" outlineLevel="0" collapsed="false">
      <c r="A2947" s="13" t="s">
        <v>325</v>
      </c>
      <c r="B2947" s="13" t="s">
        <v>723</v>
      </c>
      <c r="C2947" s="11" t="s">
        <v>724</v>
      </c>
      <c r="D2947" s="13" t="s">
        <v>14811</v>
      </c>
      <c r="E2947" s="13" t="s">
        <v>14812</v>
      </c>
      <c r="F2947" s="13" t="s">
        <v>14813</v>
      </c>
      <c r="G2947" s="13" t="s">
        <v>14814</v>
      </c>
      <c r="H2947" s="13" t="s">
        <v>14815</v>
      </c>
    </row>
    <row r="2948" customFormat="false" ht="15" hidden="false" customHeight="true" outlineLevel="0" collapsed="false">
      <c r="A2948" s="13" t="s">
        <v>325</v>
      </c>
      <c r="B2948" s="13" t="s">
        <v>730</v>
      </c>
      <c r="C2948" s="11" t="s">
        <v>731</v>
      </c>
      <c r="D2948" s="13" t="s">
        <v>14816</v>
      </c>
      <c r="E2948" s="13" t="s">
        <v>14817</v>
      </c>
      <c r="F2948" s="13" t="s">
        <v>14818</v>
      </c>
      <c r="G2948" s="13" t="s">
        <v>14819</v>
      </c>
      <c r="H2948" s="13" t="s">
        <v>14820</v>
      </c>
    </row>
    <row r="2949" customFormat="false" ht="15" hidden="false" customHeight="true" outlineLevel="0" collapsed="false">
      <c r="A2949" s="13" t="s">
        <v>325</v>
      </c>
      <c r="B2949" s="13" t="s">
        <v>737</v>
      </c>
      <c r="C2949" s="11" t="s">
        <v>738</v>
      </c>
      <c r="D2949" s="13" t="s">
        <v>14821</v>
      </c>
      <c r="E2949" s="13" t="s">
        <v>14822</v>
      </c>
      <c r="F2949" s="13" t="s">
        <v>14823</v>
      </c>
      <c r="G2949" s="13" t="s">
        <v>14824</v>
      </c>
      <c r="H2949" s="13" t="s">
        <v>14825</v>
      </c>
    </row>
    <row r="2950" customFormat="false" ht="15" hidden="false" customHeight="true" outlineLevel="0" collapsed="false">
      <c r="A2950" s="13" t="s">
        <v>325</v>
      </c>
      <c r="B2950" s="13" t="s">
        <v>744</v>
      </c>
      <c r="C2950" s="11" t="s">
        <v>745</v>
      </c>
      <c r="D2950" s="13" t="s">
        <v>14826</v>
      </c>
      <c r="E2950" s="13" t="s">
        <v>14827</v>
      </c>
      <c r="F2950" s="13" t="s">
        <v>14828</v>
      </c>
      <c r="G2950" s="13" t="s">
        <v>14829</v>
      </c>
      <c r="H2950" s="13" t="s">
        <v>14830</v>
      </c>
    </row>
    <row r="2951" customFormat="false" ht="15" hidden="false" customHeight="true" outlineLevel="0" collapsed="false">
      <c r="A2951" s="13" t="s">
        <v>325</v>
      </c>
      <c r="B2951" s="13" t="s">
        <v>751</v>
      </c>
      <c r="C2951" s="11" t="s">
        <v>752</v>
      </c>
      <c r="D2951" s="13" t="s">
        <v>14831</v>
      </c>
      <c r="E2951" s="13" t="s">
        <v>14832</v>
      </c>
      <c r="F2951" s="13" t="s">
        <v>14833</v>
      </c>
      <c r="G2951" s="13" t="s">
        <v>14834</v>
      </c>
      <c r="H2951" s="13" t="s">
        <v>14835</v>
      </c>
    </row>
    <row r="2952" customFormat="false" ht="15" hidden="false" customHeight="true" outlineLevel="0" collapsed="false">
      <c r="A2952" s="13" t="s">
        <v>325</v>
      </c>
      <c r="B2952" s="13" t="s">
        <v>758</v>
      </c>
      <c r="C2952" s="11" t="s">
        <v>759</v>
      </c>
      <c r="D2952" s="13" t="s">
        <v>14836</v>
      </c>
      <c r="E2952" s="13" t="s">
        <v>9325</v>
      </c>
      <c r="F2952" s="13" t="s">
        <v>14837</v>
      </c>
      <c r="G2952" s="13" t="s">
        <v>14838</v>
      </c>
      <c r="H2952" s="13" t="s">
        <v>14839</v>
      </c>
    </row>
    <row r="2953" customFormat="false" ht="15" hidden="false" customHeight="true" outlineLevel="0" collapsed="false">
      <c r="A2953" s="13" t="s">
        <v>325</v>
      </c>
      <c r="B2953" s="13" t="s">
        <v>765</v>
      </c>
      <c r="C2953" s="11" t="s">
        <v>766</v>
      </c>
      <c r="D2953" s="13" t="s">
        <v>14840</v>
      </c>
      <c r="E2953" s="13" t="s">
        <v>14841</v>
      </c>
      <c r="F2953" s="13" t="s">
        <v>14842</v>
      </c>
      <c r="G2953" s="13" t="s">
        <v>14843</v>
      </c>
      <c r="H2953" s="13" t="s">
        <v>14844</v>
      </c>
    </row>
    <row r="2954" customFormat="false" ht="15" hidden="false" customHeight="true" outlineLevel="0" collapsed="false">
      <c r="A2954" s="13" t="s">
        <v>325</v>
      </c>
      <c r="B2954" s="13" t="s">
        <v>772</v>
      </c>
      <c r="C2954" s="11" t="s">
        <v>773</v>
      </c>
      <c r="D2954" s="13" t="s">
        <v>14845</v>
      </c>
      <c r="E2954" s="13" t="s">
        <v>14846</v>
      </c>
      <c r="F2954" s="13" t="s">
        <v>14847</v>
      </c>
      <c r="G2954" s="13" t="s">
        <v>14848</v>
      </c>
      <c r="H2954" s="13" t="s">
        <v>14849</v>
      </c>
    </row>
    <row r="2955" customFormat="false" ht="15" hidden="false" customHeight="true" outlineLevel="0" collapsed="false">
      <c r="A2955" s="13" t="s">
        <v>325</v>
      </c>
      <c r="B2955" s="13" t="s">
        <v>779</v>
      </c>
      <c r="C2955" s="11" t="s">
        <v>780</v>
      </c>
      <c r="D2955" s="13" t="s">
        <v>14850</v>
      </c>
      <c r="E2955" s="13" t="s">
        <v>14851</v>
      </c>
      <c r="F2955" s="13" t="s">
        <v>14852</v>
      </c>
      <c r="G2955" s="13" t="s">
        <v>14853</v>
      </c>
      <c r="H2955" s="13" t="s">
        <v>14854</v>
      </c>
    </row>
    <row r="2956" customFormat="false" ht="15" hidden="false" customHeight="true" outlineLevel="0" collapsed="false">
      <c r="A2956" s="13" t="s">
        <v>325</v>
      </c>
      <c r="B2956" s="13" t="s">
        <v>786</v>
      </c>
      <c r="C2956" s="11" t="s">
        <v>787</v>
      </c>
      <c r="D2956" s="13" t="s">
        <v>14855</v>
      </c>
      <c r="E2956" s="13" t="s">
        <v>14856</v>
      </c>
      <c r="F2956" s="13" t="s">
        <v>14857</v>
      </c>
      <c r="G2956" s="13" t="s">
        <v>14858</v>
      </c>
      <c r="H2956" s="13" t="s">
        <v>14859</v>
      </c>
    </row>
    <row r="2957" customFormat="false" ht="15" hidden="false" customHeight="true" outlineLevel="0" collapsed="false">
      <c r="A2957" s="13" t="s">
        <v>325</v>
      </c>
      <c r="B2957" s="13" t="s">
        <v>793</v>
      </c>
      <c r="C2957" s="11" t="s">
        <v>794</v>
      </c>
      <c r="D2957" s="13" t="s">
        <v>14860</v>
      </c>
      <c r="E2957" s="13" t="s">
        <v>14861</v>
      </c>
      <c r="F2957" s="13" t="s">
        <v>14862</v>
      </c>
      <c r="G2957" s="13" t="s">
        <v>14863</v>
      </c>
      <c r="H2957" s="13" t="s">
        <v>14864</v>
      </c>
    </row>
    <row r="2958" customFormat="false" ht="15" hidden="false" customHeight="true" outlineLevel="0" collapsed="false">
      <c r="A2958" s="13" t="s">
        <v>325</v>
      </c>
      <c r="B2958" s="13" t="s">
        <v>800</v>
      </c>
      <c r="C2958" s="11" t="s">
        <v>801</v>
      </c>
      <c r="D2958" s="13" t="s">
        <v>14865</v>
      </c>
      <c r="E2958" s="13" t="s">
        <v>14866</v>
      </c>
      <c r="F2958" s="13" t="s">
        <v>14867</v>
      </c>
      <c r="G2958" s="13" t="s">
        <v>14868</v>
      </c>
      <c r="H2958" s="13" t="s">
        <v>14869</v>
      </c>
    </row>
    <row r="2959" customFormat="false" ht="15" hidden="false" customHeight="true" outlineLevel="0" collapsed="false">
      <c r="A2959" s="13" t="s">
        <v>325</v>
      </c>
      <c r="B2959" s="13" t="s">
        <v>806</v>
      </c>
      <c r="C2959" s="11" t="s">
        <v>807</v>
      </c>
      <c r="D2959" s="13" t="s">
        <v>9966</v>
      </c>
      <c r="E2959" s="13" t="s">
        <v>14870</v>
      </c>
      <c r="F2959" s="13" t="s">
        <v>14871</v>
      </c>
      <c r="G2959" s="13" t="s">
        <v>14872</v>
      </c>
      <c r="H2959" s="13" t="s">
        <v>14873</v>
      </c>
    </row>
    <row r="2960" customFormat="false" ht="15" hidden="false" customHeight="true" outlineLevel="0" collapsed="false">
      <c r="A2960" s="13" t="s">
        <v>325</v>
      </c>
      <c r="B2960" s="13" t="s">
        <v>813</v>
      </c>
      <c r="C2960" s="11" t="s">
        <v>814</v>
      </c>
      <c r="D2960" s="13" t="s">
        <v>14874</v>
      </c>
      <c r="E2960" s="13" t="s">
        <v>14875</v>
      </c>
      <c r="F2960" s="13" t="s">
        <v>14876</v>
      </c>
      <c r="G2960" s="13" t="s">
        <v>14877</v>
      </c>
      <c r="H2960" s="13" t="s">
        <v>14878</v>
      </c>
    </row>
    <row r="2961" customFormat="false" ht="15" hidden="false" customHeight="true" outlineLevel="0" collapsed="false">
      <c r="A2961" s="13" t="s">
        <v>325</v>
      </c>
      <c r="B2961" s="13" t="s">
        <v>820</v>
      </c>
      <c r="C2961" s="11" t="s">
        <v>821</v>
      </c>
      <c r="D2961" s="13" t="s">
        <v>14879</v>
      </c>
      <c r="E2961" s="13" t="s">
        <v>14880</v>
      </c>
      <c r="F2961" s="13" t="s">
        <v>14881</v>
      </c>
      <c r="G2961" s="13" t="s">
        <v>14882</v>
      </c>
      <c r="H2961" s="13" t="s">
        <v>14883</v>
      </c>
    </row>
    <row r="2962" customFormat="false" ht="15" hidden="false" customHeight="true" outlineLevel="0" collapsed="false">
      <c r="A2962" s="13" t="s">
        <v>325</v>
      </c>
      <c r="B2962" s="13" t="s">
        <v>827</v>
      </c>
      <c r="C2962" s="11" t="s">
        <v>828</v>
      </c>
      <c r="D2962" s="13" t="s">
        <v>14884</v>
      </c>
      <c r="E2962" s="13" t="s">
        <v>14885</v>
      </c>
      <c r="F2962" s="13" t="s">
        <v>14886</v>
      </c>
      <c r="G2962" s="13" t="s">
        <v>14887</v>
      </c>
      <c r="H2962" s="13" t="s">
        <v>14888</v>
      </c>
    </row>
    <row r="2963" customFormat="false" ht="15" hidden="false" customHeight="true" outlineLevel="0" collapsed="false">
      <c r="A2963" s="13" t="s">
        <v>325</v>
      </c>
      <c r="B2963" s="13" t="s">
        <v>834</v>
      </c>
      <c r="C2963" s="11" t="s">
        <v>835</v>
      </c>
      <c r="D2963" s="13" t="s">
        <v>14889</v>
      </c>
      <c r="E2963" s="13" t="s">
        <v>14890</v>
      </c>
      <c r="F2963" s="13" t="s">
        <v>14891</v>
      </c>
      <c r="G2963" s="13" t="s">
        <v>14892</v>
      </c>
      <c r="H2963" s="13" t="s">
        <v>14893</v>
      </c>
    </row>
    <row r="2964" customFormat="false" ht="15" hidden="false" customHeight="true" outlineLevel="0" collapsed="false">
      <c r="A2964" s="13" t="s">
        <v>325</v>
      </c>
      <c r="B2964" s="13" t="s">
        <v>841</v>
      </c>
      <c r="C2964" s="11" t="s">
        <v>842</v>
      </c>
      <c r="D2964" s="13" t="s">
        <v>14894</v>
      </c>
      <c r="E2964" s="13" t="s">
        <v>14895</v>
      </c>
      <c r="F2964" s="13" t="s">
        <v>14896</v>
      </c>
      <c r="G2964" s="13" t="s">
        <v>14897</v>
      </c>
      <c r="H2964" s="13" t="s">
        <v>14898</v>
      </c>
    </row>
    <row r="2965" customFormat="false" ht="15" hidden="false" customHeight="true" outlineLevel="0" collapsed="false">
      <c r="A2965" s="13" t="s">
        <v>325</v>
      </c>
      <c r="B2965" s="13" t="s">
        <v>848</v>
      </c>
      <c r="C2965" s="11" t="s">
        <v>849</v>
      </c>
      <c r="D2965" s="13" t="s">
        <v>14899</v>
      </c>
      <c r="E2965" s="13" t="s">
        <v>14900</v>
      </c>
      <c r="F2965" s="13" t="s">
        <v>14901</v>
      </c>
      <c r="G2965" s="13" t="s">
        <v>14902</v>
      </c>
      <c r="H2965" s="13" t="s">
        <v>14903</v>
      </c>
    </row>
    <row r="2966" customFormat="false" ht="15" hidden="false" customHeight="true" outlineLevel="0" collapsed="false">
      <c r="A2966" s="13" t="s">
        <v>325</v>
      </c>
      <c r="B2966" s="13" t="s">
        <v>855</v>
      </c>
      <c r="C2966" s="11" t="s">
        <v>856</v>
      </c>
      <c r="D2966" s="13" t="s">
        <v>14904</v>
      </c>
      <c r="E2966" s="13" t="s">
        <v>14905</v>
      </c>
      <c r="F2966" s="13" t="s">
        <v>14906</v>
      </c>
      <c r="G2966" s="13" t="s">
        <v>14907</v>
      </c>
      <c r="H2966" s="13" t="s">
        <v>14908</v>
      </c>
    </row>
    <row r="2967" customFormat="false" ht="15" hidden="false" customHeight="true" outlineLevel="0" collapsed="false">
      <c r="A2967" s="13" t="s">
        <v>325</v>
      </c>
      <c r="B2967" s="13" t="s">
        <v>862</v>
      </c>
      <c r="C2967" s="11" t="s">
        <v>863</v>
      </c>
      <c r="D2967" s="13" t="s">
        <v>14909</v>
      </c>
      <c r="E2967" s="13" t="s">
        <v>14910</v>
      </c>
      <c r="F2967" s="13" t="s">
        <v>14911</v>
      </c>
      <c r="G2967" s="13" t="s">
        <v>14912</v>
      </c>
      <c r="H2967" s="13" t="s">
        <v>14913</v>
      </c>
    </row>
    <row r="2968" customFormat="false" ht="15" hidden="false" customHeight="true" outlineLevel="0" collapsed="false">
      <c r="A2968" s="13" t="s">
        <v>325</v>
      </c>
      <c r="B2968" s="13" t="s">
        <v>869</v>
      </c>
      <c r="C2968" s="11" t="s">
        <v>870</v>
      </c>
      <c r="D2968" s="13" t="s">
        <v>14914</v>
      </c>
      <c r="E2968" s="13" t="s">
        <v>14915</v>
      </c>
      <c r="F2968" s="13" t="s">
        <v>14916</v>
      </c>
      <c r="G2968" s="13" t="s">
        <v>14917</v>
      </c>
      <c r="H2968" s="13" t="s">
        <v>14918</v>
      </c>
    </row>
    <row r="2969" customFormat="false" ht="15" hidden="false" customHeight="true" outlineLevel="0" collapsed="false">
      <c r="A2969" s="13" t="s">
        <v>325</v>
      </c>
      <c r="B2969" s="13" t="s">
        <v>876</v>
      </c>
      <c r="C2969" s="11" t="s">
        <v>877</v>
      </c>
      <c r="D2969" s="13" t="s">
        <v>14919</v>
      </c>
      <c r="E2969" s="13" t="s">
        <v>14920</v>
      </c>
      <c r="F2969" s="13" t="s">
        <v>14921</v>
      </c>
      <c r="G2969" s="13" t="s">
        <v>14922</v>
      </c>
      <c r="H2969" s="13" t="s">
        <v>14923</v>
      </c>
    </row>
    <row r="2970" customFormat="false" ht="15" hidden="false" customHeight="true" outlineLevel="0" collapsed="false">
      <c r="A2970" s="13" t="s">
        <v>325</v>
      </c>
      <c r="B2970" s="13" t="s">
        <v>883</v>
      </c>
      <c r="C2970" s="11" t="s">
        <v>884</v>
      </c>
      <c r="D2970" s="13" t="s">
        <v>14924</v>
      </c>
      <c r="E2970" s="13" t="s">
        <v>14925</v>
      </c>
      <c r="F2970" s="13" t="s">
        <v>14926</v>
      </c>
      <c r="G2970" s="13" t="s">
        <v>14927</v>
      </c>
      <c r="H2970" s="13" t="s">
        <v>14928</v>
      </c>
    </row>
    <row r="2971" customFormat="false" ht="15" hidden="false" customHeight="true" outlineLevel="0" collapsed="false">
      <c r="A2971" s="13" t="s">
        <v>325</v>
      </c>
      <c r="B2971" s="13" t="s">
        <v>890</v>
      </c>
      <c r="C2971" s="11" t="s">
        <v>891</v>
      </c>
      <c r="D2971" s="13" t="s">
        <v>14929</v>
      </c>
      <c r="E2971" s="13" t="s">
        <v>14930</v>
      </c>
      <c r="F2971" s="13" t="s">
        <v>14931</v>
      </c>
      <c r="G2971" s="13" t="s">
        <v>14932</v>
      </c>
      <c r="H2971" s="13" t="s">
        <v>14933</v>
      </c>
    </row>
    <row r="2972" customFormat="false" ht="15" hidden="false" customHeight="true" outlineLevel="0" collapsed="false">
      <c r="A2972" s="13" t="s">
        <v>325</v>
      </c>
      <c r="B2972" s="13" t="s">
        <v>897</v>
      </c>
      <c r="C2972" s="11" t="s">
        <v>898</v>
      </c>
      <c r="D2972" s="13" t="s">
        <v>14934</v>
      </c>
      <c r="E2972" s="13" t="s">
        <v>14935</v>
      </c>
      <c r="F2972" s="13" t="s">
        <v>14936</v>
      </c>
      <c r="G2972" s="13" t="s">
        <v>14937</v>
      </c>
      <c r="H2972" s="13" t="s">
        <v>14938</v>
      </c>
    </row>
    <row r="2973" customFormat="false" ht="15" hidden="false" customHeight="true" outlineLevel="0" collapsed="false">
      <c r="A2973" s="13" t="s">
        <v>325</v>
      </c>
      <c r="B2973" s="13" t="s">
        <v>904</v>
      </c>
      <c r="C2973" s="11" t="s">
        <v>905</v>
      </c>
      <c r="D2973" s="13" t="s">
        <v>14939</v>
      </c>
      <c r="E2973" s="13" t="s">
        <v>14940</v>
      </c>
      <c r="F2973" s="13" t="s">
        <v>14941</v>
      </c>
      <c r="G2973" s="13" t="s">
        <v>14942</v>
      </c>
      <c r="H2973" s="13" t="s">
        <v>8132</v>
      </c>
    </row>
    <row r="2974" customFormat="false" ht="15" hidden="false" customHeight="true" outlineLevel="0" collapsed="false">
      <c r="A2974" s="13" t="s">
        <v>325</v>
      </c>
      <c r="B2974" s="13" t="s">
        <v>911</v>
      </c>
      <c r="C2974" s="11" t="s">
        <v>912</v>
      </c>
      <c r="D2974" s="13" t="s">
        <v>14943</v>
      </c>
      <c r="E2974" s="13" t="s">
        <v>14944</v>
      </c>
      <c r="F2974" s="13" t="s">
        <v>14945</v>
      </c>
      <c r="G2974" s="13" t="s">
        <v>14946</v>
      </c>
      <c r="H2974" s="13" t="s">
        <v>14947</v>
      </c>
    </row>
    <row r="2975" customFormat="false" ht="15" hidden="false" customHeight="true" outlineLevel="0" collapsed="false">
      <c r="A2975" s="13" t="s">
        <v>325</v>
      </c>
      <c r="B2975" s="13" t="s">
        <v>918</v>
      </c>
      <c r="C2975" s="11" t="s">
        <v>919</v>
      </c>
      <c r="D2975" s="13" t="s">
        <v>14948</v>
      </c>
      <c r="E2975" s="13" t="s">
        <v>14949</v>
      </c>
      <c r="F2975" s="13" t="s">
        <v>14950</v>
      </c>
      <c r="G2975" s="13" t="s">
        <v>14951</v>
      </c>
      <c r="H2975" s="13" t="s">
        <v>14952</v>
      </c>
    </row>
    <row r="2976" customFormat="false" ht="15" hidden="false" customHeight="true" outlineLevel="0" collapsed="false">
      <c r="A2976" s="13" t="s">
        <v>325</v>
      </c>
      <c r="B2976" s="13" t="s">
        <v>925</v>
      </c>
      <c r="C2976" s="11" t="s">
        <v>926</v>
      </c>
      <c r="D2976" s="13" t="s">
        <v>14953</v>
      </c>
      <c r="E2976" s="13" t="s">
        <v>14954</v>
      </c>
      <c r="F2976" s="13" t="s">
        <v>14955</v>
      </c>
      <c r="G2976" s="13" t="s">
        <v>14956</v>
      </c>
      <c r="H2976" s="13" t="s">
        <v>14957</v>
      </c>
    </row>
    <row r="2977" customFormat="false" ht="15" hidden="false" customHeight="true" outlineLevel="0" collapsed="false">
      <c r="A2977" s="13" t="s">
        <v>325</v>
      </c>
      <c r="B2977" s="13" t="s">
        <v>932</v>
      </c>
      <c r="C2977" s="11" t="s">
        <v>933</v>
      </c>
      <c r="D2977" s="13" t="s">
        <v>14958</v>
      </c>
      <c r="E2977" s="13" t="s">
        <v>14959</v>
      </c>
      <c r="F2977" s="13" t="s">
        <v>14960</v>
      </c>
      <c r="G2977" s="13" t="s">
        <v>14961</v>
      </c>
      <c r="H2977" s="13" t="s">
        <v>14962</v>
      </c>
    </row>
    <row r="2978" customFormat="false" ht="15" hidden="false" customHeight="true" outlineLevel="0" collapsed="false">
      <c r="A2978" s="13" t="s">
        <v>325</v>
      </c>
      <c r="B2978" s="13" t="s">
        <v>939</v>
      </c>
      <c r="C2978" s="11" t="s">
        <v>940</v>
      </c>
      <c r="D2978" s="13" t="s">
        <v>14963</v>
      </c>
      <c r="E2978" s="13" t="s">
        <v>14964</v>
      </c>
      <c r="F2978" s="13" t="s">
        <v>14965</v>
      </c>
      <c r="G2978" s="13" t="s">
        <v>14966</v>
      </c>
      <c r="H2978" s="13" t="s">
        <v>14967</v>
      </c>
    </row>
    <row r="2979" customFormat="false" ht="15" hidden="false" customHeight="true" outlineLevel="0" collapsed="false">
      <c r="A2979" s="13" t="s">
        <v>325</v>
      </c>
      <c r="B2979" s="13" t="s">
        <v>946</v>
      </c>
      <c r="C2979" s="11" t="s">
        <v>947</v>
      </c>
      <c r="D2979" s="13" t="s">
        <v>14968</v>
      </c>
      <c r="E2979" s="13" t="s">
        <v>14969</v>
      </c>
      <c r="F2979" s="13" t="s">
        <v>14970</v>
      </c>
      <c r="G2979" s="13" t="s">
        <v>14971</v>
      </c>
      <c r="H2979" s="13" t="s">
        <v>14972</v>
      </c>
    </row>
    <row r="2980" customFormat="false" ht="15" hidden="false" customHeight="true" outlineLevel="0" collapsed="false">
      <c r="A2980" s="13" t="s">
        <v>325</v>
      </c>
      <c r="B2980" s="13" t="s">
        <v>953</v>
      </c>
      <c r="C2980" s="11" t="s">
        <v>954</v>
      </c>
      <c r="D2980" s="13" t="s">
        <v>14973</v>
      </c>
      <c r="E2980" s="13" t="s">
        <v>14974</v>
      </c>
      <c r="F2980" s="13" t="s">
        <v>14975</v>
      </c>
      <c r="G2980" s="13" t="s">
        <v>14976</v>
      </c>
      <c r="H2980" s="13" t="s">
        <v>14977</v>
      </c>
    </row>
    <row r="2981" customFormat="false" ht="15" hidden="false" customHeight="true" outlineLevel="0" collapsed="false">
      <c r="A2981" s="13" t="s">
        <v>325</v>
      </c>
      <c r="B2981" s="13" t="s">
        <v>960</v>
      </c>
      <c r="C2981" s="11" t="s">
        <v>961</v>
      </c>
      <c r="D2981" s="13" t="s">
        <v>14978</v>
      </c>
      <c r="E2981" s="13" t="s">
        <v>14979</v>
      </c>
      <c r="F2981" s="13" t="s">
        <v>14980</v>
      </c>
      <c r="G2981" s="13" t="s">
        <v>14981</v>
      </c>
      <c r="H2981" s="13" t="s">
        <v>14982</v>
      </c>
    </row>
    <row r="2982" customFormat="false" ht="15" hidden="false" customHeight="true" outlineLevel="0" collapsed="false">
      <c r="A2982" s="13" t="s">
        <v>325</v>
      </c>
      <c r="B2982" s="13" t="s">
        <v>967</v>
      </c>
      <c r="C2982" s="11" t="s">
        <v>968</v>
      </c>
      <c r="D2982" s="13" t="s">
        <v>6212</v>
      </c>
      <c r="E2982" s="13" t="s">
        <v>14983</v>
      </c>
      <c r="F2982" s="13" t="s">
        <v>14984</v>
      </c>
      <c r="G2982" s="13" t="s">
        <v>14985</v>
      </c>
      <c r="H2982" s="13" t="s">
        <v>14986</v>
      </c>
    </row>
    <row r="2983" customFormat="false" ht="15" hidden="false" customHeight="true" outlineLevel="0" collapsed="false">
      <c r="A2983" s="13" t="s">
        <v>325</v>
      </c>
      <c r="B2983" s="13" t="s">
        <v>974</v>
      </c>
      <c r="C2983" s="11" t="s">
        <v>975</v>
      </c>
      <c r="D2983" s="13" t="s">
        <v>11409</v>
      </c>
      <c r="E2983" s="13" t="s">
        <v>14987</v>
      </c>
      <c r="F2983" s="13" t="s">
        <v>14988</v>
      </c>
      <c r="G2983" s="13" t="s">
        <v>14989</v>
      </c>
      <c r="H2983" s="13" t="s">
        <v>14990</v>
      </c>
    </row>
    <row r="2984" customFormat="false" ht="15" hidden="false" customHeight="true" outlineLevel="0" collapsed="false">
      <c r="A2984" s="13" t="s">
        <v>325</v>
      </c>
      <c r="B2984" s="13" t="s">
        <v>981</v>
      </c>
      <c r="C2984" s="11" t="s">
        <v>982</v>
      </c>
      <c r="D2984" s="13" t="s">
        <v>14991</v>
      </c>
      <c r="E2984" s="13" t="s">
        <v>14992</v>
      </c>
      <c r="F2984" s="13" t="s">
        <v>14993</v>
      </c>
      <c r="G2984" s="13" t="s">
        <v>14994</v>
      </c>
      <c r="H2984" s="13" t="s">
        <v>14995</v>
      </c>
    </row>
    <row r="2985" customFormat="false" ht="15" hidden="false" customHeight="true" outlineLevel="0" collapsed="false">
      <c r="A2985" s="13" t="s">
        <v>325</v>
      </c>
      <c r="B2985" s="13" t="s">
        <v>988</v>
      </c>
      <c r="C2985" s="11" t="s">
        <v>989</v>
      </c>
      <c r="D2985" s="13" t="s">
        <v>14996</v>
      </c>
      <c r="E2985" s="13" t="s">
        <v>14997</v>
      </c>
      <c r="F2985" s="13" t="s">
        <v>14998</v>
      </c>
      <c r="G2985" s="13" t="s">
        <v>14999</v>
      </c>
      <c r="H2985" s="13" t="s">
        <v>15000</v>
      </c>
    </row>
    <row r="2986" customFormat="false" ht="15" hidden="false" customHeight="true" outlineLevel="0" collapsed="false">
      <c r="A2986" s="13" t="s">
        <v>325</v>
      </c>
      <c r="B2986" s="13" t="s">
        <v>995</v>
      </c>
      <c r="C2986" s="11" t="s">
        <v>996</v>
      </c>
      <c r="D2986" s="13" t="s">
        <v>15001</v>
      </c>
      <c r="E2986" s="13" t="s">
        <v>15002</v>
      </c>
      <c r="F2986" s="13" t="s">
        <v>15003</v>
      </c>
      <c r="G2986" s="13" t="s">
        <v>15004</v>
      </c>
      <c r="H2986" s="13" t="s">
        <v>15005</v>
      </c>
    </row>
    <row r="2987" customFormat="false" ht="15" hidden="false" customHeight="true" outlineLevel="0" collapsed="false">
      <c r="A2987" s="13" t="s">
        <v>325</v>
      </c>
      <c r="B2987" s="13" t="s">
        <v>1002</v>
      </c>
      <c r="C2987" s="11" t="s">
        <v>1003</v>
      </c>
      <c r="D2987" s="13" t="s">
        <v>15006</v>
      </c>
      <c r="E2987" s="13" t="s">
        <v>15007</v>
      </c>
      <c r="F2987" s="13" t="s">
        <v>15008</v>
      </c>
      <c r="G2987" s="13" t="s">
        <v>15009</v>
      </c>
      <c r="H2987" s="13" t="s">
        <v>15010</v>
      </c>
    </row>
    <row r="2988" customFormat="false" ht="15" hidden="false" customHeight="true" outlineLevel="0" collapsed="false">
      <c r="A2988" s="13" t="s">
        <v>325</v>
      </c>
      <c r="B2988" s="13" t="s">
        <v>1009</v>
      </c>
      <c r="C2988" s="11" t="s">
        <v>1010</v>
      </c>
      <c r="D2988" s="13" t="s">
        <v>15011</v>
      </c>
      <c r="E2988" s="13" t="s">
        <v>15012</v>
      </c>
      <c r="F2988" s="13" t="s">
        <v>15013</v>
      </c>
      <c r="G2988" s="13" t="s">
        <v>15014</v>
      </c>
      <c r="H2988" s="13" t="s">
        <v>15015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23.43"/>
    <col collapsed="false" customWidth="true" hidden="false" outlineLevel="0" max="3" min="3" style="1" width="31.25"/>
    <col collapsed="false" customWidth="true" hidden="false" outlineLevel="0" max="5" min="4" style="1" width="23.43"/>
  </cols>
  <sheetData>
    <row r="1" customFormat="false" ht="15" hidden="false" customHeight="true" outlineLevel="0" collapsed="false">
      <c r="A1" s="11" t="s">
        <v>15016</v>
      </c>
    </row>
    <row r="3" customFormat="false" ht="15" hidden="false" customHeight="true" outlineLevel="0" collapsed="false">
      <c r="A3" s="11" t="s">
        <v>15017</v>
      </c>
    </row>
    <row r="4" customFormat="false" ht="15" hidden="false" customHeight="true" outlineLevel="0" collapsed="false">
      <c r="E4" s="11" t="s">
        <v>335</v>
      </c>
    </row>
    <row r="5" customFormat="false" ht="15" hidden="false" customHeight="true" outlineLevel="0" collapsed="false">
      <c r="A5" s="12" t="s">
        <v>56</v>
      </c>
      <c r="B5" s="12" t="s">
        <v>15018</v>
      </c>
      <c r="C5" s="12" t="s">
        <v>15019</v>
      </c>
      <c r="D5" s="12" t="s">
        <v>15020</v>
      </c>
      <c r="E5" s="12" t="s">
        <v>15021</v>
      </c>
    </row>
    <row r="6" customFormat="false" ht="15" hidden="false" customHeight="true" outlineLevel="0" collapsed="false">
      <c r="A6" s="11" t="s">
        <v>65</v>
      </c>
      <c r="B6" s="11"/>
      <c r="C6" s="11"/>
      <c r="D6" s="13" t="s">
        <v>68</v>
      </c>
      <c r="E6" s="13" t="s">
        <v>69</v>
      </c>
    </row>
    <row r="7" customFormat="false" ht="15" hidden="false" customHeight="true" outlineLevel="0" collapsed="false">
      <c r="A7" s="13" t="s">
        <v>74</v>
      </c>
      <c r="B7" s="11" t="s">
        <v>15022</v>
      </c>
      <c r="C7" s="13" t="s">
        <v>15023</v>
      </c>
      <c r="D7" s="13" t="s">
        <v>15024</v>
      </c>
      <c r="E7" s="13" t="s">
        <v>15025</v>
      </c>
    </row>
    <row r="8" customFormat="false" ht="15" hidden="false" customHeight="true" outlineLevel="0" collapsed="false">
      <c r="A8" s="13" t="s">
        <v>74</v>
      </c>
      <c r="B8" s="11" t="s">
        <v>15022</v>
      </c>
      <c r="C8" s="13" t="s">
        <v>15026</v>
      </c>
      <c r="D8" s="13" t="s">
        <v>15027</v>
      </c>
      <c r="E8" s="13" t="s">
        <v>15028</v>
      </c>
    </row>
    <row r="9" customFormat="false" ht="15" hidden="false" customHeight="true" outlineLevel="0" collapsed="false">
      <c r="A9" s="13" t="s">
        <v>74</v>
      </c>
      <c r="B9" s="11" t="s">
        <v>15022</v>
      </c>
      <c r="C9" s="13" t="s">
        <v>15029</v>
      </c>
      <c r="D9" s="13" t="s">
        <v>15030</v>
      </c>
      <c r="E9" s="13" t="s">
        <v>15031</v>
      </c>
    </row>
    <row r="10" customFormat="false" ht="15" hidden="false" customHeight="true" outlineLevel="0" collapsed="false">
      <c r="A10" s="13" t="s">
        <v>74</v>
      </c>
      <c r="B10" s="11" t="s">
        <v>15022</v>
      </c>
      <c r="C10" s="11" t="s">
        <v>15032</v>
      </c>
      <c r="D10" s="13" t="s">
        <v>15033</v>
      </c>
      <c r="E10" s="13" t="s">
        <v>15034</v>
      </c>
    </row>
    <row r="11" customFormat="false" ht="15" hidden="false" customHeight="true" outlineLevel="0" collapsed="false">
      <c r="A11" s="13" t="s">
        <v>74</v>
      </c>
      <c r="B11" s="11" t="s">
        <v>15022</v>
      </c>
      <c r="C11" s="11" t="s">
        <v>15035</v>
      </c>
      <c r="D11" s="13" t="s">
        <v>15036</v>
      </c>
      <c r="E11" s="13" t="s">
        <v>15037</v>
      </c>
    </row>
    <row r="12" customFormat="false" ht="15" hidden="false" customHeight="true" outlineLevel="0" collapsed="false">
      <c r="A12" s="13" t="s">
        <v>74</v>
      </c>
      <c r="B12" s="11" t="s">
        <v>15022</v>
      </c>
      <c r="C12" s="11" t="s">
        <v>15038</v>
      </c>
      <c r="D12" s="13" t="s">
        <v>15039</v>
      </c>
      <c r="E12" s="13" t="s">
        <v>15040</v>
      </c>
    </row>
    <row r="13" customFormat="false" ht="15" hidden="false" customHeight="true" outlineLevel="0" collapsed="false">
      <c r="A13" s="13" t="s">
        <v>74</v>
      </c>
      <c r="B13" s="11" t="s">
        <v>15022</v>
      </c>
      <c r="C13" s="11" t="s">
        <v>15041</v>
      </c>
      <c r="D13" s="13" t="s">
        <v>15042</v>
      </c>
      <c r="E13" s="13" t="s">
        <v>15043</v>
      </c>
    </row>
    <row r="14" customFormat="false" ht="15" hidden="false" customHeight="true" outlineLevel="0" collapsed="false">
      <c r="A14" s="13" t="s">
        <v>74</v>
      </c>
      <c r="B14" s="11" t="s">
        <v>15022</v>
      </c>
      <c r="C14" s="11" t="s">
        <v>15044</v>
      </c>
      <c r="D14" s="13" t="s">
        <v>5331</v>
      </c>
      <c r="E14" s="13" t="s">
        <v>15045</v>
      </c>
    </row>
    <row r="15" customFormat="false" ht="15" hidden="false" customHeight="true" outlineLevel="0" collapsed="false">
      <c r="A15" s="13" t="s">
        <v>74</v>
      </c>
      <c r="B15" s="11" t="s">
        <v>15022</v>
      </c>
      <c r="C15" s="11" t="s">
        <v>15046</v>
      </c>
      <c r="D15" s="13" t="s">
        <v>15047</v>
      </c>
      <c r="E15" s="13" t="s">
        <v>15048</v>
      </c>
    </row>
    <row r="16" customFormat="false" ht="15" hidden="false" customHeight="true" outlineLevel="0" collapsed="false">
      <c r="A16" s="13" t="s">
        <v>74</v>
      </c>
      <c r="B16" s="11" t="s">
        <v>15022</v>
      </c>
      <c r="C16" s="11" t="s">
        <v>15049</v>
      </c>
      <c r="D16" s="13" t="s">
        <v>15050</v>
      </c>
      <c r="E16" s="13" t="s">
        <v>3234</v>
      </c>
    </row>
    <row r="17" customFormat="false" ht="15" hidden="false" customHeight="true" outlineLevel="0" collapsed="false">
      <c r="A17" s="13" t="s">
        <v>74</v>
      </c>
      <c r="B17" s="11" t="s">
        <v>15022</v>
      </c>
      <c r="C17" s="11" t="s">
        <v>15051</v>
      </c>
      <c r="D17" s="13" t="s">
        <v>15052</v>
      </c>
      <c r="E17" s="13" t="s">
        <v>15053</v>
      </c>
    </row>
    <row r="18" customFormat="false" ht="15" hidden="false" customHeight="true" outlineLevel="0" collapsed="false">
      <c r="A18" s="13" t="s">
        <v>74</v>
      </c>
      <c r="B18" s="11" t="s">
        <v>15022</v>
      </c>
      <c r="C18" s="11" t="s">
        <v>15054</v>
      </c>
      <c r="D18" s="13" t="s">
        <v>15055</v>
      </c>
      <c r="E18" s="13" t="s">
        <v>15056</v>
      </c>
    </row>
    <row r="19" customFormat="false" ht="15" hidden="false" customHeight="true" outlineLevel="0" collapsed="false">
      <c r="A19" s="13" t="s">
        <v>74</v>
      </c>
      <c r="B19" s="11" t="s">
        <v>15022</v>
      </c>
      <c r="C19" s="11" t="s">
        <v>15057</v>
      </c>
      <c r="D19" s="13" t="s">
        <v>15058</v>
      </c>
      <c r="E19" s="13" t="s">
        <v>15059</v>
      </c>
    </row>
    <row r="20" customFormat="false" ht="15" hidden="false" customHeight="true" outlineLevel="0" collapsed="false">
      <c r="A20" s="13" t="s">
        <v>74</v>
      </c>
      <c r="B20" s="11" t="s">
        <v>15022</v>
      </c>
      <c r="C20" s="11" t="s">
        <v>15060</v>
      </c>
      <c r="D20" s="13" t="s">
        <v>15061</v>
      </c>
      <c r="E20" s="13" t="s">
        <v>15062</v>
      </c>
    </row>
    <row r="21" customFormat="false" ht="15" hidden="false" customHeight="true" outlineLevel="0" collapsed="false">
      <c r="A21" s="13" t="s">
        <v>74</v>
      </c>
      <c r="B21" s="11" t="s">
        <v>15022</v>
      </c>
      <c r="C21" s="13" t="s">
        <v>15063</v>
      </c>
      <c r="D21" s="13" t="s">
        <v>15064</v>
      </c>
      <c r="E21" s="13" t="s">
        <v>15065</v>
      </c>
    </row>
    <row r="22" customFormat="false" ht="15" hidden="false" customHeight="true" outlineLevel="0" collapsed="false">
      <c r="A22" s="13" t="s">
        <v>74</v>
      </c>
      <c r="B22" s="11" t="s">
        <v>15022</v>
      </c>
      <c r="C22" s="11" t="s">
        <v>15066</v>
      </c>
      <c r="D22" s="13" t="s">
        <v>15067</v>
      </c>
      <c r="E22" s="13" t="s">
        <v>15068</v>
      </c>
    </row>
    <row r="23" customFormat="false" ht="15" hidden="false" customHeight="true" outlineLevel="0" collapsed="false">
      <c r="A23" s="13" t="s">
        <v>74</v>
      </c>
      <c r="B23" s="11" t="s">
        <v>15022</v>
      </c>
      <c r="C23" s="11" t="s">
        <v>15069</v>
      </c>
      <c r="D23" s="13" t="s">
        <v>15070</v>
      </c>
      <c r="E23" s="13" t="s">
        <v>15071</v>
      </c>
    </row>
    <row r="24" customFormat="false" ht="15" hidden="false" customHeight="true" outlineLevel="0" collapsed="false">
      <c r="A24" s="13" t="s">
        <v>74</v>
      </c>
      <c r="B24" s="11" t="s">
        <v>15022</v>
      </c>
      <c r="C24" s="11" t="s">
        <v>15072</v>
      </c>
      <c r="D24" s="13" t="s">
        <v>15073</v>
      </c>
      <c r="E24" s="13" t="s">
        <v>15074</v>
      </c>
    </row>
    <row r="25" customFormat="false" ht="15" hidden="false" customHeight="true" outlineLevel="0" collapsed="false">
      <c r="A25" s="13" t="s">
        <v>74</v>
      </c>
      <c r="B25" s="11" t="s">
        <v>15022</v>
      </c>
      <c r="C25" s="11" t="s">
        <v>15075</v>
      </c>
      <c r="D25" s="13" t="s">
        <v>15076</v>
      </c>
      <c r="E25" s="13" t="s">
        <v>15077</v>
      </c>
    </row>
    <row r="26" customFormat="false" ht="15" hidden="false" customHeight="true" outlineLevel="0" collapsed="false">
      <c r="A26" s="13" t="s">
        <v>74</v>
      </c>
      <c r="B26" s="11" t="s">
        <v>15022</v>
      </c>
      <c r="C26" s="11" t="s">
        <v>15078</v>
      </c>
      <c r="D26" s="13" t="s">
        <v>15079</v>
      </c>
      <c r="E26" s="13" t="s">
        <v>15080</v>
      </c>
    </row>
    <row r="27" customFormat="false" ht="15" hidden="false" customHeight="true" outlineLevel="0" collapsed="false">
      <c r="A27" s="13" t="s">
        <v>74</v>
      </c>
      <c r="B27" s="11" t="s">
        <v>15022</v>
      </c>
      <c r="C27" s="11" t="s">
        <v>15081</v>
      </c>
      <c r="D27" s="13" t="s">
        <v>15082</v>
      </c>
      <c r="E27" s="13" t="s">
        <v>15083</v>
      </c>
    </row>
    <row r="28" customFormat="false" ht="15" hidden="false" customHeight="true" outlineLevel="0" collapsed="false">
      <c r="A28" s="13" t="s">
        <v>83</v>
      </c>
      <c r="B28" s="11" t="s">
        <v>15022</v>
      </c>
      <c r="C28" s="13" t="s">
        <v>15023</v>
      </c>
      <c r="D28" s="13" t="s">
        <v>15084</v>
      </c>
      <c r="E28" s="13" t="s">
        <v>15085</v>
      </c>
    </row>
    <row r="29" customFormat="false" ht="15" hidden="false" customHeight="true" outlineLevel="0" collapsed="false">
      <c r="A29" s="13" t="s">
        <v>83</v>
      </c>
      <c r="B29" s="11" t="s">
        <v>15022</v>
      </c>
      <c r="C29" s="13" t="s">
        <v>15026</v>
      </c>
      <c r="D29" s="13" t="s">
        <v>15086</v>
      </c>
      <c r="E29" s="13" t="s">
        <v>15087</v>
      </c>
    </row>
    <row r="30" customFormat="false" ht="15" hidden="false" customHeight="true" outlineLevel="0" collapsed="false">
      <c r="A30" s="13" t="s">
        <v>83</v>
      </c>
      <c r="B30" s="11" t="s">
        <v>15022</v>
      </c>
      <c r="C30" s="13" t="s">
        <v>15029</v>
      </c>
      <c r="D30" s="13" t="s">
        <v>15088</v>
      </c>
      <c r="E30" s="13" t="s">
        <v>15089</v>
      </c>
    </row>
    <row r="31" customFormat="false" ht="15" hidden="false" customHeight="true" outlineLevel="0" collapsed="false">
      <c r="A31" s="13" t="s">
        <v>83</v>
      </c>
      <c r="B31" s="11" t="s">
        <v>15022</v>
      </c>
      <c r="C31" s="11" t="s">
        <v>15032</v>
      </c>
      <c r="D31" s="13" t="s">
        <v>15090</v>
      </c>
      <c r="E31" s="13" t="s">
        <v>15091</v>
      </c>
    </row>
    <row r="32" customFormat="false" ht="15" hidden="false" customHeight="true" outlineLevel="0" collapsed="false">
      <c r="A32" s="13" t="s">
        <v>83</v>
      </c>
      <c r="B32" s="11" t="s">
        <v>15022</v>
      </c>
      <c r="C32" s="11" t="s">
        <v>15035</v>
      </c>
      <c r="D32" s="13" t="s">
        <v>15092</v>
      </c>
      <c r="E32" s="13" t="s">
        <v>15093</v>
      </c>
    </row>
    <row r="33" customFormat="false" ht="15" hidden="false" customHeight="true" outlineLevel="0" collapsed="false">
      <c r="A33" s="13" t="s">
        <v>83</v>
      </c>
      <c r="B33" s="11" t="s">
        <v>15022</v>
      </c>
      <c r="C33" s="11" t="s">
        <v>15038</v>
      </c>
      <c r="D33" s="13" t="s">
        <v>15094</v>
      </c>
      <c r="E33" s="13" t="s">
        <v>15095</v>
      </c>
    </row>
    <row r="34" customFormat="false" ht="15" hidden="false" customHeight="true" outlineLevel="0" collapsed="false">
      <c r="A34" s="13" t="s">
        <v>83</v>
      </c>
      <c r="B34" s="11" t="s">
        <v>15022</v>
      </c>
      <c r="C34" s="11" t="s">
        <v>15041</v>
      </c>
      <c r="D34" s="13" t="s">
        <v>15096</v>
      </c>
      <c r="E34" s="13" t="s">
        <v>15097</v>
      </c>
    </row>
    <row r="35" customFormat="false" ht="15" hidden="false" customHeight="true" outlineLevel="0" collapsed="false">
      <c r="A35" s="13" t="s">
        <v>83</v>
      </c>
      <c r="B35" s="11" t="s">
        <v>15022</v>
      </c>
      <c r="C35" s="11" t="s">
        <v>15044</v>
      </c>
      <c r="D35" s="13" t="s">
        <v>15098</v>
      </c>
      <c r="E35" s="13" t="s">
        <v>15099</v>
      </c>
    </row>
    <row r="36" customFormat="false" ht="15" hidden="false" customHeight="true" outlineLevel="0" collapsed="false">
      <c r="A36" s="13" t="s">
        <v>83</v>
      </c>
      <c r="B36" s="11" t="s">
        <v>15022</v>
      </c>
      <c r="C36" s="11" t="s">
        <v>15046</v>
      </c>
      <c r="D36" s="13" t="s">
        <v>15100</v>
      </c>
      <c r="E36" s="13" t="s">
        <v>15101</v>
      </c>
    </row>
    <row r="37" customFormat="false" ht="15" hidden="false" customHeight="true" outlineLevel="0" collapsed="false">
      <c r="A37" s="13" t="s">
        <v>83</v>
      </c>
      <c r="B37" s="11" t="s">
        <v>15022</v>
      </c>
      <c r="C37" s="11" t="s">
        <v>15049</v>
      </c>
      <c r="D37" s="13" t="s">
        <v>15102</v>
      </c>
      <c r="E37" s="13" t="s">
        <v>15103</v>
      </c>
    </row>
    <row r="38" customFormat="false" ht="15" hidden="false" customHeight="true" outlineLevel="0" collapsed="false">
      <c r="A38" s="13" t="s">
        <v>83</v>
      </c>
      <c r="B38" s="11" t="s">
        <v>15022</v>
      </c>
      <c r="C38" s="11" t="s">
        <v>15051</v>
      </c>
      <c r="D38" s="13" t="s">
        <v>15104</v>
      </c>
      <c r="E38" s="13" t="s">
        <v>15105</v>
      </c>
    </row>
    <row r="39" customFormat="false" ht="15" hidden="false" customHeight="true" outlineLevel="0" collapsed="false">
      <c r="A39" s="13" t="s">
        <v>83</v>
      </c>
      <c r="B39" s="11" t="s">
        <v>15022</v>
      </c>
      <c r="C39" s="11" t="s">
        <v>15054</v>
      </c>
      <c r="D39" s="13" t="s">
        <v>15106</v>
      </c>
      <c r="E39" s="13" t="s">
        <v>15107</v>
      </c>
    </row>
    <row r="40" customFormat="false" ht="15" hidden="false" customHeight="true" outlineLevel="0" collapsed="false">
      <c r="A40" s="13" t="s">
        <v>83</v>
      </c>
      <c r="B40" s="11" t="s">
        <v>15022</v>
      </c>
      <c r="C40" s="11" t="s">
        <v>15057</v>
      </c>
      <c r="D40" s="13" t="s">
        <v>15108</v>
      </c>
      <c r="E40" s="13" t="s">
        <v>15109</v>
      </c>
    </row>
    <row r="41" customFormat="false" ht="15" hidden="false" customHeight="true" outlineLevel="0" collapsed="false">
      <c r="A41" s="13" t="s">
        <v>83</v>
      </c>
      <c r="B41" s="11" t="s">
        <v>15022</v>
      </c>
      <c r="C41" s="11" t="s">
        <v>15060</v>
      </c>
      <c r="D41" s="13" t="s">
        <v>15110</v>
      </c>
      <c r="E41" s="13" t="s">
        <v>15111</v>
      </c>
    </row>
    <row r="42" customFormat="false" ht="15" hidden="false" customHeight="true" outlineLevel="0" collapsed="false">
      <c r="A42" s="13" t="s">
        <v>83</v>
      </c>
      <c r="B42" s="11" t="s">
        <v>15022</v>
      </c>
      <c r="C42" s="13" t="s">
        <v>15063</v>
      </c>
      <c r="D42" s="13" t="s">
        <v>15112</v>
      </c>
      <c r="E42" s="13" t="s">
        <v>15113</v>
      </c>
    </row>
    <row r="43" customFormat="false" ht="15" hidden="false" customHeight="true" outlineLevel="0" collapsed="false">
      <c r="A43" s="13" t="s">
        <v>83</v>
      </c>
      <c r="B43" s="11" t="s">
        <v>15022</v>
      </c>
      <c r="C43" s="11" t="s">
        <v>15066</v>
      </c>
      <c r="D43" s="13" t="s">
        <v>15114</v>
      </c>
      <c r="E43" s="13" t="s">
        <v>15115</v>
      </c>
    </row>
    <row r="44" customFormat="false" ht="15" hidden="false" customHeight="true" outlineLevel="0" collapsed="false">
      <c r="A44" s="13" t="s">
        <v>83</v>
      </c>
      <c r="B44" s="11" t="s">
        <v>15022</v>
      </c>
      <c r="C44" s="11" t="s">
        <v>15069</v>
      </c>
      <c r="D44" s="13" t="s">
        <v>15116</v>
      </c>
      <c r="E44" s="13" t="s">
        <v>15117</v>
      </c>
    </row>
    <row r="45" customFormat="false" ht="15" hidden="false" customHeight="true" outlineLevel="0" collapsed="false">
      <c r="A45" s="13" t="s">
        <v>83</v>
      </c>
      <c r="B45" s="11" t="s">
        <v>15022</v>
      </c>
      <c r="C45" s="11" t="s">
        <v>15072</v>
      </c>
      <c r="D45" s="13" t="s">
        <v>15118</v>
      </c>
      <c r="E45" s="13" t="s">
        <v>15119</v>
      </c>
    </row>
    <row r="46" customFormat="false" ht="15" hidden="false" customHeight="true" outlineLevel="0" collapsed="false">
      <c r="A46" s="13" t="s">
        <v>83</v>
      </c>
      <c r="B46" s="11" t="s">
        <v>15022</v>
      </c>
      <c r="C46" s="11" t="s">
        <v>15075</v>
      </c>
      <c r="D46" s="13" t="s">
        <v>15120</v>
      </c>
      <c r="E46" s="13" t="s">
        <v>15121</v>
      </c>
    </row>
    <row r="47" customFormat="false" ht="15" hidden="false" customHeight="true" outlineLevel="0" collapsed="false">
      <c r="A47" s="13" t="s">
        <v>83</v>
      </c>
      <c r="B47" s="11" t="s">
        <v>15022</v>
      </c>
      <c r="C47" s="11" t="s">
        <v>15078</v>
      </c>
      <c r="D47" s="13" t="s">
        <v>15122</v>
      </c>
      <c r="E47" s="13" t="s">
        <v>15123</v>
      </c>
    </row>
    <row r="48" customFormat="false" ht="15" hidden="false" customHeight="true" outlineLevel="0" collapsed="false">
      <c r="A48" s="13" t="s">
        <v>83</v>
      </c>
      <c r="B48" s="11" t="s">
        <v>15022</v>
      </c>
      <c r="C48" s="11" t="s">
        <v>15081</v>
      </c>
      <c r="D48" s="13" t="s">
        <v>15124</v>
      </c>
      <c r="E48" s="13" t="s">
        <v>15125</v>
      </c>
    </row>
    <row r="49" customFormat="false" ht="15" hidden="false" customHeight="true" outlineLevel="0" collapsed="false">
      <c r="A49" s="13" t="s">
        <v>92</v>
      </c>
      <c r="B49" s="11" t="s">
        <v>15022</v>
      </c>
      <c r="C49" s="13" t="s">
        <v>15023</v>
      </c>
      <c r="D49" s="13" t="s">
        <v>15126</v>
      </c>
      <c r="E49" s="13" t="s">
        <v>15127</v>
      </c>
    </row>
    <row r="50" customFormat="false" ht="15" hidden="false" customHeight="true" outlineLevel="0" collapsed="false">
      <c r="A50" s="13" t="s">
        <v>92</v>
      </c>
      <c r="B50" s="11" t="s">
        <v>15022</v>
      </c>
      <c r="C50" s="13" t="s">
        <v>15026</v>
      </c>
      <c r="D50" s="13" t="s">
        <v>15128</v>
      </c>
      <c r="E50" s="13" t="s">
        <v>15129</v>
      </c>
    </row>
    <row r="51" customFormat="false" ht="15" hidden="false" customHeight="true" outlineLevel="0" collapsed="false">
      <c r="A51" s="13" t="s">
        <v>92</v>
      </c>
      <c r="B51" s="11" t="s">
        <v>15022</v>
      </c>
      <c r="C51" s="13" t="s">
        <v>15029</v>
      </c>
      <c r="D51" s="13" t="s">
        <v>15130</v>
      </c>
      <c r="E51" s="13" t="s">
        <v>15131</v>
      </c>
    </row>
    <row r="52" customFormat="false" ht="15" hidden="false" customHeight="true" outlineLevel="0" collapsed="false">
      <c r="A52" s="13" t="s">
        <v>92</v>
      </c>
      <c r="B52" s="11" t="s">
        <v>15022</v>
      </c>
      <c r="C52" s="11" t="s">
        <v>15032</v>
      </c>
      <c r="D52" s="13" t="s">
        <v>15132</v>
      </c>
      <c r="E52" s="13" t="s">
        <v>15133</v>
      </c>
    </row>
    <row r="53" customFormat="false" ht="15" hidden="false" customHeight="true" outlineLevel="0" collapsed="false">
      <c r="A53" s="13" t="s">
        <v>92</v>
      </c>
      <c r="B53" s="11" t="s">
        <v>15022</v>
      </c>
      <c r="C53" s="11" t="s">
        <v>15035</v>
      </c>
      <c r="D53" s="13" t="s">
        <v>15134</v>
      </c>
      <c r="E53" s="13" t="s">
        <v>15135</v>
      </c>
    </row>
    <row r="54" customFormat="false" ht="15" hidden="false" customHeight="true" outlineLevel="0" collapsed="false">
      <c r="A54" s="13" t="s">
        <v>92</v>
      </c>
      <c r="B54" s="11" t="s">
        <v>15022</v>
      </c>
      <c r="C54" s="11" t="s">
        <v>15038</v>
      </c>
      <c r="D54" s="13" t="s">
        <v>15136</v>
      </c>
      <c r="E54" s="13" t="s">
        <v>15137</v>
      </c>
    </row>
    <row r="55" customFormat="false" ht="15" hidden="false" customHeight="true" outlineLevel="0" collapsed="false">
      <c r="A55" s="13" t="s">
        <v>92</v>
      </c>
      <c r="B55" s="11" t="s">
        <v>15022</v>
      </c>
      <c r="C55" s="11" t="s">
        <v>15041</v>
      </c>
      <c r="D55" s="13" t="s">
        <v>15138</v>
      </c>
      <c r="E55" s="13" t="s">
        <v>15139</v>
      </c>
    </row>
    <row r="56" customFormat="false" ht="15" hidden="false" customHeight="true" outlineLevel="0" collapsed="false">
      <c r="A56" s="13" t="s">
        <v>92</v>
      </c>
      <c r="B56" s="11" t="s">
        <v>15022</v>
      </c>
      <c r="C56" s="11" t="s">
        <v>15044</v>
      </c>
      <c r="D56" s="13" t="s">
        <v>15140</v>
      </c>
      <c r="E56" s="13" t="s">
        <v>15141</v>
      </c>
    </row>
    <row r="57" customFormat="false" ht="15" hidden="false" customHeight="true" outlineLevel="0" collapsed="false">
      <c r="A57" s="13" t="s">
        <v>92</v>
      </c>
      <c r="B57" s="11" t="s">
        <v>15022</v>
      </c>
      <c r="C57" s="11" t="s">
        <v>15046</v>
      </c>
      <c r="D57" s="13" t="s">
        <v>15142</v>
      </c>
      <c r="E57" s="13" t="s">
        <v>15143</v>
      </c>
    </row>
    <row r="58" customFormat="false" ht="15" hidden="false" customHeight="true" outlineLevel="0" collapsed="false">
      <c r="A58" s="13" t="s">
        <v>92</v>
      </c>
      <c r="B58" s="11" t="s">
        <v>15022</v>
      </c>
      <c r="C58" s="11" t="s">
        <v>15049</v>
      </c>
      <c r="D58" s="13" t="s">
        <v>15144</v>
      </c>
      <c r="E58" s="13" t="s">
        <v>15145</v>
      </c>
    </row>
    <row r="59" customFormat="false" ht="15" hidden="false" customHeight="true" outlineLevel="0" collapsed="false">
      <c r="A59" s="13" t="s">
        <v>92</v>
      </c>
      <c r="B59" s="11" t="s">
        <v>15022</v>
      </c>
      <c r="C59" s="11" t="s">
        <v>15051</v>
      </c>
      <c r="D59" s="13" t="s">
        <v>15146</v>
      </c>
      <c r="E59" s="13" t="s">
        <v>15147</v>
      </c>
    </row>
    <row r="60" customFormat="false" ht="15" hidden="false" customHeight="true" outlineLevel="0" collapsed="false">
      <c r="A60" s="13" t="s">
        <v>92</v>
      </c>
      <c r="B60" s="11" t="s">
        <v>15022</v>
      </c>
      <c r="C60" s="11" t="s">
        <v>15054</v>
      </c>
      <c r="D60" s="13" t="s">
        <v>15148</v>
      </c>
      <c r="E60" s="13" t="s">
        <v>15149</v>
      </c>
    </row>
    <row r="61" customFormat="false" ht="15" hidden="false" customHeight="true" outlineLevel="0" collapsed="false">
      <c r="A61" s="13" t="s">
        <v>92</v>
      </c>
      <c r="B61" s="11" t="s">
        <v>15022</v>
      </c>
      <c r="C61" s="11" t="s">
        <v>15057</v>
      </c>
      <c r="D61" s="13" t="s">
        <v>15150</v>
      </c>
      <c r="E61" s="13" t="s">
        <v>15151</v>
      </c>
    </row>
    <row r="62" customFormat="false" ht="15" hidden="false" customHeight="true" outlineLevel="0" collapsed="false">
      <c r="A62" s="13" t="s">
        <v>92</v>
      </c>
      <c r="B62" s="11" t="s">
        <v>15022</v>
      </c>
      <c r="C62" s="11" t="s">
        <v>15060</v>
      </c>
      <c r="D62" s="13" t="s">
        <v>15152</v>
      </c>
      <c r="E62" s="13" t="s">
        <v>15153</v>
      </c>
    </row>
    <row r="63" customFormat="false" ht="15" hidden="false" customHeight="true" outlineLevel="0" collapsed="false">
      <c r="A63" s="13" t="s">
        <v>92</v>
      </c>
      <c r="B63" s="11" t="s">
        <v>15022</v>
      </c>
      <c r="C63" s="13" t="s">
        <v>15063</v>
      </c>
      <c r="D63" s="13" t="s">
        <v>15154</v>
      </c>
      <c r="E63" s="13" t="s">
        <v>15155</v>
      </c>
    </row>
    <row r="64" customFormat="false" ht="15" hidden="false" customHeight="true" outlineLevel="0" collapsed="false">
      <c r="A64" s="13" t="s">
        <v>92</v>
      </c>
      <c r="B64" s="11" t="s">
        <v>15022</v>
      </c>
      <c r="C64" s="11" t="s">
        <v>15066</v>
      </c>
      <c r="D64" s="13" t="s">
        <v>15156</v>
      </c>
      <c r="E64" s="13" t="s">
        <v>15157</v>
      </c>
    </row>
    <row r="65" customFormat="false" ht="15" hidden="false" customHeight="true" outlineLevel="0" collapsed="false">
      <c r="A65" s="13" t="s">
        <v>92</v>
      </c>
      <c r="B65" s="11" t="s">
        <v>15022</v>
      </c>
      <c r="C65" s="11" t="s">
        <v>15069</v>
      </c>
      <c r="D65" s="13" t="s">
        <v>15158</v>
      </c>
      <c r="E65" s="13" t="s">
        <v>15159</v>
      </c>
    </row>
    <row r="66" customFormat="false" ht="15" hidden="false" customHeight="true" outlineLevel="0" collapsed="false">
      <c r="A66" s="13" t="s">
        <v>92</v>
      </c>
      <c r="B66" s="11" t="s">
        <v>15022</v>
      </c>
      <c r="C66" s="11" t="s">
        <v>15072</v>
      </c>
      <c r="D66" s="13" t="s">
        <v>15160</v>
      </c>
      <c r="E66" s="13" t="s">
        <v>15161</v>
      </c>
    </row>
    <row r="67" customFormat="false" ht="15" hidden="false" customHeight="true" outlineLevel="0" collapsed="false">
      <c r="A67" s="13" t="s">
        <v>92</v>
      </c>
      <c r="B67" s="11" t="s">
        <v>15022</v>
      </c>
      <c r="C67" s="11" t="s">
        <v>15075</v>
      </c>
      <c r="D67" s="13" t="s">
        <v>15162</v>
      </c>
      <c r="E67" s="13" t="s">
        <v>15163</v>
      </c>
    </row>
    <row r="68" customFormat="false" ht="15" hidden="false" customHeight="true" outlineLevel="0" collapsed="false">
      <c r="A68" s="13" t="s">
        <v>92</v>
      </c>
      <c r="B68" s="11" t="s">
        <v>15022</v>
      </c>
      <c r="C68" s="11" t="s">
        <v>15078</v>
      </c>
      <c r="D68" s="13" t="s">
        <v>15164</v>
      </c>
      <c r="E68" s="13" t="s">
        <v>15165</v>
      </c>
    </row>
    <row r="69" customFormat="false" ht="15" hidden="false" customHeight="true" outlineLevel="0" collapsed="false">
      <c r="A69" s="13" t="s">
        <v>92</v>
      </c>
      <c r="B69" s="11" t="s">
        <v>15022</v>
      </c>
      <c r="C69" s="11" t="s">
        <v>15081</v>
      </c>
      <c r="D69" s="13" t="s">
        <v>15166</v>
      </c>
      <c r="E69" s="13" t="s">
        <v>15167</v>
      </c>
    </row>
    <row r="70" customFormat="false" ht="15" hidden="false" customHeight="true" outlineLevel="0" collapsed="false">
      <c r="A70" s="13" t="s">
        <v>101</v>
      </c>
      <c r="B70" s="11" t="s">
        <v>15022</v>
      </c>
      <c r="C70" s="13" t="s">
        <v>15023</v>
      </c>
      <c r="D70" s="13" t="s">
        <v>15168</v>
      </c>
      <c r="E70" s="13" t="s">
        <v>15169</v>
      </c>
    </row>
    <row r="71" customFormat="false" ht="15" hidden="false" customHeight="true" outlineLevel="0" collapsed="false">
      <c r="A71" s="13" t="s">
        <v>101</v>
      </c>
      <c r="B71" s="11" t="s">
        <v>15022</v>
      </c>
      <c r="C71" s="13" t="s">
        <v>15026</v>
      </c>
      <c r="D71" s="13" t="s">
        <v>15170</v>
      </c>
      <c r="E71" s="13" t="s">
        <v>15171</v>
      </c>
    </row>
    <row r="72" customFormat="false" ht="15" hidden="false" customHeight="true" outlineLevel="0" collapsed="false">
      <c r="A72" s="13" t="s">
        <v>101</v>
      </c>
      <c r="B72" s="11" t="s">
        <v>15022</v>
      </c>
      <c r="C72" s="13" t="s">
        <v>15029</v>
      </c>
      <c r="D72" s="13" t="s">
        <v>15172</v>
      </c>
      <c r="E72" s="13" t="s">
        <v>15173</v>
      </c>
    </row>
    <row r="73" customFormat="false" ht="15" hidden="false" customHeight="true" outlineLevel="0" collapsed="false">
      <c r="A73" s="13" t="s">
        <v>101</v>
      </c>
      <c r="B73" s="11" t="s">
        <v>15022</v>
      </c>
      <c r="C73" s="11" t="s">
        <v>15032</v>
      </c>
      <c r="D73" s="13" t="s">
        <v>15174</v>
      </c>
      <c r="E73" s="13" t="s">
        <v>15175</v>
      </c>
    </row>
    <row r="74" customFormat="false" ht="15" hidden="false" customHeight="true" outlineLevel="0" collapsed="false">
      <c r="A74" s="13" t="s">
        <v>101</v>
      </c>
      <c r="B74" s="11" t="s">
        <v>15022</v>
      </c>
      <c r="C74" s="11" t="s">
        <v>15035</v>
      </c>
      <c r="D74" s="13" t="s">
        <v>15176</v>
      </c>
      <c r="E74" s="13" t="s">
        <v>15177</v>
      </c>
    </row>
    <row r="75" customFormat="false" ht="15" hidden="false" customHeight="true" outlineLevel="0" collapsed="false">
      <c r="A75" s="13" t="s">
        <v>101</v>
      </c>
      <c r="B75" s="11" t="s">
        <v>15022</v>
      </c>
      <c r="C75" s="11" t="s">
        <v>15038</v>
      </c>
      <c r="D75" s="13" t="s">
        <v>15178</v>
      </c>
      <c r="E75" s="13" t="s">
        <v>15179</v>
      </c>
    </row>
    <row r="76" customFormat="false" ht="15" hidden="false" customHeight="true" outlineLevel="0" collapsed="false">
      <c r="A76" s="13" t="s">
        <v>101</v>
      </c>
      <c r="B76" s="11" t="s">
        <v>15022</v>
      </c>
      <c r="C76" s="11" t="s">
        <v>15041</v>
      </c>
      <c r="D76" s="13" t="s">
        <v>15180</v>
      </c>
      <c r="E76" s="13" t="s">
        <v>15181</v>
      </c>
    </row>
    <row r="77" customFormat="false" ht="15" hidden="false" customHeight="true" outlineLevel="0" collapsed="false">
      <c r="A77" s="13" t="s">
        <v>101</v>
      </c>
      <c r="B77" s="11" t="s">
        <v>15022</v>
      </c>
      <c r="C77" s="11" t="s">
        <v>15044</v>
      </c>
      <c r="D77" s="13" t="s">
        <v>15182</v>
      </c>
      <c r="E77" s="13" t="s">
        <v>15183</v>
      </c>
    </row>
    <row r="78" customFormat="false" ht="15" hidden="false" customHeight="true" outlineLevel="0" collapsed="false">
      <c r="A78" s="13" t="s">
        <v>101</v>
      </c>
      <c r="B78" s="11" t="s">
        <v>15022</v>
      </c>
      <c r="C78" s="11" t="s">
        <v>15046</v>
      </c>
      <c r="D78" s="13" t="s">
        <v>15184</v>
      </c>
      <c r="E78" s="13" t="s">
        <v>15185</v>
      </c>
    </row>
    <row r="79" customFormat="false" ht="15" hidden="false" customHeight="true" outlineLevel="0" collapsed="false">
      <c r="A79" s="13" t="s">
        <v>101</v>
      </c>
      <c r="B79" s="11" t="s">
        <v>15022</v>
      </c>
      <c r="C79" s="11" t="s">
        <v>15049</v>
      </c>
      <c r="D79" s="13" t="s">
        <v>15186</v>
      </c>
      <c r="E79" s="13" t="s">
        <v>15187</v>
      </c>
    </row>
    <row r="80" customFormat="false" ht="15" hidden="false" customHeight="true" outlineLevel="0" collapsed="false">
      <c r="A80" s="13" t="s">
        <v>101</v>
      </c>
      <c r="B80" s="11" t="s">
        <v>15022</v>
      </c>
      <c r="C80" s="11" t="s">
        <v>15051</v>
      </c>
      <c r="D80" s="13" t="s">
        <v>11782</v>
      </c>
      <c r="E80" s="13" t="s">
        <v>15188</v>
      </c>
    </row>
    <row r="81" customFormat="false" ht="15" hidden="false" customHeight="true" outlineLevel="0" collapsed="false">
      <c r="A81" s="13" t="s">
        <v>101</v>
      </c>
      <c r="B81" s="11" t="s">
        <v>15022</v>
      </c>
      <c r="C81" s="11" t="s">
        <v>15054</v>
      </c>
      <c r="D81" s="13" t="s">
        <v>15189</v>
      </c>
      <c r="E81" s="13" t="s">
        <v>15190</v>
      </c>
    </row>
    <row r="82" customFormat="false" ht="15" hidden="false" customHeight="true" outlineLevel="0" collapsed="false">
      <c r="A82" s="13" t="s">
        <v>101</v>
      </c>
      <c r="B82" s="11" t="s">
        <v>15022</v>
      </c>
      <c r="C82" s="11" t="s">
        <v>15057</v>
      </c>
      <c r="D82" s="13" t="s">
        <v>15191</v>
      </c>
      <c r="E82" s="13" t="s">
        <v>15192</v>
      </c>
    </row>
    <row r="83" customFormat="false" ht="15" hidden="false" customHeight="true" outlineLevel="0" collapsed="false">
      <c r="A83" s="13" t="s">
        <v>101</v>
      </c>
      <c r="B83" s="11" t="s">
        <v>15022</v>
      </c>
      <c r="C83" s="11" t="s">
        <v>15060</v>
      </c>
      <c r="D83" s="13" t="s">
        <v>15193</v>
      </c>
      <c r="E83" s="13" t="s">
        <v>15194</v>
      </c>
    </row>
    <row r="84" customFormat="false" ht="15" hidden="false" customHeight="true" outlineLevel="0" collapsed="false">
      <c r="A84" s="13" t="s">
        <v>101</v>
      </c>
      <c r="B84" s="11" t="s">
        <v>15022</v>
      </c>
      <c r="C84" s="13" t="s">
        <v>15063</v>
      </c>
      <c r="D84" s="13" t="s">
        <v>15195</v>
      </c>
      <c r="E84" s="13" t="s">
        <v>15196</v>
      </c>
    </row>
    <row r="85" customFormat="false" ht="15" hidden="false" customHeight="true" outlineLevel="0" collapsed="false">
      <c r="A85" s="13" t="s">
        <v>101</v>
      </c>
      <c r="B85" s="11" t="s">
        <v>15022</v>
      </c>
      <c r="C85" s="11" t="s">
        <v>15066</v>
      </c>
      <c r="D85" s="13" t="s">
        <v>15197</v>
      </c>
      <c r="E85" s="13" t="s">
        <v>15198</v>
      </c>
    </row>
    <row r="86" customFormat="false" ht="15" hidden="false" customHeight="true" outlineLevel="0" collapsed="false">
      <c r="A86" s="13" t="s">
        <v>101</v>
      </c>
      <c r="B86" s="11" t="s">
        <v>15022</v>
      </c>
      <c r="C86" s="11" t="s">
        <v>15069</v>
      </c>
      <c r="D86" s="13" t="s">
        <v>15199</v>
      </c>
      <c r="E86" s="13" t="s">
        <v>15200</v>
      </c>
    </row>
    <row r="87" customFormat="false" ht="15" hidden="false" customHeight="true" outlineLevel="0" collapsed="false">
      <c r="A87" s="13" t="s">
        <v>101</v>
      </c>
      <c r="B87" s="11" t="s">
        <v>15022</v>
      </c>
      <c r="C87" s="11" t="s">
        <v>15072</v>
      </c>
      <c r="D87" s="13" t="s">
        <v>15201</v>
      </c>
      <c r="E87" s="13" t="s">
        <v>15202</v>
      </c>
    </row>
    <row r="88" customFormat="false" ht="15" hidden="false" customHeight="true" outlineLevel="0" collapsed="false">
      <c r="A88" s="13" t="s">
        <v>101</v>
      </c>
      <c r="B88" s="11" t="s">
        <v>15022</v>
      </c>
      <c r="C88" s="11" t="s">
        <v>15075</v>
      </c>
      <c r="D88" s="13" t="s">
        <v>15203</v>
      </c>
      <c r="E88" s="13" t="s">
        <v>15204</v>
      </c>
    </row>
    <row r="89" customFormat="false" ht="15" hidden="false" customHeight="true" outlineLevel="0" collapsed="false">
      <c r="A89" s="13" t="s">
        <v>101</v>
      </c>
      <c r="B89" s="11" t="s">
        <v>15022</v>
      </c>
      <c r="C89" s="11" t="s">
        <v>15078</v>
      </c>
      <c r="D89" s="13" t="s">
        <v>15205</v>
      </c>
      <c r="E89" s="13" t="s">
        <v>15206</v>
      </c>
    </row>
    <row r="90" customFormat="false" ht="15" hidden="false" customHeight="true" outlineLevel="0" collapsed="false">
      <c r="A90" s="13" t="s">
        <v>101</v>
      </c>
      <c r="B90" s="11" t="s">
        <v>15022</v>
      </c>
      <c r="C90" s="11" t="s">
        <v>15081</v>
      </c>
      <c r="D90" s="13" t="s">
        <v>15207</v>
      </c>
      <c r="E90" s="13" t="s">
        <v>15208</v>
      </c>
    </row>
    <row r="91" customFormat="false" ht="15" hidden="false" customHeight="true" outlineLevel="0" collapsed="false">
      <c r="A91" s="13" t="s">
        <v>110</v>
      </c>
      <c r="B91" s="11" t="s">
        <v>15022</v>
      </c>
      <c r="C91" s="13" t="s">
        <v>15023</v>
      </c>
      <c r="D91" s="13" t="s">
        <v>15209</v>
      </c>
      <c r="E91" s="13" t="s">
        <v>15210</v>
      </c>
    </row>
    <row r="92" customFormat="false" ht="15" hidden="false" customHeight="true" outlineLevel="0" collapsed="false">
      <c r="A92" s="13" t="s">
        <v>110</v>
      </c>
      <c r="B92" s="11" t="s">
        <v>15022</v>
      </c>
      <c r="C92" s="13" t="s">
        <v>15026</v>
      </c>
      <c r="D92" s="13" t="s">
        <v>15211</v>
      </c>
      <c r="E92" s="13" t="s">
        <v>15212</v>
      </c>
    </row>
    <row r="93" customFormat="false" ht="15" hidden="false" customHeight="true" outlineLevel="0" collapsed="false">
      <c r="A93" s="13" t="s">
        <v>110</v>
      </c>
      <c r="B93" s="11" t="s">
        <v>15022</v>
      </c>
      <c r="C93" s="13" t="s">
        <v>15029</v>
      </c>
      <c r="D93" s="13" t="s">
        <v>15213</v>
      </c>
      <c r="E93" s="13" t="s">
        <v>15214</v>
      </c>
    </row>
    <row r="94" customFormat="false" ht="15" hidden="false" customHeight="true" outlineLevel="0" collapsed="false">
      <c r="A94" s="13" t="s">
        <v>110</v>
      </c>
      <c r="B94" s="11" t="s">
        <v>15022</v>
      </c>
      <c r="C94" s="11" t="s">
        <v>15032</v>
      </c>
      <c r="D94" s="13" t="s">
        <v>15215</v>
      </c>
      <c r="E94" s="13" t="s">
        <v>15216</v>
      </c>
    </row>
    <row r="95" customFormat="false" ht="15" hidden="false" customHeight="true" outlineLevel="0" collapsed="false">
      <c r="A95" s="13" t="s">
        <v>110</v>
      </c>
      <c r="B95" s="11" t="s">
        <v>15022</v>
      </c>
      <c r="C95" s="11" t="s">
        <v>15035</v>
      </c>
      <c r="D95" s="13" t="s">
        <v>15217</v>
      </c>
      <c r="E95" s="13" t="s">
        <v>15218</v>
      </c>
    </row>
    <row r="96" customFormat="false" ht="15" hidden="false" customHeight="true" outlineLevel="0" collapsed="false">
      <c r="A96" s="13" t="s">
        <v>110</v>
      </c>
      <c r="B96" s="11" t="s">
        <v>15022</v>
      </c>
      <c r="C96" s="11" t="s">
        <v>15038</v>
      </c>
      <c r="D96" s="13" t="s">
        <v>15219</v>
      </c>
      <c r="E96" s="13" t="s">
        <v>15220</v>
      </c>
    </row>
    <row r="97" customFormat="false" ht="15" hidden="false" customHeight="true" outlineLevel="0" collapsed="false">
      <c r="A97" s="13" t="s">
        <v>110</v>
      </c>
      <c r="B97" s="11" t="s">
        <v>15022</v>
      </c>
      <c r="C97" s="11" t="s">
        <v>15041</v>
      </c>
      <c r="D97" s="13" t="s">
        <v>15221</v>
      </c>
      <c r="E97" s="13" t="s">
        <v>15222</v>
      </c>
    </row>
    <row r="98" customFormat="false" ht="15" hidden="false" customHeight="true" outlineLevel="0" collapsed="false">
      <c r="A98" s="13" t="s">
        <v>110</v>
      </c>
      <c r="B98" s="11" t="s">
        <v>15022</v>
      </c>
      <c r="C98" s="11" t="s">
        <v>15044</v>
      </c>
      <c r="D98" s="13" t="s">
        <v>15223</v>
      </c>
      <c r="E98" s="13" t="s">
        <v>15224</v>
      </c>
    </row>
    <row r="99" customFormat="false" ht="15" hidden="false" customHeight="true" outlineLevel="0" collapsed="false">
      <c r="A99" s="13" t="s">
        <v>110</v>
      </c>
      <c r="B99" s="11" t="s">
        <v>15022</v>
      </c>
      <c r="C99" s="11" t="s">
        <v>15046</v>
      </c>
      <c r="D99" s="13" t="s">
        <v>15225</v>
      </c>
      <c r="E99" s="13" t="s">
        <v>15226</v>
      </c>
    </row>
    <row r="100" customFormat="false" ht="15" hidden="false" customHeight="true" outlineLevel="0" collapsed="false">
      <c r="A100" s="13" t="s">
        <v>110</v>
      </c>
      <c r="B100" s="11" t="s">
        <v>15022</v>
      </c>
      <c r="C100" s="11" t="s">
        <v>15049</v>
      </c>
      <c r="D100" s="13" t="s">
        <v>15227</v>
      </c>
      <c r="E100" s="13" t="s">
        <v>15228</v>
      </c>
    </row>
    <row r="101" customFormat="false" ht="15" hidden="false" customHeight="true" outlineLevel="0" collapsed="false">
      <c r="A101" s="13" t="s">
        <v>110</v>
      </c>
      <c r="B101" s="11" t="s">
        <v>15022</v>
      </c>
      <c r="C101" s="11" t="s">
        <v>15051</v>
      </c>
      <c r="D101" s="13" t="s">
        <v>7352</v>
      </c>
      <c r="E101" s="13" t="s">
        <v>15229</v>
      </c>
    </row>
    <row r="102" customFormat="false" ht="15" hidden="false" customHeight="true" outlineLevel="0" collapsed="false">
      <c r="A102" s="13" t="s">
        <v>110</v>
      </c>
      <c r="B102" s="11" t="s">
        <v>15022</v>
      </c>
      <c r="C102" s="11" t="s">
        <v>15054</v>
      </c>
      <c r="D102" s="13" t="s">
        <v>15230</v>
      </c>
      <c r="E102" s="13" t="s">
        <v>15231</v>
      </c>
    </row>
    <row r="103" customFormat="false" ht="15" hidden="false" customHeight="true" outlineLevel="0" collapsed="false">
      <c r="A103" s="13" t="s">
        <v>110</v>
      </c>
      <c r="B103" s="11" t="s">
        <v>15022</v>
      </c>
      <c r="C103" s="11" t="s">
        <v>15057</v>
      </c>
      <c r="D103" s="13" t="s">
        <v>15232</v>
      </c>
      <c r="E103" s="13" t="s">
        <v>15233</v>
      </c>
    </row>
    <row r="104" customFormat="false" ht="15" hidden="false" customHeight="true" outlineLevel="0" collapsed="false">
      <c r="A104" s="13" t="s">
        <v>110</v>
      </c>
      <c r="B104" s="11" t="s">
        <v>15022</v>
      </c>
      <c r="C104" s="11" t="s">
        <v>15060</v>
      </c>
      <c r="D104" s="13" t="s">
        <v>15234</v>
      </c>
      <c r="E104" s="13" t="s">
        <v>15235</v>
      </c>
    </row>
    <row r="105" customFormat="false" ht="15" hidden="false" customHeight="true" outlineLevel="0" collapsed="false">
      <c r="A105" s="13" t="s">
        <v>110</v>
      </c>
      <c r="B105" s="11" t="s">
        <v>15022</v>
      </c>
      <c r="C105" s="13" t="s">
        <v>15063</v>
      </c>
      <c r="D105" s="13" t="s">
        <v>15236</v>
      </c>
      <c r="E105" s="13" t="s">
        <v>15237</v>
      </c>
    </row>
    <row r="106" customFormat="false" ht="15" hidden="false" customHeight="true" outlineLevel="0" collapsed="false">
      <c r="A106" s="13" t="s">
        <v>110</v>
      </c>
      <c r="B106" s="11" t="s">
        <v>15022</v>
      </c>
      <c r="C106" s="11" t="s">
        <v>15066</v>
      </c>
      <c r="D106" s="13" t="s">
        <v>15238</v>
      </c>
      <c r="E106" s="13" t="s">
        <v>15239</v>
      </c>
    </row>
    <row r="107" customFormat="false" ht="15" hidden="false" customHeight="true" outlineLevel="0" collapsed="false">
      <c r="A107" s="13" t="s">
        <v>110</v>
      </c>
      <c r="B107" s="11" t="s">
        <v>15022</v>
      </c>
      <c r="C107" s="11" t="s">
        <v>15069</v>
      </c>
      <c r="D107" s="13" t="s">
        <v>15240</v>
      </c>
      <c r="E107" s="13" t="s">
        <v>15241</v>
      </c>
    </row>
    <row r="108" customFormat="false" ht="15" hidden="false" customHeight="true" outlineLevel="0" collapsed="false">
      <c r="A108" s="13" t="s">
        <v>110</v>
      </c>
      <c r="B108" s="11" t="s">
        <v>15022</v>
      </c>
      <c r="C108" s="11" t="s">
        <v>15072</v>
      </c>
      <c r="D108" s="13" t="s">
        <v>15242</v>
      </c>
      <c r="E108" s="13" t="s">
        <v>15243</v>
      </c>
    </row>
    <row r="109" customFormat="false" ht="15" hidden="false" customHeight="true" outlineLevel="0" collapsed="false">
      <c r="A109" s="13" t="s">
        <v>110</v>
      </c>
      <c r="B109" s="11" t="s">
        <v>15022</v>
      </c>
      <c r="C109" s="11" t="s">
        <v>15075</v>
      </c>
      <c r="D109" s="13" t="s">
        <v>15244</v>
      </c>
      <c r="E109" s="13" t="s">
        <v>15245</v>
      </c>
    </row>
    <row r="110" customFormat="false" ht="15" hidden="false" customHeight="true" outlineLevel="0" collapsed="false">
      <c r="A110" s="13" t="s">
        <v>110</v>
      </c>
      <c r="B110" s="11" t="s">
        <v>15022</v>
      </c>
      <c r="C110" s="11" t="s">
        <v>15078</v>
      </c>
      <c r="D110" s="13" t="s">
        <v>15246</v>
      </c>
      <c r="E110" s="13" t="s">
        <v>15247</v>
      </c>
    </row>
    <row r="111" customFormat="false" ht="15" hidden="false" customHeight="true" outlineLevel="0" collapsed="false">
      <c r="A111" s="13" t="s">
        <v>110</v>
      </c>
      <c r="B111" s="11" t="s">
        <v>15022</v>
      </c>
      <c r="C111" s="11" t="s">
        <v>15081</v>
      </c>
      <c r="D111" s="13" t="s">
        <v>15248</v>
      </c>
      <c r="E111" s="13" t="s">
        <v>15249</v>
      </c>
    </row>
    <row r="112" customFormat="false" ht="15" hidden="false" customHeight="true" outlineLevel="0" collapsed="false">
      <c r="A112" s="13" t="s">
        <v>119</v>
      </c>
      <c r="B112" s="11" t="s">
        <v>15022</v>
      </c>
      <c r="C112" s="13" t="s">
        <v>15023</v>
      </c>
      <c r="D112" s="13" t="s">
        <v>15250</v>
      </c>
      <c r="E112" s="13" t="s">
        <v>15251</v>
      </c>
    </row>
    <row r="113" customFormat="false" ht="15" hidden="false" customHeight="true" outlineLevel="0" collapsed="false">
      <c r="A113" s="13" t="s">
        <v>119</v>
      </c>
      <c r="B113" s="11" t="s">
        <v>15022</v>
      </c>
      <c r="C113" s="13" t="s">
        <v>15026</v>
      </c>
      <c r="D113" s="13" t="s">
        <v>15252</v>
      </c>
      <c r="E113" s="13" t="s">
        <v>15253</v>
      </c>
    </row>
    <row r="114" customFormat="false" ht="15" hidden="false" customHeight="true" outlineLevel="0" collapsed="false">
      <c r="A114" s="13" t="s">
        <v>119</v>
      </c>
      <c r="B114" s="11" t="s">
        <v>15022</v>
      </c>
      <c r="C114" s="13" t="s">
        <v>15029</v>
      </c>
      <c r="D114" s="13" t="s">
        <v>15254</v>
      </c>
      <c r="E114" s="13" t="s">
        <v>15255</v>
      </c>
    </row>
    <row r="115" customFormat="false" ht="15" hidden="false" customHeight="true" outlineLevel="0" collapsed="false">
      <c r="A115" s="13" t="s">
        <v>119</v>
      </c>
      <c r="B115" s="11" t="s">
        <v>15022</v>
      </c>
      <c r="C115" s="11" t="s">
        <v>15032</v>
      </c>
      <c r="D115" s="13" t="s">
        <v>15256</v>
      </c>
      <c r="E115" s="13" t="s">
        <v>15257</v>
      </c>
    </row>
    <row r="116" customFormat="false" ht="15" hidden="false" customHeight="true" outlineLevel="0" collapsed="false">
      <c r="A116" s="13" t="s">
        <v>119</v>
      </c>
      <c r="B116" s="11" t="s">
        <v>15022</v>
      </c>
      <c r="C116" s="11" t="s">
        <v>15035</v>
      </c>
      <c r="D116" s="13" t="s">
        <v>15258</v>
      </c>
      <c r="E116" s="13" t="s">
        <v>15259</v>
      </c>
    </row>
    <row r="117" customFormat="false" ht="15" hidden="false" customHeight="true" outlineLevel="0" collapsed="false">
      <c r="A117" s="13" t="s">
        <v>119</v>
      </c>
      <c r="B117" s="11" t="s">
        <v>15022</v>
      </c>
      <c r="C117" s="11" t="s">
        <v>15038</v>
      </c>
      <c r="D117" s="13" t="s">
        <v>15260</v>
      </c>
      <c r="E117" s="13" t="s">
        <v>15261</v>
      </c>
    </row>
    <row r="118" customFormat="false" ht="15" hidden="false" customHeight="true" outlineLevel="0" collapsed="false">
      <c r="A118" s="13" t="s">
        <v>119</v>
      </c>
      <c r="B118" s="11" t="s">
        <v>15022</v>
      </c>
      <c r="C118" s="11" t="s">
        <v>15041</v>
      </c>
      <c r="D118" s="13" t="s">
        <v>15262</v>
      </c>
      <c r="E118" s="13" t="s">
        <v>15263</v>
      </c>
    </row>
    <row r="119" customFormat="false" ht="15" hidden="false" customHeight="true" outlineLevel="0" collapsed="false">
      <c r="A119" s="13" t="s">
        <v>119</v>
      </c>
      <c r="B119" s="11" t="s">
        <v>15022</v>
      </c>
      <c r="C119" s="11" t="s">
        <v>15044</v>
      </c>
      <c r="D119" s="13" t="s">
        <v>15264</v>
      </c>
      <c r="E119" s="13" t="s">
        <v>15265</v>
      </c>
    </row>
    <row r="120" customFormat="false" ht="15" hidden="false" customHeight="true" outlineLevel="0" collapsed="false">
      <c r="A120" s="13" t="s">
        <v>119</v>
      </c>
      <c r="B120" s="11" t="s">
        <v>15022</v>
      </c>
      <c r="C120" s="11" t="s">
        <v>15046</v>
      </c>
      <c r="D120" s="13" t="s">
        <v>15266</v>
      </c>
      <c r="E120" s="13" t="s">
        <v>15267</v>
      </c>
    </row>
    <row r="121" customFormat="false" ht="15" hidden="false" customHeight="true" outlineLevel="0" collapsed="false">
      <c r="A121" s="13" t="s">
        <v>119</v>
      </c>
      <c r="B121" s="11" t="s">
        <v>15022</v>
      </c>
      <c r="C121" s="11" t="s">
        <v>15049</v>
      </c>
      <c r="D121" s="13" t="s">
        <v>15268</v>
      </c>
      <c r="E121" s="13" t="s">
        <v>15269</v>
      </c>
    </row>
    <row r="122" customFormat="false" ht="15" hidden="false" customHeight="true" outlineLevel="0" collapsed="false">
      <c r="A122" s="13" t="s">
        <v>119</v>
      </c>
      <c r="B122" s="11" t="s">
        <v>15022</v>
      </c>
      <c r="C122" s="11" t="s">
        <v>15051</v>
      </c>
      <c r="D122" s="13" t="s">
        <v>15270</v>
      </c>
      <c r="E122" s="13" t="s">
        <v>15271</v>
      </c>
    </row>
    <row r="123" customFormat="false" ht="15" hidden="false" customHeight="true" outlineLevel="0" collapsed="false">
      <c r="A123" s="13" t="s">
        <v>119</v>
      </c>
      <c r="B123" s="11" t="s">
        <v>15022</v>
      </c>
      <c r="C123" s="11" t="s">
        <v>15054</v>
      </c>
      <c r="D123" s="13" t="s">
        <v>15272</v>
      </c>
      <c r="E123" s="13" t="s">
        <v>15273</v>
      </c>
    </row>
    <row r="124" customFormat="false" ht="15" hidden="false" customHeight="true" outlineLevel="0" collapsed="false">
      <c r="A124" s="13" t="s">
        <v>119</v>
      </c>
      <c r="B124" s="11" t="s">
        <v>15022</v>
      </c>
      <c r="C124" s="11" t="s">
        <v>15057</v>
      </c>
      <c r="D124" s="13" t="s">
        <v>15274</v>
      </c>
      <c r="E124" s="13" t="s">
        <v>15275</v>
      </c>
    </row>
    <row r="125" customFormat="false" ht="15" hidden="false" customHeight="true" outlineLevel="0" collapsed="false">
      <c r="A125" s="13" t="s">
        <v>119</v>
      </c>
      <c r="B125" s="11" t="s">
        <v>15022</v>
      </c>
      <c r="C125" s="11" t="s">
        <v>15060</v>
      </c>
      <c r="D125" s="13" t="s">
        <v>15276</v>
      </c>
      <c r="E125" s="13" t="s">
        <v>15277</v>
      </c>
    </row>
    <row r="126" customFormat="false" ht="15" hidden="false" customHeight="true" outlineLevel="0" collapsed="false">
      <c r="A126" s="13" t="s">
        <v>119</v>
      </c>
      <c r="B126" s="11" t="s">
        <v>15022</v>
      </c>
      <c r="C126" s="13" t="s">
        <v>15063</v>
      </c>
      <c r="D126" s="13" t="s">
        <v>15278</v>
      </c>
      <c r="E126" s="13" t="s">
        <v>15279</v>
      </c>
    </row>
    <row r="127" customFormat="false" ht="15" hidden="false" customHeight="true" outlineLevel="0" collapsed="false">
      <c r="A127" s="13" t="s">
        <v>119</v>
      </c>
      <c r="B127" s="11" t="s">
        <v>15022</v>
      </c>
      <c r="C127" s="11" t="s">
        <v>15066</v>
      </c>
      <c r="D127" s="13" t="s">
        <v>15280</v>
      </c>
      <c r="E127" s="13" t="s">
        <v>15281</v>
      </c>
    </row>
    <row r="128" customFormat="false" ht="15" hidden="false" customHeight="true" outlineLevel="0" collapsed="false">
      <c r="A128" s="13" t="s">
        <v>119</v>
      </c>
      <c r="B128" s="11" t="s">
        <v>15022</v>
      </c>
      <c r="C128" s="11" t="s">
        <v>15069</v>
      </c>
      <c r="D128" s="13" t="s">
        <v>15282</v>
      </c>
      <c r="E128" s="13" t="s">
        <v>15283</v>
      </c>
    </row>
    <row r="129" customFormat="false" ht="15" hidden="false" customHeight="true" outlineLevel="0" collapsed="false">
      <c r="A129" s="13" t="s">
        <v>119</v>
      </c>
      <c r="B129" s="11" t="s">
        <v>15022</v>
      </c>
      <c r="C129" s="11" t="s">
        <v>15072</v>
      </c>
      <c r="D129" s="13" t="s">
        <v>15284</v>
      </c>
      <c r="E129" s="13" t="s">
        <v>15285</v>
      </c>
    </row>
    <row r="130" customFormat="false" ht="15" hidden="false" customHeight="true" outlineLevel="0" collapsed="false">
      <c r="A130" s="13" t="s">
        <v>119</v>
      </c>
      <c r="B130" s="11" t="s">
        <v>15022</v>
      </c>
      <c r="C130" s="11" t="s">
        <v>15075</v>
      </c>
      <c r="D130" s="13" t="s">
        <v>15286</v>
      </c>
      <c r="E130" s="13" t="s">
        <v>15287</v>
      </c>
    </row>
    <row r="131" customFormat="false" ht="15" hidden="false" customHeight="true" outlineLevel="0" collapsed="false">
      <c r="A131" s="13" t="s">
        <v>119</v>
      </c>
      <c r="B131" s="11" t="s">
        <v>15022</v>
      </c>
      <c r="C131" s="11" t="s">
        <v>15078</v>
      </c>
      <c r="D131" s="13" t="s">
        <v>15288</v>
      </c>
      <c r="E131" s="13" t="s">
        <v>15289</v>
      </c>
    </row>
    <row r="132" customFormat="false" ht="15" hidden="false" customHeight="true" outlineLevel="0" collapsed="false">
      <c r="A132" s="13" t="s">
        <v>119</v>
      </c>
      <c r="B132" s="11" t="s">
        <v>15022</v>
      </c>
      <c r="C132" s="11" t="s">
        <v>15081</v>
      </c>
      <c r="D132" s="13" t="s">
        <v>15290</v>
      </c>
      <c r="E132" s="13" t="s">
        <v>15291</v>
      </c>
    </row>
    <row r="133" customFormat="false" ht="15" hidden="false" customHeight="true" outlineLevel="0" collapsed="false">
      <c r="A133" s="13" t="s">
        <v>128</v>
      </c>
      <c r="B133" s="11" t="s">
        <v>15022</v>
      </c>
      <c r="C133" s="13" t="s">
        <v>15023</v>
      </c>
      <c r="D133" s="13" t="s">
        <v>15292</v>
      </c>
      <c r="E133" s="13" t="s">
        <v>15293</v>
      </c>
    </row>
    <row r="134" customFormat="false" ht="15" hidden="false" customHeight="true" outlineLevel="0" collapsed="false">
      <c r="A134" s="13" t="s">
        <v>128</v>
      </c>
      <c r="B134" s="11" t="s">
        <v>15022</v>
      </c>
      <c r="C134" s="13" t="s">
        <v>15026</v>
      </c>
      <c r="D134" s="13" t="s">
        <v>15294</v>
      </c>
      <c r="E134" s="13" t="s">
        <v>15295</v>
      </c>
    </row>
    <row r="135" customFormat="false" ht="15" hidden="false" customHeight="true" outlineLevel="0" collapsed="false">
      <c r="A135" s="13" t="s">
        <v>128</v>
      </c>
      <c r="B135" s="11" t="s">
        <v>15022</v>
      </c>
      <c r="C135" s="13" t="s">
        <v>15029</v>
      </c>
      <c r="D135" s="13" t="s">
        <v>15296</v>
      </c>
      <c r="E135" s="13" t="s">
        <v>15297</v>
      </c>
    </row>
    <row r="136" customFormat="false" ht="15" hidden="false" customHeight="true" outlineLevel="0" collapsed="false">
      <c r="A136" s="13" t="s">
        <v>128</v>
      </c>
      <c r="B136" s="11" t="s">
        <v>15022</v>
      </c>
      <c r="C136" s="11" t="s">
        <v>15032</v>
      </c>
      <c r="D136" s="13" t="s">
        <v>15298</v>
      </c>
      <c r="E136" s="13" t="s">
        <v>15299</v>
      </c>
    </row>
    <row r="137" customFormat="false" ht="15" hidden="false" customHeight="true" outlineLevel="0" collapsed="false">
      <c r="A137" s="13" t="s">
        <v>128</v>
      </c>
      <c r="B137" s="11" t="s">
        <v>15022</v>
      </c>
      <c r="C137" s="11" t="s">
        <v>15035</v>
      </c>
      <c r="D137" s="13" t="s">
        <v>15300</v>
      </c>
      <c r="E137" s="13" t="s">
        <v>15301</v>
      </c>
    </row>
    <row r="138" customFormat="false" ht="15" hidden="false" customHeight="true" outlineLevel="0" collapsed="false">
      <c r="A138" s="13" t="s">
        <v>128</v>
      </c>
      <c r="B138" s="11" t="s">
        <v>15022</v>
      </c>
      <c r="C138" s="11" t="s">
        <v>15038</v>
      </c>
      <c r="D138" s="13" t="s">
        <v>15302</v>
      </c>
      <c r="E138" s="13" t="s">
        <v>15303</v>
      </c>
    </row>
    <row r="139" customFormat="false" ht="15" hidden="false" customHeight="true" outlineLevel="0" collapsed="false">
      <c r="A139" s="13" t="s">
        <v>128</v>
      </c>
      <c r="B139" s="11" t="s">
        <v>15022</v>
      </c>
      <c r="C139" s="11" t="s">
        <v>15041</v>
      </c>
      <c r="D139" s="13" t="s">
        <v>15304</v>
      </c>
      <c r="E139" s="13" t="s">
        <v>15305</v>
      </c>
    </row>
    <row r="140" customFormat="false" ht="15" hidden="false" customHeight="true" outlineLevel="0" collapsed="false">
      <c r="A140" s="13" t="s">
        <v>128</v>
      </c>
      <c r="B140" s="11" t="s">
        <v>15022</v>
      </c>
      <c r="C140" s="11" t="s">
        <v>15044</v>
      </c>
      <c r="D140" s="13" t="s">
        <v>15306</v>
      </c>
      <c r="E140" s="13" t="s">
        <v>15307</v>
      </c>
    </row>
    <row r="141" customFormat="false" ht="15" hidden="false" customHeight="true" outlineLevel="0" collapsed="false">
      <c r="A141" s="13" t="s">
        <v>128</v>
      </c>
      <c r="B141" s="11" t="s">
        <v>15022</v>
      </c>
      <c r="C141" s="11" t="s">
        <v>15046</v>
      </c>
      <c r="D141" s="13" t="s">
        <v>15308</v>
      </c>
      <c r="E141" s="13" t="s">
        <v>15309</v>
      </c>
    </row>
    <row r="142" customFormat="false" ht="15" hidden="false" customHeight="true" outlineLevel="0" collapsed="false">
      <c r="A142" s="13" t="s">
        <v>128</v>
      </c>
      <c r="B142" s="11" t="s">
        <v>15022</v>
      </c>
      <c r="C142" s="11" t="s">
        <v>15049</v>
      </c>
      <c r="D142" s="13" t="s">
        <v>15310</v>
      </c>
      <c r="E142" s="13" t="s">
        <v>15311</v>
      </c>
    </row>
    <row r="143" customFormat="false" ht="15" hidden="false" customHeight="true" outlineLevel="0" collapsed="false">
      <c r="A143" s="13" t="s">
        <v>128</v>
      </c>
      <c r="B143" s="11" t="s">
        <v>15022</v>
      </c>
      <c r="C143" s="11" t="s">
        <v>15051</v>
      </c>
      <c r="D143" s="13" t="s">
        <v>15312</v>
      </c>
      <c r="E143" s="13" t="s">
        <v>15313</v>
      </c>
    </row>
    <row r="144" customFormat="false" ht="15" hidden="false" customHeight="true" outlineLevel="0" collapsed="false">
      <c r="A144" s="13" t="s">
        <v>128</v>
      </c>
      <c r="B144" s="11" t="s">
        <v>15022</v>
      </c>
      <c r="C144" s="11" t="s">
        <v>15054</v>
      </c>
      <c r="D144" s="13" t="s">
        <v>15314</v>
      </c>
      <c r="E144" s="13" t="s">
        <v>15315</v>
      </c>
    </row>
    <row r="145" customFormat="false" ht="15" hidden="false" customHeight="true" outlineLevel="0" collapsed="false">
      <c r="A145" s="13" t="s">
        <v>128</v>
      </c>
      <c r="B145" s="11" t="s">
        <v>15022</v>
      </c>
      <c r="C145" s="11" t="s">
        <v>15057</v>
      </c>
      <c r="D145" s="13" t="s">
        <v>15316</v>
      </c>
      <c r="E145" s="13" t="s">
        <v>15317</v>
      </c>
    </row>
    <row r="146" customFormat="false" ht="15" hidden="false" customHeight="true" outlineLevel="0" collapsed="false">
      <c r="A146" s="13" t="s">
        <v>128</v>
      </c>
      <c r="B146" s="11" t="s">
        <v>15022</v>
      </c>
      <c r="C146" s="11" t="s">
        <v>15060</v>
      </c>
      <c r="D146" s="13" t="s">
        <v>15318</v>
      </c>
      <c r="E146" s="13" t="s">
        <v>15319</v>
      </c>
    </row>
    <row r="147" customFormat="false" ht="15" hidden="false" customHeight="true" outlineLevel="0" collapsed="false">
      <c r="A147" s="13" t="s">
        <v>128</v>
      </c>
      <c r="B147" s="11" t="s">
        <v>15022</v>
      </c>
      <c r="C147" s="13" t="s">
        <v>15063</v>
      </c>
      <c r="D147" s="13" t="s">
        <v>15320</v>
      </c>
      <c r="E147" s="13" t="s">
        <v>15321</v>
      </c>
    </row>
    <row r="148" customFormat="false" ht="15" hidden="false" customHeight="true" outlineLevel="0" collapsed="false">
      <c r="A148" s="13" t="s">
        <v>128</v>
      </c>
      <c r="B148" s="11" t="s">
        <v>15022</v>
      </c>
      <c r="C148" s="11" t="s">
        <v>15066</v>
      </c>
      <c r="D148" s="13" t="s">
        <v>15322</v>
      </c>
      <c r="E148" s="13" t="s">
        <v>15323</v>
      </c>
    </row>
    <row r="149" customFormat="false" ht="15" hidden="false" customHeight="true" outlineLevel="0" collapsed="false">
      <c r="A149" s="13" t="s">
        <v>128</v>
      </c>
      <c r="B149" s="11" t="s">
        <v>15022</v>
      </c>
      <c r="C149" s="11" t="s">
        <v>15069</v>
      </c>
      <c r="D149" s="13" t="s">
        <v>15324</v>
      </c>
      <c r="E149" s="13" t="s">
        <v>15325</v>
      </c>
    </row>
    <row r="150" customFormat="false" ht="15" hidden="false" customHeight="true" outlineLevel="0" collapsed="false">
      <c r="A150" s="13" t="s">
        <v>128</v>
      </c>
      <c r="B150" s="11" t="s">
        <v>15022</v>
      </c>
      <c r="C150" s="11" t="s">
        <v>15072</v>
      </c>
      <c r="D150" s="13" t="s">
        <v>15326</v>
      </c>
      <c r="E150" s="13" t="s">
        <v>15327</v>
      </c>
    </row>
    <row r="151" customFormat="false" ht="15" hidden="false" customHeight="true" outlineLevel="0" collapsed="false">
      <c r="A151" s="13" t="s">
        <v>128</v>
      </c>
      <c r="B151" s="11" t="s">
        <v>15022</v>
      </c>
      <c r="C151" s="11" t="s">
        <v>15075</v>
      </c>
      <c r="D151" s="13" t="s">
        <v>15328</v>
      </c>
      <c r="E151" s="13" t="s">
        <v>15329</v>
      </c>
    </row>
    <row r="152" customFormat="false" ht="15" hidden="false" customHeight="true" outlineLevel="0" collapsed="false">
      <c r="A152" s="13" t="s">
        <v>128</v>
      </c>
      <c r="B152" s="11" t="s">
        <v>15022</v>
      </c>
      <c r="C152" s="11" t="s">
        <v>15078</v>
      </c>
      <c r="D152" s="13" t="s">
        <v>15330</v>
      </c>
      <c r="E152" s="13" t="s">
        <v>15331</v>
      </c>
    </row>
    <row r="153" customFormat="false" ht="15" hidden="false" customHeight="true" outlineLevel="0" collapsed="false">
      <c r="A153" s="13" t="s">
        <v>128</v>
      </c>
      <c r="B153" s="11" t="s">
        <v>15022</v>
      </c>
      <c r="C153" s="11" t="s">
        <v>15081</v>
      </c>
      <c r="D153" s="13" t="s">
        <v>15332</v>
      </c>
      <c r="E153" s="13" t="s">
        <v>15333</v>
      </c>
    </row>
    <row r="154" customFormat="false" ht="15" hidden="false" customHeight="true" outlineLevel="0" collapsed="false">
      <c r="A154" s="13" t="s">
        <v>137</v>
      </c>
      <c r="B154" s="11" t="s">
        <v>15022</v>
      </c>
      <c r="C154" s="13" t="s">
        <v>15023</v>
      </c>
      <c r="D154" s="13" t="s">
        <v>15334</v>
      </c>
      <c r="E154" s="13" t="s">
        <v>15335</v>
      </c>
    </row>
    <row r="155" customFormat="false" ht="15" hidden="false" customHeight="true" outlineLevel="0" collapsed="false">
      <c r="A155" s="13" t="s">
        <v>137</v>
      </c>
      <c r="B155" s="11" t="s">
        <v>15022</v>
      </c>
      <c r="C155" s="13" t="s">
        <v>15026</v>
      </c>
      <c r="D155" s="13" t="s">
        <v>15336</v>
      </c>
      <c r="E155" s="13" t="s">
        <v>15337</v>
      </c>
    </row>
    <row r="156" customFormat="false" ht="15" hidden="false" customHeight="true" outlineLevel="0" collapsed="false">
      <c r="A156" s="13" t="s">
        <v>137</v>
      </c>
      <c r="B156" s="11" t="s">
        <v>15022</v>
      </c>
      <c r="C156" s="13" t="s">
        <v>15029</v>
      </c>
      <c r="D156" s="13" t="s">
        <v>15338</v>
      </c>
      <c r="E156" s="13" t="s">
        <v>15339</v>
      </c>
    </row>
    <row r="157" customFormat="false" ht="15" hidden="false" customHeight="true" outlineLevel="0" collapsed="false">
      <c r="A157" s="13" t="s">
        <v>137</v>
      </c>
      <c r="B157" s="11" t="s">
        <v>15022</v>
      </c>
      <c r="C157" s="11" t="s">
        <v>15032</v>
      </c>
      <c r="D157" s="13" t="s">
        <v>15340</v>
      </c>
      <c r="E157" s="13" t="s">
        <v>15341</v>
      </c>
    </row>
    <row r="158" customFormat="false" ht="15" hidden="false" customHeight="true" outlineLevel="0" collapsed="false">
      <c r="A158" s="13" t="s">
        <v>137</v>
      </c>
      <c r="B158" s="11" t="s">
        <v>15022</v>
      </c>
      <c r="C158" s="11" t="s">
        <v>15035</v>
      </c>
      <c r="D158" s="13" t="s">
        <v>15342</v>
      </c>
      <c r="E158" s="13" t="s">
        <v>15343</v>
      </c>
    </row>
    <row r="159" customFormat="false" ht="15" hidden="false" customHeight="true" outlineLevel="0" collapsed="false">
      <c r="A159" s="13" t="s">
        <v>137</v>
      </c>
      <c r="B159" s="11" t="s">
        <v>15022</v>
      </c>
      <c r="C159" s="11" t="s">
        <v>15038</v>
      </c>
      <c r="D159" s="13" t="s">
        <v>15344</v>
      </c>
      <c r="E159" s="13" t="s">
        <v>15345</v>
      </c>
    </row>
    <row r="160" customFormat="false" ht="15" hidden="false" customHeight="true" outlineLevel="0" collapsed="false">
      <c r="A160" s="13" t="s">
        <v>137</v>
      </c>
      <c r="B160" s="11" t="s">
        <v>15022</v>
      </c>
      <c r="C160" s="11" t="s">
        <v>15041</v>
      </c>
      <c r="D160" s="13" t="s">
        <v>15346</v>
      </c>
      <c r="E160" s="13" t="s">
        <v>15347</v>
      </c>
    </row>
    <row r="161" customFormat="false" ht="15" hidden="false" customHeight="true" outlineLevel="0" collapsed="false">
      <c r="A161" s="13" t="s">
        <v>137</v>
      </c>
      <c r="B161" s="11" t="s">
        <v>15022</v>
      </c>
      <c r="C161" s="11" t="s">
        <v>15044</v>
      </c>
      <c r="D161" s="13" t="s">
        <v>15348</v>
      </c>
      <c r="E161" s="13" t="s">
        <v>15349</v>
      </c>
    </row>
    <row r="162" customFormat="false" ht="15" hidden="false" customHeight="true" outlineLevel="0" collapsed="false">
      <c r="A162" s="13" t="s">
        <v>137</v>
      </c>
      <c r="B162" s="11" t="s">
        <v>15022</v>
      </c>
      <c r="C162" s="11" t="s">
        <v>15046</v>
      </c>
      <c r="D162" s="13" t="s">
        <v>15350</v>
      </c>
      <c r="E162" s="13" t="s">
        <v>15351</v>
      </c>
    </row>
    <row r="163" customFormat="false" ht="15" hidden="false" customHeight="true" outlineLevel="0" collapsed="false">
      <c r="A163" s="13" t="s">
        <v>137</v>
      </c>
      <c r="B163" s="11" t="s">
        <v>15022</v>
      </c>
      <c r="C163" s="11" t="s">
        <v>15049</v>
      </c>
      <c r="D163" s="13" t="s">
        <v>15352</v>
      </c>
      <c r="E163" s="13" t="s">
        <v>15353</v>
      </c>
    </row>
    <row r="164" customFormat="false" ht="15" hidden="false" customHeight="true" outlineLevel="0" collapsed="false">
      <c r="A164" s="13" t="s">
        <v>137</v>
      </c>
      <c r="B164" s="11" t="s">
        <v>15022</v>
      </c>
      <c r="C164" s="11" t="s">
        <v>15051</v>
      </c>
      <c r="D164" s="13" t="s">
        <v>15354</v>
      </c>
      <c r="E164" s="13" t="s">
        <v>15355</v>
      </c>
    </row>
    <row r="165" customFormat="false" ht="15" hidden="false" customHeight="true" outlineLevel="0" collapsed="false">
      <c r="A165" s="13" t="s">
        <v>137</v>
      </c>
      <c r="B165" s="11" t="s">
        <v>15022</v>
      </c>
      <c r="C165" s="11" t="s">
        <v>15054</v>
      </c>
      <c r="D165" s="13" t="s">
        <v>15356</v>
      </c>
      <c r="E165" s="13" t="s">
        <v>15357</v>
      </c>
    </row>
    <row r="166" customFormat="false" ht="15" hidden="false" customHeight="true" outlineLevel="0" collapsed="false">
      <c r="A166" s="13" t="s">
        <v>137</v>
      </c>
      <c r="B166" s="11" t="s">
        <v>15022</v>
      </c>
      <c r="C166" s="11" t="s">
        <v>15057</v>
      </c>
      <c r="D166" s="13" t="s">
        <v>15358</v>
      </c>
      <c r="E166" s="13" t="s">
        <v>15359</v>
      </c>
    </row>
    <row r="167" customFormat="false" ht="15" hidden="false" customHeight="true" outlineLevel="0" collapsed="false">
      <c r="A167" s="13" t="s">
        <v>137</v>
      </c>
      <c r="B167" s="11" t="s">
        <v>15022</v>
      </c>
      <c r="C167" s="11" t="s">
        <v>15060</v>
      </c>
      <c r="D167" s="13" t="s">
        <v>15360</v>
      </c>
      <c r="E167" s="13" t="s">
        <v>15361</v>
      </c>
    </row>
    <row r="168" customFormat="false" ht="15" hidden="false" customHeight="true" outlineLevel="0" collapsed="false">
      <c r="A168" s="13" t="s">
        <v>137</v>
      </c>
      <c r="B168" s="11" t="s">
        <v>15022</v>
      </c>
      <c r="C168" s="13" t="s">
        <v>15063</v>
      </c>
      <c r="D168" s="13" t="s">
        <v>15362</v>
      </c>
      <c r="E168" s="13" t="s">
        <v>15363</v>
      </c>
    </row>
    <row r="169" customFormat="false" ht="15" hidden="false" customHeight="true" outlineLevel="0" collapsed="false">
      <c r="A169" s="13" t="s">
        <v>137</v>
      </c>
      <c r="B169" s="11" t="s">
        <v>15022</v>
      </c>
      <c r="C169" s="11" t="s">
        <v>15066</v>
      </c>
      <c r="D169" s="13" t="s">
        <v>15364</v>
      </c>
      <c r="E169" s="13" t="s">
        <v>15365</v>
      </c>
    </row>
    <row r="170" customFormat="false" ht="15" hidden="false" customHeight="true" outlineLevel="0" collapsed="false">
      <c r="A170" s="13" t="s">
        <v>137</v>
      </c>
      <c r="B170" s="11" t="s">
        <v>15022</v>
      </c>
      <c r="C170" s="11" t="s">
        <v>15069</v>
      </c>
      <c r="D170" s="13" t="s">
        <v>15366</v>
      </c>
      <c r="E170" s="13" t="s">
        <v>15367</v>
      </c>
    </row>
    <row r="171" customFormat="false" ht="15" hidden="false" customHeight="true" outlineLevel="0" collapsed="false">
      <c r="A171" s="13" t="s">
        <v>137</v>
      </c>
      <c r="B171" s="11" t="s">
        <v>15022</v>
      </c>
      <c r="C171" s="11" t="s">
        <v>15072</v>
      </c>
      <c r="D171" s="13" t="s">
        <v>15368</v>
      </c>
      <c r="E171" s="13" t="s">
        <v>15369</v>
      </c>
    </row>
    <row r="172" customFormat="false" ht="15" hidden="false" customHeight="true" outlineLevel="0" collapsed="false">
      <c r="A172" s="13" t="s">
        <v>137</v>
      </c>
      <c r="B172" s="11" t="s">
        <v>15022</v>
      </c>
      <c r="C172" s="11" t="s">
        <v>15075</v>
      </c>
      <c r="D172" s="13" t="s">
        <v>15370</v>
      </c>
      <c r="E172" s="13" t="s">
        <v>15371</v>
      </c>
    </row>
    <row r="173" customFormat="false" ht="15" hidden="false" customHeight="true" outlineLevel="0" collapsed="false">
      <c r="A173" s="13" t="s">
        <v>137</v>
      </c>
      <c r="B173" s="11" t="s">
        <v>15022</v>
      </c>
      <c r="C173" s="11" t="s">
        <v>15078</v>
      </c>
      <c r="D173" s="13" t="s">
        <v>15372</v>
      </c>
      <c r="E173" s="13" t="s">
        <v>15373</v>
      </c>
    </row>
    <row r="174" customFormat="false" ht="15" hidden="false" customHeight="true" outlineLevel="0" collapsed="false">
      <c r="A174" s="13" t="s">
        <v>137</v>
      </c>
      <c r="B174" s="11" t="s">
        <v>15022</v>
      </c>
      <c r="C174" s="11" t="s">
        <v>15081</v>
      </c>
      <c r="D174" s="13" t="s">
        <v>15374</v>
      </c>
      <c r="E174" s="13" t="s">
        <v>15375</v>
      </c>
    </row>
    <row r="175" customFormat="false" ht="15" hidden="false" customHeight="true" outlineLevel="0" collapsed="false">
      <c r="A175" s="13" t="s">
        <v>146</v>
      </c>
      <c r="B175" s="11" t="s">
        <v>15022</v>
      </c>
      <c r="C175" s="13" t="s">
        <v>15023</v>
      </c>
      <c r="D175" s="13" t="s">
        <v>15376</v>
      </c>
      <c r="E175" s="13" t="s">
        <v>15377</v>
      </c>
    </row>
    <row r="176" customFormat="false" ht="15" hidden="false" customHeight="true" outlineLevel="0" collapsed="false">
      <c r="A176" s="13" t="s">
        <v>146</v>
      </c>
      <c r="B176" s="11" t="s">
        <v>15022</v>
      </c>
      <c r="C176" s="13" t="s">
        <v>15026</v>
      </c>
      <c r="D176" s="13" t="s">
        <v>15378</v>
      </c>
      <c r="E176" s="13" t="s">
        <v>15379</v>
      </c>
    </row>
    <row r="177" customFormat="false" ht="15" hidden="false" customHeight="true" outlineLevel="0" collapsed="false">
      <c r="A177" s="13" t="s">
        <v>146</v>
      </c>
      <c r="B177" s="11" t="s">
        <v>15022</v>
      </c>
      <c r="C177" s="13" t="s">
        <v>15029</v>
      </c>
      <c r="D177" s="13" t="s">
        <v>15380</v>
      </c>
      <c r="E177" s="13" t="s">
        <v>15381</v>
      </c>
    </row>
    <row r="178" customFormat="false" ht="15" hidden="false" customHeight="true" outlineLevel="0" collapsed="false">
      <c r="A178" s="13" t="s">
        <v>146</v>
      </c>
      <c r="B178" s="11" t="s">
        <v>15022</v>
      </c>
      <c r="C178" s="11" t="s">
        <v>15032</v>
      </c>
      <c r="D178" s="13" t="s">
        <v>15382</v>
      </c>
      <c r="E178" s="13" t="s">
        <v>15383</v>
      </c>
    </row>
    <row r="179" customFormat="false" ht="15" hidden="false" customHeight="true" outlineLevel="0" collapsed="false">
      <c r="A179" s="13" t="s">
        <v>146</v>
      </c>
      <c r="B179" s="11" t="s">
        <v>15022</v>
      </c>
      <c r="C179" s="11" t="s">
        <v>15035</v>
      </c>
      <c r="D179" s="13" t="s">
        <v>15384</v>
      </c>
      <c r="E179" s="13" t="s">
        <v>15385</v>
      </c>
    </row>
    <row r="180" customFormat="false" ht="15" hidden="false" customHeight="true" outlineLevel="0" collapsed="false">
      <c r="A180" s="13" t="s">
        <v>146</v>
      </c>
      <c r="B180" s="11" t="s">
        <v>15022</v>
      </c>
      <c r="C180" s="11" t="s">
        <v>15038</v>
      </c>
      <c r="D180" s="13" t="s">
        <v>15386</v>
      </c>
      <c r="E180" s="13" t="s">
        <v>15387</v>
      </c>
    </row>
    <row r="181" customFormat="false" ht="15" hidden="false" customHeight="true" outlineLevel="0" collapsed="false">
      <c r="A181" s="13" t="s">
        <v>146</v>
      </c>
      <c r="B181" s="11" t="s">
        <v>15022</v>
      </c>
      <c r="C181" s="11" t="s">
        <v>15041</v>
      </c>
      <c r="D181" s="13" t="s">
        <v>15388</v>
      </c>
      <c r="E181" s="13" t="s">
        <v>15389</v>
      </c>
    </row>
    <row r="182" customFormat="false" ht="15" hidden="false" customHeight="true" outlineLevel="0" collapsed="false">
      <c r="A182" s="13" t="s">
        <v>146</v>
      </c>
      <c r="B182" s="11" t="s">
        <v>15022</v>
      </c>
      <c r="C182" s="11" t="s">
        <v>15044</v>
      </c>
      <c r="D182" s="13" t="s">
        <v>15390</v>
      </c>
      <c r="E182" s="13" t="s">
        <v>15391</v>
      </c>
    </row>
    <row r="183" customFormat="false" ht="15" hidden="false" customHeight="true" outlineLevel="0" collapsed="false">
      <c r="A183" s="13" t="s">
        <v>146</v>
      </c>
      <c r="B183" s="11" t="s">
        <v>15022</v>
      </c>
      <c r="C183" s="11" t="s">
        <v>15046</v>
      </c>
      <c r="D183" s="13" t="s">
        <v>15392</v>
      </c>
      <c r="E183" s="13" t="s">
        <v>15393</v>
      </c>
    </row>
    <row r="184" customFormat="false" ht="15" hidden="false" customHeight="true" outlineLevel="0" collapsed="false">
      <c r="A184" s="13" t="s">
        <v>146</v>
      </c>
      <c r="B184" s="11" t="s">
        <v>15022</v>
      </c>
      <c r="C184" s="11" t="s">
        <v>15049</v>
      </c>
      <c r="D184" s="13" t="s">
        <v>15394</v>
      </c>
      <c r="E184" s="13" t="s">
        <v>15395</v>
      </c>
    </row>
    <row r="185" customFormat="false" ht="15" hidden="false" customHeight="true" outlineLevel="0" collapsed="false">
      <c r="A185" s="13" t="s">
        <v>146</v>
      </c>
      <c r="B185" s="11" t="s">
        <v>15022</v>
      </c>
      <c r="C185" s="11" t="s">
        <v>15051</v>
      </c>
      <c r="D185" s="13" t="s">
        <v>2149</v>
      </c>
      <c r="E185" s="13" t="s">
        <v>15396</v>
      </c>
    </row>
    <row r="186" customFormat="false" ht="15" hidden="false" customHeight="true" outlineLevel="0" collapsed="false">
      <c r="A186" s="13" t="s">
        <v>146</v>
      </c>
      <c r="B186" s="11" t="s">
        <v>15022</v>
      </c>
      <c r="C186" s="11" t="s">
        <v>15054</v>
      </c>
      <c r="D186" s="13" t="s">
        <v>15397</v>
      </c>
      <c r="E186" s="13" t="s">
        <v>15398</v>
      </c>
    </row>
    <row r="187" customFormat="false" ht="15" hidden="false" customHeight="true" outlineLevel="0" collapsed="false">
      <c r="A187" s="13" t="s">
        <v>146</v>
      </c>
      <c r="B187" s="11" t="s">
        <v>15022</v>
      </c>
      <c r="C187" s="11" t="s">
        <v>15057</v>
      </c>
      <c r="D187" s="13" t="s">
        <v>15399</v>
      </c>
      <c r="E187" s="13" t="s">
        <v>15400</v>
      </c>
    </row>
    <row r="188" customFormat="false" ht="15" hidden="false" customHeight="true" outlineLevel="0" collapsed="false">
      <c r="A188" s="13" t="s">
        <v>146</v>
      </c>
      <c r="B188" s="11" t="s">
        <v>15022</v>
      </c>
      <c r="C188" s="11" t="s">
        <v>15060</v>
      </c>
      <c r="D188" s="13" t="s">
        <v>15401</v>
      </c>
      <c r="E188" s="13" t="s">
        <v>15402</v>
      </c>
    </row>
    <row r="189" customFormat="false" ht="15" hidden="false" customHeight="true" outlineLevel="0" collapsed="false">
      <c r="A189" s="13" t="s">
        <v>146</v>
      </c>
      <c r="B189" s="11" t="s">
        <v>15022</v>
      </c>
      <c r="C189" s="13" t="s">
        <v>15063</v>
      </c>
      <c r="D189" s="13" t="s">
        <v>15403</v>
      </c>
      <c r="E189" s="13" t="s">
        <v>15404</v>
      </c>
    </row>
    <row r="190" customFormat="false" ht="15" hidden="false" customHeight="true" outlineLevel="0" collapsed="false">
      <c r="A190" s="13" t="s">
        <v>146</v>
      </c>
      <c r="B190" s="11" t="s">
        <v>15022</v>
      </c>
      <c r="C190" s="11" t="s">
        <v>15066</v>
      </c>
      <c r="D190" s="13" t="s">
        <v>15405</v>
      </c>
      <c r="E190" s="13" t="s">
        <v>15406</v>
      </c>
    </row>
    <row r="191" customFormat="false" ht="15" hidden="false" customHeight="true" outlineLevel="0" collapsed="false">
      <c r="A191" s="13" t="s">
        <v>146</v>
      </c>
      <c r="B191" s="11" t="s">
        <v>15022</v>
      </c>
      <c r="C191" s="11" t="s">
        <v>15069</v>
      </c>
      <c r="D191" s="13" t="s">
        <v>15407</v>
      </c>
      <c r="E191" s="13" t="s">
        <v>15408</v>
      </c>
    </row>
    <row r="192" customFormat="false" ht="15" hidden="false" customHeight="true" outlineLevel="0" collapsed="false">
      <c r="A192" s="13" t="s">
        <v>146</v>
      </c>
      <c r="B192" s="11" t="s">
        <v>15022</v>
      </c>
      <c r="C192" s="11" t="s">
        <v>15072</v>
      </c>
      <c r="D192" s="13" t="s">
        <v>15409</v>
      </c>
      <c r="E192" s="13" t="s">
        <v>15410</v>
      </c>
    </row>
    <row r="193" customFormat="false" ht="15" hidden="false" customHeight="true" outlineLevel="0" collapsed="false">
      <c r="A193" s="13" t="s">
        <v>146</v>
      </c>
      <c r="B193" s="11" t="s">
        <v>15022</v>
      </c>
      <c r="C193" s="11" t="s">
        <v>15075</v>
      </c>
      <c r="D193" s="13" t="s">
        <v>15411</v>
      </c>
      <c r="E193" s="13" t="s">
        <v>15412</v>
      </c>
    </row>
    <row r="194" customFormat="false" ht="15" hidden="false" customHeight="true" outlineLevel="0" collapsed="false">
      <c r="A194" s="13" t="s">
        <v>146</v>
      </c>
      <c r="B194" s="11" t="s">
        <v>15022</v>
      </c>
      <c r="C194" s="11" t="s">
        <v>15078</v>
      </c>
      <c r="D194" s="13" t="s">
        <v>15413</v>
      </c>
      <c r="E194" s="13" t="s">
        <v>15414</v>
      </c>
    </row>
    <row r="195" customFormat="false" ht="15" hidden="false" customHeight="true" outlineLevel="0" collapsed="false">
      <c r="A195" s="13" t="s">
        <v>146</v>
      </c>
      <c r="B195" s="11" t="s">
        <v>15022</v>
      </c>
      <c r="C195" s="11" t="s">
        <v>15081</v>
      </c>
      <c r="D195" s="13" t="s">
        <v>15415</v>
      </c>
      <c r="E195" s="13" t="s">
        <v>15416</v>
      </c>
    </row>
    <row r="196" customFormat="false" ht="15" hidden="false" customHeight="true" outlineLevel="0" collapsed="false">
      <c r="A196" s="13" t="s">
        <v>155</v>
      </c>
      <c r="B196" s="11" t="s">
        <v>15022</v>
      </c>
      <c r="C196" s="13" t="s">
        <v>15023</v>
      </c>
      <c r="D196" s="13" t="s">
        <v>15417</v>
      </c>
      <c r="E196" s="13" t="s">
        <v>15418</v>
      </c>
    </row>
    <row r="197" customFormat="false" ht="15" hidden="false" customHeight="true" outlineLevel="0" collapsed="false">
      <c r="A197" s="13" t="s">
        <v>155</v>
      </c>
      <c r="B197" s="11" t="s">
        <v>15022</v>
      </c>
      <c r="C197" s="13" t="s">
        <v>15026</v>
      </c>
      <c r="D197" s="13" t="s">
        <v>15419</v>
      </c>
      <c r="E197" s="13" t="s">
        <v>15420</v>
      </c>
    </row>
    <row r="198" customFormat="false" ht="15" hidden="false" customHeight="true" outlineLevel="0" collapsed="false">
      <c r="A198" s="13" t="s">
        <v>155</v>
      </c>
      <c r="B198" s="11" t="s">
        <v>15022</v>
      </c>
      <c r="C198" s="13" t="s">
        <v>15029</v>
      </c>
      <c r="D198" s="13" t="s">
        <v>15421</v>
      </c>
      <c r="E198" s="13" t="s">
        <v>15422</v>
      </c>
    </row>
    <row r="199" customFormat="false" ht="15" hidden="false" customHeight="true" outlineLevel="0" collapsed="false">
      <c r="A199" s="13" t="s">
        <v>155</v>
      </c>
      <c r="B199" s="11" t="s">
        <v>15022</v>
      </c>
      <c r="C199" s="11" t="s">
        <v>15032</v>
      </c>
      <c r="D199" s="13" t="s">
        <v>15423</v>
      </c>
      <c r="E199" s="13" t="s">
        <v>15424</v>
      </c>
    </row>
    <row r="200" customFormat="false" ht="15" hidden="false" customHeight="true" outlineLevel="0" collapsed="false">
      <c r="A200" s="13" t="s">
        <v>155</v>
      </c>
      <c r="B200" s="11" t="s">
        <v>15022</v>
      </c>
      <c r="C200" s="11" t="s">
        <v>15035</v>
      </c>
      <c r="D200" s="13" t="s">
        <v>15425</v>
      </c>
      <c r="E200" s="13" t="s">
        <v>15426</v>
      </c>
    </row>
    <row r="201" customFormat="false" ht="15" hidden="false" customHeight="true" outlineLevel="0" collapsed="false">
      <c r="A201" s="13" t="s">
        <v>155</v>
      </c>
      <c r="B201" s="11" t="s">
        <v>15022</v>
      </c>
      <c r="C201" s="11" t="s">
        <v>15038</v>
      </c>
      <c r="D201" s="13" t="s">
        <v>15427</v>
      </c>
      <c r="E201" s="13" t="s">
        <v>15428</v>
      </c>
    </row>
    <row r="202" customFormat="false" ht="15" hidden="false" customHeight="true" outlineLevel="0" collapsed="false">
      <c r="A202" s="13" t="s">
        <v>155</v>
      </c>
      <c r="B202" s="11" t="s">
        <v>15022</v>
      </c>
      <c r="C202" s="11" t="s">
        <v>15041</v>
      </c>
      <c r="D202" s="13" t="s">
        <v>15429</v>
      </c>
      <c r="E202" s="13" t="s">
        <v>15430</v>
      </c>
    </row>
    <row r="203" customFormat="false" ht="15" hidden="false" customHeight="true" outlineLevel="0" collapsed="false">
      <c r="A203" s="13" t="s">
        <v>155</v>
      </c>
      <c r="B203" s="11" t="s">
        <v>15022</v>
      </c>
      <c r="C203" s="11" t="s">
        <v>15044</v>
      </c>
      <c r="D203" s="13" t="s">
        <v>15431</v>
      </c>
      <c r="E203" s="13" t="s">
        <v>15432</v>
      </c>
    </row>
    <row r="204" customFormat="false" ht="15" hidden="false" customHeight="true" outlineLevel="0" collapsed="false">
      <c r="A204" s="13" t="s">
        <v>155</v>
      </c>
      <c r="B204" s="11" t="s">
        <v>15022</v>
      </c>
      <c r="C204" s="11" t="s">
        <v>15046</v>
      </c>
      <c r="D204" s="13" t="s">
        <v>15433</v>
      </c>
      <c r="E204" s="13" t="s">
        <v>15434</v>
      </c>
    </row>
    <row r="205" customFormat="false" ht="15" hidden="false" customHeight="true" outlineLevel="0" collapsed="false">
      <c r="A205" s="13" t="s">
        <v>155</v>
      </c>
      <c r="B205" s="11" t="s">
        <v>15022</v>
      </c>
      <c r="C205" s="11" t="s">
        <v>15049</v>
      </c>
      <c r="D205" s="13" t="s">
        <v>15435</v>
      </c>
      <c r="E205" s="13" t="s">
        <v>15436</v>
      </c>
    </row>
    <row r="206" customFormat="false" ht="15" hidden="false" customHeight="true" outlineLevel="0" collapsed="false">
      <c r="A206" s="13" t="s">
        <v>155</v>
      </c>
      <c r="B206" s="11" t="s">
        <v>15022</v>
      </c>
      <c r="C206" s="11" t="s">
        <v>15051</v>
      </c>
      <c r="D206" s="13" t="s">
        <v>15437</v>
      </c>
      <c r="E206" s="13" t="s">
        <v>15438</v>
      </c>
    </row>
    <row r="207" customFormat="false" ht="15" hidden="false" customHeight="true" outlineLevel="0" collapsed="false">
      <c r="A207" s="13" t="s">
        <v>155</v>
      </c>
      <c r="B207" s="11" t="s">
        <v>15022</v>
      </c>
      <c r="C207" s="11" t="s">
        <v>15054</v>
      </c>
      <c r="D207" s="13" t="s">
        <v>15439</v>
      </c>
      <c r="E207" s="13" t="s">
        <v>15440</v>
      </c>
    </row>
    <row r="208" customFormat="false" ht="15" hidden="false" customHeight="true" outlineLevel="0" collapsed="false">
      <c r="A208" s="13" t="s">
        <v>155</v>
      </c>
      <c r="B208" s="11" t="s">
        <v>15022</v>
      </c>
      <c r="C208" s="11" t="s">
        <v>15057</v>
      </c>
      <c r="D208" s="13" t="s">
        <v>15441</v>
      </c>
      <c r="E208" s="13" t="s">
        <v>15442</v>
      </c>
    </row>
    <row r="209" customFormat="false" ht="15" hidden="false" customHeight="true" outlineLevel="0" collapsed="false">
      <c r="A209" s="13" t="s">
        <v>155</v>
      </c>
      <c r="B209" s="11" t="s">
        <v>15022</v>
      </c>
      <c r="C209" s="11" t="s">
        <v>15060</v>
      </c>
      <c r="D209" s="13" t="s">
        <v>15443</v>
      </c>
      <c r="E209" s="13" t="s">
        <v>15444</v>
      </c>
    </row>
    <row r="210" customFormat="false" ht="15" hidden="false" customHeight="true" outlineLevel="0" collapsed="false">
      <c r="A210" s="13" t="s">
        <v>155</v>
      </c>
      <c r="B210" s="11" t="s">
        <v>15022</v>
      </c>
      <c r="C210" s="13" t="s">
        <v>15063</v>
      </c>
      <c r="D210" s="13" t="s">
        <v>15445</v>
      </c>
      <c r="E210" s="13" t="s">
        <v>15446</v>
      </c>
    </row>
    <row r="211" customFormat="false" ht="15" hidden="false" customHeight="true" outlineLevel="0" collapsed="false">
      <c r="A211" s="13" t="s">
        <v>155</v>
      </c>
      <c r="B211" s="11" t="s">
        <v>15022</v>
      </c>
      <c r="C211" s="11" t="s">
        <v>15066</v>
      </c>
      <c r="D211" s="13" t="s">
        <v>15447</v>
      </c>
      <c r="E211" s="13" t="s">
        <v>15448</v>
      </c>
    </row>
    <row r="212" customFormat="false" ht="15" hidden="false" customHeight="true" outlineLevel="0" collapsed="false">
      <c r="A212" s="13" t="s">
        <v>155</v>
      </c>
      <c r="B212" s="11" t="s">
        <v>15022</v>
      </c>
      <c r="C212" s="11" t="s">
        <v>15069</v>
      </c>
      <c r="D212" s="13" t="s">
        <v>15449</v>
      </c>
      <c r="E212" s="13" t="s">
        <v>15450</v>
      </c>
    </row>
    <row r="213" customFormat="false" ht="15" hidden="false" customHeight="true" outlineLevel="0" collapsed="false">
      <c r="A213" s="13" t="s">
        <v>155</v>
      </c>
      <c r="B213" s="11" t="s">
        <v>15022</v>
      </c>
      <c r="C213" s="11" t="s">
        <v>15072</v>
      </c>
      <c r="D213" s="13" t="s">
        <v>15451</v>
      </c>
      <c r="E213" s="13" t="s">
        <v>15452</v>
      </c>
    </row>
    <row r="214" customFormat="false" ht="15" hidden="false" customHeight="true" outlineLevel="0" collapsed="false">
      <c r="A214" s="13" t="s">
        <v>155</v>
      </c>
      <c r="B214" s="11" t="s">
        <v>15022</v>
      </c>
      <c r="C214" s="11" t="s">
        <v>15075</v>
      </c>
      <c r="D214" s="13" t="s">
        <v>15453</v>
      </c>
      <c r="E214" s="13" t="s">
        <v>15454</v>
      </c>
    </row>
    <row r="215" customFormat="false" ht="15" hidden="false" customHeight="true" outlineLevel="0" collapsed="false">
      <c r="A215" s="13" t="s">
        <v>155</v>
      </c>
      <c r="B215" s="11" t="s">
        <v>15022</v>
      </c>
      <c r="C215" s="11" t="s">
        <v>15078</v>
      </c>
      <c r="D215" s="13" t="s">
        <v>15455</v>
      </c>
      <c r="E215" s="13" t="s">
        <v>15456</v>
      </c>
    </row>
    <row r="216" customFormat="false" ht="15" hidden="false" customHeight="true" outlineLevel="0" collapsed="false">
      <c r="A216" s="13" t="s">
        <v>155</v>
      </c>
      <c r="B216" s="11" t="s">
        <v>15022</v>
      </c>
      <c r="C216" s="11" t="s">
        <v>15081</v>
      </c>
      <c r="D216" s="13" t="s">
        <v>15457</v>
      </c>
      <c r="E216" s="13" t="s">
        <v>15458</v>
      </c>
    </row>
    <row r="217" customFormat="false" ht="15" hidden="false" customHeight="true" outlineLevel="0" collapsed="false">
      <c r="A217" s="13" t="s">
        <v>163</v>
      </c>
      <c r="B217" s="11" t="s">
        <v>15022</v>
      </c>
      <c r="C217" s="13" t="s">
        <v>15023</v>
      </c>
      <c r="D217" s="13" t="s">
        <v>15459</v>
      </c>
      <c r="E217" s="13" t="s">
        <v>15460</v>
      </c>
    </row>
    <row r="218" customFormat="false" ht="15" hidden="false" customHeight="true" outlineLevel="0" collapsed="false">
      <c r="A218" s="13" t="s">
        <v>163</v>
      </c>
      <c r="B218" s="11" t="s">
        <v>15022</v>
      </c>
      <c r="C218" s="13" t="s">
        <v>15026</v>
      </c>
      <c r="D218" s="13" t="s">
        <v>15461</v>
      </c>
      <c r="E218" s="13" t="s">
        <v>15462</v>
      </c>
    </row>
    <row r="219" customFormat="false" ht="15" hidden="false" customHeight="true" outlineLevel="0" collapsed="false">
      <c r="A219" s="13" t="s">
        <v>163</v>
      </c>
      <c r="B219" s="11" t="s">
        <v>15022</v>
      </c>
      <c r="C219" s="13" t="s">
        <v>15029</v>
      </c>
      <c r="D219" s="13" t="s">
        <v>15463</v>
      </c>
      <c r="E219" s="13" t="s">
        <v>15464</v>
      </c>
    </row>
    <row r="220" customFormat="false" ht="15" hidden="false" customHeight="true" outlineLevel="0" collapsed="false">
      <c r="A220" s="13" t="s">
        <v>163</v>
      </c>
      <c r="B220" s="11" t="s">
        <v>15022</v>
      </c>
      <c r="C220" s="11" t="s">
        <v>15032</v>
      </c>
      <c r="D220" s="13" t="s">
        <v>15465</v>
      </c>
      <c r="E220" s="13" t="s">
        <v>15466</v>
      </c>
    </row>
    <row r="221" customFormat="false" ht="15" hidden="false" customHeight="true" outlineLevel="0" collapsed="false">
      <c r="A221" s="13" t="s">
        <v>163</v>
      </c>
      <c r="B221" s="11" t="s">
        <v>15022</v>
      </c>
      <c r="C221" s="11" t="s">
        <v>15035</v>
      </c>
      <c r="D221" s="13" t="s">
        <v>15467</v>
      </c>
      <c r="E221" s="13" t="s">
        <v>15468</v>
      </c>
    </row>
    <row r="222" customFormat="false" ht="15" hidden="false" customHeight="true" outlineLevel="0" collapsed="false">
      <c r="A222" s="13" t="s">
        <v>163</v>
      </c>
      <c r="B222" s="11" t="s">
        <v>15022</v>
      </c>
      <c r="C222" s="11" t="s">
        <v>15038</v>
      </c>
      <c r="D222" s="13" t="s">
        <v>15469</v>
      </c>
      <c r="E222" s="13" t="s">
        <v>15470</v>
      </c>
    </row>
    <row r="223" customFormat="false" ht="15" hidden="false" customHeight="true" outlineLevel="0" collapsed="false">
      <c r="A223" s="13" t="s">
        <v>163</v>
      </c>
      <c r="B223" s="11" t="s">
        <v>15022</v>
      </c>
      <c r="C223" s="11" t="s">
        <v>15041</v>
      </c>
      <c r="D223" s="13" t="s">
        <v>15471</v>
      </c>
      <c r="E223" s="13" t="s">
        <v>15472</v>
      </c>
    </row>
    <row r="224" customFormat="false" ht="15" hidden="false" customHeight="true" outlineLevel="0" collapsed="false">
      <c r="A224" s="13" t="s">
        <v>163</v>
      </c>
      <c r="B224" s="11" t="s">
        <v>15022</v>
      </c>
      <c r="C224" s="11" t="s">
        <v>15044</v>
      </c>
      <c r="D224" s="13" t="s">
        <v>15473</v>
      </c>
      <c r="E224" s="13" t="s">
        <v>15474</v>
      </c>
    </row>
    <row r="225" customFormat="false" ht="15" hidden="false" customHeight="true" outlineLevel="0" collapsed="false">
      <c r="A225" s="13" t="s">
        <v>163</v>
      </c>
      <c r="B225" s="11" t="s">
        <v>15022</v>
      </c>
      <c r="C225" s="11" t="s">
        <v>15046</v>
      </c>
      <c r="D225" s="13" t="s">
        <v>15475</v>
      </c>
      <c r="E225" s="13" t="s">
        <v>15476</v>
      </c>
    </row>
    <row r="226" customFormat="false" ht="15" hidden="false" customHeight="true" outlineLevel="0" collapsed="false">
      <c r="A226" s="13" t="s">
        <v>163</v>
      </c>
      <c r="B226" s="11" t="s">
        <v>15022</v>
      </c>
      <c r="C226" s="11" t="s">
        <v>15049</v>
      </c>
      <c r="D226" s="13" t="s">
        <v>15477</v>
      </c>
      <c r="E226" s="13" t="s">
        <v>15478</v>
      </c>
    </row>
    <row r="227" customFormat="false" ht="15" hidden="false" customHeight="true" outlineLevel="0" collapsed="false">
      <c r="A227" s="13" t="s">
        <v>163</v>
      </c>
      <c r="B227" s="11" t="s">
        <v>15022</v>
      </c>
      <c r="C227" s="11" t="s">
        <v>15051</v>
      </c>
      <c r="D227" s="13" t="s">
        <v>15479</v>
      </c>
      <c r="E227" s="13" t="s">
        <v>15480</v>
      </c>
    </row>
    <row r="228" customFormat="false" ht="15" hidden="false" customHeight="true" outlineLevel="0" collapsed="false">
      <c r="A228" s="13" t="s">
        <v>163</v>
      </c>
      <c r="B228" s="11" t="s">
        <v>15022</v>
      </c>
      <c r="C228" s="11" t="s">
        <v>15054</v>
      </c>
      <c r="D228" s="13" t="s">
        <v>15481</v>
      </c>
      <c r="E228" s="13" t="s">
        <v>15482</v>
      </c>
    </row>
    <row r="229" customFormat="false" ht="15" hidden="false" customHeight="true" outlineLevel="0" collapsed="false">
      <c r="A229" s="13" t="s">
        <v>163</v>
      </c>
      <c r="B229" s="11" t="s">
        <v>15022</v>
      </c>
      <c r="C229" s="11" t="s">
        <v>15057</v>
      </c>
      <c r="D229" s="13" t="s">
        <v>15483</v>
      </c>
      <c r="E229" s="13" t="s">
        <v>15484</v>
      </c>
    </row>
    <row r="230" customFormat="false" ht="15" hidden="false" customHeight="true" outlineLevel="0" collapsed="false">
      <c r="A230" s="13" t="s">
        <v>163</v>
      </c>
      <c r="B230" s="11" t="s">
        <v>15022</v>
      </c>
      <c r="C230" s="11" t="s">
        <v>15060</v>
      </c>
      <c r="D230" s="13" t="s">
        <v>15485</v>
      </c>
      <c r="E230" s="13" t="s">
        <v>15486</v>
      </c>
    </row>
    <row r="231" customFormat="false" ht="15" hidden="false" customHeight="true" outlineLevel="0" collapsed="false">
      <c r="A231" s="13" t="s">
        <v>163</v>
      </c>
      <c r="B231" s="11" t="s">
        <v>15022</v>
      </c>
      <c r="C231" s="13" t="s">
        <v>15063</v>
      </c>
      <c r="D231" s="13" t="s">
        <v>15487</v>
      </c>
      <c r="E231" s="13" t="s">
        <v>15488</v>
      </c>
    </row>
    <row r="232" customFormat="false" ht="15" hidden="false" customHeight="true" outlineLevel="0" collapsed="false">
      <c r="A232" s="13" t="s">
        <v>163</v>
      </c>
      <c r="B232" s="11" t="s">
        <v>15022</v>
      </c>
      <c r="C232" s="11" t="s">
        <v>15066</v>
      </c>
      <c r="D232" s="13" t="s">
        <v>15489</v>
      </c>
      <c r="E232" s="13" t="s">
        <v>15490</v>
      </c>
    </row>
    <row r="233" customFormat="false" ht="15" hidden="false" customHeight="true" outlineLevel="0" collapsed="false">
      <c r="A233" s="13" t="s">
        <v>163</v>
      </c>
      <c r="B233" s="11" t="s">
        <v>15022</v>
      </c>
      <c r="C233" s="11" t="s">
        <v>15069</v>
      </c>
      <c r="D233" s="13" t="s">
        <v>15491</v>
      </c>
      <c r="E233" s="13" t="s">
        <v>15492</v>
      </c>
    </row>
    <row r="234" customFormat="false" ht="15" hidden="false" customHeight="true" outlineLevel="0" collapsed="false">
      <c r="A234" s="13" t="s">
        <v>163</v>
      </c>
      <c r="B234" s="11" t="s">
        <v>15022</v>
      </c>
      <c r="C234" s="11" t="s">
        <v>15072</v>
      </c>
      <c r="D234" s="13" t="s">
        <v>15493</v>
      </c>
      <c r="E234" s="13" t="s">
        <v>15494</v>
      </c>
    </row>
    <row r="235" customFormat="false" ht="15" hidden="false" customHeight="true" outlineLevel="0" collapsed="false">
      <c r="A235" s="13" t="s">
        <v>163</v>
      </c>
      <c r="B235" s="11" t="s">
        <v>15022</v>
      </c>
      <c r="C235" s="11" t="s">
        <v>15075</v>
      </c>
      <c r="D235" s="13" t="s">
        <v>15495</v>
      </c>
      <c r="E235" s="13" t="s">
        <v>15496</v>
      </c>
    </row>
    <row r="236" customFormat="false" ht="15" hidden="false" customHeight="true" outlineLevel="0" collapsed="false">
      <c r="A236" s="13" t="s">
        <v>163</v>
      </c>
      <c r="B236" s="11" t="s">
        <v>15022</v>
      </c>
      <c r="C236" s="11" t="s">
        <v>15078</v>
      </c>
      <c r="D236" s="13" t="s">
        <v>15497</v>
      </c>
      <c r="E236" s="13" t="s">
        <v>15498</v>
      </c>
    </row>
    <row r="237" customFormat="false" ht="15" hidden="false" customHeight="true" outlineLevel="0" collapsed="false">
      <c r="A237" s="13" t="s">
        <v>163</v>
      </c>
      <c r="B237" s="11" t="s">
        <v>15022</v>
      </c>
      <c r="C237" s="11" t="s">
        <v>15081</v>
      </c>
      <c r="D237" s="13" t="s">
        <v>15499</v>
      </c>
      <c r="E237" s="13" t="s">
        <v>15500</v>
      </c>
    </row>
    <row r="238" customFormat="false" ht="15" hidden="false" customHeight="true" outlineLevel="0" collapsed="false">
      <c r="A238" s="13" t="s">
        <v>171</v>
      </c>
      <c r="B238" s="11" t="s">
        <v>15022</v>
      </c>
      <c r="C238" s="13" t="s">
        <v>15023</v>
      </c>
      <c r="D238" s="13" t="s">
        <v>15501</v>
      </c>
      <c r="E238" s="13" t="s">
        <v>15502</v>
      </c>
    </row>
    <row r="239" customFormat="false" ht="15" hidden="false" customHeight="true" outlineLevel="0" collapsed="false">
      <c r="A239" s="13" t="s">
        <v>171</v>
      </c>
      <c r="B239" s="11" t="s">
        <v>15022</v>
      </c>
      <c r="C239" s="13" t="s">
        <v>15026</v>
      </c>
      <c r="D239" s="13" t="s">
        <v>15503</v>
      </c>
      <c r="E239" s="13" t="s">
        <v>15504</v>
      </c>
    </row>
    <row r="240" customFormat="false" ht="15" hidden="false" customHeight="true" outlineLevel="0" collapsed="false">
      <c r="A240" s="13" t="s">
        <v>171</v>
      </c>
      <c r="B240" s="11" t="s">
        <v>15022</v>
      </c>
      <c r="C240" s="13" t="s">
        <v>15029</v>
      </c>
      <c r="D240" s="13" t="s">
        <v>15505</v>
      </c>
      <c r="E240" s="13" t="s">
        <v>15506</v>
      </c>
    </row>
    <row r="241" customFormat="false" ht="15" hidden="false" customHeight="true" outlineLevel="0" collapsed="false">
      <c r="A241" s="13" t="s">
        <v>171</v>
      </c>
      <c r="B241" s="11" t="s">
        <v>15022</v>
      </c>
      <c r="C241" s="11" t="s">
        <v>15032</v>
      </c>
      <c r="D241" s="13" t="s">
        <v>15507</v>
      </c>
      <c r="E241" s="13" t="s">
        <v>15508</v>
      </c>
    </row>
    <row r="242" customFormat="false" ht="15" hidden="false" customHeight="true" outlineLevel="0" collapsed="false">
      <c r="A242" s="13" t="s">
        <v>171</v>
      </c>
      <c r="B242" s="11" t="s">
        <v>15022</v>
      </c>
      <c r="C242" s="11" t="s">
        <v>15035</v>
      </c>
      <c r="D242" s="13" t="s">
        <v>15509</v>
      </c>
      <c r="E242" s="13" t="s">
        <v>15510</v>
      </c>
    </row>
    <row r="243" customFormat="false" ht="15" hidden="false" customHeight="true" outlineLevel="0" collapsed="false">
      <c r="A243" s="13" t="s">
        <v>171</v>
      </c>
      <c r="B243" s="11" t="s">
        <v>15022</v>
      </c>
      <c r="C243" s="11" t="s">
        <v>15038</v>
      </c>
      <c r="D243" s="13" t="s">
        <v>15511</v>
      </c>
      <c r="E243" s="13" t="s">
        <v>15512</v>
      </c>
    </row>
    <row r="244" customFormat="false" ht="15" hidden="false" customHeight="true" outlineLevel="0" collapsed="false">
      <c r="A244" s="13" t="s">
        <v>171</v>
      </c>
      <c r="B244" s="11" t="s">
        <v>15022</v>
      </c>
      <c r="C244" s="11" t="s">
        <v>15041</v>
      </c>
      <c r="D244" s="13" t="s">
        <v>15513</v>
      </c>
      <c r="E244" s="13" t="s">
        <v>15514</v>
      </c>
    </row>
    <row r="245" customFormat="false" ht="15" hidden="false" customHeight="true" outlineLevel="0" collapsed="false">
      <c r="A245" s="13" t="s">
        <v>171</v>
      </c>
      <c r="B245" s="11" t="s">
        <v>15022</v>
      </c>
      <c r="C245" s="11" t="s">
        <v>15044</v>
      </c>
      <c r="D245" s="13" t="s">
        <v>15515</v>
      </c>
      <c r="E245" s="13" t="s">
        <v>15516</v>
      </c>
    </row>
    <row r="246" customFormat="false" ht="15" hidden="false" customHeight="true" outlineLevel="0" collapsed="false">
      <c r="A246" s="13" t="s">
        <v>171</v>
      </c>
      <c r="B246" s="11" t="s">
        <v>15022</v>
      </c>
      <c r="C246" s="11" t="s">
        <v>15046</v>
      </c>
      <c r="D246" s="13" t="s">
        <v>15517</v>
      </c>
      <c r="E246" s="13" t="s">
        <v>15518</v>
      </c>
    </row>
    <row r="247" customFormat="false" ht="15" hidden="false" customHeight="true" outlineLevel="0" collapsed="false">
      <c r="A247" s="13" t="s">
        <v>171</v>
      </c>
      <c r="B247" s="11" t="s">
        <v>15022</v>
      </c>
      <c r="C247" s="11" t="s">
        <v>15049</v>
      </c>
      <c r="D247" s="13" t="s">
        <v>15519</v>
      </c>
      <c r="E247" s="13" t="s">
        <v>15520</v>
      </c>
    </row>
    <row r="248" customFormat="false" ht="15" hidden="false" customHeight="true" outlineLevel="0" collapsed="false">
      <c r="A248" s="13" t="s">
        <v>171</v>
      </c>
      <c r="B248" s="11" t="s">
        <v>15022</v>
      </c>
      <c r="C248" s="11" t="s">
        <v>15051</v>
      </c>
      <c r="D248" s="13" t="s">
        <v>15521</v>
      </c>
      <c r="E248" s="13" t="s">
        <v>15522</v>
      </c>
    </row>
    <row r="249" customFormat="false" ht="15" hidden="false" customHeight="true" outlineLevel="0" collapsed="false">
      <c r="A249" s="13" t="s">
        <v>171</v>
      </c>
      <c r="B249" s="11" t="s">
        <v>15022</v>
      </c>
      <c r="C249" s="11" t="s">
        <v>15054</v>
      </c>
      <c r="D249" s="13" t="s">
        <v>15523</v>
      </c>
      <c r="E249" s="13" t="s">
        <v>15524</v>
      </c>
    </row>
    <row r="250" customFormat="false" ht="15" hidden="false" customHeight="true" outlineLevel="0" collapsed="false">
      <c r="A250" s="13" t="s">
        <v>171</v>
      </c>
      <c r="B250" s="11" t="s">
        <v>15022</v>
      </c>
      <c r="C250" s="11" t="s">
        <v>15057</v>
      </c>
      <c r="D250" s="13" t="s">
        <v>15525</v>
      </c>
      <c r="E250" s="13" t="s">
        <v>15526</v>
      </c>
    </row>
    <row r="251" customFormat="false" ht="15" hidden="false" customHeight="true" outlineLevel="0" collapsed="false">
      <c r="A251" s="13" t="s">
        <v>171</v>
      </c>
      <c r="B251" s="11" t="s">
        <v>15022</v>
      </c>
      <c r="C251" s="11" t="s">
        <v>15060</v>
      </c>
      <c r="D251" s="13" t="s">
        <v>15527</v>
      </c>
      <c r="E251" s="13" t="s">
        <v>15528</v>
      </c>
    </row>
    <row r="252" customFormat="false" ht="15" hidden="false" customHeight="true" outlineLevel="0" collapsed="false">
      <c r="A252" s="13" t="s">
        <v>171</v>
      </c>
      <c r="B252" s="11" t="s">
        <v>15022</v>
      </c>
      <c r="C252" s="13" t="s">
        <v>15063</v>
      </c>
      <c r="D252" s="13" t="s">
        <v>15529</v>
      </c>
      <c r="E252" s="13" t="s">
        <v>15530</v>
      </c>
    </row>
    <row r="253" customFormat="false" ht="15" hidden="false" customHeight="true" outlineLevel="0" collapsed="false">
      <c r="A253" s="13" t="s">
        <v>171</v>
      </c>
      <c r="B253" s="11" t="s">
        <v>15022</v>
      </c>
      <c r="C253" s="11" t="s">
        <v>15066</v>
      </c>
      <c r="D253" s="13" t="s">
        <v>15531</v>
      </c>
      <c r="E253" s="13" t="s">
        <v>15532</v>
      </c>
    </row>
    <row r="254" customFormat="false" ht="15" hidden="false" customHeight="true" outlineLevel="0" collapsed="false">
      <c r="A254" s="13" t="s">
        <v>171</v>
      </c>
      <c r="B254" s="11" t="s">
        <v>15022</v>
      </c>
      <c r="C254" s="11" t="s">
        <v>15069</v>
      </c>
      <c r="D254" s="13" t="s">
        <v>15533</v>
      </c>
      <c r="E254" s="13" t="s">
        <v>15534</v>
      </c>
    </row>
    <row r="255" customFormat="false" ht="15" hidden="false" customHeight="true" outlineLevel="0" collapsed="false">
      <c r="A255" s="13" t="s">
        <v>171</v>
      </c>
      <c r="B255" s="11" t="s">
        <v>15022</v>
      </c>
      <c r="C255" s="11" t="s">
        <v>15072</v>
      </c>
      <c r="D255" s="13" t="s">
        <v>15535</v>
      </c>
      <c r="E255" s="13" t="s">
        <v>15536</v>
      </c>
    </row>
    <row r="256" customFormat="false" ht="15" hidden="false" customHeight="true" outlineLevel="0" collapsed="false">
      <c r="A256" s="13" t="s">
        <v>171</v>
      </c>
      <c r="B256" s="11" t="s">
        <v>15022</v>
      </c>
      <c r="C256" s="11" t="s">
        <v>15075</v>
      </c>
      <c r="D256" s="13" t="s">
        <v>15537</v>
      </c>
      <c r="E256" s="13" t="s">
        <v>15538</v>
      </c>
    </row>
    <row r="257" customFormat="false" ht="15" hidden="false" customHeight="true" outlineLevel="0" collapsed="false">
      <c r="A257" s="13" t="s">
        <v>171</v>
      </c>
      <c r="B257" s="11" t="s">
        <v>15022</v>
      </c>
      <c r="C257" s="11" t="s">
        <v>15078</v>
      </c>
      <c r="D257" s="13" t="s">
        <v>15539</v>
      </c>
      <c r="E257" s="13" t="s">
        <v>15540</v>
      </c>
    </row>
    <row r="258" customFormat="false" ht="15" hidden="false" customHeight="true" outlineLevel="0" collapsed="false">
      <c r="A258" s="13" t="s">
        <v>171</v>
      </c>
      <c r="B258" s="11" t="s">
        <v>15022</v>
      </c>
      <c r="C258" s="11" t="s">
        <v>15081</v>
      </c>
      <c r="D258" s="13" t="s">
        <v>15541</v>
      </c>
      <c r="E258" s="13" t="s">
        <v>15542</v>
      </c>
    </row>
    <row r="259" customFormat="false" ht="15" hidden="false" customHeight="true" outlineLevel="0" collapsed="false">
      <c r="A259" s="13" t="s">
        <v>179</v>
      </c>
      <c r="B259" s="11" t="s">
        <v>15022</v>
      </c>
      <c r="C259" s="13" t="s">
        <v>15023</v>
      </c>
      <c r="D259" s="13" t="s">
        <v>15543</v>
      </c>
      <c r="E259" s="13" t="s">
        <v>15544</v>
      </c>
    </row>
    <row r="260" customFormat="false" ht="15" hidden="false" customHeight="true" outlineLevel="0" collapsed="false">
      <c r="A260" s="13" t="s">
        <v>179</v>
      </c>
      <c r="B260" s="11" t="s">
        <v>15022</v>
      </c>
      <c r="C260" s="13" t="s">
        <v>15026</v>
      </c>
      <c r="D260" s="13" t="s">
        <v>15545</v>
      </c>
      <c r="E260" s="13" t="s">
        <v>15546</v>
      </c>
    </row>
    <row r="261" customFormat="false" ht="15" hidden="false" customHeight="true" outlineLevel="0" collapsed="false">
      <c r="A261" s="13" t="s">
        <v>179</v>
      </c>
      <c r="B261" s="11" t="s">
        <v>15022</v>
      </c>
      <c r="C261" s="13" t="s">
        <v>15029</v>
      </c>
      <c r="D261" s="13" t="s">
        <v>15547</v>
      </c>
      <c r="E261" s="13" t="s">
        <v>15548</v>
      </c>
    </row>
    <row r="262" customFormat="false" ht="15" hidden="false" customHeight="true" outlineLevel="0" collapsed="false">
      <c r="A262" s="13" t="s">
        <v>179</v>
      </c>
      <c r="B262" s="11" t="s">
        <v>15022</v>
      </c>
      <c r="C262" s="11" t="s">
        <v>15032</v>
      </c>
      <c r="D262" s="13" t="s">
        <v>15549</v>
      </c>
      <c r="E262" s="13" t="s">
        <v>15550</v>
      </c>
    </row>
    <row r="263" customFormat="false" ht="15" hidden="false" customHeight="true" outlineLevel="0" collapsed="false">
      <c r="A263" s="13" t="s">
        <v>179</v>
      </c>
      <c r="B263" s="11" t="s">
        <v>15022</v>
      </c>
      <c r="C263" s="11" t="s">
        <v>15035</v>
      </c>
      <c r="D263" s="13" t="s">
        <v>15551</v>
      </c>
      <c r="E263" s="13" t="s">
        <v>15552</v>
      </c>
    </row>
    <row r="264" customFormat="false" ht="15" hidden="false" customHeight="true" outlineLevel="0" collapsed="false">
      <c r="A264" s="13" t="s">
        <v>179</v>
      </c>
      <c r="B264" s="11" t="s">
        <v>15022</v>
      </c>
      <c r="C264" s="11" t="s">
        <v>15038</v>
      </c>
      <c r="D264" s="13" t="s">
        <v>15553</v>
      </c>
      <c r="E264" s="13" t="s">
        <v>15554</v>
      </c>
    </row>
    <row r="265" customFormat="false" ht="15" hidden="false" customHeight="true" outlineLevel="0" collapsed="false">
      <c r="A265" s="13" t="s">
        <v>179</v>
      </c>
      <c r="B265" s="11" t="s">
        <v>15022</v>
      </c>
      <c r="C265" s="11" t="s">
        <v>15041</v>
      </c>
      <c r="D265" s="13" t="s">
        <v>15555</v>
      </c>
      <c r="E265" s="13" t="s">
        <v>15556</v>
      </c>
    </row>
    <row r="266" customFormat="false" ht="15" hidden="false" customHeight="true" outlineLevel="0" collapsed="false">
      <c r="A266" s="13" t="s">
        <v>179</v>
      </c>
      <c r="B266" s="11" t="s">
        <v>15022</v>
      </c>
      <c r="C266" s="11" t="s">
        <v>15044</v>
      </c>
      <c r="D266" s="13" t="s">
        <v>15557</v>
      </c>
      <c r="E266" s="13" t="s">
        <v>15558</v>
      </c>
    </row>
    <row r="267" customFormat="false" ht="15" hidden="false" customHeight="true" outlineLevel="0" collapsed="false">
      <c r="A267" s="13" t="s">
        <v>179</v>
      </c>
      <c r="B267" s="11" t="s">
        <v>15022</v>
      </c>
      <c r="C267" s="11" t="s">
        <v>15046</v>
      </c>
      <c r="D267" s="13" t="s">
        <v>15559</v>
      </c>
      <c r="E267" s="13" t="s">
        <v>15560</v>
      </c>
    </row>
    <row r="268" customFormat="false" ht="15" hidden="false" customHeight="true" outlineLevel="0" collapsed="false">
      <c r="A268" s="13" t="s">
        <v>179</v>
      </c>
      <c r="B268" s="11" t="s">
        <v>15022</v>
      </c>
      <c r="C268" s="11" t="s">
        <v>15049</v>
      </c>
      <c r="D268" s="13" t="s">
        <v>15561</v>
      </c>
      <c r="E268" s="13" t="s">
        <v>15562</v>
      </c>
    </row>
    <row r="269" customFormat="false" ht="15" hidden="false" customHeight="true" outlineLevel="0" collapsed="false">
      <c r="A269" s="13" t="s">
        <v>179</v>
      </c>
      <c r="B269" s="11" t="s">
        <v>15022</v>
      </c>
      <c r="C269" s="11" t="s">
        <v>15051</v>
      </c>
      <c r="D269" s="13" t="s">
        <v>15563</v>
      </c>
      <c r="E269" s="13" t="s">
        <v>15564</v>
      </c>
    </row>
    <row r="270" customFormat="false" ht="15" hidden="false" customHeight="true" outlineLevel="0" collapsed="false">
      <c r="A270" s="13" t="s">
        <v>179</v>
      </c>
      <c r="B270" s="11" t="s">
        <v>15022</v>
      </c>
      <c r="C270" s="11" t="s">
        <v>15054</v>
      </c>
      <c r="D270" s="13" t="s">
        <v>15565</v>
      </c>
      <c r="E270" s="13" t="s">
        <v>15566</v>
      </c>
    </row>
    <row r="271" customFormat="false" ht="15" hidden="false" customHeight="true" outlineLevel="0" collapsed="false">
      <c r="A271" s="13" t="s">
        <v>179</v>
      </c>
      <c r="B271" s="11" t="s">
        <v>15022</v>
      </c>
      <c r="C271" s="11" t="s">
        <v>15057</v>
      </c>
      <c r="D271" s="13" t="s">
        <v>15567</v>
      </c>
      <c r="E271" s="13" t="s">
        <v>15568</v>
      </c>
    </row>
    <row r="272" customFormat="false" ht="15" hidden="false" customHeight="true" outlineLevel="0" collapsed="false">
      <c r="A272" s="13" t="s">
        <v>179</v>
      </c>
      <c r="B272" s="11" t="s">
        <v>15022</v>
      </c>
      <c r="C272" s="11" t="s">
        <v>15060</v>
      </c>
      <c r="D272" s="13" t="s">
        <v>15569</v>
      </c>
      <c r="E272" s="13" t="s">
        <v>15570</v>
      </c>
    </row>
    <row r="273" customFormat="false" ht="15" hidden="false" customHeight="true" outlineLevel="0" collapsed="false">
      <c r="A273" s="13" t="s">
        <v>179</v>
      </c>
      <c r="B273" s="11" t="s">
        <v>15022</v>
      </c>
      <c r="C273" s="13" t="s">
        <v>15063</v>
      </c>
      <c r="D273" s="13" t="s">
        <v>15571</v>
      </c>
      <c r="E273" s="13" t="s">
        <v>15572</v>
      </c>
    </row>
    <row r="274" customFormat="false" ht="15" hidden="false" customHeight="true" outlineLevel="0" collapsed="false">
      <c r="A274" s="13" t="s">
        <v>179</v>
      </c>
      <c r="B274" s="11" t="s">
        <v>15022</v>
      </c>
      <c r="C274" s="11" t="s">
        <v>15066</v>
      </c>
      <c r="D274" s="13" t="s">
        <v>15573</v>
      </c>
      <c r="E274" s="13" t="s">
        <v>15574</v>
      </c>
    </row>
    <row r="275" customFormat="false" ht="15" hidden="false" customHeight="true" outlineLevel="0" collapsed="false">
      <c r="A275" s="13" t="s">
        <v>179</v>
      </c>
      <c r="B275" s="11" t="s">
        <v>15022</v>
      </c>
      <c r="C275" s="11" t="s">
        <v>15069</v>
      </c>
      <c r="D275" s="13" t="s">
        <v>15575</v>
      </c>
      <c r="E275" s="13" t="s">
        <v>15576</v>
      </c>
    </row>
    <row r="276" customFormat="false" ht="15" hidden="false" customHeight="true" outlineLevel="0" collapsed="false">
      <c r="A276" s="13" t="s">
        <v>179</v>
      </c>
      <c r="B276" s="11" t="s">
        <v>15022</v>
      </c>
      <c r="C276" s="11" t="s">
        <v>15072</v>
      </c>
      <c r="D276" s="13" t="s">
        <v>15577</v>
      </c>
      <c r="E276" s="13" t="s">
        <v>15578</v>
      </c>
    </row>
    <row r="277" customFormat="false" ht="15" hidden="false" customHeight="true" outlineLevel="0" collapsed="false">
      <c r="A277" s="13" t="s">
        <v>179</v>
      </c>
      <c r="B277" s="11" t="s">
        <v>15022</v>
      </c>
      <c r="C277" s="11" t="s">
        <v>15075</v>
      </c>
      <c r="D277" s="13" t="s">
        <v>15579</v>
      </c>
      <c r="E277" s="13" t="s">
        <v>15580</v>
      </c>
    </row>
    <row r="278" customFormat="false" ht="15" hidden="false" customHeight="true" outlineLevel="0" collapsed="false">
      <c r="A278" s="13" t="s">
        <v>179</v>
      </c>
      <c r="B278" s="11" t="s">
        <v>15022</v>
      </c>
      <c r="C278" s="11" t="s">
        <v>15078</v>
      </c>
      <c r="D278" s="13" t="s">
        <v>15581</v>
      </c>
      <c r="E278" s="13" t="s">
        <v>15582</v>
      </c>
    </row>
    <row r="279" customFormat="false" ht="15" hidden="false" customHeight="true" outlineLevel="0" collapsed="false">
      <c r="A279" s="13" t="s">
        <v>179</v>
      </c>
      <c r="B279" s="11" t="s">
        <v>15022</v>
      </c>
      <c r="C279" s="11" t="s">
        <v>15081</v>
      </c>
      <c r="D279" s="13" t="s">
        <v>15583</v>
      </c>
      <c r="E279" s="13" t="s">
        <v>15584</v>
      </c>
    </row>
    <row r="280" customFormat="false" ht="15" hidden="false" customHeight="true" outlineLevel="0" collapsed="false">
      <c r="A280" s="13" t="s">
        <v>187</v>
      </c>
      <c r="B280" s="11" t="s">
        <v>15022</v>
      </c>
      <c r="C280" s="13" t="s">
        <v>15023</v>
      </c>
      <c r="D280" s="13" t="s">
        <v>15585</v>
      </c>
      <c r="E280" s="13" t="s">
        <v>15586</v>
      </c>
    </row>
    <row r="281" customFormat="false" ht="15" hidden="false" customHeight="true" outlineLevel="0" collapsed="false">
      <c r="A281" s="13" t="s">
        <v>187</v>
      </c>
      <c r="B281" s="11" t="s">
        <v>15022</v>
      </c>
      <c r="C281" s="13" t="s">
        <v>15026</v>
      </c>
      <c r="D281" s="13" t="s">
        <v>15587</v>
      </c>
      <c r="E281" s="13" t="s">
        <v>15588</v>
      </c>
    </row>
    <row r="282" customFormat="false" ht="15" hidden="false" customHeight="true" outlineLevel="0" collapsed="false">
      <c r="A282" s="13" t="s">
        <v>187</v>
      </c>
      <c r="B282" s="11" t="s">
        <v>15022</v>
      </c>
      <c r="C282" s="13" t="s">
        <v>15029</v>
      </c>
      <c r="D282" s="13" t="s">
        <v>15589</v>
      </c>
      <c r="E282" s="13" t="s">
        <v>15590</v>
      </c>
    </row>
    <row r="283" customFormat="false" ht="15" hidden="false" customHeight="true" outlineLevel="0" collapsed="false">
      <c r="A283" s="13" t="s">
        <v>187</v>
      </c>
      <c r="B283" s="11" t="s">
        <v>15022</v>
      </c>
      <c r="C283" s="11" t="s">
        <v>15032</v>
      </c>
      <c r="D283" s="13" t="s">
        <v>15591</v>
      </c>
      <c r="E283" s="13" t="s">
        <v>15592</v>
      </c>
    </row>
    <row r="284" customFormat="false" ht="15" hidden="false" customHeight="true" outlineLevel="0" collapsed="false">
      <c r="A284" s="13" t="s">
        <v>187</v>
      </c>
      <c r="B284" s="11" t="s">
        <v>15022</v>
      </c>
      <c r="C284" s="11" t="s">
        <v>15035</v>
      </c>
      <c r="D284" s="13" t="s">
        <v>15593</v>
      </c>
      <c r="E284" s="13" t="s">
        <v>15594</v>
      </c>
    </row>
    <row r="285" customFormat="false" ht="15" hidden="false" customHeight="true" outlineLevel="0" collapsed="false">
      <c r="A285" s="13" t="s">
        <v>187</v>
      </c>
      <c r="B285" s="11" t="s">
        <v>15022</v>
      </c>
      <c r="C285" s="11" t="s">
        <v>15038</v>
      </c>
      <c r="D285" s="13" t="s">
        <v>15595</v>
      </c>
      <c r="E285" s="13" t="s">
        <v>15596</v>
      </c>
    </row>
    <row r="286" customFormat="false" ht="15" hidden="false" customHeight="true" outlineLevel="0" collapsed="false">
      <c r="A286" s="13" t="s">
        <v>187</v>
      </c>
      <c r="B286" s="11" t="s">
        <v>15022</v>
      </c>
      <c r="C286" s="11" t="s">
        <v>15041</v>
      </c>
      <c r="D286" s="13" t="s">
        <v>15597</v>
      </c>
      <c r="E286" s="13" t="s">
        <v>15598</v>
      </c>
    </row>
    <row r="287" customFormat="false" ht="15" hidden="false" customHeight="true" outlineLevel="0" collapsed="false">
      <c r="A287" s="13" t="s">
        <v>187</v>
      </c>
      <c r="B287" s="11" t="s">
        <v>15022</v>
      </c>
      <c r="C287" s="11" t="s">
        <v>15044</v>
      </c>
      <c r="D287" s="13" t="s">
        <v>15599</v>
      </c>
      <c r="E287" s="13" t="s">
        <v>15600</v>
      </c>
    </row>
    <row r="288" customFormat="false" ht="15" hidden="false" customHeight="true" outlineLevel="0" collapsed="false">
      <c r="A288" s="13" t="s">
        <v>187</v>
      </c>
      <c r="B288" s="11" t="s">
        <v>15022</v>
      </c>
      <c r="C288" s="11" t="s">
        <v>15046</v>
      </c>
      <c r="D288" s="13" t="s">
        <v>15601</v>
      </c>
      <c r="E288" s="13" t="s">
        <v>15602</v>
      </c>
    </row>
    <row r="289" customFormat="false" ht="15" hidden="false" customHeight="true" outlineLevel="0" collapsed="false">
      <c r="A289" s="13" t="s">
        <v>187</v>
      </c>
      <c r="B289" s="11" t="s">
        <v>15022</v>
      </c>
      <c r="C289" s="11" t="s">
        <v>15049</v>
      </c>
      <c r="D289" s="13" t="s">
        <v>15603</v>
      </c>
      <c r="E289" s="13" t="s">
        <v>15604</v>
      </c>
    </row>
    <row r="290" customFormat="false" ht="15" hidden="false" customHeight="true" outlineLevel="0" collapsed="false">
      <c r="A290" s="13" t="s">
        <v>187</v>
      </c>
      <c r="B290" s="11" t="s">
        <v>15022</v>
      </c>
      <c r="C290" s="11" t="s">
        <v>15051</v>
      </c>
      <c r="D290" s="13" t="s">
        <v>15605</v>
      </c>
      <c r="E290" s="13" t="s">
        <v>15606</v>
      </c>
    </row>
    <row r="291" customFormat="false" ht="15" hidden="false" customHeight="true" outlineLevel="0" collapsed="false">
      <c r="A291" s="13" t="s">
        <v>187</v>
      </c>
      <c r="B291" s="11" t="s">
        <v>15022</v>
      </c>
      <c r="C291" s="11" t="s">
        <v>15054</v>
      </c>
      <c r="D291" s="13" t="s">
        <v>15607</v>
      </c>
      <c r="E291" s="13" t="s">
        <v>15608</v>
      </c>
    </row>
    <row r="292" customFormat="false" ht="15" hidden="false" customHeight="true" outlineLevel="0" collapsed="false">
      <c r="A292" s="13" t="s">
        <v>187</v>
      </c>
      <c r="B292" s="11" t="s">
        <v>15022</v>
      </c>
      <c r="C292" s="11" t="s">
        <v>15057</v>
      </c>
      <c r="D292" s="13" t="s">
        <v>15609</v>
      </c>
      <c r="E292" s="13" t="s">
        <v>15610</v>
      </c>
    </row>
    <row r="293" customFormat="false" ht="15" hidden="false" customHeight="true" outlineLevel="0" collapsed="false">
      <c r="A293" s="13" t="s">
        <v>187</v>
      </c>
      <c r="B293" s="11" t="s">
        <v>15022</v>
      </c>
      <c r="C293" s="11" t="s">
        <v>15060</v>
      </c>
      <c r="D293" s="13" t="s">
        <v>15611</v>
      </c>
      <c r="E293" s="13" t="s">
        <v>15612</v>
      </c>
    </row>
    <row r="294" customFormat="false" ht="15" hidden="false" customHeight="true" outlineLevel="0" collapsed="false">
      <c r="A294" s="13" t="s">
        <v>187</v>
      </c>
      <c r="B294" s="11" t="s">
        <v>15022</v>
      </c>
      <c r="C294" s="13" t="s">
        <v>15063</v>
      </c>
      <c r="D294" s="13" t="s">
        <v>15613</v>
      </c>
      <c r="E294" s="13" t="s">
        <v>15614</v>
      </c>
    </row>
    <row r="295" customFormat="false" ht="15" hidden="false" customHeight="true" outlineLevel="0" collapsed="false">
      <c r="A295" s="13" t="s">
        <v>187</v>
      </c>
      <c r="B295" s="11" t="s">
        <v>15022</v>
      </c>
      <c r="C295" s="11" t="s">
        <v>15066</v>
      </c>
      <c r="D295" s="13" t="s">
        <v>15615</v>
      </c>
      <c r="E295" s="13" t="s">
        <v>15616</v>
      </c>
    </row>
    <row r="296" customFormat="false" ht="15" hidden="false" customHeight="true" outlineLevel="0" collapsed="false">
      <c r="A296" s="13" t="s">
        <v>187</v>
      </c>
      <c r="B296" s="11" t="s">
        <v>15022</v>
      </c>
      <c r="C296" s="11" t="s">
        <v>15069</v>
      </c>
      <c r="D296" s="13" t="s">
        <v>15617</v>
      </c>
      <c r="E296" s="13" t="s">
        <v>15618</v>
      </c>
    </row>
    <row r="297" customFormat="false" ht="15" hidden="false" customHeight="true" outlineLevel="0" collapsed="false">
      <c r="A297" s="13" t="s">
        <v>187</v>
      </c>
      <c r="B297" s="11" t="s">
        <v>15022</v>
      </c>
      <c r="C297" s="11" t="s">
        <v>15072</v>
      </c>
      <c r="D297" s="13" t="s">
        <v>15619</v>
      </c>
      <c r="E297" s="13" t="s">
        <v>15620</v>
      </c>
    </row>
    <row r="298" customFormat="false" ht="15" hidden="false" customHeight="true" outlineLevel="0" collapsed="false">
      <c r="A298" s="13" t="s">
        <v>187</v>
      </c>
      <c r="B298" s="11" t="s">
        <v>15022</v>
      </c>
      <c r="C298" s="11" t="s">
        <v>15075</v>
      </c>
      <c r="D298" s="13" t="s">
        <v>15621</v>
      </c>
      <c r="E298" s="13" t="s">
        <v>15622</v>
      </c>
    </row>
    <row r="299" customFormat="false" ht="15" hidden="false" customHeight="true" outlineLevel="0" collapsed="false">
      <c r="A299" s="13" t="s">
        <v>187</v>
      </c>
      <c r="B299" s="11" t="s">
        <v>15022</v>
      </c>
      <c r="C299" s="11" t="s">
        <v>15078</v>
      </c>
      <c r="D299" s="13" t="s">
        <v>15623</v>
      </c>
      <c r="E299" s="13" t="s">
        <v>15624</v>
      </c>
    </row>
    <row r="300" customFormat="false" ht="15" hidden="false" customHeight="true" outlineLevel="0" collapsed="false">
      <c r="A300" s="13" t="s">
        <v>187</v>
      </c>
      <c r="B300" s="11" t="s">
        <v>15022</v>
      </c>
      <c r="C300" s="11" t="s">
        <v>15081</v>
      </c>
      <c r="D300" s="13" t="s">
        <v>15625</v>
      </c>
      <c r="E300" s="13" t="s">
        <v>15626</v>
      </c>
    </row>
    <row r="301" customFormat="false" ht="15" hidden="false" customHeight="true" outlineLevel="0" collapsed="false">
      <c r="A301" s="13" t="s">
        <v>195</v>
      </c>
      <c r="B301" s="11" t="s">
        <v>15022</v>
      </c>
      <c r="C301" s="13" t="s">
        <v>15023</v>
      </c>
      <c r="D301" s="13" t="s">
        <v>15627</v>
      </c>
      <c r="E301" s="13" t="s">
        <v>15628</v>
      </c>
    </row>
    <row r="302" customFormat="false" ht="15" hidden="false" customHeight="true" outlineLevel="0" collapsed="false">
      <c r="A302" s="13" t="s">
        <v>195</v>
      </c>
      <c r="B302" s="11" t="s">
        <v>15022</v>
      </c>
      <c r="C302" s="13" t="s">
        <v>15026</v>
      </c>
      <c r="D302" s="13" t="s">
        <v>15629</v>
      </c>
      <c r="E302" s="13" t="s">
        <v>15630</v>
      </c>
    </row>
    <row r="303" customFormat="false" ht="15" hidden="false" customHeight="true" outlineLevel="0" collapsed="false">
      <c r="A303" s="13" t="s">
        <v>195</v>
      </c>
      <c r="B303" s="11" t="s">
        <v>15022</v>
      </c>
      <c r="C303" s="13" t="s">
        <v>15029</v>
      </c>
      <c r="D303" s="13" t="s">
        <v>15631</v>
      </c>
      <c r="E303" s="13" t="s">
        <v>15632</v>
      </c>
    </row>
    <row r="304" customFormat="false" ht="15" hidden="false" customHeight="true" outlineLevel="0" collapsed="false">
      <c r="A304" s="13" t="s">
        <v>195</v>
      </c>
      <c r="B304" s="11" t="s">
        <v>15022</v>
      </c>
      <c r="C304" s="11" t="s">
        <v>15032</v>
      </c>
      <c r="D304" s="13" t="s">
        <v>15633</v>
      </c>
      <c r="E304" s="13" t="s">
        <v>15634</v>
      </c>
    </row>
    <row r="305" customFormat="false" ht="15" hidden="false" customHeight="true" outlineLevel="0" collapsed="false">
      <c r="A305" s="13" t="s">
        <v>195</v>
      </c>
      <c r="B305" s="11" t="s">
        <v>15022</v>
      </c>
      <c r="C305" s="11" t="s">
        <v>15035</v>
      </c>
      <c r="D305" s="13" t="s">
        <v>15635</v>
      </c>
      <c r="E305" s="13" t="s">
        <v>15636</v>
      </c>
    </row>
    <row r="306" customFormat="false" ht="15" hidden="false" customHeight="true" outlineLevel="0" collapsed="false">
      <c r="A306" s="13" t="s">
        <v>195</v>
      </c>
      <c r="B306" s="11" t="s">
        <v>15022</v>
      </c>
      <c r="C306" s="11" t="s">
        <v>15038</v>
      </c>
      <c r="D306" s="13" t="s">
        <v>15637</v>
      </c>
      <c r="E306" s="13" t="s">
        <v>15638</v>
      </c>
    </row>
    <row r="307" customFormat="false" ht="15" hidden="false" customHeight="true" outlineLevel="0" collapsed="false">
      <c r="A307" s="13" t="s">
        <v>195</v>
      </c>
      <c r="B307" s="11" t="s">
        <v>15022</v>
      </c>
      <c r="C307" s="11" t="s">
        <v>15041</v>
      </c>
      <c r="D307" s="13" t="s">
        <v>15639</v>
      </c>
      <c r="E307" s="13" t="s">
        <v>15640</v>
      </c>
    </row>
    <row r="308" customFormat="false" ht="15" hidden="false" customHeight="true" outlineLevel="0" collapsed="false">
      <c r="A308" s="13" t="s">
        <v>195</v>
      </c>
      <c r="B308" s="11" t="s">
        <v>15022</v>
      </c>
      <c r="C308" s="11" t="s">
        <v>15044</v>
      </c>
      <c r="D308" s="13" t="s">
        <v>15641</v>
      </c>
      <c r="E308" s="13" t="s">
        <v>15642</v>
      </c>
    </row>
    <row r="309" customFormat="false" ht="15" hidden="false" customHeight="true" outlineLevel="0" collapsed="false">
      <c r="A309" s="13" t="s">
        <v>195</v>
      </c>
      <c r="B309" s="11" t="s">
        <v>15022</v>
      </c>
      <c r="C309" s="11" t="s">
        <v>15046</v>
      </c>
      <c r="D309" s="13" t="s">
        <v>15643</v>
      </c>
      <c r="E309" s="13" t="s">
        <v>15644</v>
      </c>
    </row>
    <row r="310" customFormat="false" ht="15" hidden="false" customHeight="true" outlineLevel="0" collapsed="false">
      <c r="A310" s="13" t="s">
        <v>195</v>
      </c>
      <c r="B310" s="11" t="s">
        <v>15022</v>
      </c>
      <c r="C310" s="11" t="s">
        <v>15049</v>
      </c>
      <c r="D310" s="13" t="s">
        <v>15645</v>
      </c>
      <c r="E310" s="13" t="s">
        <v>15646</v>
      </c>
    </row>
    <row r="311" customFormat="false" ht="15" hidden="false" customHeight="true" outlineLevel="0" collapsed="false">
      <c r="A311" s="13" t="s">
        <v>195</v>
      </c>
      <c r="B311" s="11" t="s">
        <v>15022</v>
      </c>
      <c r="C311" s="11" t="s">
        <v>15051</v>
      </c>
      <c r="D311" s="13" t="s">
        <v>15647</v>
      </c>
      <c r="E311" s="13" t="s">
        <v>15648</v>
      </c>
    </row>
    <row r="312" customFormat="false" ht="15" hidden="false" customHeight="true" outlineLevel="0" collapsed="false">
      <c r="A312" s="13" t="s">
        <v>195</v>
      </c>
      <c r="B312" s="11" t="s">
        <v>15022</v>
      </c>
      <c r="C312" s="11" t="s">
        <v>15054</v>
      </c>
      <c r="D312" s="13" t="s">
        <v>15649</v>
      </c>
      <c r="E312" s="13" t="s">
        <v>15650</v>
      </c>
    </row>
    <row r="313" customFormat="false" ht="15" hidden="false" customHeight="true" outlineLevel="0" collapsed="false">
      <c r="A313" s="13" t="s">
        <v>195</v>
      </c>
      <c r="B313" s="11" t="s">
        <v>15022</v>
      </c>
      <c r="C313" s="11" t="s">
        <v>15057</v>
      </c>
      <c r="D313" s="13" t="s">
        <v>15651</v>
      </c>
      <c r="E313" s="13" t="s">
        <v>15652</v>
      </c>
    </row>
    <row r="314" customFormat="false" ht="15" hidden="false" customHeight="true" outlineLevel="0" collapsed="false">
      <c r="A314" s="13" t="s">
        <v>195</v>
      </c>
      <c r="B314" s="11" t="s">
        <v>15022</v>
      </c>
      <c r="C314" s="11" t="s">
        <v>15060</v>
      </c>
      <c r="D314" s="13" t="s">
        <v>15653</v>
      </c>
      <c r="E314" s="13" t="s">
        <v>15654</v>
      </c>
    </row>
    <row r="315" customFormat="false" ht="15" hidden="false" customHeight="true" outlineLevel="0" collapsed="false">
      <c r="A315" s="13" t="s">
        <v>195</v>
      </c>
      <c r="B315" s="11" t="s">
        <v>15022</v>
      </c>
      <c r="C315" s="13" t="s">
        <v>15063</v>
      </c>
      <c r="D315" s="13" t="s">
        <v>15655</v>
      </c>
      <c r="E315" s="13" t="s">
        <v>15656</v>
      </c>
    </row>
    <row r="316" customFormat="false" ht="15" hidden="false" customHeight="true" outlineLevel="0" collapsed="false">
      <c r="A316" s="13" t="s">
        <v>195</v>
      </c>
      <c r="B316" s="11" t="s">
        <v>15022</v>
      </c>
      <c r="C316" s="11" t="s">
        <v>15066</v>
      </c>
      <c r="D316" s="13" t="s">
        <v>15657</v>
      </c>
      <c r="E316" s="13" t="s">
        <v>15658</v>
      </c>
    </row>
    <row r="317" customFormat="false" ht="15" hidden="false" customHeight="true" outlineLevel="0" collapsed="false">
      <c r="A317" s="13" t="s">
        <v>195</v>
      </c>
      <c r="B317" s="11" t="s">
        <v>15022</v>
      </c>
      <c r="C317" s="11" t="s">
        <v>15069</v>
      </c>
      <c r="D317" s="13" t="s">
        <v>15659</v>
      </c>
      <c r="E317" s="13" t="s">
        <v>15660</v>
      </c>
    </row>
    <row r="318" customFormat="false" ht="15" hidden="false" customHeight="true" outlineLevel="0" collapsed="false">
      <c r="A318" s="13" t="s">
        <v>195</v>
      </c>
      <c r="B318" s="11" t="s">
        <v>15022</v>
      </c>
      <c r="C318" s="11" t="s">
        <v>15072</v>
      </c>
      <c r="D318" s="13" t="s">
        <v>15661</v>
      </c>
      <c r="E318" s="13" t="s">
        <v>15662</v>
      </c>
    </row>
    <row r="319" customFormat="false" ht="15" hidden="false" customHeight="true" outlineLevel="0" collapsed="false">
      <c r="A319" s="13" t="s">
        <v>195</v>
      </c>
      <c r="B319" s="11" t="s">
        <v>15022</v>
      </c>
      <c r="C319" s="11" t="s">
        <v>15075</v>
      </c>
      <c r="D319" s="13" t="s">
        <v>15663</v>
      </c>
      <c r="E319" s="13" t="s">
        <v>15664</v>
      </c>
    </row>
    <row r="320" customFormat="false" ht="15" hidden="false" customHeight="true" outlineLevel="0" collapsed="false">
      <c r="A320" s="13" t="s">
        <v>195</v>
      </c>
      <c r="B320" s="11" t="s">
        <v>15022</v>
      </c>
      <c r="C320" s="11" t="s">
        <v>15078</v>
      </c>
      <c r="D320" s="13" t="s">
        <v>15665</v>
      </c>
      <c r="E320" s="13" t="s">
        <v>15666</v>
      </c>
    </row>
    <row r="321" customFormat="false" ht="15" hidden="false" customHeight="true" outlineLevel="0" collapsed="false">
      <c r="A321" s="13" t="s">
        <v>195</v>
      </c>
      <c r="B321" s="11" t="s">
        <v>15022</v>
      </c>
      <c r="C321" s="11" t="s">
        <v>15081</v>
      </c>
      <c r="D321" s="13" t="s">
        <v>15667</v>
      </c>
      <c r="E321" s="13" t="s">
        <v>15668</v>
      </c>
    </row>
    <row r="322" customFormat="false" ht="15" hidden="false" customHeight="true" outlineLevel="0" collapsed="false">
      <c r="A322" s="13" t="s">
        <v>203</v>
      </c>
      <c r="B322" s="11" t="s">
        <v>15022</v>
      </c>
      <c r="C322" s="13" t="s">
        <v>15023</v>
      </c>
      <c r="D322" s="13" t="s">
        <v>15669</v>
      </c>
      <c r="E322" s="13" t="s">
        <v>15670</v>
      </c>
    </row>
    <row r="323" customFormat="false" ht="15" hidden="false" customHeight="true" outlineLevel="0" collapsed="false">
      <c r="A323" s="13" t="s">
        <v>203</v>
      </c>
      <c r="B323" s="11" t="s">
        <v>15022</v>
      </c>
      <c r="C323" s="13" t="s">
        <v>15026</v>
      </c>
      <c r="D323" s="13" t="s">
        <v>15671</v>
      </c>
      <c r="E323" s="13" t="s">
        <v>15672</v>
      </c>
    </row>
    <row r="324" customFormat="false" ht="15" hidden="false" customHeight="true" outlineLevel="0" collapsed="false">
      <c r="A324" s="13" t="s">
        <v>203</v>
      </c>
      <c r="B324" s="11" t="s">
        <v>15022</v>
      </c>
      <c r="C324" s="13" t="s">
        <v>15029</v>
      </c>
      <c r="D324" s="13" t="s">
        <v>15673</v>
      </c>
      <c r="E324" s="13" t="s">
        <v>15674</v>
      </c>
    </row>
    <row r="325" customFormat="false" ht="15" hidden="false" customHeight="true" outlineLevel="0" collapsed="false">
      <c r="A325" s="13" t="s">
        <v>203</v>
      </c>
      <c r="B325" s="11" t="s">
        <v>15022</v>
      </c>
      <c r="C325" s="11" t="s">
        <v>15032</v>
      </c>
      <c r="D325" s="13" t="s">
        <v>15675</v>
      </c>
      <c r="E325" s="13" t="s">
        <v>15676</v>
      </c>
    </row>
    <row r="326" customFormat="false" ht="15" hidden="false" customHeight="true" outlineLevel="0" collapsed="false">
      <c r="A326" s="13" t="s">
        <v>203</v>
      </c>
      <c r="B326" s="11" t="s">
        <v>15022</v>
      </c>
      <c r="C326" s="11" t="s">
        <v>15035</v>
      </c>
      <c r="D326" s="13" t="s">
        <v>15677</v>
      </c>
      <c r="E326" s="13" t="s">
        <v>15678</v>
      </c>
    </row>
    <row r="327" customFormat="false" ht="15" hidden="false" customHeight="true" outlineLevel="0" collapsed="false">
      <c r="A327" s="13" t="s">
        <v>203</v>
      </c>
      <c r="B327" s="11" t="s">
        <v>15022</v>
      </c>
      <c r="C327" s="11" t="s">
        <v>15038</v>
      </c>
      <c r="D327" s="13" t="s">
        <v>15679</v>
      </c>
      <c r="E327" s="13" t="s">
        <v>15680</v>
      </c>
    </row>
    <row r="328" customFormat="false" ht="15" hidden="false" customHeight="true" outlineLevel="0" collapsed="false">
      <c r="A328" s="13" t="s">
        <v>203</v>
      </c>
      <c r="B328" s="11" t="s">
        <v>15022</v>
      </c>
      <c r="C328" s="11" t="s">
        <v>15041</v>
      </c>
      <c r="D328" s="13" t="s">
        <v>15681</v>
      </c>
      <c r="E328" s="13" t="s">
        <v>15682</v>
      </c>
    </row>
    <row r="329" customFormat="false" ht="15" hidden="false" customHeight="true" outlineLevel="0" collapsed="false">
      <c r="A329" s="13" t="s">
        <v>203</v>
      </c>
      <c r="B329" s="11" t="s">
        <v>15022</v>
      </c>
      <c r="C329" s="11" t="s">
        <v>15044</v>
      </c>
      <c r="D329" s="13" t="s">
        <v>15683</v>
      </c>
      <c r="E329" s="13" t="s">
        <v>15684</v>
      </c>
    </row>
    <row r="330" customFormat="false" ht="15" hidden="false" customHeight="true" outlineLevel="0" collapsed="false">
      <c r="A330" s="13" t="s">
        <v>203</v>
      </c>
      <c r="B330" s="11" t="s">
        <v>15022</v>
      </c>
      <c r="C330" s="11" t="s">
        <v>15046</v>
      </c>
      <c r="D330" s="13" t="s">
        <v>15685</v>
      </c>
      <c r="E330" s="13" t="s">
        <v>15686</v>
      </c>
    </row>
    <row r="331" customFormat="false" ht="15" hidden="false" customHeight="true" outlineLevel="0" collapsed="false">
      <c r="A331" s="13" t="s">
        <v>203</v>
      </c>
      <c r="B331" s="11" t="s">
        <v>15022</v>
      </c>
      <c r="C331" s="11" t="s">
        <v>15049</v>
      </c>
      <c r="D331" s="13" t="s">
        <v>15687</v>
      </c>
      <c r="E331" s="13" t="s">
        <v>15688</v>
      </c>
    </row>
    <row r="332" customFormat="false" ht="15" hidden="false" customHeight="true" outlineLevel="0" collapsed="false">
      <c r="A332" s="13" t="s">
        <v>203</v>
      </c>
      <c r="B332" s="11" t="s">
        <v>15022</v>
      </c>
      <c r="C332" s="11" t="s">
        <v>15051</v>
      </c>
      <c r="D332" s="13" t="s">
        <v>15689</v>
      </c>
      <c r="E332" s="13" t="s">
        <v>15690</v>
      </c>
    </row>
    <row r="333" customFormat="false" ht="15" hidden="false" customHeight="true" outlineLevel="0" collapsed="false">
      <c r="A333" s="13" t="s">
        <v>203</v>
      </c>
      <c r="B333" s="11" t="s">
        <v>15022</v>
      </c>
      <c r="C333" s="11" t="s">
        <v>15054</v>
      </c>
      <c r="D333" s="13" t="s">
        <v>15691</v>
      </c>
      <c r="E333" s="13" t="s">
        <v>15692</v>
      </c>
    </row>
    <row r="334" customFormat="false" ht="15" hidden="false" customHeight="true" outlineLevel="0" collapsed="false">
      <c r="A334" s="13" t="s">
        <v>203</v>
      </c>
      <c r="B334" s="11" t="s">
        <v>15022</v>
      </c>
      <c r="C334" s="11" t="s">
        <v>15057</v>
      </c>
      <c r="D334" s="13" t="s">
        <v>15693</v>
      </c>
      <c r="E334" s="13" t="s">
        <v>15694</v>
      </c>
    </row>
    <row r="335" customFormat="false" ht="15" hidden="false" customHeight="true" outlineLevel="0" collapsed="false">
      <c r="A335" s="13" t="s">
        <v>203</v>
      </c>
      <c r="B335" s="11" t="s">
        <v>15022</v>
      </c>
      <c r="C335" s="11" t="s">
        <v>15060</v>
      </c>
      <c r="D335" s="13" t="s">
        <v>15695</v>
      </c>
      <c r="E335" s="13" t="s">
        <v>15696</v>
      </c>
    </row>
    <row r="336" customFormat="false" ht="15" hidden="false" customHeight="true" outlineLevel="0" collapsed="false">
      <c r="A336" s="13" t="s">
        <v>203</v>
      </c>
      <c r="B336" s="11" t="s">
        <v>15022</v>
      </c>
      <c r="C336" s="13" t="s">
        <v>15063</v>
      </c>
      <c r="D336" s="13" t="s">
        <v>15697</v>
      </c>
      <c r="E336" s="13" t="s">
        <v>15698</v>
      </c>
    </row>
    <row r="337" customFormat="false" ht="15" hidden="false" customHeight="true" outlineLevel="0" collapsed="false">
      <c r="A337" s="13" t="s">
        <v>203</v>
      </c>
      <c r="B337" s="11" t="s">
        <v>15022</v>
      </c>
      <c r="C337" s="11" t="s">
        <v>15066</v>
      </c>
      <c r="D337" s="13" t="s">
        <v>15699</v>
      </c>
      <c r="E337" s="13" t="s">
        <v>15700</v>
      </c>
    </row>
    <row r="338" customFormat="false" ht="15" hidden="false" customHeight="true" outlineLevel="0" collapsed="false">
      <c r="A338" s="13" t="s">
        <v>203</v>
      </c>
      <c r="B338" s="11" t="s">
        <v>15022</v>
      </c>
      <c r="C338" s="11" t="s">
        <v>15069</v>
      </c>
      <c r="D338" s="13" t="s">
        <v>15701</v>
      </c>
      <c r="E338" s="13" t="s">
        <v>15702</v>
      </c>
    </row>
    <row r="339" customFormat="false" ht="15" hidden="false" customHeight="true" outlineLevel="0" collapsed="false">
      <c r="A339" s="13" t="s">
        <v>203</v>
      </c>
      <c r="B339" s="11" t="s">
        <v>15022</v>
      </c>
      <c r="C339" s="11" t="s">
        <v>15072</v>
      </c>
      <c r="D339" s="13" t="s">
        <v>15703</v>
      </c>
      <c r="E339" s="13" t="s">
        <v>15704</v>
      </c>
    </row>
    <row r="340" customFormat="false" ht="15" hidden="false" customHeight="true" outlineLevel="0" collapsed="false">
      <c r="A340" s="13" t="s">
        <v>203</v>
      </c>
      <c r="B340" s="11" t="s">
        <v>15022</v>
      </c>
      <c r="C340" s="11" t="s">
        <v>15075</v>
      </c>
      <c r="D340" s="13" t="s">
        <v>15705</v>
      </c>
      <c r="E340" s="13" t="s">
        <v>15706</v>
      </c>
    </row>
    <row r="341" customFormat="false" ht="15" hidden="false" customHeight="true" outlineLevel="0" collapsed="false">
      <c r="A341" s="13" t="s">
        <v>203</v>
      </c>
      <c r="B341" s="11" t="s">
        <v>15022</v>
      </c>
      <c r="C341" s="11" t="s">
        <v>15078</v>
      </c>
      <c r="D341" s="13" t="s">
        <v>15707</v>
      </c>
      <c r="E341" s="13" t="s">
        <v>15708</v>
      </c>
    </row>
    <row r="342" customFormat="false" ht="15" hidden="false" customHeight="true" outlineLevel="0" collapsed="false">
      <c r="A342" s="13" t="s">
        <v>203</v>
      </c>
      <c r="B342" s="11" t="s">
        <v>15022</v>
      </c>
      <c r="C342" s="11" t="s">
        <v>15081</v>
      </c>
      <c r="D342" s="13" t="s">
        <v>15709</v>
      </c>
      <c r="E342" s="13" t="s">
        <v>15710</v>
      </c>
    </row>
    <row r="343" customFormat="false" ht="15" hidden="false" customHeight="true" outlineLevel="0" collapsed="false">
      <c r="A343" s="13" t="s">
        <v>211</v>
      </c>
      <c r="B343" s="11" t="s">
        <v>15022</v>
      </c>
      <c r="C343" s="13" t="s">
        <v>15023</v>
      </c>
      <c r="D343" s="13" t="s">
        <v>15711</v>
      </c>
      <c r="E343" s="13" t="s">
        <v>15712</v>
      </c>
    </row>
    <row r="344" customFormat="false" ht="15" hidden="false" customHeight="true" outlineLevel="0" collapsed="false">
      <c r="A344" s="13" t="s">
        <v>211</v>
      </c>
      <c r="B344" s="11" t="s">
        <v>15022</v>
      </c>
      <c r="C344" s="13" t="s">
        <v>15026</v>
      </c>
      <c r="D344" s="13" t="s">
        <v>15713</v>
      </c>
      <c r="E344" s="13" t="s">
        <v>15714</v>
      </c>
    </row>
    <row r="345" customFormat="false" ht="15" hidden="false" customHeight="true" outlineLevel="0" collapsed="false">
      <c r="A345" s="13" t="s">
        <v>211</v>
      </c>
      <c r="B345" s="11" t="s">
        <v>15022</v>
      </c>
      <c r="C345" s="13" t="s">
        <v>15029</v>
      </c>
      <c r="D345" s="13" t="s">
        <v>15715</v>
      </c>
      <c r="E345" s="13" t="s">
        <v>15716</v>
      </c>
    </row>
    <row r="346" customFormat="false" ht="15" hidden="false" customHeight="true" outlineLevel="0" collapsed="false">
      <c r="A346" s="13" t="s">
        <v>211</v>
      </c>
      <c r="B346" s="11" t="s">
        <v>15022</v>
      </c>
      <c r="C346" s="11" t="s">
        <v>15032</v>
      </c>
      <c r="D346" s="13" t="s">
        <v>15717</v>
      </c>
      <c r="E346" s="13" t="s">
        <v>15718</v>
      </c>
    </row>
    <row r="347" customFormat="false" ht="15" hidden="false" customHeight="true" outlineLevel="0" collapsed="false">
      <c r="A347" s="13" t="s">
        <v>211</v>
      </c>
      <c r="B347" s="11" t="s">
        <v>15022</v>
      </c>
      <c r="C347" s="11" t="s">
        <v>15035</v>
      </c>
      <c r="D347" s="13" t="s">
        <v>15719</v>
      </c>
      <c r="E347" s="13" t="s">
        <v>15720</v>
      </c>
    </row>
    <row r="348" customFormat="false" ht="15" hidden="false" customHeight="true" outlineLevel="0" collapsed="false">
      <c r="A348" s="13" t="s">
        <v>211</v>
      </c>
      <c r="B348" s="11" t="s">
        <v>15022</v>
      </c>
      <c r="C348" s="11" t="s">
        <v>15038</v>
      </c>
      <c r="D348" s="13" t="s">
        <v>15721</v>
      </c>
      <c r="E348" s="13" t="s">
        <v>15722</v>
      </c>
    </row>
    <row r="349" customFormat="false" ht="15" hidden="false" customHeight="true" outlineLevel="0" collapsed="false">
      <c r="A349" s="13" t="s">
        <v>211</v>
      </c>
      <c r="B349" s="11" t="s">
        <v>15022</v>
      </c>
      <c r="C349" s="11" t="s">
        <v>15041</v>
      </c>
      <c r="D349" s="13" t="s">
        <v>15723</v>
      </c>
      <c r="E349" s="13" t="s">
        <v>15724</v>
      </c>
    </row>
    <row r="350" customFormat="false" ht="15" hidden="false" customHeight="true" outlineLevel="0" collapsed="false">
      <c r="A350" s="13" t="s">
        <v>211</v>
      </c>
      <c r="B350" s="11" t="s">
        <v>15022</v>
      </c>
      <c r="C350" s="11" t="s">
        <v>15044</v>
      </c>
      <c r="D350" s="13" t="s">
        <v>15725</v>
      </c>
      <c r="E350" s="13" t="s">
        <v>15726</v>
      </c>
    </row>
    <row r="351" customFormat="false" ht="15" hidden="false" customHeight="true" outlineLevel="0" collapsed="false">
      <c r="A351" s="13" t="s">
        <v>211</v>
      </c>
      <c r="B351" s="11" t="s">
        <v>15022</v>
      </c>
      <c r="C351" s="11" t="s">
        <v>15046</v>
      </c>
      <c r="D351" s="13" t="s">
        <v>15727</v>
      </c>
      <c r="E351" s="13" t="s">
        <v>15728</v>
      </c>
    </row>
    <row r="352" customFormat="false" ht="15" hidden="false" customHeight="true" outlineLevel="0" collapsed="false">
      <c r="A352" s="13" t="s">
        <v>211</v>
      </c>
      <c r="B352" s="11" t="s">
        <v>15022</v>
      </c>
      <c r="C352" s="11" t="s">
        <v>15049</v>
      </c>
      <c r="D352" s="13" t="s">
        <v>15729</v>
      </c>
      <c r="E352" s="13" t="s">
        <v>15730</v>
      </c>
    </row>
    <row r="353" customFormat="false" ht="15" hidden="false" customHeight="true" outlineLevel="0" collapsed="false">
      <c r="A353" s="13" t="s">
        <v>211</v>
      </c>
      <c r="B353" s="11" t="s">
        <v>15022</v>
      </c>
      <c r="C353" s="11" t="s">
        <v>15051</v>
      </c>
      <c r="D353" s="13" t="s">
        <v>15731</v>
      </c>
      <c r="E353" s="13" t="s">
        <v>15732</v>
      </c>
    </row>
    <row r="354" customFormat="false" ht="15" hidden="false" customHeight="true" outlineLevel="0" collapsed="false">
      <c r="A354" s="13" t="s">
        <v>211</v>
      </c>
      <c r="B354" s="11" t="s">
        <v>15022</v>
      </c>
      <c r="C354" s="11" t="s">
        <v>15054</v>
      </c>
      <c r="D354" s="13" t="s">
        <v>15733</v>
      </c>
      <c r="E354" s="13" t="s">
        <v>15734</v>
      </c>
    </row>
    <row r="355" customFormat="false" ht="15" hidden="false" customHeight="true" outlineLevel="0" collapsed="false">
      <c r="A355" s="13" t="s">
        <v>211</v>
      </c>
      <c r="B355" s="11" t="s">
        <v>15022</v>
      </c>
      <c r="C355" s="11" t="s">
        <v>15057</v>
      </c>
      <c r="D355" s="13" t="s">
        <v>15735</v>
      </c>
      <c r="E355" s="13" t="s">
        <v>15736</v>
      </c>
    </row>
    <row r="356" customFormat="false" ht="15" hidden="false" customHeight="true" outlineLevel="0" collapsed="false">
      <c r="A356" s="13" t="s">
        <v>211</v>
      </c>
      <c r="B356" s="11" t="s">
        <v>15022</v>
      </c>
      <c r="C356" s="11" t="s">
        <v>15060</v>
      </c>
      <c r="D356" s="13" t="s">
        <v>15737</v>
      </c>
      <c r="E356" s="13" t="s">
        <v>15738</v>
      </c>
    </row>
    <row r="357" customFormat="false" ht="15" hidden="false" customHeight="true" outlineLevel="0" collapsed="false">
      <c r="A357" s="13" t="s">
        <v>211</v>
      </c>
      <c r="B357" s="11" t="s">
        <v>15022</v>
      </c>
      <c r="C357" s="13" t="s">
        <v>15063</v>
      </c>
      <c r="D357" s="13" t="s">
        <v>15739</v>
      </c>
      <c r="E357" s="13" t="s">
        <v>15740</v>
      </c>
    </row>
    <row r="358" customFormat="false" ht="15" hidden="false" customHeight="true" outlineLevel="0" collapsed="false">
      <c r="A358" s="13" t="s">
        <v>211</v>
      </c>
      <c r="B358" s="11" t="s">
        <v>15022</v>
      </c>
      <c r="C358" s="11" t="s">
        <v>15066</v>
      </c>
      <c r="D358" s="13" t="s">
        <v>15741</v>
      </c>
      <c r="E358" s="13" t="s">
        <v>15742</v>
      </c>
    </row>
    <row r="359" customFormat="false" ht="15" hidden="false" customHeight="true" outlineLevel="0" collapsed="false">
      <c r="A359" s="13" t="s">
        <v>211</v>
      </c>
      <c r="B359" s="11" t="s">
        <v>15022</v>
      </c>
      <c r="C359" s="11" t="s">
        <v>15069</v>
      </c>
      <c r="D359" s="13" t="s">
        <v>15743</v>
      </c>
      <c r="E359" s="13" t="s">
        <v>15744</v>
      </c>
    </row>
    <row r="360" customFormat="false" ht="15" hidden="false" customHeight="true" outlineLevel="0" collapsed="false">
      <c r="A360" s="13" t="s">
        <v>211</v>
      </c>
      <c r="B360" s="11" t="s">
        <v>15022</v>
      </c>
      <c r="C360" s="11" t="s">
        <v>15072</v>
      </c>
      <c r="D360" s="13" t="s">
        <v>15745</v>
      </c>
      <c r="E360" s="13" t="s">
        <v>15746</v>
      </c>
    </row>
    <row r="361" customFormat="false" ht="15" hidden="false" customHeight="true" outlineLevel="0" collapsed="false">
      <c r="A361" s="13" t="s">
        <v>211</v>
      </c>
      <c r="B361" s="11" t="s">
        <v>15022</v>
      </c>
      <c r="C361" s="11" t="s">
        <v>15075</v>
      </c>
      <c r="D361" s="13" t="s">
        <v>15747</v>
      </c>
      <c r="E361" s="13" t="s">
        <v>15748</v>
      </c>
    </row>
    <row r="362" customFormat="false" ht="15" hidden="false" customHeight="true" outlineLevel="0" collapsed="false">
      <c r="A362" s="13" t="s">
        <v>211</v>
      </c>
      <c r="B362" s="11" t="s">
        <v>15022</v>
      </c>
      <c r="C362" s="11" t="s">
        <v>15078</v>
      </c>
      <c r="D362" s="13" t="s">
        <v>15749</v>
      </c>
      <c r="E362" s="13" t="s">
        <v>15750</v>
      </c>
    </row>
    <row r="363" customFormat="false" ht="15" hidden="false" customHeight="true" outlineLevel="0" collapsed="false">
      <c r="A363" s="13" t="s">
        <v>211</v>
      </c>
      <c r="B363" s="11" t="s">
        <v>15022</v>
      </c>
      <c r="C363" s="11" t="s">
        <v>15081</v>
      </c>
      <c r="D363" s="13" t="s">
        <v>15751</v>
      </c>
      <c r="E363" s="13" t="s">
        <v>15752</v>
      </c>
    </row>
    <row r="364" customFormat="false" ht="15" hidden="false" customHeight="true" outlineLevel="0" collapsed="false">
      <c r="A364" s="13" t="s">
        <v>219</v>
      </c>
      <c r="B364" s="11" t="s">
        <v>15022</v>
      </c>
      <c r="C364" s="13" t="s">
        <v>15023</v>
      </c>
      <c r="D364" s="13" t="s">
        <v>15753</v>
      </c>
      <c r="E364" s="13" t="s">
        <v>15754</v>
      </c>
    </row>
    <row r="365" customFormat="false" ht="15" hidden="false" customHeight="true" outlineLevel="0" collapsed="false">
      <c r="A365" s="13" t="s">
        <v>219</v>
      </c>
      <c r="B365" s="11" t="s">
        <v>15022</v>
      </c>
      <c r="C365" s="13" t="s">
        <v>15026</v>
      </c>
      <c r="D365" s="13" t="s">
        <v>15755</v>
      </c>
      <c r="E365" s="13" t="s">
        <v>15756</v>
      </c>
    </row>
    <row r="366" customFormat="false" ht="15" hidden="false" customHeight="true" outlineLevel="0" collapsed="false">
      <c r="A366" s="13" t="s">
        <v>219</v>
      </c>
      <c r="B366" s="11" t="s">
        <v>15022</v>
      </c>
      <c r="C366" s="13" t="s">
        <v>15029</v>
      </c>
      <c r="D366" s="13" t="s">
        <v>15757</v>
      </c>
      <c r="E366" s="13" t="s">
        <v>15758</v>
      </c>
    </row>
    <row r="367" customFormat="false" ht="15" hidden="false" customHeight="true" outlineLevel="0" collapsed="false">
      <c r="A367" s="13" t="s">
        <v>219</v>
      </c>
      <c r="B367" s="11" t="s">
        <v>15022</v>
      </c>
      <c r="C367" s="11" t="s">
        <v>15032</v>
      </c>
      <c r="D367" s="13" t="s">
        <v>15759</v>
      </c>
      <c r="E367" s="13" t="s">
        <v>15760</v>
      </c>
    </row>
    <row r="368" customFormat="false" ht="15" hidden="false" customHeight="true" outlineLevel="0" collapsed="false">
      <c r="A368" s="13" t="s">
        <v>219</v>
      </c>
      <c r="B368" s="11" t="s">
        <v>15022</v>
      </c>
      <c r="C368" s="11" t="s">
        <v>15035</v>
      </c>
      <c r="D368" s="13" t="s">
        <v>15761</v>
      </c>
      <c r="E368" s="13" t="s">
        <v>15762</v>
      </c>
    </row>
    <row r="369" customFormat="false" ht="15" hidden="false" customHeight="true" outlineLevel="0" collapsed="false">
      <c r="A369" s="13" t="s">
        <v>219</v>
      </c>
      <c r="B369" s="11" t="s">
        <v>15022</v>
      </c>
      <c r="C369" s="11" t="s">
        <v>15038</v>
      </c>
      <c r="D369" s="13" t="s">
        <v>15763</v>
      </c>
      <c r="E369" s="13" t="s">
        <v>15764</v>
      </c>
    </row>
    <row r="370" customFormat="false" ht="15" hidden="false" customHeight="true" outlineLevel="0" collapsed="false">
      <c r="A370" s="13" t="s">
        <v>219</v>
      </c>
      <c r="B370" s="11" t="s">
        <v>15022</v>
      </c>
      <c r="C370" s="11" t="s">
        <v>15041</v>
      </c>
      <c r="D370" s="13" t="s">
        <v>15765</v>
      </c>
      <c r="E370" s="13" t="s">
        <v>15766</v>
      </c>
    </row>
    <row r="371" customFormat="false" ht="15" hidden="false" customHeight="true" outlineLevel="0" collapsed="false">
      <c r="A371" s="13" t="s">
        <v>219</v>
      </c>
      <c r="B371" s="11" t="s">
        <v>15022</v>
      </c>
      <c r="C371" s="11" t="s">
        <v>15044</v>
      </c>
      <c r="D371" s="13" t="s">
        <v>15767</v>
      </c>
      <c r="E371" s="13" t="s">
        <v>15768</v>
      </c>
    </row>
    <row r="372" customFormat="false" ht="15" hidden="false" customHeight="true" outlineLevel="0" collapsed="false">
      <c r="A372" s="13" t="s">
        <v>219</v>
      </c>
      <c r="B372" s="11" t="s">
        <v>15022</v>
      </c>
      <c r="C372" s="11" t="s">
        <v>15046</v>
      </c>
      <c r="D372" s="13" t="s">
        <v>15769</v>
      </c>
      <c r="E372" s="13" t="s">
        <v>15770</v>
      </c>
    </row>
    <row r="373" customFormat="false" ht="15" hidden="false" customHeight="true" outlineLevel="0" collapsed="false">
      <c r="A373" s="13" t="s">
        <v>219</v>
      </c>
      <c r="B373" s="11" t="s">
        <v>15022</v>
      </c>
      <c r="C373" s="11" t="s">
        <v>15049</v>
      </c>
      <c r="D373" s="13" t="s">
        <v>15771</v>
      </c>
      <c r="E373" s="13" t="s">
        <v>15772</v>
      </c>
    </row>
    <row r="374" customFormat="false" ht="15" hidden="false" customHeight="true" outlineLevel="0" collapsed="false">
      <c r="A374" s="13" t="s">
        <v>219</v>
      </c>
      <c r="B374" s="11" t="s">
        <v>15022</v>
      </c>
      <c r="C374" s="11" t="s">
        <v>15051</v>
      </c>
      <c r="D374" s="13" t="s">
        <v>15773</v>
      </c>
      <c r="E374" s="13" t="s">
        <v>15774</v>
      </c>
    </row>
    <row r="375" customFormat="false" ht="15" hidden="false" customHeight="true" outlineLevel="0" collapsed="false">
      <c r="A375" s="13" t="s">
        <v>219</v>
      </c>
      <c r="B375" s="11" t="s">
        <v>15022</v>
      </c>
      <c r="C375" s="11" t="s">
        <v>15054</v>
      </c>
      <c r="D375" s="13" t="s">
        <v>15775</v>
      </c>
      <c r="E375" s="13" t="s">
        <v>15776</v>
      </c>
    </row>
    <row r="376" customFormat="false" ht="15" hidden="false" customHeight="true" outlineLevel="0" collapsed="false">
      <c r="A376" s="13" t="s">
        <v>219</v>
      </c>
      <c r="B376" s="11" t="s">
        <v>15022</v>
      </c>
      <c r="C376" s="11" t="s">
        <v>15057</v>
      </c>
      <c r="D376" s="13" t="s">
        <v>15777</v>
      </c>
      <c r="E376" s="13" t="s">
        <v>15778</v>
      </c>
    </row>
    <row r="377" customFormat="false" ht="15" hidden="false" customHeight="true" outlineLevel="0" collapsed="false">
      <c r="A377" s="13" t="s">
        <v>219</v>
      </c>
      <c r="B377" s="11" t="s">
        <v>15022</v>
      </c>
      <c r="C377" s="11" t="s">
        <v>15060</v>
      </c>
      <c r="D377" s="13" t="s">
        <v>15779</v>
      </c>
      <c r="E377" s="13" t="s">
        <v>15780</v>
      </c>
    </row>
    <row r="378" customFormat="false" ht="15" hidden="false" customHeight="true" outlineLevel="0" collapsed="false">
      <c r="A378" s="13" t="s">
        <v>219</v>
      </c>
      <c r="B378" s="11" t="s">
        <v>15022</v>
      </c>
      <c r="C378" s="13" t="s">
        <v>15063</v>
      </c>
      <c r="D378" s="13" t="s">
        <v>15781</v>
      </c>
      <c r="E378" s="13" t="s">
        <v>15782</v>
      </c>
    </row>
    <row r="379" customFormat="false" ht="15" hidden="false" customHeight="true" outlineLevel="0" collapsed="false">
      <c r="A379" s="13" t="s">
        <v>219</v>
      </c>
      <c r="B379" s="11" t="s">
        <v>15022</v>
      </c>
      <c r="C379" s="11" t="s">
        <v>15066</v>
      </c>
      <c r="D379" s="13" t="s">
        <v>15783</v>
      </c>
      <c r="E379" s="13" t="s">
        <v>15784</v>
      </c>
    </row>
    <row r="380" customFormat="false" ht="15" hidden="false" customHeight="true" outlineLevel="0" collapsed="false">
      <c r="A380" s="13" t="s">
        <v>219</v>
      </c>
      <c r="B380" s="11" t="s">
        <v>15022</v>
      </c>
      <c r="C380" s="11" t="s">
        <v>15069</v>
      </c>
      <c r="D380" s="13" t="s">
        <v>15785</v>
      </c>
      <c r="E380" s="13" t="s">
        <v>15786</v>
      </c>
    </row>
    <row r="381" customFormat="false" ht="15" hidden="false" customHeight="true" outlineLevel="0" collapsed="false">
      <c r="A381" s="13" t="s">
        <v>219</v>
      </c>
      <c r="B381" s="11" t="s">
        <v>15022</v>
      </c>
      <c r="C381" s="11" t="s">
        <v>15072</v>
      </c>
      <c r="D381" s="13" t="s">
        <v>15787</v>
      </c>
      <c r="E381" s="13" t="s">
        <v>15788</v>
      </c>
    </row>
    <row r="382" customFormat="false" ht="15" hidden="false" customHeight="true" outlineLevel="0" collapsed="false">
      <c r="A382" s="13" t="s">
        <v>219</v>
      </c>
      <c r="B382" s="11" t="s">
        <v>15022</v>
      </c>
      <c r="C382" s="11" t="s">
        <v>15075</v>
      </c>
      <c r="D382" s="13" t="s">
        <v>15789</v>
      </c>
      <c r="E382" s="13" t="s">
        <v>15790</v>
      </c>
    </row>
    <row r="383" customFormat="false" ht="15" hidden="false" customHeight="true" outlineLevel="0" collapsed="false">
      <c r="A383" s="13" t="s">
        <v>219</v>
      </c>
      <c r="B383" s="11" t="s">
        <v>15022</v>
      </c>
      <c r="C383" s="11" t="s">
        <v>15078</v>
      </c>
      <c r="D383" s="13" t="s">
        <v>15791</v>
      </c>
      <c r="E383" s="13" t="s">
        <v>15792</v>
      </c>
    </row>
    <row r="384" customFormat="false" ht="15" hidden="false" customHeight="true" outlineLevel="0" collapsed="false">
      <c r="A384" s="13" t="s">
        <v>219</v>
      </c>
      <c r="B384" s="11" t="s">
        <v>15022</v>
      </c>
      <c r="C384" s="11" t="s">
        <v>15081</v>
      </c>
      <c r="D384" s="13" t="s">
        <v>15793</v>
      </c>
      <c r="E384" s="13" t="s">
        <v>15794</v>
      </c>
    </row>
    <row r="385" customFormat="false" ht="15" hidden="false" customHeight="true" outlineLevel="0" collapsed="false">
      <c r="A385" s="13" t="s">
        <v>228</v>
      </c>
      <c r="B385" s="11" t="s">
        <v>15022</v>
      </c>
      <c r="C385" s="13" t="s">
        <v>15023</v>
      </c>
      <c r="D385" s="13" t="s">
        <v>15795</v>
      </c>
      <c r="E385" s="13" t="s">
        <v>15796</v>
      </c>
    </row>
    <row r="386" customFormat="false" ht="15" hidden="false" customHeight="true" outlineLevel="0" collapsed="false">
      <c r="A386" s="13" t="s">
        <v>228</v>
      </c>
      <c r="B386" s="11" t="s">
        <v>15022</v>
      </c>
      <c r="C386" s="13" t="s">
        <v>15026</v>
      </c>
      <c r="D386" s="13" t="s">
        <v>15797</v>
      </c>
      <c r="E386" s="13" t="s">
        <v>15798</v>
      </c>
    </row>
    <row r="387" customFormat="false" ht="15" hidden="false" customHeight="true" outlineLevel="0" collapsed="false">
      <c r="A387" s="13" t="s">
        <v>228</v>
      </c>
      <c r="B387" s="11" t="s">
        <v>15022</v>
      </c>
      <c r="C387" s="13" t="s">
        <v>15029</v>
      </c>
      <c r="D387" s="13" t="s">
        <v>15799</v>
      </c>
      <c r="E387" s="13" t="s">
        <v>15800</v>
      </c>
    </row>
    <row r="388" customFormat="false" ht="15" hidden="false" customHeight="true" outlineLevel="0" collapsed="false">
      <c r="A388" s="13" t="s">
        <v>228</v>
      </c>
      <c r="B388" s="11" t="s">
        <v>15022</v>
      </c>
      <c r="C388" s="11" t="s">
        <v>15032</v>
      </c>
      <c r="D388" s="13" t="s">
        <v>15801</v>
      </c>
      <c r="E388" s="13" t="s">
        <v>15802</v>
      </c>
    </row>
    <row r="389" customFormat="false" ht="15" hidden="false" customHeight="true" outlineLevel="0" collapsed="false">
      <c r="A389" s="13" t="s">
        <v>228</v>
      </c>
      <c r="B389" s="11" t="s">
        <v>15022</v>
      </c>
      <c r="C389" s="11" t="s">
        <v>15035</v>
      </c>
      <c r="D389" s="13" t="s">
        <v>15803</v>
      </c>
      <c r="E389" s="13" t="s">
        <v>15804</v>
      </c>
    </row>
    <row r="390" customFormat="false" ht="15" hidden="false" customHeight="true" outlineLevel="0" collapsed="false">
      <c r="A390" s="13" t="s">
        <v>228</v>
      </c>
      <c r="B390" s="11" t="s">
        <v>15022</v>
      </c>
      <c r="C390" s="11" t="s">
        <v>15038</v>
      </c>
      <c r="D390" s="13" t="s">
        <v>15805</v>
      </c>
      <c r="E390" s="13" t="s">
        <v>15806</v>
      </c>
    </row>
    <row r="391" customFormat="false" ht="15" hidden="false" customHeight="true" outlineLevel="0" collapsed="false">
      <c r="A391" s="13" t="s">
        <v>228</v>
      </c>
      <c r="B391" s="11" t="s">
        <v>15022</v>
      </c>
      <c r="C391" s="11" t="s">
        <v>15041</v>
      </c>
      <c r="D391" s="13" t="s">
        <v>15807</v>
      </c>
      <c r="E391" s="13" t="s">
        <v>15808</v>
      </c>
    </row>
    <row r="392" customFormat="false" ht="15" hidden="false" customHeight="true" outlineLevel="0" collapsed="false">
      <c r="A392" s="13" t="s">
        <v>228</v>
      </c>
      <c r="B392" s="11" t="s">
        <v>15022</v>
      </c>
      <c r="C392" s="11" t="s">
        <v>15044</v>
      </c>
      <c r="D392" s="13" t="s">
        <v>15809</v>
      </c>
      <c r="E392" s="13" t="s">
        <v>15810</v>
      </c>
    </row>
    <row r="393" customFormat="false" ht="15" hidden="false" customHeight="true" outlineLevel="0" collapsed="false">
      <c r="A393" s="13" t="s">
        <v>228</v>
      </c>
      <c r="B393" s="11" t="s">
        <v>15022</v>
      </c>
      <c r="C393" s="11" t="s">
        <v>15046</v>
      </c>
      <c r="D393" s="13" t="s">
        <v>15811</v>
      </c>
      <c r="E393" s="13" t="s">
        <v>15812</v>
      </c>
    </row>
    <row r="394" customFormat="false" ht="15" hidden="false" customHeight="true" outlineLevel="0" collapsed="false">
      <c r="A394" s="13" t="s">
        <v>228</v>
      </c>
      <c r="B394" s="11" t="s">
        <v>15022</v>
      </c>
      <c r="C394" s="11" t="s">
        <v>15049</v>
      </c>
      <c r="D394" s="13" t="s">
        <v>15813</v>
      </c>
      <c r="E394" s="13" t="s">
        <v>15814</v>
      </c>
    </row>
    <row r="395" customFormat="false" ht="15" hidden="false" customHeight="true" outlineLevel="0" collapsed="false">
      <c r="A395" s="13" t="s">
        <v>228</v>
      </c>
      <c r="B395" s="11" t="s">
        <v>15022</v>
      </c>
      <c r="C395" s="11" t="s">
        <v>15051</v>
      </c>
      <c r="D395" s="13" t="s">
        <v>15815</v>
      </c>
      <c r="E395" s="13" t="s">
        <v>15816</v>
      </c>
    </row>
    <row r="396" customFormat="false" ht="15" hidden="false" customHeight="true" outlineLevel="0" collapsed="false">
      <c r="A396" s="13" t="s">
        <v>228</v>
      </c>
      <c r="B396" s="11" t="s">
        <v>15022</v>
      </c>
      <c r="C396" s="11" t="s">
        <v>15054</v>
      </c>
      <c r="D396" s="13" t="s">
        <v>15817</v>
      </c>
      <c r="E396" s="13" t="s">
        <v>15818</v>
      </c>
    </row>
    <row r="397" customFormat="false" ht="15" hidden="false" customHeight="true" outlineLevel="0" collapsed="false">
      <c r="A397" s="13" t="s">
        <v>228</v>
      </c>
      <c r="B397" s="11" t="s">
        <v>15022</v>
      </c>
      <c r="C397" s="11" t="s">
        <v>15057</v>
      </c>
      <c r="D397" s="13" t="s">
        <v>15819</v>
      </c>
      <c r="E397" s="13" t="s">
        <v>15820</v>
      </c>
    </row>
    <row r="398" customFormat="false" ht="15" hidden="false" customHeight="true" outlineLevel="0" collapsed="false">
      <c r="A398" s="13" t="s">
        <v>228</v>
      </c>
      <c r="B398" s="11" t="s">
        <v>15022</v>
      </c>
      <c r="C398" s="11" t="s">
        <v>15060</v>
      </c>
      <c r="D398" s="13" t="s">
        <v>15821</v>
      </c>
      <c r="E398" s="13" t="s">
        <v>15822</v>
      </c>
    </row>
    <row r="399" customFormat="false" ht="15" hidden="false" customHeight="true" outlineLevel="0" collapsed="false">
      <c r="A399" s="13" t="s">
        <v>228</v>
      </c>
      <c r="B399" s="11" t="s">
        <v>15022</v>
      </c>
      <c r="C399" s="13" t="s">
        <v>15063</v>
      </c>
      <c r="D399" s="13" t="s">
        <v>15823</v>
      </c>
      <c r="E399" s="13" t="s">
        <v>15824</v>
      </c>
    </row>
    <row r="400" customFormat="false" ht="15" hidden="false" customHeight="true" outlineLevel="0" collapsed="false">
      <c r="A400" s="13" t="s">
        <v>228</v>
      </c>
      <c r="B400" s="11" t="s">
        <v>15022</v>
      </c>
      <c r="C400" s="11" t="s">
        <v>15066</v>
      </c>
      <c r="D400" s="13" t="s">
        <v>15825</v>
      </c>
      <c r="E400" s="13" t="s">
        <v>15826</v>
      </c>
    </row>
    <row r="401" customFormat="false" ht="15" hidden="false" customHeight="true" outlineLevel="0" collapsed="false">
      <c r="A401" s="13" t="s">
        <v>228</v>
      </c>
      <c r="B401" s="11" t="s">
        <v>15022</v>
      </c>
      <c r="C401" s="11" t="s">
        <v>15069</v>
      </c>
      <c r="D401" s="13" t="s">
        <v>15827</v>
      </c>
      <c r="E401" s="13" t="s">
        <v>15828</v>
      </c>
    </row>
    <row r="402" customFormat="false" ht="15" hidden="false" customHeight="true" outlineLevel="0" collapsed="false">
      <c r="A402" s="13" t="s">
        <v>228</v>
      </c>
      <c r="B402" s="11" t="s">
        <v>15022</v>
      </c>
      <c r="C402" s="11" t="s">
        <v>15072</v>
      </c>
      <c r="D402" s="13" t="s">
        <v>15829</v>
      </c>
      <c r="E402" s="13" t="s">
        <v>15830</v>
      </c>
    </row>
    <row r="403" customFormat="false" ht="15" hidden="false" customHeight="true" outlineLevel="0" collapsed="false">
      <c r="A403" s="13" t="s">
        <v>228</v>
      </c>
      <c r="B403" s="11" t="s">
        <v>15022</v>
      </c>
      <c r="C403" s="11" t="s">
        <v>15075</v>
      </c>
      <c r="D403" s="13" t="s">
        <v>15831</v>
      </c>
      <c r="E403" s="13" t="s">
        <v>15832</v>
      </c>
    </row>
    <row r="404" customFormat="false" ht="15" hidden="false" customHeight="true" outlineLevel="0" collapsed="false">
      <c r="A404" s="13" t="s">
        <v>228</v>
      </c>
      <c r="B404" s="11" t="s">
        <v>15022</v>
      </c>
      <c r="C404" s="11" t="s">
        <v>15078</v>
      </c>
      <c r="D404" s="13" t="s">
        <v>15833</v>
      </c>
      <c r="E404" s="13" t="s">
        <v>15834</v>
      </c>
    </row>
    <row r="405" customFormat="false" ht="15" hidden="false" customHeight="true" outlineLevel="0" collapsed="false">
      <c r="A405" s="13" t="s">
        <v>228</v>
      </c>
      <c r="B405" s="11" t="s">
        <v>15022</v>
      </c>
      <c r="C405" s="11" t="s">
        <v>15081</v>
      </c>
      <c r="D405" s="13" t="s">
        <v>15835</v>
      </c>
      <c r="E405" s="13" t="s">
        <v>15836</v>
      </c>
    </row>
    <row r="406" customFormat="false" ht="15" hidden="false" customHeight="true" outlineLevel="0" collapsed="false">
      <c r="A406" s="13" t="s">
        <v>236</v>
      </c>
      <c r="B406" s="11" t="s">
        <v>15022</v>
      </c>
      <c r="C406" s="13" t="s">
        <v>15023</v>
      </c>
      <c r="D406" s="13" t="s">
        <v>15837</v>
      </c>
      <c r="E406" s="13" t="s">
        <v>15838</v>
      </c>
    </row>
    <row r="407" customFormat="false" ht="15" hidden="false" customHeight="true" outlineLevel="0" collapsed="false">
      <c r="A407" s="13" t="s">
        <v>236</v>
      </c>
      <c r="B407" s="11" t="s">
        <v>15022</v>
      </c>
      <c r="C407" s="13" t="s">
        <v>15026</v>
      </c>
      <c r="D407" s="13" t="s">
        <v>15839</v>
      </c>
      <c r="E407" s="13" t="s">
        <v>15840</v>
      </c>
    </row>
    <row r="408" customFormat="false" ht="15" hidden="false" customHeight="true" outlineLevel="0" collapsed="false">
      <c r="A408" s="13" t="s">
        <v>236</v>
      </c>
      <c r="B408" s="11" t="s">
        <v>15022</v>
      </c>
      <c r="C408" s="13" t="s">
        <v>15029</v>
      </c>
      <c r="D408" s="13" t="s">
        <v>15841</v>
      </c>
      <c r="E408" s="13" t="s">
        <v>15842</v>
      </c>
    </row>
    <row r="409" customFormat="false" ht="15" hidden="false" customHeight="true" outlineLevel="0" collapsed="false">
      <c r="A409" s="13" t="s">
        <v>236</v>
      </c>
      <c r="B409" s="11" t="s">
        <v>15022</v>
      </c>
      <c r="C409" s="11" t="s">
        <v>15032</v>
      </c>
      <c r="D409" s="13" t="s">
        <v>15843</v>
      </c>
      <c r="E409" s="13" t="s">
        <v>15844</v>
      </c>
    </row>
    <row r="410" customFormat="false" ht="15" hidden="false" customHeight="true" outlineLevel="0" collapsed="false">
      <c r="A410" s="13" t="s">
        <v>236</v>
      </c>
      <c r="B410" s="11" t="s">
        <v>15022</v>
      </c>
      <c r="C410" s="11" t="s">
        <v>15035</v>
      </c>
      <c r="D410" s="13" t="s">
        <v>15845</v>
      </c>
      <c r="E410" s="13" t="s">
        <v>15846</v>
      </c>
    </row>
    <row r="411" customFormat="false" ht="15" hidden="false" customHeight="true" outlineLevel="0" collapsed="false">
      <c r="A411" s="13" t="s">
        <v>236</v>
      </c>
      <c r="B411" s="11" t="s">
        <v>15022</v>
      </c>
      <c r="C411" s="11" t="s">
        <v>15038</v>
      </c>
      <c r="D411" s="13" t="s">
        <v>1903</v>
      </c>
      <c r="E411" s="13" t="s">
        <v>15847</v>
      </c>
    </row>
    <row r="412" customFormat="false" ht="15" hidden="false" customHeight="true" outlineLevel="0" collapsed="false">
      <c r="A412" s="13" t="s">
        <v>236</v>
      </c>
      <c r="B412" s="11" t="s">
        <v>15022</v>
      </c>
      <c r="C412" s="11" t="s">
        <v>15041</v>
      </c>
      <c r="D412" s="13" t="s">
        <v>15848</v>
      </c>
      <c r="E412" s="13" t="s">
        <v>15849</v>
      </c>
    </row>
    <row r="413" customFormat="false" ht="15" hidden="false" customHeight="true" outlineLevel="0" collapsed="false">
      <c r="A413" s="13" t="s">
        <v>236</v>
      </c>
      <c r="B413" s="11" t="s">
        <v>15022</v>
      </c>
      <c r="C413" s="11" t="s">
        <v>15044</v>
      </c>
      <c r="D413" s="13" t="s">
        <v>15850</v>
      </c>
      <c r="E413" s="13" t="s">
        <v>15851</v>
      </c>
    </row>
    <row r="414" customFormat="false" ht="15" hidden="false" customHeight="true" outlineLevel="0" collapsed="false">
      <c r="A414" s="13" t="s">
        <v>236</v>
      </c>
      <c r="B414" s="11" t="s">
        <v>15022</v>
      </c>
      <c r="C414" s="11" t="s">
        <v>15046</v>
      </c>
      <c r="D414" s="13" t="s">
        <v>15852</v>
      </c>
      <c r="E414" s="13" t="s">
        <v>15853</v>
      </c>
    </row>
    <row r="415" customFormat="false" ht="15" hidden="false" customHeight="true" outlineLevel="0" collapsed="false">
      <c r="A415" s="13" t="s">
        <v>236</v>
      </c>
      <c r="B415" s="11" t="s">
        <v>15022</v>
      </c>
      <c r="C415" s="11" t="s">
        <v>15049</v>
      </c>
      <c r="D415" s="13" t="s">
        <v>15854</v>
      </c>
      <c r="E415" s="13" t="s">
        <v>15855</v>
      </c>
    </row>
    <row r="416" customFormat="false" ht="15" hidden="false" customHeight="true" outlineLevel="0" collapsed="false">
      <c r="A416" s="13" t="s">
        <v>236</v>
      </c>
      <c r="B416" s="11" t="s">
        <v>15022</v>
      </c>
      <c r="C416" s="11" t="s">
        <v>15051</v>
      </c>
      <c r="D416" s="13" t="s">
        <v>15856</v>
      </c>
      <c r="E416" s="13" t="s">
        <v>15857</v>
      </c>
    </row>
    <row r="417" customFormat="false" ht="15" hidden="false" customHeight="true" outlineLevel="0" collapsed="false">
      <c r="A417" s="13" t="s">
        <v>236</v>
      </c>
      <c r="B417" s="11" t="s">
        <v>15022</v>
      </c>
      <c r="C417" s="11" t="s">
        <v>15054</v>
      </c>
      <c r="D417" s="13" t="s">
        <v>15858</v>
      </c>
      <c r="E417" s="13" t="s">
        <v>15859</v>
      </c>
    </row>
    <row r="418" customFormat="false" ht="15" hidden="false" customHeight="true" outlineLevel="0" collapsed="false">
      <c r="A418" s="13" t="s">
        <v>236</v>
      </c>
      <c r="B418" s="11" t="s">
        <v>15022</v>
      </c>
      <c r="C418" s="11" t="s">
        <v>15057</v>
      </c>
      <c r="D418" s="13" t="s">
        <v>15860</v>
      </c>
      <c r="E418" s="13" t="s">
        <v>15861</v>
      </c>
    </row>
    <row r="419" customFormat="false" ht="15" hidden="false" customHeight="true" outlineLevel="0" collapsed="false">
      <c r="A419" s="13" t="s">
        <v>236</v>
      </c>
      <c r="B419" s="11" t="s">
        <v>15022</v>
      </c>
      <c r="C419" s="11" t="s">
        <v>15060</v>
      </c>
      <c r="D419" s="13" t="s">
        <v>15862</v>
      </c>
      <c r="E419" s="13" t="s">
        <v>15863</v>
      </c>
    </row>
    <row r="420" customFormat="false" ht="15" hidden="false" customHeight="true" outlineLevel="0" collapsed="false">
      <c r="A420" s="13" t="s">
        <v>236</v>
      </c>
      <c r="B420" s="11" t="s">
        <v>15022</v>
      </c>
      <c r="C420" s="13" t="s">
        <v>15063</v>
      </c>
      <c r="D420" s="13" t="s">
        <v>15864</v>
      </c>
      <c r="E420" s="13" t="s">
        <v>15865</v>
      </c>
    </row>
    <row r="421" customFormat="false" ht="15" hidden="false" customHeight="true" outlineLevel="0" collapsed="false">
      <c r="A421" s="13" t="s">
        <v>236</v>
      </c>
      <c r="B421" s="11" t="s">
        <v>15022</v>
      </c>
      <c r="C421" s="11" t="s">
        <v>15066</v>
      </c>
      <c r="D421" s="13" t="s">
        <v>15866</v>
      </c>
      <c r="E421" s="13" t="s">
        <v>15867</v>
      </c>
    </row>
    <row r="422" customFormat="false" ht="15" hidden="false" customHeight="true" outlineLevel="0" collapsed="false">
      <c r="A422" s="13" t="s">
        <v>236</v>
      </c>
      <c r="B422" s="11" t="s">
        <v>15022</v>
      </c>
      <c r="C422" s="11" t="s">
        <v>15069</v>
      </c>
      <c r="D422" s="13" t="s">
        <v>15868</v>
      </c>
      <c r="E422" s="13" t="s">
        <v>15869</v>
      </c>
    </row>
    <row r="423" customFormat="false" ht="15" hidden="false" customHeight="true" outlineLevel="0" collapsed="false">
      <c r="A423" s="13" t="s">
        <v>236</v>
      </c>
      <c r="B423" s="11" t="s">
        <v>15022</v>
      </c>
      <c r="C423" s="11" t="s">
        <v>15072</v>
      </c>
      <c r="D423" s="13" t="s">
        <v>15870</v>
      </c>
      <c r="E423" s="13" t="s">
        <v>15871</v>
      </c>
    </row>
    <row r="424" customFormat="false" ht="15" hidden="false" customHeight="true" outlineLevel="0" collapsed="false">
      <c r="A424" s="13" t="s">
        <v>236</v>
      </c>
      <c r="B424" s="11" t="s">
        <v>15022</v>
      </c>
      <c r="C424" s="11" t="s">
        <v>15075</v>
      </c>
      <c r="D424" s="13" t="s">
        <v>15872</v>
      </c>
      <c r="E424" s="13" t="s">
        <v>15873</v>
      </c>
    </row>
    <row r="425" customFormat="false" ht="15" hidden="false" customHeight="true" outlineLevel="0" collapsed="false">
      <c r="A425" s="13" t="s">
        <v>236</v>
      </c>
      <c r="B425" s="11" t="s">
        <v>15022</v>
      </c>
      <c r="C425" s="11" t="s">
        <v>15078</v>
      </c>
      <c r="D425" s="13" t="s">
        <v>15874</v>
      </c>
      <c r="E425" s="13" t="s">
        <v>15875</v>
      </c>
    </row>
    <row r="426" customFormat="false" ht="15" hidden="false" customHeight="true" outlineLevel="0" collapsed="false">
      <c r="A426" s="13" t="s">
        <v>236</v>
      </c>
      <c r="B426" s="11" t="s">
        <v>15022</v>
      </c>
      <c r="C426" s="11" t="s">
        <v>15081</v>
      </c>
      <c r="D426" s="13" t="s">
        <v>15876</v>
      </c>
      <c r="E426" s="13" t="s">
        <v>15877</v>
      </c>
    </row>
    <row r="427" customFormat="false" ht="15" hidden="false" customHeight="true" outlineLevel="0" collapsed="false">
      <c r="A427" s="13" t="s">
        <v>244</v>
      </c>
      <c r="B427" s="11" t="s">
        <v>15022</v>
      </c>
      <c r="C427" s="13" t="s">
        <v>15023</v>
      </c>
      <c r="D427" s="13" t="s">
        <v>15878</v>
      </c>
      <c r="E427" s="13" t="s">
        <v>15879</v>
      </c>
    </row>
    <row r="428" customFormat="false" ht="15" hidden="false" customHeight="true" outlineLevel="0" collapsed="false">
      <c r="A428" s="13" t="s">
        <v>244</v>
      </c>
      <c r="B428" s="11" t="s">
        <v>15022</v>
      </c>
      <c r="C428" s="13" t="s">
        <v>15026</v>
      </c>
      <c r="D428" s="13" t="s">
        <v>15880</v>
      </c>
      <c r="E428" s="13" t="s">
        <v>15881</v>
      </c>
    </row>
    <row r="429" customFormat="false" ht="15" hidden="false" customHeight="true" outlineLevel="0" collapsed="false">
      <c r="A429" s="13" t="s">
        <v>244</v>
      </c>
      <c r="B429" s="11" t="s">
        <v>15022</v>
      </c>
      <c r="C429" s="13" t="s">
        <v>15029</v>
      </c>
      <c r="D429" s="13" t="s">
        <v>15882</v>
      </c>
      <c r="E429" s="13" t="s">
        <v>15883</v>
      </c>
    </row>
    <row r="430" customFormat="false" ht="15" hidden="false" customHeight="true" outlineLevel="0" collapsed="false">
      <c r="A430" s="13" t="s">
        <v>244</v>
      </c>
      <c r="B430" s="11" t="s">
        <v>15022</v>
      </c>
      <c r="C430" s="11" t="s">
        <v>15032</v>
      </c>
      <c r="D430" s="13" t="s">
        <v>15884</v>
      </c>
      <c r="E430" s="13" t="s">
        <v>15885</v>
      </c>
    </row>
    <row r="431" customFormat="false" ht="15" hidden="false" customHeight="true" outlineLevel="0" collapsed="false">
      <c r="A431" s="13" t="s">
        <v>244</v>
      </c>
      <c r="B431" s="11" t="s">
        <v>15022</v>
      </c>
      <c r="C431" s="11" t="s">
        <v>15035</v>
      </c>
      <c r="D431" s="13" t="s">
        <v>15886</v>
      </c>
      <c r="E431" s="13" t="s">
        <v>15887</v>
      </c>
    </row>
    <row r="432" customFormat="false" ht="15" hidden="false" customHeight="true" outlineLevel="0" collapsed="false">
      <c r="A432" s="13" t="s">
        <v>244</v>
      </c>
      <c r="B432" s="11" t="s">
        <v>15022</v>
      </c>
      <c r="C432" s="11" t="s">
        <v>15038</v>
      </c>
      <c r="D432" s="13" t="s">
        <v>15888</v>
      </c>
      <c r="E432" s="13" t="s">
        <v>15889</v>
      </c>
    </row>
    <row r="433" customFormat="false" ht="15" hidden="false" customHeight="true" outlineLevel="0" collapsed="false">
      <c r="A433" s="13" t="s">
        <v>244</v>
      </c>
      <c r="B433" s="11" t="s">
        <v>15022</v>
      </c>
      <c r="C433" s="11" t="s">
        <v>15041</v>
      </c>
      <c r="D433" s="13" t="s">
        <v>15890</v>
      </c>
      <c r="E433" s="13" t="s">
        <v>15891</v>
      </c>
    </row>
    <row r="434" customFormat="false" ht="15" hidden="false" customHeight="true" outlineLevel="0" collapsed="false">
      <c r="A434" s="13" t="s">
        <v>244</v>
      </c>
      <c r="B434" s="11" t="s">
        <v>15022</v>
      </c>
      <c r="C434" s="11" t="s">
        <v>15044</v>
      </c>
      <c r="D434" s="13" t="s">
        <v>15892</v>
      </c>
      <c r="E434" s="13" t="s">
        <v>15893</v>
      </c>
    </row>
    <row r="435" customFormat="false" ht="15" hidden="false" customHeight="true" outlineLevel="0" collapsed="false">
      <c r="A435" s="13" t="s">
        <v>244</v>
      </c>
      <c r="B435" s="11" t="s">
        <v>15022</v>
      </c>
      <c r="C435" s="11" t="s">
        <v>15046</v>
      </c>
      <c r="D435" s="13" t="s">
        <v>15894</v>
      </c>
      <c r="E435" s="13" t="s">
        <v>15895</v>
      </c>
    </row>
    <row r="436" customFormat="false" ht="15" hidden="false" customHeight="true" outlineLevel="0" collapsed="false">
      <c r="A436" s="13" t="s">
        <v>244</v>
      </c>
      <c r="B436" s="11" t="s">
        <v>15022</v>
      </c>
      <c r="C436" s="11" t="s">
        <v>15049</v>
      </c>
      <c r="D436" s="13" t="s">
        <v>15896</v>
      </c>
      <c r="E436" s="13" t="s">
        <v>15897</v>
      </c>
    </row>
    <row r="437" customFormat="false" ht="15" hidden="false" customHeight="true" outlineLevel="0" collapsed="false">
      <c r="A437" s="13" t="s">
        <v>244</v>
      </c>
      <c r="B437" s="11" t="s">
        <v>15022</v>
      </c>
      <c r="C437" s="11" t="s">
        <v>15051</v>
      </c>
      <c r="D437" s="13" t="s">
        <v>15898</v>
      </c>
      <c r="E437" s="13" t="s">
        <v>15899</v>
      </c>
    </row>
    <row r="438" customFormat="false" ht="15" hidden="false" customHeight="true" outlineLevel="0" collapsed="false">
      <c r="A438" s="13" t="s">
        <v>244</v>
      </c>
      <c r="B438" s="11" t="s">
        <v>15022</v>
      </c>
      <c r="C438" s="11" t="s">
        <v>15054</v>
      </c>
      <c r="D438" s="13" t="s">
        <v>15900</v>
      </c>
      <c r="E438" s="13" t="s">
        <v>15901</v>
      </c>
    </row>
    <row r="439" customFormat="false" ht="15" hidden="false" customHeight="true" outlineLevel="0" collapsed="false">
      <c r="A439" s="13" t="s">
        <v>244</v>
      </c>
      <c r="B439" s="11" t="s">
        <v>15022</v>
      </c>
      <c r="C439" s="11" t="s">
        <v>15057</v>
      </c>
      <c r="D439" s="13" t="s">
        <v>15902</v>
      </c>
      <c r="E439" s="13" t="s">
        <v>15903</v>
      </c>
    </row>
    <row r="440" customFormat="false" ht="15" hidden="false" customHeight="true" outlineLevel="0" collapsed="false">
      <c r="A440" s="13" t="s">
        <v>244</v>
      </c>
      <c r="B440" s="11" t="s">
        <v>15022</v>
      </c>
      <c r="C440" s="11" t="s">
        <v>15060</v>
      </c>
      <c r="D440" s="13" t="s">
        <v>15904</v>
      </c>
      <c r="E440" s="13" t="s">
        <v>15905</v>
      </c>
    </row>
    <row r="441" customFormat="false" ht="15" hidden="false" customHeight="true" outlineLevel="0" collapsed="false">
      <c r="A441" s="13" t="s">
        <v>244</v>
      </c>
      <c r="B441" s="11" t="s">
        <v>15022</v>
      </c>
      <c r="C441" s="13" t="s">
        <v>15063</v>
      </c>
      <c r="D441" s="13" t="s">
        <v>15906</v>
      </c>
      <c r="E441" s="13" t="s">
        <v>15907</v>
      </c>
    </row>
    <row r="442" customFormat="false" ht="15" hidden="false" customHeight="true" outlineLevel="0" collapsed="false">
      <c r="A442" s="13" t="s">
        <v>244</v>
      </c>
      <c r="B442" s="11" t="s">
        <v>15022</v>
      </c>
      <c r="C442" s="11" t="s">
        <v>15066</v>
      </c>
      <c r="D442" s="13" t="s">
        <v>15908</v>
      </c>
      <c r="E442" s="13" t="s">
        <v>15909</v>
      </c>
    </row>
    <row r="443" customFormat="false" ht="15" hidden="false" customHeight="true" outlineLevel="0" collapsed="false">
      <c r="A443" s="13" t="s">
        <v>244</v>
      </c>
      <c r="B443" s="11" t="s">
        <v>15022</v>
      </c>
      <c r="C443" s="11" t="s">
        <v>15069</v>
      </c>
      <c r="D443" s="13" t="s">
        <v>15910</v>
      </c>
      <c r="E443" s="13" t="s">
        <v>15911</v>
      </c>
    </row>
    <row r="444" customFormat="false" ht="15" hidden="false" customHeight="true" outlineLevel="0" collapsed="false">
      <c r="A444" s="13" t="s">
        <v>244</v>
      </c>
      <c r="B444" s="11" t="s">
        <v>15022</v>
      </c>
      <c r="C444" s="11" t="s">
        <v>15072</v>
      </c>
      <c r="D444" s="13" t="s">
        <v>15912</v>
      </c>
      <c r="E444" s="13" t="s">
        <v>15913</v>
      </c>
    </row>
    <row r="445" customFormat="false" ht="15" hidden="false" customHeight="true" outlineLevel="0" collapsed="false">
      <c r="A445" s="13" t="s">
        <v>244</v>
      </c>
      <c r="B445" s="11" t="s">
        <v>15022</v>
      </c>
      <c r="C445" s="11" t="s">
        <v>15075</v>
      </c>
      <c r="D445" s="13" t="s">
        <v>15914</v>
      </c>
      <c r="E445" s="13" t="s">
        <v>15915</v>
      </c>
    </row>
    <row r="446" customFormat="false" ht="15" hidden="false" customHeight="true" outlineLevel="0" collapsed="false">
      <c r="A446" s="13" t="s">
        <v>244</v>
      </c>
      <c r="B446" s="11" t="s">
        <v>15022</v>
      </c>
      <c r="C446" s="11" t="s">
        <v>15078</v>
      </c>
      <c r="D446" s="13" t="s">
        <v>15916</v>
      </c>
      <c r="E446" s="13" t="s">
        <v>15917</v>
      </c>
    </row>
    <row r="447" customFormat="false" ht="15" hidden="false" customHeight="true" outlineLevel="0" collapsed="false">
      <c r="A447" s="13" t="s">
        <v>244</v>
      </c>
      <c r="B447" s="11" t="s">
        <v>15022</v>
      </c>
      <c r="C447" s="11" t="s">
        <v>15081</v>
      </c>
      <c r="D447" s="13" t="s">
        <v>15918</v>
      </c>
      <c r="E447" s="13" t="s">
        <v>15919</v>
      </c>
    </row>
    <row r="448" customFormat="false" ht="15" hidden="false" customHeight="true" outlineLevel="0" collapsed="false">
      <c r="A448" s="13" t="s">
        <v>252</v>
      </c>
      <c r="B448" s="11" t="s">
        <v>15022</v>
      </c>
      <c r="C448" s="13" t="s">
        <v>15023</v>
      </c>
      <c r="D448" s="13" t="s">
        <v>15920</v>
      </c>
      <c r="E448" s="13" t="s">
        <v>15921</v>
      </c>
    </row>
    <row r="449" customFormat="false" ht="15" hidden="false" customHeight="true" outlineLevel="0" collapsed="false">
      <c r="A449" s="13" t="s">
        <v>252</v>
      </c>
      <c r="B449" s="11" t="s">
        <v>15022</v>
      </c>
      <c r="C449" s="13" t="s">
        <v>15026</v>
      </c>
      <c r="D449" s="13" t="s">
        <v>15922</v>
      </c>
      <c r="E449" s="13" t="s">
        <v>15923</v>
      </c>
    </row>
    <row r="450" customFormat="false" ht="15" hidden="false" customHeight="true" outlineLevel="0" collapsed="false">
      <c r="A450" s="13" t="s">
        <v>252</v>
      </c>
      <c r="B450" s="11" t="s">
        <v>15022</v>
      </c>
      <c r="C450" s="13" t="s">
        <v>15029</v>
      </c>
      <c r="D450" s="13" t="s">
        <v>15924</v>
      </c>
      <c r="E450" s="13" t="s">
        <v>15925</v>
      </c>
    </row>
    <row r="451" customFormat="false" ht="15" hidden="false" customHeight="true" outlineLevel="0" collapsed="false">
      <c r="A451" s="13" t="s">
        <v>252</v>
      </c>
      <c r="B451" s="11" t="s">
        <v>15022</v>
      </c>
      <c r="C451" s="11" t="s">
        <v>15032</v>
      </c>
      <c r="D451" s="13" t="s">
        <v>15926</v>
      </c>
      <c r="E451" s="13" t="s">
        <v>15927</v>
      </c>
    </row>
    <row r="452" customFormat="false" ht="15" hidden="false" customHeight="true" outlineLevel="0" collapsed="false">
      <c r="A452" s="13" t="s">
        <v>252</v>
      </c>
      <c r="B452" s="11" t="s">
        <v>15022</v>
      </c>
      <c r="C452" s="11" t="s">
        <v>15035</v>
      </c>
      <c r="D452" s="13" t="s">
        <v>15928</v>
      </c>
      <c r="E452" s="13" t="s">
        <v>15929</v>
      </c>
    </row>
    <row r="453" customFormat="false" ht="15" hidden="false" customHeight="true" outlineLevel="0" collapsed="false">
      <c r="A453" s="13" t="s">
        <v>252</v>
      </c>
      <c r="B453" s="11" t="s">
        <v>15022</v>
      </c>
      <c r="C453" s="11" t="s">
        <v>15038</v>
      </c>
      <c r="D453" s="13" t="s">
        <v>15930</v>
      </c>
      <c r="E453" s="13" t="s">
        <v>15931</v>
      </c>
    </row>
    <row r="454" customFormat="false" ht="15" hidden="false" customHeight="true" outlineLevel="0" collapsed="false">
      <c r="A454" s="13" t="s">
        <v>252</v>
      </c>
      <c r="B454" s="11" t="s">
        <v>15022</v>
      </c>
      <c r="C454" s="11" t="s">
        <v>15041</v>
      </c>
      <c r="D454" s="13" t="s">
        <v>15932</v>
      </c>
      <c r="E454" s="13" t="s">
        <v>15933</v>
      </c>
    </row>
    <row r="455" customFormat="false" ht="15" hidden="false" customHeight="true" outlineLevel="0" collapsed="false">
      <c r="A455" s="13" t="s">
        <v>252</v>
      </c>
      <c r="B455" s="11" t="s">
        <v>15022</v>
      </c>
      <c r="C455" s="11" t="s">
        <v>15044</v>
      </c>
      <c r="D455" s="13" t="s">
        <v>15934</v>
      </c>
      <c r="E455" s="13" t="s">
        <v>15935</v>
      </c>
    </row>
    <row r="456" customFormat="false" ht="15" hidden="false" customHeight="true" outlineLevel="0" collapsed="false">
      <c r="A456" s="13" t="s">
        <v>252</v>
      </c>
      <c r="B456" s="11" t="s">
        <v>15022</v>
      </c>
      <c r="C456" s="11" t="s">
        <v>15046</v>
      </c>
      <c r="D456" s="13" t="s">
        <v>15936</v>
      </c>
      <c r="E456" s="13" t="s">
        <v>15937</v>
      </c>
    </row>
    <row r="457" customFormat="false" ht="15" hidden="false" customHeight="true" outlineLevel="0" collapsed="false">
      <c r="A457" s="13" t="s">
        <v>252</v>
      </c>
      <c r="B457" s="11" t="s">
        <v>15022</v>
      </c>
      <c r="C457" s="11" t="s">
        <v>15049</v>
      </c>
      <c r="D457" s="13" t="s">
        <v>15938</v>
      </c>
      <c r="E457" s="13" t="s">
        <v>15939</v>
      </c>
    </row>
    <row r="458" customFormat="false" ht="15" hidden="false" customHeight="true" outlineLevel="0" collapsed="false">
      <c r="A458" s="13" t="s">
        <v>252</v>
      </c>
      <c r="B458" s="11" t="s">
        <v>15022</v>
      </c>
      <c r="C458" s="11" t="s">
        <v>15051</v>
      </c>
      <c r="D458" s="13" t="s">
        <v>15940</v>
      </c>
      <c r="E458" s="13" t="s">
        <v>15941</v>
      </c>
    </row>
    <row r="459" customFormat="false" ht="15" hidden="false" customHeight="true" outlineLevel="0" collapsed="false">
      <c r="A459" s="13" t="s">
        <v>252</v>
      </c>
      <c r="B459" s="11" t="s">
        <v>15022</v>
      </c>
      <c r="C459" s="11" t="s">
        <v>15054</v>
      </c>
      <c r="D459" s="13" t="s">
        <v>15942</v>
      </c>
      <c r="E459" s="13" t="s">
        <v>15943</v>
      </c>
    </row>
    <row r="460" customFormat="false" ht="15" hidden="false" customHeight="true" outlineLevel="0" collapsed="false">
      <c r="A460" s="13" t="s">
        <v>252</v>
      </c>
      <c r="B460" s="11" t="s">
        <v>15022</v>
      </c>
      <c r="C460" s="11" t="s">
        <v>15057</v>
      </c>
      <c r="D460" s="13" t="s">
        <v>15944</v>
      </c>
      <c r="E460" s="13" t="s">
        <v>15945</v>
      </c>
    </row>
    <row r="461" customFormat="false" ht="15" hidden="false" customHeight="true" outlineLevel="0" collapsed="false">
      <c r="A461" s="13" t="s">
        <v>252</v>
      </c>
      <c r="B461" s="11" t="s">
        <v>15022</v>
      </c>
      <c r="C461" s="11" t="s">
        <v>15060</v>
      </c>
      <c r="D461" s="13" t="s">
        <v>15946</v>
      </c>
      <c r="E461" s="13" t="s">
        <v>15947</v>
      </c>
    </row>
    <row r="462" customFormat="false" ht="15" hidden="false" customHeight="true" outlineLevel="0" collapsed="false">
      <c r="A462" s="13" t="s">
        <v>252</v>
      </c>
      <c r="B462" s="11" t="s">
        <v>15022</v>
      </c>
      <c r="C462" s="13" t="s">
        <v>15063</v>
      </c>
      <c r="D462" s="13" t="s">
        <v>15948</v>
      </c>
      <c r="E462" s="13" t="s">
        <v>15949</v>
      </c>
    </row>
    <row r="463" customFormat="false" ht="15" hidden="false" customHeight="true" outlineLevel="0" collapsed="false">
      <c r="A463" s="13" t="s">
        <v>252</v>
      </c>
      <c r="B463" s="11" t="s">
        <v>15022</v>
      </c>
      <c r="C463" s="11" t="s">
        <v>15066</v>
      </c>
      <c r="D463" s="13" t="s">
        <v>15950</v>
      </c>
      <c r="E463" s="13" t="s">
        <v>15951</v>
      </c>
    </row>
    <row r="464" customFormat="false" ht="15" hidden="false" customHeight="true" outlineLevel="0" collapsed="false">
      <c r="A464" s="13" t="s">
        <v>252</v>
      </c>
      <c r="B464" s="11" t="s">
        <v>15022</v>
      </c>
      <c r="C464" s="11" t="s">
        <v>15069</v>
      </c>
      <c r="D464" s="13" t="s">
        <v>15952</v>
      </c>
      <c r="E464" s="13" t="s">
        <v>15953</v>
      </c>
    </row>
    <row r="465" customFormat="false" ht="15" hidden="false" customHeight="true" outlineLevel="0" collapsed="false">
      <c r="A465" s="13" t="s">
        <v>252</v>
      </c>
      <c r="B465" s="11" t="s">
        <v>15022</v>
      </c>
      <c r="C465" s="11" t="s">
        <v>15072</v>
      </c>
      <c r="D465" s="13" t="s">
        <v>15954</v>
      </c>
      <c r="E465" s="13" t="s">
        <v>15955</v>
      </c>
    </row>
    <row r="466" customFormat="false" ht="15" hidden="false" customHeight="true" outlineLevel="0" collapsed="false">
      <c r="A466" s="13" t="s">
        <v>252</v>
      </c>
      <c r="B466" s="11" t="s">
        <v>15022</v>
      </c>
      <c r="C466" s="11" t="s">
        <v>15075</v>
      </c>
      <c r="D466" s="13" t="s">
        <v>15956</v>
      </c>
      <c r="E466" s="13" t="s">
        <v>15957</v>
      </c>
    </row>
    <row r="467" customFormat="false" ht="15" hidden="false" customHeight="true" outlineLevel="0" collapsed="false">
      <c r="A467" s="13" t="s">
        <v>252</v>
      </c>
      <c r="B467" s="11" t="s">
        <v>15022</v>
      </c>
      <c r="C467" s="11" t="s">
        <v>15078</v>
      </c>
      <c r="D467" s="13" t="s">
        <v>15958</v>
      </c>
      <c r="E467" s="13" t="s">
        <v>15959</v>
      </c>
    </row>
    <row r="468" customFormat="false" ht="15" hidden="false" customHeight="true" outlineLevel="0" collapsed="false">
      <c r="A468" s="13" t="s">
        <v>252</v>
      </c>
      <c r="B468" s="11" t="s">
        <v>15022</v>
      </c>
      <c r="C468" s="11" t="s">
        <v>15081</v>
      </c>
      <c r="D468" s="13" t="s">
        <v>15960</v>
      </c>
      <c r="E468" s="13" t="s">
        <v>15961</v>
      </c>
    </row>
    <row r="469" customFormat="false" ht="15" hidden="false" customHeight="true" outlineLevel="0" collapsed="false">
      <c r="A469" s="13" t="s">
        <v>260</v>
      </c>
      <c r="B469" s="11" t="s">
        <v>15022</v>
      </c>
      <c r="C469" s="13" t="s">
        <v>15023</v>
      </c>
      <c r="D469" s="13" t="s">
        <v>15962</v>
      </c>
      <c r="E469" s="13" t="s">
        <v>15963</v>
      </c>
    </row>
    <row r="470" customFormat="false" ht="15" hidden="false" customHeight="true" outlineLevel="0" collapsed="false">
      <c r="A470" s="13" t="s">
        <v>260</v>
      </c>
      <c r="B470" s="11" t="s">
        <v>15022</v>
      </c>
      <c r="C470" s="13" t="s">
        <v>15026</v>
      </c>
      <c r="D470" s="13" t="s">
        <v>15964</v>
      </c>
      <c r="E470" s="13" t="s">
        <v>15965</v>
      </c>
    </row>
    <row r="471" customFormat="false" ht="15" hidden="false" customHeight="true" outlineLevel="0" collapsed="false">
      <c r="A471" s="13" t="s">
        <v>260</v>
      </c>
      <c r="B471" s="11" t="s">
        <v>15022</v>
      </c>
      <c r="C471" s="13" t="s">
        <v>15029</v>
      </c>
      <c r="D471" s="13" t="s">
        <v>15966</v>
      </c>
      <c r="E471" s="13" t="s">
        <v>15967</v>
      </c>
    </row>
    <row r="472" customFormat="false" ht="15" hidden="false" customHeight="true" outlineLevel="0" collapsed="false">
      <c r="A472" s="13" t="s">
        <v>260</v>
      </c>
      <c r="B472" s="11" t="s">
        <v>15022</v>
      </c>
      <c r="C472" s="11" t="s">
        <v>15032</v>
      </c>
      <c r="D472" s="13" t="s">
        <v>15968</v>
      </c>
      <c r="E472" s="13" t="s">
        <v>15969</v>
      </c>
    </row>
    <row r="473" customFormat="false" ht="15" hidden="false" customHeight="true" outlineLevel="0" collapsed="false">
      <c r="A473" s="13" t="s">
        <v>260</v>
      </c>
      <c r="B473" s="11" t="s">
        <v>15022</v>
      </c>
      <c r="C473" s="11" t="s">
        <v>15035</v>
      </c>
      <c r="D473" s="13" t="s">
        <v>15970</v>
      </c>
      <c r="E473" s="13" t="s">
        <v>15971</v>
      </c>
    </row>
    <row r="474" customFormat="false" ht="15" hidden="false" customHeight="true" outlineLevel="0" collapsed="false">
      <c r="A474" s="13" t="s">
        <v>260</v>
      </c>
      <c r="B474" s="11" t="s">
        <v>15022</v>
      </c>
      <c r="C474" s="11" t="s">
        <v>15038</v>
      </c>
      <c r="D474" s="13" t="s">
        <v>15972</v>
      </c>
      <c r="E474" s="13" t="s">
        <v>15973</v>
      </c>
    </row>
    <row r="475" customFormat="false" ht="15" hidden="false" customHeight="true" outlineLevel="0" collapsed="false">
      <c r="A475" s="13" t="s">
        <v>260</v>
      </c>
      <c r="B475" s="11" t="s">
        <v>15022</v>
      </c>
      <c r="C475" s="11" t="s">
        <v>15041</v>
      </c>
      <c r="D475" s="13" t="s">
        <v>15974</v>
      </c>
      <c r="E475" s="13" t="s">
        <v>15975</v>
      </c>
    </row>
    <row r="476" customFormat="false" ht="15" hidden="false" customHeight="true" outlineLevel="0" collapsed="false">
      <c r="A476" s="13" t="s">
        <v>260</v>
      </c>
      <c r="B476" s="11" t="s">
        <v>15022</v>
      </c>
      <c r="C476" s="11" t="s">
        <v>15044</v>
      </c>
      <c r="D476" s="13" t="s">
        <v>15976</v>
      </c>
      <c r="E476" s="13" t="s">
        <v>15977</v>
      </c>
    </row>
    <row r="477" customFormat="false" ht="15" hidden="false" customHeight="true" outlineLevel="0" collapsed="false">
      <c r="A477" s="13" t="s">
        <v>260</v>
      </c>
      <c r="B477" s="11" t="s">
        <v>15022</v>
      </c>
      <c r="C477" s="11" t="s">
        <v>15046</v>
      </c>
      <c r="D477" s="13" t="s">
        <v>15978</v>
      </c>
      <c r="E477" s="13" t="s">
        <v>15979</v>
      </c>
    </row>
    <row r="478" customFormat="false" ht="15" hidden="false" customHeight="true" outlineLevel="0" collapsed="false">
      <c r="A478" s="13" t="s">
        <v>260</v>
      </c>
      <c r="B478" s="11" t="s">
        <v>15022</v>
      </c>
      <c r="C478" s="11" t="s">
        <v>15049</v>
      </c>
      <c r="D478" s="13" t="s">
        <v>15980</v>
      </c>
      <c r="E478" s="13" t="s">
        <v>15981</v>
      </c>
    </row>
    <row r="479" customFormat="false" ht="15" hidden="false" customHeight="true" outlineLevel="0" collapsed="false">
      <c r="A479" s="13" t="s">
        <v>260</v>
      </c>
      <c r="B479" s="11" t="s">
        <v>15022</v>
      </c>
      <c r="C479" s="11" t="s">
        <v>15051</v>
      </c>
      <c r="D479" s="13" t="s">
        <v>15982</v>
      </c>
      <c r="E479" s="13" t="s">
        <v>15983</v>
      </c>
    </row>
    <row r="480" customFormat="false" ht="15" hidden="false" customHeight="true" outlineLevel="0" collapsed="false">
      <c r="A480" s="13" t="s">
        <v>260</v>
      </c>
      <c r="B480" s="11" t="s">
        <v>15022</v>
      </c>
      <c r="C480" s="11" t="s">
        <v>15054</v>
      </c>
      <c r="D480" s="13" t="s">
        <v>15984</v>
      </c>
      <c r="E480" s="13" t="s">
        <v>15985</v>
      </c>
    </row>
    <row r="481" customFormat="false" ht="15" hidden="false" customHeight="true" outlineLevel="0" collapsed="false">
      <c r="A481" s="13" t="s">
        <v>260</v>
      </c>
      <c r="B481" s="11" t="s">
        <v>15022</v>
      </c>
      <c r="C481" s="11" t="s">
        <v>15057</v>
      </c>
      <c r="D481" s="13" t="s">
        <v>15986</v>
      </c>
      <c r="E481" s="13" t="s">
        <v>15987</v>
      </c>
    </row>
    <row r="482" customFormat="false" ht="15" hidden="false" customHeight="true" outlineLevel="0" collapsed="false">
      <c r="A482" s="13" t="s">
        <v>260</v>
      </c>
      <c r="B482" s="11" t="s">
        <v>15022</v>
      </c>
      <c r="C482" s="11" t="s">
        <v>15060</v>
      </c>
      <c r="D482" s="13" t="s">
        <v>15988</v>
      </c>
      <c r="E482" s="13" t="s">
        <v>15989</v>
      </c>
    </row>
    <row r="483" customFormat="false" ht="15" hidden="false" customHeight="true" outlineLevel="0" collapsed="false">
      <c r="A483" s="13" t="s">
        <v>260</v>
      </c>
      <c r="B483" s="11" t="s">
        <v>15022</v>
      </c>
      <c r="C483" s="13" t="s">
        <v>15063</v>
      </c>
      <c r="D483" s="13" t="s">
        <v>15990</v>
      </c>
      <c r="E483" s="13" t="s">
        <v>15991</v>
      </c>
    </row>
    <row r="484" customFormat="false" ht="15" hidden="false" customHeight="true" outlineLevel="0" collapsed="false">
      <c r="A484" s="13" t="s">
        <v>260</v>
      </c>
      <c r="B484" s="11" t="s">
        <v>15022</v>
      </c>
      <c r="C484" s="11" t="s">
        <v>15066</v>
      </c>
      <c r="D484" s="13" t="s">
        <v>15992</v>
      </c>
      <c r="E484" s="13" t="s">
        <v>15993</v>
      </c>
    </row>
    <row r="485" customFormat="false" ht="15" hidden="false" customHeight="true" outlineLevel="0" collapsed="false">
      <c r="A485" s="13" t="s">
        <v>260</v>
      </c>
      <c r="B485" s="11" t="s">
        <v>15022</v>
      </c>
      <c r="C485" s="11" t="s">
        <v>15069</v>
      </c>
      <c r="D485" s="13" t="s">
        <v>15994</v>
      </c>
      <c r="E485" s="13" t="s">
        <v>15995</v>
      </c>
    </row>
    <row r="486" customFormat="false" ht="15" hidden="false" customHeight="true" outlineLevel="0" collapsed="false">
      <c r="A486" s="13" t="s">
        <v>260</v>
      </c>
      <c r="B486" s="11" t="s">
        <v>15022</v>
      </c>
      <c r="C486" s="11" t="s">
        <v>15072</v>
      </c>
      <c r="D486" s="13" t="s">
        <v>15996</v>
      </c>
      <c r="E486" s="13" t="s">
        <v>15997</v>
      </c>
    </row>
    <row r="487" customFormat="false" ht="15" hidden="false" customHeight="true" outlineLevel="0" collapsed="false">
      <c r="A487" s="13" t="s">
        <v>260</v>
      </c>
      <c r="B487" s="11" t="s">
        <v>15022</v>
      </c>
      <c r="C487" s="11" t="s">
        <v>15075</v>
      </c>
      <c r="D487" s="13" t="s">
        <v>15998</v>
      </c>
      <c r="E487" s="13" t="s">
        <v>15999</v>
      </c>
    </row>
    <row r="488" customFormat="false" ht="15" hidden="false" customHeight="true" outlineLevel="0" collapsed="false">
      <c r="A488" s="13" t="s">
        <v>260</v>
      </c>
      <c r="B488" s="11" t="s">
        <v>15022</v>
      </c>
      <c r="C488" s="11" t="s">
        <v>15078</v>
      </c>
      <c r="D488" s="13" t="s">
        <v>16000</v>
      </c>
      <c r="E488" s="13" t="s">
        <v>16001</v>
      </c>
    </row>
    <row r="489" customFormat="false" ht="15" hidden="false" customHeight="true" outlineLevel="0" collapsed="false">
      <c r="A489" s="13" t="s">
        <v>260</v>
      </c>
      <c r="B489" s="11" t="s">
        <v>15022</v>
      </c>
      <c r="C489" s="11" t="s">
        <v>15081</v>
      </c>
      <c r="D489" s="13" t="s">
        <v>16002</v>
      </c>
      <c r="E489" s="13" t="s">
        <v>16003</v>
      </c>
    </row>
    <row r="490" customFormat="false" ht="15" hidden="false" customHeight="true" outlineLevel="0" collapsed="false">
      <c r="A490" s="13" t="s">
        <v>268</v>
      </c>
      <c r="B490" s="11" t="s">
        <v>15022</v>
      </c>
      <c r="C490" s="13" t="s">
        <v>15023</v>
      </c>
      <c r="D490" s="13" t="s">
        <v>16004</v>
      </c>
      <c r="E490" s="13" t="s">
        <v>16005</v>
      </c>
    </row>
    <row r="491" customFormat="false" ht="15" hidden="false" customHeight="true" outlineLevel="0" collapsed="false">
      <c r="A491" s="13" t="s">
        <v>268</v>
      </c>
      <c r="B491" s="11" t="s">
        <v>15022</v>
      </c>
      <c r="C491" s="13" t="s">
        <v>15026</v>
      </c>
      <c r="D491" s="13" t="s">
        <v>16006</v>
      </c>
      <c r="E491" s="13" t="s">
        <v>16007</v>
      </c>
    </row>
    <row r="492" customFormat="false" ht="15" hidden="false" customHeight="true" outlineLevel="0" collapsed="false">
      <c r="A492" s="13" t="s">
        <v>268</v>
      </c>
      <c r="B492" s="11" t="s">
        <v>15022</v>
      </c>
      <c r="C492" s="13" t="s">
        <v>15029</v>
      </c>
      <c r="D492" s="13" t="s">
        <v>16008</v>
      </c>
      <c r="E492" s="13" t="s">
        <v>16009</v>
      </c>
    </row>
    <row r="493" customFormat="false" ht="15" hidden="false" customHeight="true" outlineLevel="0" collapsed="false">
      <c r="A493" s="13" t="s">
        <v>268</v>
      </c>
      <c r="B493" s="11" t="s">
        <v>15022</v>
      </c>
      <c r="C493" s="11" t="s">
        <v>15032</v>
      </c>
      <c r="D493" s="13" t="s">
        <v>16010</v>
      </c>
      <c r="E493" s="13" t="s">
        <v>16011</v>
      </c>
    </row>
    <row r="494" customFormat="false" ht="15" hidden="false" customHeight="true" outlineLevel="0" collapsed="false">
      <c r="A494" s="13" t="s">
        <v>268</v>
      </c>
      <c r="B494" s="11" t="s">
        <v>15022</v>
      </c>
      <c r="C494" s="11" t="s">
        <v>15035</v>
      </c>
      <c r="D494" s="13" t="s">
        <v>16012</v>
      </c>
      <c r="E494" s="13" t="s">
        <v>16013</v>
      </c>
    </row>
    <row r="495" customFormat="false" ht="15" hidden="false" customHeight="true" outlineLevel="0" collapsed="false">
      <c r="A495" s="13" t="s">
        <v>268</v>
      </c>
      <c r="B495" s="11" t="s">
        <v>15022</v>
      </c>
      <c r="C495" s="11" t="s">
        <v>15038</v>
      </c>
      <c r="D495" s="13" t="s">
        <v>16014</v>
      </c>
      <c r="E495" s="13" t="s">
        <v>16015</v>
      </c>
    </row>
    <row r="496" customFormat="false" ht="15" hidden="false" customHeight="true" outlineLevel="0" collapsed="false">
      <c r="A496" s="13" t="s">
        <v>268</v>
      </c>
      <c r="B496" s="11" t="s">
        <v>15022</v>
      </c>
      <c r="C496" s="11" t="s">
        <v>15041</v>
      </c>
      <c r="D496" s="13" t="s">
        <v>16016</v>
      </c>
      <c r="E496" s="13" t="s">
        <v>16017</v>
      </c>
    </row>
    <row r="497" customFormat="false" ht="15" hidden="false" customHeight="true" outlineLevel="0" collapsed="false">
      <c r="A497" s="13" t="s">
        <v>268</v>
      </c>
      <c r="B497" s="11" t="s">
        <v>15022</v>
      </c>
      <c r="C497" s="11" t="s">
        <v>15044</v>
      </c>
      <c r="D497" s="13" t="s">
        <v>16018</v>
      </c>
      <c r="E497" s="13" t="s">
        <v>16019</v>
      </c>
    </row>
    <row r="498" customFormat="false" ht="15" hidden="false" customHeight="true" outlineLevel="0" collapsed="false">
      <c r="A498" s="13" t="s">
        <v>268</v>
      </c>
      <c r="B498" s="11" t="s">
        <v>15022</v>
      </c>
      <c r="C498" s="11" t="s">
        <v>15046</v>
      </c>
      <c r="D498" s="13" t="s">
        <v>16020</v>
      </c>
      <c r="E498" s="13" t="s">
        <v>16021</v>
      </c>
    </row>
    <row r="499" customFormat="false" ht="15" hidden="false" customHeight="true" outlineLevel="0" collapsed="false">
      <c r="A499" s="13" t="s">
        <v>268</v>
      </c>
      <c r="B499" s="11" t="s">
        <v>15022</v>
      </c>
      <c r="C499" s="11" t="s">
        <v>15049</v>
      </c>
      <c r="D499" s="13" t="s">
        <v>16022</v>
      </c>
      <c r="E499" s="13" t="s">
        <v>16023</v>
      </c>
    </row>
    <row r="500" customFormat="false" ht="15" hidden="false" customHeight="true" outlineLevel="0" collapsed="false">
      <c r="A500" s="13" t="s">
        <v>268</v>
      </c>
      <c r="B500" s="11" t="s">
        <v>15022</v>
      </c>
      <c r="C500" s="11" t="s">
        <v>15051</v>
      </c>
      <c r="D500" s="13" t="s">
        <v>16024</v>
      </c>
      <c r="E500" s="13" t="s">
        <v>16025</v>
      </c>
    </row>
    <row r="501" customFormat="false" ht="15" hidden="false" customHeight="true" outlineLevel="0" collapsed="false">
      <c r="A501" s="13" t="s">
        <v>268</v>
      </c>
      <c r="B501" s="11" t="s">
        <v>15022</v>
      </c>
      <c r="C501" s="11" t="s">
        <v>15054</v>
      </c>
      <c r="D501" s="13" t="s">
        <v>16026</v>
      </c>
      <c r="E501" s="13" t="s">
        <v>16027</v>
      </c>
    </row>
    <row r="502" customFormat="false" ht="15" hidden="false" customHeight="true" outlineLevel="0" collapsed="false">
      <c r="A502" s="13" t="s">
        <v>268</v>
      </c>
      <c r="B502" s="11" t="s">
        <v>15022</v>
      </c>
      <c r="C502" s="11" t="s">
        <v>15057</v>
      </c>
      <c r="D502" s="13" t="s">
        <v>16028</v>
      </c>
      <c r="E502" s="13" t="s">
        <v>16029</v>
      </c>
    </row>
    <row r="503" customFormat="false" ht="15" hidden="false" customHeight="true" outlineLevel="0" collapsed="false">
      <c r="A503" s="13" t="s">
        <v>268</v>
      </c>
      <c r="B503" s="11" t="s">
        <v>15022</v>
      </c>
      <c r="C503" s="11" t="s">
        <v>15060</v>
      </c>
      <c r="D503" s="13" t="s">
        <v>16030</v>
      </c>
      <c r="E503" s="13" t="s">
        <v>16031</v>
      </c>
    </row>
    <row r="504" customFormat="false" ht="15" hidden="false" customHeight="true" outlineLevel="0" collapsed="false">
      <c r="A504" s="13" t="s">
        <v>268</v>
      </c>
      <c r="B504" s="11" t="s">
        <v>15022</v>
      </c>
      <c r="C504" s="13" t="s">
        <v>15063</v>
      </c>
      <c r="D504" s="13" t="s">
        <v>16032</v>
      </c>
      <c r="E504" s="13" t="s">
        <v>16033</v>
      </c>
    </row>
    <row r="505" customFormat="false" ht="15" hidden="false" customHeight="true" outlineLevel="0" collapsed="false">
      <c r="A505" s="13" t="s">
        <v>268</v>
      </c>
      <c r="B505" s="11" t="s">
        <v>15022</v>
      </c>
      <c r="C505" s="11" t="s">
        <v>15066</v>
      </c>
      <c r="D505" s="13" t="s">
        <v>16034</v>
      </c>
      <c r="E505" s="13" t="s">
        <v>16035</v>
      </c>
    </row>
    <row r="506" customFormat="false" ht="15" hidden="false" customHeight="true" outlineLevel="0" collapsed="false">
      <c r="A506" s="13" t="s">
        <v>268</v>
      </c>
      <c r="B506" s="11" t="s">
        <v>15022</v>
      </c>
      <c r="C506" s="11" t="s">
        <v>15069</v>
      </c>
      <c r="D506" s="13" t="s">
        <v>16036</v>
      </c>
      <c r="E506" s="13" t="s">
        <v>16037</v>
      </c>
    </row>
    <row r="507" customFormat="false" ht="15" hidden="false" customHeight="true" outlineLevel="0" collapsed="false">
      <c r="A507" s="13" t="s">
        <v>268</v>
      </c>
      <c r="B507" s="11" t="s">
        <v>15022</v>
      </c>
      <c r="C507" s="11" t="s">
        <v>15072</v>
      </c>
      <c r="D507" s="13" t="s">
        <v>16038</v>
      </c>
      <c r="E507" s="13" t="s">
        <v>16039</v>
      </c>
    </row>
    <row r="508" customFormat="false" ht="15" hidden="false" customHeight="true" outlineLevel="0" collapsed="false">
      <c r="A508" s="13" t="s">
        <v>268</v>
      </c>
      <c r="B508" s="11" t="s">
        <v>15022</v>
      </c>
      <c r="C508" s="11" t="s">
        <v>15075</v>
      </c>
      <c r="D508" s="13" t="s">
        <v>16040</v>
      </c>
      <c r="E508" s="13" t="s">
        <v>16041</v>
      </c>
    </row>
    <row r="509" customFormat="false" ht="15" hidden="false" customHeight="true" outlineLevel="0" collapsed="false">
      <c r="A509" s="13" t="s">
        <v>268</v>
      </c>
      <c r="B509" s="11" t="s">
        <v>15022</v>
      </c>
      <c r="C509" s="11" t="s">
        <v>15078</v>
      </c>
      <c r="D509" s="13" t="s">
        <v>16042</v>
      </c>
      <c r="E509" s="13" t="s">
        <v>16043</v>
      </c>
    </row>
    <row r="510" customFormat="false" ht="15" hidden="false" customHeight="true" outlineLevel="0" collapsed="false">
      <c r="A510" s="13" t="s">
        <v>268</v>
      </c>
      <c r="B510" s="11" t="s">
        <v>15022</v>
      </c>
      <c r="C510" s="11" t="s">
        <v>15081</v>
      </c>
      <c r="D510" s="13" t="s">
        <v>16044</v>
      </c>
      <c r="E510" s="13" t="s">
        <v>16045</v>
      </c>
    </row>
    <row r="511" customFormat="false" ht="15" hidden="false" customHeight="true" outlineLevel="0" collapsed="false">
      <c r="A511" s="13" t="s">
        <v>276</v>
      </c>
      <c r="B511" s="11" t="s">
        <v>15022</v>
      </c>
      <c r="C511" s="13" t="s">
        <v>15023</v>
      </c>
      <c r="D511" s="13" t="s">
        <v>16046</v>
      </c>
      <c r="E511" s="13" t="s">
        <v>16047</v>
      </c>
    </row>
    <row r="512" customFormat="false" ht="15" hidden="false" customHeight="true" outlineLevel="0" collapsed="false">
      <c r="A512" s="13" t="s">
        <v>276</v>
      </c>
      <c r="B512" s="11" t="s">
        <v>15022</v>
      </c>
      <c r="C512" s="13" t="s">
        <v>15026</v>
      </c>
      <c r="D512" s="13" t="s">
        <v>16048</v>
      </c>
      <c r="E512" s="13" t="s">
        <v>16049</v>
      </c>
    </row>
    <row r="513" customFormat="false" ht="15" hidden="false" customHeight="true" outlineLevel="0" collapsed="false">
      <c r="A513" s="13" t="s">
        <v>276</v>
      </c>
      <c r="B513" s="11" t="s">
        <v>15022</v>
      </c>
      <c r="C513" s="13" t="s">
        <v>15029</v>
      </c>
      <c r="D513" s="13" t="s">
        <v>16050</v>
      </c>
      <c r="E513" s="13" t="s">
        <v>16051</v>
      </c>
    </row>
    <row r="514" customFormat="false" ht="15" hidden="false" customHeight="true" outlineLevel="0" collapsed="false">
      <c r="A514" s="13" t="s">
        <v>276</v>
      </c>
      <c r="B514" s="11" t="s">
        <v>15022</v>
      </c>
      <c r="C514" s="11" t="s">
        <v>15032</v>
      </c>
      <c r="D514" s="13" t="s">
        <v>16052</v>
      </c>
      <c r="E514" s="13" t="s">
        <v>16053</v>
      </c>
    </row>
    <row r="515" customFormat="false" ht="15" hidden="false" customHeight="true" outlineLevel="0" collapsed="false">
      <c r="A515" s="13" t="s">
        <v>276</v>
      </c>
      <c r="B515" s="11" t="s">
        <v>15022</v>
      </c>
      <c r="C515" s="11" t="s">
        <v>15035</v>
      </c>
      <c r="D515" s="13" t="s">
        <v>16054</v>
      </c>
      <c r="E515" s="13" t="s">
        <v>16055</v>
      </c>
    </row>
    <row r="516" customFormat="false" ht="15" hidden="false" customHeight="true" outlineLevel="0" collapsed="false">
      <c r="A516" s="13" t="s">
        <v>276</v>
      </c>
      <c r="B516" s="11" t="s">
        <v>15022</v>
      </c>
      <c r="C516" s="11" t="s">
        <v>15038</v>
      </c>
      <c r="D516" s="13" t="s">
        <v>16056</v>
      </c>
      <c r="E516" s="13" t="s">
        <v>16057</v>
      </c>
    </row>
    <row r="517" customFormat="false" ht="15" hidden="false" customHeight="true" outlineLevel="0" collapsed="false">
      <c r="A517" s="13" t="s">
        <v>276</v>
      </c>
      <c r="B517" s="11" t="s">
        <v>15022</v>
      </c>
      <c r="C517" s="11" t="s">
        <v>15041</v>
      </c>
      <c r="D517" s="13" t="s">
        <v>16058</v>
      </c>
      <c r="E517" s="13" t="s">
        <v>16059</v>
      </c>
    </row>
    <row r="518" customFormat="false" ht="15" hidden="false" customHeight="true" outlineLevel="0" collapsed="false">
      <c r="A518" s="13" t="s">
        <v>276</v>
      </c>
      <c r="B518" s="11" t="s">
        <v>15022</v>
      </c>
      <c r="C518" s="11" t="s">
        <v>15044</v>
      </c>
      <c r="D518" s="13" t="s">
        <v>16060</v>
      </c>
      <c r="E518" s="13" t="s">
        <v>16061</v>
      </c>
    </row>
    <row r="519" customFormat="false" ht="15" hidden="false" customHeight="true" outlineLevel="0" collapsed="false">
      <c r="A519" s="13" t="s">
        <v>276</v>
      </c>
      <c r="B519" s="11" t="s">
        <v>15022</v>
      </c>
      <c r="C519" s="11" t="s">
        <v>15046</v>
      </c>
      <c r="D519" s="13" t="s">
        <v>16062</v>
      </c>
      <c r="E519" s="13" t="s">
        <v>16063</v>
      </c>
    </row>
    <row r="520" customFormat="false" ht="15" hidden="false" customHeight="true" outlineLevel="0" collapsed="false">
      <c r="A520" s="13" t="s">
        <v>276</v>
      </c>
      <c r="B520" s="11" t="s">
        <v>15022</v>
      </c>
      <c r="C520" s="11" t="s">
        <v>15049</v>
      </c>
      <c r="D520" s="13" t="s">
        <v>16064</v>
      </c>
      <c r="E520" s="13" t="s">
        <v>16065</v>
      </c>
    </row>
    <row r="521" customFormat="false" ht="15" hidden="false" customHeight="true" outlineLevel="0" collapsed="false">
      <c r="A521" s="13" t="s">
        <v>276</v>
      </c>
      <c r="B521" s="11" t="s">
        <v>15022</v>
      </c>
      <c r="C521" s="11" t="s">
        <v>15051</v>
      </c>
      <c r="D521" s="13" t="s">
        <v>14071</v>
      </c>
      <c r="E521" s="13" t="s">
        <v>16066</v>
      </c>
    </row>
    <row r="522" customFormat="false" ht="15" hidden="false" customHeight="true" outlineLevel="0" collapsed="false">
      <c r="A522" s="13" t="s">
        <v>276</v>
      </c>
      <c r="B522" s="11" t="s">
        <v>15022</v>
      </c>
      <c r="C522" s="11" t="s">
        <v>15054</v>
      </c>
      <c r="D522" s="13" t="s">
        <v>16067</v>
      </c>
      <c r="E522" s="13" t="s">
        <v>16068</v>
      </c>
    </row>
    <row r="523" customFormat="false" ht="15" hidden="false" customHeight="true" outlineLevel="0" collapsed="false">
      <c r="A523" s="13" t="s">
        <v>276</v>
      </c>
      <c r="B523" s="11" t="s">
        <v>15022</v>
      </c>
      <c r="C523" s="11" t="s">
        <v>15057</v>
      </c>
      <c r="D523" s="13" t="s">
        <v>16069</v>
      </c>
      <c r="E523" s="13" t="s">
        <v>16070</v>
      </c>
    </row>
    <row r="524" customFormat="false" ht="15" hidden="false" customHeight="true" outlineLevel="0" collapsed="false">
      <c r="A524" s="13" t="s">
        <v>276</v>
      </c>
      <c r="B524" s="11" t="s">
        <v>15022</v>
      </c>
      <c r="C524" s="11" t="s">
        <v>15060</v>
      </c>
      <c r="D524" s="13" t="s">
        <v>16071</v>
      </c>
      <c r="E524" s="13" t="s">
        <v>16072</v>
      </c>
    </row>
    <row r="525" customFormat="false" ht="15" hidden="false" customHeight="true" outlineLevel="0" collapsed="false">
      <c r="A525" s="13" t="s">
        <v>276</v>
      </c>
      <c r="B525" s="11" t="s">
        <v>15022</v>
      </c>
      <c r="C525" s="13" t="s">
        <v>15063</v>
      </c>
      <c r="D525" s="13" t="s">
        <v>16073</v>
      </c>
      <c r="E525" s="13" t="s">
        <v>16074</v>
      </c>
    </row>
    <row r="526" customFormat="false" ht="15" hidden="false" customHeight="true" outlineLevel="0" collapsed="false">
      <c r="A526" s="13" t="s">
        <v>276</v>
      </c>
      <c r="B526" s="11" t="s">
        <v>15022</v>
      </c>
      <c r="C526" s="11" t="s">
        <v>15066</v>
      </c>
      <c r="D526" s="13" t="s">
        <v>16075</v>
      </c>
      <c r="E526" s="13" t="s">
        <v>16076</v>
      </c>
    </row>
    <row r="527" customFormat="false" ht="15" hidden="false" customHeight="true" outlineLevel="0" collapsed="false">
      <c r="A527" s="13" t="s">
        <v>276</v>
      </c>
      <c r="B527" s="11" t="s">
        <v>15022</v>
      </c>
      <c r="C527" s="11" t="s">
        <v>15069</v>
      </c>
      <c r="D527" s="13" t="s">
        <v>16077</v>
      </c>
      <c r="E527" s="13" t="s">
        <v>16078</v>
      </c>
    </row>
    <row r="528" customFormat="false" ht="15" hidden="false" customHeight="true" outlineLevel="0" collapsed="false">
      <c r="A528" s="13" t="s">
        <v>276</v>
      </c>
      <c r="B528" s="11" t="s">
        <v>15022</v>
      </c>
      <c r="C528" s="11" t="s">
        <v>15072</v>
      </c>
      <c r="D528" s="13" t="s">
        <v>16079</v>
      </c>
      <c r="E528" s="13" t="s">
        <v>16080</v>
      </c>
    </row>
    <row r="529" customFormat="false" ht="15" hidden="false" customHeight="true" outlineLevel="0" collapsed="false">
      <c r="A529" s="13" t="s">
        <v>276</v>
      </c>
      <c r="B529" s="11" t="s">
        <v>15022</v>
      </c>
      <c r="C529" s="11" t="s">
        <v>15075</v>
      </c>
      <c r="D529" s="13" t="s">
        <v>16081</v>
      </c>
      <c r="E529" s="13" t="s">
        <v>16082</v>
      </c>
    </row>
    <row r="530" customFormat="false" ht="15" hidden="false" customHeight="true" outlineLevel="0" collapsed="false">
      <c r="A530" s="13" t="s">
        <v>276</v>
      </c>
      <c r="B530" s="11" t="s">
        <v>15022</v>
      </c>
      <c r="C530" s="11" t="s">
        <v>15078</v>
      </c>
      <c r="D530" s="13" t="s">
        <v>16083</v>
      </c>
      <c r="E530" s="13" t="s">
        <v>16084</v>
      </c>
    </row>
    <row r="531" customFormat="false" ht="15" hidden="false" customHeight="true" outlineLevel="0" collapsed="false">
      <c r="A531" s="13" t="s">
        <v>276</v>
      </c>
      <c r="B531" s="11" t="s">
        <v>15022</v>
      </c>
      <c r="C531" s="11" t="s">
        <v>15081</v>
      </c>
      <c r="D531" s="13" t="s">
        <v>16085</v>
      </c>
      <c r="E531" s="13" t="s">
        <v>16086</v>
      </c>
    </row>
    <row r="532" customFormat="false" ht="15" hidden="false" customHeight="true" outlineLevel="0" collapsed="false">
      <c r="A532" s="13" t="s">
        <v>284</v>
      </c>
      <c r="B532" s="11" t="s">
        <v>15022</v>
      </c>
      <c r="C532" s="13" t="s">
        <v>15023</v>
      </c>
      <c r="D532" s="13" t="s">
        <v>16087</v>
      </c>
      <c r="E532" s="13" t="s">
        <v>16088</v>
      </c>
    </row>
    <row r="533" customFormat="false" ht="15" hidden="false" customHeight="true" outlineLevel="0" collapsed="false">
      <c r="A533" s="13" t="s">
        <v>284</v>
      </c>
      <c r="B533" s="11" t="s">
        <v>15022</v>
      </c>
      <c r="C533" s="13" t="s">
        <v>15026</v>
      </c>
      <c r="D533" s="13" t="s">
        <v>16089</v>
      </c>
      <c r="E533" s="13" t="s">
        <v>16090</v>
      </c>
    </row>
    <row r="534" customFormat="false" ht="15" hidden="false" customHeight="true" outlineLevel="0" collapsed="false">
      <c r="A534" s="13" t="s">
        <v>284</v>
      </c>
      <c r="B534" s="11" t="s">
        <v>15022</v>
      </c>
      <c r="C534" s="13" t="s">
        <v>15029</v>
      </c>
      <c r="D534" s="13" t="s">
        <v>16091</v>
      </c>
      <c r="E534" s="13" t="s">
        <v>16092</v>
      </c>
    </row>
    <row r="535" customFormat="false" ht="15" hidden="false" customHeight="true" outlineLevel="0" collapsed="false">
      <c r="A535" s="13" t="s">
        <v>284</v>
      </c>
      <c r="B535" s="11" t="s">
        <v>15022</v>
      </c>
      <c r="C535" s="11" t="s">
        <v>15032</v>
      </c>
      <c r="D535" s="13" t="s">
        <v>16093</v>
      </c>
      <c r="E535" s="13" t="s">
        <v>481</v>
      </c>
    </row>
    <row r="536" customFormat="false" ht="15" hidden="false" customHeight="true" outlineLevel="0" collapsed="false">
      <c r="A536" s="13" t="s">
        <v>284</v>
      </c>
      <c r="B536" s="11" t="s">
        <v>15022</v>
      </c>
      <c r="C536" s="11" t="s">
        <v>15035</v>
      </c>
      <c r="D536" s="13" t="s">
        <v>16094</v>
      </c>
      <c r="E536" s="13" t="s">
        <v>16095</v>
      </c>
    </row>
    <row r="537" customFormat="false" ht="15" hidden="false" customHeight="true" outlineLevel="0" collapsed="false">
      <c r="A537" s="13" t="s">
        <v>284</v>
      </c>
      <c r="B537" s="11" t="s">
        <v>15022</v>
      </c>
      <c r="C537" s="11" t="s">
        <v>15038</v>
      </c>
      <c r="D537" s="13" t="s">
        <v>16096</v>
      </c>
      <c r="E537" s="13" t="s">
        <v>16097</v>
      </c>
    </row>
    <row r="538" customFormat="false" ht="15" hidden="false" customHeight="true" outlineLevel="0" collapsed="false">
      <c r="A538" s="13" t="s">
        <v>284</v>
      </c>
      <c r="B538" s="11" t="s">
        <v>15022</v>
      </c>
      <c r="C538" s="11" t="s">
        <v>15041</v>
      </c>
      <c r="D538" s="13" t="s">
        <v>16098</v>
      </c>
      <c r="E538" s="13" t="s">
        <v>16099</v>
      </c>
    </row>
    <row r="539" customFormat="false" ht="15" hidden="false" customHeight="true" outlineLevel="0" collapsed="false">
      <c r="A539" s="13" t="s">
        <v>284</v>
      </c>
      <c r="B539" s="11" t="s">
        <v>15022</v>
      </c>
      <c r="C539" s="11" t="s">
        <v>15044</v>
      </c>
      <c r="D539" s="13" t="s">
        <v>16100</v>
      </c>
      <c r="E539" s="13" t="s">
        <v>16101</v>
      </c>
    </row>
    <row r="540" customFormat="false" ht="15" hidden="false" customHeight="true" outlineLevel="0" collapsed="false">
      <c r="A540" s="13" t="s">
        <v>284</v>
      </c>
      <c r="B540" s="11" t="s">
        <v>15022</v>
      </c>
      <c r="C540" s="11" t="s">
        <v>15046</v>
      </c>
      <c r="D540" s="13" t="s">
        <v>16102</v>
      </c>
      <c r="E540" s="13" t="s">
        <v>16103</v>
      </c>
    </row>
    <row r="541" customFormat="false" ht="15" hidden="false" customHeight="true" outlineLevel="0" collapsed="false">
      <c r="A541" s="13" t="s">
        <v>284</v>
      </c>
      <c r="B541" s="11" t="s">
        <v>15022</v>
      </c>
      <c r="C541" s="11" t="s">
        <v>15049</v>
      </c>
      <c r="D541" s="13" t="s">
        <v>16104</v>
      </c>
      <c r="E541" s="13" t="s">
        <v>16105</v>
      </c>
    </row>
    <row r="542" customFormat="false" ht="15" hidden="false" customHeight="true" outlineLevel="0" collapsed="false">
      <c r="A542" s="13" t="s">
        <v>284</v>
      </c>
      <c r="B542" s="11" t="s">
        <v>15022</v>
      </c>
      <c r="C542" s="11" t="s">
        <v>15051</v>
      </c>
      <c r="D542" s="13" t="s">
        <v>16106</v>
      </c>
      <c r="E542" s="13" t="s">
        <v>16107</v>
      </c>
    </row>
    <row r="543" customFormat="false" ht="15" hidden="false" customHeight="true" outlineLevel="0" collapsed="false">
      <c r="A543" s="13" t="s">
        <v>284</v>
      </c>
      <c r="B543" s="11" t="s">
        <v>15022</v>
      </c>
      <c r="C543" s="11" t="s">
        <v>15054</v>
      </c>
      <c r="D543" s="13" t="s">
        <v>16108</v>
      </c>
      <c r="E543" s="13" t="s">
        <v>16109</v>
      </c>
    </row>
    <row r="544" customFormat="false" ht="15" hidden="false" customHeight="true" outlineLevel="0" collapsed="false">
      <c r="A544" s="13" t="s">
        <v>284</v>
      </c>
      <c r="B544" s="11" t="s">
        <v>15022</v>
      </c>
      <c r="C544" s="11" t="s">
        <v>15057</v>
      </c>
      <c r="D544" s="13" t="s">
        <v>16110</v>
      </c>
      <c r="E544" s="13" t="s">
        <v>16111</v>
      </c>
    </row>
    <row r="545" customFormat="false" ht="15" hidden="false" customHeight="true" outlineLevel="0" collapsed="false">
      <c r="A545" s="13" t="s">
        <v>284</v>
      </c>
      <c r="B545" s="11" t="s">
        <v>15022</v>
      </c>
      <c r="C545" s="11" t="s">
        <v>15060</v>
      </c>
      <c r="D545" s="13" t="s">
        <v>16112</v>
      </c>
      <c r="E545" s="13" t="s">
        <v>16113</v>
      </c>
    </row>
    <row r="546" customFormat="false" ht="15" hidden="false" customHeight="true" outlineLevel="0" collapsed="false">
      <c r="A546" s="13" t="s">
        <v>284</v>
      </c>
      <c r="B546" s="11" t="s">
        <v>15022</v>
      </c>
      <c r="C546" s="13" t="s">
        <v>15063</v>
      </c>
      <c r="D546" s="13" t="s">
        <v>16114</v>
      </c>
      <c r="E546" s="13" t="s">
        <v>16115</v>
      </c>
    </row>
    <row r="547" customFormat="false" ht="15" hidden="false" customHeight="true" outlineLevel="0" collapsed="false">
      <c r="A547" s="13" t="s">
        <v>284</v>
      </c>
      <c r="B547" s="11" t="s">
        <v>15022</v>
      </c>
      <c r="C547" s="11" t="s">
        <v>15066</v>
      </c>
      <c r="D547" s="13" t="s">
        <v>16116</v>
      </c>
      <c r="E547" s="13" t="s">
        <v>16117</v>
      </c>
    </row>
    <row r="548" customFormat="false" ht="15" hidden="false" customHeight="true" outlineLevel="0" collapsed="false">
      <c r="A548" s="13" t="s">
        <v>284</v>
      </c>
      <c r="B548" s="11" t="s">
        <v>15022</v>
      </c>
      <c r="C548" s="11" t="s">
        <v>15069</v>
      </c>
      <c r="D548" s="13" t="s">
        <v>16118</v>
      </c>
      <c r="E548" s="13" t="s">
        <v>16119</v>
      </c>
    </row>
    <row r="549" customFormat="false" ht="15" hidden="false" customHeight="true" outlineLevel="0" collapsed="false">
      <c r="A549" s="13" t="s">
        <v>284</v>
      </c>
      <c r="B549" s="11" t="s">
        <v>15022</v>
      </c>
      <c r="C549" s="11" t="s">
        <v>15072</v>
      </c>
      <c r="D549" s="13" t="s">
        <v>16120</v>
      </c>
      <c r="E549" s="13" t="s">
        <v>16121</v>
      </c>
    </row>
    <row r="550" customFormat="false" ht="15" hidden="false" customHeight="true" outlineLevel="0" collapsed="false">
      <c r="A550" s="13" t="s">
        <v>284</v>
      </c>
      <c r="B550" s="11" t="s">
        <v>15022</v>
      </c>
      <c r="C550" s="11" t="s">
        <v>15075</v>
      </c>
      <c r="D550" s="13" t="s">
        <v>16122</v>
      </c>
      <c r="E550" s="13" t="s">
        <v>16123</v>
      </c>
    </row>
    <row r="551" customFormat="false" ht="15" hidden="false" customHeight="true" outlineLevel="0" collapsed="false">
      <c r="A551" s="13" t="s">
        <v>284</v>
      </c>
      <c r="B551" s="11" t="s">
        <v>15022</v>
      </c>
      <c r="C551" s="11" t="s">
        <v>15078</v>
      </c>
      <c r="D551" s="13" t="s">
        <v>16124</v>
      </c>
      <c r="E551" s="13" t="s">
        <v>16125</v>
      </c>
    </row>
    <row r="552" customFormat="false" ht="15" hidden="false" customHeight="true" outlineLevel="0" collapsed="false">
      <c r="A552" s="13" t="s">
        <v>284</v>
      </c>
      <c r="B552" s="11" t="s">
        <v>15022</v>
      </c>
      <c r="C552" s="11" t="s">
        <v>15081</v>
      </c>
      <c r="D552" s="13" t="s">
        <v>16126</v>
      </c>
      <c r="E552" s="13" t="s">
        <v>16127</v>
      </c>
    </row>
    <row r="553" customFormat="false" ht="15" hidden="false" customHeight="true" outlineLevel="0" collapsed="false">
      <c r="A553" s="13" t="s">
        <v>293</v>
      </c>
      <c r="B553" s="11" t="s">
        <v>15022</v>
      </c>
      <c r="C553" s="13" t="s">
        <v>15023</v>
      </c>
      <c r="D553" s="13" t="s">
        <v>16128</v>
      </c>
      <c r="E553" s="13" t="s">
        <v>16129</v>
      </c>
    </row>
    <row r="554" customFormat="false" ht="15" hidden="false" customHeight="true" outlineLevel="0" collapsed="false">
      <c r="A554" s="13" t="s">
        <v>293</v>
      </c>
      <c r="B554" s="11" t="s">
        <v>15022</v>
      </c>
      <c r="C554" s="13" t="s">
        <v>15026</v>
      </c>
      <c r="D554" s="13" t="s">
        <v>16130</v>
      </c>
      <c r="E554" s="13" t="s">
        <v>16131</v>
      </c>
    </row>
    <row r="555" customFormat="false" ht="15" hidden="false" customHeight="true" outlineLevel="0" collapsed="false">
      <c r="A555" s="13" t="s">
        <v>293</v>
      </c>
      <c r="B555" s="11" t="s">
        <v>15022</v>
      </c>
      <c r="C555" s="13" t="s">
        <v>15029</v>
      </c>
      <c r="D555" s="13" t="s">
        <v>16132</v>
      </c>
      <c r="E555" s="13" t="s">
        <v>16133</v>
      </c>
    </row>
    <row r="556" customFormat="false" ht="15" hidden="false" customHeight="true" outlineLevel="0" collapsed="false">
      <c r="A556" s="13" t="s">
        <v>293</v>
      </c>
      <c r="B556" s="11" t="s">
        <v>15022</v>
      </c>
      <c r="C556" s="11" t="s">
        <v>15032</v>
      </c>
      <c r="D556" s="13" t="s">
        <v>16134</v>
      </c>
      <c r="E556" s="13" t="s">
        <v>16135</v>
      </c>
    </row>
    <row r="557" customFormat="false" ht="15" hidden="false" customHeight="true" outlineLevel="0" collapsed="false">
      <c r="A557" s="13" t="s">
        <v>293</v>
      </c>
      <c r="B557" s="11" t="s">
        <v>15022</v>
      </c>
      <c r="C557" s="11" t="s">
        <v>15035</v>
      </c>
      <c r="D557" s="13" t="s">
        <v>16136</v>
      </c>
      <c r="E557" s="13" t="s">
        <v>16137</v>
      </c>
    </row>
    <row r="558" customFormat="false" ht="15" hidden="false" customHeight="true" outlineLevel="0" collapsed="false">
      <c r="A558" s="13" t="s">
        <v>293</v>
      </c>
      <c r="B558" s="11" t="s">
        <v>15022</v>
      </c>
      <c r="C558" s="11" t="s">
        <v>15038</v>
      </c>
      <c r="D558" s="13" t="s">
        <v>16138</v>
      </c>
      <c r="E558" s="13" t="s">
        <v>16139</v>
      </c>
    </row>
    <row r="559" customFormat="false" ht="15" hidden="false" customHeight="true" outlineLevel="0" collapsed="false">
      <c r="A559" s="13" t="s">
        <v>293</v>
      </c>
      <c r="B559" s="11" t="s">
        <v>15022</v>
      </c>
      <c r="C559" s="11" t="s">
        <v>15041</v>
      </c>
      <c r="D559" s="13" t="s">
        <v>16140</v>
      </c>
      <c r="E559" s="13" t="s">
        <v>16141</v>
      </c>
    </row>
    <row r="560" customFormat="false" ht="15" hidden="false" customHeight="true" outlineLevel="0" collapsed="false">
      <c r="A560" s="13" t="s">
        <v>293</v>
      </c>
      <c r="B560" s="11" t="s">
        <v>15022</v>
      </c>
      <c r="C560" s="11" t="s">
        <v>15044</v>
      </c>
      <c r="D560" s="13" t="s">
        <v>16142</v>
      </c>
      <c r="E560" s="13" t="s">
        <v>16143</v>
      </c>
    </row>
    <row r="561" customFormat="false" ht="15" hidden="false" customHeight="true" outlineLevel="0" collapsed="false">
      <c r="A561" s="13" t="s">
        <v>293</v>
      </c>
      <c r="B561" s="11" t="s">
        <v>15022</v>
      </c>
      <c r="C561" s="11" t="s">
        <v>15046</v>
      </c>
      <c r="D561" s="13" t="s">
        <v>16144</v>
      </c>
      <c r="E561" s="13" t="s">
        <v>16145</v>
      </c>
    </row>
    <row r="562" customFormat="false" ht="15" hidden="false" customHeight="true" outlineLevel="0" collapsed="false">
      <c r="A562" s="13" t="s">
        <v>293</v>
      </c>
      <c r="B562" s="11" t="s">
        <v>15022</v>
      </c>
      <c r="C562" s="11" t="s">
        <v>15049</v>
      </c>
      <c r="D562" s="13" t="s">
        <v>16146</v>
      </c>
      <c r="E562" s="13" t="s">
        <v>16147</v>
      </c>
    </row>
    <row r="563" customFormat="false" ht="15" hidden="false" customHeight="true" outlineLevel="0" collapsed="false">
      <c r="A563" s="13" t="s">
        <v>293</v>
      </c>
      <c r="B563" s="11" t="s">
        <v>15022</v>
      </c>
      <c r="C563" s="11" t="s">
        <v>15051</v>
      </c>
      <c r="D563" s="13" t="s">
        <v>16148</v>
      </c>
      <c r="E563" s="13" t="s">
        <v>16149</v>
      </c>
    </row>
    <row r="564" customFormat="false" ht="15" hidden="false" customHeight="true" outlineLevel="0" collapsed="false">
      <c r="A564" s="13" t="s">
        <v>293</v>
      </c>
      <c r="B564" s="11" t="s">
        <v>15022</v>
      </c>
      <c r="C564" s="11" t="s">
        <v>15054</v>
      </c>
      <c r="D564" s="13" t="s">
        <v>16150</v>
      </c>
      <c r="E564" s="13" t="s">
        <v>16151</v>
      </c>
    </row>
    <row r="565" customFormat="false" ht="15" hidden="false" customHeight="true" outlineLevel="0" collapsed="false">
      <c r="A565" s="13" t="s">
        <v>293</v>
      </c>
      <c r="B565" s="11" t="s">
        <v>15022</v>
      </c>
      <c r="C565" s="11" t="s">
        <v>15057</v>
      </c>
      <c r="D565" s="13" t="s">
        <v>16152</v>
      </c>
      <c r="E565" s="13" t="s">
        <v>16153</v>
      </c>
    </row>
    <row r="566" customFormat="false" ht="15" hidden="false" customHeight="true" outlineLevel="0" collapsed="false">
      <c r="A566" s="13" t="s">
        <v>293</v>
      </c>
      <c r="B566" s="11" t="s">
        <v>15022</v>
      </c>
      <c r="C566" s="11" t="s">
        <v>15060</v>
      </c>
      <c r="D566" s="13" t="s">
        <v>16154</v>
      </c>
      <c r="E566" s="13" t="s">
        <v>16155</v>
      </c>
    </row>
    <row r="567" customFormat="false" ht="15" hidden="false" customHeight="true" outlineLevel="0" collapsed="false">
      <c r="A567" s="13" t="s">
        <v>293</v>
      </c>
      <c r="B567" s="11" t="s">
        <v>15022</v>
      </c>
      <c r="C567" s="13" t="s">
        <v>15063</v>
      </c>
      <c r="D567" s="13" t="s">
        <v>16156</v>
      </c>
      <c r="E567" s="13" t="s">
        <v>16157</v>
      </c>
    </row>
    <row r="568" customFormat="false" ht="15" hidden="false" customHeight="true" outlineLevel="0" collapsed="false">
      <c r="A568" s="13" t="s">
        <v>293</v>
      </c>
      <c r="B568" s="11" t="s">
        <v>15022</v>
      </c>
      <c r="C568" s="11" t="s">
        <v>15066</v>
      </c>
      <c r="D568" s="13" t="s">
        <v>16158</v>
      </c>
      <c r="E568" s="13" t="s">
        <v>16159</v>
      </c>
    </row>
    <row r="569" customFormat="false" ht="15" hidden="false" customHeight="true" outlineLevel="0" collapsed="false">
      <c r="A569" s="13" t="s">
        <v>293</v>
      </c>
      <c r="B569" s="11" t="s">
        <v>15022</v>
      </c>
      <c r="C569" s="11" t="s">
        <v>15069</v>
      </c>
      <c r="D569" s="13" t="s">
        <v>16160</v>
      </c>
      <c r="E569" s="13" t="s">
        <v>16161</v>
      </c>
    </row>
    <row r="570" customFormat="false" ht="15" hidden="false" customHeight="true" outlineLevel="0" collapsed="false">
      <c r="A570" s="13" t="s">
        <v>293</v>
      </c>
      <c r="B570" s="11" t="s">
        <v>15022</v>
      </c>
      <c r="C570" s="11" t="s">
        <v>15072</v>
      </c>
      <c r="D570" s="13" t="s">
        <v>16162</v>
      </c>
      <c r="E570" s="13" t="s">
        <v>16163</v>
      </c>
    </row>
    <row r="571" customFormat="false" ht="15" hidden="false" customHeight="true" outlineLevel="0" collapsed="false">
      <c r="A571" s="13" t="s">
        <v>293</v>
      </c>
      <c r="B571" s="11" t="s">
        <v>15022</v>
      </c>
      <c r="C571" s="11" t="s">
        <v>15075</v>
      </c>
      <c r="D571" s="13" t="s">
        <v>16164</v>
      </c>
      <c r="E571" s="13" t="s">
        <v>16165</v>
      </c>
    </row>
    <row r="572" customFormat="false" ht="15" hidden="false" customHeight="true" outlineLevel="0" collapsed="false">
      <c r="A572" s="13" t="s">
        <v>293</v>
      </c>
      <c r="B572" s="11" t="s">
        <v>15022</v>
      </c>
      <c r="C572" s="11" t="s">
        <v>15078</v>
      </c>
      <c r="D572" s="13" t="s">
        <v>16166</v>
      </c>
      <c r="E572" s="13" t="s">
        <v>16167</v>
      </c>
    </row>
    <row r="573" customFormat="false" ht="15" hidden="false" customHeight="true" outlineLevel="0" collapsed="false">
      <c r="A573" s="13" t="s">
        <v>293</v>
      </c>
      <c r="B573" s="11" t="s">
        <v>15022</v>
      </c>
      <c r="C573" s="11" t="s">
        <v>15081</v>
      </c>
      <c r="D573" s="13" t="s">
        <v>16168</v>
      </c>
      <c r="E573" s="13" t="s">
        <v>16169</v>
      </c>
    </row>
    <row r="574" customFormat="false" ht="15" hidden="false" customHeight="true" outlineLevel="0" collapsed="false">
      <c r="A574" s="13" t="s">
        <v>301</v>
      </c>
      <c r="B574" s="11" t="s">
        <v>15022</v>
      </c>
      <c r="C574" s="13" t="s">
        <v>15023</v>
      </c>
      <c r="D574" s="13" t="s">
        <v>16170</v>
      </c>
      <c r="E574" s="13" t="s">
        <v>16171</v>
      </c>
    </row>
    <row r="575" customFormat="false" ht="15" hidden="false" customHeight="true" outlineLevel="0" collapsed="false">
      <c r="A575" s="13" t="s">
        <v>301</v>
      </c>
      <c r="B575" s="11" t="s">
        <v>15022</v>
      </c>
      <c r="C575" s="13" t="s">
        <v>15026</v>
      </c>
      <c r="D575" s="13" t="s">
        <v>16172</v>
      </c>
      <c r="E575" s="13" t="s">
        <v>16173</v>
      </c>
    </row>
    <row r="576" customFormat="false" ht="15" hidden="false" customHeight="true" outlineLevel="0" collapsed="false">
      <c r="A576" s="13" t="s">
        <v>301</v>
      </c>
      <c r="B576" s="11" t="s">
        <v>15022</v>
      </c>
      <c r="C576" s="13" t="s">
        <v>15029</v>
      </c>
      <c r="D576" s="13" t="s">
        <v>16174</v>
      </c>
      <c r="E576" s="13" t="s">
        <v>16175</v>
      </c>
    </row>
    <row r="577" customFormat="false" ht="15" hidden="false" customHeight="true" outlineLevel="0" collapsed="false">
      <c r="A577" s="13" t="s">
        <v>301</v>
      </c>
      <c r="B577" s="11" t="s">
        <v>15022</v>
      </c>
      <c r="C577" s="11" t="s">
        <v>15032</v>
      </c>
      <c r="D577" s="13" t="s">
        <v>16176</v>
      </c>
      <c r="E577" s="13" t="s">
        <v>16177</v>
      </c>
    </row>
    <row r="578" customFormat="false" ht="15" hidden="false" customHeight="true" outlineLevel="0" collapsed="false">
      <c r="A578" s="13" t="s">
        <v>301</v>
      </c>
      <c r="B578" s="11" t="s">
        <v>15022</v>
      </c>
      <c r="C578" s="11" t="s">
        <v>15035</v>
      </c>
      <c r="D578" s="13" t="s">
        <v>16178</v>
      </c>
      <c r="E578" s="13" t="s">
        <v>16179</v>
      </c>
    </row>
    <row r="579" customFormat="false" ht="15" hidden="false" customHeight="true" outlineLevel="0" collapsed="false">
      <c r="A579" s="13" t="s">
        <v>301</v>
      </c>
      <c r="B579" s="11" t="s">
        <v>15022</v>
      </c>
      <c r="C579" s="11" t="s">
        <v>15038</v>
      </c>
      <c r="D579" s="13" t="s">
        <v>16180</v>
      </c>
      <c r="E579" s="13" t="s">
        <v>16181</v>
      </c>
    </row>
    <row r="580" customFormat="false" ht="15" hidden="false" customHeight="true" outlineLevel="0" collapsed="false">
      <c r="A580" s="13" t="s">
        <v>301</v>
      </c>
      <c r="B580" s="11" t="s">
        <v>15022</v>
      </c>
      <c r="C580" s="11" t="s">
        <v>15041</v>
      </c>
      <c r="D580" s="13" t="s">
        <v>16182</v>
      </c>
      <c r="E580" s="13" t="s">
        <v>16183</v>
      </c>
    </row>
    <row r="581" customFormat="false" ht="15" hidden="false" customHeight="true" outlineLevel="0" collapsed="false">
      <c r="A581" s="13" t="s">
        <v>301</v>
      </c>
      <c r="B581" s="11" t="s">
        <v>15022</v>
      </c>
      <c r="C581" s="11" t="s">
        <v>15044</v>
      </c>
      <c r="D581" s="13" t="s">
        <v>16184</v>
      </c>
      <c r="E581" s="13" t="s">
        <v>16185</v>
      </c>
    </row>
    <row r="582" customFormat="false" ht="15" hidden="false" customHeight="true" outlineLevel="0" collapsed="false">
      <c r="A582" s="13" t="s">
        <v>301</v>
      </c>
      <c r="B582" s="11" t="s">
        <v>15022</v>
      </c>
      <c r="C582" s="11" t="s">
        <v>15046</v>
      </c>
      <c r="D582" s="13" t="s">
        <v>16186</v>
      </c>
      <c r="E582" s="13" t="s">
        <v>16187</v>
      </c>
    </row>
    <row r="583" customFormat="false" ht="15" hidden="false" customHeight="true" outlineLevel="0" collapsed="false">
      <c r="A583" s="13" t="s">
        <v>301</v>
      </c>
      <c r="B583" s="11" t="s">
        <v>15022</v>
      </c>
      <c r="C583" s="11" t="s">
        <v>15049</v>
      </c>
      <c r="D583" s="13" t="s">
        <v>16188</v>
      </c>
      <c r="E583" s="13" t="s">
        <v>16189</v>
      </c>
    </row>
    <row r="584" customFormat="false" ht="15" hidden="false" customHeight="true" outlineLevel="0" collapsed="false">
      <c r="A584" s="13" t="s">
        <v>301</v>
      </c>
      <c r="B584" s="11" t="s">
        <v>15022</v>
      </c>
      <c r="C584" s="11" t="s">
        <v>15051</v>
      </c>
      <c r="D584" s="13" t="s">
        <v>16190</v>
      </c>
      <c r="E584" s="13" t="s">
        <v>16191</v>
      </c>
    </row>
    <row r="585" customFormat="false" ht="15" hidden="false" customHeight="true" outlineLevel="0" collapsed="false">
      <c r="A585" s="13" t="s">
        <v>301</v>
      </c>
      <c r="B585" s="11" t="s">
        <v>15022</v>
      </c>
      <c r="C585" s="11" t="s">
        <v>15054</v>
      </c>
      <c r="D585" s="13" t="s">
        <v>16192</v>
      </c>
      <c r="E585" s="13" t="s">
        <v>16193</v>
      </c>
    </row>
    <row r="586" customFormat="false" ht="15" hidden="false" customHeight="true" outlineLevel="0" collapsed="false">
      <c r="A586" s="13" t="s">
        <v>301</v>
      </c>
      <c r="B586" s="11" t="s">
        <v>15022</v>
      </c>
      <c r="C586" s="11" t="s">
        <v>15057</v>
      </c>
      <c r="D586" s="13" t="s">
        <v>16194</v>
      </c>
      <c r="E586" s="13" t="s">
        <v>16195</v>
      </c>
    </row>
    <row r="587" customFormat="false" ht="15" hidden="false" customHeight="true" outlineLevel="0" collapsed="false">
      <c r="A587" s="13" t="s">
        <v>301</v>
      </c>
      <c r="B587" s="11" t="s">
        <v>15022</v>
      </c>
      <c r="C587" s="11" t="s">
        <v>15060</v>
      </c>
      <c r="D587" s="13" t="s">
        <v>16196</v>
      </c>
      <c r="E587" s="13" t="s">
        <v>16197</v>
      </c>
    </row>
    <row r="588" customFormat="false" ht="15" hidden="false" customHeight="true" outlineLevel="0" collapsed="false">
      <c r="A588" s="13" t="s">
        <v>301</v>
      </c>
      <c r="B588" s="11" t="s">
        <v>15022</v>
      </c>
      <c r="C588" s="13" t="s">
        <v>15063</v>
      </c>
      <c r="D588" s="13" t="s">
        <v>16198</v>
      </c>
      <c r="E588" s="13" t="s">
        <v>16199</v>
      </c>
    </row>
    <row r="589" customFormat="false" ht="15" hidden="false" customHeight="true" outlineLevel="0" collapsed="false">
      <c r="A589" s="13" t="s">
        <v>301</v>
      </c>
      <c r="B589" s="11" t="s">
        <v>15022</v>
      </c>
      <c r="C589" s="11" t="s">
        <v>15066</v>
      </c>
      <c r="D589" s="13" t="s">
        <v>16200</v>
      </c>
      <c r="E589" s="13" t="s">
        <v>16201</v>
      </c>
    </row>
    <row r="590" customFormat="false" ht="15" hidden="false" customHeight="true" outlineLevel="0" collapsed="false">
      <c r="A590" s="13" t="s">
        <v>301</v>
      </c>
      <c r="B590" s="11" t="s">
        <v>15022</v>
      </c>
      <c r="C590" s="11" t="s">
        <v>15069</v>
      </c>
      <c r="D590" s="13" t="s">
        <v>16202</v>
      </c>
      <c r="E590" s="13" t="s">
        <v>16203</v>
      </c>
    </row>
    <row r="591" customFormat="false" ht="15" hidden="false" customHeight="true" outlineLevel="0" collapsed="false">
      <c r="A591" s="13" t="s">
        <v>301</v>
      </c>
      <c r="B591" s="11" t="s">
        <v>15022</v>
      </c>
      <c r="C591" s="11" t="s">
        <v>15072</v>
      </c>
      <c r="D591" s="13" t="s">
        <v>16204</v>
      </c>
      <c r="E591" s="13" t="s">
        <v>16205</v>
      </c>
    </row>
    <row r="592" customFormat="false" ht="15" hidden="false" customHeight="true" outlineLevel="0" collapsed="false">
      <c r="A592" s="13" t="s">
        <v>301</v>
      </c>
      <c r="B592" s="11" t="s">
        <v>15022</v>
      </c>
      <c r="C592" s="11" t="s">
        <v>15075</v>
      </c>
      <c r="D592" s="13" t="s">
        <v>16206</v>
      </c>
      <c r="E592" s="13" t="s">
        <v>16207</v>
      </c>
    </row>
    <row r="593" customFormat="false" ht="15" hidden="false" customHeight="true" outlineLevel="0" collapsed="false">
      <c r="A593" s="13" t="s">
        <v>301</v>
      </c>
      <c r="B593" s="11" t="s">
        <v>15022</v>
      </c>
      <c r="C593" s="11" t="s">
        <v>15078</v>
      </c>
      <c r="D593" s="13" t="s">
        <v>16208</v>
      </c>
      <c r="E593" s="13" t="s">
        <v>16209</v>
      </c>
    </row>
    <row r="594" customFormat="false" ht="15" hidden="false" customHeight="true" outlineLevel="0" collapsed="false">
      <c r="A594" s="13" t="s">
        <v>301</v>
      </c>
      <c r="B594" s="11" t="s">
        <v>15022</v>
      </c>
      <c r="C594" s="11" t="s">
        <v>15081</v>
      </c>
      <c r="D594" s="13" t="s">
        <v>16210</v>
      </c>
      <c r="E594" s="13" t="s">
        <v>16211</v>
      </c>
    </row>
    <row r="595" customFormat="false" ht="15" hidden="false" customHeight="true" outlineLevel="0" collapsed="false">
      <c r="A595" s="13" t="s">
        <v>309</v>
      </c>
      <c r="B595" s="11" t="s">
        <v>15022</v>
      </c>
      <c r="C595" s="13" t="s">
        <v>15023</v>
      </c>
      <c r="D595" s="13" t="s">
        <v>16212</v>
      </c>
      <c r="E595" s="13" t="s">
        <v>16213</v>
      </c>
    </row>
    <row r="596" customFormat="false" ht="15" hidden="false" customHeight="true" outlineLevel="0" collapsed="false">
      <c r="A596" s="13" t="s">
        <v>309</v>
      </c>
      <c r="B596" s="11" t="s">
        <v>15022</v>
      </c>
      <c r="C596" s="13" t="s">
        <v>15026</v>
      </c>
      <c r="D596" s="13" t="s">
        <v>16214</v>
      </c>
      <c r="E596" s="13" t="s">
        <v>16215</v>
      </c>
    </row>
    <row r="597" customFormat="false" ht="15" hidden="false" customHeight="true" outlineLevel="0" collapsed="false">
      <c r="A597" s="13" t="s">
        <v>309</v>
      </c>
      <c r="B597" s="11" t="s">
        <v>15022</v>
      </c>
      <c r="C597" s="13" t="s">
        <v>15029</v>
      </c>
      <c r="D597" s="13" t="s">
        <v>16216</v>
      </c>
      <c r="E597" s="13" t="s">
        <v>16217</v>
      </c>
    </row>
    <row r="598" customFormat="false" ht="15" hidden="false" customHeight="true" outlineLevel="0" collapsed="false">
      <c r="A598" s="13" t="s">
        <v>309</v>
      </c>
      <c r="B598" s="11" t="s">
        <v>15022</v>
      </c>
      <c r="C598" s="11" t="s">
        <v>15032</v>
      </c>
      <c r="D598" s="13" t="s">
        <v>16218</v>
      </c>
      <c r="E598" s="13" t="s">
        <v>16219</v>
      </c>
    </row>
    <row r="599" customFormat="false" ht="15" hidden="false" customHeight="true" outlineLevel="0" collapsed="false">
      <c r="A599" s="13" t="s">
        <v>309</v>
      </c>
      <c r="B599" s="11" t="s">
        <v>15022</v>
      </c>
      <c r="C599" s="11" t="s">
        <v>15035</v>
      </c>
      <c r="D599" s="13" t="s">
        <v>16220</v>
      </c>
      <c r="E599" s="13" t="s">
        <v>16221</v>
      </c>
    </row>
    <row r="600" customFormat="false" ht="15" hidden="false" customHeight="true" outlineLevel="0" collapsed="false">
      <c r="A600" s="13" t="s">
        <v>309</v>
      </c>
      <c r="B600" s="11" t="s">
        <v>15022</v>
      </c>
      <c r="C600" s="11" t="s">
        <v>15038</v>
      </c>
      <c r="D600" s="13" t="s">
        <v>16222</v>
      </c>
      <c r="E600" s="13" t="s">
        <v>16223</v>
      </c>
    </row>
    <row r="601" customFormat="false" ht="15" hidden="false" customHeight="true" outlineLevel="0" collapsed="false">
      <c r="A601" s="13" t="s">
        <v>309</v>
      </c>
      <c r="B601" s="11" t="s">
        <v>15022</v>
      </c>
      <c r="C601" s="11" t="s">
        <v>15041</v>
      </c>
      <c r="D601" s="13" t="s">
        <v>16224</v>
      </c>
      <c r="E601" s="13" t="s">
        <v>16225</v>
      </c>
    </row>
    <row r="602" customFormat="false" ht="15" hidden="false" customHeight="true" outlineLevel="0" collapsed="false">
      <c r="A602" s="13" t="s">
        <v>309</v>
      </c>
      <c r="B602" s="11" t="s">
        <v>15022</v>
      </c>
      <c r="C602" s="11" t="s">
        <v>15044</v>
      </c>
      <c r="D602" s="13" t="s">
        <v>16226</v>
      </c>
      <c r="E602" s="13" t="s">
        <v>16227</v>
      </c>
    </row>
    <row r="603" customFormat="false" ht="15" hidden="false" customHeight="true" outlineLevel="0" collapsed="false">
      <c r="A603" s="13" t="s">
        <v>309</v>
      </c>
      <c r="B603" s="11" t="s">
        <v>15022</v>
      </c>
      <c r="C603" s="11" t="s">
        <v>15046</v>
      </c>
      <c r="D603" s="13" t="s">
        <v>16228</v>
      </c>
      <c r="E603" s="13" t="s">
        <v>16229</v>
      </c>
    </row>
    <row r="604" customFormat="false" ht="15" hidden="false" customHeight="true" outlineLevel="0" collapsed="false">
      <c r="A604" s="13" t="s">
        <v>309</v>
      </c>
      <c r="B604" s="11" t="s">
        <v>15022</v>
      </c>
      <c r="C604" s="11" t="s">
        <v>15049</v>
      </c>
      <c r="D604" s="13" t="s">
        <v>16230</v>
      </c>
      <c r="E604" s="13" t="s">
        <v>16231</v>
      </c>
    </row>
    <row r="605" customFormat="false" ht="15" hidden="false" customHeight="true" outlineLevel="0" collapsed="false">
      <c r="A605" s="13" t="s">
        <v>309</v>
      </c>
      <c r="B605" s="11" t="s">
        <v>15022</v>
      </c>
      <c r="C605" s="11" t="s">
        <v>15051</v>
      </c>
      <c r="D605" s="13" t="s">
        <v>6772</v>
      </c>
      <c r="E605" s="13" t="s">
        <v>16232</v>
      </c>
    </row>
    <row r="606" customFormat="false" ht="15" hidden="false" customHeight="true" outlineLevel="0" collapsed="false">
      <c r="A606" s="13" t="s">
        <v>309</v>
      </c>
      <c r="B606" s="11" t="s">
        <v>15022</v>
      </c>
      <c r="C606" s="11" t="s">
        <v>15054</v>
      </c>
      <c r="D606" s="13" t="s">
        <v>16233</v>
      </c>
      <c r="E606" s="13" t="s">
        <v>16234</v>
      </c>
    </row>
    <row r="607" customFormat="false" ht="15" hidden="false" customHeight="true" outlineLevel="0" collapsed="false">
      <c r="A607" s="13" t="s">
        <v>309</v>
      </c>
      <c r="B607" s="11" t="s">
        <v>15022</v>
      </c>
      <c r="C607" s="11" t="s">
        <v>15057</v>
      </c>
      <c r="D607" s="13" t="s">
        <v>16235</v>
      </c>
      <c r="E607" s="13" t="s">
        <v>16236</v>
      </c>
    </row>
    <row r="608" customFormat="false" ht="15" hidden="false" customHeight="true" outlineLevel="0" collapsed="false">
      <c r="A608" s="13" t="s">
        <v>309</v>
      </c>
      <c r="B608" s="11" t="s">
        <v>15022</v>
      </c>
      <c r="C608" s="11" t="s">
        <v>15060</v>
      </c>
      <c r="D608" s="13" t="s">
        <v>16237</v>
      </c>
      <c r="E608" s="13" t="s">
        <v>16238</v>
      </c>
    </row>
    <row r="609" customFormat="false" ht="15" hidden="false" customHeight="true" outlineLevel="0" collapsed="false">
      <c r="A609" s="13" t="s">
        <v>309</v>
      </c>
      <c r="B609" s="11" t="s">
        <v>15022</v>
      </c>
      <c r="C609" s="13" t="s">
        <v>15063</v>
      </c>
      <c r="D609" s="13" t="s">
        <v>16239</v>
      </c>
      <c r="E609" s="13" t="s">
        <v>16240</v>
      </c>
    </row>
    <row r="610" customFormat="false" ht="15" hidden="false" customHeight="true" outlineLevel="0" collapsed="false">
      <c r="A610" s="13" t="s">
        <v>309</v>
      </c>
      <c r="B610" s="11" t="s">
        <v>15022</v>
      </c>
      <c r="C610" s="11" t="s">
        <v>15066</v>
      </c>
      <c r="D610" s="13" t="s">
        <v>16241</v>
      </c>
      <c r="E610" s="13" t="s">
        <v>16242</v>
      </c>
    </row>
    <row r="611" customFormat="false" ht="15" hidden="false" customHeight="true" outlineLevel="0" collapsed="false">
      <c r="A611" s="13" t="s">
        <v>309</v>
      </c>
      <c r="B611" s="11" t="s">
        <v>15022</v>
      </c>
      <c r="C611" s="11" t="s">
        <v>15069</v>
      </c>
      <c r="D611" s="13" t="s">
        <v>16243</v>
      </c>
      <c r="E611" s="13" t="s">
        <v>16244</v>
      </c>
    </row>
    <row r="612" customFormat="false" ht="15" hidden="false" customHeight="true" outlineLevel="0" collapsed="false">
      <c r="A612" s="13" t="s">
        <v>309</v>
      </c>
      <c r="B612" s="11" t="s">
        <v>15022</v>
      </c>
      <c r="C612" s="11" t="s">
        <v>15072</v>
      </c>
      <c r="D612" s="13" t="s">
        <v>16245</v>
      </c>
      <c r="E612" s="13" t="s">
        <v>16246</v>
      </c>
    </row>
    <row r="613" customFormat="false" ht="15" hidden="false" customHeight="true" outlineLevel="0" collapsed="false">
      <c r="A613" s="13" t="s">
        <v>309</v>
      </c>
      <c r="B613" s="11" t="s">
        <v>15022</v>
      </c>
      <c r="C613" s="11" t="s">
        <v>15075</v>
      </c>
      <c r="D613" s="13" t="s">
        <v>16247</v>
      </c>
      <c r="E613" s="13" t="s">
        <v>16248</v>
      </c>
    </row>
    <row r="614" customFormat="false" ht="15" hidden="false" customHeight="true" outlineLevel="0" collapsed="false">
      <c r="A614" s="13" t="s">
        <v>309</v>
      </c>
      <c r="B614" s="11" t="s">
        <v>15022</v>
      </c>
      <c r="C614" s="11" t="s">
        <v>15078</v>
      </c>
      <c r="D614" s="13" t="s">
        <v>16249</v>
      </c>
      <c r="E614" s="13" t="s">
        <v>16250</v>
      </c>
    </row>
    <row r="615" customFormat="false" ht="15" hidden="false" customHeight="true" outlineLevel="0" collapsed="false">
      <c r="A615" s="13" t="s">
        <v>309</v>
      </c>
      <c r="B615" s="11" t="s">
        <v>15022</v>
      </c>
      <c r="C615" s="11" t="s">
        <v>15081</v>
      </c>
      <c r="D615" s="13" t="s">
        <v>16251</v>
      </c>
      <c r="E615" s="13" t="s">
        <v>16252</v>
      </c>
    </row>
    <row r="616" customFormat="false" ht="15" hidden="false" customHeight="true" outlineLevel="0" collapsed="false">
      <c r="A616" s="13" t="s">
        <v>317</v>
      </c>
      <c r="B616" s="11" t="s">
        <v>15022</v>
      </c>
      <c r="C616" s="13" t="s">
        <v>15023</v>
      </c>
      <c r="D616" s="13" t="s">
        <v>16253</v>
      </c>
      <c r="E616" s="13" t="s">
        <v>16254</v>
      </c>
    </row>
    <row r="617" customFormat="false" ht="15" hidden="false" customHeight="true" outlineLevel="0" collapsed="false">
      <c r="A617" s="13" t="s">
        <v>317</v>
      </c>
      <c r="B617" s="11" t="s">
        <v>15022</v>
      </c>
      <c r="C617" s="13" t="s">
        <v>15026</v>
      </c>
      <c r="D617" s="13" t="s">
        <v>16255</v>
      </c>
      <c r="E617" s="13" t="s">
        <v>16256</v>
      </c>
    </row>
    <row r="618" customFormat="false" ht="15" hidden="false" customHeight="true" outlineLevel="0" collapsed="false">
      <c r="A618" s="13" t="s">
        <v>317</v>
      </c>
      <c r="B618" s="11" t="s">
        <v>15022</v>
      </c>
      <c r="C618" s="13" t="s">
        <v>15029</v>
      </c>
      <c r="D618" s="13" t="s">
        <v>16257</v>
      </c>
      <c r="E618" s="13" t="s">
        <v>16258</v>
      </c>
    </row>
    <row r="619" customFormat="false" ht="15" hidden="false" customHeight="true" outlineLevel="0" collapsed="false">
      <c r="A619" s="13" t="s">
        <v>317</v>
      </c>
      <c r="B619" s="11" t="s">
        <v>15022</v>
      </c>
      <c r="C619" s="11" t="s">
        <v>15032</v>
      </c>
      <c r="D619" s="13" t="s">
        <v>16259</v>
      </c>
      <c r="E619" s="13" t="s">
        <v>16260</v>
      </c>
    </row>
    <row r="620" customFormat="false" ht="15" hidden="false" customHeight="true" outlineLevel="0" collapsed="false">
      <c r="A620" s="13" t="s">
        <v>317</v>
      </c>
      <c r="B620" s="11" t="s">
        <v>15022</v>
      </c>
      <c r="C620" s="11" t="s">
        <v>15035</v>
      </c>
      <c r="D620" s="13" t="s">
        <v>16261</v>
      </c>
      <c r="E620" s="13" t="s">
        <v>10360</v>
      </c>
    </row>
    <row r="621" customFormat="false" ht="15" hidden="false" customHeight="true" outlineLevel="0" collapsed="false">
      <c r="A621" s="13" t="s">
        <v>317</v>
      </c>
      <c r="B621" s="11" t="s">
        <v>15022</v>
      </c>
      <c r="C621" s="11" t="s">
        <v>15038</v>
      </c>
      <c r="D621" s="13" t="s">
        <v>16262</v>
      </c>
      <c r="E621" s="13" t="s">
        <v>16263</v>
      </c>
    </row>
    <row r="622" customFormat="false" ht="15" hidden="false" customHeight="true" outlineLevel="0" collapsed="false">
      <c r="A622" s="13" t="s">
        <v>317</v>
      </c>
      <c r="B622" s="11" t="s">
        <v>15022</v>
      </c>
      <c r="C622" s="11" t="s">
        <v>15041</v>
      </c>
      <c r="D622" s="13" t="s">
        <v>16264</v>
      </c>
      <c r="E622" s="13" t="s">
        <v>16265</v>
      </c>
    </row>
    <row r="623" customFormat="false" ht="15" hidden="false" customHeight="true" outlineLevel="0" collapsed="false">
      <c r="A623" s="13" t="s">
        <v>317</v>
      </c>
      <c r="B623" s="11" t="s">
        <v>15022</v>
      </c>
      <c r="C623" s="11" t="s">
        <v>15044</v>
      </c>
      <c r="D623" s="13" t="s">
        <v>16266</v>
      </c>
      <c r="E623" s="13" t="s">
        <v>16267</v>
      </c>
    </row>
    <row r="624" customFormat="false" ht="15" hidden="false" customHeight="true" outlineLevel="0" collapsed="false">
      <c r="A624" s="13" t="s">
        <v>317</v>
      </c>
      <c r="B624" s="11" t="s">
        <v>15022</v>
      </c>
      <c r="C624" s="11" t="s">
        <v>15046</v>
      </c>
      <c r="D624" s="13" t="s">
        <v>16268</v>
      </c>
      <c r="E624" s="13" t="s">
        <v>16269</v>
      </c>
    </row>
    <row r="625" customFormat="false" ht="15" hidden="false" customHeight="true" outlineLevel="0" collapsed="false">
      <c r="A625" s="13" t="s">
        <v>317</v>
      </c>
      <c r="B625" s="11" t="s">
        <v>15022</v>
      </c>
      <c r="C625" s="11" t="s">
        <v>15049</v>
      </c>
      <c r="D625" s="13" t="s">
        <v>16270</v>
      </c>
      <c r="E625" s="13" t="s">
        <v>16271</v>
      </c>
    </row>
    <row r="626" customFormat="false" ht="15" hidden="false" customHeight="true" outlineLevel="0" collapsed="false">
      <c r="A626" s="13" t="s">
        <v>317</v>
      </c>
      <c r="B626" s="11" t="s">
        <v>15022</v>
      </c>
      <c r="C626" s="11" t="s">
        <v>15051</v>
      </c>
      <c r="D626" s="13" t="s">
        <v>16272</v>
      </c>
      <c r="E626" s="13" t="s">
        <v>16273</v>
      </c>
    </row>
    <row r="627" customFormat="false" ht="15" hidden="false" customHeight="true" outlineLevel="0" collapsed="false">
      <c r="A627" s="13" t="s">
        <v>317</v>
      </c>
      <c r="B627" s="11" t="s">
        <v>15022</v>
      </c>
      <c r="C627" s="11" t="s">
        <v>15054</v>
      </c>
      <c r="D627" s="13" t="s">
        <v>16274</v>
      </c>
      <c r="E627" s="13" t="s">
        <v>16275</v>
      </c>
    </row>
    <row r="628" customFormat="false" ht="15" hidden="false" customHeight="true" outlineLevel="0" collapsed="false">
      <c r="A628" s="13" t="s">
        <v>317</v>
      </c>
      <c r="B628" s="11" t="s">
        <v>15022</v>
      </c>
      <c r="C628" s="11" t="s">
        <v>15057</v>
      </c>
      <c r="D628" s="13" t="s">
        <v>16276</v>
      </c>
      <c r="E628" s="13" t="s">
        <v>16277</v>
      </c>
    </row>
    <row r="629" customFormat="false" ht="15" hidden="false" customHeight="true" outlineLevel="0" collapsed="false">
      <c r="A629" s="13" t="s">
        <v>317</v>
      </c>
      <c r="B629" s="11" t="s">
        <v>15022</v>
      </c>
      <c r="C629" s="11" t="s">
        <v>15060</v>
      </c>
      <c r="D629" s="13" t="s">
        <v>16278</v>
      </c>
      <c r="E629" s="13" t="s">
        <v>16279</v>
      </c>
    </row>
    <row r="630" customFormat="false" ht="15" hidden="false" customHeight="true" outlineLevel="0" collapsed="false">
      <c r="A630" s="13" t="s">
        <v>317</v>
      </c>
      <c r="B630" s="11" t="s">
        <v>15022</v>
      </c>
      <c r="C630" s="13" t="s">
        <v>15063</v>
      </c>
      <c r="D630" s="13" t="s">
        <v>16280</v>
      </c>
      <c r="E630" s="13" t="s">
        <v>16281</v>
      </c>
    </row>
    <row r="631" customFormat="false" ht="15" hidden="false" customHeight="true" outlineLevel="0" collapsed="false">
      <c r="A631" s="13" t="s">
        <v>317</v>
      </c>
      <c r="B631" s="11" t="s">
        <v>15022</v>
      </c>
      <c r="C631" s="11" t="s">
        <v>15066</v>
      </c>
      <c r="D631" s="13" t="s">
        <v>16282</v>
      </c>
      <c r="E631" s="13" t="s">
        <v>16283</v>
      </c>
    </row>
    <row r="632" customFormat="false" ht="15" hidden="false" customHeight="true" outlineLevel="0" collapsed="false">
      <c r="A632" s="13" t="s">
        <v>317</v>
      </c>
      <c r="B632" s="11" t="s">
        <v>15022</v>
      </c>
      <c r="C632" s="11" t="s">
        <v>15069</v>
      </c>
      <c r="D632" s="13" t="s">
        <v>16284</v>
      </c>
      <c r="E632" s="13" t="s">
        <v>16285</v>
      </c>
    </row>
    <row r="633" customFormat="false" ht="15" hidden="false" customHeight="true" outlineLevel="0" collapsed="false">
      <c r="A633" s="13" t="s">
        <v>317</v>
      </c>
      <c r="B633" s="11" t="s">
        <v>15022</v>
      </c>
      <c r="C633" s="11" t="s">
        <v>15072</v>
      </c>
      <c r="D633" s="13" t="s">
        <v>16286</v>
      </c>
      <c r="E633" s="13" t="s">
        <v>16287</v>
      </c>
    </row>
    <row r="634" customFormat="false" ht="15" hidden="false" customHeight="true" outlineLevel="0" collapsed="false">
      <c r="A634" s="13" t="s">
        <v>317</v>
      </c>
      <c r="B634" s="11" t="s">
        <v>15022</v>
      </c>
      <c r="C634" s="11" t="s">
        <v>15075</v>
      </c>
      <c r="D634" s="13" t="s">
        <v>16288</v>
      </c>
      <c r="E634" s="13" t="s">
        <v>16289</v>
      </c>
    </row>
    <row r="635" customFormat="false" ht="15" hidden="false" customHeight="true" outlineLevel="0" collapsed="false">
      <c r="A635" s="13" t="s">
        <v>317</v>
      </c>
      <c r="B635" s="11" t="s">
        <v>15022</v>
      </c>
      <c r="C635" s="11" t="s">
        <v>15078</v>
      </c>
      <c r="D635" s="13" t="s">
        <v>16290</v>
      </c>
      <c r="E635" s="13" t="s">
        <v>16291</v>
      </c>
    </row>
    <row r="636" customFormat="false" ht="15" hidden="false" customHeight="true" outlineLevel="0" collapsed="false">
      <c r="A636" s="13" t="s">
        <v>317</v>
      </c>
      <c r="B636" s="11" t="s">
        <v>15022</v>
      </c>
      <c r="C636" s="11" t="s">
        <v>15081</v>
      </c>
      <c r="D636" s="13" t="s">
        <v>16292</v>
      </c>
      <c r="E636" s="13" t="s">
        <v>16293</v>
      </c>
    </row>
    <row r="637" customFormat="false" ht="15" hidden="false" customHeight="true" outlineLevel="0" collapsed="false">
      <c r="A637" s="13" t="s">
        <v>325</v>
      </c>
      <c r="B637" s="11" t="s">
        <v>15022</v>
      </c>
      <c r="C637" s="13" t="s">
        <v>15023</v>
      </c>
      <c r="D637" s="13" t="s">
        <v>16294</v>
      </c>
      <c r="E637" s="13" t="s">
        <v>16295</v>
      </c>
    </row>
    <row r="638" customFormat="false" ht="15" hidden="false" customHeight="true" outlineLevel="0" collapsed="false">
      <c r="A638" s="13" t="s">
        <v>325</v>
      </c>
      <c r="B638" s="11" t="s">
        <v>15022</v>
      </c>
      <c r="C638" s="13" t="s">
        <v>15026</v>
      </c>
      <c r="D638" s="13" t="s">
        <v>16296</v>
      </c>
      <c r="E638" s="13" t="s">
        <v>16297</v>
      </c>
    </row>
    <row r="639" customFormat="false" ht="15" hidden="false" customHeight="true" outlineLevel="0" collapsed="false">
      <c r="A639" s="13" t="s">
        <v>325</v>
      </c>
      <c r="B639" s="11" t="s">
        <v>15022</v>
      </c>
      <c r="C639" s="13" t="s">
        <v>15029</v>
      </c>
      <c r="D639" s="13" t="s">
        <v>16298</v>
      </c>
      <c r="E639" s="13" t="s">
        <v>16299</v>
      </c>
    </row>
    <row r="640" customFormat="false" ht="15" hidden="false" customHeight="true" outlineLevel="0" collapsed="false">
      <c r="A640" s="13" t="s">
        <v>325</v>
      </c>
      <c r="B640" s="11" t="s">
        <v>15022</v>
      </c>
      <c r="C640" s="11" t="s">
        <v>15032</v>
      </c>
      <c r="D640" s="13" t="s">
        <v>16300</v>
      </c>
      <c r="E640" s="13" t="s">
        <v>16301</v>
      </c>
    </row>
    <row r="641" customFormat="false" ht="15" hidden="false" customHeight="true" outlineLevel="0" collapsed="false">
      <c r="A641" s="13" t="s">
        <v>325</v>
      </c>
      <c r="B641" s="11" t="s">
        <v>15022</v>
      </c>
      <c r="C641" s="11" t="s">
        <v>15035</v>
      </c>
      <c r="D641" s="13" t="s">
        <v>16302</v>
      </c>
      <c r="E641" s="13" t="s">
        <v>16303</v>
      </c>
    </row>
    <row r="642" customFormat="false" ht="15" hidden="false" customHeight="true" outlineLevel="0" collapsed="false">
      <c r="A642" s="13" t="s">
        <v>325</v>
      </c>
      <c r="B642" s="11" t="s">
        <v>15022</v>
      </c>
      <c r="C642" s="11" t="s">
        <v>15038</v>
      </c>
      <c r="D642" s="13" t="s">
        <v>16304</v>
      </c>
      <c r="E642" s="13" t="s">
        <v>16305</v>
      </c>
    </row>
    <row r="643" customFormat="false" ht="15" hidden="false" customHeight="true" outlineLevel="0" collapsed="false">
      <c r="A643" s="13" t="s">
        <v>325</v>
      </c>
      <c r="B643" s="11" t="s">
        <v>15022</v>
      </c>
      <c r="C643" s="11" t="s">
        <v>15041</v>
      </c>
      <c r="D643" s="13" t="s">
        <v>16306</v>
      </c>
      <c r="E643" s="13" t="s">
        <v>16307</v>
      </c>
    </row>
    <row r="644" customFormat="false" ht="15" hidden="false" customHeight="true" outlineLevel="0" collapsed="false">
      <c r="A644" s="13" t="s">
        <v>325</v>
      </c>
      <c r="B644" s="11" t="s">
        <v>15022</v>
      </c>
      <c r="C644" s="11" t="s">
        <v>15044</v>
      </c>
      <c r="D644" s="13" t="s">
        <v>16308</v>
      </c>
      <c r="E644" s="13" t="s">
        <v>16309</v>
      </c>
    </row>
    <row r="645" customFormat="false" ht="15" hidden="false" customHeight="true" outlineLevel="0" collapsed="false">
      <c r="A645" s="13" t="s">
        <v>325</v>
      </c>
      <c r="B645" s="11" t="s">
        <v>15022</v>
      </c>
      <c r="C645" s="11" t="s">
        <v>15046</v>
      </c>
      <c r="D645" s="13" t="s">
        <v>16310</v>
      </c>
      <c r="E645" s="13" t="s">
        <v>16311</v>
      </c>
    </row>
    <row r="646" customFormat="false" ht="15" hidden="false" customHeight="true" outlineLevel="0" collapsed="false">
      <c r="A646" s="13" t="s">
        <v>325</v>
      </c>
      <c r="B646" s="11" t="s">
        <v>15022</v>
      </c>
      <c r="C646" s="11" t="s">
        <v>15049</v>
      </c>
      <c r="D646" s="13" t="s">
        <v>16312</v>
      </c>
      <c r="E646" s="13" t="s">
        <v>16313</v>
      </c>
    </row>
    <row r="647" customFormat="false" ht="15" hidden="false" customHeight="true" outlineLevel="0" collapsed="false">
      <c r="A647" s="13" t="s">
        <v>325</v>
      </c>
      <c r="B647" s="11" t="s">
        <v>15022</v>
      </c>
      <c r="C647" s="11" t="s">
        <v>15051</v>
      </c>
      <c r="D647" s="13" t="s">
        <v>16314</v>
      </c>
      <c r="E647" s="13" t="s">
        <v>16315</v>
      </c>
    </row>
    <row r="648" customFormat="false" ht="15" hidden="false" customHeight="true" outlineLevel="0" collapsed="false">
      <c r="A648" s="13" t="s">
        <v>325</v>
      </c>
      <c r="B648" s="11" t="s">
        <v>15022</v>
      </c>
      <c r="C648" s="11" t="s">
        <v>15054</v>
      </c>
      <c r="D648" s="13" t="s">
        <v>16316</v>
      </c>
      <c r="E648" s="13" t="s">
        <v>16317</v>
      </c>
    </row>
    <row r="649" customFormat="false" ht="15" hidden="false" customHeight="true" outlineLevel="0" collapsed="false">
      <c r="A649" s="13" t="s">
        <v>325</v>
      </c>
      <c r="B649" s="11" t="s">
        <v>15022</v>
      </c>
      <c r="C649" s="11" t="s">
        <v>15057</v>
      </c>
      <c r="D649" s="13" t="s">
        <v>16318</v>
      </c>
      <c r="E649" s="13" t="s">
        <v>16319</v>
      </c>
    </row>
    <row r="650" customFormat="false" ht="15" hidden="false" customHeight="true" outlineLevel="0" collapsed="false">
      <c r="A650" s="13" t="s">
        <v>325</v>
      </c>
      <c r="B650" s="11" t="s">
        <v>15022</v>
      </c>
      <c r="C650" s="11" t="s">
        <v>15060</v>
      </c>
      <c r="D650" s="13" t="s">
        <v>16320</v>
      </c>
      <c r="E650" s="13" t="s">
        <v>16321</v>
      </c>
    </row>
    <row r="651" customFormat="false" ht="15" hidden="false" customHeight="true" outlineLevel="0" collapsed="false">
      <c r="A651" s="13" t="s">
        <v>325</v>
      </c>
      <c r="B651" s="11" t="s">
        <v>15022</v>
      </c>
      <c r="C651" s="13" t="s">
        <v>15063</v>
      </c>
      <c r="D651" s="13" t="s">
        <v>16322</v>
      </c>
      <c r="E651" s="13" t="s">
        <v>16323</v>
      </c>
    </row>
    <row r="652" customFormat="false" ht="15" hidden="false" customHeight="true" outlineLevel="0" collapsed="false">
      <c r="A652" s="13" t="s">
        <v>325</v>
      </c>
      <c r="B652" s="11" t="s">
        <v>15022</v>
      </c>
      <c r="C652" s="11" t="s">
        <v>15066</v>
      </c>
      <c r="D652" s="13" t="s">
        <v>16324</v>
      </c>
      <c r="E652" s="13" t="s">
        <v>16325</v>
      </c>
    </row>
    <row r="653" customFormat="false" ht="15" hidden="false" customHeight="true" outlineLevel="0" collapsed="false">
      <c r="A653" s="13" t="s">
        <v>325</v>
      </c>
      <c r="B653" s="11" t="s">
        <v>15022</v>
      </c>
      <c r="C653" s="11" t="s">
        <v>15069</v>
      </c>
      <c r="D653" s="13" t="s">
        <v>16326</v>
      </c>
      <c r="E653" s="13" t="s">
        <v>16327</v>
      </c>
    </row>
    <row r="654" customFormat="false" ht="15" hidden="false" customHeight="true" outlineLevel="0" collapsed="false">
      <c r="A654" s="13" t="s">
        <v>325</v>
      </c>
      <c r="B654" s="11" t="s">
        <v>15022</v>
      </c>
      <c r="C654" s="11" t="s">
        <v>15072</v>
      </c>
      <c r="D654" s="13" t="s">
        <v>16328</v>
      </c>
      <c r="E654" s="13" t="s">
        <v>16329</v>
      </c>
    </row>
    <row r="655" customFormat="false" ht="15" hidden="false" customHeight="true" outlineLevel="0" collapsed="false">
      <c r="A655" s="13" t="s">
        <v>325</v>
      </c>
      <c r="B655" s="11" t="s">
        <v>15022</v>
      </c>
      <c r="C655" s="11" t="s">
        <v>15075</v>
      </c>
      <c r="D655" s="13" t="s">
        <v>16330</v>
      </c>
      <c r="E655" s="13" t="s">
        <v>16331</v>
      </c>
    </row>
    <row r="656" customFormat="false" ht="15" hidden="false" customHeight="true" outlineLevel="0" collapsed="false">
      <c r="A656" s="13" t="s">
        <v>325</v>
      </c>
      <c r="B656" s="11" t="s">
        <v>15022</v>
      </c>
      <c r="C656" s="11" t="s">
        <v>15078</v>
      </c>
      <c r="D656" s="13" t="s">
        <v>16332</v>
      </c>
      <c r="E656" s="13" t="s">
        <v>16333</v>
      </c>
    </row>
    <row r="657" customFormat="false" ht="15" hidden="false" customHeight="true" outlineLevel="0" collapsed="false">
      <c r="A657" s="13" t="s">
        <v>325</v>
      </c>
      <c r="B657" s="11" t="s">
        <v>15022</v>
      </c>
      <c r="C657" s="11" t="s">
        <v>15081</v>
      </c>
      <c r="D657" s="13" t="s">
        <v>16334</v>
      </c>
      <c r="E657" s="13" t="s">
        <v>16335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23.43"/>
    <col collapsed="false" customWidth="true" hidden="false" outlineLevel="0" max="3" min="3" style="1" width="31.25"/>
    <col collapsed="false" customWidth="true" hidden="false" outlineLevel="0" max="5" min="4" style="1" width="23.43"/>
  </cols>
  <sheetData>
    <row r="1" customFormat="false" ht="15" hidden="false" customHeight="true" outlineLevel="0" collapsed="false">
      <c r="A1" s="11" t="s">
        <v>15016</v>
      </c>
    </row>
    <row r="3" customFormat="false" ht="15" hidden="false" customHeight="true" outlineLevel="0" collapsed="false">
      <c r="A3" s="11" t="s">
        <v>16336</v>
      </c>
    </row>
    <row r="4" customFormat="false" ht="15" hidden="false" customHeight="true" outlineLevel="0" collapsed="false">
      <c r="E4" s="11" t="s">
        <v>335</v>
      </c>
    </row>
    <row r="5" customFormat="false" ht="15" hidden="false" customHeight="true" outlineLevel="0" collapsed="false">
      <c r="A5" s="12" t="s">
        <v>56</v>
      </c>
      <c r="B5" s="12" t="s">
        <v>15018</v>
      </c>
      <c r="C5" s="12" t="s">
        <v>15019</v>
      </c>
      <c r="D5" s="12" t="s">
        <v>15020</v>
      </c>
      <c r="E5" s="12" t="s">
        <v>15021</v>
      </c>
    </row>
    <row r="6" customFormat="false" ht="15" hidden="false" customHeight="true" outlineLevel="0" collapsed="false">
      <c r="A6" s="11" t="s">
        <v>65</v>
      </c>
      <c r="B6" s="11"/>
      <c r="C6" s="11"/>
      <c r="D6" s="13" t="s">
        <v>71</v>
      </c>
      <c r="E6" s="13" t="s">
        <v>72</v>
      </c>
    </row>
    <row r="7" customFormat="false" ht="15" hidden="false" customHeight="true" outlineLevel="0" collapsed="false">
      <c r="A7" s="13" t="s">
        <v>74</v>
      </c>
      <c r="B7" s="11" t="s">
        <v>16337</v>
      </c>
      <c r="C7" s="13" t="s">
        <v>16338</v>
      </c>
      <c r="D7" s="13" t="s">
        <v>16339</v>
      </c>
      <c r="E7" s="13" t="s">
        <v>16340</v>
      </c>
    </row>
    <row r="8" customFormat="false" ht="15" hidden="false" customHeight="true" outlineLevel="0" collapsed="false">
      <c r="A8" s="13" t="s">
        <v>74</v>
      </c>
      <c r="B8" s="11" t="s">
        <v>16337</v>
      </c>
      <c r="C8" s="11" t="s">
        <v>16341</v>
      </c>
      <c r="D8" s="13" t="s">
        <v>16342</v>
      </c>
      <c r="E8" s="13" t="s">
        <v>16343</v>
      </c>
    </row>
    <row r="9" customFormat="false" ht="15" hidden="false" customHeight="true" outlineLevel="0" collapsed="false">
      <c r="A9" s="13" t="s">
        <v>74</v>
      </c>
      <c r="B9" s="11" t="s">
        <v>16337</v>
      </c>
      <c r="C9" s="11" t="s">
        <v>16344</v>
      </c>
      <c r="D9" s="13" t="s">
        <v>16345</v>
      </c>
      <c r="E9" s="13" t="s">
        <v>16346</v>
      </c>
    </row>
    <row r="10" customFormat="false" ht="15" hidden="false" customHeight="true" outlineLevel="0" collapsed="false">
      <c r="A10" s="13" t="s">
        <v>74</v>
      </c>
      <c r="B10" s="11" t="s">
        <v>16337</v>
      </c>
      <c r="C10" s="11" t="s">
        <v>16347</v>
      </c>
      <c r="D10" s="13" t="s">
        <v>16348</v>
      </c>
      <c r="E10" s="13" t="s">
        <v>16349</v>
      </c>
    </row>
    <row r="11" customFormat="false" ht="15" hidden="false" customHeight="true" outlineLevel="0" collapsed="false">
      <c r="A11" s="13" t="s">
        <v>74</v>
      </c>
      <c r="B11" s="11" t="s">
        <v>16337</v>
      </c>
      <c r="C11" s="11" t="s">
        <v>16350</v>
      </c>
      <c r="D11" s="13" t="s">
        <v>16351</v>
      </c>
      <c r="E11" s="13" t="s">
        <v>16352</v>
      </c>
    </row>
    <row r="12" customFormat="false" ht="15" hidden="false" customHeight="true" outlineLevel="0" collapsed="false">
      <c r="A12" s="13" t="s">
        <v>74</v>
      </c>
      <c r="B12" s="11" t="s">
        <v>16337</v>
      </c>
      <c r="C12" s="11" t="s">
        <v>16353</v>
      </c>
      <c r="D12" s="13" t="s">
        <v>1020</v>
      </c>
      <c r="E12" s="13" t="s">
        <v>1019</v>
      </c>
    </row>
    <row r="13" customFormat="false" ht="15" hidden="false" customHeight="true" outlineLevel="0" collapsed="false">
      <c r="A13" s="13" t="s">
        <v>74</v>
      </c>
      <c r="B13" s="11" t="s">
        <v>16337</v>
      </c>
      <c r="C13" s="13" t="s">
        <v>16354</v>
      </c>
      <c r="D13" s="13" t="s">
        <v>16355</v>
      </c>
      <c r="E13" s="13" t="s">
        <v>16356</v>
      </c>
    </row>
    <row r="14" customFormat="false" ht="15" hidden="false" customHeight="true" outlineLevel="0" collapsed="false">
      <c r="A14" s="13" t="s">
        <v>74</v>
      </c>
      <c r="B14" s="11" t="s">
        <v>16337</v>
      </c>
      <c r="C14" s="11" t="s">
        <v>16357</v>
      </c>
      <c r="D14" s="13" t="s">
        <v>16358</v>
      </c>
      <c r="E14" s="13" t="s">
        <v>16359</v>
      </c>
    </row>
    <row r="15" customFormat="false" ht="15" hidden="false" customHeight="true" outlineLevel="0" collapsed="false">
      <c r="A15" s="13" t="s">
        <v>74</v>
      </c>
      <c r="B15" s="11" t="s">
        <v>16337</v>
      </c>
      <c r="C15" s="11" t="s">
        <v>16360</v>
      </c>
      <c r="D15" s="13" t="s">
        <v>16361</v>
      </c>
      <c r="E15" s="13" t="s">
        <v>16362</v>
      </c>
    </row>
    <row r="16" customFormat="false" ht="15" hidden="false" customHeight="true" outlineLevel="0" collapsed="false">
      <c r="A16" s="13" t="s">
        <v>74</v>
      </c>
      <c r="B16" s="11" t="s">
        <v>16337</v>
      </c>
      <c r="C16" s="11" t="s">
        <v>16363</v>
      </c>
      <c r="D16" s="13" t="s">
        <v>16364</v>
      </c>
      <c r="E16" s="13" t="s">
        <v>16365</v>
      </c>
    </row>
    <row r="17" customFormat="false" ht="15" hidden="false" customHeight="true" outlineLevel="0" collapsed="false">
      <c r="A17" s="13" t="s">
        <v>74</v>
      </c>
      <c r="B17" s="11" t="s">
        <v>16337</v>
      </c>
      <c r="C17" s="11" t="s">
        <v>16366</v>
      </c>
      <c r="D17" s="13" t="s">
        <v>16367</v>
      </c>
      <c r="E17" s="13" t="s">
        <v>16368</v>
      </c>
    </row>
    <row r="18" customFormat="false" ht="15" hidden="false" customHeight="true" outlineLevel="0" collapsed="false">
      <c r="A18" s="13" t="s">
        <v>74</v>
      </c>
      <c r="B18" s="11" t="s">
        <v>16337</v>
      </c>
      <c r="C18" s="11" t="s">
        <v>16369</v>
      </c>
      <c r="D18" s="13" t="s">
        <v>16370</v>
      </c>
      <c r="E18" s="13" t="s">
        <v>16371</v>
      </c>
    </row>
    <row r="19" customFormat="false" ht="15" hidden="false" customHeight="true" outlineLevel="0" collapsed="false">
      <c r="A19" s="13" t="s">
        <v>74</v>
      </c>
      <c r="B19" s="11" t="s">
        <v>16337</v>
      </c>
      <c r="C19" s="11" t="s">
        <v>16372</v>
      </c>
      <c r="D19" s="13" t="s">
        <v>16373</v>
      </c>
      <c r="E19" s="13" t="s">
        <v>16374</v>
      </c>
    </row>
    <row r="20" customFormat="false" ht="15" hidden="false" customHeight="true" outlineLevel="0" collapsed="false">
      <c r="A20" s="13" t="s">
        <v>74</v>
      </c>
      <c r="B20" s="11" t="s">
        <v>16337</v>
      </c>
      <c r="C20" s="11" t="s">
        <v>16375</v>
      </c>
      <c r="D20" s="13" t="s">
        <v>16376</v>
      </c>
      <c r="E20" s="13" t="s">
        <v>16377</v>
      </c>
    </row>
    <row r="21" customFormat="false" ht="15" hidden="false" customHeight="true" outlineLevel="0" collapsed="false">
      <c r="A21" s="13" t="s">
        <v>74</v>
      </c>
      <c r="B21" s="11" t="s">
        <v>16337</v>
      </c>
      <c r="C21" s="11" t="s">
        <v>16378</v>
      </c>
      <c r="D21" s="13" t="s">
        <v>16379</v>
      </c>
      <c r="E21" s="13" t="s">
        <v>16380</v>
      </c>
    </row>
    <row r="22" customFormat="false" ht="15" hidden="false" customHeight="true" outlineLevel="0" collapsed="false">
      <c r="A22" s="13" t="s">
        <v>74</v>
      </c>
      <c r="B22" s="11" t="s">
        <v>16337</v>
      </c>
      <c r="C22" s="11" t="s">
        <v>16381</v>
      </c>
      <c r="D22" s="13" t="s">
        <v>16382</v>
      </c>
      <c r="E22" s="13" t="s">
        <v>16383</v>
      </c>
    </row>
    <row r="23" customFormat="false" ht="15" hidden="false" customHeight="true" outlineLevel="0" collapsed="false">
      <c r="A23" s="13" t="s">
        <v>74</v>
      </c>
      <c r="B23" s="11" t="s">
        <v>16337</v>
      </c>
      <c r="C23" s="13" t="s">
        <v>16384</v>
      </c>
      <c r="D23" s="13" t="s">
        <v>16385</v>
      </c>
      <c r="E23" s="13" t="s">
        <v>16386</v>
      </c>
    </row>
    <row r="24" customFormat="false" ht="15" hidden="false" customHeight="true" outlineLevel="0" collapsed="false">
      <c r="A24" s="13" t="s">
        <v>74</v>
      </c>
      <c r="B24" s="11" t="s">
        <v>16337</v>
      </c>
      <c r="C24" s="11" t="s">
        <v>16387</v>
      </c>
      <c r="D24" s="13" t="s">
        <v>16388</v>
      </c>
      <c r="E24" s="13" t="s">
        <v>16389</v>
      </c>
    </row>
    <row r="25" customFormat="false" ht="15" hidden="false" customHeight="true" outlineLevel="0" collapsed="false">
      <c r="A25" s="13" t="s">
        <v>74</v>
      </c>
      <c r="B25" s="11" t="s">
        <v>16337</v>
      </c>
      <c r="C25" s="11" t="s">
        <v>16390</v>
      </c>
      <c r="D25" s="13" t="s">
        <v>16391</v>
      </c>
      <c r="E25" s="13" t="s">
        <v>16392</v>
      </c>
    </row>
    <row r="26" customFormat="false" ht="15" hidden="false" customHeight="true" outlineLevel="0" collapsed="false">
      <c r="A26" s="13" t="s">
        <v>74</v>
      </c>
      <c r="B26" s="11" t="s">
        <v>16337</v>
      </c>
      <c r="C26" s="11" t="s">
        <v>16393</v>
      </c>
      <c r="D26" s="13" t="s">
        <v>16394</v>
      </c>
      <c r="E26" s="13" t="s">
        <v>16395</v>
      </c>
    </row>
    <row r="27" customFormat="false" ht="15" hidden="false" customHeight="true" outlineLevel="0" collapsed="false">
      <c r="A27" s="13" t="s">
        <v>74</v>
      </c>
      <c r="B27" s="11" t="s">
        <v>16337</v>
      </c>
      <c r="C27" s="11" t="s">
        <v>16396</v>
      </c>
      <c r="D27" s="13" t="s">
        <v>16397</v>
      </c>
      <c r="E27" s="13" t="s">
        <v>16398</v>
      </c>
    </row>
    <row r="28" customFormat="false" ht="15" hidden="false" customHeight="true" outlineLevel="0" collapsed="false">
      <c r="A28" s="13" t="s">
        <v>83</v>
      </c>
      <c r="B28" s="11" t="s">
        <v>16337</v>
      </c>
      <c r="C28" s="13" t="s">
        <v>16338</v>
      </c>
      <c r="D28" s="13" t="s">
        <v>16399</v>
      </c>
      <c r="E28" s="13" t="s">
        <v>16400</v>
      </c>
    </row>
    <row r="29" customFormat="false" ht="15" hidden="false" customHeight="true" outlineLevel="0" collapsed="false">
      <c r="A29" s="13" t="s">
        <v>83</v>
      </c>
      <c r="B29" s="11" t="s">
        <v>16337</v>
      </c>
      <c r="C29" s="11" t="s">
        <v>16341</v>
      </c>
      <c r="D29" s="13" t="s">
        <v>16401</v>
      </c>
      <c r="E29" s="13" t="s">
        <v>16402</v>
      </c>
    </row>
    <row r="30" customFormat="false" ht="15" hidden="false" customHeight="true" outlineLevel="0" collapsed="false">
      <c r="A30" s="13" t="s">
        <v>83</v>
      </c>
      <c r="B30" s="11" t="s">
        <v>16337</v>
      </c>
      <c r="C30" s="11" t="s">
        <v>16344</v>
      </c>
      <c r="D30" s="13" t="s">
        <v>16403</v>
      </c>
      <c r="E30" s="13" t="s">
        <v>16404</v>
      </c>
    </row>
    <row r="31" customFormat="false" ht="15" hidden="false" customHeight="true" outlineLevel="0" collapsed="false">
      <c r="A31" s="13" t="s">
        <v>83</v>
      </c>
      <c r="B31" s="11" t="s">
        <v>16337</v>
      </c>
      <c r="C31" s="11" t="s">
        <v>16347</v>
      </c>
      <c r="D31" s="13" t="s">
        <v>16405</v>
      </c>
      <c r="E31" s="13" t="s">
        <v>16406</v>
      </c>
    </row>
    <row r="32" customFormat="false" ht="15" hidden="false" customHeight="true" outlineLevel="0" collapsed="false">
      <c r="A32" s="13" t="s">
        <v>83</v>
      </c>
      <c r="B32" s="11" t="s">
        <v>16337</v>
      </c>
      <c r="C32" s="11" t="s">
        <v>16350</v>
      </c>
      <c r="D32" s="13" t="s">
        <v>16407</v>
      </c>
      <c r="E32" s="13" t="s">
        <v>16408</v>
      </c>
    </row>
    <row r="33" customFormat="false" ht="15" hidden="false" customHeight="true" outlineLevel="0" collapsed="false">
      <c r="A33" s="13" t="s">
        <v>83</v>
      </c>
      <c r="B33" s="11" t="s">
        <v>16337</v>
      </c>
      <c r="C33" s="11" t="s">
        <v>16353</v>
      </c>
      <c r="D33" s="13" t="s">
        <v>1500</v>
      </c>
      <c r="E33" s="13" t="s">
        <v>1019</v>
      </c>
    </row>
    <row r="34" customFormat="false" ht="15" hidden="false" customHeight="true" outlineLevel="0" collapsed="false">
      <c r="A34" s="13" t="s">
        <v>83</v>
      </c>
      <c r="B34" s="11" t="s">
        <v>16337</v>
      </c>
      <c r="C34" s="13" t="s">
        <v>16354</v>
      </c>
      <c r="D34" s="13" t="s">
        <v>16409</v>
      </c>
      <c r="E34" s="13" t="s">
        <v>16410</v>
      </c>
    </row>
    <row r="35" customFormat="false" ht="15" hidden="false" customHeight="true" outlineLevel="0" collapsed="false">
      <c r="A35" s="13" t="s">
        <v>83</v>
      </c>
      <c r="B35" s="11" t="s">
        <v>16337</v>
      </c>
      <c r="C35" s="11" t="s">
        <v>16357</v>
      </c>
      <c r="D35" s="13" t="s">
        <v>16411</v>
      </c>
      <c r="E35" s="13" t="s">
        <v>16412</v>
      </c>
    </row>
    <row r="36" customFormat="false" ht="15" hidden="false" customHeight="true" outlineLevel="0" collapsed="false">
      <c r="A36" s="13" t="s">
        <v>83</v>
      </c>
      <c r="B36" s="11" t="s">
        <v>16337</v>
      </c>
      <c r="C36" s="11" t="s">
        <v>16360</v>
      </c>
      <c r="D36" s="13" t="s">
        <v>16413</v>
      </c>
      <c r="E36" s="13" t="s">
        <v>16414</v>
      </c>
    </row>
    <row r="37" customFormat="false" ht="15" hidden="false" customHeight="true" outlineLevel="0" collapsed="false">
      <c r="A37" s="13" t="s">
        <v>83</v>
      </c>
      <c r="B37" s="11" t="s">
        <v>16337</v>
      </c>
      <c r="C37" s="11" t="s">
        <v>16363</v>
      </c>
      <c r="D37" s="13" t="s">
        <v>16415</v>
      </c>
      <c r="E37" s="13" t="s">
        <v>16416</v>
      </c>
    </row>
    <row r="38" customFormat="false" ht="15" hidden="false" customHeight="true" outlineLevel="0" collapsed="false">
      <c r="A38" s="13" t="s">
        <v>83</v>
      </c>
      <c r="B38" s="11" t="s">
        <v>16337</v>
      </c>
      <c r="C38" s="11" t="s">
        <v>16366</v>
      </c>
      <c r="D38" s="13" t="s">
        <v>16417</v>
      </c>
      <c r="E38" s="13" t="s">
        <v>16418</v>
      </c>
    </row>
    <row r="39" customFormat="false" ht="15" hidden="false" customHeight="true" outlineLevel="0" collapsed="false">
      <c r="A39" s="13" t="s">
        <v>83</v>
      </c>
      <c r="B39" s="11" t="s">
        <v>16337</v>
      </c>
      <c r="C39" s="11" t="s">
        <v>16369</v>
      </c>
      <c r="D39" s="13" t="s">
        <v>16419</v>
      </c>
      <c r="E39" s="13" t="s">
        <v>16420</v>
      </c>
    </row>
    <row r="40" customFormat="false" ht="15" hidden="false" customHeight="true" outlineLevel="0" collapsed="false">
      <c r="A40" s="13" t="s">
        <v>83</v>
      </c>
      <c r="B40" s="11" t="s">
        <v>16337</v>
      </c>
      <c r="C40" s="11" t="s">
        <v>16372</v>
      </c>
      <c r="D40" s="13" t="s">
        <v>16421</v>
      </c>
      <c r="E40" s="13" t="s">
        <v>16422</v>
      </c>
    </row>
    <row r="41" customFormat="false" ht="15" hidden="false" customHeight="true" outlineLevel="0" collapsed="false">
      <c r="A41" s="13" t="s">
        <v>83</v>
      </c>
      <c r="B41" s="11" t="s">
        <v>16337</v>
      </c>
      <c r="C41" s="11" t="s">
        <v>16375</v>
      </c>
      <c r="D41" s="13" t="s">
        <v>16423</v>
      </c>
      <c r="E41" s="13" t="s">
        <v>16424</v>
      </c>
    </row>
    <row r="42" customFormat="false" ht="15" hidden="false" customHeight="true" outlineLevel="0" collapsed="false">
      <c r="A42" s="13" t="s">
        <v>83</v>
      </c>
      <c r="B42" s="11" t="s">
        <v>16337</v>
      </c>
      <c r="C42" s="11" t="s">
        <v>16378</v>
      </c>
      <c r="D42" s="13" t="s">
        <v>16425</v>
      </c>
      <c r="E42" s="13" t="s">
        <v>16426</v>
      </c>
    </row>
    <row r="43" customFormat="false" ht="15" hidden="false" customHeight="true" outlineLevel="0" collapsed="false">
      <c r="A43" s="13" t="s">
        <v>83</v>
      </c>
      <c r="B43" s="11" t="s">
        <v>16337</v>
      </c>
      <c r="C43" s="11" t="s">
        <v>16381</v>
      </c>
      <c r="D43" s="13" t="s">
        <v>16427</v>
      </c>
      <c r="E43" s="13" t="s">
        <v>16428</v>
      </c>
    </row>
    <row r="44" customFormat="false" ht="15" hidden="false" customHeight="true" outlineLevel="0" collapsed="false">
      <c r="A44" s="13" t="s">
        <v>83</v>
      </c>
      <c r="B44" s="11" t="s">
        <v>16337</v>
      </c>
      <c r="C44" s="13" t="s">
        <v>16384</v>
      </c>
      <c r="D44" s="13" t="s">
        <v>16429</v>
      </c>
      <c r="E44" s="13" t="s">
        <v>16430</v>
      </c>
    </row>
    <row r="45" customFormat="false" ht="15" hidden="false" customHeight="true" outlineLevel="0" collapsed="false">
      <c r="A45" s="13" t="s">
        <v>83</v>
      </c>
      <c r="B45" s="11" t="s">
        <v>16337</v>
      </c>
      <c r="C45" s="11" t="s">
        <v>16387</v>
      </c>
      <c r="D45" s="13" t="s">
        <v>16431</v>
      </c>
      <c r="E45" s="13" t="s">
        <v>16432</v>
      </c>
    </row>
    <row r="46" customFormat="false" ht="15" hidden="false" customHeight="true" outlineLevel="0" collapsed="false">
      <c r="A46" s="13" t="s">
        <v>83</v>
      </c>
      <c r="B46" s="11" t="s">
        <v>16337</v>
      </c>
      <c r="C46" s="11" t="s">
        <v>16390</v>
      </c>
      <c r="D46" s="13" t="s">
        <v>16433</v>
      </c>
      <c r="E46" s="13" t="s">
        <v>16434</v>
      </c>
    </row>
    <row r="47" customFormat="false" ht="15" hidden="false" customHeight="true" outlineLevel="0" collapsed="false">
      <c r="A47" s="13" t="s">
        <v>83</v>
      </c>
      <c r="B47" s="11" t="s">
        <v>16337</v>
      </c>
      <c r="C47" s="11" t="s">
        <v>16393</v>
      </c>
      <c r="D47" s="13" t="s">
        <v>16435</v>
      </c>
      <c r="E47" s="13" t="s">
        <v>16436</v>
      </c>
    </row>
    <row r="48" customFormat="false" ht="15" hidden="false" customHeight="true" outlineLevel="0" collapsed="false">
      <c r="A48" s="13" t="s">
        <v>83</v>
      </c>
      <c r="B48" s="11" t="s">
        <v>16337</v>
      </c>
      <c r="C48" s="11" t="s">
        <v>16396</v>
      </c>
      <c r="D48" s="13" t="s">
        <v>16437</v>
      </c>
      <c r="E48" s="13" t="s">
        <v>16438</v>
      </c>
    </row>
    <row r="49" customFormat="false" ht="15" hidden="false" customHeight="true" outlineLevel="0" collapsed="false">
      <c r="A49" s="13" t="s">
        <v>92</v>
      </c>
      <c r="B49" s="11" t="s">
        <v>16337</v>
      </c>
      <c r="C49" s="13" t="s">
        <v>16338</v>
      </c>
      <c r="D49" s="13" t="s">
        <v>16439</v>
      </c>
      <c r="E49" s="13" t="s">
        <v>16440</v>
      </c>
    </row>
    <row r="50" customFormat="false" ht="15" hidden="false" customHeight="true" outlineLevel="0" collapsed="false">
      <c r="A50" s="13" t="s">
        <v>92</v>
      </c>
      <c r="B50" s="11" t="s">
        <v>16337</v>
      </c>
      <c r="C50" s="11" t="s">
        <v>16341</v>
      </c>
      <c r="D50" s="13" t="s">
        <v>16441</v>
      </c>
      <c r="E50" s="13" t="s">
        <v>16442</v>
      </c>
    </row>
    <row r="51" customFormat="false" ht="15" hidden="false" customHeight="true" outlineLevel="0" collapsed="false">
      <c r="A51" s="13" t="s">
        <v>92</v>
      </c>
      <c r="B51" s="11" t="s">
        <v>16337</v>
      </c>
      <c r="C51" s="11" t="s">
        <v>16344</v>
      </c>
      <c r="D51" s="13" t="s">
        <v>16443</v>
      </c>
      <c r="E51" s="13" t="s">
        <v>16444</v>
      </c>
    </row>
    <row r="52" customFormat="false" ht="15" hidden="false" customHeight="true" outlineLevel="0" collapsed="false">
      <c r="A52" s="13" t="s">
        <v>92</v>
      </c>
      <c r="B52" s="11" t="s">
        <v>16337</v>
      </c>
      <c r="C52" s="11" t="s">
        <v>16347</v>
      </c>
      <c r="D52" s="13" t="s">
        <v>16445</v>
      </c>
      <c r="E52" s="13" t="s">
        <v>16446</v>
      </c>
    </row>
    <row r="53" customFormat="false" ht="15" hidden="false" customHeight="true" outlineLevel="0" collapsed="false">
      <c r="A53" s="13" t="s">
        <v>92</v>
      </c>
      <c r="B53" s="11" t="s">
        <v>16337</v>
      </c>
      <c r="C53" s="11" t="s">
        <v>16350</v>
      </c>
      <c r="D53" s="13" t="s">
        <v>16447</v>
      </c>
      <c r="E53" s="13" t="s">
        <v>16448</v>
      </c>
    </row>
    <row r="54" customFormat="false" ht="15" hidden="false" customHeight="true" outlineLevel="0" collapsed="false">
      <c r="A54" s="13" t="s">
        <v>92</v>
      </c>
      <c r="B54" s="11" t="s">
        <v>16337</v>
      </c>
      <c r="C54" s="13" t="s">
        <v>16354</v>
      </c>
      <c r="D54" s="13" t="s">
        <v>16449</v>
      </c>
      <c r="E54" s="13" t="s">
        <v>16450</v>
      </c>
    </row>
    <row r="55" customFormat="false" ht="15" hidden="false" customHeight="true" outlineLevel="0" collapsed="false">
      <c r="A55" s="13" t="s">
        <v>92</v>
      </c>
      <c r="B55" s="11" t="s">
        <v>16337</v>
      </c>
      <c r="C55" s="11" t="s">
        <v>16357</v>
      </c>
      <c r="D55" s="13" t="s">
        <v>16451</v>
      </c>
      <c r="E55" s="13" t="s">
        <v>16452</v>
      </c>
    </row>
    <row r="56" customFormat="false" ht="15" hidden="false" customHeight="true" outlineLevel="0" collapsed="false">
      <c r="A56" s="13" t="s">
        <v>92</v>
      </c>
      <c r="B56" s="11" t="s">
        <v>16337</v>
      </c>
      <c r="C56" s="11" t="s">
        <v>16360</v>
      </c>
      <c r="D56" s="13" t="s">
        <v>16453</v>
      </c>
      <c r="E56" s="13" t="s">
        <v>16454</v>
      </c>
    </row>
    <row r="57" customFormat="false" ht="15" hidden="false" customHeight="true" outlineLevel="0" collapsed="false">
      <c r="A57" s="13" t="s">
        <v>92</v>
      </c>
      <c r="B57" s="11" t="s">
        <v>16337</v>
      </c>
      <c r="C57" s="11" t="s">
        <v>16363</v>
      </c>
      <c r="D57" s="13" t="s">
        <v>16455</v>
      </c>
      <c r="E57" s="13" t="s">
        <v>16456</v>
      </c>
    </row>
    <row r="58" customFormat="false" ht="15" hidden="false" customHeight="true" outlineLevel="0" collapsed="false">
      <c r="A58" s="13" t="s">
        <v>92</v>
      </c>
      <c r="B58" s="11" t="s">
        <v>16337</v>
      </c>
      <c r="C58" s="11" t="s">
        <v>16366</v>
      </c>
      <c r="D58" s="13" t="s">
        <v>16457</v>
      </c>
      <c r="E58" s="13" t="s">
        <v>16458</v>
      </c>
    </row>
    <row r="59" customFormat="false" ht="15" hidden="false" customHeight="true" outlineLevel="0" collapsed="false">
      <c r="A59" s="13" t="s">
        <v>92</v>
      </c>
      <c r="B59" s="11" t="s">
        <v>16337</v>
      </c>
      <c r="C59" s="11" t="s">
        <v>16369</v>
      </c>
      <c r="D59" s="13" t="s">
        <v>16459</v>
      </c>
      <c r="E59" s="13" t="s">
        <v>16460</v>
      </c>
    </row>
    <row r="60" customFormat="false" ht="15" hidden="false" customHeight="true" outlineLevel="0" collapsed="false">
      <c r="A60" s="13" t="s">
        <v>92</v>
      </c>
      <c r="B60" s="11" t="s">
        <v>16337</v>
      </c>
      <c r="C60" s="11" t="s">
        <v>16372</v>
      </c>
      <c r="D60" s="13" t="s">
        <v>16461</v>
      </c>
      <c r="E60" s="13" t="s">
        <v>16462</v>
      </c>
    </row>
    <row r="61" customFormat="false" ht="15" hidden="false" customHeight="true" outlineLevel="0" collapsed="false">
      <c r="A61" s="13" t="s">
        <v>92</v>
      </c>
      <c r="B61" s="11" t="s">
        <v>16337</v>
      </c>
      <c r="C61" s="11" t="s">
        <v>16375</v>
      </c>
      <c r="D61" s="13" t="s">
        <v>16463</v>
      </c>
      <c r="E61" s="13" t="s">
        <v>16464</v>
      </c>
    </row>
    <row r="62" customFormat="false" ht="15" hidden="false" customHeight="true" outlineLevel="0" collapsed="false">
      <c r="A62" s="13" t="s">
        <v>92</v>
      </c>
      <c r="B62" s="11" t="s">
        <v>16337</v>
      </c>
      <c r="C62" s="11" t="s">
        <v>16378</v>
      </c>
      <c r="D62" s="13" t="s">
        <v>16465</v>
      </c>
      <c r="E62" s="13" t="s">
        <v>16466</v>
      </c>
    </row>
    <row r="63" customFormat="false" ht="15" hidden="false" customHeight="true" outlineLevel="0" collapsed="false">
      <c r="A63" s="13" t="s">
        <v>92</v>
      </c>
      <c r="B63" s="11" t="s">
        <v>16337</v>
      </c>
      <c r="C63" s="11" t="s">
        <v>16381</v>
      </c>
      <c r="D63" s="13" t="s">
        <v>16467</v>
      </c>
      <c r="E63" s="13" t="s">
        <v>16468</v>
      </c>
    </row>
    <row r="64" customFormat="false" ht="15" hidden="false" customHeight="true" outlineLevel="0" collapsed="false">
      <c r="A64" s="13" t="s">
        <v>92</v>
      </c>
      <c r="B64" s="11" t="s">
        <v>16337</v>
      </c>
      <c r="C64" s="13" t="s">
        <v>16384</v>
      </c>
      <c r="D64" s="13" t="s">
        <v>16469</v>
      </c>
      <c r="E64" s="13" t="s">
        <v>16470</v>
      </c>
    </row>
    <row r="65" customFormat="false" ht="15" hidden="false" customHeight="true" outlineLevel="0" collapsed="false">
      <c r="A65" s="13" t="s">
        <v>92</v>
      </c>
      <c r="B65" s="11" t="s">
        <v>16337</v>
      </c>
      <c r="C65" s="11" t="s">
        <v>16387</v>
      </c>
      <c r="D65" s="13" t="s">
        <v>16471</v>
      </c>
      <c r="E65" s="13" t="s">
        <v>16472</v>
      </c>
    </row>
    <row r="66" customFormat="false" ht="15" hidden="false" customHeight="true" outlineLevel="0" collapsed="false">
      <c r="A66" s="13" t="s">
        <v>92</v>
      </c>
      <c r="B66" s="11" t="s">
        <v>16337</v>
      </c>
      <c r="C66" s="11" t="s">
        <v>16390</v>
      </c>
      <c r="D66" s="13" t="s">
        <v>16473</v>
      </c>
      <c r="E66" s="13" t="s">
        <v>16474</v>
      </c>
    </row>
    <row r="67" customFormat="false" ht="15" hidden="false" customHeight="true" outlineLevel="0" collapsed="false">
      <c r="A67" s="13" t="s">
        <v>92</v>
      </c>
      <c r="B67" s="11" t="s">
        <v>16337</v>
      </c>
      <c r="C67" s="11" t="s">
        <v>16393</v>
      </c>
      <c r="D67" s="13" t="s">
        <v>16475</v>
      </c>
      <c r="E67" s="13" t="s">
        <v>16476</v>
      </c>
    </row>
    <row r="68" customFormat="false" ht="15" hidden="false" customHeight="true" outlineLevel="0" collapsed="false">
      <c r="A68" s="13" t="s">
        <v>92</v>
      </c>
      <c r="B68" s="11" t="s">
        <v>16337</v>
      </c>
      <c r="C68" s="11" t="s">
        <v>16396</v>
      </c>
      <c r="D68" s="13" t="s">
        <v>16477</v>
      </c>
      <c r="E68" s="13" t="s">
        <v>4790</v>
      </c>
    </row>
    <row r="69" customFormat="false" ht="15" hidden="false" customHeight="true" outlineLevel="0" collapsed="false">
      <c r="A69" s="13" t="s">
        <v>101</v>
      </c>
      <c r="B69" s="11" t="s">
        <v>16337</v>
      </c>
      <c r="C69" s="13" t="s">
        <v>16338</v>
      </c>
      <c r="D69" s="13" t="s">
        <v>16478</v>
      </c>
      <c r="E69" s="13" t="s">
        <v>16479</v>
      </c>
    </row>
    <row r="70" customFormat="false" ht="15" hidden="false" customHeight="true" outlineLevel="0" collapsed="false">
      <c r="A70" s="13" t="s">
        <v>101</v>
      </c>
      <c r="B70" s="11" t="s">
        <v>16337</v>
      </c>
      <c r="C70" s="11" t="s">
        <v>16341</v>
      </c>
      <c r="D70" s="13" t="s">
        <v>16480</v>
      </c>
      <c r="E70" s="13" t="s">
        <v>16481</v>
      </c>
    </row>
    <row r="71" customFormat="false" ht="15" hidden="false" customHeight="true" outlineLevel="0" collapsed="false">
      <c r="A71" s="13" t="s">
        <v>101</v>
      </c>
      <c r="B71" s="11" t="s">
        <v>16337</v>
      </c>
      <c r="C71" s="11" t="s">
        <v>16344</v>
      </c>
      <c r="D71" s="13" t="s">
        <v>16482</v>
      </c>
      <c r="E71" s="13" t="s">
        <v>16483</v>
      </c>
    </row>
    <row r="72" customFormat="false" ht="15" hidden="false" customHeight="true" outlineLevel="0" collapsed="false">
      <c r="A72" s="13" t="s">
        <v>101</v>
      </c>
      <c r="B72" s="11" t="s">
        <v>16337</v>
      </c>
      <c r="C72" s="11" t="s">
        <v>16347</v>
      </c>
      <c r="D72" s="13" t="s">
        <v>16484</v>
      </c>
      <c r="E72" s="13" t="s">
        <v>16485</v>
      </c>
    </row>
    <row r="73" customFormat="false" ht="15" hidden="false" customHeight="true" outlineLevel="0" collapsed="false">
      <c r="A73" s="13" t="s">
        <v>101</v>
      </c>
      <c r="B73" s="11" t="s">
        <v>16337</v>
      </c>
      <c r="C73" s="11" t="s">
        <v>16350</v>
      </c>
      <c r="D73" s="13" t="s">
        <v>16486</v>
      </c>
      <c r="E73" s="13" t="s">
        <v>16487</v>
      </c>
    </row>
    <row r="74" customFormat="false" ht="15" hidden="false" customHeight="true" outlineLevel="0" collapsed="false">
      <c r="A74" s="13" t="s">
        <v>101</v>
      </c>
      <c r="B74" s="11" t="s">
        <v>16337</v>
      </c>
      <c r="C74" s="13" t="s">
        <v>16354</v>
      </c>
      <c r="D74" s="13" t="s">
        <v>16488</v>
      </c>
      <c r="E74" s="13" t="s">
        <v>16489</v>
      </c>
    </row>
    <row r="75" customFormat="false" ht="15" hidden="false" customHeight="true" outlineLevel="0" collapsed="false">
      <c r="A75" s="13" t="s">
        <v>101</v>
      </c>
      <c r="B75" s="11" t="s">
        <v>16337</v>
      </c>
      <c r="C75" s="11" t="s">
        <v>16357</v>
      </c>
      <c r="D75" s="13" t="s">
        <v>16490</v>
      </c>
      <c r="E75" s="13" t="s">
        <v>16491</v>
      </c>
    </row>
    <row r="76" customFormat="false" ht="15" hidden="false" customHeight="true" outlineLevel="0" collapsed="false">
      <c r="A76" s="13" t="s">
        <v>101</v>
      </c>
      <c r="B76" s="11" t="s">
        <v>16337</v>
      </c>
      <c r="C76" s="11" t="s">
        <v>16360</v>
      </c>
      <c r="D76" s="13" t="s">
        <v>16492</v>
      </c>
      <c r="E76" s="13" t="s">
        <v>16493</v>
      </c>
    </row>
    <row r="77" customFormat="false" ht="15" hidden="false" customHeight="true" outlineLevel="0" collapsed="false">
      <c r="A77" s="13" t="s">
        <v>101</v>
      </c>
      <c r="B77" s="11" t="s">
        <v>16337</v>
      </c>
      <c r="C77" s="11" t="s">
        <v>16363</v>
      </c>
      <c r="D77" s="13" t="s">
        <v>16494</v>
      </c>
      <c r="E77" s="13" t="s">
        <v>16495</v>
      </c>
    </row>
    <row r="78" customFormat="false" ht="15" hidden="false" customHeight="true" outlineLevel="0" collapsed="false">
      <c r="A78" s="13" t="s">
        <v>101</v>
      </c>
      <c r="B78" s="11" t="s">
        <v>16337</v>
      </c>
      <c r="C78" s="11" t="s">
        <v>16366</v>
      </c>
      <c r="D78" s="13" t="s">
        <v>16496</v>
      </c>
      <c r="E78" s="13" t="s">
        <v>16497</v>
      </c>
    </row>
    <row r="79" customFormat="false" ht="15" hidden="false" customHeight="true" outlineLevel="0" collapsed="false">
      <c r="A79" s="13" t="s">
        <v>101</v>
      </c>
      <c r="B79" s="11" t="s">
        <v>16337</v>
      </c>
      <c r="C79" s="11" t="s">
        <v>16369</v>
      </c>
      <c r="D79" s="13" t="s">
        <v>16498</v>
      </c>
      <c r="E79" s="13" t="s">
        <v>16499</v>
      </c>
    </row>
    <row r="80" customFormat="false" ht="15" hidden="false" customHeight="true" outlineLevel="0" collapsed="false">
      <c r="A80" s="13" t="s">
        <v>101</v>
      </c>
      <c r="B80" s="11" t="s">
        <v>16337</v>
      </c>
      <c r="C80" s="11" t="s">
        <v>16372</v>
      </c>
      <c r="D80" s="13" t="s">
        <v>16500</v>
      </c>
      <c r="E80" s="13" t="s">
        <v>16501</v>
      </c>
    </row>
    <row r="81" customFormat="false" ht="15" hidden="false" customHeight="true" outlineLevel="0" collapsed="false">
      <c r="A81" s="13" t="s">
        <v>101</v>
      </c>
      <c r="B81" s="11" t="s">
        <v>16337</v>
      </c>
      <c r="C81" s="11" t="s">
        <v>16375</v>
      </c>
      <c r="D81" s="13" t="s">
        <v>16502</v>
      </c>
      <c r="E81" s="13" t="s">
        <v>16503</v>
      </c>
    </row>
    <row r="82" customFormat="false" ht="15" hidden="false" customHeight="true" outlineLevel="0" collapsed="false">
      <c r="A82" s="13" t="s">
        <v>101</v>
      </c>
      <c r="B82" s="11" t="s">
        <v>16337</v>
      </c>
      <c r="C82" s="11" t="s">
        <v>16378</v>
      </c>
      <c r="D82" s="13" t="s">
        <v>16504</v>
      </c>
      <c r="E82" s="13" t="s">
        <v>16505</v>
      </c>
    </row>
    <row r="83" customFormat="false" ht="15" hidden="false" customHeight="true" outlineLevel="0" collapsed="false">
      <c r="A83" s="13" t="s">
        <v>101</v>
      </c>
      <c r="B83" s="11" t="s">
        <v>16337</v>
      </c>
      <c r="C83" s="11" t="s">
        <v>16381</v>
      </c>
      <c r="D83" s="13" t="s">
        <v>16506</v>
      </c>
      <c r="E83" s="13" t="s">
        <v>16507</v>
      </c>
    </row>
    <row r="84" customFormat="false" ht="15" hidden="false" customHeight="true" outlineLevel="0" collapsed="false">
      <c r="A84" s="13" t="s">
        <v>101</v>
      </c>
      <c r="B84" s="11" t="s">
        <v>16337</v>
      </c>
      <c r="C84" s="13" t="s">
        <v>16384</v>
      </c>
      <c r="D84" s="13" t="s">
        <v>16508</v>
      </c>
      <c r="E84" s="13" t="s">
        <v>16509</v>
      </c>
    </row>
    <row r="85" customFormat="false" ht="15" hidden="false" customHeight="true" outlineLevel="0" collapsed="false">
      <c r="A85" s="13" t="s">
        <v>101</v>
      </c>
      <c r="B85" s="11" t="s">
        <v>16337</v>
      </c>
      <c r="C85" s="11" t="s">
        <v>16387</v>
      </c>
      <c r="D85" s="13" t="s">
        <v>16510</v>
      </c>
      <c r="E85" s="13" t="s">
        <v>16511</v>
      </c>
    </row>
    <row r="86" customFormat="false" ht="15" hidden="false" customHeight="true" outlineLevel="0" collapsed="false">
      <c r="A86" s="13" t="s">
        <v>101</v>
      </c>
      <c r="B86" s="11" t="s">
        <v>16337</v>
      </c>
      <c r="C86" s="11" t="s">
        <v>16390</v>
      </c>
      <c r="D86" s="13" t="s">
        <v>16512</v>
      </c>
      <c r="E86" s="13" t="s">
        <v>16513</v>
      </c>
    </row>
    <row r="87" customFormat="false" ht="15" hidden="false" customHeight="true" outlineLevel="0" collapsed="false">
      <c r="A87" s="13" t="s">
        <v>101</v>
      </c>
      <c r="B87" s="11" t="s">
        <v>16337</v>
      </c>
      <c r="C87" s="11" t="s">
        <v>16393</v>
      </c>
      <c r="D87" s="13" t="s">
        <v>16514</v>
      </c>
      <c r="E87" s="13" t="s">
        <v>16515</v>
      </c>
    </row>
    <row r="88" customFormat="false" ht="15" hidden="false" customHeight="true" outlineLevel="0" collapsed="false">
      <c r="A88" s="13" t="s">
        <v>101</v>
      </c>
      <c r="B88" s="11" t="s">
        <v>16337</v>
      </c>
      <c r="C88" s="11" t="s">
        <v>16396</v>
      </c>
      <c r="D88" s="13" t="s">
        <v>16516</v>
      </c>
      <c r="E88" s="13" t="s">
        <v>16517</v>
      </c>
    </row>
    <row r="89" customFormat="false" ht="15" hidden="false" customHeight="true" outlineLevel="0" collapsed="false">
      <c r="A89" s="13" t="s">
        <v>110</v>
      </c>
      <c r="B89" s="11" t="s">
        <v>16337</v>
      </c>
      <c r="C89" s="13" t="s">
        <v>16338</v>
      </c>
      <c r="D89" s="13" t="s">
        <v>16518</v>
      </c>
      <c r="E89" s="13" t="s">
        <v>16519</v>
      </c>
    </row>
    <row r="90" customFormat="false" ht="15" hidden="false" customHeight="true" outlineLevel="0" collapsed="false">
      <c r="A90" s="13" t="s">
        <v>110</v>
      </c>
      <c r="B90" s="11" t="s">
        <v>16337</v>
      </c>
      <c r="C90" s="11" t="s">
        <v>16341</v>
      </c>
      <c r="D90" s="13" t="s">
        <v>16520</v>
      </c>
      <c r="E90" s="13" t="s">
        <v>16521</v>
      </c>
    </row>
    <row r="91" customFormat="false" ht="15" hidden="false" customHeight="true" outlineLevel="0" collapsed="false">
      <c r="A91" s="13" t="s">
        <v>110</v>
      </c>
      <c r="B91" s="11" t="s">
        <v>16337</v>
      </c>
      <c r="C91" s="11" t="s">
        <v>16344</v>
      </c>
      <c r="D91" s="13" t="s">
        <v>16522</v>
      </c>
      <c r="E91" s="13" t="s">
        <v>16523</v>
      </c>
    </row>
    <row r="92" customFormat="false" ht="15" hidden="false" customHeight="true" outlineLevel="0" collapsed="false">
      <c r="A92" s="13" t="s">
        <v>110</v>
      </c>
      <c r="B92" s="11" t="s">
        <v>16337</v>
      </c>
      <c r="C92" s="11" t="s">
        <v>16347</v>
      </c>
      <c r="D92" s="13" t="s">
        <v>16524</v>
      </c>
      <c r="E92" s="13" t="s">
        <v>16525</v>
      </c>
    </row>
    <row r="93" customFormat="false" ht="15" hidden="false" customHeight="true" outlineLevel="0" collapsed="false">
      <c r="A93" s="13" t="s">
        <v>110</v>
      </c>
      <c r="B93" s="11" t="s">
        <v>16337</v>
      </c>
      <c r="C93" s="11" t="s">
        <v>16350</v>
      </c>
      <c r="D93" s="13" t="s">
        <v>16526</v>
      </c>
      <c r="E93" s="13" t="s">
        <v>16527</v>
      </c>
    </row>
    <row r="94" customFormat="false" ht="15" hidden="false" customHeight="true" outlineLevel="0" collapsed="false">
      <c r="A94" s="13" t="s">
        <v>110</v>
      </c>
      <c r="B94" s="11" t="s">
        <v>16337</v>
      </c>
      <c r="C94" s="13" t="s">
        <v>16354</v>
      </c>
      <c r="D94" s="13" t="s">
        <v>16528</v>
      </c>
      <c r="E94" s="13" t="s">
        <v>16529</v>
      </c>
    </row>
    <row r="95" customFormat="false" ht="15" hidden="false" customHeight="true" outlineLevel="0" collapsed="false">
      <c r="A95" s="13" t="s">
        <v>110</v>
      </c>
      <c r="B95" s="11" t="s">
        <v>16337</v>
      </c>
      <c r="C95" s="11" t="s">
        <v>16357</v>
      </c>
      <c r="D95" s="13" t="s">
        <v>16530</v>
      </c>
      <c r="E95" s="13" t="s">
        <v>16531</v>
      </c>
    </row>
    <row r="96" customFormat="false" ht="15" hidden="false" customHeight="true" outlineLevel="0" collapsed="false">
      <c r="A96" s="13" t="s">
        <v>110</v>
      </c>
      <c r="B96" s="11" t="s">
        <v>16337</v>
      </c>
      <c r="C96" s="11" t="s">
        <v>16360</v>
      </c>
      <c r="D96" s="13" t="s">
        <v>16532</v>
      </c>
      <c r="E96" s="13" t="s">
        <v>16533</v>
      </c>
    </row>
    <row r="97" customFormat="false" ht="15" hidden="false" customHeight="true" outlineLevel="0" collapsed="false">
      <c r="A97" s="13" t="s">
        <v>110</v>
      </c>
      <c r="B97" s="11" t="s">
        <v>16337</v>
      </c>
      <c r="C97" s="11" t="s">
        <v>16363</v>
      </c>
      <c r="D97" s="13" t="s">
        <v>16534</v>
      </c>
      <c r="E97" s="13" t="s">
        <v>16535</v>
      </c>
    </row>
    <row r="98" customFormat="false" ht="15" hidden="false" customHeight="true" outlineLevel="0" collapsed="false">
      <c r="A98" s="13" t="s">
        <v>110</v>
      </c>
      <c r="B98" s="11" t="s">
        <v>16337</v>
      </c>
      <c r="C98" s="11" t="s">
        <v>16366</v>
      </c>
      <c r="D98" s="13" t="s">
        <v>16536</v>
      </c>
      <c r="E98" s="13" t="s">
        <v>16537</v>
      </c>
    </row>
    <row r="99" customFormat="false" ht="15" hidden="false" customHeight="true" outlineLevel="0" collapsed="false">
      <c r="A99" s="13" t="s">
        <v>110</v>
      </c>
      <c r="B99" s="11" t="s">
        <v>16337</v>
      </c>
      <c r="C99" s="11" t="s">
        <v>16369</v>
      </c>
      <c r="D99" s="13" t="s">
        <v>16538</v>
      </c>
      <c r="E99" s="13" t="s">
        <v>16539</v>
      </c>
    </row>
    <row r="100" customFormat="false" ht="15" hidden="false" customHeight="true" outlineLevel="0" collapsed="false">
      <c r="A100" s="13" t="s">
        <v>110</v>
      </c>
      <c r="B100" s="11" t="s">
        <v>16337</v>
      </c>
      <c r="C100" s="11" t="s">
        <v>16372</v>
      </c>
      <c r="D100" s="13" t="s">
        <v>16540</v>
      </c>
      <c r="E100" s="13" t="s">
        <v>16541</v>
      </c>
    </row>
    <row r="101" customFormat="false" ht="15" hidden="false" customHeight="true" outlineLevel="0" collapsed="false">
      <c r="A101" s="13" t="s">
        <v>110</v>
      </c>
      <c r="B101" s="11" t="s">
        <v>16337</v>
      </c>
      <c r="C101" s="11" t="s">
        <v>16375</v>
      </c>
      <c r="D101" s="13" t="s">
        <v>16542</v>
      </c>
      <c r="E101" s="13" t="s">
        <v>16543</v>
      </c>
    </row>
    <row r="102" customFormat="false" ht="15" hidden="false" customHeight="true" outlineLevel="0" collapsed="false">
      <c r="A102" s="13" t="s">
        <v>110</v>
      </c>
      <c r="B102" s="11" t="s">
        <v>16337</v>
      </c>
      <c r="C102" s="11" t="s">
        <v>16378</v>
      </c>
      <c r="D102" s="13" t="s">
        <v>16544</v>
      </c>
      <c r="E102" s="13" t="s">
        <v>16545</v>
      </c>
    </row>
    <row r="103" customFormat="false" ht="15" hidden="false" customHeight="true" outlineLevel="0" collapsed="false">
      <c r="A103" s="13" t="s">
        <v>110</v>
      </c>
      <c r="B103" s="11" t="s">
        <v>16337</v>
      </c>
      <c r="C103" s="11" t="s">
        <v>16381</v>
      </c>
      <c r="D103" s="13" t="s">
        <v>16546</v>
      </c>
      <c r="E103" s="13" t="s">
        <v>16547</v>
      </c>
    </row>
    <row r="104" customFormat="false" ht="15" hidden="false" customHeight="true" outlineLevel="0" collapsed="false">
      <c r="A104" s="13" t="s">
        <v>110</v>
      </c>
      <c r="B104" s="11" t="s">
        <v>16337</v>
      </c>
      <c r="C104" s="13" t="s">
        <v>16384</v>
      </c>
      <c r="D104" s="13" t="s">
        <v>16548</v>
      </c>
      <c r="E104" s="13" t="s">
        <v>16549</v>
      </c>
    </row>
    <row r="105" customFormat="false" ht="15" hidden="false" customHeight="true" outlineLevel="0" collapsed="false">
      <c r="A105" s="13" t="s">
        <v>110</v>
      </c>
      <c r="B105" s="11" t="s">
        <v>16337</v>
      </c>
      <c r="C105" s="11" t="s">
        <v>16387</v>
      </c>
      <c r="D105" s="13" t="s">
        <v>16550</v>
      </c>
      <c r="E105" s="13" t="s">
        <v>16551</v>
      </c>
    </row>
    <row r="106" customFormat="false" ht="15" hidden="false" customHeight="true" outlineLevel="0" collapsed="false">
      <c r="A106" s="13" t="s">
        <v>110</v>
      </c>
      <c r="B106" s="11" t="s">
        <v>16337</v>
      </c>
      <c r="C106" s="11" t="s">
        <v>16390</v>
      </c>
      <c r="D106" s="13" t="s">
        <v>16552</v>
      </c>
      <c r="E106" s="13" t="s">
        <v>16553</v>
      </c>
    </row>
    <row r="107" customFormat="false" ht="15" hidden="false" customHeight="true" outlineLevel="0" collapsed="false">
      <c r="A107" s="13" t="s">
        <v>110</v>
      </c>
      <c r="B107" s="11" t="s">
        <v>16337</v>
      </c>
      <c r="C107" s="11" t="s">
        <v>16393</v>
      </c>
      <c r="D107" s="13" t="s">
        <v>16554</v>
      </c>
      <c r="E107" s="13" t="s">
        <v>16555</v>
      </c>
    </row>
    <row r="108" customFormat="false" ht="15" hidden="false" customHeight="true" outlineLevel="0" collapsed="false">
      <c r="A108" s="13" t="s">
        <v>110</v>
      </c>
      <c r="B108" s="11" t="s">
        <v>16337</v>
      </c>
      <c r="C108" s="11" t="s">
        <v>16396</v>
      </c>
      <c r="D108" s="13" t="s">
        <v>16556</v>
      </c>
      <c r="E108" s="13" t="s">
        <v>16557</v>
      </c>
    </row>
    <row r="109" customFormat="false" ht="15" hidden="false" customHeight="true" outlineLevel="0" collapsed="false">
      <c r="A109" s="13" t="s">
        <v>119</v>
      </c>
      <c r="B109" s="11" t="s">
        <v>16337</v>
      </c>
      <c r="C109" s="13" t="s">
        <v>16338</v>
      </c>
      <c r="D109" s="13" t="s">
        <v>16558</v>
      </c>
      <c r="E109" s="13" t="s">
        <v>16559</v>
      </c>
    </row>
    <row r="110" customFormat="false" ht="15" hidden="false" customHeight="true" outlineLevel="0" collapsed="false">
      <c r="A110" s="13" t="s">
        <v>119</v>
      </c>
      <c r="B110" s="11" t="s">
        <v>16337</v>
      </c>
      <c r="C110" s="11" t="s">
        <v>16341</v>
      </c>
      <c r="D110" s="13" t="s">
        <v>16560</v>
      </c>
      <c r="E110" s="13" t="s">
        <v>16561</v>
      </c>
    </row>
    <row r="111" customFormat="false" ht="15" hidden="false" customHeight="true" outlineLevel="0" collapsed="false">
      <c r="A111" s="13" t="s">
        <v>119</v>
      </c>
      <c r="B111" s="11" t="s">
        <v>16337</v>
      </c>
      <c r="C111" s="11" t="s">
        <v>16344</v>
      </c>
      <c r="D111" s="13" t="s">
        <v>16562</v>
      </c>
      <c r="E111" s="13" t="s">
        <v>16563</v>
      </c>
    </row>
    <row r="112" customFormat="false" ht="15" hidden="false" customHeight="true" outlineLevel="0" collapsed="false">
      <c r="A112" s="13" t="s">
        <v>119</v>
      </c>
      <c r="B112" s="11" t="s">
        <v>16337</v>
      </c>
      <c r="C112" s="11" t="s">
        <v>16347</v>
      </c>
      <c r="D112" s="13" t="s">
        <v>16564</v>
      </c>
      <c r="E112" s="13" t="s">
        <v>16565</v>
      </c>
    </row>
    <row r="113" customFormat="false" ht="15" hidden="false" customHeight="true" outlineLevel="0" collapsed="false">
      <c r="A113" s="13" t="s">
        <v>119</v>
      </c>
      <c r="B113" s="11" t="s">
        <v>16337</v>
      </c>
      <c r="C113" s="11" t="s">
        <v>16350</v>
      </c>
      <c r="D113" s="13" t="s">
        <v>16566</v>
      </c>
      <c r="E113" s="13" t="s">
        <v>16567</v>
      </c>
    </row>
    <row r="114" customFormat="false" ht="15" hidden="false" customHeight="true" outlineLevel="0" collapsed="false">
      <c r="A114" s="13" t="s">
        <v>119</v>
      </c>
      <c r="B114" s="11" t="s">
        <v>16337</v>
      </c>
      <c r="C114" s="13" t="s">
        <v>16354</v>
      </c>
      <c r="D114" s="13" t="s">
        <v>16568</v>
      </c>
      <c r="E114" s="13" t="s">
        <v>16569</v>
      </c>
    </row>
    <row r="115" customFormat="false" ht="15" hidden="false" customHeight="true" outlineLevel="0" collapsed="false">
      <c r="A115" s="13" t="s">
        <v>119</v>
      </c>
      <c r="B115" s="11" t="s">
        <v>16337</v>
      </c>
      <c r="C115" s="11" t="s">
        <v>16357</v>
      </c>
      <c r="D115" s="13" t="s">
        <v>16570</v>
      </c>
      <c r="E115" s="13" t="s">
        <v>16571</v>
      </c>
    </row>
    <row r="116" customFormat="false" ht="15" hidden="false" customHeight="true" outlineLevel="0" collapsed="false">
      <c r="A116" s="13" t="s">
        <v>119</v>
      </c>
      <c r="B116" s="11" t="s">
        <v>16337</v>
      </c>
      <c r="C116" s="11" t="s">
        <v>16360</v>
      </c>
      <c r="D116" s="13" t="s">
        <v>16572</v>
      </c>
      <c r="E116" s="13" t="s">
        <v>16573</v>
      </c>
    </row>
    <row r="117" customFormat="false" ht="15" hidden="false" customHeight="true" outlineLevel="0" collapsed="false">
      <c r="A117" s="13" t="s">
        <v>119</v>
      </c>
      <c r="B117" s="11" t="s">
        <v>16337</v>
      </c>
      <c r="C117" s="11" t="s">
        <v>16363</v>
      </c>
      <c r="D117" s="13" t="s">
        <v>16574</v>
      </c>
      <c r="E117" s="13" t="s">
        <v>16575</v>
      </c>
    </row>
    <row r="118" customFormat="false" ht="15" hidden="false" customHeight="true" outlineLevel="0" collapsed="false">
      <c r="A118" s="13" t="s">
        <v>119</v>
      </c>
      <c r="B118" s="11" t="s">
        <v>16337</v>
      </c>
      <c r="C118" s="11" t="s">
        <v>16366</v>
      </c>
      <c r="D118" s="13" t="s">
        <v>16576</v>
      </c>
      <c r="E118" s="13" t="s">
        <v>16577</v>
      </c>
    </row>
    <row r="119" customFormat="false" ht="15" hidden="false" customHeight="true" outlineLevel="0" collapsed="false">
      <c r="A119" s="13" t="s">
        <v>119</v>
      </c>
      <c r="B119" s="11" t="s">
        <v>16337</v>
      </c>
      <c r="C119" s="11" t="s">
        <v>16369</v>
      </c>
      <c r="D119" s="13" t="s">
        <v>16578</v>
      </c>
      <c r="E119" s="13" t="s">
        <v>16579</v>
      </c>
    </row>
    <row r="120" customFormat="false" ht="15" hidden="false" customHeight="true" outlineLevel="0" collapsed="false">
      <c r="A120" s="13" t="s">
        <v>119</v>
      </c>
      <c r="B120" s="11" t="s">
        <v>16337</v>
      </c>
      <c r="C120" s="11" t="s">
        <v>16372</v>
      </c>
      <c r="D120" s="13" t="s">
        <v>16580</v>
      </c>
      <c r="E120" s="13" t="s">
        <v>16581</v>
      </c>
    </row>
    <row r="121" customFormat="false" ht="15" hidden="false" customHeight="true" outlineLevel="0" collapsed="false">
      <c r="A121" s="13" t="s">
        <v>119</v>
      </c>
      <c r="B121" s="11" t="s">
        <v>16337</v>
      </c>
      <c r="C121" s="11" t="s">
        <v>16375</v>
      </c>
      <c r="D121" s="13" t="s">
        <v>16582</v>
      </c>
      <c r="E121" s="13" t="s">
        <v>16583</v>
      </c>
    </row>
    <row r="122" customFormat="false" ht="15" hidden="false" customHeight="true" outlineLevel="0" collapsed="false">
      <c r="A122" s="13" t="s">
        <v>119</v>
      </c>
      <c r="B122" s="11" t="s">
        <v>16337</v>
      </c>
      <c r="C122" s="11" t="s">
        <v>16378</v>
      </c>
      <c r="D122" s="13" t="s">
        <v>16584</v>
      </c>
      <c r="E122" s="13" t="s">
        <v>16585</v>
      </c>
    </row>
    <row r="123" customFormat="false" ht="15" hidden="false" customHeight="true" outlineLevel="0" collapsed="false">
      <c r="A123" s="13" t="s">
        <v>119</v>
      </c>
      <c r="B123" s="11" t="s">
        <v>16337</v>
      </c>
      <c r="C123" s="11" t="s">
        <v>16381</v>
      </c>
      <c r="D123" s="13" t="s">
        <v>16586</v>
      </c>
      <c r="E123" s="13" t="s">
        <v>16587</v>
      </c>
    </row>
    <row r="124" customFormat="false" ht="15" hidden="false" customHeight="true" outlineLevel="0" collapsed="false">
      <c r="A124" s="13" t="s">
        <v>119</v>
      </c>
      <c r="B124" s="11" t="s">
        <v>16337</v>
      </c>
      <c r="C124" s="13" t="s">
        <v>16384</v>
      </c>
      <c r="D124" s="13" t="s">
        <v>16588</v>
      </c>
      <c r="E124" s="13" t="s">
        <v>16589</v>
      </c>
    </row>
    <row r="125" customFormat="false" ht="15" hidden="false" customHeight="true" outlineLevel="0" collapsed="false">
      <c r="A125" s="13" t="s">
        <v>119</v>
      </c>
      <c r="B125" s="11" t="s">
        <v>16337</v>
      </c>
      <c r="C125" s="11" t="s">
        <v>16387</v>
      </c>
      <c r="D125" s="13" t="s">
        <v>16590</v>
      </c>
      <c r="E125" s="13" t="s">
        <v>16591</v>
      </c>
    </row>
    <row r="126" customFormat="false" ht="15" hidden="false" customHeight="true" outlineLevel="0" collapsed="false">
      <c r="A126" s="13" t="s">
        <v>119</v>
      </c>
      <c r="B126" s="11" t="s">
        <v>16337</v>
      </c>
      <c r="C126" s="11" t="s">
        <v>16390</v>
      </c>
      <c r="D126" s="13" t="s">
        <v>16592</v>
      </c>
      <c r="E126" s="13" t="s">
        <v>16593</v>
      </c>
    </row>
    <row r="127" customFormat="false" ht="15" hidden="false" customHeight="true" outlineLevel="0" collapsed="false">
      <c r="A127" s="13" t="s">
        <v>119</v>
      </c>
      <c r="B127" s="11" t="s">
        <v>16337</v>
      </c>
      <c r="C127" s="11" t="s">
        <v>16393</v>
      </c>
      <c r="D127" s="13" t="s">
        <v>16594</v>
      </c>
      <c r="E127" s="13" t="s">
        <v>16595</v>
      </c>
    </row>
    <row r="128" customFormat="false" ht="15" hidden="false" customHeight="true" outlineLevel="0" collapsed="false">
      <c r="A128" s="13" t="s">
        <v>119</v>
      </c>
      <c r="B128" s="11" t="s">
        <v>16337</v>
      </c>
      <c r="C128" s="11" t="s">
        <v>16396</v>
      </c>
      <c r="D128" s="13" t="s">
        <v>16596</v>
      </c>
      <c r="E128" s="13" t="s">
        <v>16597</v>
      </c>
    </row>
    <row r="129" customFormat="false" ht="15" hidden="false" customHeight="true" outlineLevel="0" collapsed="false">
      <c r="A129" s="13" t="s">
        <v>128</v>
      </c>
      <c r="B129" s="11" t="s">
        <v>16337</v>
      </c>
      <c r="C129" s="13" t="s">
        <v>16338</v>
      </c>
      <c r="D129" s="13" t="s">
        <v>16598</v>
      </c>
      <c r="E129" s="13" t="s">
        <v>16599</v>
      </c>
    </row>
    <row r="130" customFormat="false" ht="15" hidden="false" customHeight="true" outlineLevel="0" collapsed="false">
      <c r="A130" s="13" t="s">
        <v>128</v>
      </c>
      <c r="B130" s="11" t="s">
        <v>16337</v>
      </c>
      <c r="C130" s="11" t="s">
        <v>16341</v>
      </c>
      <c r="D130" s="13" t="s">
        <v>16600</v>
      </c>
      <c r="E130" s="13" t="s">
        <v>16601</v>
      </c>
    </row>
    <row r="131" customFormat="false" ht="15" hidden="false" customHeight="true" outlineLevel="0" collapsed="false">
      <c r="A131" s="13" t="s">
        <v>128</v>
      </c>
      <c r="B131" s="11" t="s">
        <v>16337</v>
      </c>
      <c r="C131" s="11" t="s">
        <v>16344</v>
      </c>
      <c r="D131" s="13" t="s">
        <v>16602</v>
      </c>
      <c r="E131" s="13" t="s">
        <v>16603</v>
      </c>
    </row>
    <row r="132" customFormat="false" ht="15" hidden="false" customHeight="true" outlineLevel="0" collapsed="false">
      <c r="A132" s="13" t="s">
        <v>128</v>
      </c>
      <c r="B132" s="11" t="s">
        <v>16337</v>
      </c>
      <c r="C132" s="11" t="s">
        <v>16347</v>
      </c>
      <c r="D132" s="13" t="s">
        <v>16604</v>
      </c>
      <c r="E132" s="13" t="s">
        <v>16605</v>
      </c>
    </row>
    <row r="133" customFormat="false" ht="15" hidden="false" customHeight="true" outlineLevel="0" collapsed="false">
      <c r="A133" s="13" t="s">
        <v>128</v>
      </c>
      <c r="B133" s="11" t="s">
        <v>16337</v>
      </c>
      <c r="C133" s="11" t="s">
        <v>16350</v>
      </c>
      <c r="D133" s="13" t="s">
        <v>16606</v>
      </c>
      <c r="E133" s="13" t="s">
        <v>16607</v>
      </c>
    </row>
    <row r="134" customFormat="false" ht="15" hidden="false" customHeight="true" outlineLevel="0" collapsed="false">
      <c r="A134" s="13" t="s">
        <v>128</v>
      </c>
      <c r="B134" s="11" t="s">
        <v>16337</v>
      </c>
      <c r="C134" s="13" t="s">
        <v>16354</v>
      </c>
      <c r="D134" s="13" t="s">
        <v>16608</v>
      </c>
      <c r="E134" s="13" t="s">
        <v>16609</v>
      </c>
    </row>
    <row r="135" customFormat="false" ht="15" hidden="false" customHeight="true" outlineLevel="0" collapsed="false">
      <c r="A135" s="13" t="s">
        <v>128</v>
      </c>
      <c r="B135" s="11" t="s">
        <v>16337</v>
      </c>
      <c r="C135" s="11" t="s">
        <v>16357</v>
      </c>
      <c r="D135" s="13" t="s">
        <v>16610</v>
      </c>
      <c r="E135" s="13" t="s">
        <v>16611</v>
      </c>
    </row>
    <row r="136" customFormat="false" ht="15" hidden="false" customHeight="true" outlineLevel="0" collapsed="false">
      <c r="A136" s="13" t="s">
        <v>128</v>
      </c>
      <c r="B136" s="11" t="s">
        <v>16337</v>
      </c>
      <c r="C136" s="11" t="s">
        <v>16360</v>
      </c>
      <c r="D136" s="13" t="s">
        <v>16612</v>
      </c>
      <c r="E136" s="13" t="s">
        <v>16613</v>
      </c>
    </row>
    <row r="137" customFormat="false" ht="15" hidden="false" customHeight="true" outlineLevel="0" collapsed="false">
      <c r="A137" s="13" t="s">
        <v>128</v>
      </c>
      <c r="B137" s="11" t="s">
        <v>16337</v>
      </c>
      <c r="C137" s="11" t="s">
        <v>16363</v>
      </c>
      <c r="D137" s="13" t="s">
        <v>16614</v>
      </c>
      <c r="E137" s="13" t="s">
        <v>16615</v>
      </c>
    </row>
    <row r="138" customFormat="false" ht="15" hidden="false" customHeight="true" outlineLevel="0" collapsed="false">
      <c r="A138" s="13" t="s">
        <v>128</v>
      </c>
      <c r="B138" s="11" t="s">
        <v>16337</v>
      </c>
      <c r="C138" s="11" t="s">
        <v>16366</v>
      </c>
      <c r="D138" s="13" t="s">
        <v>16616</v>
      </c>
      <c r="E138" s="13" t="s">
        <v>16617</v>
      </c>
    </row>
    <row r="139" customFormat="false" ht="15" hidden="false" customHeight="true" outlineLevel="0" collapsed="false">
      <c r="A139" s="13" t="s">
        <v>128</v>
      </c>
      <c r="B139" s="11" t="s">
        <v>16337</v>
      </c>
      <c r="C139" s="11" t="s">
        <v>16369</v>
      </c>
      <c r="D139" s="13" t="s">
        <v>16618</v>
      </c>
      <c r="E139" s="13" t="s">
        <v>16619</v>
      </c>
    </row>
    <row r="140" customFormat="false" ht="15" hidden="false" customHeight="true" outlineLevel="0" collapsed="false">
      <c r="A140" s="13" t="s">
        <v>128</v>
      </c>
      <c r="B140" s="11" t="s">
        <v>16337</v>
      </c>
      <c r="C140" s="11" t="s">
        <v>16372</v>
      </c>
      <c r="D140" s="13" t="s">
        <v>16620</v>
      </c>
      <c r="E140" s="13" t="s">
        <v>16621</v>
      </c>
    </row>
    <row r="141" customFormat="false" ht="15" hidden="false" customHeight="true" outlineLevel="0" collapsed="false">
      <c r="A141" s="13" t="s">
        <v>128</v>
      </c>
      <c r="B141" s="11" t="s">
        <v>16337</v>
      </c>
      <c r="C141" s="11" t="s">
        <v>16375</v>
      </c>
      <c r="D141" s="13" t="s">
        <v>16622</v>
      </c>
      <c r="E141" s="13" t="s">
        <v>16623</v>
      </c>
    </row>
    <row r="142" customFormat="false" ht="15" hidden="false" customHeight="true" outlineLevel="0" collapsed="false">
      <c r="A142" s="13" t="s">
        <v>128</v>
      </c>
      <c r="B142" s="11" t="s">
        <v>16337</v>
      </c>
      <c r="C142" s="11" t="s">
        <v>16378</v>
      </c>
      <c r="D142" s="13" t="s">
        <v>16624</v>
      </c>
      <c r="E142" s="13" t="s">
        <v>16625</v>
      </c>
    </row>
    <row r="143" customFormat="false" ht="15" hidden="false" customHeight="true" outlineLevel="0" collapsed="false">
      <c r="A143" s="13" t="s">
        <v>128</v>
      </c>
      <c r="B143" s="11" t="s">
        <v>16337</v>
      </c>
      <c r="C143" s="11" t="s">
        <v>16381</v>
      </c>
      <c r="D143" s="13" t="s">
        <v>16626</v>
      </c>
      <c r="E143" s="13" t="s">
        <v>16627</v>
      </c>
    </row>
    <row r="144" customFormat="false" ht="15" hidden="false" customHeight="true" outlineLevel="0" collapsed="false">
      <c r="A144" s="13" t="s">
        <v>128</v>
      </c>
      <c r="B144" s="11" t="s">
        <v>16337</v>
      </c>
      <c r="C144" s="13" t="s">
        <v>16384</v>
      </c>
      <c r="D144" s="13" t="s">
        <v>16628</v>
      </c>
      <c r="E144" s="13" t="s">
        <v>16629</v>
      </c>
    </row>
    <row r="145" customFormat="false" ht="15" hidden="false" customHeight="true" outlineLevel="0" collapsed="false">
      <c r="A145" s="13" t="s">
        <v>128</v>
      </c>
      <c r="B145" s="11" t="s">
        <v>16337</v>
      </c>
      <c r="C145" s="11" t="s">
        <v>16387</v>
      </c>
      <c r="D145" s="13" t="s">
        <v>16630</v>
      </c>
      <c r="E145" s="13" t="s">
        <v>16631</v>
      </c>
    </row>
    <row r="146" customFormat="false" ht="15" hidden="false" customHeight="true" outlineLevel="0" collapsed="false">
      <c r="A146" s="13" t="s">
        <v>128</v>
      </c>
      <c r="B146" s="11" t="s">
        <v>16337</v>
      </c>
      <c r="C146" s="11" t="s">
        <v>16390</v>
      </c>
      <c r="D146" s="13" t="s">
        <v>16632</v>
      </c>
      <c r="E146" s="13" t="s">
        <v>16633</v>
      </c>
    </row>
    <row r="147" customFormat="false" ht="15" hidden="false" customHeight="true" outlineLevel="0" collapsed="false">
      <c r="A147" s="13" t="s">
        <v>128</v>
      </c>
      <c r="B147" s="11" t="s">
        <v>16337</v>
      </c>
      <c r="C147" s="11" t="s">
        <v>16393</v>
      </c>
      <c r="D147" s="13" t="s">
        <v>16634</v>
      </c>
      <c r="E147" s="13" t="s">
        <v>16635</v>
      </c>
    </row>
    <row r="148" customFormat="false" ht="15" hidden="false" customHeight="true" outlineLevel="0" collapsed="false">
      <c r="A148" s="13" t="s">
        <v>128</v>
      </c>
      <c r="B148" s="11" t="s">
        <v>16337</v>
      </c>
      <c r="C148" s="11" t="s">
        <v>16396</v>
      </c>
      <c r="D148" s="13" t="s">
        <v>16636</v>
      </c>
      <c r="E148" s="13" t="s">
        <v>16637</v>
      </c>
    </row>
    <row r="149" customFormat="false" ht="15" hidden="false" customHeight="true" outlineLevel="0" collapsed="false">
      <c r="A149" s="13" t="s">
        <v>137</v>
      </c>
      <c r="B149" s="11" t="s">
        <v>16337</v>
      </c>
      <c r="C149" s="13" t="s">
        <v>16338</v>
      </c>
      <c r="D149" s="13" t="s">
        <v>16638</v>
      </c>
      <c r="E149" s="13" t="s">
        <v>16639</v>
      </c>
    </row>
    <row r="150" customFormat="false" ht="15" hidden="false" customHeight="true" outlineLevel="0" collapsed="false">
      <c r="A150" s="13" t="s">
        <v>137</v>
      </c>
      <c r="B150" s="11" t="s">
        <v>16337</v>
      </c>
      <c r="C150" s="11" t="s">
        <v>16341</v>
      </c>
      <c r="D150" s="13" t="s">
        <v>16640</v>
      </c>
      <c r="E150" s="13" t="s">
        <v>16641</v>
      </c>
    </row>
    <row r="151" customFormat="false" ht="15" hidden="false" customHeight="true" outlineLevel="0" collapsed="false">
      <c r="A151" s="13" t="s">
        <v>137</v>
      </c>
      <c r="B151" s="11" t="s">
        <v>16337</v>
      </c>
      <c r="C151" s="11" t="s">
        <v>16344</v>
      </c>
      <c r="D151" s="13" t="s">
        <v>16642</v>
      </c>
      <c r="E151" s="13" t="s">
        <v>16643</v>
      </c>
    </row>
    <row r="152" customFormat="false" ht="15" hidden="false" customHeight="true" outlineLevel="0" collapsed="false">
      <c r="A152" s="13" t="s">
        <v>137</v>
      </c>
      <c r="B152" s="11" t="s">
        <v>16337</v>
      </c>
      <c r="C152" s="11" t="s">
        <v>16347</v>
      </c>
      <c r="D152" s="13" t="s">
        <v>16644</v>
      </c>
      <c r="E152" s="13" t="s">
        <v>16645</v>
      </c>
    </row>
    <row r="153" customFormat="false" ht="15" hidden="false" customHeight="true" outlineLevel="0" collapsed="false">
      <c r="A153" s="13" t="s">
        <v>137</v>
      </c>
      <c r="B153" s="11" t="s">
        <v>16337</v>
      </c>
      <c r="C153" s="11" t="s">
        <v>16350</v>
      </c>
      <c r="D153" s="13" t="s">
        <v>16646</v>
      </c>
      <c r="E153" s="13" t="s">
        <v>16647</v>
      </c>
    </row>
    <row r="154" customFormat="false" ht="15" hidden="false" customHeight="true" outlineLevel="0" collapsed="false">
      <c r="A154" s="13" t="s">
        <v>137</v>
      </c>
      <c r="B154" s="11" t="s">
        <v>16337</v>
      </c>
      <c r="C154" s="11" t="s">
        <v>16353</v>
      </c>
      <c r="D154" s="13" t="s">
        <v>1018</v>
      </c>
      <c r="E154" s="13" t="s">
        <v>1019</v>
      </c>
    </row>
    <row r="155" customFormat="false" ht="15" hidden="false" customHeight="true" outlineLevel="0" collapsed="false">
      <c r="A155" s="13" t="s">
        <v>137</v>
      </c>
      <c r="B155" s="11" t="s">
        <v>16337</v>
      </c>
      <c r="C155" s="13" t="s">
        <v>16354</v>
      </c>
      <c r="D155" s="13" t="s">
        <v>16648</v>
      </c>
      <c r="E155" s="13" t="s">
        <v>16649</v>
      </c>
    </row>
    <row r="156" customFormat="false" ht="15" hidden="false" customHeight="true" outlineLevel="0" collapsed="false">
      <c r="A156" s="13" t="s">
        <v>137</v>
      </c>
      <c r="B156" s="11" t="s">
        <v>16337</v>
      </c>
      <c r="C156" s="11" t="s">
        <v>16357</v>
      </c>
      <c r="D156" s="13" t="s">
        <v>16650</v>
      </c>
      <c r="E156" s="13" t="s">
        <v>16651</v>
      </c>
    </row>
    <row r="157" customFormat="false" ht="15" hidden="false" customHeight="true" outlineLevel="0" collapsed="false">
      <c r="A157" s="13" t="s">
        <v>137</v>
      </c>
      <c r="B157" s="11" t="s">
        <v>16337</v>
      </c>
      <c r="C157" s="11" t="s">
        <v>16360</v>
      </c>
      <c r="D157" s="13" t="s">
        <v>16652</v>
      </c>
      <c r="E157" s="13" t="s">
        <v>16653</v>
      </c>
    </row>
    <row r="158" customFormat="false" ht="15" hidden="false" customHeight="true" outlineLevel="0" collapsed="false">
      <c r="A158" s="13" t="s">
        <v>137</v>
      </c>
      <c r="B158" s="11" t="s">
        <v>16337</v>
      </c>
      <c r="C158" s="11" t="s">
        <v>16363</v>
      </c>
      <c r="D158" s="13" t="s">
        <v>16654</v>
      </c>
      <c r="E158" s="13" t="s">
        <v>16655</v>
      </c>
    </row>
    <row r="159" customFormat="false" ht="15" hidden="false" customHeight="true" outlineLevel="0" collapsed="false">
      <c r="A159" s="13" t="s">
        <v>137</v>
      </c>
      <c r="B159" s="11" t="s">
        <v>16337</v>
      </c>
      <c r="C159" s="11" t="s">
        <v>16366</v>
      </c>
      <c r="D159" s="13" t="s">
        <v>16656</v>
      </c>
      <c r="E159" s="13" t="s">
        <v>16657</v>
      </c>
    </row>
    <row r="160" customFormat="false" ht="15" hidden="false" customHeight="true" outlineLevel="0" collapsed="false">
      <c r="A160" s="13" t="s">
        <v>137</v>
      </c>
      <c r="B160" s="11" t="s">
        <v>16337</v>
      </c>
      <c r="C160" s="11" t="s">
        <v>16369</v>
      </c>
      <c r="D160" s="13" t="s">
        <v>16658</v>
      </c>
      <c r="E160" s="13" t="s">
        <v>16659</v>
      </c>
    </row>
    <row r="161" customFormat="false" ht="15" hidden="false" customHeight="true" outlineLevel="0" collapsed="false">
      <c r="A161" s="13" t="s">
        <v>137</v>
      </c>
      <c r="B161" s="11" t="s">
        <v>16337</v>
      </c>
      <c r="C161" s="11" t="s">
        <v>16372</v>
      </c>
      <c r="D161" s="13" t="s">
        <v>16660</v>
      </c>
      <c r="E161" s="13" t="s">
        <v>16661</v>
      </c>
    </row>
    <row r="162" customFormat="false" ht="15" hidden="false" customHeight="true" outlineLevel="0" collapsed="false">
      <c r="A162" s="13" t="s">
        <v>137</v>
      </c>
      <c r="B162" s="11" t="s">
        <v>16337</v>
      </c>
      <c r="C162" s="11" t="s">
        <v>16375</v>
      </c>
      <c r="D162" s="13" t="s">
        <v>16662</v>
      </c>
      <c r="E162" s="13" t="s">
        <v>16663</v>
      </c>
    </row>
    <row r="163" customFormat="false" ht="15" hidden="false" customHeight="true" outlineLevel="0" collapsed="false">
      <c r="A163" s="13" t="s">
        <v>137</v>
      </c>
      <c r="B163" s="11" t="s">
        <v>16337</v>
      </c>
      <c r="C163" s="11" t="s">
        <v>16378</v>
      </c>
      <c r="D163" s="13" t="s">
        <v>16664</v>
      </c>
      <c r="E163" s="13" t="s">
        <v>16665</v>
      </c>
    </row>
    <row r="164" customFormat="false" ht="15" hidden="false" customHeight="true" outlineLevel="0" collapsed="false">
      <c r="A164" s="13" t="s">
        <v>137</v>
      </c>
      <c r="B164" s="11" t="s">
        <v>16337</v>
      </c>
      <c r="C164" s="11" t="s">
        <v>16381</v>
      </c>
      <c r="D164" s="13" t="s">
        <v>16666</v>
      </c>
      <c r="E164" s="13" t="s">
        <v>16667</v>
      </c>
    </row>
    <row r="165" customFormat="false" ht="15" hidden="false" customHeight="true" outlineLevel="0" collapsed="false">
      <c r="A165" s="13" t="s">
        <v>137</v>
      </c>
      <c r="B165" s="11" t="s">
        <v>16337</v>
      </c>
      <c r="C165" s="13" t="s">
        <v>16384</v>
      </c>
      <c r="D165" s="13" t="s">
        <v>16668</v>
      </c>
      <c r="E165" s="13" t="s">
        <v>16669</v>
      </c>
    </row>
    <row r="166" customFormat="false" ht="15" hidden="false" customHeight="true" outlineLevel="0" collapsed="false">
      <c r="A166" s="13" t="s">
        <v>137</v>
      </c>
      <c r="B166" s="11" t="s">
        <v>16337</v>
      </c>
      <c r="C166" s="11" t="s">
        <v>16387</v>
      </c>
      <c r="D166" s="13" t="s">
        <v>16670</v>
      </c>
      <c r="E166" s="13" t="s">
        <v>16671</v>
      </c>
    </row>
    <row r="167" customFormat="false" ht="15" hidden="false" customHeight="true" outlineLevel="0" collapsed="false">
      <c r="A167" s="13" t="s">
        <v>137</v>
      </c>
      <c r="B167" s="11" t="s">
        <v>16337</v>
      </c>
      <c r="C167" s="11" t="s">
        <v>16390</v>
      </c>
      <c r="D167" s="13" t="s">
        <v>16672</v>
      </c>
      <c r="E167" s="13" t="s">
        <v>16673</v>
      </c>
    </row>
    <row r="168" customFormat="false" ht="15" hidden="false" customHeight="true" outlineLevel="0" collapsed="false">
      <c r="A168" s="13" t="s">
        <v>137</v>
      </c>
      <c r="B168" s="11" t="s">
        <v>16337</v>
      </c>
      <c r="C168" s="11" t="s">
        <v>16393</v>
      </c>
      <c r="D168" s="13" t="s">
        <v>16674</v>
      </c>
      <c r="E168" s="13" t="s">
        <v>16675</v>
      </c>
    </row>
    <row r="169" customFormat="false" ht="15" hidden="false" customHeight="true" outlineLevel="0" collapsed="false">
      <c r="A169" s="13" t="s">
        <v>137</v>
      </c>
      <c r="B169" s="11" t="s">
        <v>16337</v>
      </c>
      <c r="C169" s="11" t="s">
        <v>16396</v>
      </c>
      <c r="D169" s="13" t="s">
        <v>16676</v>
      </c>
      <c r="E169" s="13" t="s">
        <v>16677</v>
      </c>
    </row>
    <row r="170" customFormat="false" ht="15" hidden="false" customHeight="true" outlineLevel="0" collapsed="false">
      <c r="A170" s="13" t="s">
        <v>146</v>
      </c>
      <c r="B170" s="11" t="s">
        <v>16337</v>
      </c>
      <c r="C170" s="13" t="s">
        <v>16338</v>
      </c>
      <c r="D170" s="13" t="s">
        <v>16678</v>
      </c>
      <c r="E170" s="13" t="s">
        <v>16679</v>
      </c>
    </row>
    <row r="171" customFormat="false" ht="15" hidden="false" customHeight="true" outlineLevel="0" collapsed="false">
      <c r="A171" s="13" t="s">
        <v>146</v>
      </c>
      <c r="B171" s="11" t="s">
        <v>16337</v>
      </c>
      <c r="C171" s="11" t="s">
        <v>16341</v>
      </c>
      <c r="D171" s="13" t="s">
        <v>16680</v>
      </c>
      <c r="E171" s="13" t="s">
        <v>16681</v>
      </c>
    </row>
    <row r="172" customFormat="false" ht="15" hidden="false" customHeight="true" outlineLevel="0" collapsed="false">
      <c r="A172" s="13" t="s">
        <v>146</v>
      </c>
      <c r="B172" s="11" t="s">
        <v>16337</v>
      </c>
      <c r="C172" s="11" t="s">
        <v>16344</v>
      </c>
      <c r="D172" s="13" t="s">
        <v>16682</v>
      </c>
      <c r="E172" s="13" t="s">
        <v>16683</v>
      </c>
    </row>
    <row r="173" customFormat="false" ht="15" hidden="false" customHeight="true" outlineLevel="0" collapsed="false">
      <c r="A173" s="13" t="s">
        <v>146</v>
      </c>
      <c r="B173" s="11" t="s">
        <v>16337</v>
      </c>
      <c r="C173" s="11" t="s">
        <v>16347</v>
      </c>
      <c r="D173" s="13" t="s">
        <v>16684</v>
      </c>
      <c r="E173" s="13" t="s">
        <v>16685</v>
      </c>
    </row>
    <row r="174" customFormat="false" ht="15" hidden="false" customHeight="true" outlineLevel="0" collapsed="false">
      <c r="A174" s="13" t="s">
        <v>146</v>
      </c>
      <c r="B174" s="11" t="s">
        <v>16337</v>
      </c>
      <c r="C174" s="11" t="s">
        <v>16350</v>
      </c>
      <c r="D174" s="13" t="s">
        <v>16686</v>
      </c>
      <c r="E174" s="13" t="s">
        <v>16687</v>
      </c>
    </row>
    <row r="175" customFormat="false" ht="15" hidden="false" customHeight="true" outlineLevel="0" collapsed="false">
      <c r="A175" s="13" t="s">
        <v>146</v>
      </c>
      <c r="B175" s="11" t="s">
        <v>16337</v>
      </c>
      <c r="C175" s="13" t="s">
        <v>16354</v>
      </c>
      <c r="D175" s="13" t="s">
        <v>16688</v>
      </c>
      <c r="E175" s="13" t="s">
        <v>16689</v>
      </c>
    </row>
    <row r="176" customFormat="false" ht="15" hidden="false" customHeight="true" outlineLevel="0" collapsed="false">
      <c r="A176" s="13" t="s">
        <v>146</v>
      </c>
      <c r="B176" s="11" t="s">
        <v>16337</v>
      </c>
      <c r="C176" s="11" t="s">
        <v>16357</v>
      </c>
      <c r="D176" s="13" t="s">
        <v>16690</v>
      </c>
      <c r="E176" s="13" t="s">
        <v>16691</v>
      </c>
    </row>
    <row r="177" customFormat="false" ht="15" hidden="false" customHeight="true" outlineLevel="0" collapsed="false">
      <c r="A177" s="13" t="s">
        <v>146</v>
      </c>
      <c r="B177" s="11" t="s">
        <v>16337</v>
      </c>
      <c r="C177" s="11" t="s">
        <v>16360</v>
      </c>
      <c r="D177" s="13" t="s">
        <v>16692</v>
      </c>
      <c r="E177" s="13" t="s">
        <v>16693</v>
      </c>
    </row>
    <row r="178" customFormat="false" ht="15" hidden="false" customHeight="true" outlineLevel="0" collapsed="false">
      <c r="A178" s="13" t="s">
        <v>146</v>
      </c>
      <c r="B178" s="11" t="s">
        <v>16337</v>
      </c>
      <c r="C178" s="11" t="s">
        <v>16363</v>
      </c>
      <c r="D178" s="13" t="s">
        <v>16694</v>
      </c>
      <c r="E178" s="13" t="s">
        <v>16695</v>
      </c>
    </row>
    <row r="179" customFormat="false" ht="15" hidden="false" customHeight="true" outlineLevel="0" collapsed="false">
      <c r="A179" s="13" t="s">
        <v>146</v>
      </c>
      <c r="B179" s="11" t="s">
        <v>16337</v>
      </c>
      <c r="C179" s="11" t="s">
        <v>16366</v>
      </c>
      <c r="D179" s="13" t="s">
        <v>16696</v>
      </c>
      <c r="E179" s="13" t="s">
        <v>16697</v>
      </c>
    </row>
    <row r="180" customFormat="false" ht="15" hidden="false" customHeight="true" outlineLevel="0" collapsed="false">
      <c r="A180" s="13" t="s">
        <v>146</v>
      </c>
      <c r="B180" s="11" t="s">
        <v>16337</v>
      </c>
      <c r="C180" s="11" t="s">
        <v>16369</v>
      </c>
      <c r="D180" s="13" t="s">
        <v>16698</v>
      </c>
      <c r="E180" s="13" t="s">
        <v>16699</v>
      </c>
    </row>
    <row r="181" customFormat="false" ht="15" hidden="false" customHeight="true" outlineLevel="0" collapsed="false">
      <c r="A181" s="13" t="s">
        <v>146</v>
      </c>
      <c r="B181" s="11" t="s">
        <v>16337</v>
      </c>
      <c r="C181" s="11" t="s">
        <v>16372</v>
      </c>
      <c r="D181" s="13" t="s">
        <v>16700</v>
      </c>
      <c r="E181" s="13" t="s">
        <v>16701</v>
      </c>
    </row>
    <row r="182" customFormat="false" ht="15" hidden="false" customHeight="true" outlineLevel="0" collapsed="false">
      <c r="A182" s="13" t="s">
        <v>146</v>
      </c>
      <c r="B182" s="11" t="s">
        <v>16337</v>
      </c>
      <c r="C182" s="11" t="s">
        <v>16375</v>
      </c>
      <c r="D182" s="13" t="s">
        <v>16702</v>
      </c>
      <c r="E182" s="13" t="s">
        <v>16703</v>
      </c>
    </row>
    <row r="183" customFormat="false" ht="15" hidden="false" customHeight="true" outlineLevel="0" collapsed="false">
      <c r="A183" s="13" t="s">
        <v>146</v>
      </c>
      <c r="B183" s="11" t="s">
        <v>16337</v>
      </c>
      <c r="C183" s="11" t="s">
        <v>16378</v>
      </c>
      <c r="D183" s="13" t="s">
        <v>16704</v>
      </c>
      <c r="E183" s="13" t="s">
        <v>16705</v>
      </c>
    </row>
    <row r="184" customFormat="false" ht="15" hidden="false" customHeight="true" outlineLevel="0" collapsed="false">
      <c r="A184" s="13" t="s">
        <v>146</v>
      </c>
      <c r="B184" s="11" t="s">
        <v>16337</v>
      </c>
      <c r="C184" s="11" t="s">
        <v>16381</v>
      </c>
      <c r="D184" s="13" t="s">
        <v>16706</v>
      </c>
      <c r="E184" s="13" t="s">
        <v>16707</v>
      </c>
    </row>
    <row r="185" customFormat="false" ht="15" hidden="false" customHeight="true" outlineLevel="0" collapsed="false">
      <c r="A185" s="13" t="s">
        <v>146</v>
      </c>
      <c r="B185" s="11" t="s">
        <v>16337</v>
      </c>
      <c r="C185" s="13" t="s">
        <v>16384</v>
      </c>
      <c r="D185" s="13" t="s">
        <v>16708</v>
      </c>
      <c r="E185" s="13" t="s">
        <v>16709</v>
      </c>
    </row>
    <row r="186" customFormat="false" ht="15" hidden="false" customHeight="true" outlineLevel="0" collapsed="false">
      <c r="A186" s="13" t="s">
        <v>146</v>
      </c>
      <c r="B186" s="11" t="s">
        <v>16337</v>
      </c>
      <c r="C186" s="11" t="s">
        <v>16387</v>
      </c>
      <c r="D186" s="13" t="s">
        <v>16710</v>
      </c>
      <c r="E186" s="13" t="s">
        <v>16711</v>
      </c>
    </row>
    <row r="187" customFormat="false" ht="15" hidden="false" customHeight="true" outlineLevel="0" collapsed="false">
      <c r="A187" s="13" t="s">
        <v>146</v>
      </c>
      <c r="B187" s="11" t="s">
        <v>16337</v>
      </c>
      <c r="C187" s="11" t="s">
        <v>16390</v>
      </c>
      <c r="D187" s="13" t="s">
        <v>16712</v>
      </c>
      <c r="E187" s="13" t="s">
        <v>16713</v>
      </c>
    </row>
    <row r="188" customFormat="false" ht="15" hidden="false" customHeight="true" outlineLevel="0" collapsed="false">
      <c r="A188" s="13" t="s">
        <v>146</v>
      </c>
      <c r="B188" s="11" t="s">
        <v>16337</v>
      </c>
      <c r="C188" s="11" t="s">
        <v>16393</v>
      </c>
      <c r="D188" s="13" t="s">
        <v>16714</v>
      </c>
      <c r="E188" s="13" t="s">
        <v>16715</v>
      </c>
    </row>
    <row r="189" customFormat="false" ht="15" hidden="false" customHeight="true" outlineLevel="0" collapsed="false">
      <c r="A189" s="13" t="s">
        <v>146</v>
      </c>
      <c r="B189" s="11" t="s">
        <v>16337</v>
      </c>
      <c r="C189" s="11" t="s">
        <v>16396</v>
      </c>
      <c r="D189" s="13" t="s">
        <v>16716</v>
      </c>
      <c r="E189" s="13" t="s">
        <v>16717</v>
      </c>
    </row>
    <row r="190" customFormat="false" ht="15" hidden="false" customHeight="true" outlineLevel="0" collapsed="false">
      <c r="A190" s="13" t="s">
        <v>155</v>
      </c>
      <c r="B190" s="11" t="s">
        <v>16337</v>
      </c>
      <c r="C190" s="13" t="s">
        <v>16338</v>
      </c>
      <c r="D190" s="13" t="s">
        <v>16718</v>
      </c>
      <c r="E190" s="13" t="s">
        <v>16719</v>
      </c>
    </row>
    <row r="191" customFormat="false" ht="15" hidden="false" customHeight="true" outlineLevel="0" collapsed="false">
      <c r="A191" s="13" t="s">
        <v>155</v>
      </c>
      <c r="B191" s="11" t="s">
        <v>16337</v>
      </c>
      <c r="C191" s="11" t="s">
        <v>16341</v>
      </c>
      <c r="D191" s="13" t="s">
        <v>16720</v>
      </c>
      <c r="E191" s="13" t="s">
        <v>16721</v>
      </c>
    </row>
    <row r="192" customFormat="false" ht="15" hidden="false" customHeight="true" outlineLevel="0" collapsed="false">
      <c r="A192" s="13" t="s">
        <v>155</v>
      </c>
      <c r="B192" s="11" t="s">
        <v>16337</v>
      </c>
      <c r="C192" s="11" t="s">
        <v>16344</v>
      </c>
      <c r="D192" s="13" t="s">
        <v>16722</v>
      </c>
      <c r="E192" s="13" t="s">
        <v>16723</v>
      </c>
    </row>
    <row r="193" customFormat="false" ht="15" hidden="false" customHeight="true" outlineLevel="0" collapsed="false">
      <c r="A193" s="13" t="s">
        <v>155</v>
      </c>
      <c r="B193" s="11" t="s">
        <v>16337</v>
      </c>
      <c r="C193" s="11" t="s">
        <v>16347</v>
      </c>
      <c r="D193" s="13" t="s">
        <v>16724</v>
      </c>
      <c r="E193" s="13" t="s">
        <v>16725</v>
      </c>
    </row>
    <row r="194" customFormat="false" ht="15" hidden="false" customHeight="true" outlineLevel="0" collapsed="false">
      <c r="A194" s="13" t="s">
        <v>155</v>
      </c>
      <c r="B194" s="11" t="s">
        <v>16337</v>
      </c>
      <c r="C194" s="11" t="s">
        <v>16350</v>
      </c>
      <c r="D194" s="13" t="s">
        <v>16726</v>
      </c>
      <c r="E194" s="13" t="s">
        <v>16727</v>
      </c>
    </row>
    <row r="195" customFormat="false" ht="15" hidden="false" customHeight="true" outlineLevel="0" collapsed="false">
      <c r="A195" s="13" t="s">
        <v>155</v>
      </c>
      <c r="B195" s="11" t="s">
        <v>16337</v>
      </c>
      <c r="C195" s="13" t="s">
        <v>16354</v>
      </c>
      <c r="D195" s="13" t="s">
        <v>16728</v>
      </c>
      <c r="E195" s="13" t="s">
        <v>16729</v>
      </c>
    </row>
    <row r="196" customFormat="false" ht="15" hidden="false" customHeight="true" outlineLevel="0" collapsed="false">
      <c r="A196" s="13" t="s">
        <v>155</v>
      </c>
      <c r="B196" s="11" t="s">
        <v>16337</v>
      </c>
      <c r="C196" s="11" t="s">
        <v>16357</v>
      </c>
      <c r="D196" s="13" t="s">
        <v>16730</v>
      </c>
      <c r="E196" s="13" t="s">
        <v>16731</v>
      </c>
    </row>
    <row r="197" customFormat="false" ht="15" hidden="false" customHeight="true" outlineLevel="0" collapsed="false">
      <c r="A197" s="13" t="s">
        <v>155</v>
      </c>
      <c r="B197" s="11" t="s">
        <v>16337</v>
      </c>
      <c r="C197" s="11" t="s">
        <v>16360</v>
      </c>
      <c r="D197" s="13" t="s">
        <v>16732</v>
      </c>
      <c r="E197" s="13" t="s">
        <v>16733</v>
      </c>
    </row>
    <row r="198" customFormat="false" ht="15" hidden="false" customHeight="true" outlineLevel="0" collapsed="false">
      <c r="A198" s="13" t="s">
        <v>155</v>
      </c>
      <c r="B198" s="11" t="s">
        <v>16337</v>
      </c>
      <c r="C198" s="11" t="s">
        <v>16363</v>
      </c>
      <c r="D198" s="13" t="s">
        <v>16734</v>
      </c>
      <c r="E198" s="13" t="s">
        <v>16735</v>
      </c>
    </row>
    <row r="199" customFormat="false" ht="15" hidden="false" customHeight="true" outlineLevel="0" collapsed="false">
      <c r="A199" s="13" t="s">
        <v>155</v>
      </c>
      <c r="B199" s="11" t="s">
        <v>16337</v>
      </c>
      <c r="C199" s="11" t="s">
        <v>16366</v>
      </c>
      <c r="D199" s="13" t="s">
        <v>16736</v>
      </c>
      <c r="E199" s="13" t="s">
        <v>16737</v>
      </c>
    </row>
    <row r="200" customFormat="false" ht="15" hidden="false" customHeight="true" outlineLevel="0" collapsed="false">
      <c r="A200" s="13" t="s">
        <v>155</v>
      </c>
      <c r="B200" s="11" t="s">
        <v>16337</v>
      </c>
      <c r="C200" s="11" t="s">
        <v>16369</v>
      </c>
      <c r="D200" s="13" t="s">
        <v>16738</v>
      </c>
      <c r="E200" s="13" t="s">
        <v>16739</v>
      </c>
    </row>
    <row r="201" customFormat="false" ht="15" hidden="false" customHeight="true" outlineLevel="0" collapsed="false">
      <c r="A201" s="13" t="s">
        <v>155</v>
      </c>
      <c r="B201" s="11" t="s">
        <v>16337</v>
      </c>
      <c r="C201" s="11" t="s">
        <v>16372</v>
      </c>
      <c r="D201" s="13" t="s">
        <v>16740</v>
      </c>
      <c r="E201" s="13" t="s">
        <v>16741</v>
      </c>
    </row>
    <row r="202" customFormat="false" ht="15" hidden="false" customHeight="true" outlineLevel="0" collapsed="false">
      <c r="A202" s="13" t="s">
        <v>155</v>
      </c>
      <c r="B202" s="11" t="s">
        <v>16337</v>
      </c>
      <c r="C202" s="11" t="s">
        <v>16375</v>
      </c>
      <c r="D202" s="13" t="s">
        <v>16742</v>
      </c>
      <c r="E202" s="13" t="s">
        <v>16743</v>
      </c>
    </row>
    <row r="203" customFormat="false" ht="15" hidden="false" customHeight="true" outlineLevel="0" collapsed="false">
      <c r="A203" s="13" t="s">
        <v>155</v>
      </c>
      <c r="B203" s="11" t="s">
        <v>16337</v>
      </c>
      <c r="C203" s="11" t="s">
        <v>16378</v>
      </c>
      <c r="D203" s="13" t="s">
        <v>16744</v>
      </c>
      <c r="E203" s="13" t="s">
        <v>16745</v>
      </c>
    </row>
    <row r="204" customFormat="false" ht="15" hidden="false" customHeight="true" outlineLevel="0" collapsed="false">
      <c r="A204" s="13" t="s">
        <v>155</v>
      </c>
      <c r="B204" s="11" t="s">
        <v>16337</v>
      </c>
      <c r="C204" s="11" t="s">
        <v>16381</v>
      </c>
      <c r="D204" s="13" t="s">
        <v>16746</v>
      </c>
      <c r="E204" s="13" t="s">
        <v>16747</v>
      </c>
    </row>
    <row r="205" customFormat="false" ht="15" hidden="false" customHeight="true" outlineLevel="0" collapsed="false">
      <c r="A205" s="13" t="s">
        <v>155</v>
      </c>
      <c r="B205" s="11" t="s">
        <v>16337</v>
      </c>
      <c r="C205" s="13" t="s">
        <v>16384</v>
      </c>
      <c r="D205" s="13" t="s">
        <v>16748</v>
      </c>
      <c r="E205" s="13" t="s">
        <v>16749</v>
      </c>
    </row>
    <row r="206" customFormat="false" ht="15" hidden="false" customHeight="true" outlineLevel="0" collapsed="false">
      <c r="A206" s="13" t="s">
        <v>155</v>
      </c>
      <c r="B206" s="11" t="s">
        <v>16337</v>
      </c>
      <c r="C206" s="11" t="s">
        <v>16387</v>
      </c>
      <c r="D206" s="13" t="s">
        <v>16750</v>
      </c>
      <c r="E206" s="13" t="s">
        <v>16751</v>
      </c>
    </row>
    <row r="207" customFormat="false" ht="15" hidden="false" customHeight="true" outlineLevel="0" collapsed="false">
      <c r="A207" s="13" t="s">
        <v>155</v>
      </c>
      <c r="B207" s="11" t="s">
        <v>16337</v>
      </c>
      <c r="C207" s="11" t="s">
        <v>16390</v>
      </c>
      <c r="D207" s="13" t="s">
        <v>16752</v>
      </c>
      <c r="E207" s="13" t="s">
        <v>16753</v>
      </c>
    </row>
    <row r="208" customFormat="false" ht="15" hidden="false" customHeight="true" outlineLevel="0" collapsed="false">
      <c r="A208" s="13" t="s">
        <v>155</v>
      </c>
      <c r="B208" s="11" t="s">
        <v>16337</v>
      </c>
      <c r="C208" s="11" t="s">
        <v>16393</v>
      </c>
      <c r="D208" s="13" t="s">
        <v>16754</v>
      </c>
      <c r="E208" s="13" t="s">
        <v>16755</v>
      </c>
    </row>
    <row r="209" customFormat="false" ht="15" hidden="false" customHeight="true" outlineLevel="0" collapsed="false">
      <c r="A209" s="13" t="s">
        <v>155</v>
      </c>
      <c r="B209" s="11" t="s">
        <v>16337</v>
      </c>
      <c r="C209" s="11" t="s">
        <v>16396</v>
      </c>
      <c r="D209" s="13" t="s">
        <v>16756</v>
      </c>
      <c r="E209" s="13" t="s">
        <v>16757</v>
      </c>
    </row>
    <row r="210" customFormat="false" ht="15" hidden="false" customHeight="true" outlineLevel="0" collapsed="false">
      <c r="A210" s="13" t="s">
        <v>163</v>
      </c>
      <c r="B210" s="11" t="s">
        <v>16337</v>
      </c>
      <c r="C210" s="13" t="s">
        <v>16338</v>
      </c>
      <c r="D210" s="13" t="s">
        <v>16758</v>
      </c>
      <c r="E210" s="13" t="s">
        <v>16759</v>
      </c>
    </row>
    <row r="211" customFormat="false" ht="15" hidden="false" customHeight="true" outlineLevel="0" collapsed="false">
      <c r="A211" s="13" t="s">
        <v>163</v>
      </c>
      <c r="B211" s="11" t="s">
        <v>16337</v>
      </c>
      <c r="C211" s="11" t="s">
        <v>16341</v>
      </c>
      <c r="D211" s="13" t="s">
        <v>16760</v>
      </c>
      <c r="E211" s="13" t="s">
        <v>16761</v>
      </c>
    </row>
    <row r="212" customFormat="false" ht="15" hidden="false" customHeight="true" outlineLevel="0" collapsed="false">
      <c r="A212" s="13" t="s">
        <v>163</v>
      </c>
      <c r="B212" s="11" t="s">
        <v>16337</v>
      </c>
      <c r="C212" s="11" t="s">
        <v>16344</v>
      </c>
      <c r="D212" s="13" t="s">
        <v>16762</v>
      </c>
      <c r="E212" s="13" t="s">
        <v>16763</v>
      </c>
    </row>
    <row r="213" customFormat="false" ht="15" hidden="false" customHeight="true" outlineLevel="0" collapsed="false">
      <c r="A213" s="13" t="s">
        <v>163</v>
      </c>
      <c r="B213" s="11" t="s">
        <v>16337</v>
      </c>
      <c r="C213" s="11" t="s">
        <v>16347</v>
      </c>
      <c r="D213" s="13" t="s">
        <v>16764</v>
      </c>
      <c r="E213" s="13" t="s">
        <v>16765</v>
      </c>
    </row>
    <row r="214" customFormat="false" ht="15" hidden="false" customHeight="true" outlineLevel="0" collapsed="false">
      <c r="A214" s="13" t="s">
        <v>163</v>
      </c>
      <c r="B214" s="11" t="s">
        <v>16337</v>
      </c>
      <c r="C214" s="11" t="s">
        <v>16350</v>
      </c>
      <c r="D214" s="13" t="s">
        <v>16766</v>
      </c>
      <c r="E214" s="13" t="s">
        <v>16767</v>
      </c>
    </row>
    <row r="215" customFormat="false" ht="15" hidden="false" customHeight="true" outlineLevel="0" collapsed="false">
      <c r="A215" s="13" t="s">
        <v>163</v>
      </c>
      <c r="B215" s="11" t="s">
        <v>16337</v>
      </c>
      <c r="C215" s="13" t="s">
        <v>16354</v>
      </c>
      <c r="D215" s="13" t="s">
        <v>16768</v>
      </c>
      <c r="E215" s="13" t="s">
        <v>16769</v>
      </c>
    </row>
    <row r="216" customFormat="false" ht="15" hidden="false" customHeight="true" outlineLevel="0" collapsed="false">
      <c r="A216" s="13" t="s">
        <v>163</v>
      </c>
      <c r="B216" s="11" t="s">
        <v>16337</v>
      </c>
      <c r="C216" s="11" t="s">
        <v>16357</v>
      </c>
      <c r="D216" s="13" t="s">
        <v>16770</v>
      </c>
      <c r="E216" s="13" t="s">
        <v>16771</v>
      </c>
    </row>
    <row r="217" customFormat="false" ht="15" hidden="false" customHeight="true" outlineLevel="0" collapsed="false">
      <c r="A217" s="13" t="s">
        <v>163</v>
      </c>
      <c r="B217" s="11" t="s">
        <v>16337</v>
      </c>
      <c r="C217" s="11" t="s">
        <v>16360</v>
      </c>
      <c r="D217" s="13" t="s">
        <v>16772</v>
      </c>
      <c r="E217" s="13" t="s">
        <v>16773</v>
      </c>
    </row>
    <row r="218" customFormat="false" ht="15" hidden="false" customHeight="true" outlineLevel="0" collapsed="false">
      <c r="A218" s="13" t="s">
        <v>163</v>
      </c>
      <c r="B218" s="11" t="s">
        <v>16337</v>
      </c>
      <c r="C218" s="11" t="s">
        <v>16363</v>
      </c>
      <c r="D218" s="13" t="s">
        <v>16774</v>
      </c>
      <c r="E218" s="13" t="s">
        <v>16775</v>
      </c>
    </row>
    <row r="219" customFormat="false" ht="15" hidden="false" customHeight="true" outlineLevel="0" collapsed="false">
      <c r="A219" s="13" t="s">
        <v>163</v>
      </c>
      <c r="B219" s="11" t="s">
        <v>16337</v>
      </c>
      <c r="C219" s="11" t="s">
        <v>16366</v>
      </c>
      <c r="D219" s="13" t="s">
        <v>16776</v>
      </c>
      <c r="E219" s="13" t="s">
        <v>16777</v>
      </c>
    </row>
    <row r="220" customFormat="false" ht="15" hidden="false" customHeight="true" outlineLevel="0" collapsed="false">
      <c r="A220" s="13" t="s">
        <v>163</v>
      </c>
      <c r="B220" s="11" t="s">
        <v>16337</v>
      </c>
      <c r="C220" s="11" t="s">
        <v>16369</v>
      </c>
      <c r="D220" s="13" t="s">
        <v>16778</v>
      </c>
      <c r="E220" s="13" t="s">
        <v>16779</v>
      </c>
    </row>
    <row r="221" customFormat="false" ht="15" hidden="false" customHeight="true" outlineLevel="0" collapsed="false">
      <c r="A221" s="13" t="s">
        <v>163</v>
      </c>
      <c r="B221" s="11" t="s">
        <v>16337</v>
      </c>
      <c r="C221" s="11" t="s">
        <v>16372</v>
      </c>
      <c r="D221" s="13" t="s">
        <v>16780</v>
      </c>
      <c r="E221" s="13" t="s">
        <v>16781</v>
      </c>
    </row>
    <row r="222" customFormat="false" ht="15" hidden="false" customHeight="true" outlineLevel="0" collapsed="false">
      <c r="A222" s="13" t="s">
        <v>163</v>
      </c>
      <c r="B222" s="11" t="s">
        <v>16337</v>
      </c>
      <c r="C222" s="11" t="s">
        <v>16375</v>
      </c>
      <c r="D222" s="13" t="s">
        <v>16782</v>
      </c>
      <c r="E222" s="13" t="s">
        <v>16783</v>
      </c>
    </row>
    <row r="223" customFormat="false" ht="15" hidden="false" customHeight="true" outlineLevel="0" collapsed="false">
      <c r="A223" s="13" t="s">
        <v>163</v>
      </c>
      <c r="B223" s="11" t="s">
        <v>16337</v>
      </c>
      <c r="C223" s="11" t="s">
        <v>16378</v>
      </c>
      <c r="D223" s="13" t="s">
        <v>16784</v>
      </c>
      <c r="E223" s="13" t="s">
        <v>16785</v>
      </c>
    </row>
    <row r="224" customFormat="false" ht="15" hidden="false" customHeight="true" outlineLevel="0" collapsed="false">
      <c r="A224" s="13" t="s">
        <v>163</v>
      </c>
      <c r="B224" s="11" t="s">
        <v>16337</v>
      </c>
      <c r="C224" s="11" t="s">
        <v>16381</v>
      </c>
      <c r="D224" s="13" t="s">
        <v>16786</v>
      </c>
      <c r="E224" s="13" t="s">
        <v>16787</v>
      </c>
    </row>
    <row r="225" customFormat="false" ht="15" hidden="false" customHeight="true" outlineLevel="0" collapsed="false">
      <c r="A225" s="13" t="s">
        <v>163</v>
      </c>
      <c r="B225" s="11" t="s">
        <v>16337</v>
      </c>
      <c r="C225" s="13" t="s">
        <v>16384</v>
      </c>
      <c r="D225" s="13" t="s">
        <v>16788</v>
      </c>
      <c r="E225" s="13" t="s">
        <v>16789</v>
      </c>
    </row>
    <row r="226" customFormat="false" ht="15" hidden="false" customHeight="true" outlineLevel="0" collapsed="false">
      <c r="A226" s="13" t="s">
        <v>163</v>
      </c>
      <c r="B226" s="11" t="s">
        <v>16337</v>
      </c>
      <c r="C226" s="11" t="s">
        <v>16387</v>
      </c>
      <c r="D226" s="13" t="s">
        <v>16790</v>
      </c>
      <c r="E226" s="13" t="s">
        <v>16791</v>
      </c>
    </row>
    <row r="227" customFormat="false" ht="15" hidden="false" customHeight="true" outlineLevel="0" collapsed="false">
      <c r="A227" s="13" t="s">
        <v>163</v>
      </c>
      <c r="B227" s="11" t="s">
        <v>16337</v>
      </c>
      <c r="C227" s="11" t="s">
        <v>16390</v>
      </c>
      <c r="D227" s="13" t="s">
        <v>16792</v>
      </c>
      <c r="E227" s="13" t="s">
        <v>16793</v>
      </c>
    </row>
    <row r="228" customFormat="false" ht="15" hidden="false" customHeight="true" outlineLevel="0" collapsed="false">
      <c r="A228" s="13" t="s">
        <v>163</v>
      </c>
      <c r="B228" s="11" t="s">
        <v>16337</v>
      </c>
      <c r="C228" s="11" t="s">
        <v>16393</v>
      </c>
      <c r="D228" s="13" t="s">
        <v>16794</v>
      </c>
      <c r="E228" s="13" t="s">
        <v>16795</v>
      </c>
    </row>
    <row r="229" customFormat="false" ht="15" hidden="false" customHeight="true" outlineLevel="0" collapsed="false">
      <c r="A229" s="13" t="s">
        <v>163</v>
      </c>
      <c r="B229" s="11" t="s">
        <v>16337</v>
      </c>
      <c r="C229" s="11" t="s">
        <v>16396</v>
      </c>
      <c r="D229" s="13" t="s">
        <v>16796</v>
      </c>
      <c r="E229" s="13" t="s">
        <v>16797</v>
      </c>
    </row>
    <row r="230" customFormat="false" ht="15" hidden="false" customHeight="true" outlineLevel="0" collapsed="false">
      <c r="A230" s="13" t="s">
        <v>171</v>
      </c>
      <c r="B230" s="11" t="s">
        <v>16337</v>
      </c>
      <c r="C230" s="13" t="s">
        <v>16338</v>
      </c>
      <c r="D230" s="13" t="s">
        <v>16798</v>
      </c>
      <c r="E230" s="13" t="s">
        <v>16799</v>
      </c>
    </row>
    <row r="231" customFormat="false" ht="15" hidden="false" customHeight="true" outlineLevel="0" collapsed="false">
      <c r="A231" s="13" t="s">
        <v>171</v>
      </c>
      <c r="B231" s="11" t="s">
        <v>16337</v>
      </c>
      <c r="C231" s="11" t="s">
        <v>16341</v>
      </c>
      <c r="D231" s="13" t="s">
        <v>16800</v>
      </c>
      <c r="E231" s="13" t="s">
        <v>16801</v>
      </c>
    </row>
    <row r="232" customFormat="false" ht="15" hidden="false" customHeight="true" outlineLevel="0" collapsed="false">
      <c r="A232" s="13" t="s">
        <v>171</v>
      </c>
      <c r="B232" s="11" t="s">
        <v>16337</v>
      </c>
      <c r="C232" s="11" t="s">
        <v>16344</v>
      </c>
      <c r="D232" s="13" t="s">
        <v>16802</v>
      </c>
      <c r="E232" s="13" t="s">
        <v>16803</v>
      </c>
    </row>
    <row r="233" customFormat="false" ht="15" hidden="false" customHeight="true" outlineLevel="0" collapsed="false">
      <c r="A233" s="13" t="s">
        <v>171</v>
      </c>
      <c r="B233" s="11" t="s">
        <v>16337</v>
      </c>
      <c r="C233" s="11" t="s">
        <v>16347</v>
      </c>
      <c r="D233" s="13" t="s">
        <v>16804</v>
      </c>
      <c r="E233" s="13" t="s">
        <v>16805</v>
      </c>
    </row>
    <row r="234" customFormat="false" ht="15" hidden="false" customHeight="true" outlineLevel="0" collapsed="false">
      <c r="A234" s="13" t="s">
        <v>171</v>
      </c>
      <c r="B234" s="11" t="s">
        <v>16337</v>
      </c>
      <c r="C234" s="11" t="s">
        <v>16350</v>
      </c>
      <c r="D234" s="13" t="s">
        <v>16806</v>
      </c>
      <c r="E234" s="13" t="s">
        <v>16807</v>
      </c>
    </row>
    <row r="235" customFormat="false" ht="15" hidden="false" customHeight="true" outlineLevel="0" collapsed="false">
      <c r="A235" s="13" t="s">
        <v>171</v>
      </c>
      <c r="B235" s="11" t="s">
        <v>16337</v>
      </c>
      <c r="C235" s="13" t="s">
        <v>16354</v>
      </c>
      <c r="D235" s="13" t="s">
        <v>16808</v>
      </c>
      <c r="E235" s="13" t="s">
        <v>16809</v>
      </c>
    </row>
    <row r="236" customFormat="false" ht="15" hidden="false" customHeight="true" outlineLevel="0" collapsed="false">
      <c r="A236" s="13" t="s">
        <v>171</v>
      </c>
      <c r="B236" s="11" t="s">
        <v>16337</v>
      </c>
      <c r="C236" s="11" t="s">
        <v>16357</v>
      </c>
      <c r="D236" s="13" t="s">
        <v>16810</v>
      </c>
      <c r="E236" s="13" t="s">
        <v>16811</v>
      </c>
    </row>
    <row r="237" customFormat="false" ht="15" hidden="false" customHeight="true" outlineLevel="0" collapsed="false">
      <c r="A237" s="13" t="s">
        <v>171</v>
      </c>
      <c r="B237" s="11" t="s">
        <v>16337</v>
      </c>
      <c r="C237" s="11" t="s">
        <v>16360</v>
      </c>
      <c r="D237" s="13" t="s">
        <v>16812</v>
      </c>
      <c r="E237" s="13" t="s">
        <v>16813</v>
      </c>
    </row>
    <row r="238" customFormat="false" ht="15" hidden="false" customHeight="true" outlineLevel="0" collapsed="false">
      <c r="A238" s="13" t="s">
        <v>171</v>
      </c>
      <c r="B238" s="11" t="s">
        <v>16337</v>
      </c>
      <c r="C238" s="11" t="s">
        <v>16363</v>
      </c>
      <c r="D238" s="13" t="s">
        <v>16814</v>
      </c>
      <c r="E238" s="13" t="s">
        <v>16815</v>
      </c>
    </row>
    <row r="239" customFormat="false" ht="15" hidden="false" customHeight="true" outlineLevel="0" collapsed="false">
      <c r="A239" s="13" t="s">
        <v>171</v>
      </c>
      <c r="B239" s="11" t="s">
        <v>16337</v>
      </c>
      <c r="C239" s="11" t="s">
        <v>16366</v>
      </c>
      <c r="D239" s="13" t="s">
        <v>16816</v>
      </c>
      <c r="E239" s="13" t="s">
        <v>16817</v>
      </c>
    </row>
    <row r="240" customFormat="false" ht="15" hidden="false" customHeight="true" outlineLevel="0" collapsed="false">
      <c r="A240" s="13" t="s">
        <v>171</v>
      </c>
      <c r="B240" s="11" t="s">
        <v>16337</v>
      </c>
      <c r="C240" s="11" t="s">
        <v>16369</v>
      </c>
      <c r="D240" s="13" t="s">
        <v>16818</v>
      </c>
      <c r="E240" s="13" t="s">
        <v>16819</v>
      </c>
    </row>
    <row r="241" customFormat="false" ht="15" hidden="false" customHeight="true" outlineLevel="0" collapsed="false">
      <c r="A241" s="13" t="s">
        <v>171</v>
      </c>
      <c r="B241" s="11" t="s">
        <v>16337</v>
      </c>
      <c r="C241" s="11" t="s">
        <v>16372</v>
      </c>
      <c r="D241" s="13" t="s">
        <v>16820</v>
      </c>
      <c r="E241" s="13" t="s">
        <v>16821</v>
      </c>
    </row>
    <row r="242" customFormat="false" ht="15" hidden="false" customHeight="true" outlineLevel="0" collapsed="false">
      <c r="A242" s="13" t="s">
        <v>171</v>
      </c>
      <c r="B242" s="11" t="s">
        <v>16337</v>
      </c>
      <c r="C242" s="11" t="s">
        <v>16375</v>
      </c>
      <c r="D242" s="13" t="s">
        <v>16822</v>
      </c>
      <c r="E242" s="13" t="s">
        <v>16823</v>
      </c>
    </row>
    <row r="243" customFormat="false" ht="15" hidden="false" customHeight="true" outlineLevel="0" collapsed="false">
      <c r="A243" s="13" t="s">
        <v>171</v>
      </c>
      <c r="B243" s="11" t="s">
        <v>16337</v>
      </c>
      <c r="C243" s="11" t="s">
        <v>16378</v>
      </c>
      <c r="D243" s="13" t="s">
        <v>16824</v>
      </c>
      <c r="E243" s="13" t="s">
        <v>16825</v>
      </c>
    </row>
    <row r="244" customFormat="false" ht="15" hidden="false" customHeight="true" outlineLevel="0" collapsed="false">
      <c r="A244" s="13" t="s">
        <v>171</v>
      </c>
      <c r="B244" s="11" t="s">
        <v>16337</v>
      </c>
      <c r="C244" s="11" t="s">
        <v>16381</v>
      </c>
      <c r="D244" s="13" t="s">
        <v>16826</v>
      </c>
      <c r="E244" s="13" t="s">
        <v>16827</v>
      </c>
    </row>
    <row r="245" customFormat="false" ht="15" hidden="false" customHeight="true" outlineLevel="0" collapsed="false">
      <c r="A245" s="13" t="s">
        <v>171</v>
      </c>
      <c r="B245" s="11" t="s">
        <v>16337</v>
      </c>
      <c r="C245" s="13" t="s">
        <v>16384</v>
      </c>
      <c r="D245" s="13" t="s">
        <v>16828</v>
      </c>
      <c r="E245" s="13" t="s">
        <v>16829</v>
      </c>
    </row>
    <row r="246" customFormat="false" ht="15" hidden="false" customHeight="true" outlineLevel="0" collapsed="false">
      <c r="A246" s="13" t="s">
        <v>171</v>
      </c>
      <c r="B246" s="11" t="s">
        <v>16337</v>
      </c>
      <c r="C246" s="11" t="s">
        <v>16387</v>
      </c>
      <c r="D246" s="13" t="s">
        <v>16830</v>
      </c>
      <c r="E246" s="13" t="s">
        <v>16831</v>
      </c>
    </row>
    <row r="247" customFormat="false" ht="15" hidden="false" customHeight="true" outlineLevel="0" collapsed="false">
      <c r="A247" s="13" t="s">
        <v>171</v>
      </c>
      <c r="B247" s="11" t="s">
        <v>16337</v>
      </c>
      <c r="C247" s="11" t="s">
        <v>16390</v>
      </c>
      <c r="D247" s="13" t="s">
        <v>16832</v>
      </c>
      <c r="E247" s="13" t="s">
        <v>16833</v>
      </c>
    </row>
    <row r="248" customFormat="false" ht="15" hidden="false" customHeight="true" outlineLevel="0" collapsed="false">
      <c r="A248" s="13" t="s">
        <v>171</v>
      </c>
      <c r="B248" s="11" t="s">
        <v>16337</v>
      </c>
      <c r="C248" s="11" t="s">
        <v>16393</v>
      </c>
      <c r="D248" s="13" t="s">
        <v>16834</v>
      </c>
      <c r="E248" s="13" t="s">
        <v>16835</v>
      </c>
    </row>
    <row r="249" customFormat="false" ht="15" hidden="false" customHeight="true" outlineLevel="0" collapsed="false">
      <c r="A249" s="13" t="s">
        <v>171</v>
      </c>
      <c r="B249" s="11" t="s">
        <v>16337</v>
      </c>
      <c r="C249" s="11" t="s">
        <v>16396</v>
      </c>
      <c r="D249" s="13" t="s">
        <v>16836</v>
      </c>
      <c r="E249" s="13" t="s">
        <v>16837</v>
      </c>
    </row>
    <row r="250" customFormat="false" ht="15" hidden="false" customHeight="true" outlineLevel="0" collapsed="false">
      <c r="A250" s="13" t="s">
        <v>179</v>
      </c>
      <c r="B250" s="11" t="s">
        <v>16337</v>
      </c>
      <c r="C250" s="13" t="s">
        <v>16338</v>
      </c>
      <c r="D250" s="13" t="s">
        <v>16838</v>
      </c>
      <c r="E250" s="13" t="s">
        <v>16839</v>
      </c>
    </row>
    <row r="251" customFormat="false" ht="15" hidden="false" customHeight="true" outlineLevel="0" collapsed="false">
      <c r="A251" s="13" t="s">
        <v>179</v>
      </c>
      <c r="B251" s="11" t="s">
        <v>16337</v>
      </c>
      <c r="C251" s="11" t="s">
        <v>16341</v>
      </c>
      <c r="D251" s="13" t="s">
        <v>16840</v>
      </c>
      <c r="E251" s="13" t="s">
        <v>16841</v>
      </c>
    </row>
    <row r="252" customFormat="false" ht="15" hidden="false" customHeight="true" outlineLevel="0" collapsed="false">
      <c r="A252" s="13" t="s">
        <v>179</v>
      </c>
      <c r="B252" s="11" t="s">
        <v>16337</v>
      </c>
      <c r="C252" s="11" t="s">
        <v>16344</v>
      </c>
      <c r="D252" s="13" t="s">
        <v>16842</v>
      </c>
      <c r="E252" s="13" t="s">
        <v>16843</v>
      </c>
    </row>
    <row r="253" customFormat="false" ht="15" hidden="false" customHeight="true" outlineLevel="0" collapsed="false">
      <c r="A253" s="13" t="s">
        <v>179</v>
      </c>
      <c r="B253" s="11" t="s">
        <v>16337</v>
      </c>
      <c r="C253" s="11" t="s">
        <v>16347</v>
      </c>
      <c r="D253" s="13" t="s">
        <v>16844</v>
      </c>
      <c r="E253" s="13" t="s">
        <v>16845</v>
      </c>
    </row>
    <row r="254" customFormat="false" ht="15" hidden="false" customHeight="true" outlineLevel="0" collapsed="false">
      <c r="A254" s="13" t="s">
        <v>179</v>
      </c>
      <c r="B254" s="11" t="s">
        <v>16337</v>
      </c>
      <c r="C254" s="11" t="s">
        <v>16350</v>
      </c>
      <c r="D254" s="13" t="s">
        <v>16846</v>
      </c>
      <c r="E254" s="13" t="s">
        <v>16847</v>
      </c>
    </row>
    <row r="255" customFormat="false" ht="15" hidden="false" customHeight="true" outlineLevel="0" collapsed="false">
      <c r="A255" s="13" t="s">
        <v>179</v>
      </c>
      <c r="B255" s="11" t="s">
        <v>16337</v>
      </c>
      <c r="C255" s="13" t="s">
        <v>16354</v>
      </c>
      <c r="D255" s="13" t="s">
        <v>16848</v>
      </c>
      <c r="E255" s="13" t="s">
        <v>16849</v>
      </c>
    </row>
    <row r="256" customFormat="false" ht="15" hidden="false" customHeight="true" outlineLevel="0" collapsed="false">
      <c r="A256" s="13" t="s">
        <v>179</v>
      </c>
      <c r="B256" s="11" t="s">
        <v>16337</v>
      </c>
      <c r="C256" s="11" t="s">
        <v>16357</v>
      </c>
      <c r="D256" s="13" t="s">
        <v>16850</v>
      </c>
      <c r="E256" s="13" t="s">
        <v>16851</v>
      </c>
    </row>
    <row r="257" customFormat="false" ht="15" hidden="false" customHeight="true" outlineLevel="0" collapsed="false">
      <c r="A257" s="13" t="s">
        <v>179</v>
      </c>
      <c r="B257" s="11" t="s">
        <v>16337</v>
      </c>
      <c r="C257" s="11" t="s">
        <v>16360</v>
      </c>
      <c r="D257" s="13" t="s">
        <v>16852</v>
      </c>
      <c r="E257" s="13" t="s">
        <v>16853</v>
      </c>
    </row>
    <row r="258" customFormat="false" ht="15" hidden="false" customHeight="true" outlineLevel="0" collapsed="false">
      <c r="A258" s="13" t="s">
        <v>179</v>
      </c>
      <c r="B258" s="11" t="s">
        <v>16337</v>
      </c>
      <c r="C258" s="11" t="s">
        <v>16363</v>
      </c>
      <c r="D258" s="13" t="s">
        <v>16854</v>
      </c>
      <c r="E258" s="13" t="s">
        <v>16855</v>
      </c>
    </row>
    <row r="259" customFormat="false" ht="15" hidden="false" customHeight="true" outlineLevel="0" collapsed="false">
      <c r="A259" s="13" t="s">
        <v>179</v>
      </c>
      <c r="B259" s="11" t="s">
        <v>16337</v>
      </c>
      <c r="C259" s="11" t="s">
        <v>16366</v>
      </c>
      <c r="D259" s="13" t="s">
        <v>16856</v>
      </c>
      <c r="E259" s="13" t="s">
        <v>16857</v>
      </c>
    </row>
    <row r="260" customFormat="false" ht="15" hidden="false" customHeight="true" outlineLevel="0" collapsed="false">
      <c r="A260" s="13" t="s">
        <v>179</v>
      </c>
      <c r="B260" s="11" t="s">
        <v>16337</v>
      </c>
      <c r="C260" s="11" t="s">
        <v>16369</v>
      </c>
      <c r="D260" s="13" t="s">
        <v>16858</v>
      </c>
      <c r="E260" s="13" t="s">
        <v>16859</v>
      </c>
    </row>
    <row r="261" customFormat="false" ht="15" hidden="false" customHeight="true" outlineLevel="0" collapsed="false">
      <c r="A261" s="13" t="s">
        <v>179</v>
      </c>
      <c r="B261" s="11" t="s">
        <v>16337</v>
      </c>
      <c r="C261" s="11" t="s">
        <v>16372</v>
      </c>
      <c r="D261" s="13" t="s">
        <v>16860</v>
      </c>
      <c r="E261" s="13" t="s">
        <v>16861</v>
      </c>
    </row>
    <row r="262" customFormat="false" ht="15" hidden="false" customHeight="true" outlineLevel="0" collapsed="false">
      <c r="A262" s="13" t="s">
        <v>179</v>
      </c>
      <c r="B262" s="11" t="s">
        <v>16337</v>
      </c>
      <c r="C262" s="11" t="s">
        <v>16375</v>
      </c>
      <c r="D262" s="13" t="s">
        <v>16862</v>
      </c>
      <c r="E262" s="13" t="s">
        <v>16863</v>
      </c>
    </row>
    <row r="263" customFormat="false" ht="15" hidden="false" customHeight="true" outlineLevel="0" collapsed="false">
      <c r="A263" s="13" t="s">
        <v>179</v>
      </c>
      <c r="B263" s="11" t="s">
        <v>16337</v>
      </c>
      <c r="C263" s="11" t="s">
        <v>16378</v>
      </c>
      <c r="D263" s="13" t="s">
        <v>16864</v>
      </c>
      <c r="E263" s="13" t="s">
        <v>16865</v>
      </c>
    </row>
    <row r="264" customFormat="false" ht="15" hidden="false" customHeight="true" outlineLevel="0" collapsed="false">
      <c r="A264" s="13" t="s">
        <v>179</v>
      </c>
      <c r="B264" s="11" t="s">
        <v>16337</v>
      </c>
      <c r="C264" s="11" t="s">
        <v>16381</v>
      </c>
      <c r="D264" s="13" t="s">
        <v>16866</v>
      </c>
      <c r="E264" s="13" t="s">
        <v>16867</v>
      </c>
    </row>
    <row r="265" customFormat="false" ht="15" hidden="false" customHeight="true" outlineLevel="0" collapsed="false">
      <c r="A265" s="13" t="s">
        <v>179</v>
      </c>
      <c r="B265" s="11" t="s">
        <v>16337</v>
      </c>
      <c r="C265" s="13" t="s">
        <v>16384</v>
      </c>
      <c r="D265" s="13" t="s">
        <v>16868</v>
      </c>
      <c r="E265" s="13" t="s">
        <v>16869</v>
      </c>
    </row>
    <row r="266" customFormat="false" ht="15" hidden="false" customHeight="true" outlineLevel="0" collapsed="false">
      <c r="A266" s="13" t="s">
        <v>179</v>
      </c>
      <c r="B266" s="11" t="s">
        <v>16337</v>
      </c>
      <c r="C266" s="11" t="s">
        <v>16387</v>
      </c>
      <c r="D266" s="13" t="s">
        <v>16870</v>
      </c>
      <c r="E266" s="13" t="s">
        <v>16871</v>
      </c>
    </row>
    <row r="267" customFormat="false" ht="15" hidden="false" customHeight="true" outlineLevel="0" collapsed="false">
      <c r="A267" s="13" t="s">
        <v>179</v>
      </c>
      <c r="B267" s="11" t="s">
        <v>16337</v>
      </c>
      <c r="C267" s="11" t="s">
        <v>16390</v>
      </c>
      <c r="D267" s="13" t="s">
        <v>16872</v>
      </c>
      <c r="E267" s="13" t="s">
        <v>16873</v>
      </c>
    </row>
    <row r="268" customFormat="false" ht="15" hidden="false" customHeight="true" outlineLevel="0" collapsed="false">
      <c r="A268" s="13" t="s">
        <v>179</v>
      </c>
      <c r="B268" s="11" t="s">
        <v>16337</v>
      </c>
      <c r="C268" s="11" t="s">
        <v>16393</v>
      </c>
      <c r="D268" s="13" t="s">
        <v>16874</v>
      </c>
      <c r="E268" s="13" t="s">
        <v>16875</v>
      </c>
    </row>
    <row r="269" customFormat="false" ht="15" hidden="false" customHeight="true" outlineLevel="0" collapsed="false">
      <c r="A269" s="13" t="s">
        <v>179</v>
      </c>
      <c r="B269" s="11" t="s">
        <v>16337</v>
      </c>
      <c r="C269" s="11" t="s">
        <v>16396</v>
      </c>
      <c r="D269" s="13" t="s">
        <v>16876</v>
      </c>
      <c r="E269" s="13" t="s">
        <v>16877</v>
      </c>
    </row>
    <row r="270" customFormat="false" ht="15" hidden="false" customHeight="true" outlineLevel="0" collapsed="false">
      <c r="A270" s="13" t="s">
        <v>187</v>
      </c>
      <c r="B270" s="11" t="s">
        <v>16337</v>
      </c>
      <c r="C270" s="13" t="s">
        <v>16338</v>
      </c>
      <c r="D270" s="13" t="s">
        <v>16878</v>
      </c>
      <c r="E270" s="13" t="s">
        <v>16879</v>
      </c>
    </row>
    <row r="271" customFormat="false" ht="15" hidden="false" customHeight="true" outlineLevel="0" collapsed="false">
      <c r="A271" s="13" t="s">
        <v>187</v>
      </c>
      <c r="B271" s="11" t="s">
        <v>16337</v>
      </c>
      <c r="C271" s="11" t="s">
        <v>16341</v>
      </c>
      <c r="D271" s="13" t="s">
        <v>16880</v>
      </c>
      <c r="E271" s="13" t="s">
        <v>16881</v>
      </c>
    </row>
    <row r="272" customFormat="false" ht="15" hidden="false" customHeight="true" outlineLevel="0" collapsed="false">
      <c r="A272" s="13" t="s">
        <v>187</v>
      </c>
      <c r="B272" s="11" t="s">
        <v>16337</v>
      </c>
      <c r="C272" s="11" t="s">
        <v>16344</v>
      </c>
      <c r="D272" s="13" t="s">
        <v>16882</v>
      </c>
      <c r="E272" s="13" t="s">
        <v>16883</v>
      </c>
    </row>
    <row r="273" customFormat="false" ht="15" hidden="false" customHeight="true" outlineLevel="0" collapsed="false">
      <c r="A273" s="13" t="s">
        <v>187</v>
      </c>
      <c r="B273" s="11" t="s">
        <v>16337</v>
      </c>
      <c r="C273" s="11" t="s">
        <v>16347</v>
      </c>
      <c r="D273" s="13" t="s">
        <v>16884</v>
      </c>
      <c r="E273" s="13" t="s">
        <v>16885</v>
      </c>
    </row>
    <row r="274" customFormat="false" ht="15" hidden="false" customHeight="true" outlineLevel="0" collapsed="false">
      <c r="A274" s="13" t="s">
        <v>187</v>
      </c>
      <c r="B274" s="11" t="s">
        <v>16337</v>
      </c>
      <c r="C274" s="11" t="s">
        <v>16350</v>
      </c>
      <c r="D274" s="13" t="s">
        <v>16886</v>
      </c>
      <c r="E274" s="13" t="s">
        <v>16887</v>
      </c>
    </row>
    <row r="275" customFormat="false" ht="15" hidden="false" customHeight="true" outlineLevel="0" collapsed="false">
      <c r="A275" s="13" t="s">
        <v>187</v>
      </c>
      <c r="B275" s="11" t="s">
        <v>16337</v>
      </c>
      <c r="C275" s="13" t="s">
        <v>16354</v>
      </c>
      <c r="D275" s="13" t="s">
        <v>16888</v>
      </c>
      <c r="E275" s="13" t="s">
        <v>16889</v>
      </c>
    </row>
    <row r="276" customFormat="false" ht="15" hidden="false" customHeight="true" outlineLevel="0" collapsed="false">
      <c r="A276" s="13" t="s">
        <v>187</v>
      </c>
      <c r="B276" s="11" t="s">
        <v>16337</v>
      </c>
      <c r="C276" s="11" t="s">
        <v>16357</v>
      </c>
      <c r="D276" s="13" t="s">
        <v>16890</v>
      </c>
      <c r="E276" s="13" t="s">
        <v>16891</v>
      </c>
    </row>
    <row r="277" customFormat="false" ht="15" hidden="false" customHeight="true" outlineLevel="0" collapsed="false">
      <c r="A277" s="13" t="s">
        <v>187</v>
      </c>
      <c r="B277" s="11" t="s">
        <v>16337</v>
      </c>
      <c r="C277" s="11" t="s">
        <v>16360</v>
      </c>
      <c r="D277" s="13" t="s">
        <v>16892</v>
      </c>
      <c r="E277" s="13" t="s">
        <v>16893</v>
      </c>
    </row>
    <row r="278" customFormat="false" ht="15" hidden="false" customHeight="true" outlineLevel="0" collapsed="false">
      <c r="A278" s="13" t="s">
        <v>187</v>
      </c>
      <c r="B278" s="11" t="s">
        <v>16337</v>
      </c>
      <c r="C278" s="11" t="s">
        <v>16363</v>
      </c>
      <c r="D278" s="13" t="s">
        <v>16894</v>
      </c>
      <c r="E278" s="13" t="s">
        <v>16895</v>
      </c>
    </row>
    <row r="279" customFormat="false" ht="15" hidden="false" customHeight="true" outlineLevel="0" collapsed="false">
      <c r="A279" s="13" t="s">
        <v>187</v>
      </c>
      <c r="B279" s="11" t="s">
        <v>16337</v>
      </c>
      <c r="C279" s="11" t="s">
        <v>16366</v>
      </c>
      <c r="D279" s="13" t="s">
        <v>16896</v>
      </c>
      <c r="E279" s="13" t="s">
        <v>16897</v>
      </c>
    </row>
    <row r="280" customFormat="false" ht="15" hidden="false" customHeight="true" outlineLevel="0" collapsed="false">
      <c r="A280" s="13" t="s">
        <v>187</v>
      </c>
      <c r="B280" s="11" t="s">
        <v>16337</v>
      </c>
      <c r="C280" s="11" t="s">
        <v>16369</v>
      </c>
      <c r="D280" s="13" t="s">
        <v>16898</v>
      </c>
      <c r="E280" s="13" t="s">
        <v>16899</v>
      </c>
    </row>
    <row r="281" customFormat="false" ht="15" hidden="false" customHeight="true" outlineLevel="0" collapsed="false">
      <c r="A281" s="13" t="s">
        <v>187</v>
      </c>
      <c r="B281" s="11" t="s">
        <v>16337</v>
      </c>
      <c r="C281" s="11" t="s">
        <v>16372</v>
      </c>
      <c r="D281" s="13" t="s">
        <v>16900</v>
      </c>
      <c r="E281" s="13" t="s">
        <v>16901</v>
      </c>
    </row>
    <row r="282" customFormat="false" ht="15" hidden="false" customHeight="true" outlineLevel="0" collapsed="false">
      <c r="A282" s="13" t="s">
        <v>187</v>
      </c>
      <c r="B282" s="11" t="s">
        <v>16337</v>
      </c>
      <c r="C282" s="11" t="s">
        <v>16375</v>
      </c>
      <c r="D282" s="13" t="s">
        <v>16902</v>
      </c>
      <c r="E282" s="13" t="s">
        <v>16903</v>
      </c>
    </row>
    <row r="283" customFormat="false" ht="15" hidden="false" customHeight="true" outlineLevel="0" collapsed="false">
      <c r="A283" s="13" t="s">
        <v>187</v>
      </c>
      <c r="B283" s="11" t="s">
        <v>16337</v>
      </c>
      <c r="C283" s="11" t="s">
        <v>16378</v>
      </c>
      <c r="D283" s="13" t="s">
        <v>16904</v>
      </c>
      <c r="E283" s="13" t="s">
        <v>16905</v>
      </c>
    </row>
    <row r="284" customFormat="false" ht="15" hidden="false" customHeight="true" outlineLevel="0" collapsed="false">
      <c r="A284" s="13" t="s">
        <v>187</v>
      </c>
      <c r="B284" s="11" t="s">
        <v>16337</v>
      </c>
      <c r="C284" s="11" t="s">
        <v>16381</v>
      </c>
      <c r="D284" s="13" t="s">
        <v>16906</v>
      </c>
      <c r="E284" s="13" t="s">
        <v>16907</v>
      </c>
    </row>
    <row r="285" customFormat="false" ht="15" hidden="false" customHeight="true" outlineLevel="0" collapsed="false">
      <c r="A285" s="13" t="s">
        <v>187</v>
      </c>
      <c r="B285" s="11" t="s">
        <v>16337</v>
      </c>
      <c r="C285" s="13" t="s">
        <v>16384</v>
      </c>
      <c r="D285" s="13" t="s">
        <v>16908</v>
      </c>
      <c r="E285" s="13" t="s">
        <v>16909</v>
      </c>
    </row>
    <row r="286" customFormat="false" ht="15" hidden="false" customHeight="true" outlineLevel="0" collapsed="false">
      <c r="A286" s="13" t="s">
        <v>187</v>
      </c>
      <c r="B286" s="11" t="s">
        <v>16337</v>
      </c>
      <c r="C286" s="11" t="s">
        <v>16387</v>
      </c>
      <c r="D286" s="13" t="s">
        <v>16910</v>
      </c>
      <c r="E286" s="13" t="s">
        <v>16911</v>
      </c>
    </row>
    <row r="287" customFormat="false" ht="15" hidden="false" customHeight="true" outlineLevel="0" collapsed="false">
      <c r="A287" s="13" t="s">
        <v>187</v>
      </c>
      <c r="B287" s="11" t="s">
        <v>16337</v>
      </c>
      <c r="C287" s="11" t="s">
        <v>16390</v>
      </c>
      <c r="D287" s="13" t="s">
        <v>16912</v>
      </c>
      <c r="E287" s="13" t="s">
        <v>16913</v>
      </c>
    </row>
    <row r="288" customFormat="false" ht="15" hidden="false" customHeight="true" outlineLevel="0" collapsed="false">
      <c r="A288" s="13" t="s">
        <v>187</v>
      </c>
      <c r="B288" s="11" t="s">
        <v>16337</v>
      </c>
      <c r="C288" s="11" t="s">
        <v>16393</v>
      </c>
      <c r="D288" s="13" t="s">
        <v>16914</v>
      </c>
      <c r="E288" s="13" t="s">
        <v>16915</v>
      </c>
    </row>
    <row r="289" customFormat="false" ht="15" hidden="false" customHeight="true" outlineLevel="0" collapsed="false">
      <c r="A289" s="13" t="s">
        <v>187</v>
      </c>
      <c r="B289" s="11" t="s">
        <v>16337</v>
      </c>
      <c r="C289" s="11" t="s">
        <v>16396</v>
      </c>
      <c r="D289" s="13" t="s">
        <v>16916</v>
      </c>
      <c r="E289" s="13" t="s">
        <v>16917</v>
      </c>
    </row>
    <row r="290" customFormat="false" ht="15" hidden="false" customHeight="true" outlineLevel="0" collapsed="false">
      <c r="A290" s="13" t="s">
        <v>195</v>
      </c>
      <c r="B290" s="11" t="s">
        <v>16337</v>
      </c>
      <c r="C290" s="13" t="s">
        <v>16338</v>
      </c>
      <c r="D290" s="13" t="s">
        <v>16918</v>
      </c>
      <c r="E290" s="13" t="s">
        <v>16919</v>
      </c>
    </row>
    <row r="291" customFormat="false" ht="15" hidden="false" customHeight="true" outlineLevel="0" collapsed="false">
      <c r="A291" s="13" t="s">
        <v>195</v>
      </c>
      <c r="B291" s="11" t="s">
        <v>16337</v>
      </c>
      <c r="C291" s="11" t="s">
        <v>16341</v>
      </c>
      <c r="D291" s="13" t="s">
        <v>16920</v>
      </c>
      <c r="E291" s="13" t="s">
        <v>16921</v>
      </c>
    </row>
    <row r="292" customFormat="false" ht="15" hidden="false" customHeight="true" outlineLevel="0" collapsed="false">
      <c r="A292" s="13" t="s">
        <v>195</v>
      </c>
      <c r="B292" s="11" t="s">
        <v>16337</v>
      </c>
      <c r="C292" s="11" t="s">
        <v>16344</v>
      </c>
      <c r="D292" s="13" t="s">
        <v>16922</v>
      </c>
      <c r="E292" s="13" t="s">
        <v>16923</v>
      </c>
    </row>
    <row r="293" customFormat="false" ht="15" hidden="false" customHeight="true" outlineLevel="0" collapsed="false">
      <c r="A293" s="13" t="s">
        <v>195</v>
      </c>
      <c r="B293" s="11" t="s">
        <v>16337</v>
      </c>
      <c r="C293" s="11" t="s">
        <v>16347</v>
      </c>
      <c r="D293" s="13" t="s">
        <v>16924</v>
      </c>
      <c r="E293" s="13" t="s">
        <v>16925</v>
      </c>
    </row>
    <row r="294" customFormat="false" ht="15" hidden="false" customHeight="true" outlineLevel="0" collapsed="false">
      <c r="A294" s="13" t="s">
        <v>195</v>
      </c>
      <c r="B294" s="11" t="s">
        <v>16337</v>
      </c>
      <c r="C294" s="11" t="s">
        <v>16350</v>
      </c>
      <c r="D294" s="13" t="s">
        <v>16926</v>
      </c>
      <c r="E294" s="13" t="s">
        <v>16927</v>
      </c>
    </row>
    <row r="295" customFormat="false" ht="15" hidden="false" customHeight="true" outlineLevel="0" collapsed="false">
      <c r="A295" s="13" t="s">
        <v>195</v>
      </c>
      <c r="B295" s="11" t="s">
        <v>16337</v>
      </c>
      <c r="C295" s="11" t="s">
        <v>16353</v>
      </c>
      <c r="D295" s="13" t="s">
        <v>1018</v>
      </c>
      <c r="E295" s="13" t="s">
        <v>1019</v>
      </c>
    </row>
    <row r="296" customFormat="false" ht="15" hidden="false" customHeight="true" outlineLevel="0" collapsed="false">
      <c r="A296" s="13" t="s">
        <v>195</v>
      </c>
      <c r="B296" s="11" t="s">
        <v>16337</v>
      </c>
      <c r="C296" s="13" t="s">
        <v>16354</v>
      </c>
      <c r="D296" s="13" t="s">
        <v>16928</v>
      </c>
      <c r="E296" s="13" t="s">
        <v>16929</v>
      </c>
    </row>
    <row r="297" customFormat="false" ht="15" hidden="false" customHeight="true" outlineLevel="0" collapsed="false">
      <c r="A297" s="13" t="s">
        <v>195</v>
      </c>
      <c r="B297" s="11" t="s">
        <v>16337</v>
      </c>
      <c r="C297" s="11" t="s">
        <v>16357</v>
      </c>
      <c r="D297" s="13" t="s">
        <v>16930</v>
      </c>
      <c r="E297" s="13" t="s">
        <v>16931</v>
      </c>
    </row>
    <row r="298" customFormat="false" ht="15" hidden="false" customHeight="true" outlineLevel="0" collapsed="false">
      <c r="A298" s="13" t="s">
        <v>195</v>
      </c>
      <c r="B298" s="11" t="s">
        <v>16337</v>
      </c>
      <c r="C298" s="11" t="s">
        <v>16360</v>
      </c>
      <c r="D298" s="13" t="s">
        <v>16932</v>
      </c>
      <c r="E298" s="13" t="s">
        <v>16933</v>
      </c>
    </row>
    <row r="299" customFormat="false" ht="15" hidden="false" customHeight="true" outlineLevel="0" collapsed="false">
      <c r="A299" s="13" t="s">
        <v>195</v>
      </c>
      <c r="B299" s="11" t="s">
        <v>16337</v>
      </c>
      <c r="C299" s="11" t="s">
        <v>16363</v>
      </c>
      <c r="D299" s="13" t="s">
        <v>16934</v>
      </c>
      <c r="E299" s="13" t="s">
        <v>16935</v>
      </c>
    </row>
    <row r="300" customFormat="false" ht="15" hidden="false" customHeight="true" outlineLevel="0" collapsed="false">
      <c r="A300" s="13" t="s">
        <v>195</v>
      </c>
      <c r="B300" s="11" t="s">
        <v>16337</v>
      </c>
      <c r="C300" s="11" t="s">
        <v>16366</v>
      </c>
      <c r="D300" s="13" t="s">
        <v>16936</v>
      </c>
      <c r="E300" s="13" t="s">
        <v>16937</v>
      </c>
    </row>
    <row r="301" customFormat="false" ht="15" hidden="false" customHeight="true" outlineLevel="0" collapsed="false">
      <c r="A301" s="13" t="s">
        <v>195</v>
      </c>
      <c r="B301" s="11" t="s">
        <v>16337</v>
      </c>
      <c r="C301" s="11" t="s">
        <v>16369</v>
      </c>
      <c r="D301" s="13" t="s">
        <v>16938</v>
      </c>
      <c r="E301" s="13" t="s">
        <v>16939</v>
      </c>
    </row>
    <row r="302" customFormat="false" ht="15" hidden="false" customHeight="true" outlineLevel="0" collapsed="false">
      <c r="A302" s="13" t="s">
        <v>195</v>
      </c>
      <c r="B302" s="11" t="s">
        <v>16337</v>
      </c>
      <c r="C302" s="11" t="s">
        <v>16372</v>
      </c>
      <c r="D302" s="13" t="s">
        <v>16940</v>
      </c>
      <c r="E302" s="13" t="s">
        <v>16941</v>
      </c>
    </row>
    <row r="303" customFormat="false" ht="15" hidden="false" customHeight="true" outlineLevel="0" collapsed="false">
      <c r="A303" s="13" t="s">
        <v>195</v>
      </c>
      <c r="B303" s="11" t="s">
        <v>16337</v>
      </c>
      <c r="C303" s="11" t="s">
        <v>16375</v>
      </c>
      <c r="D303" s="13" t="s">
        <v>16942</v>
      </c>
      <c r="E303" s="13" t="s">
        <v>16943</v>
      </c>
    </row>
    <row r="304" customFormat="false" ht="15" hidden="false" customHeight="true" outlineLevel="0" collapsed="false">
      <c r="A304" s="13" t="s">
        <v>195</v>
      </c>
      <c r="B304" s="11" t="s">
        <v>16337</v>
      </c>
      <c r="C304" s="11" t="s">
        <v>16378</v>
      </c>
      <c r="D304" s="13" t="s">
        <v>16944</v>
      </c>
      <c r="E304" s="13" t="s">
        <v>16945</v>
      </c>
    </row>
    <row r="305" customFormat="false" ht="15" hidden="false" customHeight="true" outlineLevel="0" collapsed="false">
      <c r="A305" s="13" t="s">
        <v>195</v>
      </c>
      <c r="B305" s="11" t="s">
        <v>16337</v>
      </c>
      <c r="C305" s="11" t="s">
        <v>16381</v>
      </c>
      <c r="D305" s="13" t="s">
        <v>16946</v>
      </c>
      <c r="E305" s="13" t="s">
        <v>16947</v>
      </c>
    </row>
    <row r="306" customFormat="false" ht="15" hidden="false" customHeight="true" outlineLevel="0" collapsed="false">
      <c r="A306" s="13" t="s">
        <v>195</v>
      </c>
      <c r="B306" s="11" t="s">
        <v>16337</v>
      </c>
      <c r="C306" s="13" t="s">
        <v>16384</v>
      </c>
      <c r="D306" s="13" t="s">
        <v>16948</v>
      </c>
      <c r="E306" s="13" t="s">
        <v>16949</v>
      </c>
    </row>
    <row r="307" customFormat="false" ht="15" hidden="false" customHeight="true" outlineLevel="0" collapsed="false">
      <c r="A307" s="13" t="s">
        <v>195</v>
      </c>
      <c r="B307" s="11" t="s">
        <v>16337</v>
      </c>
      <c r="C307" s="11" t="s">
        <v>16387</v>
      </c>
      <c r="D307" s="13" t="s">
        <v>16950</v>
      </c>
      <c r="E307" s="13" t="s">
        <v>16951</v>
      </c>
    </row>
    <row r="308" customFormat="false" ht="15" hidden="false" customHeight="true" outlineLevel="0" collapsed="false">
      <c r="A308" s="13" t="s">
        <v>195</v>
      </c>
      <c r="B308" s="11" t="s">
        <v>16337</v>
      </c>
      <c r="C308" s="11" t="s">
        <v>16390</v>
      </c>
      <c r="D308" s="13" t="s">
        <v>16952</v>
      </c>
      <c r="E308" s="13" t="s">
        <v>16953</v>
      </c>
    </row>
    <row r="309" customFormat="false" ht="15" hidden="false" customHeight="true" outlineLevel="0" collapsed="false">
      <c r="A309" s="13" t="s">
        <v>195</v>
      </c>
      <c r="B309" s="11" t="s">
        <v>16337</v>
      </c>
      <c r="C309" s="11" t="s">
        <v>16393</v>
      </c>
      <c r="D309" s="13" t="s">
        <v>16954</v>
      </c>
      <c r="E309" s="13" t="s">
        <v>16955</v>
      </c>
    </row>
    <row r="310" customFormat="false" ht="15" hidden="false" customHeight="true" outlineLevel="0" collapsed="false">
      <c r="A310" s="13" t="s">
        <v>195</v>
      </c>
      <c r="B310" s="11" t="s">
        <v>16337</v>
      </c>
      <c r="C310" s="11" t="s">
        <v>16396</v>
      </c>
      <c r="D310" s="13" t="s">
        <v>16956</v>
      </c>
      <c r="E310" s="13" t="s">
        <v>16957</v>
      </c>
    </row>
    <row r="311" customFormat="false" ht="15" hidden="false" customHeight="true" outlineLevel="0" collapsed="false">
      <c r="A311" s="13" t="s">
        <v>203</v>
      </c>
      <c r="B311" s="11" t="s">
        <v>16337</v>
      </c>
      <c r="C311" s="13" t="s">
        <v>16338</v>
      </c>
      <c r="D311" s="13" t="s">
        <v>16958</v>
      </c>
      <c r="E311" s="13" t="s">
        <v>16959</v>
      </c>
    </row>
    <row r="312" customFormat="false" ht="15" hidden="false" customHeight="true" outlineLevel="0" collapsed="false">
      <c r="A312" s="13" t="s">
        <v>203</v>
      </c>
      <c r="B312" s="11" t="s">
        <v>16337</v>
      </c>
      <c r="C312" s="11" t="s">
        <v>16341</v>
      </c>
      <c r="D312" s="13" t="s">
        <v>16960</v>
      </c>
      <c r="E312" s="13" t="s">
        <v>16961</v>
      </c>
    </row>
    <row r="313" customFormat="false" ht="15" hidden="false" customHeight="true" outlineLevel="0" collapsed="false">
      <c r="A313" s="13" t="s">
        <v>203</v>
      </c>
      <c r="B313" s="11" t="s">
        <v>16337</v>
      </c>
      <c r="C313" s="11" t="s">
        <v>16344</v>
      </c>
      <c r="D313" s="13" t="s">
        <v>16962</v>
      </c>
      <c r="E313" s="13" t="s">
        <v>16963</v>
      </c>
    </row>
    <row r="314" customFormat="false" ht="15" hidden="false" customHeight="true" outlineLevel="0" collapsed="false">
      <c r="A314" s="13" t="s">
        <v>203</v>
      </c>
      <c r="B314" s="11" t="s">
        <v>16337</v>
      </c>
      <c r="C314" s="11" t="s">
        <v>16347</v>
      </c>
      <c r="D314" s="13" t="s">
        <v>16964</v>
      </c>
      <c r="E314" s="13" t="s">
        <v>16965</v>
      </c>
    </row>
    <row r="315" customFormat="false" ht="15" hidden="false" customHeight="true" outlineLevel="0" collapsed="false">
      <c r="A315" s="13" t="s">
        <v>203</v>
      </c>
      <c r="B315" s="11" t="s">
        <v>16337</v>
      </c>
      <c r="C315" s="11" t="s">
        <v>16350</v>
      </c>
      <c r="D315" s="13" t="s">
        <v>16966</v>
      </c>
      <c r="E315" s="13" t="s">
        <v>16967</v>
      </c>
    </row>
    <row r="316" customFormat="false" ht="15" hidden="false" customHeight="true" outlineLevel="0" collapsed="false">
      <c r="A316" s="13" t="s">
        <v>203</v>
      </c>
      <c r="B316" s="11" t="s">
        <v>16337</v>
      </c>
      <c r="C316" s="13" t="s">
        <v>16354</v>
      </c>
      <c r="D316" s="13" t="s">
        <v>16968</v>
      </c>
      <c r="E316" s="13" t="s">
        <v>16969</v>
      </c>
    </row>
    <row r="317" customFormat="false" ht="15" hidden="false" customHeight="true" outlineLevel="0" collapsed="false">
      <c r="A317" s="13" t="s">
        <v>203</v>
      </c>
      <c r="B317" s="11" t="s">
        <v>16337</v>
      </c>
      <c r="C317" s="11" t="s">
        <v>16357</v>
      </c>
      <c r="D317" s="13" t="s">
        <v>16970</v>
      </c>
      <c r="E317" s="13" t="s">
        <v>16971</v>
      </c>
    </row>
    <row r="318" customFormat="false" ht="15" hidden="false" customHeight="true" outlineLevel="0" collapsed="false">
      <c r="A318" s="13" t="s">
        <v>203</v>
      </c>
      <c r="B318" s="11" t="s">
        <v>16337</v>
      </c>
      <c r="C318" s="11" t="s">
        <v>16360</v>
      </c>
      <c r="D318" s="13" t="s">
        <v>16972</v>
      </c>
      <c r="E318" s="13" t="s">
        <v>16973</v>
      </c>
    </row>
    <row r="319" customFormat="false" ht="15" hidden="false" customHeight="true" outlineLevel="0" collapsed="false">
      <c r="A319" s="13" t="s">
        <v>203</v>
      </c>
      <c r="B319" s="11" t="s">
        <v>16337</v>
      </c>
      <c r="C319" s="11" t="s">
        <v>16363</v>
      </c>
      <c r="D319" s="13" t="s">
        <v>16974</v>
      </c>
      <c r="E319" s="13" t="s">
        <v>16975</v>
      </c>
    </row>
    <row r="320" customFormat="false" ht="15" hidden="false" customHeight="true" outlineLevel="0" collapsed="false">
      <c r="A320" s="13" t="s">
        <v>203</v>
      </c>
      <c r="B320" s="11" t="s">
        <v>16337</v>
      </c>
      <c r="C320" s="11" t="s">
        <v>16366</v>
      </c>
      <c r="D320" s="13" t="s">
        <v>16976</v>
      </c>
      <c r="E320" s="13" t="s">
        <v>16977</v>
      </c>
    </row>
    <row r="321" customFormat="false" ht="15" hidden="false" customHeight="true" outlineLevel="0" collapsed="false">
      <c r="A321" s="13" t="s">
        <v>203</v>
      </c>
      <c r="B321" s="11" t="s">
        <v>16337</v>
      </c>
      <c r="C321" s="11" t="s">
        <v>16369</v>
      </c>
      <c r="D321" s="13" t="s">
        <v>16978</v>
      </c>
      <c r="E321" s="13" t="s">
        <v>16979</v>
      </c>
    </row>
    <row r="322" customFormat="false" ht="15" hidden="false" customHeight="true" outlineLevel="0" collapsed="false">
      <c r="A322" s="13" t="s">
        <v>203</v>
      </c>
      <c r="B322" s="11" t="s">
        <v>16337</v>
      </c>
      <c r="C322" s="11" t="s">
        <v>16372</v>
      </c>
      <c r="D322" s="13" t="s">
        <v>16980</v>
      </c>
      <c r="E322" s="13" t="s">
        <v>16981</v>
      </c>
    </row>
    <row r="323" customFormat="false" ht="15" hidden="false" customHeight="true" outlineLevel="0" collapsed="false">
      <c r="A323" s="13" t="s">
        <v>203</v>
      </c>
      <c r="B323" s="11" t="s">
        <v>16337</v>
      </c>
      <c r="C323" s="11" t="s">
        <v>16375</v>
      </c>
      <c r="D323" s="13" t="s">
        <v>16982</v>
      </c>
      <c r="E323" s="13" t="s">
        <v>16983</v>
      </c>
    </row>
    <row r="324" customFormat="false" ht="15" hidden="false" customHeight="true" outlineLevel="0" collapsed="false">
      <c r="A324" s="13" t="s">
        <v>203</v>
      </c>
      <c r="B324" s="11" t="s">
        <v>16337</v>
      </c>
      <c r="C324" s="11" t="s">
        <v>16378</v>
      </c>
      <c r="D324" s="13" t="s">
        <v>16984</v>
      </c>
      <c r="E324" s="13" t="s">
        <v>16985</v>
      </c>
    </row>
    <row r="325" customFormat="false" ht="15" hidden="false" customHeight="true" outlineLevel="0" collapsed="false">
      <c r="A325" s="13" t="s">
        <v>203</v>
      </c>
      <c r="B325" s="11" t="s">
        <v>16337</v>
      </c>
      <c r="C325" s="11" t="s">
        <v>16381</v>
      </c>
      <c r="D325" s="13" t="s">
        <v>16986</v>
      </c>
      <c r="E325" s="13" t="s">
        <v>16987</v>
      </c>
    </row>
    <row r="326" customFormat="false" ht="15" hidden="false" customHeight="true" outlineLevel="0" collapsed="false">
      <c r="A326" s="13" t="s">
        <v>203</v>
      </c>
      <c r="B326" s="11" t="s">
        <v>16337</v>
      </c>
      <c r="C326" s="13" t="s">
        <v>16384</v>
      </c>
      <c r="D326" s="13" t="s">
        <v>16988</v>
      </c>
      <c r="E326" s="13" t="s">
        <v>16989</v>
      </c>
    </row>
    <row r="327" customFormat="false" ht="15" hidden="false" customHeight="true" outlineLevel="0" collapsed="false">
      <c r="A327" s="13" t="s">
        <v>203</v>
      </c>
      <c r="B327" s="11" t="s">
        <v>16337</v>
      </c>
      <c r="C327" s="11" t="s">
        <v>16387</v>
      </c>
      <c r="D327" s="13" t="s">
        <v>16990</v>
      </c>
      <c r="E327" s="13" t="s">
        <v>16991</v>
      </c>
    </row>
    <row r="328" customFormat="false" ht="15" hidden="false" customHeight="true" outlineLevel="0" collapsed="false">
      <c r="A328" s="13" t="s">
        <v>203</v>
      </c>
      <c r="B328" s="11" t="s">
        <v>16337</v>
      </c>
      <c r="C328" s="11" t="s">
        <v>16390</v>
      </c>
      <c r="D328" s="13" t="s">
        <v>16992</v>
      </c>
      <c r="E328" s="13" t="s">
        <v>16993</v>
      </c>
    </row>
    <row r="329" customFormat="false" ht="15" hidden="false" customHeight="true" outlineLevel="0" collapsed="false">
      <c r="A329" s="13" t="s">
        <v>203</v>
      </c>
      <c r="B329" s="11" t="s">
        <v>16337</v>
      </c>
      <c r="C329" s="11" t="s">
        <v>16393</v>
      </c>
      <c r="D329" s="13" t="s">
        <v>16994</v>
      </c>
      <c r="E329" s="13" t="s">
        <v>16995</v>
      </c>
    </row>
    <row r="330" customFormat="false" ht="15" hidden="false" customHeight="true" outlineLevel="0" collapsed="false">
      <c r="A330" s="13" t="s">
        <v>203</v>
      </c>
      <c r="B330" s="11" t="s">
        <v>16337</v>
      </c>
      <c r="C330" s="11" t="s">
        <v>16396</v>
      </c>
      <c r="D330" s="13" t="s">
        <v>16996</v>
      </c>
      <c r="E330" s="13" t="s">
        <v>16997</v>
      </c>
    </row>
    <row r="331" customFormat="false" ht="15" hidden="false" customHeight="true" outlineLevel="0" collapsed="false">
      <c r="A331" s="13" t="s">
        <v>211</v>
      </c>
      <c r="B331" s="11" t="s">
        <v>16337</v>
      </c>
      <c r="C331" s="13" t="s">
        <v>16338</v>
      </c>
      <c r="D331" s="13" t="s">
        <v>16998</v>
      </c>
      <c r="E331" s="13" t="s">
        <v>16999</v>
      </c>
    </row>
    <row r="332" customFormat="false" ht="15" hidden="false" customHeight="true" outlineLevel="0" collapsed="false">
      <c r="A332" s="13" t="s">
        <v>211</v>
      </c>
      <c r="B332" s="11" t="s">
        <v>16337</v>
      </c>
      <c r="C332" s="11" t="s">
        <v>16341</v>
      </c>
      <c r="D332" s="13" t="s">
        <v>17000</v>
      </c>
      <c r="E332" s="13" t="s">
        <v>17001</v>
      </c>
    </row>
    <row r="333" customFormat="false" ht="15" hidden="false" customHeight="true" outlineLevel="0" collapsed="false">
      <c r="A333" s="13" t="s">
        <v>211</v>
      </c>
      <c r="B333" s="11" t="s">
        <v>16337</v>
      </c>
      <c r="C333" s="11" t="s">
        <v>16344</v>
      </c>
      <c r="D333" s="13" t="s">
        <v>17002</v>
      </c>
      <c r="E333" s="13" t="s">
        <v>17003</v>
      </c>
    </row>
    <row r="334" customFormat="false" ht="15" hidden="false" customHeight="true" outlineLevel="0" collapsed="false">
      <c r="A334" s="13" t="s">
        <v>211</v>
      </c>
      <c r="B334" s="11" t="s">
        <v>16337</v>
      </c>
      <c r="C334" s="11" t="s">
        <v>16347</v>
      </c>
      <c r="D334" s="13" t="s">
        <v>17004</v>
      </c>
      <c r="E334" s="13" t="s">
        <v>17005</v>
      </c>
    </row>
    <row r="335" customFormat="false" ht="15" hidden="false" customHeight="true" outlineLevel="0" collapsed="false">
      <c r="A335" s="13" t="s">
        <v>211</v>
      </c>
      <c r="B335" s="11" t="s">
        <v>16337</v>
      </c>
      <c r="C335" s="11" t="s">
        <v>16350</v>
      </c>
      <c r="D335" s="13" t="s">
        <v>17006</v>
      </c>
      <c r="E335" s="13" t="s">
        <v>17007</v>
      </c>
    </row>
    <row r="336" customFormat="false" ht="15" hidden="false" customHeight="true" outlineLevel="0" collapsed="false">
      <c r="A336" s="13" t="s">
        <v>211</v>
      </c>
      <c r="B336" s="11" t="s">
        <v>16337</v>
      </c>
      <c r="C336" s="13" t="s">
        <v>16354</v>
      </c>
      <c r="D336" s="13" t="s">
        <v>17008</v>
      </c>
      <c r="E336" s="13" t="s">
        <v>17009</v>
      </c>
    </row>
    <row r="337" customFormat="false" ht="15" hidden="false" customHeight="true" outlineLevel="0" collapsed="false">
      <c r="A337" s="13" t="s">
        <v>211</v>
      </c>
      <c r="B337" s="11" t="s">
        <v>16337</v>
      </c>
      <c r="C337" s="11" t="s">
        <v>16357</v>
      </c>
      <c r="D337" s="13" t="s">
        <v>17010</v>
      </c>
      <c r="E337" s="13" t="s">
        <v>17011</v>
      </c>
    </row>
    <row r="338" customFormat="false" ht="15" hidden="false" customHeight="true" outlineLevel="0" collapsed="false">
      <c r="A338" s="13" t="s">
        <v>211</v>
      </c>
      <c r="B338" s="11" t="s">
        <v>16337</v>
      </c>
      <c r="C338" s="11" t="s">
        <v>16360</v>
      </c>
      <c r="D338" s="13" t="s">
        <v>17012</v>
      </c>
      <c r="E338" s="13" t="s">
        <v>17013</v>
      </c>
    </row>
    <row r="339" customFormat="false" ht="15" hidden="false" customHeight="true" outlineLevel="0" collapsed="false">
      <c r="A339" s="13" t="s">
        <v>211</v>
      </c>
      <c r="B339" s="11" t="s">
        <v>16337</v>
      </c>
      <c r="C339" s="11" t="s">
        <v>16363</v>
      </c>
      <c r="D339" s="13" t="s">
        <v>17014</v>
      </c>
      <c r="E339" s="13" t="s">
        <v>17015</v>
      </c>
    </row>
    <row r="340" customFormat="false" ht="15" hidden="false" customHeight="true" outlineLevel="0" collapsed="false">
      <c r="A340" s="13" t="s">
        <v>211</v>
      </c>
      <c r="B340" s="11" t="s">
        <v>16337</v>
      </c>
      <c r="C340" s="11" t="s">
        <v>16366</v>
      </c>
      <c r="D340" s="13" t="s">
        <v>17016</v>
      </c>
      <c r="E340" s="13" t="s">
        <v>17017</v>
      </c>
    </row>
    <row r="341" customFormat="false" ht="15" hidden="false" customHeight="true" outlineLevel="0" collapsed="false">
      <c r="A341" s="13" t="s">
        <v>211</v>
      </c>
      <c r="B341" s="11" t="s">
        <v>16337</v>
      </c>
      <c r="C341" s="11" t="s">
        <v>16369</v>
      </c>
      <c r="D341" s="13" t="s">
        <v>17018</v>
      </c>
      <c r="E341" s="13" t="s">
        <v>17019</v>
      </c>
    </row>
    <row r="342" customFormat="false" ht="15" hidden="false" customHeight="true" outlineLevel="0" collapsed="false">
      <c r="A342" s="13" t="s">
        <v>211</v>
      </c>
      <c r="B342" s="11" t="s">
        <v>16337</v>
      </c>
      <c r="C342" s="11" t="s">
        <v>16372</v>
      </c>
      <c r="D342" s="13" t="s">
        <v>17020</v>
      </c>
      <c r="E342" s="13" t="s">
        <v>17021</v>
      </c>
    </row>
    <row r="343" customFormat="false" ht="15" hidden="false" customHeight="true" outlineLevel="0" collapsed="false">
      <c r="A343" s="13" t="s">
        <v>211</v>
      </c>
      <c r="B343" s="11" t="s">
        <v>16337</v>
      </c>
      <c r="C343" s="11" t="s">
        <v>16375</v>
      </c>
      <c r="D343" s="13" t="s">
        <v>17022</v>
      </c>
      <c r="E343" s="13" t="s">
        <v>17023</v>
      </c>
    </row>
    <row r="344" customFormat="false" ht="15" hidden="false" customHeight="true" outlineLevel="0" collapsed="false">
      <c r="A344" s="13" t="s">
        <v>211</v>
      </c>
      <c r="B344" s="11" t="s">
        <v>16337</v>
      </c>
      <c r="C344" s="11" t="s">
        <v>16378</v>
      </c>
      <c r="D344" s="13" t="s">
        <v>17024</v>
      </c>
      <c r="E344" s="13" t="s">
        <v>17025</v>
      </c>
    </row>
    <row r="345" customFormat="false" ht="15" hidden="false" customHeight="true" outlineLevel="0" collapsed="false">
      <c r="A345" s="13" t="s">
        <v>211</v>
      </c>
      <c r="B345" s="11" t="s">
        <v>16337</v>
      </c>
      <c r="C345" s="11" t="s">
        <v>16381</v>
      </c>
      <c r="D345" s="13" t="s">
        <v>17026</v>
      </c>
      <c r="E345" s="13" t="s">
        <v>17027</v>
      </c>
    </row>
    <row r="346" customFormat="false" ht="15" hidden="false" customHeight="true" outlineLevel="0" collapsed="false">
      <c r="A346" s="13" t="s">
        <v>211</v>
      </c>
      <c r="B346" s="11" t="s">
        <v>16337</v>
      </c>
      <c r="C346" s="13" t="s">
        <v>16384</v>
      </c>
      <c r="D346" s="13" t="s">
        <v>17028</v>
      </c>
      <c r="E346" s="13" t="s">
        <v>17029</v>
      </c>
    </row>
    <row r="347" customFormat="false" ht="15" hidden="false" customHeight="true" outlineLevel="0" collapsed="false">
      <c r="A347" s="13" t="s">
        <v>211</v>
      </c>
      <c r="B347" s="11" t="s">
        <v>16337</v>
      </c>
      <c r="C347" s="11" t="s">
        <v>16387</v>
      </c>
      <c r="D347" s="13" t="s">
        <v>17030</v>
      </c>
      <c r="E347" s="13" t="s">
        <v>17031</v>
      </c>
    </row>
    <row r="348" customFormat="false" ht="15" hidden="false" customHeight="true" outlineLevel="0" collapsed="false">
      <c r="A348" s="13" t="s">
        <v>211</v>
      </c>
      <c r="B348" s="11" t="s">
        <v>16337</v>
      </c>
      <c r="C348" s="11" t="s">
        <v>16390</v>
      </c>
      <c r="D348" s="13" t="s">
        <v>17032</v>
      </c>
      <c r="E348" s="13" t="s">
        <v>17033</v>
      </c>
    </row>
    <row r="349" customFormat="false" ht="15" hidden="false" customHeight="true" outlineLevel="0" collapsed="false">
      <c r="A349" s="13" t="s">
        <v>211</v>
      </c>
      <c r="B349" s="11" t="s">
        <v>16337</v>
      </c>
      <c r="C349" s="11" t="s">
        <v>16393</v>
      </c>
      <c r="D349" s="13" t="s">
        <v>17034</v>
      </c>
      <c r="E349" s="13" t="s">
        <v>17035</v>
      </c>
    </row>
    <row r="350" customFormat="false" ht="15" hidden="false" customHeight="true" outlineLevel="0" collapsed="false">
      <c r="A350" s="13" t="s">
        <v>211</v>
      </c>
      <c r="B350" s="11" t="s">
        <v>16337</v>
      </c>
      <c r="C350" s="11" t="s">
        <v>16396</v>
      </c>
      <c r="D350" s="13" t="s">
        <v>17036</v>
      </c>
      <c r="E350" s="13" t="s">
        <v>17037</v>
      </c>
    </row>
    <row r="351" customFormat="false" ht="15" hidden="false" customHeight="true" outlineLevel="0" collapsed="false">
      <c r="A351" s="13" t="s">
        <v>219</v>
      </c>
      <c r="B351" s="11" t="s">
        <v>16337</v>
      </c>
      <c r="C351" s="13" t="s">
        <v>16338</v>
      </c>
      <c r="D351" s="13" t="s">
        <v>17038</v>
      </c>
      <c r="E351" s="13" t="s">
        <v>17039</v>
      </c>
    </row>
    <row r="352" customFormat="false" ht="15" hidden="false" customHeight="true" outlineLevel="0" collapsed="false">
      <c r="A352" s="13" t="s">
        <v>219</v>
      </c>
      <c r="B352" s="11" t="s">
        <v>16337</v>
      </c>
      <c r="C352" s="11" t="s">
        <v>16341</v>
      </c>
      <c r="D352" s="13" t="s">
        <v>17040</v>
      </c>
      <c r="E352" s="13" t="s">
        <v>17041</v>
      </c>
    </row>
    <row r="353" customFormat="false" ht="15" hidden="false" customHeight="true" outlineLevel="0" collapsed="false">
      <c r="A353" s="13" t="s">
        <v>219</v>
      </c>
      <c r="B353" s="11" t="s">
        <v>16337</v>
      </c>
      <c r="C353" s="11" t="s">
        <v>16344</v>
      </c>
      <c r="D353" s="13" t="s">
        <v>17042</v>
      </c>
      <c r="E353" s="13" t="s">
        <v>17043</v>
      </c>
    </row>
    <row r="354" customFormat="false" ht="15" hidden="false" customHeight="true" outlineLevel="0" collapsed="false">
      <c r="A354" s="13" t="s">
        <v>219</v>
      </c>
      <c r="B354" s="11" t="s">
        <v>16337</v>
      </c>
      <c r="C354" s="11" t="s">
        <v>16347</v>
      </c>
      <c r="D354" s="13" t="s">
        <v>17044</v>
      </c>
      <c r="E354" s="13" t="s">
        <v>17045</v>
      </c>
    </row>
    <row r="355" customFormat="false" ht="15" hidden="false" customHeight="true" outlineLevel="0" collapsed="false">
      <c r="A355" s="13" t="s">
        <v>219</v>
      </c>
      <c r="B355" s="11" t="s">
        <v>16337</v>
      </c>
      <c r="C355" s="11" t="s">
        <v>16350</v>
      </c>
      <c r="D355" s="13" t="s">
        <v>17046</v>
      </c>
      <c r="E355" s="13" t="s">
        <v>17047</v>
      </c>
    </row>
    <row r="356" customFormat="false" ht="15" hidden="false" customHeight="true" outlineLevel="0" collapsed="false">
      <c r="A356" s="13" t="s">
        <v>219</v>
      </c>
      <c r="B356" s="11" t="s">
        <v>16337</v>
      </c>
      <c r="C356" s="13" t="s">
        <v>16354</v>
      </c>
      <c r="D356" s="13" t="s">
        <v>17048</v>
      </c>
      <c r="E356" s="13" t="s">
        <v>17049</v>
      </c>
    </row>
    <row r="357" customFormat="false" ht="15" hidden="false" customHeight="true" outlineLevel="0" collapsed="false">
      <c r="A357" s="13" t="s">
        <v>219</v>
      </c>
      <c r="B357" s="11" t="s">
        <v>16337</v>
      </c>
      <c r="C357" s="11" t="s">
        <v>16357</v>
      </c>
      <c r="D357" s="13" t="s">
        <v>17050</v>
      </c>
      <c r="E357" s="13" t="s">
        <v>17051</v>
      </c>
    </row>
    <row r="358" customFormat="false" ht="15" hidden="false" customHeight="true" outlineLevel="0" collapsed="false">
      <c r="A358" s="13" t="s">
        <v>219</v>
      </c>
      <c r="B358" s="11" t="s">
        <v>16337</v>
      </c>
      <c r="C358" s="11" t="s">
        <v>16360</v>
      </c>
      <c r="D358" s="13" t="s">
        <v>17052</v>
      </c>
      <c r="E358" s="13" t="s">
        <v>17053</v>
      </c>
    </row>
    <row r="359" customFormat="false" ht="15" hidden="false" customHeight="true" outlineLevel="0" collapsed="false">
      <c r="A359" s="13" t="s">
        <v>219</v>
      </c>
      <c r="B359" s="11" t="s">
        <v>16337</v>
      </c>
      <c r="C359" s="11" t="s">
        <v>16363</v>
      </c>
      <c r="D359" s="13" t="s">
        <v>17054</v>
      </c>
      <c r="E359" s="13" t="s">
        <v>17055</v>
      </c>
    </row>
    <row r="360" customFormat="false" ht="15" hidden="false" customHeight="true" outlineLevel="0" collapsed="false">
      <c r="A360" s="13" t="s">
        <v>219</v>
      </c>
      <c r="B360" s="11" t="s">
        <v>16337</v>
      </c>
      <c r="C360" s="11" t="s">
        <v>16366</v>
      </c>
      <c r="D360" s="13" t="s">
        <v>17056</v>
      </c>
      <c r="E360" s="13" t="s">
        <v>17057</v>
      </c>
    </row>
    <row r="361" customFormat="false" ht="15" hidden="false" customHeight="true" outlineLevel="0" collapsed="false">
      <c r="A361" s="13" t="s">
        <v>219</v>
      </c>
      <c r="B361" s="11" t="s">
        <v>16337</v>
      </c>
      <c r="C361" s="11" t="s">
        <v>16369</v>
      </c>
      <c r="D361" s="13" t="s">
        <v>17058</v>
      </c>
      <c r="E361" s="13" t="s">
        <v>17059</v>
      </c>
    </row>
    <row r="362" customFormat="false" ht="15" hidden="false" customHeight="true" outlineLevel="0" collapsed="false">
      <c r="A362" s="13" t="s">
        <v>219</v>
      </c>
      <c r="B362" s="11" t="s">
        <v>16337</v>
      </c>
      <c r="C362" s="11" t="s">
        <v>16372</v>
      </c>
      <c r="D362" s="13" t="s">
        <v>17060</v>
      </c>
      <c r="E362" s="13" t="s">
        <v>17061</v>
      </c>
    </row>
    <row r="363" customFormat="false" ht="15" hidden="false" customHeight="true" outlineLevel="0" collapsed="false">
      <c r="A363" s="13" t="s">
        <v>219</v>
      </c>
      <c r="B363" s="11" t="s">
        <v>16337</v>
      </c>
      <c r="C363" s="11" t="s">
        <v>16375</v>
      </c>
      <c r="D363" s="13" t="s">
        <v>17062</v>
      </c>
      <c r="E363" s="13" t="s">
        <v>17063</v>
      </c>
    </row>
    <row r="364" customFormat="false" ht="15" hidden="false" customHeight="true" outlineLevel="0" collapsed="false">
      <c r="A364" s="13" t="s">
        <v>219</v>
      </c>
      <c r="B364" s="11" t="s">
        <v>16337</v>
      </c>
      <c r="C364" s="11" t="s">
        <v>16378</v>
      </c>
      <c r="D364" s="13" t="s">
        <v>17064</v>
      </c>
      <c r="E364" s="13" t="s">
        <v>17065</v>
      </c>
    </row>
    <row r="365" customFormat="false" ht="15" hidden="false" customHeight="true" outlineLevel="0" collapsed="false">
      <c r="A365" s="13" t="s">
        <v>219</v>
      </c>
      <c r="B365" s="11" t="s">
        <v>16337</v>
      </c>
      <c r="C365" s="11" t="s">
        <v>16381</v>
      </c>
      <c r="D365" s="13" t="s">
        <v>17066</v>
      </c>
      <c r="E365" s="13" t="s">
        <v>17067</v>
      </c>
    </row>
    <row r="366" customFormat="false" ht="15" hidden="false" customHeight="true" outlineLevel="0" collapsed="false">
      <c r="A366" s="13" t="s">
        <v>219</v>
      </c>
      <c r="B366" s="11" t="s">
        <v>16337</v>
      </c>
      <c r="C366" s="13" t="s">
        <v>16384</v>
      </c>
      <c r="D366" s="13" t="s">
        <v>17068</v>
      </c>
      <c r="E366" s="13" t="s">
        <v>17069</v>
      </c>
    </row>
    <row r="367" customFormat="false" ht="15" hidden="false" customHeight="true" outlineLevel="0" collapsed="false">
      <c r="A367" s="13" t="s">
        <v>219</v>
      </c>
      <c r="B367" s="11" t="s">
        <v>16337</v>
      </c>
      <c r="C367" s="11" t="s">
        <v>16387</v>
      </c>
      <c r="D367" s="13" t="s">
        <v>17070</v>
      </c>
      <c r="E367" s="13" t="s">
        <v>17071</v>
      </c>
    </row>
    <row r="368" customFormat="false" ht="15" hidden="false" customHeight="true" outlineLevel="0" collapsed="false">
      <c r="A368" s="13" t="s">
        <v>219</v>
      </c>
      <c r="B368" s="11" t="s">
        <v>16337</v>
      </c>
      <c r="C368" s="11" t="s">
        <v>16390</v>
      </c>
      <c r="D368" s="13" t="s">
        <v>17072</v>
      </c>
      <c r="E368" s="13" t="s">
        <v>17073</v>
      </c>
    </row>
    <row r="369" customFormat="false" ht="15" hidden="false" customHeight="true" outlineLevel="0" collapsed="false">
      <c r="A369" s="13" t="s">
        <v>219</v>
      </c>
      <c r="B369" s="11" t="s">
        <v>16337</v>
      </c>
      <c r="C369" s="11" t="s">
        <v>16393</v>
      </c>
      <c r="D369" s="13" t="s">
        <v>17074</v>
      </c>
      <c r="E369" s="13" t="s">
        <v>17075</v>
      </c>
    </row>
    <row r="370" customFormat="false" ht="15" hidden="false" customHeight="true" outlineLevel="0" collapsed="false">
      <c r="A370" s="13" t="s">
        <v>219</v>
      </c>
      <c r="B370" s="11" t="s">
        <v>16337</v>
      </c>
      <c r="C370" s="11" t="s">
        <v>16396</v>
      </c>
      <c r="D370" s="13" t="s">
        <v>17076</v>
      </c>
      <c r="E370" s="13" t="s">
        <v>17077</v>
      </c>
    </row>
    <row r="371" customFormat="false" ht="15" hidden="false" customHeight="true" outlineLevel="0" collapsed="false">
      <c r="A371" s="13" t="s">
        <v>228</v>
      </c>
      <c r="B371" s="11" t="s">
        <v>16337</v>
      </c>
      <c r="C371" s="13" t="s">
        <v>16338</v>
      </c>
      <c r="D371" s="13" t="s">
        <v>17078</v>
      </c>
      <c r="E371" s="13" t="s">
        <v>17079</v>
      </c>
    </row>
    <row r="372" customFormat="false" ht="15" hidden="false" customHeight="true" outlineLevel="0" collapsed="false">
      <c r="A372" s="13" t="s">
        <v>228</v>
      </c>
      <c r="B372" s="11" t="s">
        <v>16337</v>
      </c>
      <c r="C372" s="11" t="s">
        <v>16341</v>
      </c>
      <c r="D372" s="13" t="s">
        <v>17080</v>
      </c>
      <c r="E372" s="13" t="s">
        <v>17081</v>
      </c>
    </row>
    <row r="373" customFormat="false" ht="15" hidden="false" customHeight="true" outlineLevel="0" collapsed="false">
      <c r="A373" s="13" t="s">
        <v>228</v>
      </c>
      <c r="B373" s="11" t="s">
        <v>16337</v>
      </c>
      <c r="C373" s="11" t="s">
        <v>16344</v>
      </c>
      <c r="D373" s="13" t="s">
        <v>17082</v>
      </c>
      <c r="E373" s="13" t="s">
        <v>17083</v>
      </c>
    </row>
    <row r="374" customFormat="false" ht="15" hidden="false" customHeight="true" outlineLevel="0" collapsed="false">
      <c r="A374" s="13" t="s">
        <v>228</v>
      </c>
      <c r="B374" s="11" t="s">
        <v>16337</v>
      </c>
      <c r="C374" s="11" t="s">
        <v>16347</v>
      </c>
      <c r="D374" s="13" t="s">
        <v>17084</v>
      </c>
      <c r="E374" s="13" t="s">
        <v>17085</v>
      </c>
    </row>
    <row r="375" customFormat="false" ht="15" hidden="false" customHeight="true" outlineLevel="0" collapsed="false">
      <c r="A375" s="13" t="s">
        <v>228</v>
      </c>
      <c r="B375" s="11" t="s">
        <v>16337</v>
      </c>
      <c r="C375" s="11" t="s">
        <v>16350</v>
      </c>
      <c r="D375" s="13" t="s">
        <v>17086</v>
      </c>
      <c r="E375" s="13" t="s">
        <v>17087</v>
      </c>
    </row>
    <row r="376" customFormat="false" ht="15" hidden="false" customHeight="true" outlineLevel="0" collapsed="false">
      <c r="A376" s="13" t="s">
        <v>228</v>
      </c>
      <c r="B376" s="11" t="s">
        <v>16337</v>
      </c>
      <c r="C376" s="13" t="s">
        <v>16354</v>
      </c>
      <c r="D376" s="13" t="s">
        <v>17088</v>
      </c>
      <c r="E376" s="13" t="s">
        <v>17089</v>
      </c>
    </row>
    <row r="377" customFormat="false" ht="15" hidden="false" customHeight="true" outlineLevel="0" collapsed="false">
      <c r="A377" s="13" t="s">
        <v>228</v>
      </c>
      <c r="B377" s="11" t="s">
        <v>16337</v>
      </c>
      <c r="C377" s="11" t="s">
        <v>16357</v>
      </c>
      <c r="D377" s="13" t="s">
        <v>17090</v>
      </c>
      <c r="E377" s="13" t="s">
        <v>17091</v>
      </c>
    </row>
    <row r="378" customFormat="false" ht="15" hidden="false" customHeight="true" outlineLevel="0" collapsed="false">
      <c r="A378" s="13" t="s">
        <v>228</v>
      </c>
      <c r="B378" s="11" t="s">
        <v>16337</v>
      </c>
      <c r="C378" s="11" t="s">
        <v>16360</v>
      </c>
      <c r="D378" s="13" t="s">
        <v>17092</v>
      </c>
      <c r="E378" s="13" t="s">
        <v>17093</v>
      </c>
    </row>
    <row r="379" customFormat="false" ht="15" hidden="false" customHeight="true" outlineLevel="0" collapsed="false">
      <c r="A379" s="13" t="s">
        <v>228</v>
      </c>
      <c r="B379" s="11" t="s">
        <v>16337</v>
      </c>
      <c r="C379" s="11" t="s">
        <v>16363</v>
      </c>
      <c r="D379" s="13" t="s">
        <v>17094</v>
      </c>
      <c r="E379" s="13" t="s">
        <v>17095</v>
      </c>
    </row>
    <row r="380" customFormat="false" ht="15" hidden="false" customHeight="true" outlineLevel="0" collapsed="false">
      <c r="A380" s="13" t="s">
        <v>228</v>
      </c>
      <c r="B380" s="11" t="s">
        <v>16337</v>
      </c>
      <c r="C380" s="11" t="s">
        <v>16366</v>
      </c>
      <c r="D380" s="13" t="s">
        <v>17096</v>
      </c>
      <c r="E380" s="13" t="s">
        <v>2211</v>
      </c>
    </row>
    <row r="381" customFormat="false" ht="15" hidden="false" customHeight="true" outlineLevel="0" collapsed="false">
      <c r="A381" s="13" t="s">
        <v>228</v>
      </c>
      <c r="B381" s="11" t="s">
        <v>16337</v>
      </c>
      <c r="C381" s="11" t="s">
        <v>16369</v>
      </c>
      <c r="D381" s="13" t="s">
        <v>17097</v>
      </c>
      <c r="E381" s="13" t="s">
        <v>17098</v>
      </c>
    </row>
    <row r="382" customFormat="false" ht="15" hidden="false" customHeight="true" outlineLevel="0" collapsed="false">
      <c r="A382" s="13" t="s">
        <v>228</v>
      </c>
      <c r="B382" s="11" t="s">
        <v>16337</v>
      </c>
      <c r="C382" s="11" t="s">
        <v>16372</v>
      </c>
      <c r="D382" s="13" t="s">
        <v>17099</v>
      </c>
      <c r="E382" s="13" t="s">
        <v>17100</v>
      </c>
    </row>
    <row r="383" customFormat="false" ht="15" hidden="false" customHeight="true" outlineLevel="0" collapsed="false">
      <c r="A383" s="13" t="s">
        <v>228</v>
      </c>
      <c r="B383" s="11" t="s">
        <v>16337</v>
      </c>
      <c r="C383" s="11" t="s">
        <v>16375</v>
      </c>
      <c r="D383" s="13" t="s">
        <v>17101</v>
      </c>
      <c r="E383" s="13" t="s">
        <v>17102</v>
      </c>
    </row>
    <row r="384" customFormat="false" ht="15" hidden="false" customHeight="true" outlineLevel="0" collapsed="false">
      <c r="A384" s="13" t="s">
        <v>228</v>
      </c>
      <c r="B384" s="11" t="s">
        <v>16337</v>
      </c>
      <c r="C384" s="11" t="s">
        <v>16378</v>
      </c>
      <c r="D384" s="13" t="s">
        <v>17103</v>
      </c>
      <c r="E384" s="13" t="s">
        <v>17104</v>
      </c>
    </row>
    <row r="385" customFormat="false" ht="15" hidden="false" customHeight="true" outlineLevel="0" collapsed="false">
      <c r="A385" s="13" t="s">
        <v>228</v>
      </c>
      <c r="B385" s="11" t="s">
        <v>16337</v>
      </c>
      <c r="C385" s="11" t="s">
        <v>16381</v>
      </c>
      <c r="D385" s="13" t="s">
        <v>17105</v>
      </c>
      <c r="E385" s="13" t="s">
        <v>17106</v>
      </c>
    </row>
    <row r="386" customFormat="false" ht="15" hidden="false" customHeight="true" outlineLevel="0" collapsed="false">
      <c r="A386" s="13" t="s">
        <v>228</v>
      </c>
      <c r="B386" s="11" t="s">
        <v>16337</v>
      </c>
      <c r="C386" s="13" t="s">
        <v>16384</v>
      </c>
      <c r="D386" s="13" t="s">
        <v>17107</v>
      </c>
      <c r="E386" s="13" t="s">
        <v>17108</v>
      </c>
    </row>
    <row r="387" customFormat="false" ht="15" hidden="false" customHeight="true" outlineLevel="0" collapsed="false">
      <c r="A387" s="13" t="s">
        <v>228</v>
      </c>
      <c r="B387" s="11" t="s">
        <v>16337</v>
      </c>
      <c r="C387" s="11" t="s">
        <v>16387</v>
      </c>
      <c r="D387" s="13" t="s">
        <v>17109</v>
      </c>
      <c r="E387" s="13" t="s">
        <v>17110</v>
      </c>
    </row>
    <row r="388" customFormat="false" ht="15" hidden="false" customHeight="true" outlineLevel="0" collapsed="false">
      <c r="A388" s="13" t="s">
        <v>228</v>
      </c>
      <c r="B388" s="11" t="s">
        <v>16337</v>
      </c>
      <c r="C388" s="11" t="s">
        <v>16390</v>
      </c>
      <c r="D388" s="13" t="s">
        <v>17111</v>
      </c>
      <c r="E388" s="13" t="s">
        <v>17112</v>
      </c>
    </row>
    <row r="389" customFormat="false" ht="15" hidden="false" customHeight="true" outlineLevel="0" collapsed="false">
      <c r="A389" s="13" t="s">
        <v>228</v>
      </c>
      <c r="B389" s="11" t="s">
        <v>16337</v>
      </c>
      <c r="C389" s="11" t="s">
        <v>16393</v>
      </c>
      <c r="D389" s="13" t="s">
        <v>17113</v>
      </c>
      <c r="E389" s="13" t="s">
        <v>17114</v>
      </c>
    </row>
    <row r="390" customFormat="false" ht="15" hidden="false" customHeight="true" outlineLevel="0" collapsed="false">
      <c r="A390" s="13" t="s">
        <v>228</v>
      </c>
      <c r="B390" s="11" t="s">
        <v>16337</v>
      </c>
      <c r="C390" s="11" t="s">
        <v>16396</v>
      </c>
      <c r="D390" s="13" t="s">
        <v>17115</v>
      </c>
      <c r="E390" s="13" t="s">
        <v>17116</v>
      </c>
    </row>
    <row r="391" customFormat="false" ht="15" hidden="false" customHeight="true" outlineLevel="0" collapsed="false">
      <c r="A391" s="13" t="s">
        <v>236</v>
      </c>
      <c r="B391" s="11" t="s">
        <v>16337</v>
      </c>
      <c r="C391" s="13" t="s">
        <v>16338</v>
      </c>
      <c r="D391" s="13" t="s">
        <v>17117</v>
      </c>
      <c r="E391" s="13" t="s">
        <v>17118</v>
      </c>
    </row>
    <row r="392" customFormat="false" ht="15" hidden="false" customHeight="true" outlineLevel="0" collapsed="false">
      <c r="A392" s="13" t="s">
        <v>236</v>
      </c>
      <c r="B392" s="11" t="s">
        <v>16337</v>
      </c>
      <c r="C392" s="11" t="s">
        <v>16341</v>
      </c>
      <c r="D392" s="13" t="s">
        <v>17119</v>
      </c>
      <c r="E392" s="13" t="s">
        <v>17120</v>
      </c>
    </row>
    <row r="393" customFormat="false" ht="15" hidden="false" customHeight="true" outlineLevel="0" collapsed="false">
      <c r="A393" s="13" t="s">
        <v>236</v>
      </c>
      <c r="B393" s="11" t="s">
        <v>16337</v>
      </c>
      <c r="C393" s="11" t="s">
        <v>16344</v>
      </c>
      <c r="D393" s="13" t="s">
        <v>17121</v>
      </c>
      <c r="E393" s="13" t="s">
        <v>17122</v>
      </c>
    </row>
    <row r="394" customFormat="false" ht="15" hidden="false" customHeight="true" outlineLevel="0" collapsed="false">
      <c r="A394" s="13" t="s">
        <v>236</v>
      </c>
      <c r="B394" s="11" t="s">
        <v>16337</v>
      </c>
      <c r="C394" s="11" t="s">
        <v>16347</v>
      </c>
      <c r="D394" s="13" t="s">
        <v>17123</v>
      </c>
      <c r="E394" s="13" t="s">
        <v>17124</v>
      </c>
    </row>
    <row r="395" customFormat="false" ht="15" hidden="false" customHeight="true" outlineLevel="0" collapsed="false">
      <c r="A395" s="13" t="s">
        <v>236</v>
      </c>
      <c r="B395" s="11" t="s">
        <v>16337</v>
      </c>
      <c r="C395" s="11" t="s">
        <v>16350</v>
      </c>
      <c r="D395" s="13" t="s">
        <v>17125</v>
      </c>
      <c r="E395" s="13" t="s">
        <v>17126</v>
      </c>
    </row>
    <row r="396" customFormat="false" ht="15" hidden="false" customHeight="true" outlineLevel="0" collapsed="false">
      <c r="A396" s="13" t="s">
        <v>236</v>
      </c>
      <c r="B396" s="11" t="s">
        <v>16337</v>
      </c>
      <c r="C396" s="13" t="s">
        <v>16354</v>
      </c>
      <c r="D396" s="13" t="s">
        <v>17127</v>
      </c>
      <c r="E396" s="13" t="s">
        <v>17128</v>
      </c>
    </row>
    <row r="397" customFormat="false" ht="15" hidden="false" customHeight="true" outlineLevel="0" collapsed="false">
      <c r="A397" s="13" t="s">
        <v>236</v>
      </c>
      <c r="B397" s="11" t="s">
        <v>16337</v>
      </c>
      <c r="C397" s="11" t="s">
        <v>16357</v>
      </c>
      <c r="D397" s="13" t="s">
        <v>17129</v>
      </c>
      <c r="E397" s="13" t="s">
        <v>17130</v>
      </c>
    </row>
    <row r="398" customFormat="false" ht="15" hidden="false" customHeight="true" outlineLevel="0" collapsed="false">
      <c r="A398" s="13" t="s">
        <v>236</v>
      </c>
      <c r="B398" s="11" t="s">
        <v>16337</v>
      </c>
      <c r="C398" s="11" t="s">
        <v>16360</v>
      </c>
      <c r="D398" s="13" t="s">
        <v>17131</v>
      </c>
      <c r="E398" s="13" t="s">
        <v>17132</v>
      </c>
    </row>
    <row r="399" customFormat="false" ht="15" hidden="false" customHeight="true" outlineLevel="0" collapsed="false">
      <c r="A399" s="13" t="s">
        <v>236</v>
      </c>
      <c r="B399" s="11" t="s">
        <v>16337</v>
      </c>
      <c r="C399" s="11" t="s">
        <v>16363</v>
      </c>
      <c r="D399" s="13" t="s">
        <v>17133</v>
      </c>
      <c r="E399" s="13" t="s">
        <v>17134</v>
      </c>
    </row>
    <row r="400" customFormat="false" ht="15" hidden="false" customHeight="true" outlineLevel="0" collapsed="false">
      <c r="A400" s="13" t="s">
        <v>236</v>
      </c>
      <c r="B400" s="11" t="s">
        <v>16337</v>
      </c>
      <c r="C400" s="11" t="s">
        <v>16366</v>
      </c>
      <c r="D400" s="13" t="s">
        <v>17135</v>
      </c>
      <c r="E400" s="13" t="s">
        <v>17136</v>
      </c>
    </row>
    <row r="401" customFormat="false" ht="15" hidden="false" customHeight="true" outlineLevel="0" collapsed="false">
      <c r="A401" s="13" t="s">
        <v>236</v>
      </c>
      <c r="B401" s="11" t="s">
        <v>16337</v>
      </c>
      <c r="C401" s="11" t="s">
        <v>16369</v>
      </c>
      <c r="D401" s="13" t="s">
        <v>17137</v>
      </c>
      <c r="E401" s="13" t="s">
        <v>17138</v>
      </c>
    </row>
    <row r="402" customFormat="false" ht="15" hidden="false" customHeight="true" outlineLevel="0" collapsed="false">
      <c r="A402" s="13" t="s">
        <v>236</v>
      </c>
      <c r="B402" s="11" t="s">
        <v>16337</v>
      </c>
      <c r="C402" s="11" t="s">
        <v>16372</v>
      </c>
      <c r="D402" s="13" t="s">
        <v>17139</v>
      </c>
      <c r="E402" s="13" t="s">
        <v>17140</v>
      </c>
    </row>
    <row r="403" customFormat="false" ht="15" hidden="false" customHeight="true" outlineLevel="0" collapsed="false">
      <c r="A403" s="13" t="s">
        <v>236</v>
      </c>
      <c r="B403" s="11" t="s">
        <v>16337</v>
      </c>
      <c r="C403" s="11" t="s">
        <v>16375</v>
      </c>
      <c r="D403" s="13" t="s">
        <v>17141</v>
      </c>
      <c r="E403" s="13" t="s">
        <v>17142</v>
      </c>
    </row>
    <row r="404" customFormat="false" ht="15" hidden="false" customHeight="true" outlineLevel="0" collapsed="false">
      <c r="A404" s="13" t="s">
        <v>236</v>
      </c>
      <c r="B404" s="11" t="s">
        <v>16337</v>
      </c>
      <c r="C404" s="11" t="s">
        <v>16378</v>
      </c>
      <c r="D404" s="13" t="s">
        <v>17143</v>
      </c>
      <c r="E404" s="13" t="s">
        <v>17144</v>
      </c>
    </row>
    <row r="405" customFormat="false" ht="15" hidden="false" customHeight="true" outlineLevel="0" collapsed="false">
      <c r="A405" s="13" t="s">
        <v>236</v>
      </c>
      <c r="B405" s="11" t="s">
        <v>16337</v>
      </c>
      <c r="C405" s="11" t="s">
        <v>16381</v>
      </c>
      <c r="D405" s="13" t="s">
        <v>17145</v>
      </c>
      <c r="E405" s="13" t="s">
        <v>17146</v>
      </c>
    </row>
    <row r="406" customFormat="false" ht="15" hidden="false" customHeight="true" outlineLevel="0" collapsed="false">
      <c r="A406" s="13" t="s">
        <v>236</v>
      </c>
      <c r="B406" s="11" t="s">
        <v>16337</v>
      </c>
      <c r="C406" s="13" t="s">
        <v>16384</v>
      </c>
      <c r="D406" s="13" t="s">
        <v>17147</v>
      </c>
      <c r="E406" s="13" t="s">
        <v>17148</v>
      </c>
    </row>
    <row r="407" customFormat="false" ht="15" hidden="false" customHeight="true" outlineLevel="0" collapsed="false">
      <c r="A407" s="13" t="s">
        <v>236</v>
      </c>
      <c r="B407" s="11" t="s">
        <v>16337</v>
      </c>
      <c r="C407" s="11" t="s">
        <v>16387</v>
      </c>
      <c r="D407" s="13" t="s">
        <v>17149</v>
      </c>
      <c r="E407" s="13" t="s">
        <v>17150</v>
      </c>
    </row>
    <row r="408" customFormat="false" ht="15" hidden="false" customHeight="true" outlineLevel="0" collapsed="false">
      <c r="A408" s="13" t="s">
        <v>236</v>
      </c>
      <c r="B408" s="11" t="s">
        <v>16337</v>
      </c>
      <c r="C408" s="11" t="s">
        <v>16390</v>
      </c>
      <c r="D408" s="13" t="s">
        <v>17151</v>
      </c>
      <c r="E408" s="13" t="s">
        <v>17152</v>
      </c>
    </row>
    <row r="409" customFormat="false" ht="15" hidden="false" customHeight="true" outlineLevel="0" collapsed="false">
      <c r="A409" s="13" t="s">
        <v>236</v>
      </c>
      <c r="B409" s="11" t="s">
        <v>16337</v>
      </c>
      <c r="C409" s="11" t="s">
        <v>16393</v>
      </c>
      <c r="D409" s="13" t="s">
        <v>17153</v>
      </c>
      <c r="E409" s="13" t="s">
        <v>17154</v>
      </c>
    </row>
    <row r="410" customFormat="false" ht="15" hidden="false" customHeight="true" outlineLevel="0" collapsed="false">
      <c r="A410" s="13" t="s">
        <v>236</v>
      </c>
      <c r="B410" s="11" t="s">
        <v>16337</v>
      </c>
      <c r="C410" s="11" t="s">
        <v>16396</v>
      </c>
      <c r="D410" s="13" t="s">
        <v>17155</v>
      </c>
      <c r="E410" s="13" t="s">
        <v>17156</v>
      </c>
    </row>
    <row r="411" customFormat="false" ht="15" hidden="false" customHeight="true" outlineLevel="0" collapsed="false">
      <c r="A411" s="13" t="s">
        <v>244</v>
      </c>
      <c r="B411" s="11" t="s">
        <v>16337</v>
      </c>
      <c r="C411" s="13" t="s">
        <v>16338</v>
      </c>
      <c r="D411" s="13" t="s">
        <v>17157</v>
      </c>
      <c r="E411" s="13" t="s">
        <v>17158</v>
      </c>
    </row>
    <row r="412" customFormat="false" ht="15" hidden="false" customHeight="true" outlineLevel="0" collapsed="false">
      <c r="A412" s="13" t="s">
        <v>244</v>
      </c>
      <c r="B412" s="11" t="s">
        <v>16337</v>
      </c>
      <c r="C412" s="11" t="s">
        <v>16341</v>
      </c>
      <c r="D412" s="13" t="s">
        <v>17159</v>
      </c>
      <c r="E412" s="13" t="s">
        <v>17160</v>
      </c>
    </row>
    <row r="413" customFormat="false" ht="15" hidden="false" customHeight="true" outlineLevel="0" collapsed="false">
      <c r="A413" s="13" t="s">
        <v>244</v>
      </c>
      <c r="B413" s="11" t="s">
        <v>16337</v>
      </c>
      <c r="C413" s="11" t="s">
        <v>16344</v>
      </c>
      <c r="D413" s="13" t="s">
        <v>17161</v>
      </c>
      <c r="E413" s="13" t="s">
        <v>17162</v>
      </c>
    </row>
    <row r="414" customFormat="false" ht="15" hidden="false" customHeight="true" outlineLevel="0" collapsed="false">
      <c r="A414" s="13" t="s">
        <v>244</v>
      </c>
      <c r="B414" s="11" t="s">
        <v>16337</v>
      </c>
      <c r="C414" s="11" t="s">
        <v>16347</v>
      </c>
      <c r="D414" s="13" t="s">
        <v>17163</v>
      </c>
      <c r="E414" s="13" t="s">
        <v>17164</v>
      </c>
    </row>
    <row r="415" customFormat="false" ht="15" hidden="false" customHeight="true" outlineLevel="0" collapsed="false">
      <c r="A415" s="13" t="s">
        <v>244</v>
      </c>
      <c r="B415" s="11" t="s">
        <v>16337</v>
      </c>
      <c r="C415" s="11" t="s">
        <v>16350</v>
      </c>
      <c r="D415" s="13" t="s">
        <v>17165</v>
      </c>
      <c r="E415" s="13" t="s">
        <v>17166</v>
      </c>
    </row>
    <row r="416" customFormat="false" ht="15" hidden="false" customHeight="true" outlineLevel="0" collapsed="false">
      <c r="A416" s="13" t="s">
        <v>244</v>
      </c>
      <c r="B416" s="11" t="s">
        <v>16337</v>
      </c>
      <c r="C416" s="13" t="s">
        <v>16354</v>
      </c>
      <c r="D416" s="13" t="s">
        <v>17167</v>
      </c>
      <c r="E416" s="13" t="s">
        <v>17168</v>
      </c>
    </row>
    <row r="417" customFormat="false" ht="15" hidden="false" customHeight="true" outlineLevel="0" collapsed="false">
      <c r="A417" s="13" t="s">
        <v>244</v>
      </c>
      <c r="B417" s="11" t="s">
        <v>16337</v>
      </c>
      <c r="C417" s="11" t="s">
        <v>16357</v>
      </c>
      <c r="D417" s="13" t="s">
        <v>17169</v>
      </c>
      <c r="E417" s="13" t="s">
        <v>17170</v>
      </c>
    </row>
    <row r="418" customFormat="false" ht="15" hidden="false" customHeight="true" outlineLevel="0" collapsed="false">
      <c r="A418" s="13" t="s">
        <v>244</v>
      </c>
      <c r="B418" s="11" t="s">
        <v>16337</v>
      </c>
      <c r="C418" s="11" t="s">
        <v>16360</v>
      </c>
      <c r="D418" s="13" t="s">
        <v>17171</v>
      </c>
      <c r="E418" s="13" t="s">
        <v>17172</v>
      </c>
    </row>
    <row r="419" customFormat="false" ht="15" hidden="false" customHeight="true" outlineLevel="0" collapsed="false">
      <c r="A419" s="13" t="s">
        <v>244</v>
      </c>
      <c r="B419" s="11" t="s">
        <v>16337</v>
      </c>
      <c r="C419" s="11" t="s">
        <v>16363</v>
      </c>
      <c r="D419" s="13" t="s">
        <v>17173</v>
      </c>
      <c r="E419" s="13" t="s">
        <v>17174</v>
      </c>
    </row>
    <row r="420" customFormat="false" ht="15" hidden="false" customHeight="true" outlineLevel="0" collapsed="false">
      <c r="A420" s="13" t="s">
        <v>244</v>
      </c>
      <c r="B420" s="11" t="s">
        <v>16337</v>
      </c>
      <c r="C420" s="11" t="s">
        <v>16366</v>
      </c>
      <c r="D420" s="13" t="s">
        <v>17175</v>
      </c>
      <c r="E420" s="13" t="s">
        <v>17176</v>
      </c>
    </row>
    <row r="421" customFormat="false" ht="15" hidden="false" customHeight="true" outlineLevel="0" collapsed="false">
      <c r="A421" s="13" t="s">
        <v>244</v>
      </c>
      <c r="B421" s="11" t="s">
        <v>16337</v>
      </c>
      <c r="C421" s="11" t="s">
        <v>16369</v>
      </c>
      <c r="D421" s="13" t="s">
        <v>17177</v>
      </c>
      <c r="E421" s="13" t="s">
        <v>17178</v>
      </c>
    </row>
    <row r="422" customFormat="false" ht="15" hidden="false" customHeight="true" outlineLevel="0" collapsed="false">
      <c r="A422" s="13" t="s">
        <v>244</v>
      </c>
      <c r="B422" s="11" t="s">
        <v>16337</v>
      </c>
      <c r="C422" s="11" t="s">
        <v>16372</v>
      </c>
      <c r="D422" s="13" t="s">
        <v>17179</v>
      </c>
      <c r="E422" s="13" t="s">
        <v>17180</v>
      </c>
    </row>
    <row r="423" customFormat="false" ht="15" hidden="false" customHeight="true" outlineLevel="0" collapsed="false">
      <c r="A423" s="13" t="s">
        <v>244</v>
      </c>
      <c r="B423" s="11" t="s">
        <v>16337</v>
      </c>
      <c r="C423" s="11" t="s">
        <v>16375</v>
      </c>
      <c r="D423" s="13" t="s">
        <v>17181</v>
      </c>
      <c r="E423" s="13" t="s">
        <v>17182</v>
      </c>
    </row>
    <row r="424" customFormat="false" ht="15" hidden="false" customHeight="true" outlineLevel="0" collapsed="false">
      <c r="A424" s="13" t="s">
        <v>244</v>
      </c>
      <c r="B424" s="11" t="s">
        <v>16337</v>
      </c>
      <c r="C424" s="11" t="s">
        <v>16378</v>
      </c>
      <c r="D424" s="13" t="s">
        <v>17183</v>
      </c>
      <c r="E424" s="13" t="s">
        <v>17184</v>
      </c>
    </row>
    <row r="425" customFormat="false" ht="15" hidden="false" customHeight="true" outlineLevel="0" collapsed="false">
      <c r="A425" s="13" t="s">
        <v>244</v>
      </c>
      <c r="B425" s="11" t="s">
        <v>16337</v>
      </c>
      <c r="C425" s="11" t="s">
        <v>16381</v>
      </c>
      <c r="D425" s="13" t="s">
        <v>17185</v>
      </c>
      <c r="E425" s="13" t="s">
        <v>17186</v>
      </c>
    </row>
    <row r="426" customFormat="false" ht="15" hidden="false" customHeight="true" outlineLevel="0" collapsed="false">
      <c r="A426" s="13" t="s">
        <v>244</v>
      </c>
      <c r="B426" s="11" t="s">
        <v>16337</v>
      </c>
      <c r="C426" s="13" t="s">
        <v>16384</v>
      </c>
      <c r="D426" s="13" t="s">
        <v>17187</v>
      </c>
      <c r="E426" s="13" t="s">
        <v>17188</v>
      </c>
    </row>
    <row r="427" customFormat="false" ht="15" hidden="false" customHeight="true" outlineLevel="0" collapsed="false">
      <c r="A427" s="13" t="s">
        <v>244</v>
      </c>
      <c r="B427" s="11" t="s">
        <v>16337</v>
      </c>
      <c r="C427" s="11" t="s">
        <v>16387</v>
      </c>
      <c r="D427" s="13" t="s">
        <v>17189</v>
      </c>
      <c r="E427" s="13" t="s">
        <v>17190</v>
      </c>
    </row>
    <row r="428" customFormat="false" ht="15" hidden="false" customHeight="true" outlineLevel="0" collapsed="false">
      <c r="A428" s="13" t="s">
        <v>244</v>
      </c>
      <c r="B428" s="11" t="s">
        <v>16337</v>
      </c>
      <c r="C428" s="11" t="s">
        <v>16390</v>
      </c>
      <c r="D428" s="13" t="s">
        <v>17191</v>
      </c>
      <c r="E428" s="13" t="s">
        <v>17192</v>
      </c>
    </row>
    <row r="429" customFormat="false" ht="15" hidden="false" customHeight="true" outlineLevel="0" collapsed="false">
      <c r="A429" s="13" t="s">
        <v>244</v>
      </c>
      <c r="B429" s="11" t="s">
        <v>16337</v>
      </c>
      <c r="C429" s="11" t="s">
        <v>16393</v>
      </c>
      <c r="D429" s="13" t="s">
        <v>17193</v>
      </c>
      <c r="E429" s="13" t="s">
        <v>17194</v>
      </c>
    </row>
    <row r="430" customFormat="false" ht="15" hidden="false" customHeight="true" outlineLevel="0" collapsed="false">
      <c r="A430" s="13" t="s">
        <v>244</v>
      </c>
      <c r="B430" s="11" t="s">
        <v>16337</v>
      </c>
      <c r="C430" s="11" t="s">
        <v>16396</v>
      </c>
      <c r="D430" s="13" t="s">
        <v>17195</v>
      </c>
      <c r="E430" s="13" t="s">
        <v>17196</v>
      </c>
    </row>
    <row r="431" customFormat="false" ht="15" hidden="false" customHeight="true" outlineLevel="0" collapsed="false">
      <c r="A431" s="13" t="s">
        <v>252</v>
      </c>
      <c r="B431" s="11" t="s">
        <v>16337</v>
      </c>
      <c r="C431" s="13" t="s">
        <v>16338</v>
      </c>
      <c r="D431" s="13" t="s">
        <v>17197</v>
      </c>
      <c r="E431" s="13" t="s">
        <v>17198</v>
      </c>
    </row>
    <row r="432" customFormat="false" ht="15" hidden="false" customHeight="true" outlineLevel="0" collapsed="false">
      <c r="A432" s="13" t="s">
        <v>252</v>
      </c>
      <c r="B432" s="11" t="s">
        <v>16337</v>
      </c>
      <c r="C432" s="11" t="s">
        <v>16341</v>
      </c>
      <c r="D432" s="13" t="s">
        <v>17199</v>
      </c>
      <c r="E432" s="13" t="s">
        <v>17200</v>
      </c>
    </row>
    <row r="433" customFormat="false" ht="15" hidden="false" customHeight="true" outlineLevel="0" collapsed="false">
      <c r="A433" s="13" t="s">
        <v>252</v>
      </c>
      <c r="B433" s="11" t="s">
        <v>16337</v>
      </c>
      <c r="C433" s="11" t="s">
        <v>16344</v>
      </c>
      <c r="D433" s="13" t="s">
        <v>17201</v>
      </c>
      <c r="E433" s="13" t="s">
        <v>17202</v>
      </c>
    </row>
    <row r="434" customFormat="false" ht="15" hidden="false" customHeight="true" outlineLevel="0" collapsed="false">
      <c r="A434" s="13" t="s">
        <v>252</v>
      </c>
      <c r="B434" s="11" t="s">
        <v>16337</v>
      </c>
      <c r="C434" s="11" t="s">
        <v>16347</v>
      </c>
      <c r="D434" s="13" t="s">
        <v>17203</v>
      </c>
      <c r="E434" s="13" t="s">
        <v>17204</v>
      </c>
    </row>
    <row r="435" customFormat="false" ht="15" hidden="false" customHeight="true" outlineLevel="0" collapsed="false">
      <c r="A435" s="13" t="s">
        <v>252</v>
      </c>
      <c r="B435" s="11" t="s">
        <v>16337</v>
      </c>
      <c r="C435" s="11" t="s">
        <v>16350</v>
      </c>
      <c r="D435" s="13" t="s">
        <v>17205</v>
      </c>
      <c r="E435" s="13" t="s">
        <v>17206</v>
      </c>
    </row>
    <row r="436" customFormat="false" ht="15" hidden="false" customHeight="true" outlineLevel="0" collapsed="false">
      <c r="A436" s="13" t="s">
        <v>252</v>
      </c>
      <c r="B436" s="11" t="s">
        <v>16337</v>
      </c>
      <c r="C436" s="13" t="s">
        <v>16354</v>
      </c>
      <c r="D436" s="13" t="s">
        <v>17207</v>
      </c>
      <c r="E436" s="13" t="s">
        <v>17208</v>
      </c>
    </row>
    <row r="437" customFormat="false" ht="15" hidden="false" customHeight="true" outlineLevel="0" collapsed="false">
      <c r="A437" s="13" t="s">
        <v>252</v>
      </c>
      <c r="B437" s="11" t="s">
        <v>16337</v>
      </c>
      <c r="C437" s="11" t="s">
        <v>16357</v>
      </c>
      <c r="D437" s="13" t="s">
        <v>17209</v>
      </c>
      <c r="E437" s="13" t="s">
        <v>17210</v>
      </c>
    </row>
    <row r="438" customFormat="false" ht="15" hidden="false" customHeight="true" outlineLevel="0" collapsed="false">
      <c r="A438" s="13" t="s">
        <v>252</v>
      </c>
      <c r="B438" s="11" t="s">
        <v>16337</v>
      </c>
      <c r="C438" s="11" t="s">
        <v>16360</v>
      </c>
      <c r="D438" s="13" t="s">
        <v>17211</v>
      </c>
      <c r="E438" s="13" t="s">
        <v>17212</v>
      </c>
    </row>
    <row r="439" customFormat="false" ht="15" hidden="false" customHeight="true" outlineLevel="0" collapsed="false">
      <c r="A439" s="13" t="s">
        <v>252</v>
      </c>
      <c r="B439" s="11" t="s">
        <v>16337</v>
      </c>
      <c r="C439" s="11" t="s">
        <v>16363</v>
      </c>
      <c r="D439" s="13" t="s">
        <v>17213</v>
      </c>
      <c r="E439" s="13" t="s">
        <v>17214</v>
      </c>
    </row>
    <row r="440" customFormat="false" ht="15" hidden="false" customHeight="true" outlineLevel="0" collapsed="false">
      <c r="A440" s="13" t="s">
        <v>252</v>
      </c>
      <c r="B440" s="11" t="s">
        <v>16337</v>
      </c>
      <c r="C440" s="11" t="s">
        <v>16366</v>
      </c>
      <c r="D440" s="13" t="s">
        <v>17215</v>
      </c>
      <c r="E440" s="13" t="s">
        <v>17216</v>
      </c>
    </row>
    <row r="441" customFormat="false" ht="15" hidden="false" customHeight="true" outlineLevel="0" collapsed="false">
      <c r="A441" s="13" t="s">
        <v>252</v>
      </c>
      <c r="B441" s="11" t="s">
        <v>16337</v>
      </c>
      <c r="C441" s="11" t="s">
        <v>16369</v>
      </c>
      <c r="D441" s="13" t="s">
        <v>17217</v>
      </c>
      <c r="E441" s="13" t="s">
        <v>17218</v>
      </c>
    </row>
    <row r="442" customFormat="false" ht="15" hidden="false" customHeight="true" outlineLevel="0" collapsed="false">
      <c r="A442" s="13" t="s">
        <v>252</v>
      </c>
      <c r="B442" s="11" t="s">
        <v>16337</v>
      </c>
      <c r="C442" s="11" t="s">
        <v>16372</v>
      </c>
      <c r="D442" s="13" t="s">
        <v>17219</v>
      </c>
      <c r="E442" s="13" t="s">
        <v>17220</v>
      </c>
    </row>
    <row r="443" customFormat="false" ht="15" hidden="false" customHeight="true" outlineLevel="0" collapsed="false">
      <c r="A443" s="13" t="s">
        <v>252</v>
      </c>
      <c r="B443" s="11" t="s">
        <v>16337</v>
      </c>
      <c r="C443" s="11" t="s">
        <v>16375</v>
      </c>
      <c r="D443" s="13" t="s">
        <v>17221</v>
      </c>
      <c r="E443" s="13" t="s">
        <v>17222</v>
      </c>
    </row>
    <row r="444" customFormat="false" ht="15" hidden="false" customHeight="true" outlineLevel="0" collapsed="false">
      <c r="A444" s="13" t="s">
        <v>252</v>
      </c>
      <c r="B444" s="11" t="s">
        <v>16337</v>
      </c>
      <c r="C444" s="11" t="s">
        <v>16378</v>
      </c>
      <c r="D444" s="13" t="s">
        <v>17223</v>
      </c>
      <c r="E444" s="13" t="s">
        <v>17224</v>
      </c>
    </row>
    <row r="445" customFormat="false" ht="15" hidden="false" customHeight="true" outlineLevel="0" collapsed="false">
      <c r="A445" s="13" t="s">
        <v>252</v>
      </c>
      <c r="B445" s="11" t="s">
        <v>16337</v>
      </c>
      <c r="C445" s="11" t="s">
        <v>16381</v>
      </c>
      <c r="D445" s="13" t="s">
        <v>17225</v>
      </c>
      <c r="E445" s="13" t="s">
        <v>17226</v>
      </c>
    </row>
    <row r="446" customFormat="false" ht="15" hidden="false" customHeight="true" outlineLevel="0" collapsed="false">
      <c r="A446" s="13" t="s">
        <v>252</v>
      </c>
      <c r="B446" s="11" t="s">
        <v>16337</v>
      </c>
      <c r="C446" s="13" t="s">
        <v>16384</v>
      </c>
      <c r="D446" s="13" t="s">
        <v>17227</v>
      </c>
      <c r="E446" s="13" t="s">
        <v>17228</v>
      </c>
    </row>
    <row r="447" customFormat="false" ht="15" hidden="false" customHeight="true" outlineLevel="0" collapsed="false">
      <c r="A447" s="13" t="s">
        <v>252</v>
      </c>
      <c r="B447" s="11" t="s">
        <v>16337</v>
      </c>
      <c r="C447" s="11" t="s">
        <v>16387</v>
      </c>
      <c r="D447" s="13" t="s">
        <v>17229</v>
      </c>
      <c r="E447" s="13" t="s">
        <v>17230</v>
      </c>
    </row>
    <row r="448" customFormat="false" ht="15" hidden="false" customHeight="true" outlineLevel="0" collapsed="false">
      <c r="A448" s="13" t="s">
        <v>252</v>
      </c>
      <c r="B448" s="11" t="s">
        <v>16337</v>
      </c>
      <c r="C448" s="11" t="s">
        <v>16390</v>
      </c>
      <c r="D448" s="13" t="s">
        <v>17231</v>
      </c>
      <c r="E448" s="13" t="s">
        <v>17232</v>
      </c>
    </row>
    <row r="449" customFormat="false" ht="15" hidden="false" customHeight="true" outlineLevel="0" collapsed="false">
      <c r="A449" s="13" t="s">
        <v>252</v>
      </c>
      <c r="B449" s="11" t="s">
        <v>16337</v>
      </c>
      <c r="C449" s="11" t="s">
        <v>16393</v>
      </c>
      <c r="D449" s="13" t="s">
        <v>17233</v>
      </c>
      <c r="E449" s="13" t="s">
        <v>17234</v>
      </c>
    </row>
    <row r="450" customFormat="false" ht="15" hidden="false" customHeight="true" outlineLevel="0" collapsed="false">
      <c r="A450" s="13" t="s">
        <v>252</v>
      </c>
      <c r="B450" s="11" t="s">
        <v>16337</v>
      </c>
      <c r="C450" s="11" t="s">
        <v>16396</v>
      </c>
      <c r="D450" s="13" t="s">
        <v>17235</v>
      </c>
      <c r="E450" s="13" t="s">
        <v>17236</v>
      </c>
    </row>
    <row r="451" customFormat="false" ht="15" hidden="false" customHeight="true" outlineLevel="0" collapsed="false">
      <c r="A451" s="13" t="s">
        <v>260</v>
      </c>
      <c r="B451" s="11" t="s">
        <v>16337</v>
      </c>
      <c r="C451" s="13" t="s">
        <v>16338</v>
      </c>
      <c r="D451" s="13" t="s">
        <v>17237</v>
      </c>
      <c r="E451" s="13" t="s">
        <v>17238</v>
      </c>
    </row>
    <row r="452" customFormat="false" ht="15" hidden="false" customHeight="true" outlineLevel="0" collapsed="false">
      <c r="A452" s="13" t="s">
        <v>260</v>
      </c>
      <c r="B452" s="11" t="s">
        <v>16337</v>
      </c>
      <c r="C452" s="11" t="s">
        <v>16341</v>
      </c>
      <c r="D452" s="13" t="s">
        <v>17239</v>
      </c>
      <c r="E452" s="13" t="s">
        <v>17240</v>
      </c>
    </row>
    <row r="453" customFormat="false" ht="15" hidden="false" customHeight="true" outlineLevel="0" collapsed="false">
      <c r="A453" s="13" t="s">
        <v>260</v>
      </c>
      <c r="B453" s="11" t="s">
        <v>16337</v>
      </c>
      <c r="C453" s="11" t="s">
        <v>16344</v>
      </c>
      <c r="D453" s="13" t="s">
        <v>17241</v>
      </c>
      <c r="E453" s="13" t="s">
        <v>17242</v>
      </c>
    </row>
    <row r="454" customFormat="false" ht="15" hidden="false" customHeight="true" outlineLevel="0" collapsed="false">
      <c r="A454" s="13" t="s">
        <v>260</v>
      </c>
      <c r="B454" s="11" t="s">
        <v>16337</v>
      </c>
      <c r="C454" s="11" t="s">
        <v>16347</v>
      </c>
      <c r="D454" s="13" t="s">
        <v>17243</v>
      </c>
      <c r="E454" s="13" t="s">
        <v>17244</v>
      </c>
    </row>
    <row r="455" customFormat="false" ht="15" hidden="false" customHeight="true" outlineLevel="0" collapsed="false">
      <c r="A455" s="13" t="s">
        <v>260</v>
      </c>
      <c r="B455" s="11" t="s">
        <v>16337</v>
      </c>
      <c r="C455" s="11" t="s">
        <v>16350</v>
      </c>
      <c r="D455" s="13" t="s">
        <v>17245</v>
      </c>
      <c r="E455" s="13" t="s">
        <v>17246</v>
      </c>
    </row>
    <row r="456" customFormat="false" ht="15" hidden="false" customHeight="true" outlineLevel="0" collapsed="false">
      <c r="A456" s="13" t="s">
        <v>260</v>
      </c>
      <c r="B456" s="11" t="s">
        <v>16337</v>
      </c>
      <c r="C456" s="13" t="s">
        <v>16354</v>
      </c>
      <c r="D456" s="13" t="s">
        <v>17247</v>
      </c>
      <c r="E456" s="13" t="s">
        <v>17248</v>
      </c>
    </row>
    <row r="457" customFormat="false" ht="15" hidden="false" customHeight="true" outlineLevel="0" collapsed="false">
      <c r="A457" s="13" t="s">
        <v>260</v>
      </c>
      <c r="B457" s="11" t="s">
        <v>16337</v>
      </c>
      <c r="C457" s="11" t="s">
        <v>16357</v>
      </c>
      <c r="D457" s="13" t="s">
        <v>17249</v>
      </c>
      <c r="E457" s="13" t="s">
        <v>17250</v>
      </c>
    </row>
    <row r="458" customFormat="false" ht="15" hidden="false" customHeight="true" outlineLevel="0" collapsed="false">
      <c r="A458" s="13" t="s">
        <v>260</v>
      </c>
      <c r="B458" s="11" t="s">
        <v>16337</v>
      </c>
      <c r="C458" s="11" t="s">
        <v>16360</v>
      </c>
      <c r="D458" s="13" t="s">
        <v>17251</v>
      </c>
      <c r="E458" s="13" t="s">
        <v>17252</v>
      </c>
    </row>
    <row r="459" customFormat="false" ht="15" hidden="false" customHeight="true" outlineLevel="0" collapsed="false">
      <c r="A459" s="13" t="s">
        <v>260</v>
      </c>
      <c r="B459" s="11" t="s">
        <v>16337</v>
      </c>
      <c r="C459" s="11" t="s">
        <v>16363</v>
      </c>
      <c r="D459" s="13" t="s">
        <v>17253</v>
      </c>
      <c r="E459" s="13" t="s">
        <v>17254</v>
      </c>
    </row>
    <row r="460" customFormat="false" ht="15" hidden="false" customHeight="true" outlineLevel="0" collapsed="false">
      <c r="A460" s="13" t="s">
        <v>260</v>
      </c>
      <c r="B460" s="11" t="s">
        <v>16337</v>
      </c>
      <c r="C460" s="11" t="s">
        <v>16366</v>
      </c>
      <c r="D460" s="13" t="s">
        <v>17255</v>
      </c>
      <c r="E460" s="13" t="s">
        <v>17256</v>
      </c>
    </row>
    <row r="461" customFormat="false" ht="15" hidden="false" customHeight="true" outlineLevel="0" collapsed="false">
      <c r="A461" s="13" t="s">
        <v>260</v>
      </c>
      <c r="B461" s="11" t="s">
        <v>16337</v>
      </c>
      <c r="C461" s="11" t="s">
        <v>16369</v>
      </c>
      <c r="D461" s="13" t="s">
        <v>17257</v>
      </c>
      <c r="E461" s="13" t="s">
        <v>17258</v>
      </c>
    </row>
    <row r="462" customFormat="false" ht="15" hidden="false" customHeight="true" outlineLevel="0" collapsed="false">
      <c r="A462" s="13" t="s">
        <v>260</v>
      </c>
      <c r="B462" s="11" t="s">
        <v>16337</v>
      </c>
      <c r="C462" s="11" t="s">
        <v>16372</v>
      </c>
      <c r="D462" s="13" t="s">
        <v>17259</v>
      </c>
      <c r="E462" s="13" t="s">
        <v>17260</v>
      </c>
    </row>
    <row r="463" customFormat="false" ht="15" hidden="false" customHeight="true" outlineLevel="0" collapsed="false">
      <c r="A463" s="13" t="s">
        <v>260</v>
      </c>
      <c r="B463" s="11" t="s">
        <v>16337</v>
      </c>
      <c r="C463" s="11" t="s">
        <v>16375</v>
      </c>
      <c r="D463" s="13" t="s">
        <v>17261</v>
      </c>
      <c r="E463" s="13" t="s">
        <v>17262</v>
      </c>
    </row>
    <row r="464" customFormat="false" ht="15" hidden="false" customHeight="true" outlineLevel="0" collapsed="false">
      <c r="A464" s="13" t="s">
        <v>260</v>
      </c>
      <c r="B464" s="11" t="s">
        <v>16337</v>
      </c>
      <c r="C464" s="11" t="s">
        <v>16378</v>
      </c>
      <c r="D464" s="13" t="s">
        <v>17263</v>
      </c>
      <c r="E464" s="13" t="s">
        <v>17264</v>
      </c>
    </row>
    <row r="465" customFormat="false" ht="15" hidden="false" customHeight="true" outlineLevel="0" collapsed="false">
      <c r="A465" s="13" t="s">
        <v>260</v>
      </c>
      <c r="B465" s="11" t="s">
        <v>16337</v>
      </c>
      <c r="C465" s="11" t="s">
        <v>16381</v>
      </c>
      <c r="D465" s="13" t="s">
        <v>17265</v>
      </c>
      <c r="E465" s="13" t="s">
        <v>17266</v>
      </c>
    </row>
    <row r="466" customFormat="false" ht="15" hidden="false" customHeight="true" outlineLevel="0" collapsed="false">
      <c r="A466" s="13" t="s">
        <v>260</v>
      </c>
      <c r="B466" s="11" t="s">
        <v>16337</v>
      </c>
      <c r="C466" s="13" t="s">
        <v>16384</v>
      </c>
      <c r="D466" s="13" t="s">
        <v>17267</v>
      </c>
      <c r="E466" s="13" t="s">
        <v>17268</v>
      </c>
    </row>
    <row r="467" customFormat="false" ht="15" hidden="false" customHeight="true" outlineLevel="0" collapsed="false">
      <c r="A467" s="13" t="s">
        <v>260</v>
      </c>
      <c r="B467" s="11" t="s">
        <v>16337</v>
      </c>
      <c r="C467" s="11" t="s">
        <v>16387</v>
      </c>
      <c r="D467" s="13" t="s">
        <v>17269</v>
      </c>
      <c r="E467" s="13" t="s">
        <v>17270</v>
      </c>
    </row>
    <row r="468" customFormat="false" ht="15" hidden="false" customHeight="true" outlineLevel="0" collapsed="false">
      <c r="A468" s="13" t="s">
        <v>260</v>
      </c>
      <c r="B468" s="11" t="s">
        <v>16337</v>
      </c>
      <c r="C468" s="11" t="s">
        <v>16390</v>
      </c>
      <c r="D468" s="13" t="s">
        <v>17271</v>
      </c>
      <c r="E468" s="13" t="s">
        <v>17272</v>
      </c>
    </row>
    <row r="469" customFormat="false" ht="15" hidden="false" customHeight="true" outlineLevel="0" collapsed="false">
      <c r="A469" s="13" t="s">
        <v>260</v>
      </c>
      <c r="B469" s="11" t="s">
        <v>16337</v>
      </c>
      <c r="C469" s="11" t="s">
        <v>16393</v>
      </c>
      <c r="D469" s="13" t="s">
        <v>17273</v>
      </c>
      <c r="E469" s="13" t="s">
        <v>17274</v>
      </c>
    </row>
    <row r="470" customFormat="false" ht="15" hidden="false" customHeight="true" outlineLevel="0" collapsed="false">
      <c r="A470" s="13" t="s">
        <v>260</v>
      </c>
      <c r="B470" s="11" t="s">
        <v>16337</v>
      </c>
      <c r="C470" s="11" t="s">
        <v>16396</v>
      </c>
      <c r="D470" s="13" t="s">
        <v>17275</v>
      </c>
      <c r="E470" s="13" t="s">
        <v>17276</v>
      </c>
    </row>
    <row r="471" customFormat="false" ht="15" hidden="false" customHeight="true" outlineLevel="0" collapsed="false">
      <c r="A471" s="13" t="s">
        <v>268</v>
      </c>
      <c r="B471" s="11" t="s">
        <v>16337</v>
      </c>
      <c r="C471" s="13" t="s">
        <v>16338</v>
      </c>
      <c r="D471" s="13" t="s">
        <v>17277</v>
      </c>
      <c r="E471" s="13" t="s">
        <v>17278</v>
      </c>
    </row>
    <row r="472" customFormat="false" ht="15" hidden="false" customHeight="true" outlineLevel="0" collapsed="false">
      <c r="A472" s="13" t="s">
        <v>268</v>
      </c>
      <c r="B472" s="11" t="s">
        <v>16337</v>
      </c>
      <c r="C472" s="11" t="s">
        <v>16341</v>
      </c>
      <c r="D472" s="13" t="s">
        <v>17279</v>
      </c>
      <c r="E472" s="13" t="s">
        <v>17280</v>
      </c>
    </row>
    <row r="473" customFormat="false" ht="15" hidden="false" customHeight="true" outlineLevel="0" collapsed="false">
      <c r="A473" s="13" t="s">
        <v>268</v>
      </c>
      <c r="B473" s="11" t="s">
        <v>16337</v>
      </c>
      <c r="C473" s="11" t="s">
        <v>16344</v>
      </c>
      <c r="D473" s="13" t="s">
        <v>17281</v>
      </c>
      <c r="E473" s="13" t="s">
        <v>17282</v>
      </c>
    </row>
    <row r="474" customFormat="false" ht="15" hidden="false" customHeight="true" outlineLevel="0" collapsed="false">
      <c r="A474" s="13" t="s">
        <v>268</v>
      </c>
      <c r="B474" s="11" t="s">
        <v>16337</v>
      </c>
      <c r="C474" s="11" t="s">
        <v>16347</v>
      </c>
      <c r="D474" s="13" t="s">
        <v>17283</v>
      </c>
      <c r="E474" s="13" t="s">
        <v>17284</v>
      </c>
    </row>
    <row r="475" customFormat="false" ht="15" hidden="false" customHeight="true" outlineLevel="0" collapsed="false">
      <c r="A475" s="13" t="s">
        <v>268</v>
      </c>
      <c r="B475" s="11" t="s">
        <v>16337</v>
      </c>
      <c r="C475" s="11" t="s">
        <v>16350</v>
      </c>
      <c r="D475" s="13" t="s">
        <v>17285</v>
      </c>
      <c r="E475" s="13" t="s">
        <v>17286</v>
      </c>
    </row>
    <row r="476" customFormat="false" ht="15" hidden="false" customHeight="true" outlineLevel="0" collapsed="false">
      <c r="A476" s="13" t="s">
        <v>268</v>
      </c>
      <c r="B476" s="11" t="s">
        <v>16337</v>
      </c>
      <c r="C476" s="13" t="s">
        <v>16354</v>
      </c>
      <c r="D476" s="13" t="s">
        <v>17287</v>
      </c>
      <c r="E476" s="13" t="s">
        <v>17288</v>
      </c>
    </row>
    <row r="477" customFormat="false" ht="15" hidden="false" customHeight="true" outlineLevel="0" collapsed="false">
      <c r="A477" s="13" t="s">
        <v>268</v>
      </c>
      <c r="B477" s="11" t="s">
        <v>16337</v>
      </c>
      <c r="C477" s="11" t="s">
        <v>16357</v>
      </c>
      <c r="D477" s="13" t="s">
        <v>17289</v>
      </c>
      <c r="E477" s="13" t="s">
        <v>17290</v>
      </c>
    </row>
    <row r="478" customFormat="false" ht="15" hidden="false" customHeight="true" outlineLevel="0" collapsed="false">
      <c r="A478" s="13" t="s">
        <v>268</v>
      </c>
      <c r="B478" s="11" t="s">
        <v>16337</v>
      </c>
      <c r="C478" s="11" t="s">
        <v>16360</v>
      </c>
      <c r="D478" s="13" t="s">
        <v>17291</v>
      </c>
      <c r="E478" s="13" t="s">
        <v>17292</v>
      </c>
    </row>
    <row r="479" customFormat="false" ht="15" hidden="false" customHeight="true" outlineLevel="0" collapsed="false">
      <c r="A479" s="13" t="s">
        <v>268</v>
      </c>
      <c r="B479" s="11" t="s">
        <v>16337</v>
      </c>
      <c r="C479" s="11" t="s">
        <v>16363</v>
      </c>
      <c r="D479" s="13" t="s">
        <v>17293</v>
      </c>
      <c r="E479" s="13" t="s">
        <v>17294</v>
      </c>
    </row>
    <row r="480" customFormat="false" ht="15" hidden="false" customHeight="true" outlineLevel="0" collapsed="false">
      <c r="A480" s="13" t="s">
        <v>268</v>
      </c>
      <c r="B480" s="11" t="s">
        <v>16337</v>
      </c>
      <c r="C480" s="11" t="s">
        <v>16366</v>
      </c>
      <c r="D480" s="13" t="s">
        <v>17295</v>
      </c>
      <c r="E480" s="13" t="s">
        <v>17296</v>
      </c>
    </row>
    <row r="481" customFormat="false" ht="15" hidden="false" customHeight="true" outlineLevel="0" collapsed="false">
      <c r="A481" s="13" t="s">
        <v>268</v>
      </c>
      <c r="B481" s="11" t="s">
        <v>16337</v>
      </c>
      <c r="C481" s="11" t="s">
        <v>16369</v>
      </c>
      <c r="D481" s="13" t="s">
        <v>17297</v>
      </c>
      <c r="E481" s="13" t="s">
        <v>17298</v>
      </c>
    </row>
    <row r="482" customFormat="false" ht="15" hidden="false" customHeight="true" outlineLevel="0" collapsed="false">
      <c r="A482" s="13" t="s">
        <v>268</v>
      </c>
      <c r="B482" s="11" t="s">
        <v>16337</v>
      </c>
      <c r="C482" s="11" t="s">
        <v>16372</v>
      </c>
      <c r="D482" s="13" t="s">
        <v>17299</v>
      </c>
      <c r="E482" s="13" t="s">
        <v>17300</v>
      </c>
    </row>
    <row r="483" customFormat="false" ht="15" hidden="false" customHeight="true" outlineLevel="0" collapsed="false">
      <c r="A483" s="13" t="s">
        <v>268</v>
      </c>
      <c r="B483" s="11" t="s">
        <v>16337</v>
      </c>
      <c r="C483" s="11" t="s">
        <v>16375</v>
      </c>
      <c r="D483" s="13" t="s">
        <v>17301</v>
      </c>
      <c r="E483" s="13" t="s">
        <v>17302</v>
      </c>
    </row>
    <row r="484" customFormat="false" ht="15" hidden="false" customHeight="true" outlineLevel="0" collapsed="false">
      <c r="A484" s="13" t="s">
        <v>268</v>
      </c>
      <c r="B484" s="11" t="s">
        <v>16337</v>
      </c>
      <c r="C484" s="11" t="s">
        <v>16378</v>
      </c>
      <c r="D484" s="13" t="s">
        <v>17303</v>
      </c>
      <c r="E484" s="13" t="s">
        <v>17304</v>
      </c>
    </row>
    <row r="485" customFormat="false" ht="15" hidden="false" customHeight="true" outlineLevel="0" collapsed="false">
      <c r="A485" s="13" t="s">
        <v>268</v>
      </c>
      <c r="B485" s="11" t="s">
        <v>16337</v>
      </c>
      <c r="C485" s="11" t="s">
        <v>16381</v>
      </c>
      <c r="D485" s="13" t="s">
        <v>17305</v>
      </c>
      <c r="E485" s="13" t="s">
        <v>17306</v>
      </c>
    </row>
    <row r="486" customFormat="false" ht="15" hidden="false" customHeight="true" outlineLevel="0" collapsed="false">
      <c r="A486" s="13" t="s">
        <v>268</v>
      </c>
      <c r="B486" s="11" t="s">
        <v>16337</v>
      </c>
      <c r="C486" s="13" t="s">
        <v>16384</v>
      </c>
      <c r="D486" s="13" t="s">
        <v>17307</v>
      </c>
      <c r="E486" s="13" t="s">
        <v>17308</v>
      </c>
    </row>
    <row r="487" customFormat="false" ht="15" hidden="false" customHeight="true" outlineLevel="0" collapsed="false">
      <c r="A487" s="13" t="s">
        <v>268</v>
      </c>
      <c r="B487" s="11" t="s">
        <v>16337</v>
      </c>
      <c r="C487" s="11" t="s">
        <v>16387</v>
      </c>
      <c r="D487" s="13" t="s">
        <v>17309</v>
      </c>
      <c r="E487" s="13" t="s">
        <v>17310</v>
      </c>
    </row>
    <row r="488" customFormat="false" ht="15" hidden="false" customHeight="true" outlineLevel="0" collapsed="false">
      <c r="A488" s="13" t="s">
        <v>268</v>
      </c>
      <c r="B488" s="11" t="s">
        <v>16337</v>
      </c>
      <c r="C488" s="11" t="s">
        <v>16390</v>
      </c>
      <c r="D488" s="13" t="s">
        <v>17311</v>
      </c>
      <c r="E488" s="13" t="s">
        <v>17312</v>
      </c>
    </row>
    <row r="489" customFormat="false" ht="15" hidden="false" customHeight="true" outlineLevel="0" collapsed="false">
      <c r="A489" s="13" t="s">
        <v>268</v>
      </c>
      <c r="B489" s="11" t="s">
        <v>16337</v>
      </c>
      <c r="C489" s="11" t="s">
        <v>16393</v>
      </c>
      <c r="D489" s="13" t="s">
        <v>17313</v>
      </c>
      <c r="E489" s="13" t="s">
        <v>17314</v>
      </c>
    </row>
    <row r="490" customFormat="false" ht="15" hidden="false" customHeight="true" outlineLevel="0" collapsed="false">
      <c r="A490" s="13" t="s">
        <v>268</v>
      </c>
      <c r="B490" s="11" t="s">
        <v>16337</v>
      </c>
      <c r="C490" s="11" t="s">
        <v>16396</v>
      </c>
      <c r="D490" s="13" t="s">
        <v>17315</v>
      </c>
      <c r="E490" s="13" t="s">
        <v>17316</v>
      </c>
    </row>
    <row r="491" customFormat="false" ht="15" hidden="false" customHeight="true" outlineLevel="0" collapsed="false">
      <c r="A491" s="13" t="s">
        <v>276</v>
      </c>
      <c r="B491" s="11" t="s">
        <v>16337</v>
      </c>
      <c r="C491" s="13" t="s">
        <v>16338</v>
      </c>
      <c r="D491" s="13" t="s">
        <v>17317</v>
      </c>
      <c r="E491" s="13" t="s">
        <v>17318</v>
      </c>
    </row>
    <row r="492" customFormat="false" ht="15" hidden="false" customHeight="true" outlineLevel="0" collapsed="false">
      <c r="A492" s="13" t="s">
        <v>276</v>
      </c>
      <c r="B492" s="11" t="s">
        <v>16337</v>
      </c>
      <c r="C492" s="11" t="s">
        <v>16341</v>
      </c>
      <c r="D492" s="13" t="s">
        <v>17319</v>
      </c>
      <c r="E492" s="13" t="s">
        <v>17320</v>
      </c>
    </row>
    <row r="493" customFormat="false" ht="15" hidden="false" customHeight="true" outlineLevel="0" collapsed="false">
      <c r="A493" s="13" t="s">
        <v>276</v>
      </c>
      <c r="B493" s="11" t="s">
        <v>16337</v>
      </c>
      <c r="C493" s="11" t="s">
        <v>16344</v>
      </c>
      <c r="D493" s="13" t="s">
        <v>17321</v>
      </c>
      <c r="E493" s="13" t="s">
        <v>17322</v>
      </c>
    </row>
    <row r="494" customFormat="false" ht="15" hidden="false" customHeight="true" outlineLevel="0" collapsed="false">
      <c r="A494" s="13" t="s">
        <v>276</v>
      </c>
      <c r="B494" s="11" t="s">
        <v>16337</v>
      </c>
      <c r="C494" s="11" t="s">
        <v>16347</v>
      </c>
      <c r="D494" s="13" t="s">
        <v>17323</v>
      </c>
      <c r="E494" s="13" t="s">
        <v>17324</v>
      </c>
    </row>
    <row r="495" customFormat="false" ht="15" hidden="false" customHeight="true" outlineLevel="0" collapsed="false">
      <c r="A495" s="13" t="s">
        <v>276</v>
      </c>
      <c r="B495" s="11" t="s">
        <v>16337</v>
      </c>
      <c r="C495" s="11" t="s">
        <v>16350</v>
      </c>
      <c r="D495" s="13" t="s">
        <v>17325</v>
      </c>
      <c r="E495" s="13" t="s">
        <v>17326</v>
      </c>
    </row>
    <row r="496" customFormat="false" ht="15" hidden="false" customHeight="true" outlineLevel="0" collapsed="false">
      <c r="A496" s="13" t="s">
        <v>276</v>
      </c>
      <c r="B496" s="11" t="s">
        <v>16337</v>
      </c>
      <c r="C496" s="13" t="s">
        <v>16354</v>
      </c>
      <c r="D496" s="13" t="s">
        <v>17327</v>
      </c>
      <c r="E496" s="13" t="s">
        <v>17328</v>
      </c>
    </row>
    <row r="497" customFormat="false" ht="15" hidden="false" customHeight="true" outlineLevel="0" collapsed="false">
      <c r="A497" s="13" t="s">
        <v>276</v>
      </c>
      <c r="B497" s="11" t="s">
        <v>16337</v>
      </c>
      <c r="C497" s="11" t="s">
        <v>16357</v>
      </c>
      <c r="D497" s="13" t="s">
        <v>17329</v>
      </c>
      <c r="E497" s="13" t="s">
        <v>17330</v>
      </c>
    </row>
    <row r="498" customFormat="false" ht="15" hidden="false" customHeight="true" outlineLevel="0" collapsed="false">
      <c r="A498" s="13" t="s">
        <v>276</v>
      </c>
      <c r="B498" s="11" t="s">
        <v>16337</v>
      </c>
      <c r="C498" s="11" t="s">
        <v>16360</v>
      </c>
      <c r="D498" s="13" t="s">
        <v>17331</v>
      </c>
      <c r="E498" s="13" t="s">
        <v>17332</v>
      </c>
    </row>
    <row r="499" customFormat="false" ht="15" hidden="false" customHeight="true" outlineLevel="0" collapsed="false">
      <c r="A499" s="13" t="s">
        <v>276</v>
      </c>
      <c r="B499" s="11" t="s">
        <v>16337</v>
      </c>
      <c r="C499" s="11" t="s">
        <v>16363</v>
      </c>
      <c r="D499" s="13" t="s">
        <v>17333</v>
      </c>
      <c r="E499" s="13" t="s">
        <v>17334</v>
      </c>
    </row>
    <row r="500" customFormat="false" ht="15" hidden="false" customHeight="true" outlineLevel="0" collapsed="false">
      <c r="A500" s="13" t="s">
        <v>276</v>
      </c>
      <c r="B500" s="11" t="s">
        <v>16337</v>
      </c>
      <c r="C500" s="11" t="s">
        <v>16366</v>
      </c>
      <c r="D500" s="13" t="s">
        <v>17335</v>
      </c>
      <c r="E500" s="13" t="s">
        <v>17336</v>
      </c>
    </row>
    <row r="501" customFormat="false" ht="15" hidden="false" customHeight="true" outlineLevel="0" collapsed="false">
      <c r="A501" s="13" t="s">
        <v>276</v>
      </c>
      <c r="B501" s="11" t="s">
        <v>16337</v>
      </c>
      <c r="C501" s="11" t="s">
        <v>16369</v>
      </c>
      <c r="D501" s="13" t="s">
        <v>17337</v>
      </c>
      <c r="E501" s="13" t="s">
        <v>17338</v>
      </c>
    </row>
    <row r="502" customFormat="false" ht="15" hidden="false" customHeight="true" outlineLevel="0" collapsed="false">
      <c r="A502" s="13" t="s">
        <v>276</v>
      </c>
      <c r="B502" s="11" t="s">
        <v>16337</v>
      </c>
      <c r="C502" s="11" t="s">
        <v>16372</v>
      </c>
      <c r="D502" s="13" t="s">
        <v>17339</v>
      </c>
      <c r="E502" s="13" t="s">
        <v>17340</v>
      </c>
    </row>
    <row r="503" customFormat="false" ht="15" hidden="false" customHeight="true" outlineLevel="0" collapsed="false">
      <c r="A503" s="13" t="s">
        <v>276</v>
      </c>
      <c r="B503" s="11" t="s">
        <v>16337</v>
      </c>
      <c r="C503" s="11" t="s">
        <v>16375</v>
      </c>
      <c r="D503" s="13" t="s">
        <v>17341</v>
      </c>
      <c r="E503" s="13" t="s">
        <v>17342</v>
      </c>
    </row>
    <row r="504" customFormat="false" ht="15" hidden="false" customHeight="true" outlineLevel="0" collapsed="false">
      <c r="A504" s="13" t="s">
        <v>276</v>
      </c>
      <c r="B504" s="11" t="s">
        <v>16337</v>
      </c>
      <c r="C504" s="11" t="s">
        <v>16378</v>
      </c>
      <c r="D504" s="13" t="s">
        <v>17343</v>
      </c>
      <c r="E504" s="13" t="s">
        <v>17344</v>
      </c>
    </row>
    <row r="505" customFormat="false" ht="15" hidden="false" customHeight="true" outlineLevel="0" collapsed="false">
      <c r="A505" s="13" t="s">
        <v>276</v>
      </c>
      <c r="B505" s="11" t="s">
        <v>16337</v>
      </c>
      <c r="C505" s="11" t="s">
        <v>16381</v>
      </c>
      <c r="D505" s="13" t="s">
        <v>17345</v>
      </c>
      <c r="E505" s="13" t="s">
        <v>17346</v>
      </c>
    </row>
    <row r="506" customFormat="false" ht="15" hidden="false" customHeight="true" outlineLevel="0" collapsed="false">
      <c r="A506" s="13" t="s">
        <v>276</v>
      </c>
      <c r="B506" s="11" t="s">
        <v>16337</v>
      </c>
      <c r="C506" s="13" t="s">
        <v>16384</v>
      </c>
      <c r="D506" s="13" t="s">
        <v>17347</v>
      </c>
      <c r="E506" s="13" t="s">
        <v>17348</v>
      </c>
    </row>
    <row r="507" customFormat="false" ht="15" hidden="false" customHeight="true" outlineLevel="0" collapsed="false">
      <c r="A507" s="13" t="s">
        <v>276</v>
      </c>
      <c r="B507" s="11" t="s">
        <v>16337</v>
      </c>
      <c r="C507" s="11" t="s">
        <v>16387</v>
      </c>
      <c r="D507" s="13" t="s">
        <v>17349</v>
      </c>
      <c r="E507" s="13" t="s">
        <v>17350</v>
      </c>
    </row>
    <row r="508" customFormat="false" ht="15" hidden="false" customHeight="true" outlineLevel="0" collapsed="false">
      <c r="A508" s="13" t="s">
        <v>276</v>
      </c>
      <c r="B508" s="11" t="s">
        <v>16337</v>
      </c>
      <c r="C508" s="11" t="s">
        <v>16390</v>
      </c>
      <c r="D508" s="13" t="s">
        <v>17351</v>
      </c>
      <c r="E508" s="13" t="s">
        <v>17352</v>
      </c>
    </row>
    <row r="509" customFormat="false" ht="15" hidden="false" customHeight="true" outlineLevel="0" collapsed="false">
      <c r="A509" s="13" t="s">
        <v>276</v>
      </c>
      <c r="B509" s="11" t="s">
        <v>16337</v>
      </c>
      <c r="C509" s="11" t="s">
        <v>16393</v>
      </c>
      <c r="D509" s="13" t="s">
        <v>17353</v>
      </c>
      <c r="E509" s="13" t="s">
        <v>17354</v>
      </c>
    </row>
    <row r="510" customFormat="false" ht="15" hidden="false" customHeight="true" outlineLevel="0" collapsed="false">
      <c r="A510" s="13" t="s">
        <v>276</v>
      </c>
      <c r="B510" s="11" t="s">
        <v>16337</v>
      </c>
      <c r="C510" s="11" t="s">
        <v>16396</v>
      </c>
      <c r="D510" s="13" t="s">
        <v>17355</v>
      </c>
      <c r="E510" s="13" t="s">
        <v>17356</v>
      </c>
    </row>
    <row r="511" customFormat="false" ht="15" hidden="false" customHeight="true" outlineLevel="0" collapsed="false">
      <c r="A511" s="13" t="s">
        <v>284</v>
      </c>
      <c r="B511" s="11" t="s">
        <v>16337</v>
      </c>
      <c r="C511" s="13" t="s">
        <v>16338</v>
      </c>
      <c r="D511" s="13" t="s">
        <v>17357</v>
      </c>
      <c r="E511" s="13" t="s">
        <v>17358</v>
      </c>
    </row>
    <row r="512" customFormat="false" ht="15" hidden="false" customHeight="true" outlineLevel="0" collapsed="false">
      <c r="A512" s="13" t="s">
        <v>284</v>
      </c>
      <c r="B512" s="11" t="s">
        <v>16337</v>
      </c>
      <c r="C512" s="11" t="s">
        <v>16341</v>
      </c>
      <c r="D512" s="13" t="s">
        <v>17359</v>
      </c>
      <c r="E512" s="13" t="s">
        <v>17360</v>
      </c>
    </row>
    <row r="513" customFormat="false" ht="15" hidden="false" customHeight="true" outlineLevel="0" collapsed="false">
      <c r="A513" s="13" t="s">
        <v>284</v>
      </c>
      <c r="B513" s="11" t="s">
        <v>16337</v>
      </c>
      <c r="C513" s="11" t="s">
        <v>16344</v>
      </c>
      <c r="D513" s="13" t="s">
        <v>17361</v>
      </c>
      <c r="E513" s="13" t="s">
        <v>17362</v>
      </c>
    </row>
    <row r="514" customFormat="false" ht="15" hidden="false" customHeight="true" outlineLevel="0" collapsed="false">
      <c r="A514" s="13" t="s">
        <v>284</v>
      </c>
      <c r="B514" s="11" t="s">
        <v>16337</v>
      </c>
      <c r="C514" s="11" t="s">
        <v>16347</v>
      </c>
      <c r="D514" s="13" t="s">
        <v>17363</v>
      </c>
      <c r="E514" s="13" t="s">
        <v>17364</v>
      </c>
    </row>
    <row r="515" customFormat="false" ht="15" hidden="false" customHeight="true" outlineLevel="0" collapsed="false">
      <c r="A515" s="13" t="s">
        <v>284</v>
      </c>
      <c r="B515" s="11" t="s">
        <v>16337</v>
      </c>
      <c r="C515" s="11" t="s">
        <v>16350</v>
      </c>
      <c r="D515" s="13" t="s">
        <v>17365</v>
      </c>
      <c r="E515" s="13" t="s">
        <v>17366</v>
      </c>
    </row>
    <row r="516" customFormat="false" ht="15" hidden="false" customHeight="true" outlineLevel="0" collapsed="false">
      <c r="A516" s="13" t="s">
        <v>284</v>
      </c>
      <c r="B516" s="11" t="s">
        <v>16337</v>
      </c>
      <c r="C516" s="13" t="s">
        <v>16354</v>
      </c>
      <c r="D516" s="13" t="s">
        <v>17367</v>
      </c>
      <c r="E516" s="13" t="s">
        <v>17368</v>
      </c>
    </row>
    <row r="517" customFormat="false" ht="15" hidden="false" customHeight="true" outlineLevel="0" collapsed="false">
      <c r="A517" s="13" t="s">
        <v>284</v>
      </c>
      <c r="B517" s="11" t="s">
        <v>16337</v>
      </c>
      <c r="C517" s="11" t="s">
        <v>16357</v>
      </c>
      <c r="D517" s="13" t="s">
        <v>17369</v>
      </c>
      <c r="E517" s="13" t="s">
        <v>17370</v>
      </c>
    </row>
    <row r="518" customFormat="false" ht="15" hidden="false" customHeight="true" outlineLevel="0" collapsed="false">
      <c r="A518" s="13" t="s">
        <v>284</v>
      </c>
      <c r="B518" s="11" t="s">
        <v>16337</v>
      </c>
      <c r="C518" s="11" t="s">
        <v>16360</v>
      </c>
      <c r="D518" s="13" t="s">
        <v>17371</v>
      </c>
      <c r="E518" s="13" t="s">
        <v>17372</v>
      </c>
    </row>
    <row r="519" customFormat="false" ht="15" hidden="false" customHeight="true" outlineLevel="0" collapsed="false">
      <c r="A519" s="13" t="s">
        <v>284</v>
      </c>
      <c r="B519" s="11" t="s">
        <v>16337</v>
      </c>
      <c r="C519" s="11" t="s">
        <v>16363</v>
      </c>
      <c r="D519" s="13" t="s">
        <v>17373</v>
      </c>
      <c r="E519" s="13" t="s">
        <v>17374</v>
      </c>
    </row>
    <row r="520" customFormat="false" ht="15" hidden="false" customHeight="true" outlineLevel="0" collapsed="false">
      <c r="A520" s="13" t="s">
        <v>284</v>
      </c>
      <c r="B520" s="11" t="s">
        <v>16337</v>
      </c>
      <c r="C520" s="11" t="s">
        <v>16366</v>
      </c>
      <c r="D520" s="13" t="s">
        <v>17375</v>
      </c>
      <c r="E520" s="13" t="s">
        <v>17376</v>
      </c>
    </row>
    <row r="521" customFormat="false" ht="15" hidden="false" customHeight="true" outlineLevel="0" collapsed="false">
      <c r="A521" s="13" t="s">
        <v>284</v>
      </c>
      <c r="B521" s="11" t="s">
        <v>16337</v>
      </c>
      <c r="C521" s="11" t="s">
        <v>16369</v>
      </c>
      <c r="D521" s="13" t="s">
        <v>17377</v>
      </c>
      <c r="E521" s="13" t="s">
        <v>17378</v>
      </c>
    </row>
    <row r="522" customFormat="false" ht="15" hidden="false" customHeight="true" outlineLevel="0" collapsed="false">
      <c r="A522" s="13" t="s">
        <v>284</v>
      </c>
      <c r="B522" s="11" t="s">
        <v>16337</v>
      </c>
      <c r="C522" s="11" t="s">
        <v>16372</v>
      </c>
      <c r="D522" s="13" t="s">
        <v>17379</v>
      </c>
      <c r="E522" s="13" t="s">
        <v>17380</v>
      </c>
    </row>
    <row r="523" customFormat="false" ht="15" hidden="false" customHeight="true" outlineLevel="0" collapsed="false">
      <c r="A523" s="13" t="s">
        <v>284</v>
      </c>
      <c r="B523" s="11" t="s">
        <v>16337</v>
      </c>
      <c r="C523" s="11" t="s">
        <v>16375</v>
      </c>
      <c r="D523" s="13" t="s">
        <v>17381</v>
      </c>
      <c r="E523" s="13" t="s">
        <v>17382</v>
      </c>
    </row>
    <row r="524" customFormat="false" ht="15" hidden="false" customHeight="true" outlineLevel="0" collapsed="false">
      <c r="A524" s="13" t="s">
        <v>284</v>
      </c>
      <c r="B524" s="11" t="s">
        <v>16337</v>
      </c>
      <c r="C524" s="11" t="s">
        <v>16378</v>
      </c>
      <c r="D524" s="13" t="s">
        <v>17383</v>
      </c>
      <c r="E524" s="13" t="s">
        <v>17384</v>
      </c>
    </row>
    <row r="525" customFormat="false" ht="15" hidden="false" customHeight="true" outlineLevel="0" collapsed="false">
      <c r="A525" s="13" t="s">
        <v>284</v>
      </c>
      <c r="B525" s="11" t="s">
        <v>16337</v>
      </c>
      <c r="C525" s="11" t="s">
        <v>16381</v>
      </c>
      <c r="D525" s="13" t="s">
        <v>17385</v>
      </c>
      <c r="E525" s="13" t="s">
        <v>17386</v>
      </c>
    </row>
    <row r="526" customFormat="false" ht="15" hidden="false" customHeight="true" outlineLevel="0" collapsed="false">
      <c r="A526" s="13" t="s">
        <v>284</v>
      </c>
      <c r="B526" s="11" t="s">
        <v>16337</v>
      </c>
      <c r="C526" s="13" t="s">
        <v>16384</v>
      </c>
      <c r="D526" s="13" t="s">
        <v>17387</v>
      </c>
      <c r="E526" s="13" t="s">
        <v>17388</v>
      </c>
    </row>
    <row r="527" customFormat="false" ht="15" hidden="false" customHeight="true" outlineLevel="0" collapsed="false">
      <c r="A527" s="13" t="s">
        <v>284</v>
      </c>
      <c r="B527" s="11" t="s">
        <v>16337</v>
      </c>
      <c r="C527" s="11" t="s">
        <v>16387</v>
      </c>
      <c r="D527" s="13" t="s">
        <v>17389</v>
      </c>
      <c r="E527" s="13" t="s">
        <v>17390</v>
      </c>
    </row>
    <row r="528" customFormat="false" ht="15" hidden="false" customHeight="true" outlineLevel="0" collapsed="false">
      <c r="A528" s="13" t="s">
        <v>284</v>
      </c>
      <c r="B528" s="11" t="s">
        <v>16337</v>
      </c>
      <c r="C528" s="11" t="s">
        <v>16390</v>
      </c>
      <c r="D528" s="13" t="s">
        <v>17391</v>
      </c>
      <c r="E528" s="13" t="s">
        <v>17392</v>
      </c>
    </row>
    <row r="529" customFormat="false" ht="15" hidden="false" customHeight="true" outlineLevel="0" collapsed="false">
      <c r="A529" s="13" t="s">
        <v>284</v>
      </c>
      <c r="B529" s="11" t="s">
        <v>16337</v>
      </c>
      <c r="C529" s="11" t="s">
        <v>16393</v>
      </c>
      <c r="D529" s="13" t="s">
        <v>17393</v>
      </c>
      <c r="E529" s="13" t="s">
        <v>17394</v>
      </c>
    </row>
    <row r="530" customFormat="false" ht="15" hidden="false" customHeight="true" outlineLevel="0" collapsed="false">
      <c r="A530" s="13" t="s">
        <v>284</v>
      </c>
      <c r="B530" s="11" t="s">
        <v>16337</v>
      </c>
      <c r="C530" s="11" t="s">
        <v>16396</v>
      </c>
      <c r="D530" s="13" t="s">
        <v>17395</v>
      </c>
      <c r="E530" s="13" t="s">
        <v>17396</v>
      </c>
    </row>
    <row r="531" customFormat="false" ht="15" hidden="false" customHeight="true" outlineLevel="0" collapsed="false">
      <c r="A531" s="13" t="s">
        <v>293</v>
      </c>
      <c r="B531" s="11" t="s">
        <v>16337</v>
      </c>
      <c r="C531" s="13" t="s">
        <v>16338</v>
      </c>
      <c r="D531" s="13" t="s">
        <v>17397</v>
      </c>
      <c r="E531" s="13" t="s">
        <v>17398</v>
      </c>
    </row>
    <row r="532" customFormat="false" ht="15" hidden="false" customHeight="true" outlineLevel="0" collapsed="false">
      <c r="A532" s="13" t="s">
        <v>293</v>
      </c>
      <c r="B532" s="11" t="s">
        <v>16337</v>
      </c>
      <c r="C532" s="11" t="s">
        <v>16341</v>
      </c>
      <c r="D532" s="13" t="s">
        <v>17399</v>
      </c>
      <c r="E532" s="13" t="s">
        <v>17400</v>
      </c>
    </row>
    <row r="533" customFormat="false" ht="15" hidden="false" customHeight="true" outlineLevel="0" collapsed="false">
      <c r="A533" s="13" t="s">
        <v>293</v>
      </c>
      <c r="B533" s="11" t="s">
        <v>16337</v>
      </c>
      <c r="C533" s="11" t="s">
        <v>16344</v>
      </c>
      <c r="D533" s="13" t="s">
        <v>17401</v>
      </c>
      <c r="E533" s="13" t="s">
        <v>17402</v>
      </c>
    </row>
    <row r="534" customFormat="false" ht="15" hidden="false" customHeight="true" outlineLevel="0" collapsed="false">
      <c r="A534" s="13" t="s">
        <v>293</v>
      </c>
      <c r="B534" s="11" t="s">
        <v>16337</v>
      </c>
      <c r="C534" s="11" t="s">
        <v>16347</v>
      </c>
      <c r="D534" s="13" t="s">
        <v>17403</v>
      </c>
      <c r="E534" s="13" t="s">
        <v>17404</v>
      </c>
    </row>
    <row r="535" customFormat="false" ht="15" hidden="false" customHeight="true" outlineLevel="0" collapsed="false">
      <c r="A535" s="13" t="s">
        <v>293</v>
      </c>
      <c r="B535" s="11" t="s">
        <v>16337</v>
      </c>
      <c r="C535" s="11" t="s">
        <v>16350</v>
      </c>
      <c r="D535" s="13" t="s">
        <v>17405</v>
      </c>
      <c r="E535" s="13" t="s">
        <v>17406</v>
      </c>
    </row>
    <row r="536" customFormat="false" ht="15" hidden="false" customHeight="true" outlineLevel="0" collapsed="false">
      <c r="A536" s="13" t="s">
        <v>293</v>
      </c>
      <c r="B536" s="11" t="s">
        <v>16337</v>
      </c>
      <c r="C536" s="11" t="s">
        <v>16353</v>
      </c>
      <c r="D536" s="13" t="s">
        <v>13181</v>
      </c>
      <c r="E536" s="13" t="s">
        <v>1019</v>
      </c>
    </row>
    <row r="537" customFormat="false" ht="15" hidden="false" customHeight="true" outlineLevel="0" collapsed="false">
      <c r="A537" s="13" t="s">
        <v>293</v>
      </c>
      <c r="B537" s="11" t="s">
        <v>16337</v>
      </c>
      <c r="C537" s="13" t="s">
        <v>16354</v>
      </c>
      <c r="D537" s="13" t="s">
        <v>17407</v>
      </c>
      <c r="E537" s="13" t="s">
        <v>17408</v>
      </c>
    </row>
    <row r="538" customFormat="false" ht="15" hidden="false" customHeight="true" outlineLevel="0" collapsed="false">
      <c r="A538" s="13" t="s">
        <v>293</v>
      </c>
      <c r="B538" s="11" t="s">
        <v>16337</v>
      </c>
      <c r="C538" s="11" t="s">
        <v>16357</v>
      </c>
      <c r="D538" s="13" t="s">
        <v>17409</v>
      </c>
      <c r="E538" s="13" t="s">
        <v>17410</v>
      </c>
    </row>
    <row r="539" customFormat="false" ht="15" hidden="false" customHeight="true" outlineLevel="0" collapsed="false">
      <c r="A539" s="13" t="s">
        <v>293</v>
      </c>
      <c r="B539" s="11" t="s">
        <v>16337</v>
      </c>
      <c r="C539" s="11" t="s">
        <v>16360</v>
      </c>
      <c r="D539" s="13" t="s">
        <v>17411</v>
      </c>
      <c r="E539" s="13" t="s">
        <v>17412</v>
      </c>
    </row>
    <row r="540" customFormat="false" ht="15" hidden="false" customHeight="true" outlineLevel="0" collapsed="false">
      <c r="A540" s="13" t="s">
        <v>293</v>
      </c>
      <c r="B540" s="11" t="s">
        <v>16337</v>
      </c>
      <c r="C540" s="11" t="s">
        <v>16363</v>
      </c>
      <c r="D540" s="13" t="s">
        <v>17413</v>
      </c>
      <c r="E540" s="13" t="s">
        <v>17414</v>
      </c>
    </row>
    <row r="541" customFormat="false" ht="15" hidden="false" customHeight="true" outlineLevel="0" collapsed="false">
      <c r="A541" s="13" t="s">
        <v>293</v>
      </c>
      <c r="B541" s="11" t="s">
        <v>16337</v>
      </c>
      <c r="C541" s="11" t="s">
        <v>16366</v>
      </c>
      <c r="D541" s="13" t="s">
        <v>17415</v>
      </c>
      <c r="E541" s="13" t="s">
        <v>17416</v>
      </c>
    </row>
    <row r="542" customFormat="false" ht="15" hidden="false" customHeight="true" outlineLevel="0" collapsed="false">
      <c r="A542" s="13" t="s">
        <v>293</v>
      </c>
      <c r="B542" s="11" t="s">
        <v>16337</v>
      </c>
      <c r="C542" s="11" t="s">
        <v>16369</v>
      </c>
      <c r="D542" s="13" t="s">
        <v>17417</v>
      </c>
      <c r="E542" s="13" t="s">
        <v>17418</v>
      </c>
    </row>
    <row r="543" customFormat="false" ht="15" hidden="false" customHeight="true" outlineLevel="0" collapsed="false">
      <c r="A543" s="13" t="s">
        <v>293</v>
      </c>
      <c r="B543" s="11" t="s">
        <v>16337</v>
      </c>
      <c r="C543" s="11" t="s">
        <v>16372</v>
      </c>
      <c r="D543" s="13" t="s">
        <v>17419</v>
      </c>
      <c r="E543" s="13" t="s">
        <v>17420</v>
      </c>
    </row>
    <row r="544" customFormat="false" ht="15" hidden="false" customHeight="true" outlineLevel="0" collapsed="false">
      <c r="A544" s="13" t="s">
        <v>293</v>
      </c>
      <c r="B544" s="11" t="s">
        <v>16337</v>
      </c>
      <c r="C544" s="11" t="s">
        <v>16375</v>
      </c>
      <c r="D544" s="13" t="s">
        <v>17421</v>
      </c>
      <c r="E544" s="13" t="s">
        <v>17422</v>
      </c>
    </row>
    <row r="545" customFormat="false" ht="15" hidden="false" customHeight="true" outlineLevel="0" collapsed="false">
      <c r="A545" s="13" t="s">
        <v>293</v>
      </c>
      <c r="B545" s="11" t="s">
        <v>16337</v>
      </c>
      <c r="C545" s="11" t="s">
        <v>16378</v>
      </c>
      <c r="D545" s="13" t="s">
        <v>17423</v>
      </c>
      <c r="E545" s="13" t="s">
        <v>17424</v>
      </c>
    </row>
    <row r="546" customFormat="false" ht="15" hidden="false" customHeight="true" outlineLevel="0" collapsed="false">
      <c r="A546" s="13" t="s">
        <v>293</v>
      </c>
      <c r="B546" s="11" t="s">
        <v>16337</v>
      </c>
      <c r="C546" s="11" t="s">
        <v>16381</v>
      </c>
      <c r="D546" s="13" t="s">
        <v>17425</v>
      </c>
      <c r="E546" s="13" t="s">
        <v>17426</v>
      </c>
    </row>
    <row r="547" customFormat="false" ht="15" hidden="false" customHeight="true" outlineLevel="0" collapsed="false">
      <c r="A547" s="13" t="s">
        <v>293</v>
      </c>
      <c r="B547" s="11" t="s">
        <v>16337</v>
      </c>
      <c r="C547" s="13" t="s">
        <v>16384</v>
      </c>
      <c r="D547" s="13" t="s">
        <v>17427</v>
      </c>
      <c r="E547" s="13" t="s">
        <v>17428</v>
      </c>
    </row>
    <row r="548" customFormat="false" ht="15" hidden="false" customHeight="true" outlineLevel="0" collapsed="false">
      <c r="A548" s="13" t="s">
        <v>293</v>
      </c>
      <c r="B548" s="11" t="s">
        <v>16337</v>
      </c>
      <c r="C548" s="11" t="s">
        <v>16387</v>
      </c>
      <c r="D548" s="13" t="s">
        <v>17429</v>
      </c>
      <c r="E548" s="13" t="s">
        <v>17430</v>
      </c>
    </row>
    <row r="549" customFormat="false" ht="15" hidden="false" customHeight="true" outlineLevel="0" collapsed="false">
      <c r="A549" s="13" t="s">
        <v>293</v>
      </c>
      <c r="B549" s="11" t="s">
        <v>16337</v>
      </c>
      <c r="C549" s="11" t="s">
        <v>16390</v>
      </c>
      <c r="D549" s="13" t="s">
        <v>17431</v>
      </c>
      <c r="E549" s="13" t="s">
        <v>17432</v>
      </c>
    </row>
    <row r="550" customFormat="false" ht="15" hidden="false" customHeight="true" outlineLevel="0" collapsed="false">
      <c r="A550" s="13" t="s">
        <v>293</v>
      </c>
      <c r="B550" s="11" t="s">
        <v>16337</v>
      </c>
      <c r="C550" s="11" t="s">
        <v>16393</v>
      </c>
      <c r="D550" s="13" t="s">
        <v>17433</v>
      </c>
      <c r="E550" s="13" t="s">
        <v>17434</v>
      </c>
    </row>
    <row r="551" customFormat="false" ht="15" hidden="false" customHeight="true" outlineLevel="0" collapsed="false">
      <c r="A551" s="13" t="s">
        <v>293</v>
      </c>
      <c r="B551" s="11" t="s">
        <v>16337</v>
      </c>
      <c r="C551" s="11" t="s">
        <v>16396</v>
      </c>
      <c r="D551" s="13" t="s">
        <v>17435</v>
      </c>
      <c r="E551" s="13" t="s">
        <v>17436</v>
      </c>
    </row>
    <row r="552" customFormat="false" ht="15" hidden="false" customHeight="true" outlineLevel="0" collapsed="false">
      <c r="A552" s="13" t="s">
        <v>301</v>
      </c>
      <c r="B552" s="11" t="s">
        <v>16337</v>
      </c>
      <c r="C552" s="13" t="s">
        <v>16338</v>
      </c>
      <c r="D552" s="13" t="s">
        <v>17437</v>
      </c>
      <c r="E552" s="13" t="s">
        <v>17438</v>
      </c>
    </row>
    <row r="553" customFormat="false" ht="15" hidden="false" customHeight="true" outlineLevel="0" collapsed="false">
      <c r="A553" s="13" t="s">
        <v>301</v>
      </c>
      <c r="B553" s="11" t="s">
        <v>16337</v>
      </c>
      <c r="C553" s="11" t="s">
        <v>16341</v>
      </c>
      <c r="D553" s="13" t="s">
        <v>17439</v>
      </c>
      <c r="E553" s="13" t="s">
        <v>17440</v>
      </c>
    </row>
    <row r="554" customFormat="false" ht="15" hidden="false" customHeight="true" outlineLevel="0" collapsed="false">
      <c r="A554" s="13" t="s">
        <v>301</v>
      </c>
      <c r="B554" s="11" t="s">
        <v>16337</v>
      </c>
      <c r="C554" s="11" t="s">
        <v>16344</v>
      </c>
      <c r="D554" s="13" t="s">
        <v>17441</v>
      </c>
      <c r="E554" s="13" t="s">
        <v>17442</v>
      </c>
    </row>
    <row r="555" customFormat="false" ht="15" hidden="false" customHeight="true" outlineLevel="0" collapsed="false">
      <c r="A555" s="13" t="s">
        <v>301</v>
      </c>
      <c r="B555" s="11" t="s">
        <v>16337</v>
      </c>
      <c r="C555" s="11" t="s">
        <v>16347</v>
      </c>
      <c r="D555" s="13" t="s">
        <v>17443</v>
      </c>
      <c r="E555" s="13" t="s">
        <v>17444</v>
      </c>
    </row>
    <row r="556" customFormat="false" ht="15" hidden="false" customHeight="true" outlineLevel="0" collapsed="false">
      <c r="A556" s="13" t="s">
        <v>301</v>
      </c>
      <c r="B556" s="11" t="s">
        <v>16337</v>
      </c>
      <c r="C556" s="11" t="s">
        <v>16350</v>
      </c>
      <c r="D556" s="13" t="s">
        <v>17445</v>
      </c>
      <c r="E556" s="13" t="s">
        <v>17446</v>
      </c>
    </row>
    <row r="557" customFormat="false" ht="15" hidden="false" customHeight="true" outlineLevel="0" collapsed="false">
      <c r="A557" s="13" t="s">
        <v>301</v>
      </c>
      <c r="B557" s="11" t="s">
        <v>16337</v>
      </c>
      <c r="C557" s="13" t="s">
        <v>16354</v>
      </c>
      <c r="D557" s="13" t="s">
        <v>17447</v>
      </c>
      <c r="E557" s="13" t="s">
        <v>17448</v>
      </c>
    </row>
    <row r="558" customFormat="false" ht="15" hidden="false" customHeight="true" outlineLevel="0" collapsed="false">
      <c r="A558" s="13" t="s">
        <v>301</v>
      </c>
      <c r="B558" s="11" t="s">
        <v>16337</v>
      </c>
      <c r="C558" s="11" t="s">
        <v>16357</v>
      </c>
      <c r="D558" s="13" t="s">
        <v>17449</v>
      </c>
      <c r="E558" s="13" t="s">
        <v>17450</v>
      </c>
    </row>
    <row r="559" customFormat="false" ht="15" hidden="false" customHeight="true" outlineLevel="0" collapsed="false">
      <c r="A559" s="13" t="s">
        <v>301</v>
      </c>
      <c r="B559" s="11" t="s">
        <v>16337</v>
      </c>
      <c r="C559" s="11" t="s">
        <v>16360</v>
      </c>
      <c r="D559" s="13" t="s">
        <v>17451</v>
      </c>
      <c r="E559" s="13" t="s">
        <v>17452</v>
      </c>
    </row>
    <row r="560" customFormat="false" ht="15" hidden="false" customHeight="true" outlineLevel="0" collapsed="false">
      <c r="A560" s="13" t="s">
        <v>301</v>
      </c>
      <c r="B560" s="11" t="s">
        <v>16337</v>
      </c>
      <c r="C560" s="11" t="s">
        <v>16363</v>
      </c>
      <c r="D560" s="13" t="s">
        <v>17453</v>
      </c>
      <c r="E560" s="13" t="s">
        <v>17454</v>
      </c>
    </row>
    <row r="561" customFormat="false" ht="15" hidden="false" customHeight="true" outlineLevel="0" collapsed="false">
      <c r="A561" s="13" t="s">
        <v>301</v>
      </c>
      <c r="B561" s="11" t="s">
        <v>16337</v>
      </c>
      <c r="C561" s="11" t="s">
        <v>16366</v>
      </c>
      <c r="D561" s="13" t="s">
        <v>17455</v>
      </c>
      <c r="E561" s="13" t="s">
        <v>17456</v>
      </c>
    </row>
    <row r="562" customFormat="false" ht="15" hidden="false" customHeight="true" outlineLevel="0" collapsed="false">
      <c r="A562" s="13" t="s">
        <v>301</v>
      </c>
      <c r="B562" s="11" t="s">
        <v>16337</v>
      </c>
      <c r="C562" s="11" t="s">
        <v>16369</v>
      </c>
      <c r="D562" s="13" t="s">
        <v>17457</v>
      </c>
      <c r="E562" s="13" t="s">
        <v>17458</v>
      </c>
    </row>
    <row r="563" customFormat="false" ht="15" hidden="false" customHeight="true" outlineLevel="0" collapsed="false">
      <c r="A563" s="13" t="s">
        <v>301</v>
      </c>
      <c r="B563" s="11" t="s">
        <v>16337</v>
      </c>
      <c r="C563" s="11" t="s">
        <v>16372</v>
      </c>
      <c r="D563" s="13" t="s">
        <v>17459</v>
      </c>
      <c r="E563" s="13" t="s">
        <v>17460</v>
      </c>
    </row>
    <row r="564" customFormat="false" ht="15" hidden="false" customHeight="true" outlineLevel="0" collapsed="false">
      <c r="A564" s="13" t="s">
        <v>301</v>
      </c>
      <c r="B564" s="11" t="s">
        <v>16337</v>
      </c>
      <c r="C564" s="11" t="s">
        <v>16375</v>
      </c>
      <c r="D564" s="13" t="s">
        <v>17461</v>
      </c>
      <c r="E564" s="13" t="s">
        <v>17462</v>
      </c>
    </row>
    <row r="565" customFormat="false" ht="15" hidden="false" customHeight="true" outlineLevel="0" collapsed="false">
      <c r="A565" s="13" t="s">
        <v>301</v>
      </c>
      <c r="B565" s="11" t="s">
        <v>16337</v>
      </c>
      <c r="C565" s="11" t="s">
        <v>16378</v>
      </c>
      <c r="D565" s="13" t="s">
        <v>17463</v>
      </c>
      <c r="E565" s="13" t="s">
        <v>17464</v>
      </c>
    </row>
    <row r="566" customFormat="false" ht="15" hidden="false" customHeight="true" outlineLevel="0" collapsed="false">
      <c r="A566" s="13" t="s">
        <v>301</v>
      </c>
      <c r="B566" s="11" t="s">
        <v>16337</v>
      </c>
      <c r="C566" s="11" t="s">
        <v>16381</v>
      </c>
      <c r="D566" s="13" t="s">
        <v>17465</v>
      </c>
      <c r="E566" s="13" t="s">
        <v>17466</v>
      </c>
    </row>
    <row r="567" customFormat="false" ht="15" hidden="false" customHeight="true" outlineLevel="0" collapsed="false">
      <c r="A567" s="13" t="s">
        <v>301</v>
      </c>
      <c r="B567" s="11" t="s">
        <v>16337</v>
      </c>
      <c r="C567" s="13" t="s">
        <v>16384</v>
      </c>
      <c r="D567" s="13" t="s">
        <v>17467</v>
      </c>
      <c r="E567" s="13" t="s">
        <v>17468</v>
      </c>
    </row>
    <row r="568" customFormat="false" ht="15" hidden="false" customHeight="true" outlineLevel="0" collapsed="false">
      <c r="A568" s="13" t="s">
        <v>301</v>
      </c>
      <c r="B568" s="11" t="s">
        <v>16337</v>
      </c>
      <c r="C568" s="11" t="s">
        <v>16387</v>
      </c>
      <c r="D568" s="13" t="s">
        <v>17469</v>
      </c>
      <c r="E568" s="13" t="s">
        <v>17470</v>
      </c>
    </row>
    <row r="569" customFormat="false" ht="15" hidden="false" customHeight="true" outlineLevel="0" collapsed="false">
      <c r="A569" s="13" t="s">
        <v>301</v>
      </c>
      <c r="B569" s="11" t="s">
        <v>16337</v>
      </c>
      <c r="C569" s="11" t="s">
        <v>16390</v>
      </c>
      <c r="D569" s="13" t="s">
        <v>17471</v>
      </c>
      <c r="E569" s="13" t="s">
        <v>17472</v>
      </c>
    </row>
    <row r="570" customFormat="false" ht="15" hidden="false" customHeight="true" outlineLevel="0" collapsed="false">
      <c r="A570" s="13" t="s">
        <v>301</v>
      </c>
      <c r="B570" s="11" t="s">
        <v>16337</v>
      </c>
      <c r="C570" s="11" t="s">
        <v>16393</v>
      </c>
      <c r="D570" s="13" t="s">
        <v>17473</v>
      </c>
      <c r="E570" s="13" t="s">
        <v>17474</v>
      </c>
    </row>
    <row r="571" customFormat="false" ht="15" hidden="false" customHeight="true" outlineLevel="0" collapsed="false">
      <c r="A571" s="13" t="s">
        <v>301</v>
      </c>
      <c r="B571" s="11" t="s">
        <v>16337</v>
      </c>
      <c r="C571" s="11" t="s">
        <v>16396</v>
      </c>
      <c r="D571" s="13" t="s">
        <v>17475</v>
      </c>
      <c r="E571" s="13" t="s">
        <v>17476</v>
      </c>
    </row>
    <row r="572" customFormat="false" ht="15" hidden="false" customHeight="true" outlineLevel="0" collapsed="false">
      <c r="A572" s="13" t="s">
        <v>309</v>
      </c>
      <c r="B572" s="11" t="s">
        <v>16337</v>
      </c>
      <c r="C572" s="13" t="s">
        <v>16338</v>
      </c>
      <c r="D572" s="13" t="s">
        <v>17477</v>
      </c>
      <c r="E572" s="13" t="s">
        <v>17478</v>
      </c>
    </row>
    <row r="573" customFormat="false" ht="15" hidden="false" customHeight="true" outlineLevel="0" collapsed="false">
      <c r="A573" s="13" t="s">
        <v>309</v>
      </c>
      <c r="B573" s="11" t="s">
        <v>16337</v>
      </c>
      <c r="C573" s="11" t="s">
        <v>16341</v>
      </c>
      <c r="D573" s="13" t="s">
        <v>17479</v>
      </c>
      <c r="E573" s="13" t="s">
        <v>17480</v>
      </c>
    </row>
    <row r="574" customFormat="false" ht="15" hidden="false" customHeight="true" outlineLevel="0" collapsed="false">
      <c r="A574" s="13" t="s">
        <v>309</v>
      </c>
      <c r="B574" s="11" t="s">
        <v>16337</v>
      </c>
      <c r="C574" s="11" t="s">
        <v>16344</v>
      </c>
      <c r="D574" s="13" t="s">
        <v>17481</v>
      </c>
      <c r="E574" s="13" t="s">
        <v>17482</v>
      </c>
    </row>
    <row r="575" customFormat="false" ht="15" hidden="false" customHeight="true" outlineLevel="0" collapsed="false">
      <c r="A575" s="13" t="s">
        <v>309</v>
      </c>
      <c r="B575" s="11" t="s">
        <v>16337</v>
      </c>
      <c r="C575" s="11" t="s">
        <v>16347</v>
      </c>
      <c r="D575" s="13" t="s">
        <v>17483</v>
      </c>
      <c r="E575" s="13" t="s">
        <v>17484</v>
      </c>
    </row>
    <row r="576" customFormat="false" ht="15" hidden="false" customHeight="true" outlineLevel="0" collapsed="false">
      <c r="A576" s="13" t="s">
        <v>309</v>
      </c>
      <c r="B576" s="11" t="s">
        <v>16337</v>
      </c>
      <c r="C576" s="11" t="s">
        <v>16350</v>
      </c>
      <c r="D576" s="13" t="s">
        <v>17485</v>
      </c>
      <c r="E576" s="13" t="s">
        <v>17486</v>
      </c>
    </row>
    <row r="577" customFormat="false" ht="15" hidden="false" customHeight="true" outlineLevel="0" collapsed="false">
      <c r="A577" s="13" t="s">
        <v>309</v>
      </c>
      <c r="B577" s="11" t="s">
        <v>16337</v>
      </c>
      <c r="C577" s="13" t="s">
        <v>16354</v>
      </c>
      <c r="D577" s="13" t="s">
        <v>17487</v>
      </c>
      <c r="E577" s="13" t="s">
        <v>17488</v>
      </c>
    </row>
    <row r="578" customFormat="false" ht="15" hidden="false" customHeight="true" outlineLevel="0" collapsed="false">
      <c r="A578" s="13" t="s">
        <v>309</v>
      </c>
      <c r="B578" s="11" t="s">
        <v>16337</v>
      </c>
      <c r="C578" s="11" t="s">
        <v>16357</v>
      </c>
      <c r="D578" s="13" t="s">
        <v>17489</v>
      </c>
      <c r="E578" s="13" t="s">
        <v>17490</v>
      </c>
    </row>
    <row r="579" customFormat="false" ht="15" hidden="false" customHeight="true" outlineLevel="0" collapsed="false">
      <c r="A579" s="13" t="s">
        <v>309</v>
      </c>
      <c r="B579" s="11" t="s">
        <v>16337</v>
      </c>
      <c r="C579" s="11" t="s">
        <v>16360</v>
      </c>
      <c r="D579" s="13" t="s">
        <v>17491</v>
      </c>
      <c r="E579" s="13" t="s">
        <v>17492</v>
      </c>
    </row>
    <row r="580" customFormat="false" ht="15" hidden="false" customHeight="true" outlineLevel="0" collapsed="false">
      <c r="A580" s="13" t="s">
        <v>309</v>
      </c>
      <c r="B580" s="11" t="s">
        <v>16337</v>
      </c>
      <c r="C580" s="11" t="s">
        <v>16363</v>
      </c>
      <c r="D580" s="13" t="s">
        <v>17493</v>
      </c>
      <c r="E580" s="13" t="s">
        <v>17494</v>
      </c>
    </row>
    <row r="581" customFormat="false" ht="15" hidden="false" customHeight="true" outlineLevel="0" collapsed="false">
      <c r="A581" s="13" t="s">
        <v>309</v>
      </c>
      <c r="B581" s="11" t="s">
        <v>16337</v>
      </c>
      <c r="C581" s="11" t="s">
        <v>16366</v>
      </c>
      <c r="D581" s="13" t="s">
        <v>17495</v>
      </c>
      <c r="E581" s="13" t="s">
        <v>17496</v>
      </c>
    </row>
    <row r="582" customFormat="false" ht="15" hidden="false" customHeight="true" outlineLevel="0" collapsed="false">
      <c r="A582" s="13" t="s">
        <v>309</v>
      </c>
      <c r="B582" s="11" t="s">
        <v>16337</v>
      </c>
      <c r="C582" s="11" t="s">
        <v>16369</v>
      </c>
      <c r="D582" s="13" t="s">
        <v>17497</v>
      </c>
      <c r="E582" s="13" t="s">
        <v>17498</v>
      </c>
    </row>
    <row r="583" customFormat="false" ht="15" hidden="false" customHeight="true" outlineLevel="0" collapsed="false">
      <c r="A583" s="13" t="s">
        <v>309</v>
      </c>
      <c r="B583" s="11" t="s">
        <v>16337</v>
      </c>
      <c r="C583" s="11" t="s">
        <v>16372</v>
      </c>
      <c r="D583" s="13" t="s">
        <v>17499</v>
      </c>
      <c r="E583" s="13" t="s">
        <v>17500</v>
      </c>
    </row>
    <row r="584" customFormat="false" ht="15" hidden="false" customHeight="true" outlineLevel="0" collapsed="false">
      <c r="A584" s="13" t="s">
        <v>309</v>
      </c>
      <c r="B584" s="11" t="s">
        <v>16337</v>
      </c>
      <c r="C584" s="11" t="s">
        <v>16375</v>
      </c>
      <c r="D584" s="13" t="s">
        <v>17501</v>
      </c>
      <c r="E584" s="13" t="s">
        <v>17502</v>
      </c>
    </row>
    <row r="585" customFormat="false" ht="15" hidden="false" customHeight="true" outlineLevel="0" collapsed="false">
      <c r="A585" s="13" t="s">
        <v>309</v>
      </c>
      <c r="B585" s="11" t="s">
        <v>16337</v>
      </c>
      <c r="C585" s="11" t="s">
        <v>16378</v>
      </c>
      <c r="D585" s="13" t="s">
        <v>17503</v>
      </c>
      <c r="E585" s="13" t="s">
        <v>17504</v>
      </c>
    </row>
    <row r="586" customFormat="false" ht="15" hidden="false" customHeight="true" outlineLevel="0" collapsed="false">
      <c r="A586" s="13" t="s">
        <v>309</v>
      </c>
      <c r="B586" s="11" t="s">
        <v>16337</v>
      </c>
      <c r="C586" s="11" t="s">
        <v>16381</v>
      </c>
      <c r="D586" s="13" t="s">
        <v>17505</v>
      </c>
      <c r="E586" s="13" t="s">
        <v>17506</v>
      </c>
    </row>
    <row r="587" customFormat="false" ht="15" hidden="false" customHeight="true" outlineLevel="0" collapsed="false">
      <c r="A587" s="13" t="s">
        <v>309</v>
      </c>
      <c r="B587" s="11" t="s">
        <v>16337</v>
      </c>
      <c r="C587" s="13" t="s">
        <v>16384</v>
      </c>
      <c r="D587" s="13" t="s">
        <v>17507</v>
      </c>
      <c r="E587" s="13" t="s">
        <v>17508</v>
      </c>
    </row>
    <row r="588" customFormat="false" ht="15" hidden="false" customHeight="true" outlineLevel="0" collapsed="false">
      <c r="A588" s="13" t="s">
        <v>309</v>
      </c>
      <c r="B588" s="11" t="s">
        <v>16337</v>
      </c>
      <c r="C588" s="11" t="s">
        <v>16387</v>
      </c>
      <c r="D588" s="13" t="s">
        <v>17509</v>
      </c>
      <c r="E588" s="13" t="s">
        <v>17510</v>
      </c>
    </row>
    <row r="589" customFormat="false" ht="15" hidden="false" customHeight="true" outlineLevel="0" collapsed="false">
      <c r="A589" s="13" t="s">
        <v>309</v>
      </c>
      <c r="B589" s="11" t="s">
        <v>16337</v>
      </c>
      <c r="C589" s="11" t="s">
        <v>16390</v>
      </c>
      <c r="D589" s="13" t="s">
        <v>17511</v>
      </c>
      <c r="E589" s="13" t="s">
        <v>17512</v>
      </c>
    </row>
    <row r="590" customFormat="false" ht="15" hidden="false" customHeight="true" outlineLevel="0" collapsed="false">
      <c r="A590" s="13" t="s">
        <v>309</v>
      </c>
      <c r="B590" s="11" t="s">
        <v>16337</v>
      </c>
      <c r="C590" s="11" t="s">
        <v>16393</v>
      </c>
      <c r="D590" s="13" t="s">
        <v>17513</v>
      </c>
      <c r="E590" s="13" t="s">
        <v>17514</v>
      </c>
    </row>
    <row r="591" customFormat="false" ht="15" hidden="false" customHeight="true" outlineLevel="0" collapsed="false">
      <c r="A591" s="13" t="s">
        <v>309</v>
      </c>
      <c r="B591" s="11" t="s">
        <v>16337</v>
      </c>
      <c r="C591" s="11" t="s">
        <v>16396</v>
      </c>
      <c r="D591" s="13" t="s">
        <v>17515</v>
      </c>
      <c r="E591" s="13" t="s">
        <v>17516</v>
      </c>
    </row>
    <row r="592" customFormat="false" ht="15" hidden="false" customHeight="true" outlineLevel="0" collapsed="false">
      <c r="A592" s="13" t="s">
        <v>317</v>
      </c>
      <c r="B592" s="11" t="s">
        <v>16337</v>
      </c>
      <c r="C592" s="13" t="s">
        <v>16338</v>
      </c>
      <c r="D592" s="13" t="s">
        <v>17517</v>
      </c>
      <c r="E592" s="13" t="s">
        <v>17518</v>
      </c>
    </row>
    <row r="593" customFormat="false" ht="15" hidden="false" customHeight="true" outlineLevel="0" collapsed="false">
      <c r="A593" s="13" t="s">
        <v>317</v>
      </c>
      <c r="B593" s="11" t="s">
        <v>16337</v>
      </c>
      <c r="C593" s="11" t="s">
        <v>16341</v>
      </c>
      <c r="D593" s="13" t="s">
        <v>17519</v>
      </c>
      <c r="E593" s="13" t="s">
        <v>17520</v>
      </c>
    </row>
    <row r="594" customFormat="false" ht="15" hidden="false" customHeight="true" outlineLevel="0" collapsed="false">
      <c r="A594" s="13" t="s">
        <v>317</v>
      </c>
      <c r="B594" s="11" t="s">
        <v>16337</v>
      </c>
      <c r="C594" s="11" t="s">
        <v>16344</v>
      </c>
      <c r="D594" s="13" t="s">
        <v>17521</v>
      </c>
      <c r="E594" s="13" t="s">
        <v>17522</v>
      </c>
    </row>
    <row r="595" customFormat="false" ht="15" hidden="false" customHeight="true" outlineLevel="0" collapsed="false">
      <c r="A595" s="13" t="s">
        <v>317</v>
      </c>
      <c r="B595" s="11" t="s">
        <v>16337</v>
      </c>
      <c r="C595" s="11" t="s">
        <v>16347</v>
      </c>
      <c r="D595" s="13" t="s">
        <v>17523</v>
      </c>
      <c r="E595" s="13" t="s">
        <v>17524</v>
      </c>
    </row>
    <row r="596" customFormat="false" ht="15" hidden="false" customHeight="true" outlineLevel="0" collapsed="false">
      <c r="A596" s="13" t="s">
        <v>317</v>
      </c>
      <c r="B596" s="11" t="s">
        <v>16337</v>
      </c>
      <c r="C596" s="11" t="s">
        <v>16350</v>
      </c>
      <c r="D596" s="13" t="s">
        <v>17525</v>
      </c>
      <c r="E596" s="13" t="s">
        <v>17526</v>
      </c>
    </row>
    <row r="597" customFormat="false" ht="15" hidden="false" customHeight="true" outlineLevel="0" collapsed="false">
      <c r="A597" s="13" t="s">
        <v>317</v>
      </c>
      <c r="B597" s="11" t="s">
        <v>16337</v>
      </c>
      <c r="C597" s="13" t="s">
        <v>16354</v>
      </c>
      <c r="D597" s="13" t="s">
        <v>17527</v>
      </c>
      <c r="E597" s="13" t="s">
        <v>17528</v>
      </c>
    </row>
    <row r="598" customFormat="false" ht="15" hidden="false" customHeight="true" outlineLevel="0" collapsed="false">
      <c r="A598" s="13" t="s">
        <v>317</v>
      </c>
      <c r="B598" s="11" t="s">
        <v>16337</v>
      </c>
      <c r="C598" s="11" t="s">
        <v>16357</v>
      </c>
      <c r="D598" s="13" t="s">
        <v>17529</v>
      </c>
      <c r="E598" s="13" t="s">
        <v>17530</v>
      </c>
    </row>
    <row r="599" customFormat="false" ht="15" hidden="false" customHeight="true" outlineLevel="0" collapsed="false">
      <c r="A599" s="13" t="s">
        <v>317</v>
      </c>
      <c r="B599" s="11" t="s">
        <v>16337</v>
      </c>
      <c r="C599" s="11" t="s">
        <v>16360</v>
      </c>
      <c r="D599" s="13" t="s">
        <v>17531</v>
      </c>
      <c r="E599" s="13" t="s">
        <v>17532</v>
      </c>
    </row>
    <row r="600" customFormat="false" ht="15" hidden="false" customHeight="true" outlineLevel="0" collapsed="false">
      <c r="A600" s="13" t="s">
        <v>317</v>
      </c>
      <c r="B600" s="11" t="s">
        <v>16337</v>
      </c>
      <c r="C600" s="11" t="s">
        <v>16363</v>
      </c>
      <c r="D600" s="13" t="s">
        <v>17533</v>
      </c>
      <c r="E600" s="13" t="s">
        <v>17534</v>
      </c>
    </row>
    <row r="601" customFormat="false" ht="15" hidden="false" customHeight="true" outlineLevel="0" collapsed="false">
      <c r="A601" s="13" t="s">
        <v>317</v>
      </c>
      <c r="B601" s="11" t="s">
        <v>16337</v>
      </c>
      <c r="C601" s="11" t="s">
        <v>16366</v>
      </c>
      <c r="D601" s="13" t="s">
        <v>17535</v>
      </c>
      <c r="E601" s="13" t="s">
        <v>17536</v>
      </c>
    </row>
    <row r="602" customFormat="false" ht="15" hidden="false" customHeight="true" outlineLevel="0" collapsed="false">
      <c r="A602" s="13" t="s">
        <v>317</v>
      </c>
      <c r="B602" s="11" t="s">
        <v>16337</v>
      </c>
      <c r="C602" s="11" t="s">
        <v>16369</v>
      </c>
      <c r="D602" s="13" t="s">
        <v>17537</v>
      </c>
      <c r="E602" s="13" t="s">
        <v>17538</v>
      </c>
    </row>
    <row r="603" customFormat="false" ht="15" hidden="false" customHeight="true" outlineLevel="0" collapsed="false">
      <c r="A603" s="13" t="s">
        <v>317</v>
      </c>
      <c r="B603" s="11" t="s">
        <v>16337</v>
      </c>
      <c r="C603" s="11" t="s">
        <v>16372</v>
      </c>
      <c r="D603" s="13" t="s">
        <v>17539</v>
      </c>
      <c r="E603" s="13" t="s">
        <v>17540</v>
      </c>
    </row>
    <row r="604" customFormat="false" ht="15" hidden="false" customHeight="true" outlineLevel="0" collapsed="false">
      <c r="A604" s="13" t="s">
        <v>317</v>
      </c>
      <c r="B604" s="11" t="s">
        <v>16337</v>
      </c>
      <c r="C604" s="11" t="s">
        <v>16375</v>
      </c>
      <c r="D604" s="13" t="s">
        <v>17541</v>
      </c>
      <c r="E604" s="13" t="s">
        <v>17542</v>
      </c>
    </row>
    <row r="605" customFormat="false" ht="15" hidden="false" customHeight="true" outlineLevel="0" collapsed="false">
      <c r="A605" s="13" t="s">
        <v>317</v>
      </c>
      <c r="B605" s="11" t="s">
        <v>16337</v>
      </c>
      <c r="C605" s="11" t="s">
        <v>16378</v>
      </c>
      <c r="D605" s="13" t="s">
        <v>17543</v>
      </c>
      <c r="E605" s="13" t="s">
        <v>17544</v>
      </c>
    </row>
    <row r="606" customFormat="false" ht="15" hidden="false" customHeight="true" outlineLevel="0" collapsed="false">
      <c r="A606" s="13" t="s">
        <v>317</v>
      </c>
      <c r="B606" s="11" t="s">
        <v>16337</v>
      </c>
      <c r="C606" s="11" t="s">
        <v>16381</v>
      </c>
      <c r="D606" s="13" t="s">
        <v>17545</v>
      </c>
      <c r="E606" s="13" t="s">
        <v>17546</v>
      </c>
    </row>
    <row r="607" customFormat="false" ht="15" hidden="false" customHeight="true" outlineLevel="0" collapsed="false">
      <c r="A607" s="13" t="s">
        <v>317</v>
      </c>
      <c r="B607" s="11" t="s">
        <v>16337</v>
      </c>
      <c r="C607" s="13" t="s">
        <v>16384</v>
      </c>
      <c r="D607" s="13" t="s">
        <v>17547</v>
      </c>
      <c r="E607" s="13" t="s">
        <v>17548</v>
      </c>
    </row>
    <row r="608" customFormat="false" ht="15" hidden="false" customHeight="true" outlineLevel="0" collapsed="false">
      <c r="A608" s="13" t="s">
        <v>317</v>
      </c>
      <c r="B608" s="11" t="s">
        <v>16337</v>
      </c>
      <c r="C608" s="11" t="s">
        <v>16387</v>
      </c>
      <c r="D608" s="13" t="s">
        <v>17549</v>
      </c>
      <c r="E608" s="13" t="s">
        <v>17550</v>
      </c>
    </row>
    <row r="609" customFormat="false" ht="15" hidden="false" customHeight="true" outlineLevel="0" collapsed="false">
      <c r="A609" s="13" t="s">
        <v>317</v>
      </c>
      <c r="B609" s="11" t="s">
        <v>16337</v>
      </c>
      <c r="C609" s="11" t="s">
        <v>16390</v>
      </c>
      <c r="D609" s="13" t="s">
        <v>17551</v>
      </c>
      <c r="E609" s="13" t="s">
        <v>17552</v>
      </c>
    </row>
    <row r="610" customFormat="false" ht="15" hidden="false" customHeight="true" outlineLevel="0" collapsed="false">
      <c r="A610" s="13" t="s">
        <v>317</v>
      </c>
      <c r="B610" s="11" t="s">
        <v>16337</v>
      </c>
      <c r="C610" s="11" t="s">
        <v>16393</v>
      </c>
      <c r="D610" s="13" t="s">
        <v>17553</v>
      </c>
      <c r="E610" s="13" t="s">
        <v>17554</v>
      </c>
    </row>
    <row r="611" customFormat="false" ht="15" hidden="false" customHeight="true" outlineLevel="0" collapsed="false">
      <c r="A611" s="13" t="s">
        <v>317</v>
      </c>
      <c r="B611" s="11" t="s">
        <v>16337</v>
      </c>
      <c r="C611" s="11" t="s">
        <v>16396</v>
      </c>
      <c r="D611" s="13" t="s">
        <v>17555</v>
      </c>
      <c r="E611" s="13" t="s">
        <v>17556</v>
      </c>
    </row>
    <row r="612" customFormat="false" ht="15" hidden="false" customHeight="true" outlineLevel="0" collapsed="false">
      <c r="A612" s="13" t="s">
        <v>325</v>
      </c>
      <c r="B612" s="11" t="s">
        <v>16337</v>
      </c>
      <c r="C612" s="13" t="s">
        <v>16338</v>
      </c>
      <c r="D612" s="13" t="s">
        <v>17557</v>
      </c>
      <c r="E612" s="13" t="s">
        <v>17558</v>
      </c>
    </row>
    <row r="613" customFormat="false" ht="15" hidden="false" customHeight="true" outlineLevel="0" collapsed="false">
      <c r="A613" s="13" t="s">
        <v>325</v>
      </c>
      <c r="B613" s="11" t="s">
        <v>16337</v>
      </c>
      <c r="C613" s="11" t="s">
        <v>16341</v>
      </c>
      <c r="D613" s="13" t="s">
        <v>17559</v>
      </c>
      <c r="E613" s="13" t="s">
        <v>17560</v>
      </c>
    </row>
    <row r="614" customFormat="false" ht="15" hidden="false" customHeight="true" outlineLevel="0" collapsed="false">
      <c r="A614" s="13" t="s">
        <v>325</v>
      </c>
      <c r="B614" s="11" t="s">
        <v>16337</v>
      </c>
      <c r="C614" s="11" t="s">
        <v>16344</v>
      </c>
      <c r="D614" s="13" t="s">
        <v>17561</v>
      </c>
      <c r="E614" s="13" t="s">
        <v>17562</v>
      </c>
    </row>
    <row r="615" customFormat="false" ht="15" hidden="false" customHeight="true" outlineLevel="0" collapsed="false">
      <c r="A615" s="13" t="s">
        <v>325</v>
      </c>
      <c r="B615" s="11" t="s">
        <v>16337</v>
      </c>
      <c r="C615" s="11" t="s">
        <v>16347</v>
      </c>
      <c r="D615" s="13" t="s">
        <v>17563</v>
      </c>
      <c r="E615" s="13" t="s">
        <v>17564</v>
      </c>
    </row>
    <row r="616" customFormat="false" ht="15" hidden="false" customHeight="true" outlineLevel="0" collapsed="false">
      <c r="A616" s="13" t="s">
        <v>325</v>
      </c>
      <c r="B616" s="11" t="s">
        <v>16337</v>
      </c>
      <c r="C616" s="11" t="s">
        <v>16350</v>
      </c>
      <c r="D616" s="13" t="s">
        <v>17565</v>
      </c>
      <c r="E616" s="13" t="s">
        <v>17566</v>
      </c>
    </row>
    <row r="617" customFormat="false" ht="15" hidden="false" customHeight="true" outlineLevel="0" collapsed="false">
      <c r="A617" s="13" t="s">
        <v>325</v>
      </c>
      <c r="B617" s="11" t="s">
        <v>16337</v>
      </c>
      <c r="C617" s="13" t="s">
        <v>16354</v>
      </c>
      <c r="D617" s="13" t="s">
        <v>17567</v>
      </c>
      <c r="E617" s="13" t="s">
        <v>17568</v>
      </c>
    </row>
    <row r="618" customFormat="false" ht="15" hidden="false" customHeight="true" outlineLevel="0" collapsed="false">
      <c r="A618" s="13" t="s">
        <v>325</v>
      </c>
      <c r="B618" s="11" t="s">
        <v>16337</v>
      </c>
      <c r="C618" s="11" t="s">
        <v>16357</v>
      </c>
      <c r="D618" s="13" t="s">
        <v>17569</v>
      </c>
      <c r="E618" s="13" t="s">
        <v>17570</v>
      </c>
    </row>
    <row r="619" customFormat="false" ht="15" hidden="false" customHeight="true" outlineLevel="0" collapsed="false">
      <c r="A619" s="13" t="s">
        <v>325</v>
      </c>
      <c r="B619" s="11" t="s">
        <v>16337</v>
      </c>
      <c r="C619" s="11" t="s">
        <v>16360</v>
      </c>
      <c r="D619" s="13" t="s">
        <v>17571</v>
      </c>
      <c r="E619" s="13" t="s">
        <v>17572</v>
      </c>
    </row>
    <row r="620" customFormat="false" ht="15" hidden="false" customHeight="true" outlineLevel="0" collapsed="false">
      <c r="A620" s="13" t="s">
        <v>325</v>
      </c>
      <c r="B620" s="11" t="s">
        <v>16337</v>
      </c>
      <c r="C620" s="11" t="s">
        <v>16363</v>
      </c>
      <c r="D620" s="13" t="s">
        <v>17573</v>
      </c>
      <c r="E620" s="13" t="s">
        <v>17574</v>
      </c>
    </row>
    <row r="621" customFormat="false" ht="15" hidden="false" customHeight="true" outlineLevel="0" collapsed="false">
      <c r="A621" s="13" t="s">
        <v>325</v>
      </c>
      <c r="B621" s="11" t="s">
        <v>16337</v>
      </c>
      <c r="C621" s="11" t="s">
        <v>16366</v>
      </c>
      <c r="D621" s="13" t="s">
        <v>17575</v>
      </c>
      <c r="E621" s="13" t="s">
        <v>17576</v>
      </c>
    </row>
    <row r="622" customFormat="false" ht="15" hidden="false" customHeight="true" outlineLevel="0" collapsed="false">
      <c r="A622" s="13" t="s">
        <v>325</v>
      </c>
      <c r="B622" s="11" t="s">
        <v>16337</v>
      </c>
      <c r="C622" s="11" t="s">
        <v>16369</v>
      </c>
      <c r="D622" s="13" t="s">
        <v>17577</v>
      </c>
      <c r="E622" s="13" t="s">
        <v>8530</v>
      </c>
    </row>
    <row r="623" customFormat="false" ht="15" hidden="false" customHeight="true" outlineLevel="0" collapsed="false">
      <c r="A623" s="13" t="s">
        <v>325</v>
      </c>
      <c r="B623" s="11" t="s">
        <v>16337</v>
      </c>
      <c r="C623" s="11" t="s">
        <v>16372</v>
      </c>
      <c r="D623" s="13" t="s">
        <v>17578</v>
      </c>
      <c r="E623" s="13" t="s">
        <v>17579</v>
      </c>
    </row>
    <row r="624" customFormat="false" ht="15" hidden="false" customHeight="true" outlineLevel="0" collapsed="false">
      <c r="A624" s="13" t="s">
        <v>325</v>
      </c>
      <c r="B624" s="11" t="s">
        <v>16337</v>
      </c>
      <c r="C624" s="11" t="s">
        <v>16375</v>
      </c>
      <c r="D624" s="13" t="s">
        <v>17580</v>
      </c>
      <c r="E624" s="13" t="s">
        <v>17581</v>
      </c>
    </row>
    <row r="625" customFormat="false" ht="15" hidden="false" customHeight="true" outlineLevel="0" collapsed="false">
      <c r="A625" s="13" t="s">
        <v>325</v>
      </c>
      <c r="B625" s="11" t="s">
        <v>16337</v>
      </c>
      <c r="C625" s="11" t="s">
        <v>16378</v>
      </c>
      <c r="D625" s="13" t="s">
        <v>17582</v>
      </c>
      <c r="E625" s="13" t="s">
        <v>17583</v>
      </c>
    </row>
    <row r="626" customFormat="false" ht="15" hidden="false" customHeight="true" outlineLevel="0" collapsed="false">
      <c r="A626" s="13" t="s">
        <v>325</v>
      </c>
      <c r="B626" s="11" t="s">
        <v>16337</v>
      </c>
      <c r="C626" s="11" t="s">
        <v>16381</v>
      </c>
      <c r="D626" s="13" t="s">
        <v>17584</v>
      </c>
      <c r="E626" s="13" t="s">
        <v>17585</v>
      </c>
    </row>
    <row r="627" customFormat="false" ht="15" hidden="false" customHeight="true" outlineLevel="0" collapsed="false">
      <c r="A627" s="13" t="s">
        <v>325</v>
      </c>
      <c r="B627" s="11" t="s">
        <v>16337</v>
      </c>
      <c r="C627" s="13" t="s">
        <v>16384</v>
      </c>
      <c r="D627" s="13" t="s">
        <v>17586</v>
      </c>
      <c r="E627" s="13" t="s">
        <v>17587</v>
      </c>
    </row>
    <row r="628" customFormat="false" ht="15" hidden="false" customHeight="true" outlineLevel="0" collapsed="false">
      <c r="A628" s="13" t="s">
        <v>325</v>
      </c>
      <c r="B628" s="11" t="s">
        <v>16337</v>
      </c>
      <c r="C628" s="11" t="s">
        <v>16387</v>
      </c>
      <c r="D628" s="13" t="s">
        <v>17588</v>
      </c>
      <c r="E628" s="13" t="s">
        <v>17589</v>
      </c>
    </row>
    <row r="629" customFormat="false" ht="15" hidden="false" customHeight="true" outlineLevel="0" collapsed="false">
      <c r="A629" s="13" t="s">
        <v>325</v>
      </c>
      <c r="B629" s="11" t="s">
        <v>16337</v>
      </c>
      <c r="C629" s="11" t="s">
        <v>16390</v>
      </c>
      <c r="D629" s="13" t="s">
        <v>17590</v>
      </c>
      <c r="E629" s="13" t="s">
        <v>17591</v>
      </c>
    </row>
    <row r="630" customFormat="false" ht="15" hidden="false" customHeight="true" outlineLevel="0" collapsed="false">
      <c r="A630" s="13" t="s">
        <v>325</v>
      </c>
      <c r="B630" s="11" t="s">
        <v>16337</v>
      </c>
      <c r="C630" s="11" t="s">
        <v>16393</v>
      </c>
      <c r="D630" s="13" t="s">
        <v>17592</v>
      </c>
      <c r="E630" s="13" t="s">
        <v>17593</v>
      </c>
    </row>
    <row r="631" customFormat="false" ht="15" hidden="false" customHeight="true" outlineLevel="0" collapsed="false">
      <c r="A631" s="13" t="s">
        <v>325</v>
      </c>
      <c r="B631" s="11" t="s">
        <v>16337</v>
      </c>
      <c r="C631" s="11" t="s">
        <v>16396</v>
      </c>
      <c r="D631" s="13" t="s">
        <v>17594</v>
      </c>
      <c r="E631" s="13" t="s">
        <v>17595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3.43"/>
    <col collapsed="false" customWidth="true" hidden="false" outlineLevel="0" max="2" min="2" style="1" width="31.25"/>
    <col collapsed="false" customWidth="true" hidden="false" outlineLevel="0" max="6" min="3" style="1" width="23.43"/>
  </cols>
  <sheetData>
    <row r="1" customFormat="false" ht="15" hidden="false" customHeight="true" outlineLevel="0" collapsed="false">
      <c r="A1" s="11" t="s">
        <v>17596</v>
      </c>
    </row>
    <row r="3" customFormat="false" ht="15" hidden="false" customHeight="true" outlineLevel="0" collapsed="false">
      <c r="A3" s="11" t="s">
        <v>17597</v>
      </c>
    </row>
    <row r="4" customFormat="false" ht="15" hidden="false" customHeight="true" outlineLevel="0" collapsed="false">
      <c r="F4" s="11" t="s">
        <v>335</v>
      </c>
    </row>
    <row r="5" customFormat="false" ht="15" hidden="false" customHeight="true" outlineLevel="0" collapsed="false">
      <c r="A5" s="12" t="s">
        <v>56</v>
      </c>
      <c r="B5" s="12" t="s">
        <v>17598</v>
      </c>
      <c r="C5" s="12" t="s">
        <v>59</v>
      </c>
      <c r="D5" s="12" t="s">
        <v>60</v>
      </c>
      <c r="E5" s="12" t="s">
        <v>338</v>
      </c>
      <c r="F5" s="12" t="s">
        <v>339</v>
      </c>
    </row>
    <row r="6" customFormat="false" ht="15" hidden="false" customHeight="true" outlineLevel="0" collapsed="false">
      <c r="A6" s="11" t="s">
        <v>65</v>
      </c>
      <c r="B6" s="11"/>
      <c r="C6" s="13" t="s">
        <v>68</v>
      </c>
      <c r="D6" s="13" t="s">
        <v>69</v>
      </c>
      <c r="E6" s="13" t="s">
        <v>71</v>
      </c>
      <c r="F6" s="13" t="s">
        <v>72</v>
      </c>
    </row>
    <row r="7" customFormat="false" ht="15" hidden="false" customHeight="true" outlineLevel="0" collapsed="false">
      <c r="A7" s="13" t="s">
        <v>74</v>
      </c>
      <c r="B7" s="13" t="s">
        <v>17599</v>
      </c>
      <c r="C7" s="13" t="s">
        <v>17600</v>
      </c>
      <c r="D7" s="13" t="s">
        <v>17601</v>
      </c>
      <c r="E7" s="13" t="s">
        <v>17602</v>
      </c>
      <c r="F7" s="13" t="s">
        <v>17603</v>
      </c>
    </row>
    <row r="8" customFormat="false" ht="15" hidden="false" customHeight="true" outlineLevel="0" collapsed="false">
      <c r="A8" s="13" t="s">
        <v>74</v>
      </c>
      <c r="B8" s="11" t="s">
        <v>17604</v>
      </c>
      <c r="C8" s="13" t="s">
        <v>17605</v>
      </c>
      <c r="D8" s="13" t="s">
        <v>17606</v>
      </c>
      <c r="E8" s="13" t="s">
        <v>17607</v>
      </c>
      <c r="F8" s="13" t="s">
        <v>17608</v>
      </c>
    </row>
    <row r="9" customFormat="false" ht="15" hidden="false" customHeight="true" outlineLevel="0" collapsed="false">
      <c r="A9" s="13" t="s">
        <v>74</v>
      </c>
      <c r="B9" s="11" t="s">
        <v>17609</v>
      </c>
      <c r="C9" s="13" t="s">
        <v>17610</v>
      </c>
      <c r="D9" s="13" t="s">
        <v>17611</v>
      </c>
      <c r="E9" s="13" t="s">
        <v>17612</v>
      </c>
      <c r="F9" s="13" t="s">
        <v>17613</v>
      </c>
    </row>
    <row r="10" customFormat="false" ht="15" hidden="false" customHeight="true" outlineLevel="0" collapsed="false">
      <c r="A10" s="13" t="s">
        <v>74</v>
      </c>
      <c r="B10" s="11" t="s">
        <v>17614</v>
      </c>
      <c r="C10" s="13" t="s">
        <v>17615</v>
      </c>
      <c r="D10" s="13" t="s">
        <v>17616</v>
      </c>
      <c r="E10" s="13" t="s">
        <v>17617</v>
      </c>
      <c r="F10" s="13" t="s">
        <v>17618</v>
      </c>
    </row>
    <row r="11" customFormat="false" ht="15" hidden="false" customHeight="true" outlineLevel="0" collapsed="false">
      <c r="A11" s="13" t="s">
        <v>74</v>
      </c>
      <c r="B11" s="11" t="s">
        <v>17619</v>
      </c>
      <c r="C11" s="13" t="s">
        <v>17620</v>
      </c>
      <c r="D11" s="13" t="s">
        <v>17621</v>
      </c>
      <c r="E11" s="13" t="s">
        <v>1020</v>
      </c>
      <c r="F11" s="13" t="s">
        <v>1019</v>
      </c>
    </row>
    <row r="12" customFormat="false" ht="15" hidden="false" customHeight="true" outlineLevel="0" collapsed="false">
      <c r="A12" s="13" t="s">
        <v>74</v>
      </c>
      <c r="B12" s="13" t="s">
        <v>17622</v>
      </c>
      <c r="C12" s="13" t="s">
        <v>17623</v>
      </c>
      <c r="D12" s="13" t="s">
        <v>17624</v>
      </c>
      <c r="E12" s="13" t="s">
        <v>17625</v>
      </c>
      <c r="F12" s="13" t="s">
        <v>17626</v>
      </c>
    </row>
    <row r="13" customFormat="false" ht="15" hidden="false" customHeight="true" outlineLevel="0" collapsed="false">
      <c r="A13" s="13" t="s">
        <v>74</v>
      </c>
      <c r="B13" s="11" t="s">
        <v>17627</v>
      </c>
      <c r="C13" s="13" t="s">
        <v>17628</v>
      </c>
      <c r="D13" s="13" t="s">
        <v>17629</v>
      </c>
      <c r="E13" s="13" t="s">
        <v>17630</v>
      </c>
      <c r="F13" s="13" t="s">
        <v>17631</v>
      </c>
    </row>
    <row r="14" customFormat="false" ht="15" hidden="false" customHeight="true" outlineLevel="0" collapsed="false">
      <c r="A14" s="13" t="s">
        <v>74</v>
      </c>
      <c r="B14" s="11" t="s">
        <v>17632</v>
      </c>
      <c r="C14" s="13" t="s">
        <v>17633</v>
      </c>
      <c r="D14" s="13" t="s">
        <v>17634</v>
      </c>
      <c r="E14" s="13" t="s">
        <v>17635</v>
      </c>
      <c r="F14" s="13" t="s">
        <v>17636</v>
      </c>
    </row>
    <row r="15" customFormat="false" ht="15" hidden="false" customHeight="true" outlineLevel="0" collapsed="false">
      <c r="A15" s="13" t="s">
        <v>74</v>
      </c>
      <c r="B15" s="11" t="s">
        <v>17637</v>
      </c>
      <c r="C15" s="13" t="s">
        <v>17638</v>
      </c>
      <c r="D15" s="13" t="s">
        <v>17639</v>
      </c>
      <c r="E15" s="13" t="s">
        <v>17640</v>
      </c>
      <c r="F15" s="13" t="s">
        <v>17641</v>
      </c>
    </row>
    <row r="16" customFormat="false" ht="15" hidden="false" customHeight="true" outlineLevel="0" collapsed="false">
      <c r="A16" s="13" t="s">
        <v>74</v>
      </c>
      <c r="B16" s="11" t="s">
        <v>17642</v>
      </c>
      <c r="C16" s="13" t="s">
        <v>17643</v>
      </c>
      <c r="D16" s="13" t="s">
        <v>17644</v>
      </c>
      <c r="E16" s="13" t="s">
        <v>17645</v>
      </c>
      <c r="F16" s="13" t="s">
        <v>17646</v>
      </c>
    </row>
    <row r="17" customFormat="false" ht="15" hidden="false" customHeight="true" outlineLevel="0" collapsed="false">
      <c r="A17" s="13" t="s">
        <v>74</v>
      </c>
      <c r="B17" s="11" t="s">
        <v>17647</v>
      </c>
      <c r="C17" s="13" t="s">
        <v>17648</v>
      </c>
      <c r="D17" s="13" t="s">
        <v>17649</v>
      </c>
      <c r="E17" s="13" t="s">
        <v>17650</v>
      </c>
      <c r="F17" s="13" t="s">
        <v>17651</v>
      </c>
    </row>
    <row r="18" customFormat="false" ht="15" hidden="false" customHeight="true" outlineLevel="0" collapsed="false">
      <c r="A18" s="13" t="s">
        <v>74</v>
      </c>
      <c r="B18" s="11" t="s">
        <v>17652</v>
      </c>
      <c r="C18" s="13" t="s">
        <v>17653</v>
      </c>
      <c r="D18" s="13" t="s">
        <v>17654</v>
      </c>
      <c r="E18" s="13" t="s">
        <v>17655</v>
      </c>
      <c r="F18" s="13" t="s">
        <v>17656</v>
      </c>
    </row>
    <row r="19" customFormat="false" ht="15" hidden="false" customHeight="true" outlineLevel="0" collapsed="false">
      <c r="A19" s="13" t="s">
        <v>74</v>
      </c>
      <c r="B19" s="13" t="s">
        <v>17657</v>
      </c>
      <c r="C19" s="13" t="s">
        <v>17658</v>
      </c>
      <c r="D19" s="13" t="s">
        <v>17659</v>
      </c>
      <c r="E19" s="13" t="s">
        <v>17660</v>
      </c>
      <c r="F19" s="13" t="s">
        <v>17661</v>
      </c>
    </row>
    <row r="20" customFormat="false" ht="15" hidden="false" customHeight="true" outlineLevel="0" collapsed="false">
      <c r="A20" s="13" t="s">
        <v>74</v>
      </c>
      <c r="B20" s="11" t="s">
        <v>17662</v>
      </c>
      <c r="C20" s="13" t="s">
        <v>17663</v>
      </c>
      <c r="D20" s="13" t="s">
        <v>17664</v>
      </c>
      <c r="E20" s="13" t="s">
        <v>17665</v>
      </c>
      <c r="F20" s="13" t="s">
        <v>17666</v>
      </c>
    </row>
    <row r="21" customFormat="false" ht="15" hidden="false" customHeight="true" outlineLevel="0" collapsed="false">
      <c r="A21" s="13" t="s">
        <v>74</v>
      </c>
      <c r="B21" s="11" t="s">
        <v>17667</v>
      </c>
      <c r="C21" s="13" t="s">
        <v>17668</v>
      </c>
      <c r="D21" s="13" t="s">
        <v>17669</v>
      </c>
      <c r="E21" s="13" t="s">
        <v>17670</v>
      </c>
      <c r="F21" s="13" t="s">
        <v>17671</v>
      </c>
    </row>
    <row r="22" customFormat="false" ht="15" hidden="false" customHeight="true" outlineLevel="0" collapsed="false">
      <c r="A22" s="13" t="s">
        <v>74</v>
      </c>
      <c r="B22" s="11" t="s">
        <v>17672</v>
      </c>
      <c r="C22" s="13" t="s">
        <v>17673</v>
      </c>
      <c r="D22" s="13" t="s">
        <v>17674</v>
      </c>
      <c r="E22" s="13" t="s">
        <v>17675</v>
      </c>
      <c r="F22" s="13" t="s">
        <v>17676</v>
      </c>
    </row>
    <row r="23" customFormat="false" ht="15" hidden="false" customHeight="true" outlineLevel="0" collapsed="false">
      <c r="A23" s="13" t="s">
        <v>74</v>
      </c>
      <c r="B23" s="11" t="s">
        <v>17677</v>
      </c>
      <c r="C23" s="13" t="s">
        <v>17678</v>
      </c>
      <c r="D23" s="13" t="s">
        <v>17679</v>
      </c>
      <c r="E23" s="13" t="s">
        <v>17680</v>
      </c>
      <c r="F23" s="13" t="s">
        <v>17681</v>
      </c>
    </row>
    <row r="24" customFormat="false" ht="15" hidden="false" customHeight="true" outlineLevel="0" collapsed="false">
      <c r="A24" s="13" t="s">
        <v>83</v>
      </c>
      <c r="B24" s="13" t="s">
        <v>17599</v>
      </c>
      <c r="C24" s="13" t="s">
        <v>17682</v>
      </c>
      <c r="D24" s="13" t="s">
        <v>17683</v>
      </c>
      <c r="E24" s="13" t="s">
        <v>17684</v>
      </c>
      <c r="F24" s="13" t="s">
        <v>17685</v>
      </c>
    </row>
    <row r="25" customFormat="false" ht="15" hidden="false" customHeight="true" outlineLevel="0" collapsed="false">
      <c r="A25" s="13" t="s">
        <v>83</v>
      </c>
      <c r="B25" s="11" t="s">
        <v>17604</v>
      </c>
      <c r="C25" s="13" t="s">
        <v>17686</v>
      </c>
      <c r="D25" s="13" t="s">
        <v>17687</v>
      </c>
      <c r="E25" s="13" t="s">
        <v>17688</v>
      </c>
      <c r="F25" s="13" t="s">
        <v>17689</v>
      </c>
    </row>
    <row r="26" customFormat="false" ht="15" hidden="false" customHeight="true" outlineLevel="0" collapsed="false">
      <c r="A26" s="13" t="s">
        <v>83</v>
      </c>
      <c r="B26" s="11" t="s">
        <v>17609</v>
      </c>
      <c r="C26" s="13" t="s">
        <v>17690</v>
      </c>
      <c r="D26" s="13" t="s">
        <v>17691</v>
      </c>
      <c r="E26" s="13" t="s">
        <v>17692</v>
      </c>
      <c r="F26" s="13" t="s">
        <v>17693</v>
      </c>
    </row>
    <row r="27" customFormat="false" ht="15" hidden="false" customHeight="true" outlineLevel="0" collapsed="false">
      <c r="A27" s="13" t="s">
        <v>83</v>
      </c>
      <c r="B27" s="11" t="s">
        <v>17614</v>
      </c>
      <c r="C27" s="13" t="s">
        <v>17694</v>
      </c>
      <c r="D27" s="13" t="s">
        <v>17695</v>
      </c>
      <c r="E27" s="13" t="s">
        <v>17696</v>
      </c>
      <c r="F27" s="13" t="s">
        <v>17697</v>
      </c>
    </row>
    <row r="28" customFormat="false" ht="15" hidden="false" customHeight="true" outlineLevel="0" collapsed="false">
      <c r="A28" s="13" t="s">
        <v>83</v>
      </c>
      <c r="B28" s="11" t="s">
        <v>17619</v>
      </c>
      <c r="C28" s="13" t="s">
        <v>17698</v>
      </c>
      <c r="D28" s="13" t="s">
        <v>17699</v>
      </c>
      <c r="E28" s="13" t="s">
        <v>1500</v>
      </c>
      <c r="F28" s="13" t="s">
        <v>1019</v>
      </c>
    </row>
    <row r="29" customFormat="false" ht="15" hidden="false" customHeight="true" outlineLevel="0" collapsed="false">
      <c r="A29" s="13" t="s">
        <v>83</v>
      </c>
      <c r="B29" s="13" t="s">
        <v>17622</v>
      </c>
      <c r="C29" s="13" t="s">
        <v>17700</v>
      </c>
      <c r="D29" s="13" t="s">
        <v>17701</v>
      </c>
      <c r="E29" s="13" t="s">
        <v>17702</v>
      </c>
      <c r="F29" s="13" t="s">
        <v>17703</v>
      </c>
    </row>
    <row r="30" customFormat="false" ht="15" hidden="false" customHeight="true" outlineLevel="0" collapsed="false">
      <c r="A30" s="13" t="s">
        <v>83</v>
      </c>
      <c r="B30" s="11" t="s">
        <v>17627</v>
      </c>
      <c r="C30" s="13" t="s">
        <v>17704</v>
      </c>
      <c r="D30" s="13" t="s">
        <v>17705</v>
      </c>
      <c r="E30" s="13" t="s">
        <v>17706</v>
      </c>
      <c r="F30" s="13" t="s">
        <v>17707</v>
      </c>
    </row>
    <row r="31" customFormat="false" ht="15" hidden="false" customHeight="true" outlineLevel="0" collapsed="false">
      <c r="A31" s="13" t="s">
        <v>83</v>
      </c>
      <c r="B31" s="11" t="s">
        <v>17632</v>
      </c>
      <c r="C31" s="13" t="s">
        <v>17708</v>
      </c>
      <c r="D31" s="13" t="s">
        <v>17709</v>
      </c>
      <c r="E31" s="13" t="s">
        <v>17710</v>
      </c>
      <c r="F31" s="13" t="s">
        <v>17711</v>
      </c>
    </row>
    <row r="32" customFormat="false" ht="15" hidden="false" customHeight="true" outlineLevel="0" collapsed="false">
      <c r="A32" s="13" t="s">
        <v>83</v>
      </c>
      <c r="B32" s="11" t="s">
        <v>17637</v>
      </c>
      <c r="C32" s="13" t="s">
        <v>17712</v>
      </c>
      <c r="D32" s="13" t="s">
        <v>17713</v>
      </c>
      <c r="E32" s="13" t="s">
        <v>17714</v>
      </c>
      <c r="F32" s="13" t="s">
        <v>17715</v>
      </c>
    </row>
    <row r="33" customFormat="false" ht="15" hidden="false" customHeight="true" outlineLevel="0" collapsed="false">
      <c r="A33" s="13" t="s">
        <v>83</v>
      </c>
      <c r="B33" s="11" t="s">
        <v>17642</v>
      </c>
      <c r="C33" s="13" t="s">
        <v>17716</v>
      </c>
      <c r="D33" s="13" t="s">
        <v>17717</v>
      </c>
      <c r="E33" s="13" t="s">
        <v>17718</v>
      </c>
      <c r="F33" s="13" t="s">
        <v>17719</v>
      </c>
    </row>
    <row r="34" customFormat="false" ht="15" hidden="false" customHeight="true" outlineLevel="0" collapsed="false">
      <c r="A34" s="13" t="s">
        <v>83</v>
      </c>
      <c r="B34" s="11" t="s">
        <v>17647</v>
      </c>
      <c r="C34" s="13" t="s">
        <v>17720</v>
      </c>
      <c r="D34" s="13" t="s">
        <v>17721</v>
      </c>
      <c r="E34" s="13" t="s">
        <v>17722</v>
      </c>
      <c r="F34" s="13" t="s">
        <v>17723</v>
      </c>
    </row>
    <row r="35" customFormat="false" ht="15" hidden="false" customHeight="true" outlineLevel="0" collapsed="false">
      <c r="A35" s="13" t="s">
        <v>83</v>
      </c>
      <c r="B35" s="11" t="s">
        <v>17652</v>
      </c>
      <c r="C35" s="13" t="s">
        <v>17724</v>
      </c>
      <c r="D35" s="13" t="s">
        <v>17725</v>
      </c>
      <c r="E35" s="13" t="s">
        <v>17726</v>
      </c>
      <c r="F35" s="13" t="s">
        <v>17727</v>
      </c>
    </row>
    <row r="36" customFormat="false" ht="15" hidden="false" customHeight="true" outlineLevel="0" collapsed="false">
      <c r="A36" s="13" t="s">
        <v>83</v>
      </c>
      <c r="B36" s="13" t="s">
        <v>17657</v>
      </c>
      <c r="C36" s="13" t="s">
        <v>17728</v>
      </c>
      <c r="D36" s="13" t="s">
        <v>17729</v>
      </c>
      <c r="E36" s="13" t="s">
        <v>17730</v>
      </c>
      <c r="F36" s="13" t="s">
        <v>17731</v>
      </c>
    </row>
    <row r="37" customFormat="false" ht="15" hidden="false" customHeight="true" outlineLevel="0" collapsed="false">
      <c r="A37" s="13" t="s">
        <v>83</v>
      </c>
      <c r="B37" s="11" t="s">
        <v>17662</v>
      </c>
      <c r="C37" s="13" t="s">
        <v>17732</v>
      </c>
      <c r="D37" s="13" t="s">
        <v>17733</v>
      </c>
      <c r="E37" s="13" t="s">
        <v>17734</v>
      </c>
      <c r="F37" s="13" t="s">
        <v>17735</v>
      </c>
    </row>
    <row r="38" customFormat="false" ht="15" hidden="false" customHeight="true" outlineLevel="0" collapsed="false">
      <c r="A38" s="13" t="s">
        <v>83</v>
      </c>
      <c r="B38" s="11" t="s">
        <v>17667</v>
      </c>
      <c r="C38" s="13" t="s">
        <v>17736</v>
      </c>
      <c r="D38" s="13" t="s">
        <v>17737</v>
      </c>
      <c r="E38" s="13" t="s">
        <v>17738</v>
      </c>
      <c r="F38" s="13" t="s">
        <v>17739</v>
      </c>
    </row>
    <row r="39" customFormat="false" ht="15" hidden="false" customHeight="true" outlineLevel="0" collapsed="false">
      <c r="A39" s="13" t="s">
        <v>83</v>
      </c>
      <c r="B39" s="11" t="s">
        <v>17672</v>
      </c>
      <c r="C39" s="13" t="s">
        <v>17740</v>
      </c>
      <c r="D39" s="13" t="s">
        <v>17741</v>
      </c>
      <c r="E39" s="13" t="s">
        <v>17742</v>
      </c>
      <c r="F39" s="13" t="s">
        <v>17743</v>
      </c>
    </row>
    <row r="40" customFormat="false" ht="15" hidden="false" customHeight="true" outlineLevel="0" collapsed="false">
      <c r="A40" s="13" t="s">
        <v>83</v>
      </c>
      <c r="B40" s="11" t="s">
        <v>17677</v>
      </c>
      <c r="C40" s="13" t="s">
        <v>17744</v>
      </c>
      <c r="D40" s="13" t="s">
        <v>17745</v>
      </c>
      <c r="E40" s="13" t="s">
        <v>17746</v>
      </c>
      <c r="F40" s="13" t="s">
        <v>17747</v>
      </c>
    </row>
    <row r="41" customFormat="false" ht="15" hidden="false" customHeight="true" outlineLevel="0" collapsed="false">
      <c r="A41" s="13" t="s">
        <v>92</v>
      </c>
      <c r="B41" s="13" t="s">
        <v>17599</v>
      </c>
      <c r="C41" s="13" t="s">
        <v>17748</v>
      </c>
      <c r="D41" s="13" t="s">
        <v>17749</v>
      </c>
      <c r="E41" s="13" t="s">
        <v>17750</v>
      </c>
      <c r="F41" s="13" t="s">
        <v>17751</v>
      </c>
    </row>
    <row r="42" customFormat="false" ht="15" hidden="false" customHeight="true" outlineLevel="0" collapsed="false">
      <c r="A42" s="13" t="s">
        <v>92</v>
      </c>
      <c r="B42" s="11" t="s">
        <v>17604</v>
      </c>
      <c r="C42" s="13" t="s">
        <v>17752</v>
      </c>
      <c r="D42" s="13" t="s">
        <v>17753</v>
      </c>
      <c r="E42" s="13" t="s">
        <v>17754</v>
      </c>
      <c r="F42" s="13" t="s">
        <v>17755</v>
      </c>
    </row>
    <row r="43" customFormat="false" ht="15" hidden="false" customHeight="true" outlineLevel="0" collapsed="false">
      <c r="A43" s="13" t="s">
        <v>92</v>
      </c>
      <c r="B43" s="11" t="s">
        <v>17609</v>
      </c>
      <c r="C43" s="13" t="s">
        <v>17756</v>
      </c>
      <c r="D43" s="13" t="s">
        <v>17757</v>
      </c>
      <c r="E43" s="13" t="s">
        <v>17758</v>
      </c>
      <c r="F43" s="13" t="s">
        <v>17759</v>
      </c>
    </row>
    <row r="44" customFormat="false" ht="15" hidden="false" customHeight="true" outlineLevel="0" collapsed="false">
      <c r="A44" s="13" t="s">
        <v>92</v>
      </c>
      <c r="B44" s="11" t="s">
        <v>17614</v>
      </c>
      <c r="C44" s="13" t="s">
        <v>17760</v>
      </c>
      <c r="D44" s="13" t="s">
        <v>17761</v>
      </c>
      <c r="E44" s="13" t="s">
        <v>17762</v>
      </c>
      <c r="F44" s="13" t="s">
        <v>17763</v>
      </c>
    </row>
    <row r="45" customFormat="false" ht="15" hidden="false" customHeight="true" outlineLevel="0" collapsed="false">
      <c r="A45" s="13" t="s">
        <v>92</v>
      </c>
      <c r="B45" s="11" t="s">
        <v>17619</v>
      </c>
      <c r="C45" s="13" t="s">
        <v>17764</v>
      </c>
      <c r="D45" s="13" t="s">
        <v>17765</v>
      </c>
      <c r="E45" s="13" t="s">
        <v>1018</v>
      </c>
      <c r="F45" s="13" t="s">
        <v>1019</v>
      </c>
    </row>
    <row r="46" customFormat="false" ht="15" hidden="false" customHeight="true" outlineLevel="0" collapsed="false">
      <c r="A46" s="13" t="s">
        <v>92</v>
      </c>
      <c r="B46" s="13" t="s">
        <v>17622</v>
      </c>
      <c r="C46" s="13" t="s">
        <v>17766</v>
      </c>
      <c r="D46" s="13" t="s">
        <v>17767</v>
      </c>
      <c r="E46" s="13" t="s">
        <v>17768</v>
      </c>
      <c r="F46" s="13" t="s">
        <v>17769</v>
      </c>
    </row>
    <row r="47" customFormat="false" ht="15" hidden="false" customHeight="true" outlineLevel="0" collapsed="false">
      <c r="A47" s="13" t="s">
        <v>92</v>
      </c>
      <c r="B47" s="11" t="s">
        <v>17627</v>
      </c>
      <c r="C47" s="13" t="s">
        <v>17770</v>
      </c>
      <c r="D47" s="13" t="s">
        <v>17771</v>
      </c>
      <c r="E47" s="13" t="s">
        <v>17772</v>
      </c>
      <c r="F47" s="13" t="s">
        <v>17773</v>
      </c>
    </row>
    <row r="48" customFormat="false" ht="15" hidden="false" customHeight="true" outlineLevel="0" collapsed="false">
      <c r="A48" s="13" t="s">
        <v>92</v>
      </c>
      <c r="B48" s="11" t="s">
        <v>17632</v>
      </c>
      <c r="C48" s="13" t="s">
        <v>17774</v>
      </c>
      <c r="D48" s="13" t="s">
        <v>17775</v>
      </c>
      <c r="E48" s="13" t="s">
        <v>17776</v>
      </c>
      <c r="F48" s="13" t="s">
        <v>17777</v>
      </c>
    </row>
    <row r="49" customFormat="false" ht="15" hidden="false" customHeight="true" outlineLevel="0" collapsed="false">
      <c r="A49" s="13" t="s">
        <v>92</v>
      </c>
      <c r="B49" s="11" t="s">
        <v>17637</v>
      </c>
      <c r="C49" s="13" t="s">
        <v>17778</v>
      </c>
      <c r="D49" s="13" t="s">
        <v>17779</v>
      </c>
      <c r="E49" s="13" t="s">
        <v>17780</v>
      </c>
      <c r="F49" s="13" t="s">
        <v>17781</v>
      </c>
    </row>
    <row r="50" customFormat="false" ht="15" hidden="false" customHeight="true" outlineLevel="0" collapsed="false">
      <c r="A50" s="13" t="s">
        <v>92</v>
      </c>
      <c r="B50" s="11" t="s">
        <v>17642</v>
      </c>
      <c r="C50" s="13" t="s">
        <v>17782</v>
      </c>
      <c r="D50" s="13" t="s">
        <v>17783</v>
      </c>
      <c r="E50" s="13" t="s">
        <v>17784</v>
      </c>
      <c r="F50" s="13" t="s">
        <v>17785</v>
      </c>
    </row>
    <row r="51" customFormat="false" ht="15" hidden="false" customHeight="true" outlineLevel="0" collapsed="false">
      <c r="A51" s="13" t="s">
        <v>92</v>
      </c>
      <c r="B51" s="11" t="s">
        <v>17647</v>
      </c>
      <c r="C51" s="13" t="s">
        <v>17786</v>
      </c>
      <c r="D51" s="13" t="s">
        <v>17787</v>
      </c>
      <c r="E51" s="13" t="s">
        <v>17788</v>
      </c>
      <c r="F51" s="13" t="s">
        <v>17789</v>
      </c>
    </row>
    <row r="52" customFormat="false" ht="15" hidden="false" customHeight="true" outlineLevel="0" collapsed="false">
      <c r="A52" s="13" t="s">
        <v>92</v>
      </c>
      <c r="B52" s="11" t="s">
        <v>17652</v>
      </c>
      <c r="C52" s="13" t="s">
        <v>17790</v>
      </c>
      <c r="D52" s="13" t="s">
        <v>17791</v>
      </c>
      <c r="E52" s="13" t="s">
        <v>17792</v>
      </c>
      <c r="F52" s="13" t="s">
        <v>17793</v>
      </c>
    </row>
    <row r="53" customFormat="false" ht="15" hidden="false" customHeight="true" outlineLevel="0" collapsed="false">
      <c r="A53" s="13" t="s">
        <v>92</v>
      </c>
      <c r="B53" s="13" t="s">
        <v>17657</v>
      </c>
      <c r="C53" s="13" t="s">
        <v>17794</v>
      </c>
      <c r="D53" s="13" t="s">
        <v>17795</v>
      </c>
      <c r="E53" s="13" t="s">
        <v>17796</v>
      </c>
      <c r="F53" s="13" t="s">
        <v>17797</v>
      </c>
    </row>
    <row r="54" customFormat="false" ht="15" hidden="false" customHeight="true" outlineLevel="0" collapsed="false">
      <c r="A54" s="13" t="s">
        <v>92</v>
      </c>
      <c r="B54" s="11" t="s">
        <v>17662</v>
      </c>
      <c r="C54" s="13" t="s">
        <v>17798</v>
      </c>
      <c r="D54" s="13" t="s">
        <v>17799</v>
      </c>
      <c r="E54" s="13" t="s">
        <v>17800</v>
      </c>
      <c r="F54" s="13" t="s">
        <v>17801</v>
      </c>
    </row>
    <row r="55" customFormat="false" ht="15" hidden="false" customHeight="true" outlineLevel="0" collapsed="false">
      <c r="A55" s="13" t="s">
        <v>92</v>
      </c>
      <c r="B55" s="11" t="s">
        <v>17667</v>
      </c>
      <c r="C55" s="13" t="s">
        <v>17802</v>
      </c>
      <c r="D55" s="13" t="s">
        <v>17803</v>
      </c>
      <c r="E55" s="13" t="s">
        <v>17804</v>
      </c>
      <c r="F55" s="13" t="s">
        <v>17805</v>
      </c>
    </row>
    <row r="56" customFormat="false" ht="15" hidden="false" customHeight="true" outlineLevel="0" collapsed="false">
      <c r="A56" s="13" t="s">
        <v>92</v>
      </c>
      <c r="B56" s="11" t="s">
        <v>17672</v>
      </c>
      <c r="C56" s="13" t="s">
        <v>17806</v>
      </c>
      <c r="D56" s="13" t="s">
        <v>17807</v>
      </c>
      <c r="E56" s="13" t="s">
        <v>17808</v>
      </c>
      <c r="F56" s="13" t="s">
        <v>17809</v>
      </c>
    </row>
    <row r="57" customFormat="false" ht="15" hidden="false" customHeight="true" outlineLevel="0" collapsed="false">
      <c r="A57" s="13" t="s">
        <v>92</v>
      </c>
      <c r="B57" s="11" t="s">
        <v>17677</v>
      </c>
      <c r="C57" s="13" t="s">
        <v>17810</v>
      </c>
      <c r="D57" s="13" t="s">
        <v>17811</v>
      </c>
      <c r="E57" s="13" t="s">
        <v>17812</v>
      </c>
      <c r="F57" s="13" t="s">
        <v>17813</v>
      </c>
    </row>
    <row r="58" customFormat="false" ht="15" hidden="false" customHeight="true" outlineLevel="0" collapsed="false">
      <c r="A58" s="13" t="s">
        <v>101</v>
      </c>
      <c r="B58" s="13" t="s">
        <v>17599</v>
      </c>
      <c r="C58" s="13" t="s">
        <v>17814</v>
      </c>
      <c r="D58" s="13" t="s">
        <v>17815</v>
      </c>
      <c r="E58" s="13" t="s">
        <v>17816</v>
      </c>
      <c r="F58" s="13" t="s">
        <v>17817</v>
      </c>
    </row>
    <row r="59" customFormat="false" ht="15" hidden="false" customHeight="true" outlineLevel="0" collapsed="false">
      <c r="A59" s="13" t="s">
        <v>101</v>
      </c>
      <c r="B59" s="11" t="s">
        <v>17604</v>
      </c>
      <c r="C59" s="13" t="s">
        <v>17818</v>
      </c>
      <c r="D59" s="13" t="s">
        <v>17819</v>
      </c>
      <c r="E59" s="13" t="s">
        <v>17820</v>
      </c>
      <c r="F59" s="13" t="s">
        <v>17821</v>
      </c>
    </row>
    <row r="60" customFormat="false" ht="15" hidden="false" customHeight="true" outlineLevel="0" collapsed="false">
      <c r="A60" s="13" t="s">
        <v>101</v>
      </c>
      <c r="B60" s="11" t="s">
        <v>17609</v>
      </c>
      <c r="C60" s="13" t="s">
        <v>17822</v>
      </c>
      <c r="D60" s="13" t="s">
        <v>17823</v>
      </c>
      <c r="E60" s="13" t="s">
        <v>17824</v>
      </c>
      <c r="F60" s="13" t="s">
        <v>17825</v>
      </c>
    </row>
    <row r="61" customFormat="false" ht="15" hidden="false" customHeight="true" outlineLevel="0" collapsed="false">
      <c r="A61" s="13" t="s">
        <v>101</v>
      </c>
      <c r="B61" s="11" t="s">
        <v>17614</v>
      </c>
      <c r="C61" s="13" t="s">
        <v>17826</v>
      </c>
      <c r="D61" s="13" t="s">
        <v>17827</v>
      </c>
      <c r="E61" s="13" t="s">
        <v>17828</v>
      </c>
      <c r="F61" s="13" t="s">
        <v>17829</v>
      </c>
    </row>
    <row r="62" customFormat="false" ht="15" hidden="false" customHeight="true" outlineLevel="0" collapsed="false">
      <c r="A62" s="13" t="s">
        <v>101</v>
      </c>
      <c r="B62" s="11" t="s">
        <v>17619</v>
      </c>
      <c r="C62" s="13" t="s">
        <v>17830</v>
      </c>
      <c r="D62" s="13" t="s">
        <v>17831</v>
      </c>
      <c r="E62" s="13" t="s">
        <v>1018</v>
      </c>
      <c r="F62" s="13" t="s">
        <v>1019</v>
      </c>
    </row>
    <row r="63" customFormat="false" ht="15" hidden="false" customHeight="true" outlineLevel="0" collapsed="false">
      <c r="A63" s="13" t="s">
        <v>101</v>
      </c>
      <c r="B63" s="13" t="s">
        <v>17622</v>
      </c>
      <c r="C63" s="13" t="s">
        <v>17832</v>
      </c>
      <c r="D63" s="13" t="s">
        <v>17833</v>
      </c>
      <c r="E63" s="13" t="s">
        <v>17834</v>
      </c>
      <c r="F63" s="13" t="s">
        <v>17835</v>
      </c>
    </row>
    <row r="64" customFormat="false" ht="15" hidden="false" customHeight="true" outlineLevel="0" collapsed="false">
      <c r="A64" s="13" t="s">
        <v>101</v>
      </c>
      <c r="B64" s="11" t="s">
        <v>17627</v>
      </c>
      <c r="C64" s="13" t="s">
        <v>17836</v>
      </c>
      <c r="D64" s="13" t="s">
        <v>17837</v>
      </c>
      <c r="E64" s="13" t="s">
        <v>17838</v>
      </c>
      <c r="F64" s="13" t="s">
        <v>17839</v>
      </c>
    </row>
    <row r="65" customFormat="false" ht="15" hidden="false" customHeight="true" outlineLevel="0" collapsed="false">
      <c r="A65" s="13" t="s">
        <v>101</v>
      </c>
      <c r="B65" s="11" t="s">
        <v>17632</v>
      </c>
      <c r="C65" s="13" t="s">
        <v>17840</v>
      </c>
      <c r="D65" s="13" t="s">
        <v>17841</v>
      </c>
      <c r="E65" s="13" t="s">
        <v>17842</v>
      </c>
      <c r="F65" s="13" t="s">
        <v>17843</v>
      </c>
    </row>
    <row r="66" customFormat="false" ht="15" hidden="false" customHeight="true" outlineLevel="0" collapsed="false">
      <c r="A66" s="13" t="s">
        <v>101</v>
      </c>
      <c r="B66" s="11" t="s">
        <v>17637</v>
      </c>
      <c r="C66" s="13" t="s">
        <v>17844</v>
      </c>
      <c r="D66" s="13" t="s">
        <v>17845</v>
      </c>
      <c r="E66" s="13" t="s">
        <v>17846</v>
      </c>
      <c r="F66" s="13" t="s">
        <v>17847</v>
      </c>
    </row>
    <row r="67" customFormat="false" ht="15" hidden="false" customHeight="true" outlineLevel="0" collapsed="false">
      <c r="A67" s="13" t="s">
        <v>101</v>
      </c>
      <c r="B67" s="11" t="s">
        <v>17642</v>
      </c>
      <c r="C67" s="13" t="s">
        <v>17848</v>
      </c>
      <c r="D67" s="13" t="s">
        <v>17849</v>
      </c>
      <c r="E67" s="13" t="s">
        <v>17850</v>
      </c>
      <c r="F67" s="13" t="s">
        <v>17851</v>
      </c>
    </row>
    <row r="68" customFormat="false" ht="15" hidden="false" customHeight="true" outlineLevel="0" collapsed="false">
      <c r="A68" s="13" t="s">
        <v>101</v>
      </c>
      <c r="B68" s="11" t="s">
        <v>17647</v>
      </c>
      <c r="C68" s="13" t="s">
        <v>17852</v>
      </c>
      <c r="D68" s="13" t="s">
        <v>17853</v>
      </c>
      <c r="E68" s="13" t="s">
        <v>17854</v>
      </c>
      <c r="F68" s="13" t="s">
        <v>17855</v>
      </c>
    </row>
    <row r="69" customFormat="false" ht="15" hidden="false" customHeight="true" outlineLevel="0" collapsed="false">
      <c r="A69" s="13" t="s">
        <v>101</v>
      </c>
      <c r="B69" s="11" t="s">
        <v>17652</v>
      </c>
      <c r="C69" s="13" t="s">
        <v>17856</v>
      </c>
      <c r="D69" s="13" t="s">
        <v>17857</v>
      </c>
      <c r="E69" s="13" t="s">
        <v>17858</v>
      </c>
      <c r="F69" s="13" t="s">
        <v>10707</v>
      </c>
    </row>
    <row r="70" customFormat="false" ht="15" hidden="false" customHeight="true" outlineLevel="0" collapsed="false">
      <c r="A70" s="13" t="s">
        <v>101</v>
      </c>
      <c r="B70" s="13" t="s">
        <v>17657</v>
      </c>
      <c r="C70" s="13" t="s">
        <v>17859</v>
      </c>
      <c r="D70" s="13" t="s">
        <v>17860</v>
      </c>
      <c r="E70" s="13" t="s">
        <v>17861</v>
      </c>
      <c r="F70" s="13" t="s">
        <v>17862</v>
      </c>
    </row>
    <row r="71" customFormat="false" ht="15" hidden="false" customHeight="true" outlineLevel="0" collapsed="false">
      <c r="A71" s="13" t="s">
        <v>101</v>
      </c>
      <c r="B71" s="11" t="s">
        <v>17662</v>
      </c>
      <c r="C71" s="13" t="s">
        <v>17863</v>
      </c>
      <c r="D71" s="13" t="s">
        <v>17864</v>
      </c>
      <c r="E71" s="13" t="s">
        <v>17865</v>
      </c>
      <c r="F71" s="13" t="s">
        <v>17866</v>
      </c>
    </row>
    <row r="72" customFormat="false" ht="15" hidden="false" customHeight="true" outlineLevel="0" collapsed="false">
      <c r="A72" s="13" t="s">
        <v>101</v>
      </c>
      <c r="B72" s="11" t="s">
        <v>17667</v>
      </c>
      <c r="C72" s="13" t="s">
        <v>17867</v>
      </c>
      <c r="D72" s="13" t="s">
        <v>17868</v>
      </c>
      <c r="E72" s="13" t="s">
        <v>17869</v>
      </c>
      <c r="F72" s="13" t="s">
        <v>17870</v>
      </c>
    </row>
    <row r="73" customFormat="false" ht="15" hidden="false" customHeight="true" outlineLevel="0" collapsed="false">
      <c r="A73" s="13" t="s">
        <v>101</v>
      </c>
      <c r="B73" s="11" t="s">
        <v>17672</v>
      </c>
      <c r="C73" s="13" t="s">
        <v>17871</v>
      </c>
      <c r="D73" s="13" t="s">
        <v>17872</v>
      </c>
      <c r="E73" s="13" t="s">
        <v>17873</v>
      </c>
      <c r="F73" s="13" t="s">
        <v>17874</v>
      </c>
    </row>
    <row r="74" customFormat="false" ht="15" hidden="false" customHeight="true" outlineLevel="0" collapsed="false">
      <c r="A74" s="13" t="s">
        <v>101</v>
      </c>
      <c r="B74" s="11" t="s">
        <v>17677</v>
      </c>
      <c r="C74" s="13" t="s">
        <v>17875</v>
      </c>
      <c r="D74" s="13" t="s">
        <v>17876</v>
      </c>
      <c r="E74" s="13" t="s">
        <v>17877</v>
      </c>
      <c r="F74" s="13" t="s">
        <v>17878</v>
      </c>
    </row>
    <row r="75" customFormat="false" ht="15" hidden="false" customHeight="true" outlineLevel="0" collapsed="false">
      <c r="A75" s="13" t="s">
        <v>110</v>
      </c>
      <c r="B75" s="13" t="s">
        <v>17599</v>
      </c>
      <c r="C75" s="13" t="s">
        <v>17879</v>
      </c>
      <c r="D75" s="13" t="s">
        <v>17880</v>
      </c>
      <c r="E75" s="13" t="s">
        <v>17881</v>
      </c>
      <c r="F75" s="13" t="s">
        <v>17882</v>
      </c>
    </row>
    <row r="76" customFormat="false" ht="15" hidden="false" customHeight="true" outlineLevel="0" collapsed="false">
      <c r="A76" s="13" t="s">
        <v>110</v>
      </c>
      <c r="B76" s="11" t="s">
        <v>17604</v>
      </c>
      <c r="C76" s="13" t="s">
        <v>17883</v>
      </c>
      <c r="D76" s="13" t="s">
        <v>17884</v>
      </c>
      <c r="E76" s="13" t="s">
        <v>17885</v>
      </c>
      <c r="F76" s="13" t="s">
        <v>17886</v>
      </c>
    </row>
    <row r="77" customFormat="false" ht="15" hidden="false" customHeight="true" outlineLevel="0" collapsed="false">
      <c r="A77" s="13" t="s">
        <v>110</v>
      </c>
      <c r="B77" s="11" t="s">
        <v>17609</v>
      </c>
      <c r="C77" s="13" t="s">
        <v>17887</v>
      </c>
      <c r="D77" s="13" t="s">
        <v>17888</v>
      </c>
      <c r="E77" s="13" t="s">
        <v>17889</v>
      </c>
      <c r="F77" s="13" t="s">
        <v>17890</v>
      </c>
    </row>
    <row r="78" customFormat="false" ht="15" hidden="false" customHeight="true" outlineLevel="0" collapsed="false">
      <c r="A78" s="13" t="s">
        <v>110</v>
      </c>
      <c r="B78" s="11" t="s">
        <v>17614</v>
      </c>
      <c r="C78" s="13" t="s">
        <v>17891</v>
      </c>
      <c r="D78" s="13" t="s">
        <v>17892</v>
      </c>
      <c r="E78" s="13" t="s">
        <v>17893</v>
      </c>
      <c r="F78" s="13" t="s">
        <v>17894</v>
      </c>
    </row>
    <row r="79" customFormat="false" ht="15" hidden="false" customHeight="true" outlineLevel="0" collapsed="false">
      <c r="A79" s="13" t="s">
        <v>110</v>
      </c>
      <c r="B79" s="11" t="s">
        <v>17619</v>
      </c>
      <c r="C79" s="13" t="s">
        <v>17895</v>
      </c>
      <c r="D79" s="13" t="s">
        <v>17896</v>
      </c>
      <c r="E79" s="13" t="s">
        <v>1018</v>
      </c>
      <c r="F79" s="13" t="s">
        <v>1019</v>
      </c>
    </row>
    <row r="80" customFormat="false" ht="15" hidden="false" customHeight="true" outlineLevel="0" collapsed="false">
      <c r="A80" s="13" t="s">
        <v>110</v>
      </c>
      <c r="B80" s="13" t="s">
        <v>17622</v>
      </c>
      <c r="C80" s="13" t="s">
        <v>17897</v>
      </c>
      <c r="D80" s="13" t="s">
        <v>17898</v>
      </c>
      <c r="E80" s="13" t="s">
        <v>17899</v>
      </c>
      <c r="F80" s="13" t="s">
        <v>17900</v>
      </c>
    </row>
    <row r="81" customFormat="false" ht="15" hidden="false" customHeight="true" outlineLevel="0" collapsed="false">
      <c r="A81" s="13" t="s">
        <v>110</v>
      </c>
      <c r="B81" s="11" t="s">
        <v>17627</v>
      </c>
      <c r="C81" s="13" t="s">
        <v>17901</v>
      </c>
      <c r="D81" s="13" t="s">
        <v>17902</v>
      </c>
      <c r="E81" s="13" t="s">
        <v>17903</v>
      </c>
      <c r="F81" s="13" t="s">
        <v>17904</v>
      </c>
    </row>
    <row r="82" customFormat="false" ht="15" hidden="false" customHeight="true" outlineLevel="0" collapsed="false">
      <c r="A82" s="13" t="s">
        <v>110</v>
      </c>
      <c r="B82" s="11" t="s">
        <v>17632</v>
      </c>
      <c r="C82" s="13" t="s">
        <v>17905</v>
      </c>
      <c r="D82" s="13" t="s">
        <v>17906</v>
      </c>
      <c r="E82" s="13" t="s">
        <v>17907</v>
      </c>
      <c r="F82" s="13" t="s">
        <v>17908</v>
      </c>
    </row>
    <row r="83" customFormat="false" ht="15" hidden="false" customHeight="true" outlineLevel="0" collapsed="false">
      <c r="A83" s="13" t="s">
        <v>110</v>
      </c>
      <c r="B83" s="11" t="s">
        <v>17637</v>
      </c>
      <c r="C83" s="13" t="s">
        <v>17909</v>
      </c>
      <c r="D83" s="13" t="s">
        <v>17910</v>
      </c>
      <c r="E83" s="13" t="s">
        <v>17911</v>
      </c>
      <c r="F83" s="13" t="s">
        <v>17912</v>
      </c>
    </row>
    <row r="84" customFormat="false" ht="15" hidden="false" customHeight="true" outlineLevel="0" collapsed="false">
      <c r="A84" s="13" t="s">
        <v>110</v>
      </c>
      <c r="B84" s="11" t="s">
        <v>17642</v>
      </c>
      <c r="C84" s="13" t="s">
        <v>17913</v>
      </c>
      <c r="D84" s="13" t="s">
        <v>17914</v>
      </c>
      <c r="E84" s="13" t="s">
        <v>17915</v>
      </c>
      <c r="F84" s="13" t="s">
        <v>17916</v>
      </c>
    </row>
    <row r="85" customFormat="false" ht="15" hidden="false" customHeight="true" outlineLevel="0" collapsed="false">
      <c r="A85" s="13" t="s">
        <v>110</v>
      </c>
      <c r="B85" s="11" t="s">
        <v>17647</v>
      </c>
      <c r="C85" s="13" t="s">
        <v>17917</v>
      </c>
      <c r="D85" s="13" t="s">
        <v>17918</v>
      </c>
      <c r="E85" s="13" t="s">
        <v>17919</v>
      </c>
      <c r="F85" s="13" t="s">
        <v>17920</v>
      </c>
    </row>
    <row r="86" customFormat="false" ht="15" hidden="false" customHeight="true" outlineLevel="0" collapsed="false">
      <c r="A86" s="13" t="s">
        <v>110</v>
      </c>
      <c r="B86" s="11" t="s">
        <v>17652</v>
      </c>
      <c r="C86" s="13" t="s">
        <v>17921</v>
      </c>
      <c r="D86" s="13" t="s">
        <v>17922</v>
      </c>
      <c r="E86" s="13" t="s">
        <v>17923</v>
      </c>
      <c r="F86" s="13" t="s">
        <v>17924</v>
      </c>
    </row>
    <row r="87" customFormat="false" ht="15" hidden="false" customHeight="true" outlineLevel="0" collapsed="false">
      <c r="A87" s="13" t="s">
        <v>110</v>
      </c>
      <c r="B87" s="13" t="s">
        <v>17657</v>
      </c>
      <c r="C87" s="13" t="s">
        <v>17925</v>
      </c>
      <c r="D87" s="13" t="s">
        <v>17926</v>
      </c>
      <c r="E87" s="13" t="s">
        <v>17927</v>
      </c>
      <c r="F87" s="13" t="s">
        <v>17928</v>
      </c>
    </row>
    <row r="88" customFormat="false" ht="15" hidden="false" customHeight="true" outlineLevel="0" collapsed="false">
      <c r="A88" s="13" t="s">
        <v>110</v>
      </c>
      <c r="B88" s="11" t="s">
        <v>17662</v>
      </c>
      <c r="C88" s="13" t="s">
        <v>17929</v>
      </c>
      <c r="D88" s="13" t="s">
        <v>17930</v>
      </c>
      <c r="E88" s="13" t="s">
        <v>17931</v>
      </c>
      <c r="F88" s="13" t="s">
        <v>17932</v>
      </c>
    </row>
    <row r="89" customFormat="false" ht="15" hidden="false" customHeight="true" outlineLevel="0" collapsed="false">
      <c r="A89" s="13" t="s">
        <v>110</v>
      </c>
      <c r="B89" s="11" t="s">
        <v>17667</v>
      </c>
      <c r="C89" s="13" t="s">
        <v>17933</v>
      </c>
      <c r="D89" s="13" t="s">
        <v>17934</v>
      </c>
      <c r="E89" s="13" t="s">
        <v>17935</v>
      </c>
      <c r="F89" s="13" t="s">
        <v>17936</v>
      </c>
    </row>
    <row r="90" customFormat="false" ht="15" hidden="false" customHeight="true" outlineLevel="0" collapsed="false">
      <c r="A90" s="13" t="s">
        <v>110</v>
      </c>
      <c r="B90" s="11" t="s">
        <v>17672</v>
      </c>
      <c r="C90" s="13" t="s">
        <v>17937</v>
      </c>
      <c r="D90" s="13" t="s">
        <v>17938</v>
      </c>
      <c r="E90" s="13" t="s">
        <v>17939</v>
      </c>
      <c r="F90" s="13" t="s">
        <v>17940</v>
      </c>
    </row>
    <row r="91" customFormat="false" ht="15" hidden="false" customHeight="true" outlineLevel="0" collapsed="false">
      <c r="A91" s="13" t="s">
        <v>110</v>
      </c>
      <c r="B91" s="11" t="s">
        <v>17677</v>
      </c>
      <c r="C91" s="13" t="s">
        <v>17941</v>
      </c>
      <c r="D91" s="13" t="s">
        <v>17942</v>
      </c>
      <c r="E91" s="13" t="s">
        <v>17943</v>
      </c>
      <c r="F91" s="13" t="s">
        <v>17944</v>
      </c>
    </row>
    <row r="92" customFormat="false" ht="15" hidden="false" customHeight="true" outlineLevel="0" collapsed="false">
      <c r="A92" s="13" t="s">
        <v>119</v>
      </c>
      <c r="B92" s="13" t="s">
        <v>17599</v>
      </c>
      <c r="C92" s="13" t="s">
        <v>17945</v>
      </c>
      <c r="D92" s="13" t="s">
        <v>17946</v>
      </c>
      <c r="E92" s="13" t="s">
        <v>17947</v>
      </c>
      <c r="F92" s="13" t="s">
        <v>17948</v>
      </c>
    </row>
    <row r="93" customFormat="false" ht="15" hidden="false" customHeight="true" outlineLevel="0" collapsed="false">
      <c r="A93" s="13" t="s">
        <v>119</v>
      </c>
      <c r="B93" s="11" t="s">
        <v>17604</v>
      </c>
      <c r="C93" s="13" t="s">
        <v>17949</v>
      </c>
      <c r="D93" s="13" t="s">
        <v>17950</v>
      </c>
      <c r="E93" s="13" t="s">
        <v>17951</v>
      </c>
      <c r="F93" s="13" t="s">
        <v>17952</v>
      </c>
    </row>
    <row r="94" customFormat="false" ht="15" hidden="false" customHeight="true" outlineLevel="0" collapsed="false">
      <c r="A94" s="13" t="s">
        <v>119</v>
      </c>
      <c r="B94" s="11" t="s">
        <v>17609</v>
      </c>
      <c r="C94" s="13" t="s">
        <v>17953</v>
      </c>
      <c r="D94" s="13" t="s">
        <v>17954</v>
      </c>
      <c r="E94" s="13" t="s">
        <v>17955</v>
      </c>
      <c r="F94" s="13" t="s">
        <v>17956</v>
      </c>
    </row>
    <row r="95" customFormat="false" ht="15" hidden="false" customHeight="true" outlineLevel="0" collapsed="false">
      <c r="A95" s="13" t="s">
        <v>119</v>
      </c>
      <c r="B95" s="11" t="s">
        <v>17614</v>
      </c>
      <c r="C95" s="13" t="s">
        <v>17957</v>
      </c>
      <c r="D95" s="13" t="s">
        <v>17958</v>
      </c>
      <c r="E95" s="13" t="s">
        <v>17959</v>
      </c>
      <c r="F95" s="13" t="s">
        <v>17960</v>
      </c>
    </row>
    <row r="96" customFormat="false" ht="15" hidden="false" customHeight="true" outlineLevel="0" collapsed="false">
      <c r="A96" s="13" t="s">
        <v>119</v>
      </c>
      <c r="B96" s="11" t="s">
        <v>17619</v>
      </c>
      <c r="C96" s="13" t="s">
        <v>17961</v>
      </c>
      <c r="D96" s="13" t="s">
        <v>17962</v>
      </c>
      <c r="E96" s="13" t="s">
        <v>1018</v>
      </c>
      <c r="F96" s="13" t="s">
        <v>1019</v>
      </c>
    </row>
    <row r="97" customFormat="false" ht="15" hidden="false" customHeight="true" outlineLevel="0" collapsed="false">
      <c r="A97" s="13" t="s">
        <v>119</v>
      </c>
      <c r="B97" s="13" t="s">
        <v>17622</v>
      </c>
      <c r="C97" s="13" t="s">
        <v>17963</v>
      </c>
      <c r="D97" s="13" t="s">
        <v>17964</v>
      </c>
      <c r="E97" s="13" t="s">
        <v>17965</v>
      </c>
      <c r="F97" s="13" t="s">
        <v>17966</v>
      </c>
    </row>
    <row r="98" customFormat="false" ht="15" hidden="false" customHeight="true" outlineLevel="0" collapsed="false">
      <c r="A98" s="13" t="s">
        <v>119</v>
      </c>
      <c r="B98" s="11" t="s">
        <v>17627</v>
      </c>
      <c r="C98" s="13" t="s">
        <v>17967</v>
      </c>
      <c r="D98" s="13" t="s">
        <v>17968</v>
      </c>
      <c r="E98" s="13" t="s">
        <v>17969</v>
      </c>
      <c r="F98" s="13" t="s">
        <v>17970</v>
      </c>
    </row>
    <row r="99" customFormat="false" ht="15" hidden="false" customHeight="true" outlineLevel="0" collapsed="false">
      <c r="A99" s="13" t="s">
        <v>119</v>
      </c>
      <c r="B99" s="11" t="s">
        <v>17632</v>
      </c>
      <c r="C99" s="13" t="s">
        <v>17971</v>
      </c>
      <c r="D99" s="13" t="s">
        <v>17972</v>
      </c>
      <c r="E99" s="13" t="s">
        <v>17973</v>
      </c>
      <c r="F99" s="13" t="s">
        <v>17974</v>
      </c>
    </row>
    <row r="100" customFormat="false" ht="15" hidden="false" customHeight="true" outlineLevel="0" collapsed="false">
      <c r="A100" s="13" t="s">
        <v>119</v>
      </c>
      <c r="B100" s="11" t="s">
        <v>17637</v>
      </c>
      <c r="C100" s="13" t="s">
        <v>17975</v>
      </c>
      <c r="D100" s="13" t="s">
        <v>17976</v>
      </c>
      <c r="E100" s="13" t="s">
        <v>17977</v>
      </c>
      <c r="F100" s="13" t="s">
        <v>17978</v>
      </c>
    </row>
    <row r="101" customFormat="false" ht="15" hidden="false" customHeight="true" outlineLevel="0" collapsed="false">
      <c r="A101" s="13" t="s">
        <v>119</v>
      </c>
      <c r="B101" s="11" t="s">
        <v>17642</v>
      </c>
      <c r="C101" s="13" t="s">
        <v>17979</v>
      </c>
      <c r="D101" s="13" t="s">
        <v>17980</v>
      </c>
      <c r="E101" s="13" t="s">
        <v>17981</v>
      </c>
      <c r="F101" s="13" t="s">
        <v>17982</v>
      </c>
    </row>
    <row r="102" customFormat="false" ht="15" hidden="false" customHeight="true" outlineLevel="0" collapsed="false">
      <c r="A102" s="13" t="s">
        <v>119</v>
      </c>
      <c r="B102" s="11" t="s">
        <v>17647</v>
      </c>
      <c r="C102" s="13" t="s">
        <v>17983</v>
      </c>
      <c r="D102" s="13" t="s">
        <v>17984</v>
      </c>
      <c r="E102" s="13" t="s">
        <v>17985</v>
      </c>
      <c r="F102" s="13" t="s">
        <v>17986</v>
      </c>
    </row>
    <row r="103" customFormat="false" ht="15" hidden="false" customHeight="true" outlineLevel="0" collapsed="false">
      <c r="A103" s="13" t="s">
        <v>119</v>
      </c>
      <c r="B103" s="11" t="s">
        <v>17652</v>
      </c>
      <c r="C103" s="13" t="s">
        <v>17987</v>
      </c>
      <c r="D103" s="13" t="s">
        <v>17988</v>
      </c>
      <c r="E103" s="13" t="s">
        <v>17989</v>
      </c>
      <c r="F103" s="13" t="s">
        <v>17990</v>
      </c>
    </row>
    <row r="104" customFormat="false" ht="15" hidden="false" customHeight="true" outlineLevel="0" collapsed="false">
      <c r="A104" s="13" t="s">
        <v>119</v>
      </c>
      <c r="B104" s="13" t="s">
        <v>17657</v>
      </c>
      <c r="C104" s="13" t="s">
        <v>17991</v>
      </c>
      <c r="D104" s="13" t="s">
        <v>17992</v>
      </c>
      <c r="E104" s="13" t="s">
        <v>17993</v>
      </c>
      <c r="F104" s="13" t="s">
        <v>17994</v>
      </c>
    </row>
    <row r="105" customFormat="false" ht="15" hidden="false" customHeight="true" outlineLevel="0" collapsed="false">
      <c r="A105" s="13" t="s">
        <v>119</v>
      </c>
      <c r="B105" s="11" t="s">
        <v>17662</v>
      </c>
      <c r="C105" s="13" t="s">
        <v>17995</v>
      </c>
      <c r="D105" s="13" t="s">
        <v>17996</v>
      </c>
      <c r="E105" s="13" t="s">
        <v>17997</v>
      </c>
      <c r="F105" s="13" t="s">
        <v>17998</v>
      </c>
    </row>
    <row r="106" customFormat="false" ht="15" hidden="false" customHeight="true" outlineLevel="0" collapsed="false">
      <c r="A106" s="13" t="s">
        <v>119</v>
      </c>
      <c r="B106" s="11" t="s">
        <v>17667</v>
      </c>
      <c r="C106" s="13" t="s">
        <v>17999</v>
      </c>
      <c r="D106" s="13" t="s">
        <v>18000</v>
      </c>
      <c r="E106" s="13" t="s">
        <v>18001</v>
      </c>
      <c r="F106" s="13" t="s">
        <v>18002</v>
      </c>
    </row>
    <row r="107" customFormat="false" ht="15" hidden="false" customHeight="true" outlineLevel="0" collapsed="false">
      <c r="A107" s="13" t="s">
        <v>119</v>
      </c>
      <c r="B107" s="11" t="s">
        <v>17672</v>
      </c>
      <c r="C107" s="13" t="s">
        <v>18003</v>
      </c>
      <c r="D107" s="13" t="s">
        <v>18004</v>
      </c>
      <c r="E107" s="13" t="s">
        <v>18005</v>
      </c>
      <c r="F107" s="13" t="s">
        <v>18006</v>
      </c>
    </row>
    <row r="108" customFormat="false" ht="15" hidden="false" customHeight="true" outlineLevel="0" collapsed="false">
      <c r="A108" s="13" t="s">
        <v>119</v>
      </c>
      <c r="B108" s="11" t="s">
        <v>17677</v>
      </c>
      <c r="C108" s="13" t="s">
        <v>18007</v>
      </c>
      <c r="D108" s="13" t="s">
        <v>18008</v>
      </c>
      <c r="E108" s="13" t="s">
        <v>18009</v>
      </c>
      <c r="F108" s="13" t="s">
        <v>18010</v>
      </c>
    </row>
    <row r="109" customFormat="false" ht="15" hidden="false" customHeight="true" outlineLevel="0" collapsed="false">
      <c r="A109" s="13" t="s">
        <v>128</v>
      </c>
      <c r="B109" s="13" t="s">
        <v>17599</v>
      </c>
      <c r="C109" s="13" t="s">
        <v>18011</v>
      </c>
      <c r="D109" s="13" t="s">
        <v>18012</v>
      </c>
      <c r="E109" s="13" t="s">
        <v>18013</v>
      </c>
      <c r="F109" s="13" t="s">
        <v>18014</v>
      </c>
    </row>
    <row r="110" customFormat="false" ht="15" hidden="false" customHeight="true" outlineLevel="0" collapsed="false">
      <c r="A110" s="13" t="s">
        <v>128</v>
      </c>
      <c r="B110" s="11" t="s">
        <v>17604</v>
      </c>
      <c r="C110" s="13" t="s">
        <v>18015</v>
      </c>
      <c r="D110" s="13" t="s">
        <v>18016</v>
      </c>
      <c r="E110" s="13" t="s">
        <v>18017</v>
      </c>
      <c r="F110" s="13" t="s">
        <v>18018</v>
      </c>
    </row>
    <row r="111" customFormat="false" ht="15" hidden="false" customHeight="true" outlineLevel="0" collapsed="false">
      <c r="A111" s="13" t="s">
        <v>128</v>
      </c>
      <c r="B111" s="11" t="s">
        <v>17609</v>
      </c>
      <c r="C111" s="13" t="s">
        <v>18019</v>
      </c>
      <c r="D111" s="13" t="s">
        <v>18020</v>
      </c>
      <c r="E111" s="13" t="s">
        <v>18021</v>
      </c>
      <c r="F111" s="13" t="s">
        <v>18022</v>
      </c>
    </row>
    <row r="112" customFormat="false" ht="15" hidden="false" customHeight="true" outlineLevel="0" collapsed="false">
      <c r="A112" s="13" t="s">
        <v>128</v>
      </c>
      <c r="B112" s="11" t="s">
        <v>17614</v>
      </c>
      <c r="C112" s="13" t="s">
        <v>18023</v>
      </c>
      <c r="D112" s="13" t="s">
        <v>18024</v>
      </c>
      <c r="E112" s="13" t="s">
        <v>18025</v>
      </c>
      <c r="F112" s="13" t="s">
        <v>18026</v>
      </c>
    </row>
    <row r="113" customFormat="false" ht="15" hidden="false" customHeight="true" outlineLevel="0" collapsed="false">
      <c r="A113" s="13" t="s">
        <v>128</v>
      </c>
      <c r="B113" s="11" t="s">
        <v>17619</v>
      </c>
      <c r="C113" s="13" t="s">
        <v>18027</v>
      </c>
      <c r="D113" s="13" t="s">
        <v>18028</v>
      </c>
      <c r="E113" s="13" t="s">
        <v>1018</v>
      </c>
      <c r="F113" s="13" t="s">
        <v>1019</v>
      </c>
    </row>
    <row r="114" customFormat="false" ht="15" hidden="false" customHeight="true" outlineLevel="0" collapsed="false">
      <c r="A114" s="13" t="s">
        <v>128</v>
      </c>
      <c r="B114" s="13" t="s">
        <v>17622</v>
      </c>
      <c r="C114" s="13" t="s">
        <v>18029</v>
      </c>
      <c r="D114" s="13" t="s">
        <v>18030</v>
      </c>
      <c r="E114" s="13" t="s">
        <v>18031</v>
      </c>
      <c r="F114" s="13" t="s">
        <v>18032</v>
      </c>
    </row>
    <row r="115" customFormat="false" ht="15" hidden="false" customHeight="true" outlineLevel="0" collapsed="false">
      <c r="A115" s="13" t="s">
        <v>128</v>
      </c>
      <c r="B115" s="11" t="s">
        <v>17627</v>
      </c>
      <c r="C115" s="13" t="s">
        <v>18033</v>
      </c>
      <c r="D115" s="13" t="s">
        <v>18034</v>
      </c>
      <c r="E115" s="13" t="s">
        <v>18035</v>
      </c>
      <c r="F115" s="13" t="s">
        <v>18036</v>
      </c>
    </row>
    <row r="116" customFormat="false" ht="15" hidden="false" customHeight="true" outlineLevel="0" collapsed="false">
      <c r="A116" s="13" t="s">
        <v>128</v>
      </c>
      <c r="B116" s="11" t="s">
        <v>17632</v>
      </c>
      <c r="C116" s="13" t="s">
        <v>18037</v>
      </c>
      <c r="D116" s="13" t="s">
        <v>18038</v>
      </c>
      <c r="E116" s="13" t="s">
        <v>18039</v>
      </c>
      <c r="F116" s="13" t="s">
        <v>18040</v>
      </c>
    </row>
    <row r="117" customFormat="false" ht="15" hidden="false" customHeight="true" outlineLevel="0" collapsed="false">
      <c r="A117" s="13" t="s">
        <v>128</v>
      </c>
      <c r="B117" s="11" t="s">
        <v>17637</v>
      </c>
      <c r="C117" s="13" t="s">
        <v>18041</v>
      </c>
      <c r="D117" s="13" t="s">
        <v>18042</v>
      </c>
      <c r="E117" s="13" t="s">
        <v>18043</v>
      </c>
      <c r="F117" s="13" t="s">
        <v>18044</v>
      </c>
    </row>
    <row r="118" customFormat="false" ht="15" hidden="false" customHeight="true" outlineLevel="0" collapsed="false">
      <c r="A118" s="13" t="s">
        <v>128</v>
      </c>
      <c r="B118" s="11" t="s">
        <v>17642</v>
      </c>
      <c r="C118" s="13" t="s">
        <v>18045</v>
      </c>
      <c r="D118" s="13" t="s">
        <v>18046</v>
      </c>
      <c r="E118" s="13" t="s">
        <v>18047</v>
      </c>
      <c r="F118" s="13" t="s">
        <v>18048</v>
      </c>
    </row>
    <row r="119" customFormat="false" ht="15" hidden="false" customHeight="true" outlineLevel="0" collapsed="false">
      <c r="A119" s="13" t="s">
        <v>128</v>
      </c>
      <c r="B119" s="11" t="s">
        <v>17647</v>
      </c>
      <c r="C119" s="13" t="s">
        <v>18049</v>
      </c>
      <c r="D119" s="13" t="s">
        <v>18050</v>
      </c>
      <c r="E119" s="13" t="s">
        <v>18051</v>
      </c>
      <c r="F119" s="13" t="s">
        <v>18052</v>
      </c>
    </row>
    <row r="120" customFormat="false" ht="15" hidden="false" customHeight="true" outlineLevel="0" collapsed="false">
      <c r="A120" s="13" t="s">
        <v>128</v>
      </c>
      <c r="B120" s="11" t="s">
        <v>17652</v>
      </c>
      <c r="C120" s="13" t="s">
        <v>18053</v>
      </c>
      <c r="D120" s="13" t="s">
        <v>18054</v>
      </c>
      <c r="E120" s="13" t="s">
        <v>18055</v>
      </c>
      <c r="F120" s="13" t="s">
        <v>18056</v>
      </c>
    </row>
    <row r="121" customFormat="false" ht="15" hidden="false" customHeight="true" outlineLevel="0" collapsed="false">
      <c r="A121" s="13" t="s">
        <v>128</v>
      </c>
      <c r="B121" s="13" t="s">
        <v>17657</v>
      </c>
      <c r="C121" s="13" t="s">
        <v>18057</v>
      </c>
      <c r="D121" s="13" t="s">
        <v>18058</v>
      </c>
      <c r="E121" s="13" t="s">
        <v>18059</v>
      </c>
      <c r="F121" s="13" t="s">
        <v>18060</v>
      </c>
    </row>
    <row r="122" customFormat="false" ht="15" hidden="false" customHeight="true" outlineLevel="0" collapsed="false">
      <c r="A122" s="13" t="s">
        <v>128</v>
      </c>
      <c r="B122" s="11" t="s">
        <v>17662</v>
      </c>
      <c r="C122" s="13" t="s">
        <v>18061</v>
      </c>
      <c r="D122" s="13" t="s">
        <v>18062</v>
      </c>
      <c r="E122" s="13" t="s">
        <v>18063</v>
      </c>
      <c r="F122" s="13" t="s">
        <v>18064</v>
      </c>
    </row>
    <row r="123" customFormat="false" ht="15" hidden="false" customHeight="true" outlineLevel="0" collapsed="false">
      <c r="A123" s="13" t="s">
        <v>128</v>
      </c>
      <c r="B123" s="11" t="s">
        <v>17667</v>
      </c>
      <c r="C123" s="13" t="s">
        <v>18065</v>
      </c>
      <c r="D123" s="13" t="s">
        <v>18066</v>
      </c>
      <c r="E123" s="13" t="s">
        <v>18067</v>
      </c>
      <c r="F123" s="13" t="s">
        <v>18068</v>
      </c>
    </row>
    <row r="124" customFormat="false" ht="15" hidden="false" customHeight="true" outlineLevel="0" collapsed="false">
      <c r="A124" s="13" t="s">
        <v>128</v>
      </c>
      <c r="B124" s="11" t="s">
        <v>17672</v>
      </c>
      <c r="C124" s="13" t="s">
        <v>18069</v>
      </c>
      <c r="D124" s="13" t="s">
        <v>18070</v>
      </c>
      <c r="E124" s="13" t="s">
        <v>18071</v>
      </c>
      <c r="F124" s="13" t="s">
        <v>18072</v>
      </c>
    </row>
    <row r="125" customFormat="false" ht="15" hidden="false" customHeight="true" outlineLevel="0" collapsed="false">
      <c r="A125" s="13" t="s">
        <v>128</v>
      </c>
      <c r="B125" s="11" t="s">
        <v>17677</v>
      </c>
      <c r="C125" s="13" t="s">
        <v>18073</v>
      </c>
      <c r="D125" s="13" t="s">
        <v>18074</v>
      </c>
      <c r="E125" s="13" t="s">
        <v>18075</v>
      </c>
      <c r="F125" s="13" t="s">
        <v>18076</v>
      </c>
    </row>
    <row r="126" customFormat="false" ht="15" hidden="false" customHeight="true" outlineLevel="0" collapsed="false">
      <c r="A126" s="13" t="s">
        <v>137</v>
      </c>
      <c r="B126" s="13" t="s">
        <v>17599</v>
      </c>
      <c r="C126" s="13" t="s">
        <v>18077</v>
      </c>
      <c r="D126" s="13" t="s">
        <v>18078</v>
      </c>
      <c r="E126" s="13" t="s">
        <v>18079</v>
      </c>
      <c r="F126" s="13" t="s">
        <v>18080</v>
      </c>
    </row>
    <row r="127" customFormat="false" ht="15" hidden="false" customHeight="true" outlineLevel="0" collapsed="false">
      <c r="A127" s="13" t="s">
        <v>137</v>
      </c>
      <c r="B127" s="11" t="s">
        <v>17604</v>
      </c>
      <c r="C127" s="13" t="s">
        <v>18081</v>
      </c>
      <c r="D127" s="13" t="s">
        <v>18082</v>
      </c>
      <c r="E127" s="13" t="s">
        <v>18083</v>
      </c>
      <c r="F127" s="13" t="s">
        <v>18084</v>
      </c>
    </row>
    <row r="128" customFormat="false" ht="15" hidden="false" customHeight="true" outlineLevel="0" collapsed="false">
      <c r="A128" s="13" t="s">
        <v>137</v>
      </c>
      <c r="B128" s="11" t="s">
        <v>17609</v>
      </c>
      <c r="C128" s="13" t="s">
        <v>18085</v>
      </c>
      <c r="D128" s="13" t="s">
        <v>18086</v>
      </c>
      <c r="E128" s="13" t="s">
        <v>18087</v>
      </c>
      <c r="F128" s="13" t="s">
        <v>18088</v>
      </c>
    </row>
    <row r="129" customFormat="false" ht="15" hidden="false" customHeight="true" outlineLevel="0" collapsed="false">
      <c r="A129" s="13" t="s">
        <v>137</v>
      </c>
      <c r="B129" s="11" t="s">
        <v>17614</v>
      </c>
      <c r="C129" s="13" t="s">
        <v>18089</v>
      </c>
      <c r="D129" s="13" t="s">
        <v>18090</v>
      </c>
      <c r="E129" s="13" t="s">
        <v>18091</v>
      </c>
      <c r="F129" s="13" t="s">
        <v>18092</v>
      </c>
    </row>
    <row r="130" customFormat="false" ht="15" hidden="false" customHeight="true" outlineLevel="0" collapsed="false">
      <c r="A130" s="13" t="s">
        <v>137</v>
      </c>
      <c r="B130" s="11" t="s">
        <v>17619</v>
      </c>
      <c r="C130" s="13" t="s">
        <v>18093</v>
      </c>
      <c r="D130" s="13" t="s">
        <v>18094</v>
      </c>
      <c r="E130" s="13" t="s">
        <v>1018</v>
      </c>
      <c r="F130" s="13" t="s">
        <v>1019</v>
      </c>
    </row>
    <row r="131" customFormat="false" ht="15" hidden="false" customHeight="true" outlineLevel="0" collapsed="false">
      <c r="A131" s="13" t="s">
        <v>137</v>
      </c>
      <c r="B131" s="13" t="s">
        <v>17622</v>
      </c>
      <c r="C131" s="13" t="s">
        <v>18095</v>
      </c>
      <c r="D131" s="13" t="s">
        <v>18096</v>
      </c>
      <c r="E131" s="13" t="s">
        <v>18097</v>
      </c>
      <c r="F131" s="13" t="s">
        <v>18098</v>
      </c>
    </row>
    <row r="132" customFormat="false" ht="15" hidden="false" customHeight="true" outlineLevel="0" collapsed="false">
      <c r="A132" s="13" t="s">
        <v>137</v>
      </c>
      <c r="B132" s="11" t="s">
        <v>17627</v>
      </c>
      <c r="C132" s="13" t="s">
        <v>18099</v>
      </c>
      <c r="D132" s="13" t="s">
        <v>18100</v>
      </c>
      <c r="E132" s="13" t="s">
        <v>18101</v>
      </c>
      <c r="F132" s="13" t="s">
        <v>18102</v>
      </c>
    </row>
    <row r="133" customFormat="false" ht="15" hidden="false" customHeight="true" outlineLevel="0" collapsed="false">
      <c r="A133" s="13" t="s">
        <v>137</v>
      </c>
      <c r="B133" s="11" t="s">
        <v>17632</v>
      </c>
      <c r="C133" s="13" t="s">
        <v>18103</v>
      </c>
      <c r="D133" s="13" t="s">
        <v>18104</v>
      </c>
      <c r="E133" s="13" t="s">
        <v>18105</v>
      </c>
      <c r="F133" s="13" t="s">
        <v>18106</v>
      </c>
    </row>
    <row r="134" customFormat="false" ht="15" hidden="false" customHeight="true" outlineLevel="0" collapsed="false">
      <c r="A134" s="13" t="s">
        <v>137</v>
      </c>
      <c r="B134" s="11" t="s">
        <v>17637</v>
      </c>
      <c r="C134" s="13" t="s">
        <v>18107</v>
      </c>
      <c r="D134" s="13" t="s">
        <v>18108</v>
      </c>
      <c r="E134" s="13" t="s">
        <v>18109</v>
      </c>
      <c r="F134" s="13" t="s">
        <v>18110</v>
      </c>
    </row>
    <row r="135" customFormat="false" ht="15" hidden="false" customHeight="true" outlineLevel="0" collapsed="false">
      <c r="A135" s="13" t="s">
        <v>137</v>
      </c>
      <c r="B135" s="11" t="s">
        <v>17642</v>
      </c>
      <c r="C135" s="13" t="s">
        <v>18111</v>
      </c>
      <c r="D135" s="13" t="s">
        <v>18112</v>
      </c>
      <c r="E135" s="13" t="s">
        <v>18113</v>
      </c>
      <c r="F135" s="13" t="s">
        <v>18114</v>
      </c>
    </row>
    <row r="136" customFormat="false" ht="15" hidden="false" customHeight="true" outlineLevel="0" collapsed="false">
      <c r="A136" s="13" t="s">
        <v>137</v>
      </c>
      <c r="B136" s="11" t="s">
        <v>17647</v>
      </c>
      <c r="C136" s="13" t="s">
        <v>18115</v>
      </c>
      <c r="D136" s="13" t="s">
        <v>18116</v>
      </c>
      <c r="E136" s="13" t="s">
        <v>18117</v>
      </c>
      <c r="F136" s="13" t="s">
        <v>18118</v>
      </c>
    </row>
    <row r="137" customFormat="false" ht="15" hidden="false" customHeight="true" outlineLevel="0" collapsed="false">
      <c r="A137" s="13" t="s">
        <v>137</v>
      </c>
      <c r="B137" s="11" t="s">
        <v>17652</v>
      </c>
      <c r="C137" s="13" t="s">
        <v>18119</v>
      </c>
      <c r="D137" s="13" t="s">
        <v>18120</v>
      </c>
      <c r="E137" s="13" t="s">
        <v>18121</v>
      </c>
      <c r="F137" s="13" t="s">
        <v>18122</v>
      </c>
    </row>
    <row r="138" customFormat="false" ht="15" hidden="false" customHeight="true" outlineLevel="0" collapsed="false">
      <c r="A138" s="13" t="s">
        <v>137</v>
      </c>
      <c r="B138" s="13" t="s">
        <v>17657</v>
      </c>
      <c r="C138" s="13" t="s">
        <v>18123</v>
      </c>
      <c r="D138" s="13" t="s">
        <v>18124</v>
      </c>
      <c r="E138" s="13" t="s">
        <v>18125</v>
      </c>
      <c r="F138" s="13" t="s">
        <v>18126</v>
      </c>
    </row>
    <row r="139" customFormat="false" ht="15" hidden="false" customHeight="true" outlineLevel="0" collapsed="false">
      <c r="A139" s="13" t="s">
        <v>137</v>
      </c>
      <c r="B139" s="11" t="s">
        <v>17662</v>
      </c>
      <c r="C139" s="13" t="s">
        <v>18127</v>
      </c>
      <c r="D139" s="13" t="s">
        <v>18128</v>
      </c>
      <c r="E139" s="13" t="s">
        <v>18129</v>
      </c>
      <c r="F139" s="13" t="s">
        <v>18130</v>
      </c>
    </row>
    <row r="140" customFormat="false" ht="15" hidden="false" customHeight="true" outlineLevel="0" collapsed="false">
      <c r="A140" s="13" t="s">
        <v>137</v>
      </c>
      <c r="B140" s="11" t="s">
        <v>17667</v>
      </c>
      <c r="C140" s="13" t="s">
        <v>18131</v>
      </c>
      <c r="D140" s="13" t="s">
        <v>18132</v>
      </c>
      <c r="E140" s="13" t="s">
        <v>18133</v>
      </c>
      <c r="F140" s="13" t="s">
        <v>18134</v>
      </c>
    </row>
    <row r="141" customFormat="false" ht="15" hidden="false" customHeight="true" outlineLevel="0" collapsed="false">
      <c r="A141" s="13" t="s">
        <v>137</v>
      </c>
      <c r="B141" s="11" t="s">
        <v>17672</v>
      </c>
      <c r="C141" s="13" t="s">
        <v>18135</v>
      </c>
      <c r="D141" s="13" t="s">
        <v>18136</v>
      </c>
      <c r="E141" s="13" t="s">
        <v>18137</v>
      </c>
      <c r="F141" s="13" t="s">
        <v>18138</v>
      </c>
    </row>
    <row r="142" customFormat="false" ht="15" hidden="false" customHeight="true" outlineLevel="0" collapsed="false">
      <c r="A142" s="13" t="s">
        <v>137</v>
      </c>
      <c r="B142" s="11" t="s">
        <v>17677</v>
      </c>
      <c r="C142" s="13" t="s">
        <v>18139</v>
      </c>
      <c r="D142" s="13" t="s">
        <v>18140</v>
      </c>
      <c r="E142" s="13" t="s">
        <v>18141</v>
      </c>
      <c r="F142" s="13" t="s">
        <v>18142</v>
      </c>
    </row>
    <row r="143" customFormat="false" ht="15" hidden="false" customHeight="true" outlineLevel="0" collapsed="false">
      <c r="A143" s="13" t="s">
        <v>146</v>
      </c>
      <c r="B143" s="13" t="s">
        <v>17599</v>
      </c>
      <c r="C143" s="13" t="s">
        <v>18143</v>
      </c>
      <c r="D143" s="13" t="s">
        <v>18144</v>
      </c>
      <c r="E143" s="13" t="s">
        <v>18145</v>
      </c>
      <c r="F143" s="13" t="s">
        <v>18146</v>
      </c>
    </row>
    <row r="144" customFormat="false" ht="15" hidden="false" customHeight="true" outlineLevel="0" collapsed="false">
      <c r="A144" s="13" t="s">
        <v>146</v>
      </c>
      <c r="B144" s="11" t="s">
        <v>17604</v>
      </c>
      <c r="C144" s="13" t="s">
        <v>18147</v>
      </c>
      <c r="D144" s="13" t="s">
        <v>18148</v>
      </c>
      <c r="E144" s="13" t="s">
        <v>18149</v>
      </c>
      <c r="F144" s="13" t="s">
        <v>18150</v>
      </c>
    </row>
    <row r="145" customFormat="false" ht="15" hidden="false" customHeight="true" outlineLevel="0" collapsed="false">
      <c r="A145" s="13" t="s">
        <v>146</v>
      </c>
      <c r="B145" s="11" t="s">
        <v>17609</v>
      </c>
      <c r="C145" s="13" t="s">
        <v>18151</v>
      </c>
      <c r="D145" s="13" t="s">
        <v>18152</v>
      </c>
      <c r="E145" s="13" t="s">
        <v>18153</v>
      </c>
      <c r="F145" s="13" t="s">
        <v>18154</v>
      </c>
    </row>
    <row r="146" customFormat="false" ht="15" hidden="false" customHeight="true" outlineLevel="0" collapsed="false">
      <c r="A146" s="13" t="s">
        <v>146</v>
      </c>
      <c r="B146" s="11" t="s">
        <v>17614</v>
      </c>
      <c r="C146" s="13" t="s">
        <v>18155</v>
      </c>
      <c r="D146" s="13" t="s">
        <v>18156</v>
      </c>
      <c r="E146" s="13" t="s">
        <v>18157</v>
      </c>
      <c r="F146" s="13" t="s">
        <v>18158</v>
      </c>
    </row>
    <row r="147" customFormat="false" ht="15" hidden="false" customHeight="true" outlineLevel="0" collapsed="false">
      <c r="A147" s="13" t="s">
        <v>146</v>
      </c>
      <c r="B147" s="11" t="s">
        <v>17619</v>
      </c>
      <c r="C147" s="13" t="s">
        <v>18159</v>
      </c>
      <c r="D147" s="13" t="s">
        <v>18160</v>
      </c>
      <c r="E147" s="13" t="s">
        <v>1018</v>
      </c>
      <c r="F147" s="13" t="s">
        <v>1019</v>
      </c>
    </row>
    <row r="148" customFormat="false" ht="15" hidden="false" customHeight="true" outlineLevel="0" collapsed="false">
      <c r="A148" s="13" t="s">
        <v>146</v>
      </c>
      <c r="B148" s="13" t="s">
        <v>17622</v>
      </c>
      <c r="C148" s="13" t="s">
        <v>18161</v>
      </c>
      <c r="D148" s="13" t="s">
        <v>18162</v>
      </c>
      <c r="E148" s="13" t="s">
        <v>18163</v>
      </c>
      <c r="F148" s="13" t="s">
        <v>18164</v>
      </c>
    </row>
    <row r="149" customFormat="false" ht="15" hidden="false" customHeight="true" outlineLevel="0" collapsed="false">
      <c r="A149" s="13" t="s">
        <v>146</v>
      </c>
      <c r="B149" s="11" t="s">
        <v>17627</v>
      </c>
      <c r="C149" s="13" t="s">
        <v>18165</v>
      </c>
      <c r="D149" s="13" t="s">
        <v>18166</v>
      </c>
      <c r="E149" s="13" t="s">
        <v>18167</v>
      </c>
      <c r="F149" s="13" t="s">
        <v>18168</v>
      </c>
    </row>
    <row r="150" customFormat="false" ht="15" hidden="false" customHeight="true" outlineLevel="0" collapsed="false">
      <c r="A150" s="13" t="s">
        <v>146</v>
      </c>
      <c r="B150" s="11" t="s">
        <v>17632</v>
      </c>
      <c r="C150" s="13" t="s">
        <v>18169</v>
      </c>
      <c r="D150" s="13" t="s">
        <v>18170</v>
      </c>
      <c r="E150" s="13" t="s">
        <v>18171</v>
      </c>
      <c r="F150" s="13" t="s">
        <v>18172</v>
      </c>
    </row>
    <row r="151" customFormat="false" ht="15" hidden="false" customHeight="true" outlineLevel="0" collapsed="false">
      <c r="A151" s="13" t="s">
        <v>146</v>
      </c>
      <c r="B151" s="11" t="s">
        <v>17637</v>
      </c>
      <c r="C151" s="13" t="s">
        <v>18173</v>
      </c>
      <c r="D151" s="13" t="s">
        <v>18174</v>
      </c>
      <c r="E151" s="13" t="s">
        <v>18175</v>
      </c>
      <c r="F151" s="13" t="s">
        <v>18176</v>
      </c>
    </row>
    <row r="152" customFormat="false" ht="15" hidden="false" customHeight="true" outlineLevel="0" collapsed="false">
      <c r="A152" s="13" t="s">
        <v>146</v>
      </c>
      <c r="B152" s="11" t="s">
        <v>17642</v>
      </c>
      <c r="C152" s="13" t="s">
        <v>18177</v>
      </c>
      <c r="D152" s="13" t="s">
        <v>18178</v>
      </c>
      <c r="E152" s="13" t="s">
        <v>18179</v>
      </c>
      <c r="F152" s="13" t="s">
        <v>18180</v>
      </c>
    </row>
    <row r="153" customFormat="false" ht="15" hidden="false" customHeight="true" outlineLevel="0" collapsed="false">
      <c r="A153" s="13" t="s">
        <v>146</v>
      </c>
      <c r="B153" s="11" t="s">
        <v>17647</v>
      </c>
      <c r="C153" s="13" t="s">
        <v>18181</v>
      </c>
      <c r="D153" s="13" t="s">
        <v>18182</v>
      </c>
      <c r="E153" s="13" t="s">
        <v>18183</v>
      </c>
      <c r="F153" s="13" t="s">
        <v>18184</v>
      </c>
    </row>
    <row r="154" customFormat="false" ht="15" hidden="false" customHeight="true" outlineLevel="0" collapsed="false">
      <c r="A154" s="13" t="s">
        <v>146</v>
      </c>
      <c r="B154" s="11" t="s">
        <v>17652</v>
      </c>
      <c r="C154" s="13" t="s">
        <v>18185</v>
      </c>
      <c r="D154" s="13" t="s">
        <v>18186</v>
      </c>
      <c r="E154" s="13" t="s">
        <v>8090</v>
      </c>
      <c r="F154" s="13" t="s">
        <v>18187</v>
      </c>
    </row>
    <row r="155" customFormat="false" ht="15" hidden="false" customHeight="true" outlineLevel="0" collapsed="false">
      <c r="A155" s="13" t="s">
        <v>146</v>
      </c>
      <c r="B155" s="13" t="s">
        <v>17657</v>
      </c>
      <c r="C155" s="13" t="s">
        <v>18188</v>
      </c>
      <c r="D155" s="13" t="s">
        <v>18189</v>
      </c>
      <c r="E155" s="13" t="s">
        <v>18190</v>
      </c>
      <c r="F155" s="13" t="s">
        <v>18191</v>
      </c>
    </row>
    <row r="156" customFormat="false" ht="15" hidden="false" customHeight="true" outlineLevel="0" collapsed="false">
      <c r="A156" s="13" t="s">
        <v>146</v>
      </c>
      <c r="B156" s="11" t="s">
        <v>17662</v>
      </c>
      <c r="C156" s="13" t="s">
        <v>18192</v>
      </c>
      <c r="D156" s="13" t="s">
        <v>18193</v>
      </c>
      <c r="E156" s="13" t="s">
        <v>18194</v>
      </c>
      <c r="F156" s="13" t="s">
        <v>18195</v>
      </c>
    </row>
    <row r="157" customFormat="false" ht="15" hidden="false" customHeight="true" outlineLevel="0" collapsed="false">
      <c r="A157" s="13" t="s">
        <v>146</v>
      </c>
      <c r="B157" s="11" t="s">
        <v>17667</v>
      </c>
      <c r="C157" s="13" t="s">
        <v>18196</v>
      </c>
      <c r="D157" s="13" t="s">
        <v>18197</v>
      </c>
      <c r="E157" s="13" t="s">
        <v>18198</v>
      </c>
      <c r="F157" s="13" t="s">
        <v>18199</v>
      </c>
    </row>
    <row r="158" customFormat="false" ht="15" hidden="false" customHeight="true" outlineLevel="0" collapsed="false">
      <c r="A158" s="13" t="s">
        <v>146</v>
      </c>
      <c r="B158" s="11" t="s">
        <v>17672</v>
      </c>
      <c r="C158" s="13" t="s">
        <v>18200</v>
      </c>
      <c r="D158" s="13" t="s">
        <v>18201</v>
      </c>
      <c r="E158" s="13" t="s">
        <v>18202</v>
      </c>
      <c r="F158" s="13" t="s">
        <v>18203</v>
      </c>
    </row>
    <row r="159" customFormat="false" ht="15" hidden="false" customHeight="true" outlineLevel="0" collapsed="false">
      <c r="A159" s="13" t="s">
        <v>146</v>
      </c>
      <c r="B159" s="11" t="s">
        <v>17677</v>
      </c>
      <c r="C159" s="13" t="s">
        <v>18204</v>
      </c>
      <c r="D159" s="13" t="s">
        <v>18205</v>
      </c>
      <c r="E159" s="13" t="s">
        <v>18206</v>
      </c>
      <c r="F159" s="13" t="s">
        <v>18207</v>
      </c>
    </row>
    <row r="160" customFormat="false" ht="15" hidden="false" customHeight="true" outlineLevel="0" collapsed="false">
      <c r="A160" s="13" t="s">
        <v>155</v>
      </c>
      <c r="B160" s="13" t="s">
        <v>17599</v>
      </c>
      <c r="C160" s="13" t="s">
        <v>18208</v>
      </c>
      <c r="D160" s="13" t="s">
        <v>18209</v>
      </c>
      <c r="E160" s="13" t="s">
        <v>18210</v>
      </c>
      <c r="F160" s="13" t="s">
        <v>18211</v>
      </c>
    </row>
    <row r="161" customFormat="false" ht="15" hidden="false" customHeight="true" outlineLevel="0" collapsed="false">
      <c r="A161" s="13" t="s">
        <v>155</v>
      </c>
      <c r="B161" s="11" t="s">
        <v>17604</v>
      </c>
      <c r="C161" s="13" t="s">
        <v>18212</v>
      </c>
      <c r="D161" s="13" t="s">
        <v>18213</v>
      </c>
      <c r="E161" s="13" t="s">
        <v>18214</v>
      </c>
      <c r="F161" s="13" t="s">
        <v>18215</v>
      </c>
    </row>
    <row r="162" customFormat="false" ht="15" hidden="false" customHeight="true" outlineLevel="0" collapsed="false">
      <c r="A162" s="13" t="s">
        <v>155</v>
      </c>
      <c r="B162" s="11" t="s">
        <v>17609</v>
      </c>
      <c r="C162" s="13" t="s">
        <v>18216</v>
      </c>
      <c r="D162" s="13" t="s">
        <v>18217</v>
      </c>
      <c r="E162" s="13" t="s">
        <v>18218</v>
      </c>
      <c r="F162" s="13" t="s">
        <v>18219</v>
      </c>
    </row>
    <row r="163" customFormat="false" ht="15" hidden="false" customHeight="true" outlineLevel="0" collapsed="false">
      <c r="A163" s="13" t="s">
        <v>155</v>
      </c>
      <c r="B163" s="11" t="s">
        <v>17614</v>
      </c>
      <c r="C163" s="13" t="s">
        <v>18220</v>
      </c>
      <c r="D163" s="13" t="s">
        <v>18221</v>
      </c>
      <c r="E163" s="13" t="s">
        <v>18222</v>
      </c>
      <c r="F163" s="13" t="s">
        <v>18223</v>
      </c>
    </row>
    <row r="164" customFormat="false" ht="15" hidden="false" customHeight="true" outlineLevel="0" collapsed="false">
      <c r="A164" s="13" t="s">
        <v>155</v>
      </c>
      <c r="B164" s="11" t="s">
        <v>17619</v>
      </c>
      <c r="C164" s="13" t="s">
        <v>18224</v>
      </c>
      <c r="D164" s="13" t="s">
        <v>18225</v>
      </c>
      <c r="E164" s="13" t="s">
        <v>1018</v>
      </c>
      <c r="F164" s="13" t="s">
        <v>1019</v>
      </c>
    </row>
    <row r="165" customFormat="false" ht="15" hidden="false" customHeight="true" outlineLevel="0" collapsed="false">
      <c r="A165" s="13" t="s">
        <v>155</v>
      </c>
      <c r="B165" s="13" t="s">
        <v>17622</v>
      </c>
      <c r="C165" s="13" t="s">
        <v>18226</v>
      </c>
      <c r="D165" s="13" t="s">
        <v>18227</v>
      </c>
      <c r="E165" s="13" t="s">
        <v>18228</v>
      </c>
      <c r="F165" s="13" t="s">
        <v>18229</v>
      </c>
    </row>
    <row r="166" customFormat="false" ht="15" hidden="false" customHeight="true" outlineLevel="0" collapsed="false">
      <c r="A166" s="13" t="s">
        <v>155</v>
      </c>
      <c r="B166" s="11" t="s">
        <v>17627</v>
      </c>
      <c r="C166" s="13" t="s">
        <v>18230</v>
      </c>
      <c r="D166" s="13" t="s">
        <v>18231</v>
      </c>
      <c r="E166" s="13" t="s">
        <v>18232</v>
      </c>
      <c r="F166" s="13" t="s">
        <v>18233</v>
      </c>
    </row>
    <row r="167" customFormat="false" ht="15" hidden="false" customHeight="true" outlineLevel="0" collapsed="false">
      <c r="A167" s="13" t="s">
        <v>155</v>
      </c>
      <c r="B167" s="11" t="s">
        <v>17632</v>
      </c>
      <c r="C167" s="13" t="s">
        <v>18234</v>
      </c>
      <c r="D167" s="13" t="s">
        <v>18235</v>
      </c>
      <c r="E167" s="13" t="s">
        <v>18236</v>
      </c>
      <c r="F167" s="13" t="s">
        <v>18237</v>
      </c>
    </row>
    <row r="168" customFormat="false" ht="15" hidden="false" customHeight="true" outlineLevel="0" collapsed="false">
      <c r="A168" s="13" t="s">
        <v>155</v>
      </c>
      <c r="B168" s="11" t="s">
        <v>17637</v>
      </c>
      <c r="C168" s="13" t="s">
        <v>18238</v>
      </c>
      <c r="D168" s="13" t="s">
        <v>18239</v>
      </c>
      <c r="E168" s="13" t="s">
        <v>18240</v>
      </c>
      <c r="F168" s="13" t="s">
        <v>18241</v>
      </c>
    </row>
    <row r="169" customFormat="false" ht="15" hidden="false" customHeight="true" outlineLevel="0" collapsed="false">
      <c r="A169" s="13" t="s">
        <v>155</v>
      </c>
      <c r="B169" s="11" t="s">
        <v>17642</v>
      </c>
      <c r="C169" s="13" t="s">
        <v>18242</v>
      </c>
      <c r="D169" s="13" t="s">
        <v>18243</v>
      </c>
      <c r="E169" s="13" t="s">
        <v>18244</v>
      </c>
      <c r="F169" s="13" t="s">
        <v>18245</v>
      </c>
    </row>
    <row r="170" customFormat="false" ht="15" hidden="false" customHeight="true" outlineLevel="0" collapsed="false">
      <c r="A170" s="13" t="s">
        <v>155</v>
      </c>
      <c r="B170" s="11" t="s">
        <v>17647</v>
      </c>
      <c r="C170" s="13" t="s">
        <v>18246</v>
      </c>
      <c r="D170" s="13" t="s">
        <v>18247</v>
      </c>
      <c r="E170" s="13" t="s">
        <v>18248</v>
      </c>
      <c r="F170" s="13" t="s">
        <v>18249</v>
      </c>
    </row>
    <row r="171" customFormat="false" ht="15" hidden="false" customHeight="true" outlineLevel="0" collapsed="false">
      <c r="A171" s="13" t="s">
        <v>155</v>
      </c>
      <c r="B171" s="11" t="s">
        <v>17652</v>
      </c>
      <c r="C171" s="13" t="s">
        <v>18250</v>
      </c>
      <c r="D171" s="13" t="s">
        <v>18251</v>
      </c>
      <c r="E171" s="13" t="s">
        <v>18252</v>
      </c>
      <c r="F171" s="13" t="s">
        <v>18253</v>
      </c>
    </row>
    <row r="172" customFormat="false" ht="15" hidden="false" customHeight="true" outlineLevel="0" collapsed="false">
      <c r="A172" s="13" t="s">
        <v>155</v>
      </c>
      <c r="B172" s="13" t="s">
        <v>17657</v>
      </c>
      <c r="C172" s="13" t="s">
        <v>18254</v>
      </c>
      <c r="D172" s="13" t="s">
        <v>18255</v>
      </c>
      <c r="E172" s="13" t="s">
        <v>18256</v>
      </c>
      <c r="F172" s="13" t="s">
        <v>18257</v>
      </c>
    </row>
    <row r="173" customFormat="false" ht="15" hidden="false" customHeight="true" outlineLevel="0" collapsed="false">
      <c r="A173" s="13" t="s">
        <v>155</v>
      </c>
      <c r="B173" s="11" t="s">
        <v>17662</v>
      </c>
      <c r="C173" s="13" t="s">
        <v>18258</v>
      </c>
      <c r="D173" s="13" t="s">
        <v>18259</v>
      </c>
      <c r="E173" s="13" t="s">
        <v>18260</v>
      </c>
      <c r="F173" s="13" t="s">
        <v>18261</v>
      </c>
    </row>
    <row r="174" customFormat="false" ht="15" hidden="false" customHeight="true" outlineLevel="0" collapsed="false">
      <c r="A174" s="13" t="s">
        <v>155</v>
      </c>
      <c r="B174" s="11" t="s">
        <v>17667</v>
      </c>
      <c r="C174" s="13" t="s">
        <v>18262</v>
      </c>
      <c r="D174" s="13" t="s">
        <v>18263</v>
      </c>
      <c r="E174" s="13" t="s">
        <v>18264</v>
      </c>
      <c r="F174" s="13" t="s">
        <v>18265</v>
      </c>
    </row>
    <row r="175" customFormat="false" ht="15" hidden="false" customHeight="true" outlineLevel="0" collapsed="false">
      <c r="A175" s="13" t="s">
        <v>155</v>
      </c>
      <c r="B175" s="11" t="s">
        <v>17672</v>
      </c>
      <c r="C175" s="13" t="s">
        <v>18266</v>
      </c>
      <c r="D175" s="13" t="s">
        <v>18267</v>
      </c>
      <c r="E175" s="13" t="s">
        <v>18268</v>
      </c>
      <c r="F175" s="13" t="s">
        <v>18269</v>
      </c>
    </row>
    <row r="176" customFormat="false" ht="15" hidden="false" customHeight="true" outlineLevel="0" collapsed="false">
      <c r="A176" s="13" t="s">
        <v>155</v>
      </c>
      <c r="B176" s="11" t="s">
        <v>17677</v>
      </c>
      <c r="C176" s="13" t="s">
        <v>18270</v>
      </c>
      <c r="D176" s="13" t="s">
        <v>18271</v>
      </c>
      <c r="E176" s="13" t="s">
        <v>18272</v>
      </c>
      <c r="F176" s="13" t="s">
        <v>18273</v>
      </c>
    </row>
    <row r="177" customFormat="false" ht="15" hidden="false" customHeight="true" outlineLevel="0" collapsed="false">
      <c r="A177" s="13" t="s">
        <v>163</v>
      </c>
      <c r="B177" s="13" t="s">
        <v>17599</v>
      </c>
      <c r="C177" s="13" t="s">
        <v>18274</v>
      </c>
      <c r="D177" s="13" t="s">
        <v>18275</v>
      </c>
      <c r="E177" s="13" t="s">
        <v>18276</v>
      </c>
      <c r="F177" s="13" t="s">
        <v>18277</v>
      </c>
    </row>
    <row r="178" customFormat="false" ht="15" hidden="false" customHeight="true" outlineLevel="0" collapsed="false">
      <c r="A178" s="13" t="s">
        <v>163</v>
      </c>
      <c r="B178" s="11" t="s">
        <v>17604</v>
      </c>
      <c r="C178" s="13" t="s">
        <v>18278</v>
      </c>
      <c r="D178" s="13" t="s">
        <v>18279</v>
      </c>
      <c r="E178" s="13" t="s">
        <v>18280</v>
      </c>
      <c r="F178" s="13" t="s">
        <v>18281</v>
      </c>
    </row>
    <row r="179" customFormat="false" ht="15" hidden="false" customHeight="true" outlineLevel="0" collapsed="false">
      <c r="A179" s="13" t="s">
        <v>163</v>
      </c>
      <c r="B179" s="11" t="s">
        <v>17609</v>
      </c>
      <c r="C179" s="13" t="s">
        <v>18282</v>
      </c>
      <c r="D179" s="13" t="s">
        <v>18283</v>
      </c>
      <c r="E179" s="13" t="s">
        <v>18284</v>
      </c>
      <c r="F179" s="13" t="s">
        <v>18285</v>
      </c>
    </row>
    <row r="180" customFormat="false" ht="15" hidden="false" customHeight="true" outlineLevel="0" collapsed="false">
      <c r="A180" s="13" t="s">
        <v>163</v>
      </c>
      <c r="B180" s="11" t="s">
        <v>17614</v>
      </c>
      <c r="C180" s="13" t="s">
        <v>18286</v>
      </c>
      <c r="D180" s="13" t="s">
        <v>18287</v>
      </c>
      <c r="E180" s="13" t="s">
        <v>18288</v>
      </c>
      <c r="F180" s="13" t="s">
        <v>18289</v>
      </c>
    </row>
    <row r="181" customFormat="false" ht="15" hidden="false" customHeight="true" outlineLevel="0" collapsed="false">
      <c r="A181" s="13" t="s">
        <v>163</v>
      </c>
      <c r="B181" s="11" t="s">
        <v>17619</v>
      </c>
      <c r="C181" s="13" t="s">
        <v>18290</v>
      </c>
      <c r="D181" s="13" t="s">
        <v>18291</v>
      </c>
      <c r="E181" s="13" t="s">
        <v>1018</v>
      </c>
      <c r="F181" s="13" t="s">
        <v>1019</v>
      </c>
    </row>
    <row r="182" customFormat="false" ht="15" hidden="false" customHeight="true" outlineLevel="0" collapsed="false">
      <c r="A182" s="13" t="s">
        <v>163</v>
      </c>
      <c r="B182" s="13" t="s">
        <v>17622</v>
      </c>
      <c r="C182" s="13" t="s">
        <v>18292</v>
      </c>
      <c r="D182" s="13" t="s">
        <v>18293</v>
      </c>
      <c r="E182" s="13" t="s">
        <v>18294</v>
      </c>
      <c r="F182" s="13" t="s">
        <v>18295</v>
      </c>
    </row>
    <row r="183" customFormat="false" ht="15" hidden="false" customHeight="true" outlineLevel="0" collapsed="false">
      <c r="A183" s="13" t="s">
        <v>163</v>
      </c>
      <c r="B183" s="11" t="s">
        <v>17627</v>
      </c>
      <c r="C183" s="13" t="s">
        <v>18296</v>
      </c>
      <c r="D183" s="13" t="s">
        <v>18297</v>
      </c>
      <c r="E183" s="13" t="s">
        <v>18298</v>
      </c>
      <c r="F183" s="13" t="s">
        <v>18299</v>
      </c>
    </row>
    <row r="184" customFormat="false" ht="15" hidden="false" customHeight="true" outlineLevel="0" collapsed="false">
      <c r="A184" s="13" t="s">
        <v>163</v>
      </c>
      <c r="B184" s="11" t="s">
        <v>17632</v>
      </c>
      <c r="C184" s="13" t="s">
        <v>18300</v>
      </c>
      <c r="D184" s="13" t="s">
        <v>18301</v>
      </c>
      <c r="E184" s="13" t="s">
        <v>18302</v>
      </c>
      <c r="F184" s="13" t="s">
        <v>18303</v>
      </c>
    </row>
    <row r="185" customFormat="false" ht="15" hidden="false" customHeight="true" outlineLevel="0" collapsed="false">
      <c r="A185" s="13" t="s">
        <v>163</v>
      </c>
      <c r="B185" s="11" t="s">
        <v>17637</v>
      </c>
      <c r="C185" s="13" t="s">
        <v>18304</v>
      </c>
      <c r="D185" s="13" t="s">
        <v>18305</v>
      </c>
      <c r="E185" s="13" t="s">
        <v>18306</v>
      </c>
      <c r="F185" s="13" t="s">
        <v>18307</v>
      </c>
    </row>
    <row r="186" customFormat="false" ht="15" hidden="false" customHeight="true" outlineLevel="0" collapsed="false">
      <c r="A186" s="13" t="s">
        <v>163</v>
      </c>
      <c r="B186" s="11" t="s">
        <v>17642</v>
      </c>
      <c r="C186" s="13" t="s">
        <v>18308</v>
      </c>
      <c r="D186" s="13" t="s">
        <v>18309</v>
      </c>
      <c r="E186" s="13" t="s">
        <v>18310</v>
      </c>
      <c r="F186" s="13" t="s">
        <v>18311</v>
      </c>
    </row>
    <row r="187" customFormat="false" ht="15" hidden="false" customHeight="true" outlineLevel="0" collapsed="false">
      <c r="A187" s="13" t="s">
        <v>163</v>
      </c>
      <c r="B187" s="11" t="s">
        <v>17647</v>
      </c>
      <c r="C187" s="13" t="s">
        <v>18312</v>
      </c>
      <c r="D187" s="13" t="s">
        <v>18313</v>
      </c>
      <c r="E187" s="13" t="s">
        <v>18314</v>
      </c>
      <c r="F187" s="13" t="s">
        <v>18315</v>
      </c>
    </row>
    <row r="188" customFormat="false" ht="15" hidden="false" customHeight="true" outlineLevel="0" collapsed="false">
      <c r="A188" s="13" t="s">
        <v>163</v>
      </c>
      <c r="B188" s="11" t="s">
        <v>17652</v>
      </c>
      <c r="C188" s="13" t="s">
        <v>18316</v>
      </c>
      <c r="D188" s="13" t="s">
        <v>18317</v>
      </c>
      <c r="E188" s="13" t="s">
        <v>18318</v>
      </c>
      <c r="F188" s="13" t="s">
        <v>18319</v>
      </c>
    </row>
    <row r="189" customFormat="false" ht="15" hidden="false" customHeight="true" outlineLevel="0" collapsed="false">
      <c r="A189" s="13" t="s">
        <v>163</v>
      </c>
      <c r="B189" s="13" t="s">
        <v>17657</v>
      </c>
      <c r="C189" s="13" t="s">
        <v>18320</v>
      </c>
      <c r="D189" s="13" t="s">
        <v>18321</v>
      </c>
      <c r="E189" s="13" t="s">
        <v>18322</v>
      </c>
      <c r="F189" s="13" t="s">
        <v>18323</v>
      </c>
    </row>
    <row r="190" customFormat="false" ht="15" hidden="false" customHeight="true" outlineLevel="0" collapsed="false">
      <c r="A190" s="13" t="s">
        <v>163</v>
      </c>
      <c r="B190" s="11" t="s">
        <v>17662</v>
      </c>
      <c r="C190" s="13" t="s">
        <v>18324</v>
      </c>
      <c r="D190" s="13" t="s">
        <v>18325</v>
      </c>
      <c r="E190" s="13" t="s">
        <v>18326</v>
      </c>
      <c r="F190" s="13" t="s">
        <v>18327</v>
      </c>
    </row>
    <row r="191" customFormat="false" ht="15" hidden="false" customHeight="true" outlineLevel="0" collapsed="false">
      <c r="A191" s="13" t="s">
        <v>163</v>
      </c>
      <c r="B191" s="11" t="s">
        <v>17667</v>
      </c>
      <c r="C191" s="13" t="s">
        <v>18328</v>
      </c>
      <c r="D191" s="13" t="s">
        <v>18329</v>
      </c>
      <c r="E191" s="13" t="s">
        <v>18330</v>
      </c>
      <c r="F191" s="13" t="s">
        <v>18331</v>
      </c>
    </row>
    <row r="192" customFormat="false" ht="15" hidden="false" customHeight="true" outlineLevel="0" collapsed="false">
      <c r="A192" s="13" t="s">
        <v>163</v>
      </c>
      <c r="B192" s="11" t="s">
        <v>17672</v>
      </c>
      <c r="C192" s="13" t="s">
        <v>18332</v>
      </c>
      <c r="D192" s="13" t="s">
        <v>18333</v>
      </c>
      <c r="E192" s="13" t="s">
        <v>18334</v>
      </c>
      <c r="F192" s="13" t="s">
        <v>18335</v>
      </c>
    </row>
    <row r="193" customFormat="false" ht="15" hidden="false" customHeight="true" outlineLevel="0" collapsed="false">
      <c r="A193" s="13" t="s">
        <v>163</v>
      </c>
      <c r="B193" s="11" t="s">
        <v>17677</v>
      </c>
      <c r="C193" s="13" t="s">
        <v>18336</v>
      </c>
      <c r="D193" s="13" t="s">
        <v>18337</v>
      </c>
      <c r="E193" s="13" t="s">
        <v>18338</v>
      </c>
      <c r="F193" s="13" t="s">
        <v>18339</v>
      </c>
    </row>
    <row r="194" customFormat="false" ht="15" hidden="false" customHeight="true" outlineLevel="0" collapsed="false">
      <c r="A194" s="13" t="s">
        <v>171</v>
      </c>
      <c r="B194" s="13" t="s">
        <v>17599</v>
      </c>
      <c r="C194" s="13" t="s">
        <v>18340</v>
      </c>
      <c r="D194" s="13" t="s">
        <v>18341</v>
      </c>
      <c r="E194" s="13" t="s">
        <v>18342</v>
      </c>
      <c r="F194" s="13" t="s">
        <v>18343</v>
      </c>
    </row>
    <row r="195" customFormat="false" ht="15" hidden="false" customHeight="true" outlineLevel="0" collapsed="false">
      <c r="A195" s="13" t="s">
        <v>171</v>
      </c>
      <c r="B195" s="11" t="s">
        <v>17604</v>
      </c>
      <c r="C195" s="13" t="s">
        <v>18344</v>
      </c>
      <c r="D195" s="13" t="s">
        <v>18345</v>
      </c>
      <c r="E195" s="13" t="s">
        <v>18346</v>
      </c>
      <c r="F195" s="13" t="s">
        <v>18347</v>
      </c>
    </row>
    <row r="196" customFormat="false" ht="15" hidden="false" customHeight="true" outlineLevel="0" collapsed="false">
      <c r="A196" s="13" t="s">
        <v>171</v>
      </c>
      <c r="B196" s="11" t="s">
        <v>17609</v>
      </c>
      <c r="C196" s="13" t="s">
        <v>18348</v>
      </c>
      <c r="D196" s="13" t="s">
        <v>18349</v>
      </c>
      <c r="E196" s="13" t="s">
        <v>18350</v>
      </c>
      <c r="F196" s="13" t="s">
        <v>18351</v>
      </c>
    </row>
    <row r="197" customFormat="false" ht="15" hidden="false" customHeight="true" outlineLevel="0" collapsed="false">
      <c r="A197" s="13" t="s">
        <v>171</v>
      </c>
      <c r="B197" s="11" t="s">
        <v>17614</v>
      </c>
      <c r="C197" s="13" t="s">
        <v>18352</v>
      </c>
      <c r="D197" s="13" t="s">
        <v>18353</v>
      </c>
      <c r="E197" s="13" t="s">
        <v>18354</v>
      </c>
      <c r="F197" s="13" t="s">
        <v>18355</v>
      </c>
    </row>
    <row r="198" customFormat="false" ht="15" hidden="false" customHeight="true" outlineLevel="0" collapsed="false">
      <c r="A198" s="13" t="s">
        <v>171</v>
      </c>
      <c r="B198" s="11" t="s">
        <v>17619</v>
      </c>
      <c r="C198" s="13" t="s">
        <v>18356</v>
      </c>
      <c r="D198" s="13" t="s">
        <v>18357</v>
      </c>
      <c r="E198" s="13" t="s">
        <v>1018</v>
      </c>
      <c r="F198" s="13" t="s">
        <v>1019</v>
      </c>
    </row>
    <row r="199" customFormat="false" ht="15" hidden="false" customHeight="true" outlineLevel="0" collapsed="false">
      <c r="A199" s="13" t="s">
        <v>171</v>
      </c>
      <c r="B199" s="13" t="s">
        <v>17622</v>
      </c>
      <c r="C199" s="13" t="s">
        <v>18358</v>
      </c>
      <c r="D199" s="13" t="s">
        <v>18359</v>
      </c>
      <c r="E199" s="13" t="s">
        <v>18360</v>
      </c>
      <c r="F199" s="13" t="s">
        <v>18361</v>
      </c>
    </row>
    <row r="200" customFormat="false" ht="15" hidden="false" customHeight="true" outlineLevel="0" collapsed="false">
      <c r="A200" s="13" t="s">
        <v>171</v>
      </c>
      <c r="B200" s="11" t="s">
        <v>17627</v>
      </c>
      <c r="C200" s="13" t="s">
        <v>18362</v>
      </c>
      <c r="D200" s="13" t="s">
        <v>18363</v>
      </c>
      <c r="E200" s="13" t="s">
        <v>18364</v>
      </c>
      <c r="F200" s="13" t="s">
        <v>18365</v>
      </c>
    </row>
    <row r="201" customFormat="false" ht="15" hidden="false" customHeight="true" outlineLevel="0" collapsed="false">
      <c r="A201" s="13" t="s">
        <v>171</v>
      </c>
      <c r="B201" s="11" t="s">
        <v>17632</v>
      </c>
      <c r="C201" s="13" t="s">
        <v>18366</v>
      </c>
      <c r="D201" s="13" t="s">
        <v>18367</v>
      </c>
      <c r="E201" s="13" t="s">
        <v>18368</v>
      </c>
      <c r="F201" s="13" t="s">
        <v>18369</v>
      </c>
    </row>
    <row r="202" customFormat="false" ht="15" hidden="false" customHeight="true" outlineLevel="0" collapsed="false">
      <c r="A202" s="13" t="s">
        <v>171</v>
      </c>
      <c r="B202" s="11" t="s">
        <v>17637</v>
      </c>
      <c r="C202" s="13" t="s">
        <v>18370</v>
      </c>
      <c r="D202" s="13" t="s">
        <v>18371</v>
      </c>
      <c r="E202" s="13" t="s">
        <v>18372</v>
      </c>
      <c r="F202" s="13" t="s">
        <v>18373</v>
      </c>
    </row>
    <row r="203" customFormat="false" ht="15" hidden="false" customHeight="true" outlineLevel="0" collapsed="false">
      <c r="A203" s="13" t="s">
        <v>171</v>
      </c>
      <c r="B203" s="11" t="s">
        <v>17642</v>
      </c>
      <c r="C203" s="13" t="s">
        <v>18374</v>
      </c>
      <c r="D203" s="13" t="s">
        <v>18375</v>
      </c>
      <c r="E203" s="13" t="s">
        <v>18376</v>
      </c>
      <c r="F203" s="13" t="s">
        <v>18377</v>
      </c>
    </row>
    <row r="204" customFormat="false" ht="15" hidden="false" customHeight="true" outlineLevel="0" collapsed="false">
      <c r="A204" s="13" t="s">
        <v>171</v>
      </c>
      <c r="B204" s="11" t="s">
        <v>17647</v>
      </c>
      <c r="C204" s="13" t="s">
        <v>18378</v>
      </c>
      <c r="D204" s="13" t="s">
        <v>18379</v>
      </c>
      <c r="E204" s="13" t="s">
        <v>18380</v>
      </c>
      <c r="F204" s="13" t="s">
        <v>18381</v>
      </c>
    </row>
    <row r="205" customFormat="false" ht="15" hidden="false" customHeight="true" outlineLevel="0" collapsed="false">
      <c r="A205" s="13" t="s">
        <v>171</v>
      </c>
      <c r="B205" s="11" t="s">
        <v>17652</v>
      </c>
      <c r="C205" s="13" t="s">
        <v>18382</v>
      </c>
      <c r="D205" s="13" t="s">
        <v>18383</v>
      </c>
      <c r="E205" s="13" t="s">
        <v>18384</v>
      </c>
      <c r="F205" s="13" t="s">
        <v>18385</v>
      </c>
    </row>
    <row r="206" customFormat="false" ht="15" hidden="false" customHeight="true" outlineLevel="0" collapsed="false">
      <c r="A206" s="13" t="s">
        <v>171</v>
      </c>
      <c r="B206" s="13" t="s">
        <v>17657</v>
      </c>
      <c r="C206" s="13" t="s">
        <v>18386</v>
      </c>
      <c r="D206" s="13" t="s">
        <v>18387</v>
      </c>
      <c r="E206" s="13" t="s">
        <v>18388</v>
      </c>
      <c r="F206" s="13" t="s">
        <v>18389</v>
      </c>
    </row>
    <row r="207" customFormat="false" ht="15" hidden="false" customHeight="true" outlineLevel="0" collapsed="false">
      <c r="A207" s="13" t="s">
        <v>171</v>
      </c>
      <c r="B207" s="11" t="s">
        <v>17662</v>
      </c>
      <c r="C207" s="13" t="s">
        <v>18390</v>
      </c>
      <c r="D207" s="13" t="s">
        <v>18391</v>
      </c>
      <c r="E207" s="13" t="s">
        <v>18392</v>
      </c>
      <c r="F207" s="13" t="s">
        <v>18393</v>
      </c>
    </row>
    <row r="208" customFormat="false" ht="15" hidden="false" customHeight="true" outlineLevel="0" collapsed="false">
      <c r="A208" s="13" t="s">
        <v>171</v>
      </c>
      <c r="B208" s="11" t="s">
        <v>17667</v>
      </c>
      <c r="C208" s="13" t="s">
        <v>18394</v>
      </c>
      <c r="D208" s="13" t="s">
        <v>18395</v>
      </c>
      <c r="E208" s="13" t="s">
        <v>18396</v>
      </c>
      <c r="F208" s="13" t="s">
        <v>18397</v>
      </c>
    </row>
    <row r="209" customFormat="false" ht="15" hidden="false" customHeight="true" outlineLevel="0" collapsed="false">
      <c r="A209" s="13" t="s">
        <v>171</v>
      </c>
      <c r="B209" s="11" t="s">
        <v>17672</v>
      </c>
      <c r="C209" s="13" t="s">
        <v>18398</v>
      </c>
      <c r="D209" s="13" t="s">
        <v>18399</v>
      </c>
      <c r="E209" s="13" t="s">
        <v>18400</v>
      </c>
      <c r="F209" s="13" t="s">
        <v>18401</v>
      </c>
    </row>
    <row r="210" customFormat="false" ht="15" hidden="false" customHeight="true" outlineLevel="0" collapsed="false">
      <c r="A210" s="13" t="s">
        <v>171</v>
      </c>
      <c r="B210" s="11" t="s">
        <v>17677</v>
      </c>
      <c r="C210" s="13" t="s">
        <v>18402</v>
      </c>
      <c r="D210" s="13" t="s">
        <v>18403</v>
      </c>
      <c r="E210" s="13" t="s">
        <v>18404</v>
      </c>
      <c r="F210" s="13" t="s">
        <v>18405</v>
      </c>
    </row>
    <row r="211" customFormat="false" ht="15" hidden="false" customHeight="true" outlineLevel="0" collapsed="false">
      <c r="A211" s="13" t="s">
        <v>179</v>
      </c>
      <c r="B211" s="13" t="s">
        <v>17599</v>
      </c>
      <c r="C211" s="13" t="s">
        <v>18406</v>
      </c>
      <c r="D211" s="13" t="s">
        <v>18407</v>
      </c>
      <c r="E211" s="13" t="s">
        <v>18408</v>
      </c>
      <c r="F211" s="13" t="s">
        <v>18409</v>
      </c>
    </row>
    <row r="212" customFormat="false" ht="15" hidden="false" customHeight="true" outlineLevel="0" collapsed="false">
      <c r="A212" s="13" t="s">
        <v>179</v>
      </c>
      <c r="B212" s="11" t="s">
        <v>17604</v>
      </c>
      <c r="C212" s="13" t="s">
        <v>18410</v>
      </c>
      <c r="D212" s="13" t="s">
        <v>18411</v>
      </c>
      <c r="E212" s="13" t="s">
        <v>18412</v>
      </c>
      <c r="F212" s="13" t="s">
        <v>18413</v>
      </c>
    </row>
    <row r="213" customFormat="false" ht="15" hidden="false" customHeight="true" outlineLevel="0" collapsed="false">
      <c r="A213" s="13" t="s">
        <v>179</v>
      </c>
      <c r="B213" s="11" t="s">
        <v>17609</v>
      </c>
      <c r="C213" s="13" t="s">
        <v>18414</v>
      </c>
      <c r="D213" s="13" t="s">
        <v>18415</v>
      </c>
      <c r="E213" s="13" t="s">
        <v>18416</v>
      </c>
      <c r="F213" s="13" t="s">
        <v>18417</v>
      </c>
    </row>
    <row r="214" customFormat="false" ht="15" hidden="false" customHeight="true" outlineLevel="0" collapsed="false">
      <c r="A214" s="13" t="s">
        <v>179</v>
      </c>
      <c r="B214" s="11" t="s">
        <v>17614</v>
      </c>
      <c r="C214" s="13" t="s">
        <v>18418</v>
      </c>
      <c r="D214" s="13" t="s">
        <v>18419</v>
      </c>
      <c r="E214" s="13" t="s">
        <v>18420</v>
      </c>
      <c r="F214" s="13" t="s">
        <v>18421</v>
      </c>
    </row>
    <row r="215" customFormat="false" ht="15" hidden="false" customHeight="true" outlineLevel="0" collapsed="false">
      <c r="A215" s="13" t="s">
        <v>179</v>
      </c>
      <c r="B215" s="11" t="s">
        <v>17619</v>
      </c>
      <c r="C215" s="13" t="s">
        <v>18422</v>
      </c>
      <c r="D215" s="13" t="s">
        <v>18423</v>
      </c>
      <c r="E215" s="13" t="s">
        <v>1018</v>
      </c>
      <c r="F215" s="13" t="s">
        <v>1019</v>
      </c>
    </row>
    <row r="216" customFormat="false" ht="15" hidden="false" customHeight="true" outlineLevel="0" collapsed="false">
      <c r="A216" s="13" t="s">
        <v>179</v>
      </c>
      <c r="B216" s="13" t="s">
        <v>17622</v>
      </c>
      <c r="C216" s="13" t="s">
        <v>18424</v>
      </c>
      <c r="D216" s="13" t="s">
        <v>18425</v>
      </c>
      <c r="E216" s="13" t="s">
        <v>18426</v>
      </c>
      <c r="F216" s="13" t="s">
        <v>18427</v>
      </c>
    </row>
    <row r="217" customFormat="false" ht="15" hidden="false" customHeight="true" outlineLevel="0" collapsed="false">
      <c r="A217" s="13" t="s">
        <v>179</v>
      </c>
      <c r="B217" s="11" t="s">
        <v>17627</v>
      </c>
      <c r="C217" s="13" t="s">
        <v>18428</v>
      </c>
      <c r="D217" s="13" t="s">
        <v>18429</v>
      </c>
      <c r="E217" s="13" t="s">
        <v>18430</v>
      </c>
      <c r="F217" s="13" t="s">
        <v>18431</v>
      </c>
    </row>
    <row r="218" customFormat="false" ht="15" hidden="false" customHeight="true" outlineLevel="0" collapsed="false">
      <c r="A218" s="13" t="s">
        <v>179</v>
      </c>
      <c r="B218" s="11" t="s">
        <v>17632</v>
      </c>
      <c r="C218" s="13" t="s">
        <v>18432</v>
      </c>
      <c r="D218" s="13" t="s">
        <v>18433</v>
      </c>
      <c r="E218" s="13" t="s">
        <v>18434</v>
      </c>
      <c r="F218" s="13" t="s">
        <v>18435</v>
      </c>
    </row>
    <row r="219" customFormat="false" ht="15" hidden="false" customHeight="true" outlineLevel="0" collapsed="false">
      <c r="A219" s="13" t="s">
        <v>179</v>
      </c>
      <c r="B219" s="11" t="s">
        <v>17637</v>
      </c>
      <c r="C219" s="13" t="s">
        <v>18436</v>
      </c>
      <c r="D219" s="13" t="s">
        <v>18437</v>
      </c>
      <c r="E219" s="13" t="s">
        <v>18438</v>
      </c>
      <c r="F219" s="13" t="s">
        <v>18439</v>
      </c>
    </row>
    <row r="220" customFormat="false" ht="15" hidden="false" customHeight="true" outlineLevel="0" collapsed="false">
      <c r="A220" s="13" t="s">
        <v>179</v>
      </c>
      <c r="B220" s="11" t="s">
        <v>17642</v>
      </c>
      <c r="C220" s="13" t="s">
        <v>18440</v>
      </c>
      <c r="D220" s="13" t="s">
        <v>18441</v>
      </c>
      <c r="E220" s="13" t="s">
        <v>18442</v>
      </c>
      <c r="F220" s="13" t="s">
        <v>18443</v>
      </c>
    </row>
    <row r="221" customFormat="false" ht="15" hidden="false" customHeight="true" outlineLevel="0" collapsed="false">
      <c r="A221" s="13" t="s">
        <v>179</v>
      </c>
      <c r="B221" s="11" t="s">
        <v>17647</v>
      </c>
      <c r="C221" s="13" t="s">
        <v>18444</v>
      </c>
      <c r="D221" s="13" t="s">
        <v>18445</v>
      </c>
      <c r="E221" s="13" t="s">
        <v>18446</v>
      </c>
      <c r="F221" s="13" t="s">
        <v>18447</v>
      </c>
    </row>
    <row r="222" customFormat="false" ht="15" hidden="false" customHeight="true" outlineLevel="0" collapsed="false">
      <c r="A222" s="13" t="s">
        <v>179</v>
      </c>
      <c r="B222" s="11" t="s">
        <v>17652</v>
      </c>
      <c r="C222" s="13" t="s">
        <v>18448</v>
      </c>
      <c r="D222" s="13" t="s">
        <v>18449</v>
      </c>
      <c r="E222" s="13" t="s">
        <v>18450</v>
      </c>
      <c r="F222" s="13" t="s">
        <v>18451</v>
      </c>
    </row>
    <row r="223" customFormat="false" ht="15" hidden="false" customHeight="true" outlineLevel="0" collapsed="false">
      <c r="A223" s="13" t="s">
        <v>179</v>
      </c>
      <c r="B223" s="13" t="s">
        <v>17657</v>
      </c>
      <c r="C223" s="13" t="s">
        <v>18452</v>
      </c>
      <c r="D223" s="13" t="s">
        <v>18453</v>
      </c>
      <c r="E223" s="13" t="s">
        <v>18454</v>
      </c>
      <c r="F223" s="13" t="s">
        <v>18455</v>
      </c>
    </row>
    <row r="224" customFormat="false" ht="15" hidden="false" customHeight="true" outlineLevel="0" collapsed="false">
      <c r="A224" s="13" t="s">
        <v>179</v>
      </c>
      <c r="B224" s="11" t="s">
        <v>17662</v>
      </c>
      <c r="C224" s="13" t="s">
        <v>18456</v>
      </c>
      <c r="D224" s="13" t="s">
        <v>18457</v>
      </c>
      <c r="E224" s="13" t="s">
        <v>18458</v>
      </c>
      <c r="F224" s="13" t="s">
        <v>18459</v>
      </c>
    </row>
    <row r="225" customFormat="false" ht="15" hidden="false" customHeight="true" outlineLevel="0" collapsed="false">
      <c r="A225" s="13" t="s">
        <v>179</v>
      </c>
      <c r="B225" s="11" t="s">
        <v>17667</v>
      </c>
      <c r="C225" s="13" t="s">
        <v>18460</v>
      </c>
      <c r="D225" s="13" t="s">
        <v>18461</v>
      </c>
      <c r="E225" s="13" t="s">
        <v>18462</v>
      </c>
      <c r="F225" s="13" t="s">
        <v>18463</v>
      </c>
    </row>
    <row r="226" customFormat="false" ht="15" hidden="false" customHeight="true" outlineLevel="0" collapsed="false">
      <c r="A226" s="13" t="s">
        <v>179</v>
      </c>
      <c r="B226" s="11" t="s">
        <v>17672</v>
      </c>
      <c r="C226" s="13" t="s">
        <v>18464</v>
      </c>
      <c r="D226" s="13" t="s">
        <v>18465</v>
      </c>
      <c r="E226" s="13" t="s">
        <v>18466</v>
      </c>
      <c r="F226" s="13" t="s">
        <v>18467</v>
      </c>
    </row>
    <row r="227" customFormat="false" ht="15" hidden="false" customHeight="true" outlineLevel="0" collapsed="false">
      <c r="A227" s="13" t="s">
        <v>179</v>
      </c>
      <c r="B227" s="11" t="s">
        <v>17677</v>
      </c>
      <c r="C227" s="13" t="s">
        <v>18468</v>
      </c>
      <c r="D227" s="13" t="s">
        <v>18469</v>
      </c>
      <c r="E227" s="13" t="s">
        <v>18470</v>
      </c>
      <c r="F227" s="13" t="s">
        <v>18471</v>
      </c>
    </row>
    <row r="228" customFormat="false" ht="15" hidden="false" customHeight="true" outlineLevel="0" collapsed="false">
      <c r="A228" s="13" t="s">
        <v>187</v>
      </c>
      <c r="B228" s="13" t="s">
        <v>17599</v>
      </c>
      <c r="C228" s="13" t="s">
        <v>18472</v>
      </c>
      <c r="D228" s="13" t="s">
        <v>18473</v>
      </c>
      <c r="E228" s="13" t="s">
        <v>18474</v>
      </c>
      <c r="F228" s="13" t="s">
        <v>18475</v>
      </c>
    </row>
    <row r="229" customFormat="false" ht="15" hidden="false" customHeight="true" outlineLevel="0" collapsed="false">
      <c r="A229" s="13" t="s">
        <v>187</v>
      </c>
      <c r="B229" s="11" t="s">
        <v>17604</v>
      </c>
      <c r="C229" s="13" t="s">
        <v>18476</v>
      </c>
      <c r="D229" s="13" t="s">
        <v>18477</v>
      </c>
      <c r="E229" s="13" t="s">
        <v>18478</v>
      </c>
      <c r="F229" s="13" t="s">
        <v>18479</v>
      </c>
    </row>
    <row r="230" customFormat="false" ht="15" hidden="false" customHeight="true" outlineLevel="0" collapsed="false">
      <c r="A230" s="13" t="s">
        <v>187</v>
      </c>
      <c r="B230" s="11" t="s">
        <v>17609</v>
      </c>
      <c r="C230" s="13" t="s">
        <v>18480</v>
      </c>
      <c r="D230" s="13" t="s">
        <v>18481</v>
      </c>
      <c r="E230" s="13" t="s">
        <v>18482</v>
      </c>
      <c r="F230" s="13" t="s">
        <v>18483</v>
      </c>
    </row>
    <row r="231" customFormat="false" ht="15" hidden="false" customHeight="true" outlineLevel="0" collapsed="false">
      <c r="A231" s="13" t="s">
        <v>187</v>
      </c>
      <c r="B231" s="11" t="s">
        <v>17614</v>
      </c>
      <c r="C231" s="13" t="s">
        <v>18484</v>
      </c>
      <c r="D231" s="13" t="s">
        <v>18485</v>
      </c>
      <c r="E231" s="13" t="s">
        <v>18486</v>
      </c>
      <c r="F231" s="13" t="s">
        <v>18487</v>
      </c>
    </row>
    <row r="232" customFormat="false" ht="15" hidden="false" customHeight="true" outlineLevel="0" collapsed="false">
      <c r="A232" s="13" t="s">
        <v>187</v>
      </c>
      <c r="B232" s="11" t="s">
        <v>17619</v>
      </c>
      <c r="C232" s="13" t="s">
        <v>18488</v>
      </c>
      <c r="D232" s="13" t="s">
        <v>18489</v>
      </c>
      <c r="E232" s="13" t="s">
        <v>1018</v>
      </c>
      <c r="F232" s="13" t="s">
        <v>1019</v>
      </c>
    </row>
    <row r="233" customFormat="false" ht="15" hidden="false" customHeight="true" outlineLevel="0" collapsed="false">
      <c r="A233" s="13" t="s">
        <v>187</v>
      </c>
      <c r="B233" s="13" t="s">
        <v>17622</v>
      </c>
      <c r="C233" s="13" t="s">
        <v>18490</v>
      </c>
      <c r="D233" s="13" t="s">
        <v>18491</v>
      </c>
      <c r="E233" s="13" t="s">
        <v>18492</v>
      </c>
      <c r="F233" s="13" t="s">
        <v>18493</v>
      </c>
    </row>
    <row r="234" customFormat="false" ht="15" hidden="false" customHeight="true" outlineLevel="0" collapsed="false">
      <c r="A234" s="13" t="s">
        <v>187</v>
      </c>
      <c r="B234" s="11" t="s">
        <v>17627</v>
      </c>
      <c r="C234" s="13" t="s">
        <v>18494</v>
      </c>
      <c r="D234" s="13" t="s">
        <v>18495</v>
      </c>
      <c r="E234" s="13" t="s">
        <v>18496</v>
      </c>
      <c r="F234" s="13" t="s">
        <v>18497</v>
      </c>
    </row>
    <row r="235" customFormat="false" ht="15" hidden="false" customHeight="true" outlineLevel="0" collapsed="false">
      <c r="A235" s="13" t="s">
        <v>187</v>
      </c>
      <c r="B235" s="11" t="s">
        <v>17632</v>
      </c>
      <c r="C235" s="13" t="s">
        <v>18498</v>
      </c>
      <c r="D235" s="13" t="s">
        <v>18499</v>
      </c>
      <c r="E235" s="13" t="s">
        <v>18500</v>
      </c>
      <c r="F235" s="13" t="s">
        <v>18501</v>
      </c>
    </row>
    <row r="236" customFormat="false" ht="15" hidden="false" customHeight="true" outlineLevel="0" collapsed="false">
      <c r="A236" s="13" t="s">
        <v>187</v>
      </c>
      <c r="B236" s="11" t="s">
        <v>17637</v>
      </c>
      <c r="C236" s="13" t="s">
        <v>18502</v>
      </c>
      <c r="D236" s="13" t="s">
        <v>18503</v>
      </c>
      <c r="E236" s="13" t="s">
        <v>18504</v>
      </c>
      <c r="F236" s="13" t="s">
        <v>18505</v>
      </c>
    </row>
    <row r="237" customFormat="false" ht="15" hidden="false" customHeight="true" outlineLevel="0" collapsed="false">
      <c r="A237" s="13" t="s">
        <v>187</v>
      </c>
      <c r="B237" s="11" t="s">
        <v>17642</v>
      </c>
      <c r="C237" s="13" t="s">
        <v>18506</v>
      </c>
      <c r="D237" s="13" t="s">
        <v>18507</v>
      </c>
      <c r="E237" s="13" t="s">
        <v>18508</v>
      </c>
      <c r="F237" s="13" t="s">
        <v>18509</v>
      </c>
    </row>
    <row r="238" customFormat="false" ht="15" hidden="false" customHeight="true" outlineLevel="0" collapsed="false">
      <c r="A238" s="13" t="s">
        <v>187</v>
      </c>
      <c r="B238" s="11" t="s">
        <v>17647</v>
      </c>
      <c r="C238" s="13" t="s">
        <v>18510</v>
      </c>
      <c r="D238" s="13" t="s">
        <v>18511</v>
      </c>
      <c r="E238" s="13" t="s">
        <v>18512</v>
      </c>
      <c r="F238" s="13" t="s">
        <v>18513</v>
      </c>
    </row>
    <row r="239" customFormat="false" ht="15" hidden="false" customHeight="true" outlineLevel="0" collapsed="false">
      <c r="A239" s="13" t="s">
        <v>187</v>
      </c>
      <c r="B239" s="11" t="s">
        <v>17652</v>
      </c>
      <c r="C239" s="13" t="s">
        <v>18514</v>
      </c>
      <c r="D239" s="13" t="s">
        <v>4250</v>
      </c>
      <c r="E239" s="13" t="s">
        <v>18515</v>
      </c>
      <c r="F239" s="13" t="s">
        <v>18516</v>
      </c>
    </row>
    <row r="240" customFormat="false" ht="15" hidden="false" customHeight="true" outlineLevel="0" collapsed="false">
      <c r="A240" s="13" t="s">
        <v>187</v>
      </c>
      <c r="B240" s="13" t="s">
        <v>17657</v>
      </c>
      <c r="C240" s="13" t="s">
        <v>18517</v>
      </c>
      <c r="D240" s="13" t="s">
        <v>18518</v>
      </c>
      <c r="E240" s="13" t="s">
        <v>18519</v>
      </c>
      <c r="F240" s="13" t="s">
        <v>18520</v>
      </c>
    </row>
    <row r="241" customFormat="false" ht="15" hidden="false" customHeight="true" outlineLevel="0" collapsed="false">
      <c r="A241" s="13" t="s">
        <v>187</v>
      </c>
      <c r="B241" s="11" t="s">
        <v>17662</v>
      </c>
      <c r="C241" s="13" t="s">
        <v>18521</v>
      </c>
      <c r="D241" s="13" t="s">
        <v>18522</v>
      </c>
      <c r="E241" s="13" t="s">
        <v>18523</v>
      </c>
      <c r="F241" s="13" t="s">
        <v>18524</v>
      </c>
    </row>
    <row r="242" customFormat="false" ht="15" hidden="false" customHeight="true" outlineLevel="0" collapsed="false">
      <c r="A242" s="13" t="s">
        <v>187</v>
      </c>
      <c r="B242" s="11" t="s">
        <v>17667</v>
      </c>
      <c r="C242" s="13" t="s">
        <v>18525</v>
      </c>
      <c r="D242" s="13" t="s">
        <v>18526</v>
      </c>
      <c r="E242" s="13" t="s">
        <v>18527</v>
      </c>
      <c r="F242" s="13" t="s">
        <v>18528</v>
      </c>
    </row>
    <row r="243" customFormat="false" ht="15" hidden="false" customHeight="true" outlineLevel="0" collapsed="false">
      <c r="A243" s="13" t="s">
        <v>187</v>
      </c>
      <c r="B243" s="11" t="s">
        <v>17672</v>
      </c>
      <c r="C243" s="13" t="s">
        <v>18529</v>
      </c>
      <c r="D243" s="13" t="s">
        <v>18530</v>
      </c>
      <c r="E243" s="13" t="s">
        <v>18531</v>
      </c>
      <c r="F243" s="13" t="s">
        <v>18532</v>
      </c>
    </row>
    <row r="244" customFormat="false" ht="15" hidden="false" customHeight="true" outlineLevel="0" collapsed="false">
      <c r="A244" s="13" t="s">
        <v>187</v>
      </c>
      <c r="B244" s="11" t="s">
        <v>17677</v>
      </c>
      <c r="C244" s="13" t="s">
        <v>18533</v>
      </c>
      <c r="D244" s="13" t="s">
        <v>18534</v>
      </c>
      <c r="E244" s="13" t="s">
        <v>18535</v>
      </c>
      <c r="F244" s="13" t="s">
        <v>18536</v>
      </c>
    </row>
    <row r="245" customFormat="false" ht="15" hidden="false" customHeight="true" outlineLevel="0" collapsed="false">
      <c r="A245" s="13" t="s">
        <v>195</v>
      </c>
      <c r="B245" s="13" t="s">
        <v>17599</v>
      </c>
      <c r="C245" s="13" t="s">
        <v>18537</v>
      </c>
      <c r="D245" s="13" t="s">
        <v>18538</v>
      </c>
      <c r="E245" s="13" t="s">
        <v>18539</v>
      </c>
      <c r="F245" s="13" t="s">
        <v>18540</v>
      </c>
    </row>
    <row r="246" customFormat="false" ht="15" hidden="false" customHeight="true" outlineLevel="0" collapsed="false">
      <c r="A246" s="13" t="s">
        <v>195</v>
      </c>
      <c r="B246" s="11" t="s">
        <v>17604</v>
      </c>
      <c r="C246" s="13" t="s">
        <v>18541</v>
      </c>
      <c r="D246" s="13" t="s">
        <v>18542</v>
      </c>
      <c r="E246" s="13" t="s">
        <v>18543</v>
      </c>
      <c r="F246" s="13" t="s">
        <v>18544</v>
      </c>
    </row>
    <row r="247" customFormat="false" ht="15" hidden="false" customHeight="true" outlineLevel="0" collapsed="false">
      <c r="A247" s="13" t="s">
        <v>195</v>
      </c>
      <c r="B247" s="11" t="s">
        <v>17609</v>
      </c>
      <c r="C247" s="13" t="s">
        <v>18545</v>
      </c>
      <c r="D247" s="13" t="s">
        <v>18546</v>
      </c>
      <c r="E247" s="13" t="s">
        <v>18547</v>
      </c>
      <c r="F247" s="13" t="s">
        <v>18548</v>
      </c>
    </row>
    <row r="248" customFormat="false" ht="15" hidden="false" customHeight="true" outlineLevel="0" collapsed="false">
      <c r="A248" s="13" t="s">
        <v>195</v>
      </c>
      <c r="B248" s="11" t="s">
        <v>17614</v>
      </c>
      <c r="C248" s="13" t="s">
        <v>18549</v>
      </c>
      <c r="D248" s="13" t="s">
        <v>18550</v>
      </c>
      <c r="E248" s="13" t="s">
        <v>18551</v>
      </c>
      <c r="F248" s="13" t="s">
        <v>18552</v>
      </c>
    </row>
    <row r="249" customFormat="false" ht="15" hidden="false" customHeight="true" outlineLevel="0" collapsed="false">
      <c r="A249" s="13" t="s">
        <v>195</v>
      </c>
      <c r="B249" s="11" t="s">
        <v>17619</v>
      </c>
      <c r="C249" s="13" t="s">
        <v>18553</v>
      </c>
      <c r="D249" s="13" t="s">
        <v>18554</v>
      </c>
      <c r="E249" s="13" t="s">
        <v>1018</v>
      </c>
      <c r="F249" s="13" t="s">
        <v>1019</v>
      </c>
    </row>
    <row r="250" customFormat="false" ht="15" hidden="false" customHeight="true" outlineLevel="0" collapsed="false">
      <c r="A250" s="13" t="s">
        <v>195</v>
      </c>
      <c r="B250" s="13" t="s">
        <v>17622</v>
      </c>
      <c r="C250" s="13" t="s">
        <v>18555</v>
      </c>
      <c r="D250" s="13" t="s">
        <v>18556</v>
      </c>
      <c r="E250" s="13" t="s">
        <v>18557</v>
      </c>
      <c r="F250" s="13" t="s">
        <v>18558</v>
      </c>
    </row>
    <row r="251" customFormat="false" ht="15" hidden="false" customHeight="true" outlineLevel="0" collapsed="false">
      <c r="A251" s="13" t="s">
        <v>195</v>
      </c>
      <c r="B251" s="11" t="s">
        <v>17627</v>
      </c>
      <c r="C251" s="13" t="s">
        <v>18559</v>
      </c>
      <c r="D251" s="13" t="s">
        <v>18560</v>
      </c>
      <c r="E251" s="13" t="s">
        <v>18561</v>
      </c>
      <c r="F251" s="13" t="s">
        <v>18562</v>
      </c>
    </row>
    <row r="252" customFormat="false" ht="15" hidden="false" customHeight="true" outlineLevel="0" collapsed="false">
      <c r="A252" s="13" t="s">
        <v>195</v>
      </c>
      <c r="B252" s="11" t="s">
        <v>17632</v>
      </c>
      <c r="C252" s="13" t="s">
        <v>18563</v>
      </c>
      <c r="D252" s="13" t="s">
        <v>18564</v>
      </c>
      <c r="E252" s="13" t="s">
        <v>18565</v>
      </c>
      <c r="F252" s="13" t="s">
        <v>18566</v>
      </c>
    </row>
    <row r="253" customFormat="false" ht="15" hidden="false" customHeight="true" outlineLevel="0" collapsed="false">
      <c r="A253" s="13" t="s">
        <v>195</v>
      </c>
      <c r="B253" s="11" t="s">
        <v>17637</v>
      </c>
      <c r="C253" s="13" t="s">
        <v>18567</v>
      </c>
      <c r="D253" s="13" t="s">
        <v>18568</v>
      </c>
      <c r="E253" s="13" t="s">
        <v>18569</v>
      </c>
      <c r="F253" s="13" t="s">
        <v>18570</v>
      </c>
    </row>
    <row r="254" customFormat="false" ht="15" hidden="false" customHeight="true" outlineLevel="0" collapsed="false">
      <c r="A254" s="13" t="s">
        <v>195</v>
      </c>
      <c r="B254" s="11" t="s">
        <v>17642</v>
      </c>
      <c r="C254" s="13" t="s">
        <v>18571</v>
      </c>
      <c r="D254" s="13" t="s">
        <v>18572</v>
      </c>
      <c r="E254" s="13" t="s">
        <v>18573</v>
      </c>
      <c r="F254" s="13" t="s">
        <v>18574</v>
      </c>
    </row>
    <row r="255" customFormat="false" ht="15" hidden="false" customHeight="true" outlineLevel="0" collapsed="false">
      <c r="A255" s="13" t="s">
        <v>195</v>
      </c>
      <c r="B255" s="11" t="s">
        <v>17647</v>
      </c>
      <c r="C255" s="13" t="s">
        <v>18575</v>
      </c>
      <c r="D255" s="13" t="s">
        <v>18576</v>
      </c>
      <c r="E255" s="13" t="s">
        <v>18577</v>
      </c>
      <c r="F255" s="13" t="s">
        <v>18578</v>
      </c>
    </row>
    <row r="256" customFormat="false" ht="15" hidden="false" customHeight="true" outlineLevel="0" collapsed="false">
      <c r="A256" s="13" t="s">
        <v>195</v>
      </c>
      <c r="B256" s="11" t="s">
        <v>17652</v>
      </c>
      <c r="C256" s="13" t="s">
        <v>18579</v>
      </c>
      <c r="D256" s="13" t="s">
        <v>18580</v>
      </c>
      <c r="E256" s="13" t="s">
        <v>18581</v>
      </c>
      <c r="F256" s="13" t="s">
        <v>18582</v>
      </c>
    </row>
    <row r="257" customFormat="false" ht="15" hidden="false" customHeight="true" outlineLevel="0" collapsed="false">
      <c r="A257" s="13" t="s">
        <v>195</v>
      </c>
      <c r="B257" s="13" t="s">
        <v>17657</v>
      </c>
      <c r="C257" s="13" t="s">
        <v>18583</v>
      </c>
      <c r="D257" s="13" t="s">
        <v>18584</v>
      </c>
      <c r="E257" s="13" t="s">
        <v>18585</v>
      </c>
      <c r="F257" s="13" t="s">
        <v>18586</v>
      </c>
    </row>
    <row r="258" customFormat="false" ht="15" hidden="false" customHeight="true" outlineLevel="0" collapsed="false">
      <c r="A258" s="13" t="s">
        <v>195</v>
      </c>
      <c r="B258" s="11" t="s">
        <v>17662</v>
      </c>
      <c r="C258" s="13" t="s">
        <v>18587</v>
      </c>
      <c r="D258" s="13" t="s">
        <v>18588</v>
      </c>
      <c r="E258" s="13" t="s">
        <v>18589</v>
      </c>
      <c r="F258" s="13" t="s">
        <v>18590</v>
      </c>
    </row>
    <row r="259" customFormat="false" ht="15" hidden="false" customHeight="true" outlineLevel="0" collapsed="false">
      <c r="A259" s="13" t="s">
        <v>195</v>
      </c>
      <c r="B259" s="11" t="s">
        <v>17667</v>
      </c>
      <c r="C259" s="13" t="s">
        <v>18591</v>
      </c>
      <c r="D259" s="13" t="s">
        <v>18592</v>
      </c>
      <c r="E259" s="13" t="s">
        <v>18593</v>
      </c>
      <c r="F259" s="13" t="s">
        <v>18594</v>
      </c>
    </row>
    <row r="260" customFormat="false" ht="15" hidden="false" customHeight="true" outlineLevel="0" collapsed="false">
      <c r="A260" s="13" t="s">
        <v>195</v>
      </c>
      <c r="B260" s="11" t="s">
        <v>17672</v>
      </c>
      <c r="C260" s="13" t="s">
        <v>18595</v>
      </c>
      <c r="D260" s="13" t="s">
        <v>18596</v>
      </c>
      <c r="E260" s="13" t="s">
        <v>18597</v>
      </c>
      <c r="F260" s="13" t="s">
        <v>18598</v>
      </c>
    </row>
    <row r="261" customFormat="false" ht="15" hidden="false" customHeight="true" outlineLevel="0" collapsed="false">
      <c r="A261" s="13" t="s">
        <v>195</v>
      </c>
      <c r="B261" s="11" t="s">
        <v>17677</v>
      </c>
      <c r="C261" s="13" t="s">
        <v>18599</v>
      </c>
      <c r="D261" s="13" t="s">
        <v>18600</v>
      </c>
      <c r="E261" s="13" t="s">
        <v>18601</v>
      </c>
      <c r="F261" s="13" t="s">
        <v>18602</v>
      </c>
    </row>
    <row r="262" customFormat="false" ht="15" hidden="false" customHeight="true" outlineLevel="0" collapsed="false">
      <c r="A262" s="13" t="s">
        <v>203</v>
      </c>
      <c r="B262" s="13" t="s">
        <v>17599</v>
      </c>
      <c r="C262" s="13" t="s">
        <v>18603</v>
      </c>
      <c r="D262" s="13" t="s">
        <v>18604</v>
      </c>
      <c r="E262" s="13" t="s">
        <v>18605</v>
      </c>
      <c r="F262" s="13" t="s">
        <v>18606</v>
      </c>
    </row>
    <row r="263" customFormat="false" ht="15" hidden="false" customHeight="true" outlineLevel="0" collapsed="false">
      <c r="A263" s="13" t="s">
        <v>203</v>
      </c>
      <c r="B263" s="11" t="s">
        <v>17604</v>
      </c>
      <c r="C263" s="13" t="s">
        <v>18607</v>
      </c>
      <c r="D263" s="13" t="s">
        <v>18608</v>
      </c>
      <c r="E263" s="13" t="s">
        <v>18609</v>
      </c>
      <c r="F263" s="13" t="s">
        <v>18610</v>
      </c>
    </row>
    <row r="264" customFormat="false" ht="15" hidden="false" customHeight="true" outlineLevel="0" collapsed="false">
      <c r="A264" s="13" t="s">
        <v>203</v>
      </c>
      <c r="B264" s="11" t="s">
        <v>17609</v>
      </c>
      <c r="C264" s="13" t="s">
        <v>18611</v>
      </c>
      <c r="D264" s="13" t="s">
        <v>18612</v>
      </c>
      <c r="E264" s="13" t="s">
        <v>18613</v>
      </c>
      <c r="F264" s="13" t="s">
        <v>18614</v>
      </c>
    </row>
    <row r="265" customFormat="false" ht="15" hidden="false" customHeight="true" outlineLevel="0" collapsed="false">
      <c r="A265" s="13" t="s">
        <v>203</v>
      </c>
      <c r="B265" s="11" t="s">
        <v>17614</v>
      </c>
      <c r="C265" s="13" t="s">
        <v>18615</v>
      </c>
      <c r="D265" s="13" t="s">
        <v>18616</v>
      </c>
      <c r="E265" s="13" t="s">
        <v>18617</v>
      </c>
      <c r="F265" s="13" t="s">
        <v>18618</v>
      </c>
    </row>
    <row r="266" customFormat="false" ht="15" hidden="false" customHeight="true" outlineLevel="0" collapsed="false">
      <c r="A266" s="13" t="s">
        <v>203</v>
      </c>
      <c r="B266" s="11" t="s">
        <v>17619</v>
      </c>
      <c r="C266" s="13" t="s">
        <v>18619</v>
      </c>
      <c r="D266" s="13" t="s">
        <v>18620</v>
      </c>
      <c r="E266" s="13" t="s">
        <v>1018</v>
      </c>
      <c r="F266" s="13" t="s">
        <v>1019</v>
      </c>
    </row>
    <row r="267" customFormat="false" ht="15" hidden="false" customHeight="true" outlineLevel="0" collapsed="false">
      <c r="A267" s="13" t="s">
        <v>203</v>
      </c>
      <c r="B267" s="13" t="s">
        <v>17622</v>
      </c>
      <c r="C267" s="13" t="s">
        <v>18621</v>
      </c>
      <c r="D267" s="13" t="s">
        <v>18622</v>
      </c>
      <c r="E267" s="13" t="s">
        <v>18623</v>
      </c>
      <c r="F267" s="13" t="s">
        <v>18624</v>
      </c>
    </row>
    <row r="268" customFormat="false" ht="15" hidden="false" customHeight="true" outlineLevel="0" collapsed="false">
      <c r="A268" s="13" t="s">
        <v>203</v>
      </c>
      <c r="B268" s="11" t="s">
        <v>17627</v>
      </c>
      <c r="C268" s="13" t="s">
        <v>18625</v>
      </c>
      <c r="D268" s="13" t="s">
        <v>18626</v>
      </c>
      <c r="E268" s="13" t="s">
        <v>18627</v>
      </c>
      <c r="F268" s="13" t="s">
        <v>18628</v>
      </c>
    </row>
    <row r="269" customFormat="false" ht="15" hidden="false" customHeight="true" outlineLevel="0" collapsed="false">
      <c r="A269" s="13" t="s">
        <v>203</v>
      </c>
      <c r="B269" s="11" t="s">
        <v>17632</v>
      </c>
      <c r="C269" s="13" t="s">
        <v>18629</v>
      </c>
      <c r="D269" s="13" t="s">
        <v>18630</v>
      </c>
      <c r="E269" s="13" t="s">
        <v>18631</v>
      </c>
      <c r="F269" s="13" t="s">
        <v>18632</v>
      </c>
    </row>
    <row r="270" customFormat="false" ht="15" hidden="false" customHeight="true" outlineLevel="0" collapsed="false">
      <c r="A270" s="13" t="s">
        <v>203</v>
      </c>
      <c r="B270" s="11" t="s">
        <v>17637</v>
      </c>
      <c r="C270" s="13" t="s">
        <v>18633</v>
      </c>
      <c r="D270" s="13" t="s">
        <v>18634</v>
      </c>
      <c r="E270" s="13" t="s">
        <v>18635</v>
      </c>
      <c r="F270" s="13" t="s">
        <v>18636</v>
      </c>
    </row>
    <row r="271" customFormat="false" ht="15" hidden="false" customHeight="true" outlineLevel="0" collapsed="false">
      <c r="A271" s="13" t="s">
        <v>203</v>
      </c>
      <c r="B271" s="11" t="s">
        <v>17642</v>
      </c>
      <c r="C271" s="13" t="s">
        <v>18637</v>
      </c>
      <c r="D271" s="13" t="s">
        <v>18638</v>
      </c>
      <c r="E271" s="13" t="s">
        <v>18639</v>
      </c>
      <c r="F271" s="13" t="s">
        <v>18640</v>
      </c>
    </row>
    <row r="272" customFormat="false" ht="15" hidden="false" customHeight="true" outlineLevel="0" collapsed="false">
      <c r="A272" s="13" t="s">
        <v>203</v>
      </c>
      <c r="B272" s="11" t="s">
        <v>17647</v>
      </c>
      <c r="C272" s="13" t="s">
        <v>18641</v>
      </c>
      <c r="D272" s="13" t="s">
        <v>18642</v>
      </c>
      <c r="E272" s="13" t="s">
        <v>18643</v>
      </c>
      <c r="F272" s="13" t="s">
        <v>18644</v>
      </c>
    </row>
    <row r="273" customFormat="false" ht="15" hidden="false" customHeight="true" outlineLevel="0" collapsed="false">
      <c r="A273" s="13" t="s">
        <v>203</v>
      </c>
      <c r="B273" s="11" t="s">
        <v>17652</v>
      </c>
      <c r="C273" s="13" t="s">
        <v>18645</v>
      </c>
      <c r="D273" s="13" t="s">
        <v>18646</v>
      </c>
      <c r="E273" s="13" t="s">
        <v>18647</v>
      </c>
      <c r="F273" s="13" t="s">
        <v>18648</v>
      </c>
    </row>
    <row r="274" customFormat="false" ht="15" hidden="false" customHeight="true" outlineLevel="0" collapsed="false">
      <c r="A274" s="13" t="s">
        <v>203</v>
      </c>
      <c r="B274" s="13" t="s">
        <v>17657</v>
      </c>
      <c r="C274" s="13" t="s">
        <v>18649</v>
      </c>
      <c r="D274" s="13" t="s">
        <v>18650</v>
      </c>
      <c r="E274" s="13" t="s">
        <v>18651</v>
      </c>
      <c r="F274" s="13" t="s">
        <v>18652</v>
      </c>
    </row>
    <row r="275" customFormat="false" ht="15" hidden="false" customHeight="true" outlineLevel="0" collapsed="false">
      <c r="A275" s="13" t="s">
        <v>203</v>
      </c>
      <c r="B275" s="11" t="s">
        <v>17662</v>
      </c>
      <c r="C275" s="13" t="s">
        <v>18653</v>
      </c>
      <c r="D275" s="13" t="s">
        <v>18654</v>
      </c>
      <c r="E275" s="13" t="s">
        <v>18655</v>
      </c>
      <c r="F275" s="13" t="s">
        <v>18656</v>
      </c>
    </row>
    <row r="276" customFormat="false" ht="15" hidden="false" customHeight="true" outlineLevel="0" collapsed="false">
      <c r="A276" s="13" t="s">
        <v>203</v>
      </c>
      <c r="B276" s="11" t="s">
        <v>17667</v>
      </c>
      <c r="C276" s="13" t="s">
        <v>18657</v>
      </c>
      <c r="D276" s="13" t="s">
        <v>18658</v>
      </c>
      <c r="E276" s="13" t="s">
        <v>18659</v>
      </c>
      <c r="F276" s="13" t="s">
        <v>18660</v>
      </c>
    </row>
    <row r="277" customFormat="false" ht="15" hidden="false" customHeight="true" outlineLevel="0" collapsed="false">
      <c r="A277" s="13" t="s">
        <v>203</v>
      </c>
      <c r="B277" s="11" t="s">
        <v>17672</v>
      </c>
      <c r="C277" s="13" t="s">
        <v>18661</v>
      </c>
      <c r="D277" s="13" t="s">
        <v>18662</v>
      </c>
      <c r="E277" s="13" t="s">
        <v>18663</v>
      </c>
      <c r="F277" s="13" t="s">
        <v>18664</v>
      </c>
    </row>
    <row r="278" customFormat="false" ht="15" hidden="false" customHeight="true" outlineLevel="0" collapsed="false">
      <c r="A278" s="13" t="s">
        <v>203</v>
      </c>
      <c r="B278" s="11" t="s">
        <v>17677</v>
      </c>
      <c r="C278" s="13" t="s">
        <v>18665</v>
      </c>
      <c r="D278" s="13" t="s">
        <v>18666</v>
      </c>
      <c r="E278" s="13" t="s">
        <v>18667</v>
      </c>
      <c r="F278" s="13" t="s">
        <v>18668</v>
      </c>
    </row>
    <row r="279" customFormat="false" ht="15" hidden="false" customHeight="true" outlineLevel="0" collapsed="false">
      <c r="A279" s="13" t="s">
        <v>211</v>
      </c>
      <c r="B279" s="13" t="s">
        <v>17599</v>
      </c>
      <c r="C279" s="13" t="s">
        <v>18669</v>
      </c>
      <c r="D279" s="13" t="s">
        <v>18670</v>
      </c>
      <c r="E279" s="13" t="s">
        <v>18671</v>
      </c>
      <c r="F279" s="13" t="s">
        <v>18672</v>
      </c>
    </row>
    <row r="280" customFormat="false" ht="15" hidden="false" customHeight="true" outlineLevel="0" collapsed="false">
      <c r="A280" s="13" t="s">
        <v>211</v>
      </c>
      <c r="B280" s="11" t="s">
        <v>17604</v>
      </c>
      <c r="C280" s="13" t="s">
        <v>18673</v>
      </c>
      <c r="D280" s="13" t="s">
        <v>18674</v>
      </c>
      <c r="E280" s="13" t="s">
        <v>18675</v>
      </c>
      <c r="F280" s="13" t="s">
        <v>18676</v>
      </c>
    </row>
    <row r="281" customFormat="false" ht="15" hidden="false" customHeight="true" outlineLevel="0" collapsed="false">
      <c r="A281" s="13" t="s">
        <v>211</v>
      </c>
      <c r="B281" s="11" t="s">
        <v>17609</v>
      </c>
      <c r="C281" s="13" t="s">
        <v>18677</v>
      </c>
      <c r="D281" s="13" t="s">
        <v>18678</v>
      </c>
      <c r="E281" s="13" t="s">
        <v>18679</v>
      </c>
      <c r="F281" s="13" t="s">
        <v>18680</v>
      </c>
    </row>
    <row r="282" customFormat="false" ht="15" hidden="false" customHeight="true" outlineLevel="0" collapsed="false">
      <c r="A282" s="13" t="s">
        <v>211</v>
      </c>
      <c r="B282" s="11" t="s">
        <v>17614</v>
      </c>
      <c r="C282" s="13" t="s">
        <v>18681</v>
      </c>
      <c r="D282" s="13" t="s">
        <v>18682</v>
      </c>
      <c r="E282" s="13" t="s">
        <v>18683</v>
      </c>
      <c r="F282" s="13" t="s">
        <v>18684</v>
      </c>
    </row>
    <row r="283" customFormat="false" ht="15" hidden="false" customHeight="true" outlineLevel="0" collapsed="false">
      <c r="A283" s="13" t="s">
        <v>211</v>
      </c>
      <c r="B283" s="11" t="s">
        <v>17619</v>
      </c>
      <c r="C283" s="13" t="s">
        <v>18685</v>
      </c>
      <c r="D283" s="13" t="s">
        <v>18686</v>
      </c>
      <c r="E283" s="13" t="s">
        <v>1018</v>
      </c>
      <c r="F283" s="13" t="s">
        <v>1019</v>
      </c>
    </row>
    <row r="284" customFormat="false" ht="15" hidden="false" customHeight="true" outlineLevel="0" collapsed="false">
      <c r="A284" s="13" t="s">
        <v>211</v>
      </c>
      <c r="B284" s="13" t="s">
        <v>17622</v>
      </c>
      <c r="C284" s="13" t="s">
        <v>18687</v>
      </c>
      <c r="D284" s="13" t="s">
        <v>18688</v>
      </c>
      <c r="E284" s="13" t="s">
        <v>18689</v>
      </c>
      <c r="F284" s="13" t="s">
        <v>18690</v>
      </c>
    </row>
    <row r="285" customFormat="false" ht="15" hidden="false" customHeight="true" outlineLevel="0" collapsed="false">
      <c r="A285" s="13" t="s">
        <v>211</v>
      </c>
      <c r="B285" s="11" t="s">
        <v>17627</v>
      </c>
      <c r="C285" s="13" t="s">
        <v>18691</v>
      </c>
      <c r="D285" s="13" t="s">
        <v>18692</v>
      </c>
      <c r="E285" s="13" t="s">
        <v>18693</v>
      </c>
      <c r="F285" s="13" t="s">
        <v>18694</v>
      </c>
    </row>
    <row r="286" customFormat="false" ht="15" hidden="false" customHeight="true" outlineLevel="0" collapsed="false">
      <c r="A286" s="13" t="s">
        <v>211</v>
      </c>
      <c r="B286" s="11" t="s">
        <v>17632</v>
      </c>
      <c r="C286" s="13" t="s">
        <v>18695</v>
      </c>
      <c r="D286" s="13" t="s">
        <v>18696</v>
      </c>
      <c r="E286" s="13" t="s">
        <v>18697</v>
      </c>
      <c r="F286" s="13" t="s">
        <v>18698</v>
      </c>
    </row>
    <row r="287" customFormat="false" ht="15" hidden="false" customHeight="true" outlineLevel="0" collapsed="false">
      <c r="A287" s="13" t="s">
        <v>211</v>
      </c>
      <c r="B287" s="11" t="s">
        <v>17637</v>
      </c>
      <c r="C287" s="13" t="s">
        <v>18699</v>
      </c>
      <c r="D287" s="13" t="s">
        <v>18700</v>
      </c>
      <c r="E287" s="13" t="s">
        <v>18701</v>
      </c>
      <c r="F287" s="13" t="s">
        <v>18702</v>
      </c>
    </row>
    <row r="288" customFormat="false" ht="15" hidden="false" customHeight="true" outlineLevel="0" collapsed="false">
      <c r="A288" s="13" t="s">
        <v>211</v>
      </c>
      <c r="B288" s="11" t="s">
        <v>17642</v>
      </c>
      <c r="C288" s="13" t="s">
        <v>18703</v>
      </c>
      <c r="D288" s="13" t="s">
        <v>18704</v>
      </c>
      <c r="E288" s="13" t="s">
        <v>18705</v>
      </c>
      <c r="F288" s="13" t="s">
        <v>18706</v>
      </c>
    </row>
    <row r="289" customFormat="false" ht="15" hidden="false" customHeight="true" outlineLevel="0" collapsed="false">
      <c r="A289" s="13" t="s">
        <v>211</v>
      </c>
      <c r="B289" s="11" t="s">
        <v>17647</v>
      </c>
      <c r="C289" s="13" t="s">
        <v>18707</v>
      </c>
      <c r="D289" s="13" t="s">
        <v>18708</v>
      </c>
      <c r="E289" s="13" t="s">
        <v>18709</v>
      </c>
      <c r="F289" s="13" t="s">
        <v>18710</v>
      </c>
    </row>
    <row r="290" customFormat="false" ht="15" hidden="false" customHeight="true" outlineLevel="0" collapsed="false">
      <c r="A290" s="13" t="s">
        <v>211</v>
      </c>
      <c r="B290" s="11" t="s">
        <v>17652</v>
      </c>
      <c r="C290" s="13" t="s">
        <v>18711</v>
      </c>
      <c r="D290" s="13" t="s">
        <v>18712</v>
      </c>
      <c r="E290" s="13" t="s">
        <v>18713</v>
      </c>
      <c r="F290" s="13" t="s">
        <v>18714</v>
      </c>
    </row>
    <row r="291" customFormat="false" ht="15" hidden="false" customHeight="true" outlineLevel="0" collapsed="false">
      <c r="A291" s="13" t="s">
        <v>211</v>
      </c>
      <c r="B291" s="13" t="s">
        <v>17657</v>
      </c>
      <c r="C291" s="13" t="s">
        <v>18715</v>
      </c>
      <c r="D291" s="13" t="s">
        <v>18716</v>
      </c>
      <c r="E291" s="13" t="s">
        <v>18717</v>
      </c>
      <c r="F291" s="13" t="s">
        <v>18718</v>
      </c>
    </row>
    <row r="292" customFormat="false" ht="15" hidden="false" customHeight="true" outlineLevel="0" collapsed="false">
      <c r="A292" s="13" t="s">
        <v>211</v>
      </c>
      <c r="B292" s="11" t="s">
        <v>17662</v>
      </c>
      <c r="C292" s="13" t="s">
        <v>18719</v>
      </c>
      <c r="D292" s="13" t="s">
        <v>18720</v>
      </c>
      <c r="E292" s="13" t="s">
        <v>18721</v>
      </c>
      <c r="F292" s="13" t="s">
        <v>18722</v>
      </c>
    </row>
    <row r="293" customFormat="false" ht="15" hidden="false" customHeight="true" outlineLevel="0" collapsed="false">
      <c r="A293" s="13" t="s">
        <v>211</v>
      </c>
      <c r="B293" s="11" t="s">
        <v>17667</v>
      </c>
      <c r="C293" s="13" t="s">
        <v>18723</v>
      </c>
      <c r="D293" s="13" t="s">
        <v>18724</v>
      </c>
      <c r="E293" s="13" t="s">
        <v>18725</v>
      </c>
      <c r="F293" s="13" t="s">
        <v>18726</v>
      </c>
    </row>
    <row r="294" customFormat="false" ht="15" hidden="false" customHeight="true" outlineLevel="0" collapsed="false">
      <c r="A294" s="13" t="s">
        <v>211</v>
      </c>
      <c r="B294" s="11" t="s">
        <v>17672</v>
      </c>
      <c r="C294" s="13" t="s">
        <v>18727</v>
      </c>
      <c r="D294" s="13" t="s">
        <v>18728</v>
      </c>
      <c r="E294" s="13" t="s">
        <v>18729</v>
      </c>
      <c r="F294" s="13" t="s">
        <v>18730</v>
      </c>
    </row>
    <row r="295" customFormat="false" ht="15" hidden="false" customHeight="true" outlineLevel="0" collapsed="false">
      <c r="A295" s="13" t="s">
        <v>211</v>
      </c>
      <c r="B295" s="11" t="s">
        <v>17677</v>
      </c>
      <c r="C295" s="13" t="s">
        <v>18731</v>
      </c>
      <c r="D295" s="13" t="s">
        <v>18732</v>
      </c>
      <c r="E295" s="13" t="s">
        <v>18733</v>
      </c>
      <c r="F295" s="13" t="s">
        <v>18734</v>
      </c>
    </row>
    <row r="296" customFormat="false" ht="15" hidden="false" customHeight="true" outlineLevel="0" collapsed="false">
      <c r="A296" s="13" t="s">
        <v>219</v>
      </c>
      <c r="B296" s="13" t="s">
        <v>17599</v>
      </c>
      <c r="C296" s="13" t="s">
        <v>18735</v>
      </c>
      <c r="D296" s="13" t="s">
        <v>18736</v>
      </c>
      <c r="E296" s="13" t="s">
        <v>18737</v>
      </c>
      <c r="F296" s="13" t="s">
        <v>18738</v>
      </c>
    </row>
    <row r="297" customFormat="false" ht="15" hidden="false" customHeight="true" outlineLevel="0" collapsed="false">
      <c r="A297" s="13" t="s">
        <v>219</v>
      </c>
      <c r="B297" s="11" t="s">
        <v>17604</v>
      </c>
      <c r="C297" s="13" t="s">
        <v>18739</v>
      </c>
      <c r="D297" s="13" t="s">
        <v>18740</v>
      </c>
      <c r="E297" s="13" t="s">
        <v>18741</v>
      </c>
      <c r="F297" s="13" t="s">
        <v>18742</v>
      </c>
    </row>
    <row r="298" customFormat="false" ht="15" hidden="false" customHeight="true" outlineLevel="0" collapsed="false">
      <c r="A298" s="13" t="s">
        <v>219</v>
      </c>
      <c r="B298" s="11" t="s">
        <v>17609</v>
      </c>
      <c r="C298" s="13" t="s">
        <v>18743</v>
      </c>
      <c r="D298" s="13" t="s">
        <v>18744</v>
      </c>
      <c r="E298" s="13" t="s">
        <v>18745</v>
      </c>
      <c r="F298" s="13" t="s">
        <v>18746</v>
      </c>
    </row>
    <row r="299" customFormat="false" ht="15" hidden="false" customHeight="true" outlineLevel="0" collapsed="false">
      <c r="A299" s="13" t="s">
        <v>219</v>
      </c>
      <c r="B299" s="11" t="s">
        <v>17614</v>
      </c>
      <c r="C299" s="13" t="s">
        <v>18747</v>
      </c>
      <c r="D299" s="13" t="s">
        <v>18748</v>
      </c>
      <c r="E299" s="13" t="s">
        <v>18749</v>
      </c>
      <c r="F299" s="13" t="s">
        <v>18750</v>
      </c>
    </row>
    <row r="300" customFormat="false" ht="15" hidden="false" customHeight="true" outlineLevel="0" collapsed="false">
      <c r="A300" s="13" t="s">
        <v>219</v>
      </c>
      <c r="B300" s="11" t="s">
        <v>17619</v>
      </c>
      <c r="C300" s="13" t="s">
        <v>18751</v>
      </c>
      <c r="D300" s="13" t="s">
        <v>18752</v>
      </c>
      <c r="E300" s="13" t="s">
        <v>1018</v>
      </c>
      <c r="F300" s="13" t="s">
        <v>1019</v>
      </c>
    </row>
    <row r="301" customFormat="false" ht="15" hidden="false" customHeight="true" outlineLevel="0" collapsed="false">
      <c r="A301" s="13" t="s">
        <v>219</v>
      </c>
      <c r="B301" s="13" t="s">
        <v>17622</v>
      </c>
      <c r="C301" s="13" t="s">
        <v>18753</v>
      </c>
      <c r="D301" s="13" t="s">
        <v>18754</v>
      </c>
      <c r="E301" s="13" t="s">
        <v>18755</v>
      </c>
      <c r="F301" s="13" t="s">
        <v>18756</v>
      </c>
    </row>
    <row r="302" customFormat="false" ht="15" hidden="false" customHeight="true" outlineLevel="0" collapsed="false">
      <c r="A302" s="13" t="s">
        <v>219</v>
      </c>
      <c r="B302" s="11" t="s">
        <v>17627</v>
      </c>
      <c r="C302" s="13" t="s">
        <v>18757</v>
      </c>
      <c r="D302" s="13" t="s">
        <v>18758</v>
      </c>
      <c r="E302" s="13" t="s">
        <v>18759</v>
      </c>
      <c r="F302" s="13" t="s">
        <v>18760</v>
      </c>
    </row>
    <row r="303" customFormat="false" ht="15" hidden="false" customHeight="true" outlineLevel="0" collapsed="false">
      <c r="A303" s="13" t="s">
        <v>219</v>
      </c>
      <c r="B303" s="11" t="s">
        <v>17632</v>
      </c>
      <c r="C303" s="13" t="s">
        <v>18761</v>
      </c>
      <c r="D303" s="13" t="s">
        <v>18762</v>
      </c>
      <c r="E303" s="13" t="s">
        <v>18763</v>
      </c>
      <c r="F303" s="13" t="s">
        <v>18764</v>
      </c>
    </row>
    <row r="304" customFormat="false" ht="15" hidden="false" customHeight="true" outlineLevel="0" collapsed="false">
      <c r="A304" s="13" t="s">
        <v>219</v>
      </c>
      <c r="B304" s="11" t="s">
        <v>17637</v>
      </c>
      <c r="C304" s="13" t="s">
        <v>18765</v>
      </c>
      <c r="D304" s="13" t="s">
        <v>18766</v>
      </c>
      <c r="E304" s="13" t="s">
        <v>18767</v>
      </c>
      <c r="F304" s="13" t="s">
        <v>18768</v>
      </c>
    </row>
    <row r="305" customFormat="false" ht="15" hidden="false" customHeight="true" outlineLevel="0" collapsed="false">
      <c r="A305" s="13" t="s">
        <v>219</v>
      </c>
      <c r="B305" s="11" t="s">
        <v>17642</v>
      </c>
      <c r="C305" s="13" t="s">
        <v>18769</v>
      </c>
      <c r="D305" s="13" t="s">
        <v>18770</v>
      </c>
      <c r="E305" s="13" t="s">
        <v>18771</v>
      </c>
      <c r="F305" s="13" t="s">
        <v>18772</v>
      </c>
    </row>
    <row r="306" customFormat="false" ht="15" hidden="false" customHeight="true" outlineLevel="0" collapsed="false">
      <c r="A306" s="13" t="s">
        <v>219</v>
      </c>
      <c r="B306" s="11" t="s">
        <v>17647</v>
      </c>
      <c r="C306" s="13" t="s">
        <v>18773</v>
      </c>
      <c r="D306" s="13" t="s">
        <v>18774</v>
      </c>
      <c r="E306" s="13" t="s">
        <v>18775</v>
      </c>
      <c r="F306" s="13" t="s">
        <v>18776</v>
      </c>
    </row>
    <row r="307" customFormat="false" ht="15" hidden="false" customHeight="true" outlineLevel="0" collapsed="false">
      <c r="A307" s="13" t="s">
        <v>219</v>
      </c>
      <c r="B307" s="11" t="s">
        <v>17652</v>
      </c>
      <c r="C307" s="13" t="s">
        <v>18777</v>
      </c>
      <c r="D307" s="13" t="s">
        <v>18778</v>
      </c>
      <c r="E307" s="13" t="s">
        <v>18779</v>
      </c>
      <c r="F307" s="13" t="s">
        <v>18780</v>
      </c>
    </row>
    <row r="308" customFormat="false" ht="15" hidden="false" customHeight="true" outlineLevel="0" collapsed="false">
      <c r="A308" s="13" t="s">
        <v>219</v>
      </c>
      <c r="B308" s="13" t="s">
        <v>17657</v>
      </c>
      <c r="C308" s="13" t="s">
        <v>18781</v>
      </c>
      <c r="D308" s="13" t="s">
        <v>18782</v>
      </c>
      <c r="E308" s="13" t="s">
        <v>18783</v>
      </c>
      <c r="F308" s="13" t="s">
        <v>18784</v>
      </c>
    </row>
    <row r="309" customFormat="false" ht="15" hidden="false" customHeight="true" outlineLevel="0" collapsed="false">
      <c r="A309" s="13" t="s">
        <v>219</v>
      </c>
      <c r="B309" s="11" t="s">
        <v>17662</v>
      </c>
      <c r="C309" s="13" t="s">
        <v>18785</v>
      </c>
      <c r="D309" s="13" t="s">
        <v>18786</v>
      </c>
      <c r="E309" s="13" t="s">
        <v>18787</v>
      </c>
      <c r="F309" s="13" t="s">
        <v>18788</v>
      </c>
    </row>
    <row r="310" customFormat="false" ht="15" hidden="false" customHeight="true" outlineLevel="0" collapsed="false">
      <c r="A310" s="13" t="s">
        <v>219</v>
      </c>
      <c r="B310" s="11" t="s">
        <v>17667</v>
      </c>
      <c r="C310" s="13" t="s">
        <v>18789</v>
      </c>
      <c r="D310" s="13" t="s">
        <v>18790</v>
      </c>
      <c r="E310" s="13" t="s">
        <v>18791</v>
      </c>
      <c r="F310" s="13" t="s">
        <v>18792</v>
      </c>
    </row>
    <row r="311" customFormat="false" ht="15" hidden="false" customHeight="true" outlineLevel="0" collapsed="false">
      <c r="A311" s="13" t="s">
        <v>219</v>
      </c>
      <c r="B311" s="11" t="s">
        <v>17672</v>
      </c>
      <c r="C311" s="13" t="s">
        <v>18793</v>
      </c>
      <c r="D311" s="13" t="s">
        <v>18794</v>
      </c>
      <c r="E311" s="13" t="s">
        <v>18795</v>
      </c>
      <c r="F311" s="13" t="s">
        <v>18796</v>
      </c>
    </row>
    <row r="312" customFormat="false" ht="15" hidden="false" customHeight="true" outlineLevel="0" collapsed="false">
      <c r="A312" s="13" t="s">
        <v>219</v>
      </c>
      <c r="B312" s="11" t="s">
        <v>17677</v>
      </c>
      <c r="C312" s="13" t="s">
        <v>18797</v>
      </c>
      <c r="D312" s="13" t="s">
        <v>18798</v>
      </c>
      <c r="E312" s="13" t="s">
        <v>18799</v>
      </c>
      <c r="F312" s="13" t="s">
        <v>18800</v>
      </c>
    </row>
    <row r="313" customFormat="false" ht="15" hidden="false" customHeight="true" outlineLevel="0" collapsed="false">
      <c r="A313" s="13" t="s">
        <v>228</v>
      </c>
      <c r="B313" s="13" t="s">
        <v>17599</v>
      </c>
      <c r="C313" s="13" t="s">
        <v>18801</v>
      </c>
      <c r="D313" s="13" t="s">
        <v>18802</v>
      </c>
      <c r="E313" s="13" t="s">
        <v>18803</v>
      </c>
      <c r="F313" s="13" t="s">
        <v>18804</v>
      </c>
    </row>
    <row r="314" customFormat="false" ht="15" hidden="false" customHeight="true" outlineLevel="0" collapsed="false">
      <c r="A314" s="13" t="s">
        <v>228</v>
      </c>
      <c r="B314" s="11" t="s">
        <v>17604</v>
      </c>
      <c r="C314" s="13" t="s">
        <v>18805</v>
      </c>
      <c r="D314" s="13" t="s">
        <v>18806</v>
      </c>
      <c r="E314" s="13" t="s">
        <v>18807</v>
      </c>
      <c r="F314" s="13" t="s">
        <v>18808</v>
      </c>
    </row>
    <row r="315" customFormat="false" ht="15" hidden="false" customHeight="true" outlineLevel="0" collapsed="false">
      <c r="A315" s="13" t="s">
        <v>228</v>
      </c>
      <c r="B315" s="11" t="s">
        <v>17609</v>
      </c>
      <c r="C315" s="13" t="s">
        <v>18809</v>
      </c>
      <c r="D315" s="13" t="s">
        <v>18810</v>
      </c>
      <c r="E315" s="13" t="s">
        <v>18811</v>
      </c>
      <c r="F315" s="13" t="s">
        <v>18812</v>
      </c>
    </row>
    <row r="316" customFormat="false" ht="15" hidden="false" customHeight="true" outlineLevel="0" collapsed="false">
      <c r="A316" s="13" t="s">
        <v>228</v>
      </c>
      <c r="B316" s="11" t="s">
        <v>17614</v>
      </c>
      <c r="C316" s="13" t="s">
        <v>18813</v>
      </c>
      <c r="D316" s="13" t="s">
        <v>18814</v>
      </c>
      <c r="E316" s="13" t="s">
        <v>18815</v>
      </c>
      <c r="F316" s="13" t="s">
        <v>18816</v>
      </c>
    </row>
    <row r="317" customFormat="false" ht="15" hidden="false" customHeight="true" outlineLevel="0" collapsed="false">
      <c r="A317" s="13" t="s">
        <v>228</v>
      </c>
      <c r="B317" s="11" t="s">
        <v>17619</v>
      </c>
      <c r="C317" s="13" t="s">
        <v>18817</v>
      </c>
      <c r="D317" s="13" t="s">
        <v>18818</v>
      </c>
      <c r="E317" s="13" t="s">
        <v>1018</v>
      </c>
      <c r="F317" s="13" t="s">
        <v>1019</v>
      </c>
    </row>
    <row r="318" customFormat="false" ht="15" hidden="false" customHeight="true" outlineLevel="0" collapsed="false">
      <c r="A318" s="13" t="s">
        <v>228</v>
      </c>
      <c r="B318" s="13" t="s">
        <v>17622</v>
      </c>
      <c r="C318" s="13" t="s">
        <v>18819</v>
      </c>
      <c r="D318" s="13" t="s">
        <v>18820</v>
      </c>
      <c r="E318" s="13" t="s">
        <v>18821</v>
      </c>
      <c r="F318" s="13" t="s">
        <v>18822</v>
      </c>
    </row>
    <row r="319" customFormat="false" ht="15" hidden="false" customHeight="true" outlineLevel="0" collapsed="false">
      <c r="A319" s="13" t="s">
        <v>228</v>
      </c>
      <c r="B319" s="11" t="s">
        <v>17627</v>
      </c>
      <c r="C319" s="13" t="s">
        <v>18823</v>
      </c>
      <c r="D319" s="13" t="s">
        <v>18824</v>
      </c>
      <c r="E319" s="13" t="s">
        <v>18825</v>
      </c>
      <c r="F319" s="13" t="s">
        <v>18826</v>
      </c>
    </row>
    <row r="320" customFormat="false" ht="15" hidden="false" customHeight="true" outlineLevel="0" collapsed="false">
      <c r="A320" s="13" t="s">
        <v>228</v>
      </c>
      <c r="B320" s="11" t="s">
        <v>17632</v>
      </c>
      <c r="C320" s="13" t="s">
        <v>18827</v>
      </c>
      <c r="D320" s="13" t="s">
        <v>18828</v>
      </c>
      <c r="E320" s="13" t="s">
        <v>18829</v>
      </c>
      <c r="F320" s="13" t="s">
        <v>18830</v>
      </c>
    </row>
    <row r="321" customFormat="false" ht="15" hidden="false" customHeight="true" outlineLevel="0" collapsed="false">
      <c r="A321" s="13" t="s">
        <v>228</v>
      </c>
      <c r="B321" s="11" t="s">
        <v>17637</v>
      </c>
      <c r="C321" s="13" t="s">
        <v>18831</v>
      </c>
      <c r="D321" s="13" t="s">
        <v>18832</v>
      </c>
      <c r="E321" s="13" t="s">
        <v>18833</v>
      </c>
      <c r="F321" s="13" t="s">
        <v>18834</v>
      </c>
    </row>
    <row r="322" customFormat="false" ht="15" hidden="false" customHeight="true" outlineLevel="0" collapsed="false">
      <c r="A322" s="13" t="s">
        <v>228</v>
      </c>
      <c r="B322" s="11" t="s">
        <v>17642</v>
      </c>
      <c r="C322" s="13" t="s">
        <v>18835</v>
      </c>
      <c r="D322" s="13" t="s">
        <v>18836</v>
      </c>
      <c r="E322" s="13" t="s">
        <v>18837</v>
      </c>
      <c r="F322" s="13" t="s">
        <v>18838</v>
      </c>
    </row>
    <row r="323" customFormat="false" ht="15" hidden="false" customHeight="true" outlineLevel="0" collapsed="false">
      <c r="A323" s="13" t="s">
        <v>228</v>
      </c>
      <c r="B323" s="11" t="s">
        <v>17647</v>
      </c>
      <c r="C323" s="13" t="s">
        <v>18839</v>
      </c>
      <c r="D323" s="13" t="s">
        <v>18840</v>
      </c>
      <c r="E323" s="13" t="s">
        <v>18841</v>
      </c>
      <c r="F323" s="13" t="s">
        <v>18842</v>
      </c>
    </row>
    <row r="324" customFormat="false" ht="15" hidden="false" customHeight="true" outlineLevel="0" collapsed="false">
      <c r="A324" s="13" t="s">
        <v>228</v>
      </c>
      <c r="B324" s="11" t="s">
        <v>17652</v>
      </c>
      <c r="C324" s="13" t="s">
        <v>18843</v>
      </c>
      <c r="D324" s="13" t="s">
        <v>18844</v>
      </c>
      <c r="E324" s="13" t="s">
        <v>18845</v>
      </c>
      <c r="F324" s="13" t="s">
        <v>1922</v>
      </c>
    </row>
    <row r="325" customFormat="false" ht="15" hidden="false" customHeight="true" outlineLevel="0" collapsed="false">
      <c r="A325" s="13" t="s">
        <v>228</v>
      </c>
      <c r="B325" s="13" t="s">
        <v>17657</v>
      </c>
      <c r="C325" s="13" t="s">
        <v>18846</v>
      </c>
      <c r="D325" s="13" t="s">
        <v>18847</v>
      </c>
      <c r="E325" s="13" t="s">
        <v>18848</v>
      </c>
      <c r="F325" s="13" t="s">
        <v>18849</v>
      </c>
    </row>
    <row r="326" customFormat="false" ht="15" hidden="false" customHeight="true" outlineLevel="0" collapsed="false">
      <c r="A326" s="13" t="s">
        <v>228</v>
      </c>
      <c r="B326" s="11" t="s">
        <v>17662</v>
      </c>
      <c r="C326" s="13" t="s">
        <v>18850</v>
      </c>
      <c r="D326" s="13" t="s">
        <v>18851</v>
      </c>
      <c r="E326" s="13" t="s">
        <v>18852</v>
      </c>
      <c r="F326" s="13" t="s">
        <v>18853</v>
      </c>
    </row>
    <row r="327" customFormat="false" ht="15" hidden="false" customHeight="true" outlineLevel="0" collapsed="false">
      <c r="A327" s="13" t="s">
        <v>228</v>
      </c>
      <c r="B327" s="11" t="s">
        <v>17667</v>
      </c>
      <c r="C327" s="13" t="s">
        <v>18854</v>
      </c>
      <c r="D327" s="13" t="s">
        <v>18855</v>
      </c>
      <c r="E327" s="13" t="s">
        <v>18856</v>
      </c>
      <c r="F327" s="13" t="s">
        <v>18857</v>
      </c>
    </row>
    <row r="328" customFormat="false" ht="15" hidden="false" customHeight="true" outlineLevel="0" collapsed="false">
      <c r="A328" s="13" t="s">
        <v>228</v>
      </c>
      <c r="B328" s="11" t="s">
        <v>17672</v>
      </c>
      <c r="C328" s="13" t="s">
        <v>18858</v>
      </c>
      <c r="D328" s="13" t="s">
        <v>18859</v>
      </c>
      <c r="E328" s="13" t="s">
        <v>18860</v>
      </c>
      <c r="F328" s="13" t="s">
        <v>18861</v>
      </c>
    </row>
    <row r="329" customFormat="false" ht="15" hidden="false" customHeight="true" outlineLevel="0" collapsed="false">
      <c r="A329" s="13" t="s">
        <v>228</v>
      </c>
      <c r="B329" s="11" t="s">
        <v>17677</v>
      </c>
      <c r="C329" s="13" t="s">
        <v>18862</v>
      </c>
      <c r="D329" s="13" t="s">
        <v>18863</v>
      </c>
      <c r="E329" s="13" t="s">
        <v>18864</v>
      </c>
      <c r="F329" s="13" t="s">
        <v>18865</v>
      </c>
    </row>
    <row r="330" customFormat="false" ht="15" hidden="false" customHeight="true" outlineLevel="0" collapsed="false">
      <c r="A330" s="13" t="s">
        <v>236</v>
      </c>
      <c r="B330" s="13" t="s">
        <v>17599</v>
      </c>
      <c r="C330" s="13" t="s">
        <v>18866</v>
      </c>
      <c r="D330" s="13" t="s">
        <v>18867</v>
      </c>
      <c r="E330" s="13" t="s">
        <v>18868</v>
      </c>
      <c r="F330" s="13" t="s">
        <v>18869</v>
      </c>
    </row>
    <row r="331" customFormat="false" ht="15" hidden="false" customHeight="true" outlineLevel="0" collapsed="false">
      <c r="A331" s="13" t="s">
        <v>236</v>
      </c>
      <c r="B331" s="11" t="s">
        <v>17604</v>
      </c>
      <c r="C331" s="13" t="s">
        <v>18870</v>
      </c>
      <c r="D331" s="13" t="s">
        <v>18871</v>
      </c>
      <c r="E331" s="13" t="s">
        <v>18872</v>
      </c>
      <c r="F331" s="13" t="s">
        <v>18873</v>
      </c>
    </row>
    <row r="332" customFormat="false" ht="15" hidden="false" customHeight="true" outlineLevel="0" collapsed="false">
      <c r="A332" s="13" t="s">
        <v>236</v>
      </c>
      <c r="B332" s="11" t="s">
        <v>17609</v>
      </c>
      <c r="C332" s="13" t="s">
        <v>18874</v>
      </c>
      <c r="D332" s="13" t="s">
        <v>18875</v>
      </c>
      <c r="E332" s="13" t="s">
        <v>18876</v>
      </c>
      <c r="F332" s="13" t="s">
        <v>18877</v>
      </c>
    </row>
    <row r="333" customFormat="false" ht="15" hidden="false" customHeight="true" outlineLevel="0" collapsed="false">
      <c r="A333" s="13" t="s">
        <v>236</v>
      </c>
      <c r="B333" s="11" t="s">
        <v>17614</v>
      </c>
      <c r="C333" s="13" t="s">
        <v>18878</v>
      </c>
      <c r="D333" s="13" t="s">
        <v>18879</v>
      </c>
      <c r="E333" s="13" t="s">
        <v>18880</v>
      </c>
      <c r="F333" s="13" t="s">
        <v>18881</v>
      </c>
    </row>
    <row r="334" customFormat="false" ht="15" hidden="false" customHeight="true" outlineLevel="0" collapsed="false">
      <c r="A334" s="13" t="s">
        <v>236</v>
      </c>
      <c r="B334" s="11" t="s">
        <v>17619</v>
      </c>
      <c r="C334" s="13" t="s">
        <v>18882</v>
      </c>
      <c r="D334" s="13" t="s">
        <v>18883</v>
      </c>
      <c r="E334" s="13" t="s">
        <v>1018</v>
      </c>
      <c r="F334" s="13" t="s">
        <v>1019</v>
      </c>
    </row>
    <row r="335" customFormat="false" ht="15" hidden="false" customHeight="true" outlineLevel="0" collapsed="false">
      <c r="A335" s="13" t="s">
        <v>236</v>
      </c>
      <c r="B335" s="13" t="s">
        <v>17622</v>
      </c>
      <c r="C335" s="13" t="s">
        <v>18884</v>
      </c>
      <c r="D335" s="13" t="s">
        <v>18885</v>
      </c>
      <c r="E335" s="13" t="s">
        <v>18886</v>
      </c>
      <c r="F335" s="13" t="s">
        <v>18887</v>
      </c>
    </row>
    <row r="336" customFormat="false" ht="15" hidden="false" customHeight="true" outlineLevel="0" collapsed="false">
      <c r="A336" s="13" t="s">
        <v>236</v>
      </c>
      <c r="B336" s="11" t="s">
        <v>17627</v>
      </c>
      <c r="C336" s="13" t="s">
        <v>18888</v>
      </c>
      <c r="D336" s="13" t="s">
        <v>18889</v>
      </c>
      <c r="E336" s="13" t="s">
        <v>18890</v>
      </c>
      <c r="F336" s="13" t="s">
        <v>18891</v>
      </c>
    </row>
    <row r="337" customFormat="false" ht="15" hidden="false" customHeight="true" outlineLevel="0" collapsed="false">
      <c r="A337" s="13" t="s">
        <v>236</v>
      </c>
      <c r="B337" s="11" t="s">
        <v>17632</v>
      </c>
      <c r="C337" s="13" t="s">
        <v>18892</v>
      </c>
      <c r="D337" s="13" t="s">
        <v>18893</v>
      </c>
      <c r="E337" s="13" t="s">
        <v>18894</v>
      </c>
      <c r="F337" s="13" t="s">
        <v>18895</v>
      </c>
    </row>
    <row r="338" customFormat="false" ht="15" hidden="false" customHeight="true" outlineLevel="0" collapsed="false">
      <c r="A338" s="13" t="s">
        <v>236</v>
      </c>
      <c r="B338" s="11" t="s">
        <v>17637</v>
      </c>
      <c r="C338" s="13" t="s">
        <v>18896</v>
      </c>
      <c r="D338" s="13" t="s">
        <v>18897</v>
      </c>
      <c r="E338" s="13" t="s">
        <v>18898</v>
      </c>
      <c r="F338" s="13" t="s">
        <v>18899</v>
      </c>
    </row>
    <row r="339" customFormat="false" ht="15" hidden="false" customHeight="true" outlineLevel="0" collapsed="false">
      <c r="A339" s="13" t="s">
        <v>236</v>
      </c>
      <c r="B339" s="11" t="s">
        <v>17642</v>
      </c>
      <c r="C339" s="13" t="s">
        <v>18900</v>
      </c>
      <c r="D339" s="13" t="s">
        <v>18901</v>
      </c>
      <c r="E339" s="13" t="s">
        <v>18902</v>
      </c>
      <c r="F339" s="13" t="s">
        <v>18903</v>
      </c>
    </row>
    <row r="340" customFormat="false" ht="15" hidden="false" customHeight="true" outlineLevel="0" collapsed="false">
      <c r="A340" s="13" t="s">
        <v>236</v>
      </c>
      <c r="B340" s="11" t="s">
        <v>17647</v>
      </c>
      <c r="C340" s="13" t="s">
        <v>18904</v>
      </c>
      <c r="D340" s="13" t="s">
        <v>18905</v>
      </c>
      <c r="E340" s="13" t="s">
        <v>18906</v>
      </c>
      <c r="F340" s="13" t="s">
        <v>18907</v>
      </c>
    </row>
    <row r="341" customFormat="false" ht="15" hidden="false" customHeight="true" outlineLevel="0" collapsed="false">
      <c r="A341" s="13" t="s">
        <v>236</v>
      </c>
      <c r="B341" s="11" t="s">
        <v>17652</v>
      </c>
      <c r="C341" s="13" t="s">
        <v>18908</v>
      </c>
      <c r="D341" s="13" t="s">
        <v>18909</v>
      </c>
      <c r="E341" s="13" t="s">
        <v>18910</v>
      </c>
      <c r="F341" s="13" t="s">
        <v>18911</v>
      </c>
    </row>
    <row r="342" customFormat="false" ht="15" hidden="false" customHeight="true" outlineLevel="0" collapsed="false">
      <c r="A342" s="13" t="s">
        <v>236</v>
      </c>
      <c r="B342" s="13" t="s">
        <v>17657</v>
      </c>
      <c r="C342" s="13" t="s">
        <v>18912</v>
      </c>
      <c r="D342" s="13" t="s">
        <v>18913</v>
      </c>
      <c r="E342" s="13" t="s">
        <v>18914</v>
      </c>
      <c r="F342" s="13" t="s">
        <v>18915</v>
      </c>
    </row>
    <row r="343" customFormat="false" ht="15" hidden="false" customHeight="true" outlineLevel="0" collapsed="false">
      <c r="A343" s="13" t="s">
        <v>236</v>
      </c>
      <c r="B343" s="11" t="s">
        <v>17662</v>
      </c>
      <c r="C343" s="13" t="s">
        <v>18916</v>
      </c>
      <c r="D343" s="13" t="s">
        <v>18917</v>
      </c>
      <c r="E343" s="13" t="s">
        <v>18918</v>
      </c>
      <c r="F343" s="13" t="s">
        <v>18919</v>
      </c>
    </row>
    <row r="344" customFormat="false" ht="15" hidden="false" customHeight="true" outlineLevel="0" collapsed="false">
      <c r="A344" s="13" t="s">
        <v>236</v>
      </c>
      <c r="B344" s="11" t="s">
        <v>17667</v>
      </c>
      <c r="C344" s="13" t="s">
        <v>18920</v>
      </c>
      <c r="D344" s="13" t="s">
        <v>18921</v>
      </c>
      <c r="E344" s="13" t="s">
        <v>18922</v>
      </c>
      <c r="F344" s="13" t="s">
        <v>18923</v>
      </c>
    </row>
    <row r="345" customFormat="false" ht="15" hidden="false" customHeight="true" outlineLevel="0" collapsed="false">
      <c r="A345" s="13" t="s">
        <v>236</v>
      </c>
      <c r="B345" s="11" t="s">
        <v>17672</v>
      </c>
      <c r="C345" s="13" t="s">
        <v>18924</v>
      </c>
      <c r="D345" s="13" t="s">
        <v>18925</v>
      </c>
      <c r="E345" s="13" t="s">
        <v>18926</v>
      </c>
      <c r="F345" s="13" t="s">
        <v>18927</v>
      </c>
    </row>
    <row r="346" customFormat="false" ht="15" hidden="false" customHeight="true" outlineLevel="0" collapsed="false">
      <c r="A346" s="13" t="s">
        <v>236</v>
      </c>
      <c r="B346" s="11" t="s">
        <v>17677</v>
      </c>
      <c r="C346" s="13" t="s">
        <v>18928</v>
      </c>
      <c r="D346" s="13" t="s">
        <v>18929</v>
      </c>
      <c r="E346" s="13" t="s">
        <v>18930</v>
      </c>
      <c r="F346" s="13" t="s">
        <v>18931</v>
      </c>
    </row>
    <row r="347" customFormat="false" ht="15" hidden="false" customHeight="true" outlineLevel="0" collapsed="false">
      <c r="A347" s="13" t="s">
        <v>244</v>
      </c>
      <c r="B347" s="13" t="s">
        <v>17599</v>
      </c>
      <c r="C347" s="13" t="s">
        <v>18932</v>
      </c>
      <c r="D347" s="13" t="s">
        <v>18933</v>
      </c>
      <c r="E347" s="13" t="s">
        <v>18934</v>
      </c>
      <c r="F347" s="13" t="s">
        <v>18935</v>
      </c>
    </row>
    <row r="348" customFormat="false" ht="15" hidden="false" customHeight="true" outlineLevel="0" collapsed="false">
      <c r="A348" s="13" t="s">
        <v>244</v>
      </c>
      <c r="B348" s="11" t="s">
        <v>17604</v>
      </c>
      <c r="C348" s="13" t="s">
        <v>18936</v>
      </c>
      <c r="D348" s="13" t="s">
        <v>18937</v>
      </c>
      <c r="E348" s="13" t="s">
        <v>18938</v>
      </c>
      <c r="F348" s="13" t="s">
        <v>18939</v>
      </c>
    </row>
    <row r="349" customFormat="false" ht="15" hidden="false" customHeight="true" outlineLevel="0" collapsed="false">
      <c r="A349" s="13" t="s">
        <v>244</v>
      </c>
      <c r="B349" s="11" t="s">
        <v>17609</v>
      </c>
      <c r="C349" s="13" t="s">
        <v>18940</v>
      </c>
      <c r="D349" s="13" t="s">
        <v>18941</v>
      </c>
      <c r="E349" s="13" t="s">
        <v>18942</v>
      </c>
      <c r="F349" s="13" t="s">
        <v>18943</v>
      </c>
    </row>
    <row r="350" customFormat="false" ht="15" hidden="false" customHeight="true" outlineLevel="0" collapsed="false">
      <c r="A350" s="13" t="s">
        <v>244</v>
      </c>
      <c r="B350" s="11" t="s">
        <v>17614</v>
      </c>
      <c r="C350" s="13" t="s">
        <v>18944</v>
      </c>
      <c r="D350" s="13" t="s">
        <v>18945</v>
      </c>
      <c r="E350" s="13" t="s">
        <v>18946</v>
      </c>
      <c r="F350" s="13" t="s">
        <v>18947</v>
      </c>
    </row>
    <row r="351" customFormat="false" ht="15" hidden="false" customHeight="true" outlineLevel="0" collapsed="false">
      <c r="A351" s="13" t="s">
        <v>244</v>
      </c>
      <c r="B351" s="11" t="s">
        <v>17619</v>
      </c>
      <c r="C351" s="13" t="s">
        <v>18948</v>
      </c>
      <c r="D351" s="13" t="s">
        <v>18949</v>
      </c>
      <c r="E351" s="13" t="s">
        <v>1018</v>
      </c>
      <c r="F351" s="13" t="s">
        <v>1019</v>
      </c>
    </row>
    <row r="352" customFormat="false" ht="15" hidden="false" customHeight="true" outlineLevel="0" collapsed="false">
      <c r="A352" s="13" t="s">
        <v>244</v>
      </c>
      <c r="B352" s="13" t="s">
        <v>17622</v>
      </c>
      <c r="C352" s="13" t="s">
        <v>18950</v>
      </c>
      <c r="D352" s="13" t="s">
        <v>18951</v>
      </c>
      <c r="E352" s="13" t="s">
        <v>18952</v>
      </c>
      <c r="F352" s="13" t="s">
        <v>18953</v>
      </c>
    </row>
    <row r="353" customFormat="false" ht="15" hidden="false" customHeight="true" outlineLevel="0" collapsed="false">
      <c r="A353" s="13" t="s">
        <v>244</v>
      </c>
      <c r="B353" s="11" t="s">
        <v>17627</v>
      </c>
      <c r="C353" s="13" t="s">
        <v>18954</v>
      </c>
      <c r="D353" s="13" t="s">
        <v>18955</v>
      </c>
      <c r="E353" s="13" t="s">
        <v>18956</v>
      </c>
      <c r="F353" s="13" t="s">
        <v>18957</v>
      </c>
    </row>
    <row r="354" customFormat="false" ht="15" hidden="false" customHeight="true" outlineLevel="0" collapsed="false">
      <c r="A354" s="13" t="s">
        <v>244</v>
      </c>
      <c r="B354" s="11" t="s">
        <v>17632</v>
      </c>
      <c r="C354" s="13" t="s">
        <v>18958</v>
      </c>
      <c r="D354" s="13" t="s">
        <v>18959</v>
      </c>
      <c r="E354" s="13" t="s">
        <v>18960</v>
      </c>
      <c r="F354" s="13" t="s">
        <v>18961</v>
      </c>
    </row>
    <row r="355" customFormat="false" ht="15" hidden="false" customHeight="true" outlineLevel="0" collapsed="false">
      <c r="A355" s="13" t="s">
        <v>244</v>
      </c>
      <c r="B355" s="11" t="s">
        <v>17637</v>
      </c>
      <c r="C355" s="13" t="s">
        <v>18962</v>
      </c>
      <c r="D355" s="13" t="s">
        <v>18963</v>
      </c>
      <c r="E355" s="13" t="s">
        <v>18964</v>
      </c>
      <c r="F355" s="13" t="s">
        <v>18965</v>
      </c>
    </row>
    <row r="356" customFormat="false" ht="15" hidden="false" customHeight="true" outlineLevel="0" collapsed="false">
      <c r="A356" s="13" t="s">
        <v>244</v>
      </c>
      <c r="B356" s="11" t="s">
        <v>17642</v>
      </c>
      <c r="C356" s="13" t="s">
        <v>18966</v>
      </c>
      <c r="D356" s="13" t="s">
        <v>18967</v>
      </c>
      <c r="E356" s="13" t="s">
        <v>18968</v>
      </c>
      <c r="F356" s="13" t="s">
        <v>18969</v>
      </c>
    </row>
    <row r="357" customFormat="false" ht="15" hidden="false" customHeight="true" outlineLevel="0" collapsed="false">
      <c r="A357" s="13" t="s">
        <v>244</v>
      </c>
      <c r="B357" s="11" t="s">
        <v>17647</v>
      </c>
      <c r="C357" s="13" t="s">
        <v>18970</v>
      </c>
      <c r="D357" s="13" t="s">
        <v>18971</v>
      </c>
      <c r="E357" s="13" t="s">
        <v>18972</v>
      </c>
      <c r="F357" s="13" t="s">
        <v>18973</v>
      </c>
    </row>
    <row r="358" customFormat="false" ht="15" hidden="false" customHeight="true" outlineLevel="0" collapsed="false">
      <c r="A358" s="13" t="s">
        <v>244</v>
      </c>
      <c r="B358" s="11" t="s">
        <v>17652</v>
      </c>
      <c r="C358" s="13" t="s">
        <v>18974</v>
      </c>
      <c r="D358" s="13" t="s">
        <v>14311</v>
      </c>
      <c r="E358" s="13" t="s">
        <v>18975</v>
      </c>
      <c r="F358" s="13" t="s">
        <v>18976</v>
      </c>
    </row>
    <row r="359" customFormat="false" ht="15" hidden="false" customHeight="true" outlineLevel="0" collapsed="false">
      <c r="A359" s="13" t="s">
        <v>244</v>
      </c>
      <c r="B359" s="13" t="s">
        <v>17657</v>
      </c>
      <c r="C359" s="13" t="s">
        <v>18977</v>
      </c>
      <c r="D359" s="13" t="s">
        <v>18978</v>
      </c>
      <c r="E359" s="13" t="s">
        <v>18979</v>
      </c>
      <c r="F359" s="13" t="s">
        <v>18980</v>
      </c>
    </row>
    <row r="360" customFormat="false" ht="15" hidden="false" customHeight="true" outlineLevel="0" collapsed="false">
      <c r="A360" s="13" t="s">
        <v>244</v>
      </c>
      <c r="B360" s="11" t="s">
        <v>17662</v>
      </c>
      <c r="C360" s="13" t="s">
        <v>18981</v>
      </c>
      <c r="D360" s="13" t="s">
        <v>18982</v>
      </c>
      <c r="E360" s="13" t="s">
        <v>18983</v>
      </c>
      <c r="F360" s="13" t="s">
        <v>18984</v>
      </c>
    </row>
    <row r="361" customFormat="false" ht="15" hidden="false" customHeight="true" outlineLevel="0" collapsed="false">
      <c r="A361" s="13" t="s">
        <v>244</v>
      </c>
      <c r="B361" s="11" t="s">
        <v>17667</v>
      </c>
      <c r="C361" s="13" t="s">
        <v>18985</v>
      </c>
      <c r="D361" s="13" t="s">
        <v>18986</v>
      </c>
      <c r="E361" s="13" t="s">
        <v>18987</v>
      </c>
      <c r="F361" s="13" t="s">
        <v>18988</v>
      </c>
    </row>
    <row r="362" customFormat="false" ht="15" hidden="false" customHeight="true" outlineLevel="0" collapsed="false">
      <c r="A362" s="13" t="s">
        <v>244</v>
      </c>
      <c r="B362" s="11" t="s">
        <v>17672</v>
      </c>
      <c r="C362" s="13" t="s">
        <v>18989</v>
      </c>
      <c r="D362" s="13" t="s">
        <v>18990</v>
      </c>
      <c r="E362" s="13" t="s">
        <v>18991</v>
      </c>
      <c r="F362" s="13" t="s">
        <v>18992</v>
      </c>
    </row>
    <row r="363" customFormat="false" ht="15" hidden="false" customHeight="true" outlineLevel="0" collapsed="false">
      <c r="A363" s="13" t="s">
        <v>244</v>
      </c>
      <c r="B363" s="11" t="s">
        <v>17677</v>
      </c>
      <c r="C363" s="13" t="s">
        <v>18993</v>
      </c>
      <c r="D363" s="13" t="s">
        <v>18994</v>
      </c>
      <c r="E363" s="13" t="s">
        <v>18995</v>
      </c>
      <c r="F363" s="13" t="s">
        <v>18996</v>
      </c>
    </row>
    <row r="364" customFormat="false" ht="15" hidden="false" customHeight="true" outlineLevel="0" collapsed="false">
      <c r="A364" s="13" t="s">
        <v>252</v>
      </c>
      <c r="B364" s="13" t="s">
        <v>17599</v>
      </c>
      <c r="C364" s="13" t="s">
        <v>18997</v>
      </c>
      <c r="D364" s="13" t="s">
        <v>18998</v>
      </c>
      <c r="E364" s="13" t="s">
        <v>18999</v>
      </c>
      <c r="F364" s="13" t="s">
        <v>19000</v>
      </c>
    </row>
    <row r="365" customFormat="false" ht="15" hidden="false" customHeight="true" outlineLevel="0" collapsed="false">
      <c r="A365" s="13" t="s">
        <v>252</v>
      </c>
      <c r="B365" s="11" t="s">
        <v>17604</v>
      </c>
      <c r="C365" s="13" t="s">
        <v>19001</v>
      </c>
      <c r="D365" s="13" t="s">
        <v>19002</v>
      </c>
      <c r="E365" s="13" t="s">
        <v>19003</v>
      </c>
      <c r="F365" s="13" t="s">
        <v>19004</v>
      </c>
    </row>
    <row r="366" customFormat="false" ht="15" hidden="false" customHeight="true" outlineLevel="0" collapsed="false">
      <c r="A366" s="13" t="s">
        <v>252</v>
      </c>
      <c r="B366" s="11" t="s">
        <v>17609</v>
      </c>
      <c r="C366" s="13" t="s">
        <v>19005</v>
      </c>
      <c r="D366" s="13" t="s">
        <v>19006</v>
      </c>
      <c r="E366" s="13" t="s">
        <v>19007</v>
      </c>
      <c r="F366" s="13" t="s">
        <v>19008</v>
      </c>
    </row>
    <row r="367" customFormat="false" ht="15" hidden="false" customHeight="true" outlineLevel="0" collapsed="false">
      <c r="A367" s="13" t="s">
        <v>252</v>
      </c>
      <c r="B367" s="11" t="s">
        <v>17614</v>
      </c>
      <c r="C367" s="13" t="s">
        <v>19009</v>
      </c>
      <c r="D367" s="13" t="s">
        <v>19010</v>
      </c>
      <c r="E367" s="13" t="s">
        <v>19011</v>
      </c>
      <c r="F367" s="13" t="s">
        <v>19012</v>
      </c>
    </row>
    <row r="368" customFormat="false" ht="15" hidden="false" customHeight="true" outlineLevel="0" collapsed="false">
      <c r="A368" s="13" t="s">
        <v>252</v>
      </c>
      <c r="B368" s="11" t="s">
        <v>17619</v>
      </c>
      <c r="C368" s="13" t="s">
        <v>19013</v>
      </c>
      <c r="D368" s="13" t="s">
        <v>19014</v>
      </c>
      <c r="E368" s="13" t="s">
        <v>1018</v>
      </c>
      <c r="F368" s="13" t="s">
        <v>1019</v>
      </c>
    </row>
    <row r="369" customFormat="false" ht="15" hidden="false" customHeight="true" outlineLevel="0" collapsed="false">
      <c r="A369" s="13" t="s">
        <v>252</v>
      </c>
      <c r="B369" s="13" t="s">
        <v>17622</v>
      </c>
      <c r="C369" s="13" t="s">
        <v>19015</v>
      </c>
      <c r="D369" s="13" t="s">
        <v>19016</v>
      </c>
      <c r="E369" s="13" t="s">
        <v>19017</v>
      </c>
      <c r="F369" s="13" t="s">
        <v>19018</v>
      </c>
    </row>
    <row r="370" customFormat="false" ht="15" hidden="false" customHeight="true" outlineLevel="0" collapsed="false">
      <c r="A370" s="13" t="s">
        <v>252</v>
      </c>
      <c r="B370" s="11" t="s">
        <v>17627</v>
      </c>
      <c r="C370" s="13" t="s">
        <v>19019</v>
      </c>
      <c r="D370" s="13" t="s">
        <v>19020</v>
      </c>
      <c r="E370" s="13" t="s">
        <v>19021</v>
      </c>
      <c r="F370" s="13" t="s">
        <v>19022</v>
      </c>
    </row>
    <row r="371" customFormat="false" ht="15" hidden="false" customHeight="true" outlineLevel="0" collapsed="false">
      <c r="A371" s="13" t="s">
        <v>252</v>
      </c>
      <c r="B371" s="11" t="s">
        <v>17632</v>
      </c>
      <c r="C371" s="13" t="s">
        <v>19023</v>
      </c>
      <c r="D371" s="13" t="s">
        <v>19024</v>
      </c>
      <c r="E371" s="13" t="s">
        <v>19025</v>
      </c>
      <c r="F371" s="13" t="s">
        <v>19026</v>
      </c>
    </row>
    <row r="372" customFormat="false" ht="15" hidden="false" customHeight="true" outlineLevel="0" collapsed="false">
      <c r="A372" s="13" t="s">
        <v>252</v>
      </c>
      <c r="B372" s="11" t="s">
        <v>17637</v>
      </c>
      <c r="C372" s="13" t="s">
        <v>19027</v>
      </c>
      <c r="D372" s="13" t="s">
        <v>19028</v>
      </c>
      <c r="E372" s="13" t="s">
        <v>19029</v>
      </c>
      <c r="F372" s="13" t="s">
        <v>19030</v>
      </c>
    </row>
    <row r="373" customFormat="false" ht="15" hidden="false" customHeight="true" outlineLevel="0" collapsed="false">
      <c r="A373" s="13" t="s">
        <v>252</v>
      </c>
      <c r="B373" s="11" t="s">
        <v>17642</v>
      </c>
      <c r="C373" s="13" t="s">
        <v>19031</v>
      </c>
      <c r="D373" s="13" t="s">
        <v>19032</v>
      </c>
      <c r="E373" s="13" t="s">
        <v>19033</v>
      </c>
      <c r="F373" s="13" t="s">
        <v>19034</v>
      </c>
    </row>
    <row r="374" customFormat="false" ht="15" hidden="false" customHeight="true" outlineLevel="0" collapsed="false">
      <c r="A374" s="13" t="s">
        <v>252</v>
      </c>
      <c r="B374" s="11" t="s">
        <v>17647</v>
      </c>
      <c r="C374" s="13" t="s">
        <v>19035</v>
      </c>
      <c r="D374" s="13" t="s">
        <v>19036</v>
      </c>
      <c r="E374" s="13" t="s">
        <v>19037</v>
      </c>
      <c r="F374" s="13" t="s">
        <v>19038</v>
      </c>
    </row>
    <row r="375" customFormat="false" ht="15" hidden="false" customHeight="true" outlineLevel="0" collapsed="false">
      <c r="A375" s="13" t="s">
        <v>252</v>
      </c>
      <c r="B375" s="11" t="s">
        <v>17652</v>
      </c>
      <c r="C375" s="13" t="s">
        <v>19039</v>
      </c>
      <c r="D375" s="13" t="s">
        <v>19040</v>
      </c>
      <c r="E375" s="13" t="s">
        <v>19041</v>
      </c>
      <c r="F375" s="13" t="s">
        <v>19042</v>
      </c>
    </row>
    <row r="376" customFormat="false" ht="15" hidden="false" customHeight="true" outlineLevel="0" collapsed="false">
      <c r="A376" s="13" t="s">
        <v>252</v>
      </c>
      <c r="B376" s="13" t="s">
        <v>17657</v>
      </c>
      <c r="C376" s="13" t="s">
        <v>19043</v>
      </c>
      <c r="D376" s="13" t="s">
        <v>19044</v>
      </c>
      <c r="E376" s="13" t="s">
        <v>19045</v>
      </c>
      <c r="F376" s="13" t="s">
        <v>19046</v>
      </c>
    </row>
    <row r="377" customFormat="false" ht="15" hidden="false" customHeight="true" outlineLevel="0" collapsed="false">
      <c r="A377" s="13" t="s">
        <v>252</v>
      </c>
      <c r="B377" s="11" t="s">
        <v>17662</v>
      </c>
      <c r="C377" s="13" t="s">
        <v>19047</v>
      </c>
      <c r="D377" s="13" t="s">
        <v>19048</v>
      </c>
      <c r="E377" s="13" t="s">
        <v>19049</v>
      </c>
      <c r="F377" s="13" t="s">
        <v>19050</v>
      </c>
    </row>
    <row r="378" customFormat="false" ht="15" hidden="false" customHeight="true" outlineLevel="0" collapsed="false">
      <c r="A378" s="13" t="s">
        <v>252</v>
      </c>
      <c r="B378" s="11" t="s">
        <v>17667</v>
      </c>
      <c r="C378" s="13" t="s">
        <v>19051</v>
      </c>
      <c r="D378" s="13" t="s">
        <v>19052</v>
      </c>
      <c r="E378" s="13" t="s">
        <v>19053</v>
      </c>
      <c r="F378" s="13" t="s">
        <v>19054</v>
      </c>
    </row>
    <row r="379" customFormat="false" ht="15" hidden="false" customHeight="true" outlineLevel="0" collapsed="false">
      <c r="A379" s="13" t="s">
        <v>252</v>
      </c>
      <c r="B379" s="11" t="s">
        <v>17672</v>
      </c>
      <c r="C379" s="13" t="s">
        <v>19055</v>
      </c>
      <c r="D379" s="13" t="s">
        <v>19056</v>
      </c>
      <c r="E379" s="13" t="s">
        <v>19057</v>
      </c>
      <c r="F379" s="13" t="s">
        <v>19058</v>
      </c>
    </row>
    <row r="380" customFormat="false" ht="15" hidden="false" customHeight="true" outlineLevel="0" collapsed="false">
      <c r="A380" s="13" t="s">
        <v>252</v>
      </c>
      <c r="B380" s="11" t="s">
        <v>17677</v>
      </c>
      <c r="C380" s="13" t="s">
        <v>19059</v>
      </c>
      <c r="D380" s="13" t="s">
        <v>19060</v>
      </c>
      <c r="E380" s="13" t="s">
        <v>19061</v>
      </c>
      <c r="F380" s="13" t="s">
        <v>19062</v>
      </c>
    </row>
    <row r="381" customFormat="false" ht="15" hidden="false" customHeight="true" outlineLevel="0" collapsed="false">
      <c r="A381" s="13" t="s">
        <v>260</v>
      </c>
      <c r="B381" s="13" t="s">
        <v>17599</v>
      </c>
      <c r="C381" s="13" t="s">
        <v>19063</v>
      </c>
      <c r="D381" s="13" t="s">
        <v>19064</v>
      </c>
      <c r="E381" s="13" t="s">
        <v>19065</v>
      </c>
      <c r="F381" s="13" t="s">
        <v>19066</v>
      </c>
    </row>
    <row r="382" customFormat="false" ht="15" hidden="false" customHeight="true" outlineLevel="0" collapsed="false">
      <c r="A382" s="13" t="s">
        <v>260</v>
      </c>
      <c r="B382" s="11" t="s">
        <v>17604</v>
      </c>
      <c r="C382" s="13" t="s">
        <v>19067</v>
      </c>
      <c r="D382" s="13" t="s">
        <v>19068</v>
      </c>
      <c r="E382" s="13" t="s">
        <v>19069</v>
      </c>
      <c r="F382" s="13" t="s">
        <v>19070</v>
      </c>
    </row>
    <row r="383" customFormat="false" ht="15" hidden="false" customHeight="true" outlineLevel="0" collapsed="false">
      <c r="A383" s="13" t="s">
        <v>260</v>
      </c>
      <c r="B383" s="11" t="s">
        <v>17609</v>
      </c>
      <c r="C383" s="13" t="s">
        <v>19071</v>
      </c>
      <c r="D383" s="13" t="s">
        <v>19072</v>
      </c>
      <c r="E383" s="13" t="s">
        <v>19073</v>
      </c>
      <c r="F383" s="13" t="s">
        <v>19074</v>
      </c>
    </row>
    <row r="384" customFormat="false" ht="15" hidden="false" customHeight="true" outlineLevel="0" collapsed="false">
      <c r="A384" s="13" t="s">
        <v>260</v>
      </c>
      <c r="B384" s="11" t="s">
        <v>17614</v>
      </c>
      <c r="C384" s="13" t="s">
        <v>19075</v>
      </c>
      <c r="D384" s="13" t="s">
        <v>19076</v>
      </c>
      <c r="E384" s="13" t="s">
        <v>19077</v>
      </c>
      <c r="F384" s="13" t="s">
        <v>19078</v>
      </c>
    </row>
    <row r="385" customFormat="false" ht="15" hidden="false" customHeight="true" outlineLevel="0" collapsed="false">
      <c r="A385" s="13" t="s">
        <v>260</v>
      </c>
      <c r="B385" s="11" t="s">
        <v>17619</v>
      </c>
      <c r="C385" s="13" t="s">
        <v>19079</v>
      </c>
      <c r="D385" s="13" t="s">
        <v>14418</v>
      </c>
      <c r="E385" s="13" t="s">
        <v>1018</v>
      </c>
      <c r="F385" s="13" t="s">
        <v>1019</v>
      </c>
    </row>
    <row r="386" customFormat="false" ht="15" hidden="false" customHeight="true" outlineLevel="0" collapsed="false">
      <c r="A386" s="13" t="s">
        <v>260</v>
      </c>
      <c r="B386" s="13" t="s">
        <v>17622</v>
      </c>
      <c r="C386" s="13" t="s">
        <v>19080</v>
      </c>
      <c r="D386" s="13" t="s">
        <v>19081</v>
      </c>
      <c r="E386" s="13" t="s">
        <v>19082</v>
      </c>
      <c r="F386" s="13" t="s">
        <v>19083</v>
      </c>
    </row>
    <row r="387" customFormat="false" ht="15" hidden="false" customHeight="true" outlineLevel="0" collapsed="false">
      <c r="A387" s="13" t="s">
        <v>260</v>
      </c>
      <c r="B387" s="11" t="s">
        <v>17627</v>
      </c>
      <c r="C387" s="13" t="s">
        <v>19084</v>
      </c>
      <c r="D387" s="13" t="s">
        <v>19085</v>
      </c>
      <c r="E387" s="13" t="s">
        <v>19086</v>
      </c>
      <c r="F387" s="13" t="s">
        <v>19087</v>
      </c>
    </row>
    <row r="388" customFormat="false" ht="15" hidden="false" customHeight="true" outlineLevel="0" collapsed="false">
      <c r="A388" s="13" t="s">
        <v>260</v>
      </c>
      <c r="B388" s="11" t="s">
        <v>17632</v>
      </c>
      <c r="C388" s="13" t="s">
        <v>19088</v>
      </c>
      <c r="D388" s="13" t="s">
        <v>19089</v>
      </c>
      <c r="E388" s="13" t="s">
        <v>19090</v>
      </c>
      <c r="F388" s="13" t="s">
        <v>19091</v>
      </c>
    </row>
    <row r="389" customFormat="false" ht="15" hidden="false" customHeight="true" outlineLevel="0" collapsed="false">
      <c r="A389" s="13" t="s">
        <v>260</v>
      </c>
      <c r="B389" s="11" t="s">
        <v>17637</v>
      </c>
      <c r="C389" s="13" t="s">
        <v>19092</v>
      </c>
      <c r="D389" s="13" t="s">
        <v>19093</v>
      </c>
      <c r="E389" s="13" t="s">
        <v>19094</v>
      </c>
      <c r="F389" s="13" t="s">
        <v>19095</v>
      </c>
    </row>
    <row r="390" customFormat="false" ht="15" hidden="false" customHeight="true" outlineLevel="0" collapsed="false">
      <c r="A390" s="13" t="s">
        <v>260</v>
      </c>
      <c r="B390" s="11" t="s">
        <v>17642</v>
      </c>
      <c r="C390" s="13" t="s">
        <v>19096</v>
      </c>
      <c r="D390" s="13" t="s">
        <v>19097</v>
      </c>
      <c r="E390" s="13" t="s">
        <v>19098</v>
      </c>
      <c r="F390" s="13" t="s">
        <v>19099</v>
      </c>
    </row>
    <row r="391" customFormat="false" ht="15" hidden="false" customHeight="true" outlineLevel="0" collapsed="false">
      <c r="A391" s="13" t="s">
        <v>260</v>
      </c>
      <c r="B391" s="11" t="s">
        <v>17647</v>
      </c>
      <c r="C391" s="13" t="s">
        <v>19100</v>
      </c>
      <c r="D391" s="13" t="s">
        <v>19101</v>
      </c>
      <c r="E391" s="13" t="s">
        <v>19102</v>
      </c>
      <c r="F391" s="13" t="s">
        <v>19103</v>
      </c>
    </row>
    <row r="392" customFormat="false" ht="15" hidden="false" customHeight="true" outlineLevel="0" collapsed="false">
      <c r="A392" s="13" t="s">
        <v>260</v>
      </c>
      <c r="B392" s="11" t="s">
        <v>17652</v>
      </c>
      <c r="C392" s="13" t="s">
        <v>19104</v>
      </c>
      <c r="D392" s="13" t="s">
        <v>19105</v>
      </c>
      <c r="E392" s="13" t="s">
        <v>19106</v>
      </c>
      <c r="F392" s="13" t="s">
        <v>19107</v>
      </c>
    </row>
    <row r="393" customFormat="false" ht="15" hidden="false" customHeight="true" outlineLevel="0" collapsed="false">
      <c r="A393" s="13" t="s">
        <v>260</v>
      </c>
      <c r="B393" s="13" t="s">
        <v>17657</v>
      </c>
      <c r="C393" s="13" t="s">
        <v>19108</v>
      </c>
      <c r="D393" s="13" t="s">
        <v>19109</v>
      </c>
      <c r="E393" s="13" t="s">
        <v>19110</v>
      </c>
      <c r="F393" s="13" t="s">
        <v>19111</v>
      </c>
    </row>
    <row r="394" customFormat="false" ht="15" hidden="false" customHeight="true" outlineLevel="0" collapsed="false">
      <c r="A394" s="13" t="s">
        <v>260</v>
      </c>
      <c r="B394" s="11" t="s">
        <v>17662</v>
      </c>
      <c r="C394" s="13" t="s">
        <v>19112</v>
      </c>
      <c r="D394" s="13" t="s">
        <v>19113</v>
      </c>
      <c r="E394" s="13" t="s">
        <v>19114</v>
      </c>
      <c r="F394" s="13" t="s">
        <v>19115</v>
      </c>
    </row>
    <row r="395" customFormat="false" ht="15" hidden="false" customHeight="true" outlineLevel="0" collapsed="false">
      <c r="A395" s="13" t="s">
        <v>260</v>
      </c>
      <c r="B395" s="11" t="s">
        <v>17667</v>
      </c>
      <c r="C395" s="13" t="s">
        <v>19116</v>
      </c>
      <c r="D395" s="13" t="s">
        <v>19117</v>
      </c>
      <c r="E395" s="13" t="s">
        <v>19118</v>
      </c>
      <c r="F395" s="13" t="s">
        <v>19119</v>
      </c>
    </row>
    <row r="396" customFormat="false" ht="15" hidden="false" customHeight="true" outlineLevel="0" collapsed="false">
      <c r="A396" s="13" t="s">
        <v>260</v>
      </c>
      <c r="B396" s="11" t="s">
        <v>17672</v>
      </c>
      <c r="C396" s="13" t="s">
        <v>8521</v>
      </c>
      <c r="D396" s="13" t="s">
        <v>19120</v>
      </c>
      <c r="E396" s="13" t="s">
        <v>19121</v>
      </c>
      <c r="F396" s="13" t="s">
        <v>19122</v>
      </c>
    </row>
    <row r="397" customFormat="false" ht="15" hidden="false" customHeight="true" outlineLevel="0" collapsed="false">
      <c r="A397" s="13" t="s">
        <v>260</v>
      </c>
      <c r="B397" s="11" t="s">
        <v>17677</v>
      </c>
      <c r="C397" s="13" t="s">
        <v>19123</v>
      </c>
      <c r="D397" s="13" t="s">
        <v>19124</v>
      </c>
      <c r="E397" s="13" t="s">
        <v>19125</v>
      </c>
      <c r="F397" s="13" t="s">
        <v>19126</v>
      </c>
    </row>
    <row r="398" customFormat="false" ht="15" hidden="false" customHeight="true" outlineLevel="0" collapsed="false">
      <c r="A398" s="13" t="s">
        <v>268</v>
      </c>
      <c r="B398" s="13" t="s">
        <v>17599</v>
      </c>
      <c r="C398" s="13" t="s">
        <v>19127</v>
      </c>
      <c r="D398" s="13" t="s">
        <v>19128</v>
      </c>
      <c r="E398" s="13" t="s">
        <v>19129</v>
      </c>
      <c r="F398" s="13" t="s">
        <v>19130</v>
      </c>
    </row>
    <row r="399" customFormat="false" ht="15" hidden="false" customHeight="true" outlineLevel="0" collapsed="false">
      <c r="A399" s="13" t="s">
        <v>268</v>
      </c>
      <c r="B399" s="11" t="s">
        <v>17604</v>
      </c>
      <c r="C399" s="13" t="s">
        <v>19131</v>
      </c>
      <c r="D399" s="13" t="s">
        <v>19132</v>
      </c>
      <c r="E399" s="13" t="s">
        <v>19133</v>
      </c>
      <c r="F399" s="13" t="s">
        <v>19134</v>
      </c>
    </row>
    <row r="400" customFormat="false" ht="15" hidden="false" customHeight="true" outlineLevel="0" collapsed="false">
      <c r="A400" s="13" t="s">
        <v>268</v>
      </c>
      <c r="B400" s="11" t="s">
        <v>17609</v>
      </c>
      <c r="C400" s="13" t="s">
        <v>19135</v>
      </c>
      <c r="D400" s="13" t="s">
        <v>19136</v>
      </c>
      <c r="E400" s="13" t="s">
        <v>19137</v>
      </c>
      <c r="F400" s="13" t="s">
        <v>19138</v>
      </c>
    </row>
    <row r="401" customFormat="false" ht="15" hidden="false" customHeight="true" outlineLevel="0" collapsed="false">
      <c r="A401" s="13" t="s">
        <v>268</v>
      </c>
      <c r="B401" s="11" t="s">
        <v>17614</v>
      </c>
      <c r="C401" s="13" t="s">
        <v>19139</v>
      </c>
      <c r="D401" s="13" t="s">
        <v>19140</v>
      </c>
      <c r="E401" s="13" t="s">
        <v>19141</v>
      </c>
      <c r="F401" s="13" t="s">
        <v>19142</v>
      </c>
    </row>
    <row r="402" customFormat="false" ht="15" hidden="false" customHeight="true" outlineLevel="0" collapsed="false">
      <c r="A402" s="13" t="s">
        <v>268</v>
      </c>
      <c r="B402" s="11" t="s">
        <v>17619</v>
      </c>
      <c r="C402" s="13" t="s">
        <v>19143</v>
      </c>
      <c r="D402" s="13" t="s">
        <v>1750</v>
      </c>
      <c r="E402" s="13" t="s">
        <v>1018</v>
      </c>
      <c r="F402" s="13" t="s">
        <v>1019</v>
      </c>
    </row>
    <row r="403" customFormat="false" ht="15" hidden="false" customHeight="true" outlineLevel="0" collapsed="false">
      <c r="A403" s="13" t="s">
        <v>268</v>
      </c>
      <c r="B403" s="13" t="s">
        <v>17622</v>
      </c>
      <c r="C403" s="13" t="s">
        <v>19144</v>
      </c>
      <c r="D403" s="13" t="s">
        <v>19145</v>
      </c>
      <c r="E403" s="13" t="s">
        <v>19146</v>
      </c>
      <c r="F403" s="13" t="s">
        <v>19147</v>
      </c>
    </row>
    <row r="404" customFormat="false" ht="15" hidden="false" customHeight="true" outlineLevel="0" collapsed="false">
      <c r="A404" s="13" t="s">
        <v>268</v>
      </c>
      <c r="B404" s="11" t="s">
        <v>17627</v>
      </c>
      <c r="C404" s="13" t="s">
        <v>19148</v>
      </c>
      <c r="D404" s="13" t="s">
        <v>19149</v>
      </c>
      <c r="E404" s="13" t="s">
        <v>19150</v>
      </c>
      <c r="F404" s="13" t="s">
        <v>19151</v>
      </c>
    </row>
    <row r="405" customFormat="false" ht="15" hidden="false" customHeight="true" outlineLevel="0" collapsed="false">
      <c r="A405" s="13" t="s">
        <v>268</v>
      </c>
      <c r="B405" s="11" t="s">
        <v>17632</v>
      </c>
      <c r="C405" s="13" t="s">
        <v>19152</v>
      </c>
      <c r="D405" s="13" t="s">
        <v>19153</v>
      </c>
      <c r="E405" s="13" t="s">
        <v>19154</v>
      </c>
      <c r="F405" s="13" t="s">
        <v>19155</v>
      </c>
    </row>
    <row r="406" customFormat="false" ht="15" hidden="false" customHeight="true" outlineLevel="0" collapsed="false">
      <c r="A406" s="13" t="s">
        <v>268</v>
      </c>
      <c r="B406" s="11" t="s">
        <v>17637</v>
      </c>
      <c r="C406" s="13" t="s">
        <v>19156</v>
      </c>
      <c r="D406" s="13" t="s">
        <v>19157</v>
      </c>
      <c r="E406" s="13" t="s">
        <v>19158</v>
      </c>
      <c r="F406" s="13" t="s">
        <v>19159</v>
      </c>
    </row>
    <row r="407" customFormat="false" ht="15" hidden="false" customHeight="true" outlineLevel="0" collapsed="false">
      <c r="A407" s="13" t="s">
        <v>268</v>
      </c>
      <c r="B407" s="11" t="s">
        <v>17642</v>
      </c>
      <c r="C407" s="13" t="s">
        <v>19160</v>
      </c>
      <c r="D407" s="13" t="s">
        <v>19161</v>
      </c>
      <c r="E407" s="13" t="s">
        <v>19162</v>
      </c>
      <c r="F407" s="13" t="s">
        <v>19163</v>
      </c>
    </row>
    <row r="408" customFormat="false" ht="15" hidden="false" customHeight="true" outlineLevel="0" collapsed="false">
      <c r="A408" s="13" t="s">
        <v>268</v>
      </c>
      <c r="B408" s="11" t="s">
        <v>17647</v>
      </c>
      <c r="C408" s="13" t="s">
        <v>19164</v>
      </c>
      <c r="D408" s="13" t="s">
        <v>19165</v>
      </c>
      <c r="E408" s="13" t="s">
        <v>19166</v>
      </c>
      <c r="F408" s="13" t="s">
        <v>19167</v>
      </c>
    </row>
    <row r="409" customFormat="false" ht="15" hidden="false" customHeight="true" outlineLevel="0" collapsed="false">
      <c r="A409" s="13" t="s">
        <v>268</v>
      </c>
      <c r="B409" s="11" t="s">
        <v>17652</v>
      </c>
      <c r="C409" s="13" t="s">
        <v>19168</v>
      </c>
      <c r="D409" s="13" t="s">
        <v>19169</v>
      </c>
      <c r="E409" s="13" t="s">
        <v>19170</v>
      </c>
      <c r="F409" s="13" t="s">
        <v>19171</v>
      </c>
    </row>
    <row r="410" customFormat="false" ht="15" hidden="false" customHeight="true" outlineLevel="0" collapsed="false">
      <c r="A410" s="13" t="s">
        <v>268</v>
      </c>
      <c r="B410" s="13" t="s">
        <v>17657</v>
      </c>
      <c r="C410" s="13" t="s">
        <v>19172</v>
      </c>
      <c r="D410" s="13" t="s">
        <v>19173</v>
      </c>
      <c r="E410" s="13" t="s">
        <v>19174</v>
      </c>
      <c r="F410" s="13" t="s">
        <v>19175</v>
      </c>
    </row>
    <row r="411" customFormat="false" ht="15" hidden="false" customHeight="true" outlineLevel="0" collapsed="false">
      <c r="A411" s="13" t="s">
        <v>268</v>
      </c>
      <c r="B411" s="11" t="s">
        <v>17662</v>
      </c>
      <c r="C411" s="13" t="s">
        <v>19176</v>
      </c>
      <c r="D411" s="13" t="s">
        <v>19177</v>
      </c>
      <c r="E411" s="13" t="s">
        <v>19178</v>
      </c>
      <c r="F411" s="13" t="s">
        <v>19179</v>
      </c>
    </row>
    <row r="412" customFormat="false" ht="15" hidden="false" customHeight="true" outlineLevel="0" collapsed="false">
      <c r="A412" s="13" t="s">
        <v>268</v>
      </c>
      <c r="B412" s="11" t="s">
        <v>17667</v>
      </c>
      <c r="C412" s="13" t="s">
        <v>19180</v>
      </c>
      <c r="D412" s="13" t="s">
        <v>19181</v>
      </c>
      <c r="E412" s="13" t="s">
        <v>19182</v>
      </c>
      <c r="F412" s="13" t="s">
        <v>19183</v>
      </c>
    </row>
    <row r="413" customFormat="false" ht="15" hidden="false" customHeight="true" outlineLevel="0" collapsed="false">
      <c r="A413" s="13" t="s">
        <v>268</v>
      </c>
      <c r="B413" s="11" t="s">
        <v>17672</v>
      </c>
      <c r="C413" s="13" t="s">
        <v>19184</v>
      </c>
      <c r="D413" s="13" t="s">
        <v>19185</v>
      </c>
      <c r="E413" s="13" t="s">
        <v>19186</v>
      </c>
      <c r="F413" s="13" t="s">
        <v>19187</v>
      </c>
    </row>
    <row r="414" customFormat="false" ht="15" hidden="false" customHeight="true" outlineLevel="0" collapsed="false">
      <c r="A414" s="13" t="s">
        <v>268</v>
      </c>
      <c r="B414" s="11" t="s">
        <v>17677</v>
      </c>
      <c r="C414" s="13" t="s">
        <v>19188</v>
      </c>
      <c r="D414" s="13" t="s">
        <v>19189</v>
      </c>
      <c r="E414" s="13" t="s">
        <v>19190</v>
      </c>
      <c r="F414" s="13" t="s">
        <v>19191</v>
      </c>
    </row>
    <row r="415" customFormat="false" ht="15" hidden="false" customHeight="true" outlineLevel="0" collapsed="false">
      <c r="A415" s="13" t="s">
        <v>276</v>
      </c>
      <c r="B415" s="13" t="s">
        <v>17599</v>
      </c>
      <c r="C415" s="13" t="s">
        <v>19192</v>
      </c>
      <c r="D415" s="13" t="s">
        <v>19193</v>
      </c>
      <c r="E415" s="13" t="s">
        <v>19194</v>
      </c>
      <c r="F415" s="13" t="s">
        <v>19195</v>
      </c>
    </row>
    <row r="416" customFormat="false" ht="15" hidden="false" customHeight="true" outlineLevel="0" collapsed="false">
      <c r="A416" s="13" t="s">
        <v>276</v>
      </c>
      <c r="B416" s="11" t="s">
        <v>17604</v>
      </c>
      <c r="C416" s="13" t="s">
        <v>19196</v>
      </c>
      <c r="D416" s="13" t="s">
        <v>19197</v>
      </c>
      <c r="E416" s="13" t="s">
        <v>19198</v>
      </c>
      <c r="F416" s="13" t="s">
        <v>19199</v>
      </c>
    </row>
    <row r="417" customFormat="false" ht="15" hidden="false" customHeight="true" outlineLevel="0" collapsed="false">
      <c r="A417" s="13" t="s">
        <v>276</v>
      </c>
      <c r="B417" s="11" t="s">
        <v>17609</v>
      </c>
      <c r="C417" s="13" t="s">
        <v>19200</v>
      </c>
      <c r="D417" s="13" t="s">
        <v>19201</v>
      </c>
      <c r="E417" s="13" t="s">
        <v>19202</v>
      </c>
      <c r="F417" s="13" t="s">
        <v>19203</v>
      </c>
    </row>
    <row r="418" customFormat="false" ht="15" hidden="false" customHeight="true" outlineLevel="0" collapsed="false">
      <c r="A418" s="13" t="s">
        <v>276</v>
      </c>
      <c r="B418" s="11" t="s">
        <v>17614</v>
      </c>
      <c r="C418" s="13" t="s">
        <v>19204</v>
      </c>
      <c r="D418" s="13" t="s">
        <v>19205</v>
      </c>
      <c r="E418" s="13" t="s">
        <v>19206</v>
      </c>
      <c r="F418" s="13" t="s">
        <v>19207</v>
      </c>
    </row>
    <row r="419" customFormat="false" ht="15" hidden="false" customHeight="true" outlineLevel="0" collapsed="false">
      <c r="A419" s="13" t="s">
        <v>276</v>
      </c>
      <c r="B419" s="11" t="s">
        <v>17619</v>
      </c>
      <c r="C419" s="13" t="s">
        <v>19208</v>
      </c>
      <c r="D419" s="13" t="s">
        <v>19209</v>
      </c>
      <c r="E419" s="13" t="s">
        <v>1018</v>
      </c>
      <c r="F419" s="13" t="s">
        <v>1019</v>
      </c>
    </row>
    <row r="420" customFormat="false" ht="15" hidden="false" customHeight="true" outlineLevel="0" collapsed="false">
      <c r="A420" s="13" t="s">
        <v>276</v>
      </c>
      <c r="B420" s="13" t="s">
        <v>17622</v>
      </c>
      <c r="C420" s="13" t="s">
        <v>19210</v>
      </c>
      <c r="D420" s="13" t="s">
        <v>19211</v>
      </c>
      <c r="E420" s="13" t="s">
        <v>19212</v>
      </c>
      <c r="F420" s="13" t="s">
        <v>19213</v>
      </c>
    </row>
    <row r="421" customFormat="false" ht="15" hidden="false" customHeight="true" outlineLevel="0" collapsed="false">
      <c r="A421" s="13" t="s">
        <v>276</v>
      </c>
      <c r="B421" s="11" t="s">
        <v>17627</v>
      </c>
      <c r="C421" s="13" t="s">
        <v>19214</v>
      </c>
      <c r="D421" s="13" t="s">
        <v>19215</v>
      </c>
      <c r="E421" s="13" t="s">
        <v>19216</v>
      </c>
      <c r="F421" s="13" t="s">
        <v>19217</v>
      </c>
    </row>
    <row r="422" customFormat="false" ht="15" hidden="false" customHeight="true" outlineLevel="0" collapsed="false">
      <c r="A422" s="13" t="s">
        <v>276</v>
      </c>
      <c r="B422" s="11" t="s">
        <v>17632</v>
      </c>
      <c r="C422" s="13" t="s">
        <v>19218</v>
      </c>
      <c r="D422" s="13" t="s">
        <v>19219</v>
      </c>
      <c r="E422" s="13" t="s">
        <v>19220</v>
      </c>
      <c r="F422" s="13" t="s">
        <v>19221</v>
      </c>
    </row>
    <row r="423" customFormat="false" ht="15" hidden="false" customHeight="true" outlineLevel="0" collapsed="false">
      <c r="A423" s="13" t="s">
        <v>276</v>
      </c>
      <c r="B423" s="11" t="s">
        <v>17637</v>
      </c>
      <c r="C423" s="13" t="s">
        <v>19222</v>
      </c>
      <c r="D423" s="13" t="s">
        <v>19223</v>
      </c>
      <c r="E423" s="13" t="s">
        <v>19224</v>
      </c>
      <c r="F423" s="13" t="s">
        <v>19225</v>
      </c>
    </row>
    <row r="424" customFormat="false" ht="15" hidden="false" customHeight="true" outlineLevel="0" collapsed="false">
      <c r="A424" s="13" t="s">
        <v>276</v>
      </c>
      <c r="B424" s="11" t="s">
        <v>17642</v>
      </c>
      <c r="C424" s="13" t="s">
        <v>19226</v>
      </c>
      <c r="D424" s="13" t="s">
        <v>19227</v>
      </c>
      <c r="E424" s="13" t="s">
        <v>19228</v>
      </c>
      <c r="F424" s="13" t="s">
        <v>19229</v>
      </c>
    </row>
    <row r="425" customFormat="false" ht="15" hidden="false" customHeight="true" outlineLevel="0" collapsed="false">
      <c r="A425" s="13" t="s">
        <v>276</v>
      </c>
      <c r="B425" s="11" t="s">
        <v>17647</v>
      </c>
      <c r="C425" s="13" t="s">
        <v>19230</v>
      </c>
      <c r="D425" s="13" t="s">
        <v>19231</v>
      </c>
      <c r="E425" s="13" t="s">
        <v>19232</v>
      </c>
      <c r="F425" s="13" t="s">
        <v>19233</v>
      </c>
    </row>
    <row r="426" customFormat="false" ht="15" hidden="false" customHeight="true" outlineLevel="0" collapsed="false">
      <c r="A426" s="13" t="s">
        <v>276</v>
      </c>
      <c r="B426" s="11" t="s">
        <v>17652</v>
      </c>
      <c r="C426" s="13" t="s">
        <v>19234</v>
      </c>
      <c r="D426" s="13" t="s">
        <v>12929</v>
      </c>
      <c r="E426" s="13" t="s">
        <v>19235</v>
      </c>
      <c r="F426" s="13" t="s">
        <v>19236</v>
      </c>
    </row>
    <row r="427" customFormat="false" ht="15" hidden="false" customHeight="true" outlineLevel="0" collapsed="false">
      <c r="A427" s="13" t="s">
        <v>276</v>
      </c>
      <c r="B427" s="13" t="s">
        <v>17657</v>
      </c>
      <c r="C427" s="13" t="s">
        <v>19237</v>
      </c>
      <c r="D427" s="13" t="s">
        <v>19238</v>
      </c>
      <c r="E427" s="13" t="s">
        <v>19239</v>
      </c>
      <c r="F427" s="13" t="s">
        <v>19240</v>
      </c>
    </row>
    <row r="428" customFormat="false" ht="15" hidden="false" customHeight="true" outlineLevel="0" collapsed="false">
      <c r="A428" s="13" t="s">
        <v>276</v>
      </c>
      <c r="B428" s="11" t="s">
        <v>17662</v>
      </c>
      <c r="C428" s="13" t="s">
        <v>19241</v>
      </c>
      <c r="D428" s="13" t="s">
        <v>19242</v>
      </c>
      <c r="E428" s="13" t="s">
        <v>19243</v>
      </c>
      <c r="F428" s="13" t="s">
        <v>19244</v>
      </c>
    </row>
    <row r="429" customFormat="false" ht="15" hidden="false" customHeight="true" outlineLevel="0" collapsed="false">
      <c r="A429" s="13" t="s">
        <v>276</v>
      </c>
      <c r="B429" s="11" t="s">
        <v>17667</v>
      </c>
      <c r="C429" s="13" t="s">
        <v>19245</v>
      </c>
      <c r="D429" s="13" t="s">
        <v>19246</v>
      </c>
      <c r="E429" s="13" t="s">
        <v>19247</v>
      </c>
      <c r="F429" s="13" t="s">
        <v>19248</v>
      </c>
    </row>
    <row r="430" customFormat="false" ht="15" hidden="false" customHeight="true" outlineLevel="0" collapsed="false">
      <c r="A430" s="13" t="s">
        <v>276</v>
      </c>
      <c r="B430" s="11" t="s">
        <v>17672</v>
      </c>
      <c r="C430" s="13" t="s">
        <v>19249</v>
      </c>
      <c r="D430" s="13" t="s">
        <v>19250</v>
      </c>
      <c r="E430" s="13" t="s">
        <v>19251</v>
      </c>
      <c r="F430" s="13" t="s">
        <v>19252</v>
      </c>
    </row>
    <row r="431" customFormat="false" ht="15" hidden="false" customHeight="true" outlineLevel="0" collapsed="false">
      <c r="A431" s="13" t="s">
        <v>276</v>
      </c>
      <c r="B431" s="11" t="s">
        <v>17677</v>
      </c>
      <c r="C431" s="13" t="s">
        <v>19253</v>
      </c>
      <c r="D431" s="13" t="s">
        <v>19254</v>
      </c>
      <c r="E431" s="13" t="s">
        <v>19255</v>
      </c>
      <c r="F431" s="13" t="s">
        <v>19256</v>
      </c>
    </row>
    <row r="432" customFormat="false" ht="15" hidden="false" customHeight="true" outlineLevel="0" collapsed="false">
      <c r="A432" s="13" t="s">
        <v>284</v>
      </c>
      <c r="B432" s="13" t="s">
        <v>17599</v>
      </c>
      <c r="C432" s="13" t="s">
        <v>19257</v>
      </c>
      <c r="D432" s="13" t="s">
        <v>19258</v>
      </c>
      <c r="E432" s="13" t="s">
        <v>19259</v>
      </c>
      <c r="F432" s="13" t="s">
        <v>19260</v>
      </c>
    </row>
    <row r="433" customFormat="false" ht="15" hidden="false" customHeight="true" outlineLevel="0" collapsed="false">
      <c r="A433" s="13" t="s">
        <v>284</v>
      </c>
      <c r="B433" s="11" t="s">
        <v>17604</v>
      </c>
      <c r="C433" s="13" t="s">
        <v>19261</v>
      </c>
      <c r="D433" s="13" t="s">
        <v>19262</v>
      </c>
      <c r="E433" s="13" t="s">
        <v>19263</v>
      </c>
      <c r="F433" s="13" t="s">
        <v>19264</v>
      </c>
    </row>
    <row r="434" customFormat="false" ht="15" hidden="false" customHeight="true" outlineLevel="0" collapsed="false">
      <c r="A434" s="13" t="s">
        <v>284</v>
      </c>
      <c r="B434" s="11" t="s">
        <v>17609</v>
      </c>
      <c r="C434" s="13" t="s">
        <v>19265</v>
      </c>
      <c r="D434" s="13" t="s">
        <v>19266</v>
      </c>
      <c r="E434" s="13" t="s">
        <v>19267</v>
      </c>
      <c r="F434" s="13" t="s">
        <v>19268</v>
      </c>
    </row>
    <row r="435" customFormat="false" ht="15" hidden="false" customHeight="true" outlineLevel="0" collapsed="false">
      <c r="A435" s="13" t="s">
        <v>284</v>
      </c>
      <c r="B435" s="11" t="s">
        <v>17614</v>
      </c>
      <c r="C435" s="13" t="s">
        <v>19269</v>
      </c>
      <c r="D435" s="13" t="s">
        <v>19270</v>
      </c>
      <c r="E435" s="13" t="s">
        <v>19271</v>
      </c>
      <c r="F435" s="13" t="s">
        <v>19272</v>
      </c>
    </row>
    <row r="436" customFormat="false" ht="15" hidden="false" customHeight="true" outlineLevel="0" collapsed="false">
      <c r="A436" s="13" t="s">
        <v>284</v>
      </c>
      <c r="B436" s="11" t="s">
        <v>17619</v>
      </c>
      <c r="C436" s="13" t="s">
        <v>19273</v>
      </c>
      <c r="D436" s="13" t="s">
        <v>19274</v>
      </c>
      <c r="E436" s="13" t="s">
        <v>1018</v>
      </c>
      <c r="F436" s="13" t="s">
        <v>1019</v>
      </c>
    </row>
    <row r="437" customFormat="false" ht="15" hidden="false" customHeight="true" outlineLevel="0" collapsed="false">
      <c r="A437" s="13" t="s">
        <v>284</v>
      </c>
      <c r="B437" s="13" t="s">
        <v>17622</v>
      </c>
      <c r="C437" s="13" t="s">
        <v>19275</v>
      </c>
      <c r="D437" s="13" t="s">
        <v>19276</v>
      </c>
      <c r="E437" s="13" t="s">
        <v>19277</v>
      </c>
      <c r="F437" s="13" t="s">
        <v>19278</v>
      </c>
    </row>
    <row r="438" customFormat="false" ht="15" hidden="false" customHeight="true" outlineLevel="0" collapsed="false">
      <c r="A438" s="13" t="s">
        <v>284</v>
      </c>
      <c r="B438" s="11" t="s">
        <v>17627</v>
      </c>
      <c r="C438" s="13" t="s">
        <v>19279</v>
      </c>
      <c r="D438" s="13" t="s">
        <v>19280</v>
      </c>
      <c r="E438" s="13" t="s">
        <v>19281</v>
      </c>
      <c r="F438" s="13" t="s">
        <v>19282</v>
      </c>
    </row>
    <row r="439" customFormat="false" ht="15" hidden="false" customHeight="true" outlineLevel="0" collapsed="false">
      <c r="A439" s="13" t="s">
        <v>284</v>
      </c>
      <c r="B439" s="11" t="s">
        <v>17632</v>
      </c>
      <c r="C439" s="13" t="s">
        <v>19283</v>
      </c>
      <c r="D439" s="13" t="s">
        <v>19284</v>
      </c>
      <c r="E439" s="13" t="s">
        <v>19285</v>
      </c>
      <c r="F439" s="13" t="s">
        <v>19286</v>
      </c>
    </row>
    <row r="440" customFormat="false" ht="15" hidden="false" customHeight="true" outlineLevel="0" collapsed="false">
      <c r="A440" s="13" t="s">
        <v>284</v>
      </c>
      <c r="B440" s="11" t="s">
        <v>17637</v>
      </c>
      <c r="C440" s="13" t="s">
        <v>19287</v>
      </c>
      <c r="D440" s="13" t="s">
        <v>19288</v>
      </c>
      <c r="E440" s="13" t="s">
        <v>19289</v>
      </c>
      <c r="F440" s="13" t="s">
        <v>19290</v>
      </c>
    </row>
    <row r="441" customFormat="false" ht="15" hidden="false" customHeight="true" outlineLevel="0" collapsed="false">
      <c r="A441" s="13" t="s">
        <v>284</v>
      </c>
      <c r="B441" s="11" t="s">
        <v>17642</v>
      </c>
      <c r="C441" s="13" t="s">
        <v>19291</v>
      </c>
      <c r="D441" s="13" t="s">
        <v>19292</v>
      </c>
      <c r="E441" s="13" t="s">
        <v>19293</v>
      </c>
      <c r="F441" s="13" t="s">
        <v>19294</v>
      </c>
    </row>
    <row r="442" customFormat="false" ht="15" hidden="false" customHeight="true" outlineLevel="0" collapsed="false">
      <c r="A442" s="13" t="s">
        <v>284</v>
      </c>
      <c r="B442" s="11" t="s">
        <v>17647</v>
      </c>
      <c r="C442" s="13" t="s">
        <v>19295</v>
      </c>
      <c r="D442" s="13" t="s">
        <v>19296</v>
      </c>
      <c r="E442" s="13" t="s">
        <v>19297</v>
      </c>
      <c r="F442" s="13" t="s">
        <v>19298</v>
      </c>
    </row>
    <row r="443" customFormat="false" ht="15" hidden="false" customHeight="true" outlineLevel="0" collapsed="false">
      <c r="A443" s="13" t="s">
        <v>284</v>
      </c>
      <c r="B443" s="11" t="s">
        <v>17652</v>
      </c>
      <c r="C443" s="13" t="s">
        <v>19299</v>
      </c>
      <c r="D443" s="13" t="s">
        <v>19300</v>
      </c>
      <c r="E443" s="13" t="s">
        <v>19301</v>
      </c>
      <c r="F443" s="13" t="s">
        <v>19302</v>
      </c>
    </row>
    <row r="444" customFormat="false" ht="15" hidden="false" customHeight="true" outlineLevel="0" collapsed="false">
      <c r="A444" s="13" t="s">
        <v>284</v>
      </c>
      <c r="B444" s="13" t="s">
        <v>17657</v>
      </c>
      <c r="C444" s="13" t="s">
        <v>19303</v>
      </c>
      <c r="D444" s="13" t="s">
        <v>19304</v>
      </c>
      <c r="E444" s="13" t="s">
        <v>19305</v>
      </c>
      <c r="F444" s="13" t="s">
        <v>19306</v>
      </c>
    </row>
    <row r="445" customFormat="false" ht="15" hidden="false" customHeight="true" outlineLevel="0" collapsed="false">
      <c r="A445" s="13" t="s">
        <v>284</v>
      </c>
      <c r="B445" s="11" t="s">
        <v>17662</v>
      </c>
      <c r="C445" s="13" t="s">
        <v>19307</v>
      </c>
      <c r="D445" s="13" t="s">
        <v>19308</v>
      </c>
      <c r="E445" s="13" t="s">
        <v>19309</v>
      </c>
      <c r="F445" s="13" t="s">
        <v>19310</v>
      </c>
    </row>
    <row r="446" customFormat="false" ht="15" hidden="false" customHeight="true" outlineLevel="0" collapsed="false">
      <c r="A446" s="13" t="s">
        <v>284</v>
      </c>
      <c r="B446" s="11" t="s">
        <v>17667</v>
      </c>
      <c r="C446" s="13" t="s">
        <v>19311</v>
      </c>
      <c r="D446" s="13" t="s">
        <v>19312</v>
      </c>
      <c r="E446" s="13" t="s">
        <v>19313</v>
      </c>
      <c r="F446" s="13" t="s">
        <v>19314</v>
      </c>
    </row>
    <row r="447" customFormat="false" ht="15" hidden="false" customHeight="true" outlineLevel="0" collapsed="false">
      <c r="A447" s="13" t="s">
        <v>284</v>
      </c>
      <c r="B447" s="11" t="s">
        <v>17672</v>
      </c>
      <c r="C447" s="13" t="s">
        <v>19315</v>
      </c>
      <c r="D447" s="13" t="s">
        <v>19316</v>
      </c>
      <c r="E447" s="13" t="s">
        <v>19317</v>
      </c>
      <c r="F447" s="13" t="s">
        <v>19318</v>
      </c>
    </row>
    <row r="448" customFormat="false" ht="15" hidden="false" customHeight="true" outlineLevel="0" collapsed="false">
      <c r="A448" s="13" t="s">
        <v>284</v>
      </c>
      <c r="B448" s="11" t="s">
        <v>17677</v>
      </c>
      <c r="C448" s="13" t="s">
        <v>19319</v>
      </c>
      <c r="D448" s="13" t="s">
        <v>19320</v>
      </c>
      <c r="E448" s="13" t="s">
        <v>19321</v>
      </c>
      <c r="F448" s="13" t="s">
        <v>19322</v>
      </c>
    </row>
    <row r="449" customFormat="false" ht="15" hidden="false" customHeight="true" outlineLevel="0" collapsed="false">
      <c r="A449" s="13" t="s">
        <v>293</v>
      </c>
      <c r="B449" s="13" t="s">
        <v>17599</v>
      </c>
      <c r="C449" s="13" t="s">
        <v>19323</v>
      </c>
      <c r="D449" s="13" t="s">
        <v>19324</v>
      </c>
      <c r="E449" s="13" t="s">
        <v>19325</v>
      </c>
      <c r="F449" s="13" t="s">
        <v>19326</v>
      </c>
    </row>
    <row r="450" customFormat="false" ht="15" hidden="false" customHeight="true" outlineLevel="0" collapsed="false">
      <c r="A450" s="13" t="s">
        <v>293</v>
      </c>
      <c r="B450" s="11" t="s">
        <v>17604</v>
      </c>
      <c r="C450" s="13" t="s">
        <v>19327</v>
      </c>
      <c r="D450" s="13" t="s">
        <v>19328</v>
      </c>
      <c r="E450" s="13" t="s">
        <v>19329</v>
      </c>
      <c r="F450" s="13" t="s">
        <v>19330</v>
      </c>
    </row>
    <row r="451" customFormat="false" ht="15" hidden="false" customHeight="true" outlineLevel="0" collapsed="false">
      <c r="A451" s="13" t="s">
        <v>293</v>
      </c>
      <c r="B451" s="11" t="s">
        <v>17609</v>
      </c>
      <c r="C451" s="13" t="s">
        <v>19331</v>
      </c>
      <c r="D451" s="13" t="s">
        <v>19332</v>
      </c>
      <c r="E451" s="13" t="s">
        <v>19333</v>
      </c>
      <c r="F451" s="13" t="s">
        <v>19334</v>
      </c>
    </row>
    <row r="452" customFormat="false" ht="15" hidden="false" customHeight="true" outlineLevel="0" collapsed="false">
      <c r="A452" s="13" t="s">
        <v>293</v>
      </c>
      <c r="B452" s="11" t="s">
        <v>17614</v>
      </c>
      <c r="C452" s="13" t="s">
        <v>19335</v>
      </c>
      <c r="D452" s="13" t="s">
        <v>19336</v>
      </c>
      <c r="E452" s="13" t="s">
        <v>19337</v>
      </c>
      <c r="F452" s="13" t="s">
        <v>19338</v>
      </c>
    </row>
    <row r="453" customFormat="false" ht="15" hidden="false" customHeight="true" outlineLevel="0" collapsed="false">
      <c r="A453" s="13" t="s">
        <v>293</v>
      </c>
      <c r="B453" s="11" t="s">
        <v>17619</v>
      </c>
      <c r="C453" s="13" t="s">
        <v>19339</v>
      </c>
      <c r="D453" s="13" t="s">
        <v>19340</v>
      </c>
      <c r="E453" s="13" t="s">
        <v>13181</v>
      </c>
      <c r="F453" s="13" t="s">
        <v>1019</v>
      </c>
    </row>
    <row r="454" customFormat="false" ht="15" hidden="false" customHeight="true" outlineLevel="0" collapsed="false">
      <c r="A454" s="13" t="s">
        <v>293</v>
      </c>
      <c r="B454" s="13" t="s">
        <v>17622</v>
      </c>
      <c r="C454" s="13" t="s">
        <v>19341</v>
      </c>
      <c r="D454" s="13" t="s">
        <v>19342</v>
      </c>
      <c r="E454" s="13" t="s">
        <v>19343</v>
      </c>
      <c r="F454" s="13" t="s">
        <v>19344</v>
      </c>
    </row>
    <row r="455" customFormat="false" ht="15" hidden="false" customHeight="true" outlineLevel="0" collapsed="false">
      <c r="A455" s="13" t="s">
        <v>293</v>
      </c>
      <c r="B455" s="11" t="s">
        <v>17627</v>
      </c>
      <c r="C455" s="13" t="s">
        <v>19345</v>
      </c>
      <c r="D455" s="13" t="s">
        <v>19346</v>
      </c>
      <c r="E455" s="13" t="s">
        <v>19347</v>
      </c>
      <c r="F455" s="13" t="s">
        <v>19348</v>
      </c>
    </row>
    <row r="456" customFormat="false" ht="15" hidden="false" customHeight="true" outlineLevel="0" collapsed="false">
      <c r="A456" s="13" t="s">
        <v>293</v>
      </c>
      <c r="B456" s="11" t="s">
        <v>17632</v>
      </c>
      <c r="C456" s="13" t="s">
        <v>19349</v>
      </c>
      <c r="D456" s="13" t="s">
        <v>19350</v>
      </c>
      <c r="E456" s="13" t="s">
        <v>19351</v>
      </c>
      <c r="F456" s="13" t="s">
        <v>19352</v>
      </c>
    </row>
    <row r="457" customFormat="false" ht="15" hidden="false" customHeight="true" outlineLevel="0" collapsed="false">
      <c r="A457" s="13" t="s">
        <v>293</v>
      </c>
      <c r="B457" s="11" t="s">
        <v>17637</v>
      </c>
      <c r="C457" s="13" t="s">
        <v>19353</v>
      </c>
      <c r="D457" s="13" t="s">
        <v>19354</v>
      </c>
      <c r="E457" s="13" t="s">
        <v>19355</v>
      </c>
      <c r="F457" s="13" t="s">
        <v>19356</v>
      </c>
    </row>
    <row r="458" customFormat="false" ht="15" hidden="false" customHeight="true" outlineLevel="0" collapsed="false">
      <c r="A458" s="13" t="s">
        <v>293</v>
      </c>
      <c r="B458" s="11" t="s">
        <v>17642</v>
      </c>
      <c r="C458" s="13" t="s">
        <v>19357</v>
      </c>
      <c r="D458" s="13" t="s">
        <v>19358</v>
      </c>
      <c r="E458" s="13" t="s">
        <v>19359</v>
      </c>
      <c r="F458" s="13" t="s">
        <v>19360</v>
      </c>
    </row>
    <row r="459" customFormat="false" ht="15" hidden="false" customHeight="true" outlineLevel="0" collapsed="false">
      <c r="A459" s="13" t="s">
        <v>293</v>
      </c>
      <c r="B459" s="11" t="s">
        <v>17647</v>
      </c>
      <c r="C459" s="13" t="s">
        <v>19361</v>
      </c>
      <c r="D459" s="13" t="s">
        <v>19362</v>
      </c>
      <c r="E459" s="13" t="s">
        <v>19363</v>
      </c>
      <c r="F459" s="13" t="s">
        <v>19364</v>
      </c>
    </row>
    <row r="460" customFormat="false" ht="15" hidden="false" customHeight="true" outlineLevel="0" collapsed="false">
      <c r="A460" s="13" t="s">
        <v>293</v>
      </c>
      <c r="B460" s="11" t="s">
        <v>17652</v>
      </c>
      <c r="C460" s="13" t="s">
        <v>19365</v>
      </c>
      <c r="D460" s="13" t="s">
        <v>19366</v>
      </c>
      <c r="E460" s="13" t="s">
        <v>19367</v>
      </c>
      <c r="F460" s="13" t="s">
        <v>19368</v>
      </c>
    </row>
    <row r="461" customFormat="false" ht="15" hidden="false" customHeight="true" outlineLevel="0" collapsed="false">
      <c r="A461" s="13" t="s">
        <v>293</v>
      </c>
      <c r="B461" s="13" t="s">
        <v>17657</v>
      </c>
      <c r="C461" s="13" t="s">
        <v>19369</v>
      </c>
      <c r="D461" s="13" t="s">
        <v>19370</v>
      </c>
      <c r="E461" s="13" t="s">
        <v>19371</v>
      </c>
      <c r="F461" s="13" t="s">
        <v>19372</v>
      </c>
    </row>
    <row r="462" customFormat="false" ht="15" hidden="false" customHeight="true" outlineLevel="0" collapsed="false">
      <c r="A462" s="13" t="s">
        <v>293</v>
      </c>
      <c r="B462" s="11" t="s">
        <v>17662</v>
      </c>
      <c r="C462" s="13" t="s">
        <v>19373</v>
      </c>
      <c r="D462" s="13" t="s">
        <v>19374</v>
      </c>
      <c r="E462" s="13" t="s">
        <v>19375</v>
      </c>
      <c r="F462" s="13" t="s">
        <v>19376</v>
      </c>
    </row>
    <row r="463" customFormat="false" ht="15" hidden="false" customHeight="true" outlineLevel="0" collapsed="false">
      <c r="A463" s="13" t="s">
        <v>293</v>
      </c>
      <c r="B463" s="11" t="s">
        <v>17667</v>
      </c>
      <c r="C463" s="13" t="s">
        <v>19377</v>
      </c>
      <c r="D463" s="13" t="s">
        <v>19378</v>
      </c>
      <c r="E463" s="13" t="s">
        <v>19379</v>
      </c>
      <c r="F463" s="13" t="s">
        <v>19380</v>
      </c>
    </row>
    <row r="464" customFormat="false" ht="15" hidden="false" customHeight="true" outlineLevel="0" collapsed="false">
      <c r="A464" s="13" t="s">
        <v>293</v>
      </c>
      <c r="B464" s="11" t="s">
        <v>17672</v>
      </c>
      <c r="C464" s="13" t="s">
        <v>19381</v>
      </c>
      <c r="D464" s="13" t="s">
        <v>19382</v>
      </c>
      <c r="E464" s="13" t="s">
        <v>19383</v>
      </c>
      <c r="F464" s="13" t="s">
        <v>19384</v>
      </c>
    </row>
    <row r="465" customFormat="false" ht="15" hidden="false" customHeight="true" outlineLevel="0" collapsed="false">
      <c r="A465" s="13" t="s">
        <v>293</v>
      </c>
      <c r="B465" s="11" t="s">
        <v>17677</v>
      </c>
      <c r="C465" s="13" t="s">
        <v>19385</v>
      </c>
      <c r="D465" s="13" t="s">
        <v>19386</v>
      </c>
      <c r="E465" s="13" t="s">
        <v>19387</v>
      </c>
      <c r="F465" s="13" t="s">
        <v>19388</v>
      </c>
    </row>
    <row r="466" customFormat="false" ht="15" hidden="false" customHeight="true" outlineLevel="0" collapsed="false">
      <c r="A466" s="13" t="s">
        <v>301</v>
      </c>
      <c r="B466" s="13" t="s">
        <v>17599</v>
      </c>
      <c r="C466" s="13" t="s">
        <v>19389</v>
      </c>
      <c r="D466" s="13" t="s">
        <v>19390</v>
      </c>
      <c r="E466" s="13" t="s">
        <v>19391</v>
      </c>
      <c r="F466" s="13" t="s">
        <v>19392</v>
      </c>
    </row>
    <row r="467" customFormat="false" ht="15" hidden="false" customHeight="true" outlineLevel="0" collapsed="false">
      <c r="A467" s="13" t="s">
        <v>301</v>
      </c>
      <c r="B467" s="11" t="s">
        <v>17604</v>
      </c>
      <c r="C467" s="13" t="s">
        <v>19393</v>
      </c>
      <c r="D467" s="13" t="s">
        <v>19394</v>
      </c>
      <c r="E467" s="13" t="s">
        <v>19395</v>
      </c>
      <c r="F467" s="13" t="s">
        <v>19396</v>
      </c>
    </row>
    <row r="468" customFormat="false" ht="15" hidden="false" customHeight="true" outlineLevel="0" collapsed="false">
      <c r="A468" s="13" t="s">
        <v>301</v>
      </c>
      <c r="B468" s="11" t="s">
        <v>17609</v>
      </c>
      <c r="C468" s="13" t="s">
        <v>19397</v>
      </c>
      <c r="D468" s="13" t="s">
        <v>19398</v>
      </c>
      <c r="E468" s="13" t="s">
        <v>19399</v>
      </c>
      <c r="F468" s="13" t="s">
        <v>19400</v>
      </c>
    </row>
    <row r="469" customFormat="false" ht="15" hidden="false" customHeight="true" outlineLevel="0" collapsed="false">
      <c r="A469" s="13" t="s">
        <v>301</v>
      </c>
      <c r="B469" s="11" t="s">
        <v>17614</v>
      </c>
      <c r="C469" s="13" t="s">
        <v>19401</v>
      </c>
      <c r="D469" s="13" t="s">
        <v>19402</v>
      </c>
      <c r="E469" s="13" t="s">
        <v>19403</v>
      </c>
      <c r="F469" s="13" t="s">
        <v>19404</v>
      </c>
    </row>
    <row r="470" customFormat="false" ht="15" hidden="false" customHeight="true" outlineLevel="0" collapsed="false">
      <c r="A470" s="13" t="s">
        <v>301</v>
      </c>
      <c r="B470" s="11" t="s">
        <v>17619</v>
      </c>
      <c r="C470" s="13" t="s">
        <v>19405</v>
      </c>
      <c r="D470" s="13" t="s">
        <v>19406</v>
      </c>
      <c r="E470" s="13" t="s">
        <v>1018</v>
      </c>
      <c r="F470" s="13" t="s">
        <v>1019</v>
      </c>
    </row>
    <row r="471" customFormat="false" ht="15" hidden="false" customHeight="true" outlineLevel="0" collapsed="false">
      <c r="A471" s="13" t="s">
        <v>301</v>
      </c>
      <c r="B471" s="13" t="s">
        <v>17622</v>
      </c>
      <c r="C471" s="13" t="s">
        <v>19407</v>
      </c>
      <c r="D471" s="13" t="s">
        <v>19408</v>
      </c>
      <c r="E471" s="13" t="s">
        <v>19409</v>
      </c>
      <c r="F471" s="13" t="s">
        <v>19410</v>
      </c>
    </row>
    <row r="472" customFormat="false" ht="15" hidden="false" customHeight="true" outlineLevel="0" collapsed="false">
      <c r="A472" s="13" t="s">
        <v>301</v>
      </c>
      <c r="B472" s="11" t="s">
        <v>17627</v>
      </c>
      <c r="C472" s="13" t="s">
        <v>19411</v>
      </c>
      <c r="D472" s="13" t="s">
        <v>19412</v>
      </c>
      <c r="E472" s="13" t="s">
        <v>19413</v>
      </c>
      <c r="F472" s="13" t="s">
        <v>19414</v>
      </c>
    </row>
    <row r="473" customFormat="false" ht="15" hidden="false" customHeight="true" outlineLevel="0" collapsed="false">
      <c r="A473" s="13" t="s">
        <v>301</v>
      </c>
      <c r="B473" s="11" t="s">
        <v>17632</v>
      </c>
      <c r="C473" s="13" t="s">
        <v>19415</v>
      </c>
      <c r="D473" s="13" t="s">
        <v>19416</v>
      </c>
      <c r="E473" s="13" t="s">
        <v>19417</v>
      </c>
      <c r="F473" s="13" t="s">
        <v>19418</v>
      </c>
    </row>
    <row r="474" customFormat="false" ht="15" hidden="false" customHeight="true" outlineLevel="0" collapsed="false">
      <c r="A474" s="13" t="s">
        <v>301</v>
      </c>
      <c r="B474" s="11" t="s">
        <v>17637</v>
      </c>
      <c r="C474" s="13" t="s">
        <v>19419</v>
      </c>
      <c r="D474" s="13" t="s">
        <v>19420</v>
      </c>
      <c r="E474" s="13" t="s">
        <v>19421</v>
      </c>
      <c r="F474" s="13" t="s">
        <v>19422</v>
      </c>
    </row>
    <row r="475" customFormat="false" ht="15" hidden="false" customHeight="true" outlineLevel="0" collapsed="false">
      <c r="A475" s="13" t="s">
        <v>301</v>
      </c>
      <c r="B475" s="11" t="s">
        <v>17642</v>
      </c>
      <c r="C475" s="13" t="s">
        <v>19423</v>
      </c>
      <c r="D475" s="13" t="s">
        <v>19424</v>
      </c>
      <c r="E475" s="13" t="s">
        <v>19425</v>
      </c>
      <c r="F475" s="13" t="s">
        <v>19426</v>
      </c>
    </row>
    <row r="476" customFormat="false" ht="15" hidden="false" customHeight="true" outlineLevel="0" collapsed="false">
      <c r="A476" s="13" t="s">
        <v>301</v>
      </c>
      <c r="B476" s="11" t="s">
        <v>17647</v>
      </c>
      <c r="C476" s="13" t="s">
        <v>19427</v>
      </c>
      <c r="D476" s="13" t="s">
        <v>19428</v>
      </c>
      <c r="E476" s="13" t="s">
        <v>19429</v>
      </c>
      <c r="F476" s="13" t="s">
        <v>19430</v>
      </c>
    </row>
    <row r="477" customFormat="false" ht="15" hidden="false" customHeight="true" outlineLevel="0" collapsed="false">
      <c r="A477" s="13" t="s">
        <v>301</v>
      </c>
      <c r="B477" s="11" t="s">
        <v>17652</v>
      </c>
      <c r="C477" s="13" t="s">
        <v>5292</v>
      </c>
      <c r="D477" s="13" t="s">
        <v>19431</v>
      </c>
      <c r="E477" s="13" t="s">
        <v>19432</v>
      </c>
      <c r="F477" s="13" t="s">
        <v>19433</v>
      </c>
    </row>
    <row r="478" customFormat="false" ht="15" hidden="false" customHeight="true" outlineLevel="0" collapsed="false">
      <c r="A478" s="13" t="s">
        <v>301</v>
      </c>
      <c r="B478" s="13" t="s">
        <v>17657</v>
      </c>
      <c r="C478" s="13" t="s">
        <v>19434</v>
      </c>
      <c r="D478" s="13" t="s">
        <v>19435</v>
      </c>
      <c r="E478" s="13" t="s">
        <v>19436</v>
      </c>
      <c r="F478" s="13" t="s">
        <v>19437</v>
      </c>
    </row>
    <row r="479" customFormat="false" ht="15" hidden="false" customHeight="true" outlineLevel="0" collapsed="false">
      <c r="A479" s="13" t="s">
        <v>301</v>
      </c>
      <c r="B479" s="11" t="s">
        <v>17662</v>
      </c>
      <c r="C479" s="13" t="s">
        <v>19438</v>
      </c>
      <c r="D479" s="13" t="s">
        <v>19439</v>
      </c>
      <c r="E479" s="13" t="s">
        <v>19440</v>
      </c>
      <c r="F479" s="13" t="s">
        <v>19441</v>
      </c>
    </row>
    <row r="480" customFormat="false" ht="15" hidden="false" customHeight="true" outlineLevel="0" collapsed="false">
      <c r="A480" s="13" t="s">
        <v>301</v>
      </c>
      <c r="B480" s="11" t="s">
        <v>17667</v>
      </c>
      <c r="C480" s="13" t="s">
        <v>19442</v>
      </c>
      <c r="D480" s="13" t="s">
        <v>19443</v>
      </c>
      <c r="E480" s="13" t="s">
        <v>19444</v>
      </c>
      <c r="F480" s="13" t="s">
        <v>19445</v>
      </c>
    </row>
    <row r="481" customFormat="false" ht="15" hidden="false" customHeight="true" outlineLevel="0" collapsed="false">
      <c r="A481" s="13" t="s">
        <v>301</v>
      </c>
      <c r="B481" s="11" t="s">
        <v>17672</v>
      </c>
      <c r="C481" s="13" t="s">
        <v>19446</v>
      </c>
      <c r="D481" s="13" t="s">
        <v>19447</v>
      </c>
      <c r="E481" s="13" t="s">
        <v>19448</v>
      </c>
      <c r="F481" s="13" t="s">
        <v>19449</v>
      </c>
    </row>
    <row r="482" customFormat="false" ht="15" hidden="false" customHeight="true" outlineLevel="0" collapsed="false">
      <c r="A482" s="13" t="s">
        <v>301</v>
      </c>
      <c r="B482" s="11" t="s">
        <v>17677</v>
      </c>
      <c r="C482" s="13" t="s">
        <v>19450</v>
      </c>
      <c r="D482" s="13" t="s">
        <v>19451</v>
      </c>
      <c r="E482" s="13" t="s">
        <v>19452</v>
      </c>
      <c r="F482" s="13" t="s">
        <v>19453</v>
      </c>
    </row>
    <row r="483" customFormat="false" ht="15" hidden="false" customHeight="true" outlineLevel="0" collapsed="false">
      <c r="A483" s="13" t="s">
        <v>309</v>
      </c>
      <c r="B483" s="13" t="s">
        <v>17599</v>
      </c>
      <c r="C483" s="13" t="s">
        <v>19454</v>
      </c>
      <c r="D483" s="13" t="s">
        <v>19455</v>
      </c>
      <c r="E483" s="13" t="s">
        <v>19456</v>
      </c>
      <c r="F483" s="13" t="s">
        <v>19457</v>
      </c>
    </row>
    <row r="484" customFormat="false" ht="15" hidden="false" customHeight="true" outlineLevel="0" collapsed="false">
      <c r="A484" s="13" t="s">
        <v>309</v>
      </c>
      <c r="B484" s="11" t="s">
        <v>17604</v>
      </c>
      <c r="C484" s="13" t="s">
        <v>19458</v>
      </c>
      <c r="D484" s="13" t="s">
        <v>19459</v>
      </c>
      <c r="E484" s="13" t="s">
        <v>19460</v>
      </c>
      <c r="F484" s="13" t="s">
        <v>19461</v>
      </c>
    </row>
    <row r="485" customFormat="false" ht="15" hidden="false" customHeight="true" outlineLevel="0" collapsed="false">
      <c r="A485" s="13" t="s">
        <v>309</v>
      </c>
      <c r="B485" s="11" t="s">
        <v>17609</v>
      </c>
      <c r="C485" s="13" t="s">
        <v>19462</v>
      </c>
      <c r="D485" s="13" t="s">
        <v>19463</v>
      </c>
      <c r="E485" s="13" t="s">
        <v>19464</v>
      </c>
      <c r="F485" s="13" t="s">
        <v>19465</v>
      </c>
    </row>
    <row r="486" customFormat="false" ht="15" hidden="false" customHeight="true" outlineLevel="0" collapsed="false">
      <c r="A486" s="13" t="s">
        <v>309</v>
      </c>
      <c r="B486" s="11" t="s">
        <v>17614</v>
      </c>
      <c r="C486" s="13" t="s">
        <v>19466</v>
      </c>
      <c r="D486" s="13" t="s">
        <v>19467</v>
      </c>
      <c r="E486" s="13" t="s">
        <v>19468</v>
      </c>
      <c r="F486" s="13" t="s">
        <v>19469</v>
      </c>
    </row>
    <row r="487" customFormat="false" ht="15" hidden="false" customHeight="true" outlineLevel="0" collapsed="false">
      <c r="A487" s="13" t="s">
        <v>309</v>
      </c>
      <c r="B487" s="11" t="s">
        <v>17619</v>
      </c>
      <c r="C487" s="13" t="s">
        <v>19470</v>
      </c>
      <c r="D487" s="13" t="s">
        <v>19471</v>
      </c>
      <c r="E487" s="13" t="s">
        <v>1018</v>
      </c>
      <c r="F487" s="13" t="s">
        <v>1019</v>
      </c>
    </row>
    <row r="488" customFormat="false" ht="15" hidden="false" customHeight="true" outlineLevel="0" collapsed="false">
      <c r="A488" s="13" t="s">
        <v>309</v>
      </c>
      <c r="B488" s="13" t="s">
        <v>17622</v>
      </c>
      <c r="C488" s="13" t="s">
        <v>19472</v>
      </c>
      <c r="D488" s="13" t="s">
        <v>19473</v>
      </c>
      <c r="E488" s="13" t="s">
        <v>19474</v>
      </c>
      <c r="F488" s="13" t="s">
        <v>19475</v>
      </c>
    </row>
    <row r="489" customFormat="false" ht="15" hidden="false" customHeight="true" outlineLevel="0" collapsed="false">
      <c r="A489" s="13" t="s">
        <v>309</v>
      </c>
      <c r="B489" s="11" t="s">
        <v>17627</v>
      </c>
      <c r="C489" s="13" t="s">
        <v>19476</v>
      </c>
      <c r="D489" s="13" t="s">
        <v>19477</v>
      </c>
      <c r="E489" s="13" t="s">
        <v>19478</v>
      </c>
      <c r="F489" s="13" t="s">
        <v>19479</v>
      </c>
    </row>
    <row r="490" customFormat="false" ht="15" hidden="false" customHeight="true" outlineLevel="0" collapsed="false">
      <c r="A490" s="13" t="s">
        <v>309</v>
      </c>
      <c r="B490" s="11" t="s">
        <v>17632</v>
      </c>
      <c r="C490" s="13" t="s">
        <v>19480</v>
      </c>
      <c r="D490" s="13" t="s">
        <v>19481</v>
      </c>
      <c r="E490" s="13" t="s">
        <v>19482</v>
      </c>
      <c r="F490" s="13" t="s">
        <v>19483</v>
      </c>
    </row>
    <row r="491" customFormat="false" ht="15" hidden="false" customHeight="true" outlineLevel="0" collapsed="false">
      <c r="A491" s="13" t="s">
        <v>309</v>
      </c>
      <c r="B491" s="11" t="s">
        <v>17637</v>
      </c>
      <c r="C491" s="13" t="s">
        <v>19484</v>
      </c>
      <c r="D491" s="13" t="s">
        <v>19485</v>
      </c>
      <c r="E491" s="13" t="s">
        <v>19486</v>
      </c>
      <c r="F491" s="13" t="s">
        <v>19487</v>
      </c>
    </row>
    <row r="492" customFormat="false" ht="15" hidden="false" customHeight="true" outlineLevel="0" collapsed="false">
      <c r="A492" s="13" t="s">
        <v>309</v>
      </c>
      <c r="B492" s="11" t="s">
        <v>17642</v>
      </c>
      <c r="C492" s="13" t="s">
        <v>19488</v>
      </c>
      <c r="D492" s="13" t="s">
        <v>19489</v>
      </c>
      <c r="E492" s="13" t="s">
        <v>19490</v>
      </c>
      <c r="F492" s="13" t="s">
        <v>19491</v>
      </c>
    </row>
    <row r="493" customFormat="false" ht="15" hidden="false" customHeight="true" outlineLevel="0" collapsed="false">
      <c r="A493" s="13" t="s">
        <v>309</v>
      </c>
      <c r="B493" s="11" t="s">
        <v>17647</v>
      </c>
      <c r="C493" s="13" t="s">
        <v>19492</v>
      </c>
      <c r="D493" s="13" t="s">
        <v>19493</v>
      </c>
      <c r="E493" s="13" t="s">
        <v>19494</v>
      </c>
      <c r="F493" s="13" t="s">
        <v>19495</v>
      </c>
    </row>
    <row r="494" customFormat="false" ht="15" hidden="false" customHeight="true" outlineLevel="0" collapsed="false">
      <c r="A494" s="13" t="s">
        <v>309</v>
      </c>
      <c r="B494" s="11" t="s">
        <v>17652</v>
      </c>
      <c r="C494" s="13" t="s">
        <v>19496</v>
      </c>
      <c r="D494" s="13" t="s">
        <v>19497</v>
      </c>
      <c r="E494" s="13" t="s">
        <v>19498</v>
      </c>
      <c r="F494" s="13" t="s">
        <v>19499</v>
      </c>
    </row>
    <row r="495" customFormat="false" ht="15" hidden="false" customHeight="true" outlineLevel="0" collapsed="false">
      <c r="A495" s="13" t="s">
        <v>309</v>
      </c>
      <c r="B495" s="13" t="s">
        <v>17657</v>
      </c>
      <c r="C495" s="13" t="s">
        <v>19500</v>
      </c>
      <c r="D495" s="13" t="s">
        <v>19501</v>
      </c>
      <c r="E495" s="13" t="s">
        <v>19502</v>
      </c>
      <c r="F495" s="13" t="s">
        <v>19503</v>
      </c>
    </row>
    <row r="496" customFormat="false" ht="15" hidden="false" customHeight="true" outlineLevel="0" collapsed="false">
      <c r="A496" s="13" t="s">
        <v>309</v>
      </c>
      <c r="B496" s="11" t="s">
        <v>17662</v>
      </c>
      <c r="C496" s="13" t="s">
        <v>19504</v>
      </c>
      <c r="D496" s="13" t="s">
        <v>19505</v>
      </c>
      <c r="E496" s="13" t="s">
        <v>19506</v>
      </c>
      <c r="F496" s="13" t="s">
        <v>19507</v>
      </c>
    </row>
    <row r="497" customFormat="false" ht="15" hidden="false" customHeight="true" outlineLevel="0" collapsed="false">
      <c r="A497" s="13" t="s">
        <v>309</v>
      </c>
      <c r="B497" s="11" t="s">
        <v>17667</v>
      </c>
      <c r="C497" s="13" t="s">
        <v>19508</v>
      </c>
      <c r="D497" s="13" t="s">
        <v>19509</v>
      </c>
      <c r="E497" s="13" t="s">
        <v>19510</v>
      </c>
      <c r="F497" s="13" t="s">
        <v>19511</v>
      </c>
    </row>
    <row r="498" customFormat="false" ht="15" hidden="false" customHeight="true" outlineLevel="0" collapsed="false">
      <c r="A498" s="13" t="s">
        <v>309</v>
      </c>
      <c r="B498" s="11" t="s">
        <v>17672</v>
      </c>
      <c r="C498" s="13" t="s">
        <v>19512</v>
      </c>
      <c r="D498" s="13" t="s">
        <v>19513</v>
      </c>
      <c r="E498" s="13" t="s">
        <v>19514</v>
      </c>
      <c r="F498" s="13" t="s">
        <v>19515</v>
      </c>
    </row>
    <row r="499" customFormat="false" ht="15" hidden="false" customHeight="true" outlineLevel="0" collapsed="false">
      <c r="A499" s="13" t="s">
        <v>309</v>
      </c>
      <c r="B499" s="11" t="s">
        <v>17677</v>
      </c>
      <c r="C499" s="13" t="s">
        <v>19516</v>
      </c>
      <c r="D499" s="13" t="s">
        <v>19517</v>
      </c>
      <c r="E499" s="13" t="s">
        <v>19518</v>
      </c>
      <c r="F499" s="13" t="s">
        <v>19519</v>
      </c>
    </row>
    <row r="500" customFormat="false" ht="15" hidden="false" customHeight="true" outlineLevel="0" collapsed="false">
      <c r="A500" s="13" t="s">
        <v>317</v>
      </c>
      <c r="B500" s="13" t="s">
        <v>17599</v>
      </c>
      <c r="C500" s="13" t="s">
        <v>19520</v>
      </c>
      <c r="D500" s="13" t="s">
        <v>19521</v>
      </c>
      <c r="E500" s="13" t="s">
        <v>19522</v>
      </c>
      <c r="F500" s="13" t="s">
        <v>19523</v>
      </c>
    </row>
    <row r="501" customFormat="false" ht="15" hidden="false" customHeight="true" outlineLevel="0" collapsed="false">
      <c r="A501" s="13" t="s">
        <v>317</v>
      </c>
      <c r="B501" s="11" t="s">
        <v>17604</v>
      </c>
      <c r="C501" s="13" t="s">
        <v>19524</v>
      </c>
      <c r="D501" s="13" t="s">
        <v>19525</v>
      </c>
      <c r="E501" s="13" t="s">
        <v>19526</v>
      </c>
      <c r="F501" s="13" t="s">
        <v>19527</v>
      </c>
    </row>
    <row r="502" customFormat="false" ht="15" hidden="false" customHeight="true" outlineLevel="0" collapsed="false">
      <c r="A502" s="13" t="s">
        <v>317</v>
      </c>
      <c r="B502" s="11" t="s">
        <v>17609</v>
      </c>
      <c r="C502" s="13" t="s">
        <v>19528</v>
      </c>
      <c r="D502" s="13" t="s">
        <v>19529</v>
      </c>
      <c r="E502" s="13" t="s">
        <v>19530</v>
      </c>
      <c r="F502" s="13" t="s">
        <v>19531</v>
      </c>
    </row>
    <row r="503" customFormat="false" ht="15" hidden="false" customHeight="true" outlineLevel="0" collapsed="false">
      <c r="A503" s="13" t="s">
        <v>317</v>
      </c>
      <c r="B503" s="11" t="s">
        <v>17614</v>
      </c>
      <c r="C503" s="13" t="s">
        <v>19532</v>
      </c>
      <c r="D503" s="13" t="s">
        <v>19533</v>
      </c>
      <c r="E503" s="13" t="s">
        <v>19534</v>
      </c>
      <c r="F503" s="13" t="s">
        <v>19535</v>
      </c>
    </row>
    <row r="504" customFormat="false" ht="15" hidden="false" customHeight="true" outlineLevel="0" collapsed="false">
      <c r="A504" s="13" t="s">
        <v>317</v>
      </c>
      <c r="B504" s="11" t="s">
        <v>17619</v>
      </c>
      <c r="C504" s="13" t="s">
        <v>19536</v>
      </c>
      <c r="D504" s="13" t="s">
        <v>19537</v>
      </c>
      <c r="E504" s="13" t="s">
        <v>1018</v>
      </c>
      <c r="F504" s="13" t="s">
        <v>1019</v>
      </c>
    </row>
    <row r="505" customFormat="false" ht="15" hidden="false" customHeight="true" outlineLevel="0" collapsed="false">
      <c r="A505" s="13" t="s">
        <v>317</v>
      </c>
      <c r="B505" s="13" t="s">
        <v>17622</v>
      </c>
      <c r="C505" s="13" t="s">
        <v>19538</v>
      </c>
      <c r="D505" s="13" t="s">
        <v>19539</v>
      </c>
      <c r="E505" s="13" t="s">
        <v>19540</v>
      </c>
      <c r="F505" s="13" t="s">
        <v>19541</v>
      </c>
    </row>
    <row r="506" customFormat="false" ht="15" hidden="false" customHeight="true" outlineLevel="0" collapsed="false">
      <c r="A506" s="13" t="s">
        <v>317</v>
      </c>
      <c r="B506" s="11" t="s">
        <v>17627</v>
      </c>
      <c r="C506" s="13" t="s">
        <v>19542</v>
      </c>
      <c r="D506" s="13" t="s">
        <v>19543</v>
      </c>
      <c r="E506" s="13" t="s">
        <v>19544</v>
      </c>
      <c r="F506" s="13" t="s">
        <v>19545</v>
      </c>
    </row>
    <row r="507" customFormat="false" ht="15" hidden="false" customHeight="true" outlineLevel="0" collapsed="false">
      <c r="A507" s="13" t="s">
        <v>317</v>
      </c>
      <c r="B507" s="11" t="s">
        <v>17632</v>
      </c>
      <c r="C507" s="13" t="s">
        <v>19546</v>
      </c>
      <c r="D507" s="13" t="s">
        <v>19547</v>
      </c>
      <c r="E507" s="13" t="s">
        <v>19548</v>
      </c>
      <c r="F507" s="13" t="s">
        <v>19549</v>
      </c>
    </row>
    <row r="508" customFormat="false" ht="15" hidden="false" customHeight="true" outlineLevel="0" collapsed="false">
      <c r="A508" s="13" t="s">
        <v>317</v>
      </c>
      <c r="B508" s="11" t="s">
        <v>17637</v>
      </c>
      <c r="C508" s="13" t="s">
        <v>19550</v>
      </c>
      <c r="D508" s="13" t="s">
        <v>19551</v>
      </c>
      <c r="E508" s="13" t="s">
        <v>19552</v>
      </c>
      <c r="F508" s="13" t="s">
        <v>19553</v>
      </c>
    </row>
    <row r="509" customFormat="false" ht="15" hidden="false" customHeight="true" outlineLevel="0" collapsed="false">
      <c r="A509" s="13" t="s">
        <v>317</v>
      </c>
      <c r="B509" s="11" t="s">
        <v>17642</v>
      </c>
      <c r="C509" s="13" t="s">
        <v>19554</v>
      </c>
      <c r="D509" s="13" t="s">
        <v>19555</v>
      </c>
      <c r="E509" s="13" t="s">
        <v>19556</v>
      </c>
      <c r="F509" s="13" t="s">
        <v>19557</v>
      </c>
    </row>
    <row r="510" customFormat="false" ht="15" hidden="false" customHeight="true" outlineLevel="0" collapsed="false">
      <c r="A510" s="13" t="s">
        <v>317</v>
      </c>
      <c r="B510" s="11" t="s">
        <v>17647</v>
      </c>
      <c r="C510" s="13" t="s">
        <v>19558</v>
      </c>
      <c r="D510" s="13" t="s">
        <v>19559</v>
      </c>
      <c r="E510" s="13" t="s">
        <v>19560</v>
      </c>
      <c r="F510" s="13" t="s">
        <v>19561</v>
      </c>
    </row>
    <row r="511" customFormat="false" ht="15" hidden="false" customHeight="true" outlineLevel="0" collapsed="false">
      <c r="A511" s="13" t="s">
        <v>317</v>
      </c>
      <c r="B511" s="11" t="s">
        <v>17652</v>
      </c>
      <c r="C511" s="13" t="s">
        <v>19562</v>
      </c>
      <c r="D511" s="13" t="s">
        <v>19563</v>
      </c>
      <c r="E511" s="13" t="s">
        <v>19564</v>
      </c>
      <c r="F511" s="13" t="s">
        <v>19565</v>
      </c>
    </row>
    <row r="512" customFormat="false" ht="15" hidden="false" customHeight="true" outlineLevel="0" collapsed="false">
      <c r="A512" s="13" t="s">
        <v>317</v>
      </c>
      <c r="B512" s="13" t="s">
        <v>17657</v>
      </c>
      <c r="C512" s="13" t="s">
        <v>19566</v>
      </c>
      <c r="D512" s="13" t="s">
        <v>19567</v>
      </c>
      <c r="E512" s="13" t="s">
        <v>19568</v>
      </c>
      <c r="F512" s="13" t="s">
        <v>19569</v>
      </c>
    </row>
    <row r="513" customFormat="false" ht="15" hidden="false" customHeight="true" outlineLevel="0" collapsed="false">
      <c r="A513" s="13" t="s">
        <v>317</v>
      </c>
      <c r="B513" s="11" t="s">
        <v>17662</v>
      </c>
      <c r="C513" s="13" t="s">
        <v>19570</v>
      </c>
      <c r="D513" s="13" t="s">
        <v>19571</v>
      </c>
      <c r="E513" s="13" t="s">
        <v>19572</v>
      </c>
      <c r="F513" s="13" t="s">
        <v>19573</v>
      </c>
    </row>
    <row r="514" customFormat="false" ht="15" hidden="false" customHeight="true" outlineLevel="0" collapsed="false">
      <c r="A514" s="13" t="s">
        <v>317</v>
      </c>
      <c r="B514" s="11" t="s">
        <v>17667</v>
      </c>
      <c r="C514" s="13" t="s">
        <v>19574</v>
      </c>
      <c r="D514" s="13" t="s">
        <v>19575</v>
      </c>
      <c r="E514" s="13" t="s">
        <v>19576</v>
      </c>
      <c r="F514" s="13" t="s">
        <v>19577</v>
      </c>
    </row>
    <row r="515" customFormat="false" ht="15" hidden="false" customHeight="true" outlineLevel="0" collapsed="false">
      <c r="A515" s="13" t="s">
        <v>317</v>
      </c>
      <c r="B515" s="11" t="s">
        <v>17672</v>
      </c>
      <c r="C515" s="13" t="s">
        <v>19578</v>
      </c>
      <c r="D515" s="13" t="s">
        <v>19579</v>
      </c>
      <c r="E515" s="13" t="s">
        <v>19580</v>
      </c>
      <c r="F515" s="13" t="s">
        <v>19581</v>
      </c>
    </row>
    <row r="516" customFormat="false" ht="15" hidden="false" customHeight="true" outlineLevel="0" collapsed="false">
      <c r="A516" s="13" t="s">
        <v>317</v>
      </c>
      <c r="B516" s="11" t="s">
        <v>17677</v>
      </c>
      <c r="C516" s="13" t="s">
        <v>19582</v>
      </c>
      <c r="D516" s="13" t="s">
        <v>19583</v>
      </c>
      <c r="E516" s="13" t="s">
        <v>19584</v>
      </c>
      <c r="F516" s="13" t="s">
        <v>19585</v>
      </c>
    </row>
    <row r="517" customFormat="false" ht="15" hidden="false" customHeight="true" outlineLevel="0" collapsed="false">
      <c r="A517" s="13" t="s">
        <v>325</v>
      </c>
      <c r="B517" s="13" t="s">
        <v>17599</v>
      </c>
      <c r="C517" s="13" t="s">
        <v>19586</v>
      </c>
      <c r="D517" s="13" t="s">
        <v>19587</v>
      </c>
      <c r="E517" s="13" t="s">
        <v>19588</v>
      </c>
      <c r="F517" s="13" t="s">
        <v>19589</v>
      </c>
    </row>
    <row r="518" customFormat="false" ht="15" hidden="false" customHeight="true" outlineLevel="0" collapsed="false">
      <c r="A518" s="13" t="s">
        <v>325</v>
      </c>
      <c r="B518" s="11" t="s">
        <v>17604</v>
      </c>
      <c r="C518" s="13" t="s">
        <v>19590</v>
      </c>
      <c r="D518" s="13" t="s">
        <v>19591</v>
      </c>
      <c r="E518" s="13" t="s">
        <v>19592</v>
      </c>
      <c r="F518" s="13" t="s">
        <v>19593</v>
      </c>
    </row>
    <row r="519" customFormat="false" ht="15" hidden="false" customHeight="true" outlineLevel="0" collapsed="false">
      <c r="A519" s="13" t="s">
        <v>325</v>
      </c>
      <c r="B519" s="11" t="s">
        <v>17609</v>
      </c>
      <c r="C519" s="13" t="s">
        <v>19594</v>
      </c>
      <c r="D519" s="13" t="s">
        <v>19595</v>
      </c>
      <c r="E519" s="13" t="s">
        <v>19596</v>
      </c>
      <c r="F519" s="13" t="s">
        <v>19597</v>
      </c>
    </row>
    <row r="520" customFormat="false" ht="15" hidden="false" customHeight="true" outlineLevel="0" collapsed="false">
      <c r="A520" s="13" t="s">
        <v>325</v>
      </c>
      <c r="B520" s="11" t="s">
        <v>17614</v>
      </c>
      <c r="C520" s="13" t="s">
        <v>19598</v>
      </c>
      <c r="D520" s="13" t="s">
        <v>19599</v>
      </c>
      <c r="E520" s="13" t="s">
        <v>19600</v>
      </c>
      <c r="F520" s="13" t="s">
        <v>19601</v>
      </c>
    </row>
    <row r="521" customFormat="false" ht="15" hidden="false" customHeight="true" outlineLevel="0" collapsed="false">
      <c r="A521" s="13" t="s">
        <v>325</v>
      </c>
      <c r="B521" s="11" t="s">
        <v>17619</v>
      </c>
      <c r="C521" s="13" t="s">
        <v>19602</v>
      </c>
      <c r="D521" s="13" t="s">
        <v>19603</v>
      </c>
      <c r="E521" s="13" t="s">
        <v>1018</v>
      </c>
      <c r="F521" s="13" t="s">
        <v>1019</v>
      </c>
    </row>
    <row r="522" customFormat="false" ht="15" hidden="false" customHeight="true" outlineLevel="0" collapsed="false">
      <c r="A522" s="13" t="s">
        <v>325</v>
      </c>
      <c r="B522" s="13" t="s">
        <v>17622</v>
      </c>
      <c r="C522" s="13" t="s">
        <v>19604</v>
      </c>
      <c r="D522" s="13" t="s">
        <v>19605</v>
      </c>
      <c r="E522" s="13" t="s">
        <v>19606</v>
      </c>
      <c r="F522" s="13" t="s">
        <v>19607</v>
      </c>
    </row>
    <row r="523" customFormat="false" ht="15" hidden="false" customHeight="true" outlineLevel="0" collapsed="false">
      <c r="A523" s="13" t="s">
        <v>325</v>
      </c>
      <c r="B523" s="11" t="s">
        <v>17627</v>
      </c>
      <c r="C523" s="13" t="s">
        <v>19608</v>
      </c>
      <c r="D523" s="13" t="s">
        <v>19609</v>
      </c>
      <c r="E523" s="13" t="s">
        <v>19610</v>
      </c>
      <c r="F523" s="13" t="s">
        <v>19611</v>
      </c>
    </row>
    <row r="524" customFormat="false" ht="15" hidden="false" customHeight="true" outlineLevel="0" collapsed="false">
      <c r="A524" s="13" t="s">
        <v>325</v>
      </c>
      <c r="B524" s="11" t="s">
        <v>17632</v>
      </c>
      <c r="C524" s="13" t="s">
        <v>19612</v>
      </c>
      <c r="D524" s="13" t="s">
        <v>19613</v>
      </c>
      <c r="E524" s="13" t="s">
        <v>19614</v>
      </c>
      <c r="F524" s="13" t="s">
        <v>19615</v>
      </c>
    </row>
    <row r="525" customFormat="false" ht="15" hidden="false" customHeight="true" outlineLevel="0" collapsed="false">
      <c r="A525" s="13" t="s">
        <v>325</v>
      </c>
      <c r="B525" s="11" t="s">
        <v>17637</v>
      </c>
      <c r="C525" s="13" t="s">
        <v>19616</v>
      </c>
      <c r="D525" s="13" t="s">
        <v>19617</v>
      </c>
      <c r="E525" s="13" t="s">
        <v>19618</v>
      </c>
      <c r="F525" s="13" t="s">
        <v>19619</v>
      </c>
    </row>
    <row r="526" customFormat="false" ht="15" hidden="false" customHeight="true" outlineLevel="0" collapsed="false">
      <c r="A526" s="13" t="s">
        <v>325</v>
      </c>
      <c r="B526" s="11" t="s">
        <v>17642</v>
      </c>
      <c r="C526" s="13" t="s">
        <v>19620</v>
      </c>
      <c r="D526" s="13" t="s">
        <v>19621</v>
      </c>
      <c r="E526" s="13" t="s">
        <v>19622</v>
      </c>
      <c r="F526" s="13" t="s">
        <v>19623</v>
      </c>
    </row>
    <row r="527" customFormat="false" ht="15" hidden="false" customHeight="true" outlineLevel="0" collapsed="false">
      <c r="A527" s="13" t="s">
        <v>325</v>
      </c>
      <c r="B527" s="11" t="s">
        <v>17647</v>
      </c>
      <c r="C527" s="13" t="s">
        <v>19624</v>
      </c>
      <c r="D527" s="13" t="s">
        <v>19625</v>
      </c>
      <c r="E527" s="13" t="s">
        <v>19626</v>
      </c>
      <c r="F527" s="13" t="s">
        <v>19627</v>
      </c>
    </row>
    <row r="528" customFormat="false" ht="15" hidden="false" customHeight="true" outlineLevel="0" collapsed="false">
      <c r="A528" s="13" t="s">
        <v>325</v>
      </c>
      <c r="B528" s="11" t="s">
        <v>17652</v>
      </c>
      <c r="C528" s="13" t="s">
        <v>19628</v>
      </c>
      <c r="D528" s="13" t="s">
        <v>19629</v>
      </c>
      <c r="E528" s="13" t="s">
        <v>19630</v>
      </c>
      <c r="F528" s="13" t="s">
        <v>19631</v>
      </c>
    </row>
    <row r="529" customFormat="false" ht="15" hidden="false" customHeight="true" outlineLevel="0" collapsed="false">
      <c r="A529" s="13" t="s">
        <v>325</v>
      </c>
      <c r="B529" s="13" t="s">
        <v>17657</v>
      </c>
      <c r="C529" s="13" t="s">
        <v>19632</v>
      </c>
      <c r="D529" s="13" t="s">
        <v>19633</v>
      </c>
      <c r="E529" s="13" t="s">
        <v>19634</v>
      </c>
      <c r="F529" s="13" t="s">
        <v>19635</v>
      </c>
    </row>
    <row r="530" customFormat="false" ht="15" hidden="false" customHeight="true" outlineLevel="0" collapsed="false">
      <c r="A530" s="13" t="s">
        <v>325</v>
      </c>
      <c r="B530" s="11" t="s">
        <v>17662</v>
      </c>
      <c r="C530" s="13" t="s">
        <v>19636</v>
      </c>
      <c r="D530" s="13" t="s">
        <v>19637</v>
      </c>
      <c r="E530" s="13" t="s">
        <v>19638</v>
      </c>
      <c r="F530" s="13" t="s">
        <v>19639</v>
      </c>
    </row>
    <row r="531" customFormat="false" ht="15" hidden="false" customHeight="true" outlineLevel="0" collapsed="false">
      <c r="A531" s="13" t="s">
        <v>325</v>
      </c>
      <c r="B531" s="11" t="s">
        <v>17667</v>
      </c>
      <c r="C531" s="13" t="s">
        <v>19640</v>
      </c>
      <c r="D531" s="13" t="s">
        <v>19641</v>
      </c>
      <c r="E531" s="13" t="s">
        <v>19642</v>
      </c>
      <c r="F531" s="13" t="s">
        <v>19643</v>
      </c>
    </row>
    <row r="532" customFormat="false" ht="15" hidden="false" customHeight="true" outlineLevel="0" collapsed="false">
      <c r="A532" s="13" t="s">
        <v>325</v>
      </c>
      <c r="B532" s="11" t="s">
        <v>17672</v>
      </c>
      <c r="C532" s="13" t="s">
        <v>19644</v>
      </c>
      <c r="D532" s="13" t="s">
        <v>19645</v>
      </c>
      <c r="E532" s="13" t="s">
        <v>19646</v>
      </c>
      <c r="F532" s="13" t="s">
        <v>19647</v>
      </c>
    </row>
    <row r="533" customFormat="false" ht="15" hidden="false" customHeight="true" outlineLevel="0" collapsed="false">
      <c r="A533" s="13" t="s">
        <v>325</v>
      </c>
      <c r="B533" s="11" t="s">
        <v>17677</v>
      </c>
      <c r="C533" s="13" t="s">
        <v>19648</v>
      </c>
      <c r="D533" s="13" t="s">
        <v>19649</v>
      </c>
      <c r="E533" s="13" t="s">
        <v>19650</v>
      </c>
      <c r="F533" s="13" t="s">
        <v>19651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1" width="12"/>
  </cols>
  <sheetData>
    <row r="1" customFormat="false" ht="15" hidden="false" customHeight="true" outlineLevel="0" collapsed="false">
      <c r="A1" s="15" t="s">
        <v>19652</v>
      </c>
    </row>
    <row r="2" customFormat="false" ht="15" hidden="false" customHeight="true" outlineLevel="0" collapsed="false">
      <c r="A2" s="16" t="s">
        <v>56</v>
      </c>
      <c r="B2" s="16" t="s">
        <v>19653</v>
      </c>
      <c r="C2" s="16" t="s">
        <v>19654</v>
      </c>
      <c r="D2" s="16" t="s">
        <v>19655</v>
      </c>
      <c r="E2" s="16" t="s">
        <v>57</v>
      </c>
      <c r="F2" s="16" t="s">
        <v>58</v>
      </c>
      <c r="G2" s="16" t="s">
        <v>59</v>
      </c>
      <c r="H2" s="16" t="s">
        <v>60</v>
      </c>
      <c r="I2" s="16" t="s">
        <v>61</v>
      </c>
      <c r="J2" s="16" t="s">
        <v>338</v>
      </c>
      <c r="K2" s="16" t="s">
        <v>339</v>
      </c>
      <c r="L2" s="16" t="s">
        <v>64</v>
      </c>
    </row>
    <row r="3" customFormat="false" ht="15" hidden="false" customHeight="true" outlineLevel="0" collapsed="false">
      <c r="A3" s="11" t="str">
        <f aca="false">TRIM('수출입 총괄'!A7)</f>
        <v>2024.01</v>
      </c>
      <c r="B3" s="17" t="n">
        <f aca="false">IFERROR(VALUE(LEFT($A3,4)),"")</f>
        <v>2024</v>
      </c>
      <c r="C3" s="17" t="n">
        <f aca="false">IFERROR(VALUE(RIGHT($A3,2)),"")</f>
        <v>1</v>
      </c>
      <c r="D3" s="17" t="n">
        <f aca="false">IFERROR(ROUNDUP($C3/3,0),"")</f>
        <v>1</v>
      </c>
      <c r="E3" s="18" t="n">
        <f aca="false">IFERROR(VALUE(SUBSTITUTE(TRIM('수출입 총괄'!B7),",","")),"")</f>
        <v>24</v>
      </c>
      <c r="F3" s="19" t="n">
        <f aca="false">IFERROR(VALUE(SUBSTITUTE(TRIM('수출입 총괄'!C7),",","")),"")</f>
        <v>1035551</v>
      </c>
      <c r="G3" s="18" t="n">
        <f aca="false">IFERROR(VALUE(SUBSTITUTE(TRIM('수출입 총괄'!D7),",","")),"")</f>
        <v>17105790.7</v>
      </c>
      <c r="H3" s="19" t="n">
        <f aca="false">IFERROR(VALUE(SUBSTITUTE(TRIM('수출입 총괄'!E7),",","")),"")</f>
        <v>54709823</v>
      </c>
      <c r="I3" s="19" t="n">
        <f aca="false">IFERROR(VALUE(SUBSTITUTE(TRIM('수출입 총괄'!F7),",","")),"")</f>
        <v>4276442</v>
      </c>
      <c r="J3" s="18" t="n">
        <f aca="false">IFERROR(VALUE(SUBSTITUTE(TRIM('수출입 총괄'!G7),",","")),"")</f>
        <v>51377769.3</v>
      </c>
      <c r="K3" s="19" t="n">
        <f aca="false">IFERROR(VALUE(SUBSTITUTE(TRIM('수출입 총괄'!H7),",","")),"")</f>
        <v>54474611</v>
      </c>
      <c r="L3" s="19" t="n">
        <f aca="false">IFERROR(VALUE(SUBSTITUTE(TRIM('수출입 총괄'!I7),",","")),"")</f>
        <v>235213</v>
      </c>
    </row>
    <row r="4" customFormat="false" ht="15" hidden="false" customHeight="true" outlineLevel="0" collapsed="false">
      <c r="A4" s="11" t="str">
        <f aca="false">TRIM('수출입 총괄'!A8)</f>
        <v>2024.02</v>
      </c>
      <c r="B4" s="17" t="n">
        <f aca="false">IFERROR(VALUE(LEFT($A4,4)),"")</f>
        <v>2024</v>
      </c>
      <c r="C4" s="17" t="n">
        <f aca="false">IFERROR(VALUE(RIGHT($A4,2)),"")</f>
        <v>2</v>
      </c>
      <c r="D4" s="17" t="n">
        <f aca="false">IFERROR(ROUNDUP($C4/3,0),"")</f>
        <v>1</v>
      </c>
      <c r="E4" s="18" t="n">
        <f aca="false">IFERROR(VALUE(SUBSTITUTE(TRIM('수출입 총괄'!B8),",","")),"")</f>
        <v>20.5</v>
      </c>
      <c r="F4" s="19" t="n">
        <f aca="false">IFERROR(VALUE(SUBSTITUTE(TRIM('수출입 총괄'!C8),",","")),"")</f>
        <v>906528</v>
      </c>
      <c r="G4" s="18" t="n">
        <f aca="false">IFERROR(VALUE(SUBSTITUTE(TRIM('수출입 총괄'!D8),",","")),"")</f>
        <v>15678985.8</v>
      </c>
      <c r="H4" s="19" t="n">
        <f aca="false">IFERROR(VALUE(SUBSTITUTE(TRIM('수출입 총괄'!E8),",","")),"")</f>
        <v>52076390</v>
      </c>
      <c r="I4" s="19" t="n">
        <f aca="false">IFERROR(VALUE(SUBSTITUTE(TRIM('수출입 총괄'!F8),",","")),"")</f>
        <v>3659530</v>
      </c>
      <c r="J4" s="18" t="n">
        <f aca="false">IFERROR(VALUE(SUBSTITUTE(TRIM('수출입 총괄'!G8),",","")),"")</f>
        <v>45689883.8</v>
      </c>
      <c r="K4" s="19" t="n">
        <f aca="false">IFERROR(VALUE(SUBSTITUTE(TRIM('수출입 총괄'!H8),",","")),"")</f>
        <v>48221860</v>
      </c>
      <c r="L4" s="19" t="n">
        <f aca="false">IFERROR(VALUE(SUBSTITUTE(TRIM('수출입 총괄'!I8),",","")),"")</f>
        <v>3854529</v>
      </c>
    </row>
    <row r="5" customFormat="false" ht="15" hidden="false" customHeight="true" outlineLevel="0" collapsed="false">
      <c r="A5" s="11" t="str">
        <f aca="false">TRIM('수출입 총괄'!A9)</f>
        <v>2024.03</v>
      </c>
      <c r="B5" s="17" t="n">
        <f aca="false">IFERROR(VALUE(LEFT($A5,4)),"")</f>
        <v>2024</v>
      </c>
      <c r="C5" s="17" t="n">
        <f aca="false">IFERROR(VALUE(RIGHT($A5,2)),"")</f>
        <v>3</v>
      </c>
      <c r="D5" s="17" t="n">
        <f aca="false">IFERROR(ROUNDUP($C5/3,0),"")</f>
        <v>1</v>
      </c>
      <c r="E5" s="18" t="n">
        <f aca="false">IFERROR(VALUE(SUBSTITUTE(TRIM('수출입 총괄'!B9),",","")),"")</f>
        <v>22.5</v>
      </c>
      <c r="F5" s="19" t="n">
        <f aca="false">IFERROR(VALUE(SUBSTITUTE(TRIM('수출입 총괄'!C9),",","")),"")</f>
        <v>1018882</v>
      </c>
      <c r="G5" s="18" t="n">
        <f aca="false">IFERROR(VALUE(SUBSTITUTE(TRIM('수출입 총괄'!D9),",","")),"")</f>
        <v>16805631.5</v>
      </c>
      <c r="H5" s="19" t="n">
        <f aca="false">IFERROR(VALUE(SUBSTITUTE(TRIM('수출입 총괄'!E9),",","")),"")</f>
        <v>56518309</v>
      </c>
      <c r="I5" s="19" t="n">
        <f aca="false">IFERROR(VALUE(SUBSTITUTE(TRIM('수출입 총괄'!F9),",","")),"")</f>
        <v>4614926</v>
      </c>
      <c r="J5" s="18" t="n">
        <f aca="false">IFERROR(VALUE(SUBSTITUTE(TRIM('수출입 총괄'!G9),",","")),"")</f>
        <v>44316660</v>
      </c>
      <c r="K5" s="19" t="n">
        <f aca="false">IFERROR(VALUE(SUBSTITUTE(TRIM('수출입 총괄'!H9),",","")),"")</f>
        <v>52112905</v>
      </c>
      <c r="L5" s="19" t="n">
        <f aca="false">IFERROR(VALUE(SUBSTITUTE(TRIM('수출입 총괄'!I9),",","")),"")</f>
        <v>4405404</v>
      </c>
    </row>
    <row r="6" customFormat="false" ht="15" hidden="false" customHeight="true" outlineLevel="0" collapsed="false">
      <c r="A6" s="11" t="str">
        <f aca="false">TRIM('수출입 총괄'!A10)</f>
        <v>2024.04</v>
      </c>
      <c r="B6" s="17" t="n">
        <f aca="false">IFERROR(VALUE(LEFT($A6,4)),"")</f>
        <v>2024</v>
      </c>
      <c r="C6" s="17" t="n">
        <f aca="false">IFERROR(VALUE(RIGHT($A6,2)),"")</f>
        <v>4</v>
      </c>
      <c r="D6" s="17" t="n">
        <f aca="false">IFERROR(ROUNDUP($C6/3,0),"")</f>
        <v>2</v>
      </c>
      <c r="E6" s="18" t="n">
        <f aca="false">IFERROR(VALUE(SUBSTITUTE(TRIM('수출입 총괄'!B10),",","")),"")</f>
        <v>23</v>
      </c>
      <c r="F6" s="19" t="n">
        <f aca="false">IFERROR(VALUE(SUBSTITUTE(TRIM('수출입 총괄'!C10),",","")),"")</f>
        <v>1012749</v>
      </c>
      <c r="G6" s="18" t="n">
        <f aca="false">IFERROR(VALUE(SUBSTITUTE(TRIM('수출입 총괄'!D10),",","")),"")</f>
        <v>16491489.3</v>
      </c>
      <c r="H6" s="19" t="n">
        <f aca="false">IFERROR(VALUE(SUBSTITUTE(TRIM('수출입 총괄'!E10),",","")),"")</f>
        <v>56148299</v>
      </c>
      <c r="I6" s="19" t="n">
        <f aca="false">IFERROR(VALUE(SUBSTITUTE(TRIM('수출입 총괄'!F10),",","")),"")</f>
        <v>4396142</v>
      </c>
      <c r="J6" s="18" t="n">
        <f aca="false">IFERROR(VALUE(SUBSTITUTE(TRIM('수출입 총괄'!G10),",","")),"")</f>
        <v>47615984.8</v>
      </c>
      <c r="K6" s="19" t="n">
        <f aca="false">IFERROR(VALUE(SUBSTITUTE(TRIM('수출입 총괄'!H10),",","")),"")</f>
        <v>54821181</v>
      </c>
      <c r="L6" s="19" t="n">
        <f aca="false">IFERROR(VALUE(SUBSTITUTE(TRIM('수출입 총괄'!I10),",","")),"")</f>
        <v>1327118</v>
      </c>
    </row>
    <row r="7" customFormat="false" ht="15" hidden="false" customHeight="true" outlineLevel="0" collapsed="false">
      <c r="A7" s="11" t="str">
        <f aca="false">TRIM('수출입 총괄'!A11)</f>
        <v>2024.05</v>
      </c>
      <c r="B7" s="17" t="n">
        <f aca="false">IFERROR(VALUE(LEFT($A7,4)),"")</f>
        <v>2024</v>
      </c>
      <c r="C7" s="17" t="n">
        <f aca="false">IFERROR(VALUE(RIGHT($A7,2)),"")</f>
        <v>5</v>
      </c>
      <c r="D7" s="17" t="n">
        <f aca="false">IFERROR(ROUNDUP($C7/3,0),"")</f>
        <v>2</v>
      </c>
      <c r="E7" s="18" t="n">
        <f aca="false">IFERROR(VALUE(SUBSTITUTE(TRIM('수출입 총괄'!B11),",","")),"")</f>
        <v>22</v>
      </c>
      <c r="F7" s="19" t="n">
        <f aca="false">IFERROR(VALUE(SUBSTITUTE(TRIM('수출입 총괄'!C11),",","")),"")</f>
        <v>1038452</v>
      </c>
      <c r="G7" s="18" t="n">
        <f aca="false">IFERROR(VALUE(SUBSTITUTE(TRIM('수출입 총괄'!D11),",","")),"")</f>
        <v>16793798.4</v>
      </c>
      <c r="H7" s="19" t="n">
        <f aca="false">IFERROR(VALUE(SUBSTITUTE(TRIM('수출입 총괄'!E11),",","")),"")</f>
        <v>58020557</v>
      </c>
      <c r="I7" s="19" t="n">
        <f aca="false">IFERROR(VALUE(SUBSTITUTE(TRIM('수출입 총괄'!F11),",","")),"")</f>
        <v>4430186</v>
      </c>
      <c r="J7" s="18" t="n">
        <f aca="false">IFERROR(VALUE(SUBSTITUTE(TRIM('수출입 총괄'!G11),",","")),"")</f>
        <v>45880287</v>
      </c>
      <c r="K7" s="19" t="n">
        <f aca="false">IFERROR(VALUE(SUBSTITUTE(TRIM('수출입 총괄'!H11),",","")),"")</f>
        <v>53132937</v>
      </c>
      <c r="L7" s="19" t="n">
        <f aca="false">IFERROR(VALUE(SUBSTITUTE(TRIM('수출입 총괄'!I11),",","")),"")</f>
        <v>4887620</v>
      </c>
    </row>
    <row r="8" customFormat="false" ht="15" hidden="false" customHeight="true" outlineLevel="0" collapsed="false">
      <c r="A8" s="11" t="str">
        <f aca="false">TRIM('수출입 총괄'!A12)</f>
        <v>2024.06</v>
      </c>
      <c r="B8" s="17" t="n">
        <f aca="false">IFERROR(VALUE(LEFT($A8,4)),"")</f>
        <v>2024</v>
      </c>
      <c r="C8" s="17" t="n">
        <f aca="false">IFERROR(VALUE(RIGHT($A8,2)),"")</f>
        <v>6</v>
      </c>
      <c r="D8" s="17" t="n">
        <f aca="false">IFERROR(ROUNDUP($C8/3,0),"")</f>
        <v>2</v>
      </c>
      <c r="E8" s="18" t="n">
        <f aca="false">IFERROR(VALUE(SUBSTITUTE(TRIM('수출입 총괄'!B12),",","")),"")</f>
        <v>21.5</v>
      </c>
      <c r="F8" s="19" t="n">
        <f aca="false">IFERROR(VALUE(SUBSTITUTE(TRIM('수출입 총괄'!C12),",","")),"")</f>
        <v>1015654</v>
      </c>
      <c r="G8" s="18" t="n">
        <f aca="false">IFERROR(VALUE(SUBSTITUTE(TRIM('수출입 총괄'!D12),",","")),"")</f>
        <v>14641434.6</v>
      </c>
      <c r="H8" s="19" t="n">
        <f aca="false">IFERROR(VALUE(SUBSTITUTE(TRIM('수출입 총괄'!E12),",","")),"")</f>
        <v>57341634</v>
      </c>
      <c r="I8" s="19" t="n">
        <f aca="false">IFERROR(VALUE(SUBSTITUTE(TRIM('수출입 총괄'!F12),",","")),"")</f>
        <v>4008321</v>
      </c>
      <c r="J8" s="18" t="n">
        <f aca="false">IFERROR(VALUE(SUBSTITUTE(TRIM('수출입 총괄'!G12),",","")),"")</f>
        <v>42701364.6</v>
      </c>
      <c r="K8" s="19" t="n">
        <f aca="false">IFERROR(VALUE(SUBSTITUTE(TRIM('수출입 총괄'!H12),",","")),"")</f>
        <v>49090193</v>
      </c>
      <c r="L8" s="19" t="n">
        <f aca="false">IFERROR(VALUE(SUBSTITUTE(TRIM('수출입 총괄'!I12),",","")),"")</f>
        <v>8251441</v>
      </c>
    </row>
    <row r="9" customFormat="false" ht="15" hidden="false" customHeight="true" outlineLevel="0" collapsed="false">
      <c r="A9" s="11" t="str">
        <f aca="false">TRIM('수출입 총괄'!A13)</f>
        <v>2024.07</v>
      </c>
      <c r="B9" s="17" t="n">
        <f aca="false">IFERROR(VALUE(LEFT($A9,4)),"")</f>
        <v>2024</v>
      </c>
      <c r="C9" s="17" t="n">
        <f aca="false">IFERROR(VALUE(RIGHT($A9,2)),"")</f>
        <v>7</v>
      </c>
      <c r="D9" s="17" t="n">
        <f aca="false">IFERROR(ROUNDUP($C9/3,0),"")</f>
        <v>3</v>
      </c>
      <c r="E9" s="18" t="n">
        <f aca="false">IFERROR(VALUE(SUBSTITUTE(TRIM('수출입 총괄'!B13),",","")),"")</f>
        <v>25</v>
      </c>
      <c r="F9" s="19" t="n">
        <f aca="false">IFERROR(VALUE(SUBSTITUTE(TRIM('수출입 총괄'!C13),",","")),"")</f>
        <v>1111979</v>
      </c>
      <c r="G9" s="18" t="n">
        <f aca="false">IFERROR(VALUE(SUBSTITUTE(TRIM('수출입 총괄'!D13),",","")),"")</f>
        <v>16697113.3</v>
      </c>
      <c r="H9" s="19" t="n">
        <f aca="false">IFERROR(VALUE(SUBSTITUTE(TRIM('수출입 총괄'!E13),",","")),"")</f>
        <v>57458788</v>
      </c>
      <c r="I9" s="19" t="n">
        <f aca="false">IFERROR(VALUE(SUBSTITUTE(TRIM('수출입 총괄'!F13),",","")),"")</f>
        <v>4361845</v>
      </c>
      <c r="J9" s="18" t="n">
        <f aca="false">IFERROR(VALUE(SUBSTITUTE(TRIM('수출입 총괄'!G13),",","")),"")</f>
        <v>45267798.7</v>
      </c>
      <c r="K9" s="19" t="n">
        <f aca="false">IFERROR(VALUE(SUBSTITUTE(TRIM('수출입 총괄'!H13),",","")),"")</f>
        <v>53838742</v>
      </c>
      <c r="L9" s="19" t="n">
        <f aca="false">IFERROR(VALUE(SUBSTITUTE(TRIM('수출입 총괄'!I13),",","")),"")</f>
        <v>3620046</v>
      </c>
    </row>
    <row r="10" customFormat="false" ht="15" hidden="false" customHeight="true" outlineLevel="0" collapsed="false">
      <c r="A10" s="11" t="str">
        <f aca="false">TRIM('수출입 총괄'!A14)</f>
        <v>2024.08</v>
      </c>
      <c r="B10" s="17" t="n">
        <f aca="false">IFERROR(VALUE(LEFT($A10,4)),"")</f>
        <v>2024</v>
      </c>
      <c r="C10" s="17" t="n">
        <f aca="false">IFERROR(VALUE(RIGHT($A10,2)),"")</f>
        <v>8</v>
      </c>
      <c r="D10" s="17" t="n">
        <f aca="false">IFERROR(ROUNDUP($C10/3,0),"")</f>
        <v>3</v>
      </c>
      <c r="E10" s="18" t="n">
        <f aca="false">IFERROR(VALUE(SUBSTITUTE(TRIM('수출입 총괄'!B14),",","")),"")</f>
        <v>23.5</v>
      </c>
      <c r="F10" s="19" t="n">
        <f aca="false">IFERROR(VALUE(SUBSTITUTE(TRIM('수출입 총괄'!C14),",","")),"")</f>
        <v>971248</v>
      </c>
      <c r="G10" s="18" t="n">
        <f aca="false">IFERROR(VALUE(SUBSTITUTE(TRIM('수출입 총괄'!D14),",","")),"")</f>
        <v>17070040.9</v>
      </c>
      <c r="H10" s="19" t="n">
        <f aca="false">IFERROR(VALUE(SUBSTITUTE(TRIM('수출입 총괄'!E14),",","")),"")</f>
        <v>57642924</v>
      </c>
      <c r="I10" s="19" t="n">
        <f aca="false">IFERROR(VALUE(SUBSTITUTE(TRIM('수출입 총괄'!F14),",","")),"")</f>
        <v>4219404</v>
      </c>
      <c r="J10" s="18" t="n">
        <f aca="false">IFERROR(VALUE(SUBSTITUTE(TRIM('수출입 총괄'!G14),",","")),"")</f>
        <v>49665340.4</v>
      </c>
      <c r="K10" s="19" t="n">
        <f aca="false">IFERROR(VALUE(SUBSTITUTE(TRIM('수출입 총괄'!H14),",","")),"")</f>
        <v>54054894</v>
      </c>
      <c r="L10" s="19" t="n">
        <f aca="false">IFERROR(VALUE(SUBSTITUTE(TRIM('수출입 총괄'!I14),",","")),"")</f>
        <v>3588030</v>
      </c>
    </row>
    <row r="11" customFormat="false" ht="15" hidden="false" customHeight="true" outlineLevel="0" collapsed="false">
      <c r="A11" s="11" t="str">
        <f aca="false">TRIM('수출입 총괄'!A15)</f>
        <v>2024.09</v>
      </c>
      <c r="B11" s="17" t="n">
        <f aca="false">IFERROR(VALUE(LEFT($A11,4)),"")</f>
        <v>2024</v>
      </c>
      <c r="C11" s="17" t="n">
        <f aca="false">IFERROR(VALUE(RIGHT($A11,2)),"")</f>
        <v>9</v>
      </c>
      <c r="D11" s="17" t="n">
        <f aca="false">IFERROR(ROUNDUP($C11/3,0),"")</f>
        <v>3</v>
      </c>
      <c r="E11" s="18" t="n">
        <f aca="false">IFERROR(VALUE(SUBSTITUTE(TRIM('수출입 총괄'!B15),",","")),"")</f>
        <v>20</v>
      </c>
      <c r="F11" s="19" t="n">
        <f aca="false">IFERROR(VALUE(SUBSTITUTE(TRIM('수출입 총괄'!C15),",","")),"")</f>
        <v>1151289</v>
      </c>
      <c r="G11" s="18" t="n">
        <f aca="false">IFERROR(VALUE(SUBSTITUTE(TRIM('수출입 총괄'!D15),",","")),"")</f>
        <v>16449775.4</v>
      </c>
      <c r="H11" s="19" t="n">
        <f aca="false">IFERROR(VALUE(SUBSTITUTE(TRIM('수출입 총괄'!E15),",","")),"")</f>
        <v>58544693</v>
      </c>
      <c r="I11" s="19" t="n">
        <f aca="false">IFERROR(VALUE(SUBSTITUTE(TRIM('수출입 총괄'!F15),",","")),"")</f>
        <v>4244016</v>
      </c>
      <c r="J11" s="18" t="n">
        <f aca="false">IFERROR(VALUE(SUBSTITUTE(TRIM('수출입 총괄'!G15),",","")),"")</f>
        <v>44145421.6</v>
      </c>
      <c r="K11" s="19" t="n">
        <f aca="false">IFERROR(VALUE(SUBSTITUTE(TRIM('수출입 총괄'!H15),",","")),"")</f>
        <v>52102925</v>
      </c>
      <c r="L11" s="19" t="n">
        <f aca="false">IFERROR(VALUE(SUBSTITUTE(TRIM('수출입 총괄'!I15),",","")),"")</f>
        <v>6441768</v>
      </c>
    </row>
    <row r="12" customFormat="false" ht="15" hidden="false" customHeight="true" outlineLevel="0" collapsed="false">
      <c r="A12" s="11" t="str">
        <f aca="false">TRIM('수출입 총괄'!A16)</f>
        <v>2024.10</v>
      </c>
      <c r="B12" s="17" t="n">
        <f aca="false">IFERROR(VALUE(LEFT($A12,4)),"")</f>
        <v>2024</v>
      </c>
      <c r="C12" s="17" t="n">
        <f aca="false">IFERROR(VALUE(RIGHT($A12,2)),"")</f>
        <v>10</v>
      </c>
      <c r="D12" s="17" t="n">
        <f aca="false">IFERROR(ROUNDUP($C12/3,0),"")</f>
        <v>4</v>
      </c>
      <c r="E12" s="18" t="n">
        <f aca="false">IFERROR(VALUE(SUBSTITUTE(TRIM('수출입 총괄'!B16),",","")),"")</f>
        <v>22</v>
      </c>
      <c r="F12" s="19" t="n">
        <f aca="false">IFERROR(VALUE(SUBSTITUTE(TRIM('수출입 총괄'!C16),",","")),"")</f>
        <v>1020830</v>
      </c>
      <c r="G12" s="18" t="n">
        <f aca="false">IFERROR(VALUE(SUBSTITUTE(TRIM('수출입 총괄'!D16),",","")),"")</f>
        <v>15994863.5</v>
      </c>
      <c r="H12" s="19" t="n">
        <f aca="false">IFERROR(VALUE(SUBSTITUTE(TRIM('수출입 총괄'!E16),",","")),"")</f>
        <v>57500192</v>
      </c>
      <c r="I12" s="19" t="n">
        <f aca="false">IFERROR(VALUE(SUBSTITUTE(TRIM('수출입 총괄'!F16),",","")),"")</f>
        <v>4672638</v>
      </c>
      <c r="J12" s="18" t="n">
        <f aca="false">IFERROR(VALUE(SUBSTITUTE(TRIM('수출입 총괄'!G16),",","")),"")</f>
        <v>47452574.1</v>
      </c>
      <c r="K12" s="19" t="n">
        <f aca="false">IFERROR(VALUE(SUBSTITUTE(TRIM('수출입 총괄'!H16),",","")),"")</f>
        <v>54331589</v>
      </c>
      <c r="L12" s="19" t="n">
        <f aca="false">IFERROR(VALUE(SUBSTITUTE(TRIM('수출입 총괄'!I16),",","")),"")</f>
        <v>3168604</v>
      </c>
    </row>
    <row r="13" customFormat="false" ht="15" hidden="false" customHeight="true" outlineLevel="0" collapsed="false">
      <c r="A13" s="11" t="str">
        <f aca="false">TRIM('수출입 총괄'!A17)</f>
        <v>2024.11</v>
      </c>
      <c r="B13" s="17" t="n">
        <f aca="false">IFERROR(VALUE(LEFT($A13,4)),"")</f>
        <v>2024</v>
      </c>
      <c r="C13" s="17" t="n">
        <f aca="false">IFERROR(VALUE(RIGHT($A13,2)),"")</f>
        <v>11</v>
      </c>
      <c r="D13" s="17" t="n">
        <f aca="false">IFERROR(ROUNDUP($C13/3,0),"")</f>
        <v>4</v>
      </c>
      <c r="E13" s="18" t="n">
        <f aca="false">IFERROR(VALUE(SUBSTITUTE(TRIM('수출입 총괄'!B17),",","")),"")</f>
        <v>23.5</v>
      </c>
      <c r="F13" s="19" t="n">
        <f aca="false">IFERROR(VALUE(SUBSTITUTE(TRIM('수출입 총괄'!C17),",","")),"")</f>
        <v>1221469</v>
      </c>
      <c r="G13" s="18" t="n">
        <f aca="false">IFERROR(VALUE(SUBSTITUTE(TRIM('수출입 총괄'!D17),",","")),"")</f>
        <v>15893956</v>
      </c>
      <c r="H13" s="19" t="n">
        <f aca="false">IFERROR(VALUE(SUBSTITUTE(TRIM('수출입 총괄'!E17),",","")),"")</f>
        <v>56288629</v>
      </c>
      <c r="I13" s="19" t="n">
        <f aca="false">IFERROR(VALUE(SUBSTITUTE(TRIM('수출입 총괄'!F17),",","")),"")</f>
        <v>4595519</v>
      </c>
      <c r="J13" s="18" t="n">
        <f aca="false">IFERROR(VALUE(SUBSTITUTE(TRIM('수출입 총괄'!G17),",","")),"")</f>
        <v>44116294.6</v>
      </c>
      <c r="K13" s="19" t="n">
        <f aca="false">IFERROR(VALUE(SUBSTITUTE(TRIM('수출입 총괄'!H17),",","")),"")</f>
        <v>50718992</v>
      </c>
      <c r="L13" s="19" t="n">
        <f aca="false">IFERROR(VALUE(SUBSTITUTE(TRIM('수출입 총괄'!I17),",","")),"")</f>
        <v>5569637</v>
      </c>
    </row>
    <row r="14" customFormat="false" ht="15" hidden="false" customHeight="true" outlineLevel="0" collapsed="false">
      <c r="A14" s="11" t="str">
        <f aca="false">TRIM('수출입 총괄'!A18)</f>
        <v>2024.12</v>
      </c>
      <c r="B14" s="17" t="n">
        <f aca="false">IFERROR(VALUE(LEFT($A14,4)),"")</f>
        <v>2024</v>
      </c>
      <c r="C14" s="17" t="n">
        <f aca="false">IFERROR(VALUE(RIGHT($A14,2)),"")</f>
        <v>12</v>
      </c>
      <c r="D14" s="17" t="n">
        <f aca="false">IFERROR(ROUNDUP($C14/3,0),"")</f>
        <v>4</v>
      </c>
      <c r="E14" s="18" t="n">
        <f aca="false">IFERROR(VALUE(SUBSTITUTE(TRIM('수출입 총괄'!B18),",","")),"")</f>
        <v>23</v>
      </c>
      <c r="F14" s="19" t="n">
        <f aca="false">IFERROR(VALUE(SUBSTITUTE(TRIM('수출입 총괄'!C18),",","")),"")</f>
        <v>1135404</v>
      </c>
      <c r="G14" s="18" t="n">
        <f aca="false">IFERROR(VALUE(SUBSTITUTE(TRIM('수출입 총괄'!D18),",","")),"")</f>
        <v>17620291.4</v>
      </c>
      <c r="H14" s="19" t="n">
        <f aca="false">IFERROR(VALUE(SUBSTITUTE(TRIM('수출입 총괄'!E18),",","")),"")</f>
        <v>61359250</v>
      </c>
      <c r="I14" s="19" t="n">
        <f aca="false">IFERROR(VALUE(SUBSTITUTE(TRIM('수출입 총괄'!F18),",","")),"")</f>
        <v>4668507</v>
      </c>
      <c r="J14" s="18" t="n">
        <f aca="false">IFERROR(VALUE(SUBSTITUTE(TRIM('수출입 총괄'!G18),",","")),"")</f>
        <v>48014998.4</v>
      </c>
      <c r="K14" s="19" t="n">
        <f aca="false">IFERROR(VALUE(SUBSTITUTE(TRIM('수출입 총괄'!H18),",","")),"")</f>
        <v>54866380</v>
      </c>
      <c r="L14" s="19" t="n">
        <f aca="false">IFERROR(VALUE(SUBSTITUTE(TRIM('수출입 총괄'!I18),",","")),"")</f>
        <v>6492870</v>
      </c>
    </row>
    <row r="15" customFormat="false" ht="15" hidden="false" customHeight="true" outlineLevel="0" collapsed="false">
      <c r="A15" s="11" t="str">
        <f aca="false">TRIM('수출입 총괄'!A19)</f>
        <v>2025.01</v>
      </c>
      <c r="B15" s="17" t="n">
        <f aca="false">IFERROR(VALUE(LEFT($A15,4)),"")</f>
        <v>2025</v>
      </c>
      <c r="C15" s="17" t="n">
        <f aca="false">IFERROR(VALUE(RIGHT($A15,2)),"")</f>
        <v>1</v>
      </c>
      <c r="D15" s="17" t="n">
        <f aca="false">IFERROR(ROUNDUP($C15/3,0),"")</f>
        <v>1</v>
      </c>
      <c r="E15" s="18" t="n">
        <f aca="false">IFERROR(VALUE(SUBSTITUTE(TRIM('수출입 총괄'!B19),",","")),"")</f>
        <v>20</v>
      </c>
      <c r="F15" s="19" t="n">
        <f aca="false">IFERROR(VALUE(SUBSTITUTE(TRIM('수출입 총괄'!C19),",","")),"")</f>
        <v>924441</v>
      </c>
      <c r="G15" s="18" t="n">
        <f aca="false">IFERROR(VALUE(SUBSTITUTE(TRIM('수출입 총괄'!D19),",","")),"")</f>
        <v>14986301.7</v>
      </c>
      <c r="H15" s="19" t="n">
        <f aca="false">IFERROR(VALUE(SUBSTITUTE(TRIM('수출입 총괄'!E19),",","")),"")</f>
        <v>49176984</v>
      </c>
      <c r="I15" s="19" t="n">
        <f aca="false">IFERROR(VALUE(SUBSTITUTE(TRIM('수출입 총괄'!F19),",","")),"")</f>
        <v>3847092</v>
      </c>
      <c r="J15" s="18" t="n">
        <f aca="false">IFERROR(VALUE(SUBSTITUTE(TRIM('수출입 총괄'!G19),",","")),"")</f>
        <v>47927337.6</v>
      </c>
      <c r="K15" s="19" t="n">
        <f aca="false">IFERROR(VALUE(SUBSTITUTE(TRIM('수출입 총괄'!H19),",","")),"")</f>
        <v>51172292</v>
      </c>
      <c r="L15" s="19" t="n">
        <f aca="false">IFERROR(VALUE(SUBSTITUTE(TRIM('수출입 총괄'!I19),",","")),"")</f>
        <v>-1995308</v>
      </c>
    </row>
    <row r="16" customFormat="false" ht="15" hidden="false" customHeight="true" outlineLevel="0" collapsed="false">
      <c r="A16" s="11" t="str">
        <f aca="false">TRIM('수출입 총괄'!A20)</f>
        <v>2025.02</v>
      </c>
      <c r="B16" s="17" t="n">
        <f aca="false">IFERROR(VALUE(LEFT($A16,4)),"")</f>
        <v>2025</v>
      </c>
      <c r="C16" s="17" t="n">
        <f aca="false">IFERROR(VALUE(RIGHT($A16,2)),"")</f>
        <v>2</v>
      </c>
      <c r="D16" s="17" t="n">
        <f aca="false">IFERROR(ROUNDUP($C16/3,0),"")</f>
        <v>1</v>
      </c>
      <c r="E16" s="18" t="n">
        <f aca="false">IFERROR(VALUE(SUBSTITUTE(TRIM('수출입 총괄'!B20),",","")),"")</f>
        <v>22</v>
      </c>
      <c r="F16" s="19" t="n">
        <f aca="false">IFERROR(VALUE(SUBSTITUTE(TRIM('수출입 총괄'!C20),",","")),"")</f>
        <v>1014431</v>
      </c>
      <c r="G16" s="18" t="n">
        <f aca="false">IFERROR(VALUE(SUBSTITUTE(TRIM('수출입 총괄'!D20),",","")),"")</f>
        <v>16151895.1</v>
      </c>
      <c r="H16" s="19" t="n">
        <f aca="false">IFERROR(VALUE(SUBSTITUTE(TRIM('수출입 총괄'!E20),",","")),"")</f>
        <v>52292301</v>
      </c>
      <c r="I16" s="19" t="n">
        <f aca="false">IFERROR(VALUE(SUBSTITUTE(TRIM('수출입 총괄'!F20),",","")),"")</f>
        <v>3982365</v>
      </c>
      <c r="J16" s="18" t="n">
        <f aca="false">IFERROR(VALUE(SUBSTITUTE(TRIM('수출입 총괄'!G20),",","")),"")</f>
        <v>41535200.5</v>
      </c>
      <c r="K16" s="19" t="n">
        <f aca="false">IFERROR(VALUE(SUBSTITUTE(TRIM('수출입 총괄'!H20),",","")),"")</f>
        <v>48328741</v>
      </c>
      <c r="L16" s="19" t="n">
        <f aca="false">IFERROR(VALUE(SUBSTITUTE(TRIM('수출입 총괄'!I20),",","")),"")</f>
        <v>3963560</v>
      </c>
    </row>
    <row r="17" customFormat="false" ht="15" hidden="false" customHeight="true" outlineLevel="0" collapsed="false">
      <c r="A17" s="11" t="str">
        <f aca="false">TRIM('수출입 총괄'!A21)</f>
        <v>2025.03</v>
      </c>
      <c r="B17" s="17" t="n">
        <f aca="false">IFERROR(VALUE(LEFT($A17,4)),"")</f>
        <v>2025</v>
      </c>
      <c r="C17" s="17" t="n">
        <f aca="false">IFERROR(VALUE(RIGHT($A17,2)),"")</f>
        <v>3</v>
      </c>
      <c r="D17" s="17" t="n">
        <f aca="false">IFERROR(ROUNDUP($C17/3,0),"")</f>
        <v>1</v>
      </c>
      <c r="E17" s="18" t="n">
        <f aca="false">IFERROR(VALUE(SUBSTITUTE(TRIM('수출입 총괄'!B21),",","")),"")</f>
        <v>22</v>
      </c>
      <c r="F17" s="19" t="n">
        <f aca="false">IFERROR(VALUE(SUBSTITUTE(TRIM('수출입 총괄'!C21),",","")),"")</f>
        <v>1236266</v>
      </c>
      <c r="G17" s="18" t="n">
        <f aca="false">IFERROR(VALUE(SUBSTITUTE(TRIM('수출입 총괄'!D21),",","")),"")</f>
        <v>15702059.6</v>
      </c>
      <c r="H17" s="19" t="n">
        <f aca="false">IFERROR(VALUE(SUBSTITUTE(TRIM('수출입 총괄'!E21),",","")),"")</f>
        <v>58064562</v>
      </c>
      <c r="I17" s="19" t="n">
        <f aca="false">IFERROR(VALUE(SUBSTITUTE(TRIM('수출입 총괄'!F21),",","")),"")</f>
        <v>4558238</v>
      </c>
      <c r="J17" s="18" t="n">
        <f aca="false">IFERROR(VALUE(SUBSTITUTE(TRIM('수출입 총괄'!G21),",","")),"")</f>
        <v>41960252.6</v>
      </c>
      <c r="K17" s="19" t="n">
        <f aca="false">IFERROR(VALUE(SUBSTITUTE(TRIM('수출입 총괄'!H21),",","")),"")</f>
        <v>53341032</v>
      </c>
      <c r="L17" s="19" t="n">
        <f aca="false">IFERROR(VALUE(SUBSTITUTE(TRIM('수출입 총괄'!I21),",","")),"")</f>
        <v>4723530</v>
      </c>
    </row>
    <row r="18" customFormat="false" ht="15" hidden="false" customHeight="true" outlineLevel="0" collapsed="false">
      <c r="A18" s="11" t="str">
        <f aca="false">TRIM('수출입 총괄'!A22)</f>
        <v>2025.04</v>
      </c>
      <c r="B18" s="17" t="n">
        <f aca="false">IFERROR(VALUE(LEFT($A18,4)),"")</f>
        <v>2025</v>
      </c>
      <c r="C18" s="17" t="n">
        <f aca="false">IFERROR(VALUE(RIGHT($A18,2)),"")</f>
        <v>4</v>
      </c>
      <c r="D18" s="17" t="n">
        <f aca="false">IFERROR(ROUNDUP($C18/3,0),"")</f>
        <v>2</v>
      </c>
      <c r="E18" s="18" t="n">
        <f aca="false">IFERROR(VALUE(SUBSTITUTE(TRIM('수출입 총괄'!B22),",","")),"")</f>
        <v>24</v>
      </c>
      <c r="F18" s="19" t="n">
        <f aca="false">IFERROR(VALUE(SUBSTITUTE(TRIM('수출입 총괄'!C22),",","")),"")</f>
        <v>1088160</v>
      </c>
      <c r="G18" s="18" t="n">
        <f aca="false">IFERROR(VALUE(SUBSTITUTE(TRIM('수출입 총괄'!D22),",","")),"")</f>
        <v>17527804.9</v>
      </c>
      <c r="H18" s="19" t="n">
        <f aca="false">IFERROR(VALUE(SUBSTITUTE(TRIM('수출입 총괄'!E22),",","")),"")</f>
        <v>58035745</v>
      </c>
      <c r="I18" s="19" t="n">
        <f aca="false">IFERROR(VALUE(SUBSTITUTE(TRIM('수출입 총괄'!F22),",","")),"")</f>
        <v>4601632</v>
      </c>
      <c r="J18" s="18" t="n">
        <f aca="false">IFERROR(VALUE(SUBSTITUTE(TRIM('수출입 총괄'!G22),",","")),"")</f>
        <v>45256630</v>
      </c>
      <c r="K18" s="19" t="n">
        <f aca="false">IFERROR(VALUE(SUBSTITUTE(TRIM('수출입 총괄'!H22),",","")),"")</f>
        <v>53232716</v>
      </c>
      <c r="L18" s="19" t="n">
        <f aca="false">IFERROR(VALUE(SUBSTITUTE(TRIM('수출입 총괄'!I22),",","")),"")</f>
        <v>4803029</v>
      </c>
    </row>
    <row r="19" customFormat="false" ht="15" hidden="false" customHeight="true" outlineLevel="0" collapsed="false">
      <c r="A19" s="11" t="str">
        <f aca="false">TRIM('수출입 총괄'!A23)</f>
        <v>2025.05</v>
      </c>
      <c r="B19" s="17" t="n">
        <f aca="false">IFERROR(VALUE(LEFT($A19,4)),"")</f>
        <v>2025</v>
      </c>
      <c r="C19" s="17" t="n">
        <f aca="false">IFERROR(VALUE(RIGHT($A19,2)),"")</f>
        <v>5</v>
      </c>
      <c r="D19" s="17" t="n">
        <f aca="false">IFERROR(ROUNDUP($C19/3,0),"")</f>
        <v>2</v>
      </c>
      <c r="E19" s="18" t="n">
        <f aca="false">IFERROR(VALUE(SUBSTITUTE(TRIM('수출입 총괄'!B23),",","")),"")</f>
        <v>21.5</v>
      </c>
      <c r="F19" s="19" t="n">
        <f aca="false">IFERROR(VALUE(SUBSTITUTE(TRIM('수출입 총괄'!C23),",","")),"")</f>
        <v>1034785</v>
      </c>
      <c r="G19" s="18" t="n">
        <f aca="false">IFERROR(VALUE(SUBSTITUTE(TRIM('수출입 총괄'!D23),",","")),"")</f>
        <v>16573462.9</v>
      </c>
      <c r="H19" s="19" t="n">
        <f aca="false">IFERROR(VALUE(SUBSTITUTE(TRIM('수출입 총괄'!E23),",","")),"")</f>
        <v>57261063</v>
      </c>
      <c r="I19" s="19" t="n">
        <f aca="false">IFERROR(VALUE(SUBSTITUTE(TRIM('수출입 총괄'!F23),",","")),"")</f>
        <v>4586252</v>
      </c>
      <c r="J19" s="18" t="n">
        <f aca="false">IFERROR(VALUE(SUBSTITUTE(TRIM('수출입 총괄'!G23),",","")),"")</f>
        <v>43030473.8</v>
      </c>
      <c r="K19" s="19" t="n">
        <f aca="false">IFERROR(VALUE(SUBSTITUTE(TRIM('수출입 총괄'!H23),",","")),"")</f>
        <v>50345116</v>
      </c>
      <c r="L19" s="19" t="n">
        <f aca="false">IFERROR(VALUE(SUBSTITUTE(TRIM('수출입 총괄'!I23),",","")),"")</f>
        <v>6915946</v>
      </c>
    </row>
    <row r="20" customFormat="false" ht="15" hidden="false" customHeight="true" outlineLevel="0" collapsed="false">
      <c r="A20" s="11" t="str">
        <f aca="false">TRIM('수출입 총괄'!A24)</f>
        <v>2025.06</v>
      </c>
      <c r="B20" s="17" t="n">
        <f aca="false">IFERROR(VALUE(LEFT($A20,4)),"")</f>
        <v>2025</v>
      </c>
      <c r="C20" s="17" t="n">
        <f aca="false">IFERROR(VALUE(RIGHT($A20,2)),"")</f>
        <v>6</v>
      </c>
      <c r="D20" s="17" t="n">
        <f aca="false">IFERROR(ROUNDUP($C20/3,0),"")</f>
        <v>2</v>
      </c>
      <c r="E20" s="18" t="n">
        <f aca="false">IFERROR(VALUE(SUBSTITUTE(TRIM('수출입 총괄'!B24),",","")),"")</f>
        <v>21</v>
      </c>
      <c r="F20" s="19" t="n">
        <f aca="false">IFERROR(VALUE(SUBSTITUTE(TRIM('수출입 총괄'!C24),",","")),"")</f>
        <v>1328545</v>
      </c>
      <c r="G20" s="18" t="n">
        <f aca="false">IFERROR(VALUE(SUBSTITUTE(TRIM('수출입 총괄'!D24),",","")),"")</f>
        <v>16221157</v>
      </c>
      <c r="H20" s="19" t="n">
        <f aca="false">IFERROR(VALUE(SUBSTITUTE(TRIM('수출입 총괄'!E24),",","")),"")</f>
        <v>59833797</v>
      </c>
      <c r="I20" s="19" t="n">
        <f aca="false">IFERROR(VALUE(SUBSTITUTE(TRIM('수출입 총괄'!F24),",","")),"")</f>
        <v>4272361</v>
      </c>
      <c r="J20" s="18" t="n">
        <f aca="false">IFERROR(VALUE(SUBSTITUTE(TRIM('수출입 총괄'!G24),",","")),"")</f>
        <v>42728885.3</v>
      </c>
      <c r="K20" s="19" t="n">
        <f aca="false">IFERROR(VALUE(SUBSTITUTE(TRIM('수출입 총괄'!H24),",","")),"")</f>
        <v>50825746</v>
      </c>
      <c r="L20" s="19" t="n">
        <f aca="false">IFERROR(VALUE(SUBSTITUTE(TRIM('수출입 총괄'!I24),",","")),"")</f>
        <v>9008051</v>
      </c>
    </row>
    <row r="21" customFormat="false" ht="15" hidden="false" customHeight="true" outlineLevel="0" collapsed="false">
      <c r="A21" s="11" t="str">
        <f aca="false">TRIM('수출입 총괄'!A25)</f>
        <v>2025.07</v>
      </c>
      <c r="B21" s="17" t="n">
        <f aca="false">IFERROR(VALUE(LEFT($A21,4)),"")</f>
        <v>2025</v>
      </c>
      <c r="C21" s="17" t="n">
        <f aca="false">IFERROR(VALUE(RIGHT($A21,2)),"")</f>
        <v>7</v>
      </c>
      <c r="D21" s="17" t="n">
        <f aca="false">IFERROR(ROUNDUP($C21/3,0),"")</f>
        <v>3</v>
      </c>
      <c r="E21" s="18" t="n">
        <f aca="false">IFERROR(VALUE(SUBSTITUTE(TRIM('수출입 총괄'!B25),",","")),"")</f>
        <v>25</v>
      </c>
      <c r="F21" s="19" t="n">
        <f aca="false">IFERROR(VALUE(SUBSTITUTE(TRIM('수출입 총괄'!C25),",","")),"")</f>
        <v>1177196</v>
      </c>
      <c r="G21" s="18" t="n">
        <f aca="false">IFERROR(VALUE(SUBSTITUTE(TRIM('수출입 총괄'!D25),",","")),"")</f>
        <v>17580838.3</v>
      </c>
      <c r="H21" s="19" t="n">
        <f aca="false">IFERROR(VALUE(SUBSTITUTE(TRIM('수출입 총괄'!E25),",","")),"")</f>
        <v>60724322</v>
      </c>
      <c r="I21" s="19" t="n">
        <f aca="false">IFERROR(VALUE(SUBSTITUTE(TRIM('수출입 총괄'!F25),",","")),"")</f>
        <v>4754616</v>
      </c>
      <c r="J21" s="18" t="n">
        <f aca="false">IFERROR(VALUE(SUBSTITUTE(TRIM('수출입 총괄'!G25),",","")),"")</f>
        <v>47540216</v>
      </c>
      <c r="K21" s="19" t="n">
        <f aca="false">IFERROR(VALUE(SUBSTITUTE(TRIM('수출입 총괄'!H25),",","")),"")</f>
        <v>54210371</v>
      </c>
      <c r="L21" s="19" t="n">
        <f aca="false">IFERROR(VALUE(SUBSTITUTE(TRIM('수출입 총괄'!I25),",","")),"")</f>
        <v>6513951</v>
      </c>
    </row>
    <row r="22" customFormat="false" ht="15" hidden="false" customHeight="true" outlineLevel="0" collapsed="false">
      <c r="A22" s="11" t="str">
        <f aca="false">TRIM('수출입 총괄'!A26)</f>
        <v>2025.08</v>
      </c>
      <c r="B22" s="17" t="n">
        <f aca="false">IFERROR(VALUE(LEFT($A22,4)),"")</f>
        <v>2025</v>
      </c>
      <c r="C22" s="17" t="n">
        <f aca="false">IFERROR(VALUE(RIGHT($A22,2)),"")</f>
        <v>8</v>
      </c>
      <c r="D22" s="17" t="n">
        <f aca="false">IFERROR(ROUNDUP($C22/3,0),"")</f>
        <v>3</v>
      </c>
      <c r="E22" s="18" t="n">
        <f aca="false">IFERROR(VALUE(SUBSTITUTE(TRIM('수출입 총괄'!B26),",","")),"")</f>
        <v>22.5</v>
      </c>
      <c r="F22" s="19" t="n">
        <f aca="false">IFERROR(VALUE(SUBSTITUTE(TRIM('수출입 총괄'!C26),",","")),"")</f>
        <v>1058881</v>
      </c>
      <c r="G22" s="18" t="n">
        <f aca="false">IFERROR(VALUE(SUBSTITUTE(TRIM('수출입 총괄'!D26),",","")),"")</f>
        <v>17118673.9</v>
      </c>
      <c r="H22" s="19" t="n">
        <f aca="false">IFERROR(VALUE(SUBSTITUTE(TRIM('수출입 총괄'!E26),",","")),"")</f>
        <v>58259332</v>
      </c>
      <c r="I22" s="19" t="n">
        <f aca="false">IFERROR(VALUE(SUBSTITUTE(TRIM('수출입 총괄'!F26),",","")),"")</f>
        <v>4524180</v>
      </c>
      <c r="J22" s="18" t="n">
        <f aca="false">IFERROR(VALUE(SUBSTITUTE(TRIM('수출입 총괄'!G26),",","")),"")</f>
        <v>48641920.6</v>
      </c>
      <c r="K22" s="19" t="n">
        <f aca="false">IFERROR(VALUE(SUBSTITUTE(TRIM('수출입 총괄'!H26),",","")),"")</f>
        <v>51856624</v>
      </c>
      <c r="L22" s="19" t="n">
        <f aca="false">IFERROR(VALUE(SUBSTITUTE(TRIM('수출입 총괄'!I26),",","")),"")</f>
        <v>6402708</v>
      </c>
    </row>
    <row r="23" customFormat="false" ht="15" hidden="false" customHeight="true" outlineLevel="0" collapsed="false">
      <c r="A23" s="11" t="str">
        <f aca="false">TRIM('수출입 총괄'!A27)</f>
        <v>2025.09</v>
      </c>
      <c r="B23" s="17" t="n">
        <f aca="false">IFERROR(VALUE(LEFT($A23,4)),"")</f>
        <v>2025</v>
      </c>
      <c r="C23" s="17" t="n">
        <f aca="false">IFERROR(VALUE(RIGHT($A23,2)),"")</f>
        <v>9</v>
      </c>
      <c r="D23" s="17" t="n">
        <f aca="false">IFERROR(ROUNDUP($C23/3,0),"")</f>
        <v>3</v>
      </c>
      <c r="E23" s="18" t="n">
        <f aca="false">IFERROR(VALUE(SUBSTITUTE(TRIM('수출입 총괄'!B27),",","")),"")</f>
        <v>24</v>
      </c>
      <c r="F23" s="19" t="n">
        <f aca="false">IFERROR(VALUE(SUBSTITUTE(TRIM('수출입 총괄'!C27),",","")),"")</f>
        <v>1451822</v>
      </c>
      <c r="G23" s="18" t="n">
        <f aca="false">IFERROR(VALUE(SUBSTITUTE(TRIM('수출입 총괄'!D27),",","")),"")</f>
        <v>18076703.2</v>
      </c>
      <c r="H23" s="19" t="n">
        <f aca="false">IFERROR(VALUE(SUBSTITUTE(TRIM('수출입 총괄'!E27),",","")),"")</f>
        <v>65904118</v>
      </c>
      <c r="I23" s="19" t="n">
        <f aca="false">IFERROR(VALUE(SUBSTITUTE(TRIM('수출입 총괄'!F27),",","")),"")</f>
        <v>4986893</v>
      </c>
      <c r="J23" s="18" t="n">
        <f aca="false">IFERROR(VALUE(SUBSTITUTE(TRIM('수출입 총괄'!G27),",","")),"")</f>
        <v>47278338.2</v>
      </c>
      <c r="K23" s="19" t="n">
        <f aca="false">IFERROR(VALUE(SUBSTITUTE(TRIM('수출입 총괄'!H27),",","")),"")</f>
        <v>56419614</v>
      </c>
      <c r="L23" s="19" t="n">
        <f aca="false">IFERROR(VALUE(SUBSTITUTE(TRIM('수출입 총괄'!I27),",","")),"")</f>
        <v>9484504</v>
      </c>
    </row>
    <row r="24" customFormat="false" ht="15" hidden="false" customHeight="true" outlineLevel="0" collapsed="false">
      <c r="A24" s="11" t="str">
        <f aca="false">TRIM('수출입 총괄'!A28)</f>
        <v>2025.10</v>
      </c>
      <c r="B24" s="17" t="n">
        <f aca="false">IFERROR(VALUE(LEFT($A24,4)),"")</f>
        <v>2025</v>
      </c>
      <c r="C24" s="17" t="n">
        <f aca="false">IFERROR(VALUE(RIGHT($A24,2)),"")</f>
        <v>10</v>
      </c>
      <c r="D24" s="17" t="n">
        <f aca="false">IFERROR(ROUNDUP($C24/3,0),"")</f>
        <v>4</v>
      </c>
      <c r="E24" s="18" t="n">
        <f aca="false">IFERROR(VALUE(SUBSTITUTE(TRIM('수출입 총괄'!B28),",","")),"")</f>
        <v>20</v>
      </c>
      <c r="F24" s="19" t="n">
        <f aca="false">IFERROR(VALUE(SUBSTITUTE(TRIM('수출입 총괄'!C28),",","")),"")</f>
        <v>1040165</v>
      </c>
      <c r="G24" s="18" t="n">
        <f aca="false">IFERROR(VALUE(SUBSTITUTE(TRIM('수출입 총괄'!D28),",","")),"")</f>
        <v>16017317.9</v>
      </c>
      <c r="H24" s="19" t="n">
        <f aca="false">IFERROR(VALUE(SUBSTITUTE(TRIM('수출입 총괄'!E28),",","")),"")</f>
        <v>59511578</v>
      </c>
      <c r="I24" s="19" t="n">
        <f aca="false">IFERROR(VALUE(SUBSTITUTE(TRIM('수출입 총괄'!F28),",","")),"")</f>
        <v>4655160</v>
      </c>
      <c r="J24" s="18" t="n">
        <f aca="false">IFERROR(VALUE(SUBSTITUTE(TRIM('수출입 총괄'!G28),",","")),"")</f>
        <v>47575893.6</v>
      </c>
      <c r="K24" s="19" t="n">
        <f aca="false">IFERROR(VALUE(SUBSTITUTE(TRIM('수출입 총괄'!H28),",","")),"")</f>
        <v>53510827</v>
      </c>
      <c r="L24" s="19" t="n">
        <f aca="false">IFERROR(VALUE(SUBSTITUTE(TRIM('수출입 총괄'!I28),",","")),"")</f>
        <v>6000751</v>
      </c>
    </row>
    <row r="25" customFormat="false" ht="15" hidden="false" customHeight="true" outlineLevel="0" collapsed="false">
      <c r="A25" s="11" t="str">
        <f aca="false">TRIM('수출입 총괄'!A29)</f>
        <v>2025.11</v>
      </c>
      <c r="B25" s="17" t="n">
        <f aca="false">IFERROR(VALUE(LEFT($A25,4)),"")</f>
        <v>2025</v>
      </c>
      <c r="C25" s="17" t="n">
        <f aca="false">IFERROR(VALUE(RIGHT($A25,2)),"")</f>
        <v>11</v>
      </c>
      <c r="D25" s="17" t="n">
        <f aca="false">IFERROR(ROUNDUP($C25/3,0),"")</f>
        <v>4</v>
      </c>
      <c r="E25" s="18" t="n">
        <f aca="false">IFERROR(VALUE(SUBSTITUTE(TRIM('수출입 총괄'!B29),",","")),"")</f>
        <v>22.5</v>
      </c>
      <c r="F25" s="19" t="n">
        <f aca="false">IFERROR(VALUE(SUBSTITUTE(TRIM('수출입 총괄'!C29),",","")),"")</f>
        <v>1152460</v>
      </c>
      <c r="G25" s="18" t="n">
        <f aca="false">IFERROR(VALUE(SUBSTITUTE(TRIM('수출입 총괄'!D29),",","")),"")</f>
        <v>14605096.4</v>
      </c>
      <c r="H25" s="19" t="n">
        <f aca="false">IFERROR(VALUE(SUBSTITUTE(TRIM('수출입 총괄'!E29),",","")),"")</f>
        <v>60752618</v>
      </c>
      <c r="I25" s="19" t="n">
        <f aca="false">IFERROR(VALUE(SUBSTITUTE(TRIM('수출입 총괄'!F29),",","")),"")</f>
        <v>4883281</v>
      </c>
      <c r="J25" s="18" t="n">
        <f aca="false">IFERROR(VALUE(SUBSTITUTE(TRIM('수출입 총괄'!G29),",","")),"")</f>
        <v>43553038.8</v>
      </c>
      <c r="K25" s="19" t="n">
        <f aca="false">IFERROR(VALUE(SUBSTITUTE(TRIM('수출입 총괄'!H29),",","")),"")</f>
        <v>51284605</v>
      </c>
      <c r="L25" s="19" t="n">
        <f aca="false">IFERROR(VALUE(SUBSTITUTE(TRIM('수출입 총괄'!I29),",","")),"")</f>
        <v>9468013</v>
      </c>
    </row>
    <row r="26" customFormat="false" ht="15" hidden="false" customHeight="true" outlineLevel="0" collapsed="false">
      <c r="A26" s="11" t="str">
        <f aca="false">TRIM('수출입 총괄'!A30)</f>
        <v>2025.12</v>
      </c>
      <c r="B26" s="17" t="n">
        <f aca="false">IFERROR(VALUE(LEFT($A26,4)),"")</f>
        <v>2025</v>
      </c>
      <c r="C26" s="17" t="n">
        <f aca="false">IFERROR(VALUE(RIGHT($A26,2)),"")</f>
        <v>12</v>
      </c>
      <c r="D26" s="17" t="n">
        <f aca="false">IFERROR(ROUNDUP($C26/3,0),"")</f>
        <v>4</v>
      </c>
      <c r="E26" s="18" t="n">
        <f aca="false">IFERROR(VALUE(SUBSTITUTE(TRIM('수출입 총괄'!B30),",","")),"")</f>
        <v>24</v>
      </c>
      <c r="F26" s="19" t="n">
        <f aca="false">IFERROR(VALUE(SUBSTITUTE(TRIM('수출입 총괄'!C30),",","")),"")</f>
        <v>1275309</v>
      </c>
      <c r="G26" s="18" t="n">
        <f aca="false">IFERROR(VALUE(SUBSTITUTE(TRIM('수출입 총괄'!D30),",","")),"")</f>
        <v>17977895.8</v>
      </c>
      <c r="H26" s="19" t="n">
        <f aca="false">IFERROR(VALUE(SUBSTITUTE(TRIM('수출입 총괄'!E30),",","")),"")</f>
        <v>69513624</v>
      </c>
      <c r="I26" s="19" t="n">
        <f aca="false">IFERROR(VALUE(SUBSTITUTE(TRIM('수출입 총괄'!F30),",","")),"")</f>
        <v>4883706</v>
      </c>
      <c r="J26" s="18" t="n">
        <f aca="false">IFERROR(VALUE(SUBSTITUTE(TRIM('수출입 총괄'!G30),",","")),"")</f>
        <v>47510406.2</v>
      </c>
      <c r="K26" s="19" t="n">
        <f aca="false">IFERROR(VALUE(SUBSTITUTE(TRIM('수출입 총괄'!H30),",","")),"")</f>
        <v>57367684</v>
      </c>
      <c r="L26" s="19" t="n">
        <f aca="false">IFERROR(VALUE(SUBSTITUTE(TRIM('수출입 총괄'!I30),",","")),"")</f>
        <v>12145941</v>
      </c>
    </row>
    <row r="27" customFormat="false" ht="15" hidden="false" customHeight="true" outlineLevel="0" collapsed="false">
      <c r="A27" s="11" t="str">
        <f aca="false">TRIM('수출입 총괄'!A31)</f>
        <v>2026.01</v>
      </c>
      <c r="B27" s="17" t="n">
        <f aca="false">IFERROR(VALUE(LEFT($A27,4)),"")</f>
        <v>2026</v>
      </c>
      <c r="C27" s="17" t="n">
        <f aca="false">IFERROR(VALUE(RIGHT($A27,2)),"")</f>
        <v>1</v>
      </c>
      <c r="D27" s="17" t="n">
        <f aca="false">IFERROR(ROUNDUP($C27/3,0),"")</f>
        <v>1</v>
      </c>
      <c r="E27" s="18" t="n">
        <f aca="false">IFERROR(VALUE(SUBSTITUTE(TRIM('수출입 총괄'!B31),",","")),"")</f>
        <v>23.5</v>
      </c>
      <c r="F27" s="19" t="n">
        <f aca="false">IFERROR(VALUE(SUBSTITUTE(TRIM('수출입 총괄'!C31),",","")),"")</f>
        <v>1027989</v>
      </c>
      <c r="G27" s="18" t="n">
        <f aca="false">IFERROR(VALUE(SUBSTITUTE(TRIM('수출입 총괄'!D31),",","")),"")</f>
        <v>16739947.8</v>
      </c>
      <c r="H27" s="19" t="n">
        <f aca="false">IFERROR(VALUE(SUBSTITUTE(TRIM('수출입 총괄'!E31),",","")),"")</f>
        <v>65843937</v>
      </c>
      <c r="I27" s="19" t="n">
        <f aca="false">IFERROR(VALUE(SUBSTITUTE(TRIM('수출입 총괄'!F31),",","")),"")</f>
        <v>4936713</v>
      </c>
      <c r="J27" s="18" t="n">
        <f aca="false">IFERROR(VALUE(SUBSTITUTE(TRIM('수출입 총괄'!G31),",","")),"")</f>
        <v>50015116.3</v>
      </c>
      <c r="K27" s="19" t="n">
        <f aca="false">IFERROR(VALUE(SUBSTITUTE(TRIM('수출입 총괄'!H31),",","")),"")</f>
        <v>57143469</v>
      </c>
      <c r="L27" s="19" t="n">
        <f aca="false">IFERROR(VALUE(SUBSTITUTE(TRIM('수출입 총괄'!I31),",","")),"")</f>
        <v>8700468</v>
      </c>
    </row>
    <row r="28" customFormat="false" ht="15" hidden="false" customHeight="true" outlineLevel="0" collapsed="false">
      <c r="A28" s="11" t="str">
        <f aca="false">TRIM('수출입 총괄'!A32)</f>
        <v>2026.02</v>
      </c>
      <c r="B28" s="17" t="n">
        <f aca="false">IFERROR(VALUE(LEFT($A28,4)),"")</f>
        <v>2026</v>
      </c>
      <c r="C28" s="17" t="n">
        <f aca="false">IFERROR(VALUE(RIGHT($A28,2)),"")</f>
        <v>2</v>
      </c>
      <c r="D28" s="17" t="n">
        <f aca="false">IFERROR(ROUNDUP($C28/3,0),"")</f>
        <v>1</v>
      </c>
      <c r="E28" s="18" t="n">
        <f aca="false">IFERROR(VALUE(SUBSTITUTE(TRIM('수출입 총괄'!B32),",","")),"")</f>
        <v>19</v>
      </c>
      <c r="F28" s="19" t="n">
        <f aca="false">IFERROR(VALUE(SUBSTITUTE(TRIM('수출입 총괄'!C32),",","")),"")</f>
        <v>970132</v>
      </c>
      <c r="G28" s="18" t="n">
        <f aca="false">IFERROR(VALUE(SUBSTITUTE(TRIM('수출입 총괄'!D32),",","")),"")</f>
        <v>15601517.8</v>
      </c>
      <c r="H28" s="19" t="n">
        <f aca="false">IFERROR(VALUE(SUBSTITUTE(TRIM('수출입 총괄'!E32),",","")),"")</f>
        <v>67642547</v>
      </c>
      <c r="I28" s="19" t="n">
        <f aca="false">IFERROR(VALUE(SUBSTITUTE(TRIM('수출입 총괄'!F32),",","")),"")</f>
        <v>4102805</v>
      </c>
      <c r="J28" s="18" t="n">
        <f aca="false">IFERROR(VALUE(SUBSTITUTE(TRIM('수출입 총괄'!G32),",","")),"")</f>
        <v>43303286.9</v>
      </c>
      <c r="K28" s="19" t="n">
        <f aca="false">IFERROR(VALUE(SUBSTITUTE(TRIM('수출입 총괄'!H32),",","")),"")</f>
        <v>51933913</v>
      </c>
      <c r="L28" s="19" t="n">
        <f aca="false">IFERROR(VALUE(SUBSTITUTE(TRIM('수출입 총괄'!I32),",","")),"")</f>
        <v>15708634</v>
      </c>
    </row>
    <row r="29" customFormat="false" ht="15" hidden="false" customHeight="true" outlineLevel="0" collapsed="false">
      <c r="A29" s="11" t="str">
        <f aca="false">TRIM('수출입 총괄'!A33)</f>
        <v>2026.03</v>
      </c>
      <c r="B29" s="17" t="n">
        <f aca="false">IFERROR(VALUE(LEFT($A29,4)),"")</f>
        <v>2026</v>
      </c>
      <c r="C29" s="17" t="n">
        <f aca="false">IFERROR(VALUE(RIGHT($A29,2)),"")</f>
        <v>3</v>
      </c>
      <c r="D29" s="17" t="n">
        <f aca="false">IFERROR(ROUNDUP($C29/3,0),"")</f>
        <v>1</v>
      </c>
      <c r="E29" s="18" t="n">
        <f aca="false">IFERROR(VALUE(SUBSTITUTE(TRIM('수출입 총괄'!B33),",","")),"")</f>
        <v>23</v>
      </c>
      <c r="F29" s="19" t="n">
        <f aca="false">IFERROR(VALUE(SUBSTITUTE(TRIM('수출입 총괄'!C33),",","")),"")</f>
        <v>1439801</v>
      </c>
      <c r="G29" s="18" t="n">
        <f aca="false">IFERROR(VALUE(SUBSTITUTE(TRIM('수출입 총괄'!D33),",","")),"")</f>
        <v>16180252</v>
      </c>
      <c r="H29" s="19" t="n">
        <f aca="false">IFERROR(VALUE(SUBSTITUTE(TRIM('수출입 총괄'!E33),",","")),"")</f>
        <v>87333128</v>
      </c>
      <c r="I29" s="19" t="n">
        <f aca="false">IFERROR(VALUE(SUBSTITUTE(TRIM('수출입 총괄'!F33),",","")),"")</f>
        <v>5237532</v>
      </c>
      <c r="J29" s="18" t="n">
        <f aca="false">IFERROR(VALUE(SUBSTITUTE(TRIM('수출입 총괄'!G33),",","")),"")</f>
        <v>43965413.1</v>
      </c>
      <c r="K29" s="19" t="n">
        <f aca="false">IFERROR(VALUE(SUBSTITUTE(TRIM('수출입 총괄'!H33),",","")),"")</f>
        <v>60753446</v>
      </c>
      <c r="L29" s="19" t="n">
        <f aca="false">IFERROR(VALUE(SUBSTITUTE(TRIM('수출입 총괄'!I33),",","")),"")</f>
        <v>26579682</v>
      </c>
    </row>
    <row r="30" customFormat="false" ht="15" hidden="false" customHeight="true" outlineLevel="0" collapsed="false">
      <c r="A30" s="11" t="str">
        <f aca="false">TRIM('수출입 총괄'!A34)</f>
        <v>2026.04</v>
      </c>
      <c r="B30" s="17" t="n">
        <f aca="false">IFERROR(VALUE(LEFT($A30,4)),"")</f>
        <v>2026</v>
      </c>
      <c r="C30" s="17" t="n">
        <f aca="false">IFERROR(VALUE(RIGHT($A30,2)),"")</f>
        <v>4</v>
      </c>
      <c r="D30" s="17" t="n">
        <f aca="false">IFERROR(ROUNDUP($C30/3,0),"")</f>
        <v>2</v>
      </c>
      <c r="E30" s="18" t="n">
        <f aca="false">IFERROR(VALUE(SUBSTITUTE(TRIM('수출입 총괄'!B34),",","")),"")</f>
        <v>24</v>
      </c>
      <c r="F30" s="19" t="n">
        <f aca="false">IFERROR(VALUE(SUBSTITUTE(TRIM('수출입 총괄'!C34),",","")),"")</f>
        <v>1130727</v>
      </c>
      <c r="G30" s="18" t="n">
        <f aca="false">IFERROR(VALUE(SUBSTITUTE(TRIM('수출입 총괄'!D34),",","")),"")</f>
        <v>14413704.2</v>
      </c>
      <c r="H30" s="19" t="n">
        <f aca="false">IFERROR(VALUE(SUBSTITUTE(TRIM('수출입 총괄'!E34),",","")),"")</f>
        <v>85751883</v>
      </c>
      <c r="I30" s="19" t="n">
        <f aca="false">IFERROR(VALUE(SUBSTITUTE(TRIM('수출입 총괄'!F34),",","")),"")</f>
        <v>5105811</v>
      </c>
      <c r="J30" s="18" t="n">
        <f aca="false">IFERROR(VALUE(SUBSTITUTE(TRIM('수출입 총괄'!G34),",","")),"")</f>
        <v>41998480.7</v>
      </c>
      <c r="K30" s="19" t="n">
        <f aca="false">IFERROR(VALUE(SUBSTITUTE(TRIM('수출입 총괄'!H34),",","")),"")</f>
        <v>62104908</v>
      </c>
      <c r="L30" s="19" t="n">
        <f aca="false">IFERROR(VALUE(SUBSTITUTE(TRIM('수출입 총괄'!I34),",","")),"")</f>
        <v>23646975</v>
      </c>
    </row>
    <row r="31" customFormat="false" ht="15" hidden="false" customHeight="true" outlineLevel="0" collapsed="false">
      <c r="A31" s="11" t="str">
        <f aca="false">TRIM('수출입 총괄'!A35)</f>
        <v>2026.05</v>
      </c>
      <c r="B31" s="17" t="n">
        <f aca="false">IFERROR(VALUE(LEFT($A31,4)),"")</f>
        <v>2026</v>
      </c>
      <c r="C31" s="17" t="n">
        <f aca="false">IFERROR(VALUE(RIGHT($A31,2)),"")</f>
        <v>5</v>
      </c>
      <c r="D31" s="17" t="n">
        <f aca="false">IFERROR(ROUNDUP($C31/3,0),"")</f>
        <v>2</v>
      </c>
      <c r="E31" s="18" t="n">
        <f aca="false">IFERROR(VALUE(SUBSTITUTE(TRIM('수출입 총괄'!B35),",","")),"")</f>
        <v>20.5</v>
      </c>
      <c r="F31" s="19" t="n">
        <f aca="false">IFERROR(VALUE(SUBSTITUTE(TRIM('수출입 총괄'!C35),",","")),"")</f>
        <v>993936</v>
      </c>
      <c r="G31" s="18" t="n">
        <f aca="false">IFERROR(VALUE(SUBSTITUTE(TRIM('수출입 총괄'!D35),",","")),"")</f>
        <v>13589511.3</v>
      </c>
      <c r="H31" s="19" t="n">
        <f aca="false">IFERROR(VALUE(SUBSTITUTE(TRIM('수출입 총괄'!E35),",","")),"")</f>
        <v>87576083</v>
      </c>
      <c r="I31" s="19" t="n">
        <f aca="false">IFERROR(VALUE(SUBSTITUTE(TRIM('수출입 총괄'!F35),",","")),"")</f>
        <v>4874306</v>
      </c>
      <c r="J31" s="18" t="n">
        <f aca="false">IFERROR(VALUE(SUBSTITUTE(TRIM('수출입 총괄'!G35),",","")),"")</f>
        <v>39727515.1</v>
      </c>
      <c r="K31" s="19" t="n">
        <f aca="false">IFERROR(VALUE(SUBSTITUTE(TRIM('수출입 총괄'!H35),",","")),"")</f>
        <v>60748350</v>
      </c>
      <c r="L31" s="19" t="n">
        <f aca="false">IFERROR(VALUE(SUBSTITUTE(TRIM('수출입 총괄'!I35),",","")),"")</f>
        <v>26827733</v>
      </c>
    </row>
    <row r="32" customFormat="false" ht="15" hidden="false" customHeight="true" outlineLevel="0" collapsed="false">
      <c r="A32" s="11" t="str">
        <f aca="false">TRIM('수출입 총괄'!A36)</f>
        <v>2026.06</v>
      </c>
      <c r="B32" s="17" t="n">
        <f aca="false">IFERROR(VALUE(LEFT($A32,4)),"")</f>
        <v>2026</v>
      </c>
      <c r="C32" s="17" t="n">
        <f aca="false">IFERROR(VALUE(RIGHT($A32,2)),"")</f>
        <v>6</v>
      </c>
      <c r="D32" s="17" t="n">
        <f aca="false">IFERROR(ROUNDUP($C32/3,0),"")</f>
        <v>2</v>
      </c>
      <c r="E32" s="18" t="n">
        <f aca="false">IFERROR(VALUE(SUBSTITUTE(TRIM('수출입 총괄'!B36),",","")),"")</f>
        <v>22.5</v>
      </c>
      <c r="F32" s="19" t="n">
        <f aca="false">IFERROR(VALUE(SUBSTITUTE(TRIM('수출입 총괄'!C36),",","")),"")</f>
        <v>1245865</v>
      </c>
      <c r="G32" s="18" t="n">
        <f aca="false">IFERROR(VALUE(SUBSTITUTE(TRIM('수출입 총괄'!D36),",","")),"")</f>
        <v>15687925.9</v>
      </c>
      <c r="H32" s="19" t="n">
        <f aca="false">IFERROR(VALUE(SUBSTITUTE(TRIM('수출입 총괄'!E36),",","")),"")</f>
        <v>101956159</v>
      </c>
      <c r="I32" s="19" t="n">
        <f aca="false">IFERROR(VALUE(SUBSTITUTE(TRIM('수출입 총괄'!F36),",","")),"")</f>
        <v>5044182</v>
      </c>
      <c r="J32" s="18" t="n">
        <f aca="false">IFERROR(VALUE(SUBSTITUTE(TRIM('수출입 총괄'!G36),",","")),"")</f>
        <v>43689062.2</v>
      </c>
      <c r="K32" s="19" t="n">
        <f aca="false">IFERROR(VALUE(SUBSTITUTE(TRIM('수출입 총괄'!H36),",","")),"")</f>
        <v>66051586</v>
      </c>
      <c r="L32" s="19" t="n">
        <f aca="false">IFERROR(VALUE(SUBSTITUTE(TRIM('수출입 총괄'!I36),",","")),"")</f>
        <v>35904573</v>
      </c>
    </row>
    <row r="33" customFormat="false" ht="15" hidden="false" customHeight="true" outlineLevel="0" collapsed="false">
      <c r="A33" s="11" t="str">
        <f aca="false">TRIM('수출입 총괄'!A37)</f>
        <v>2026.07</v>
      </c>
      <c r="B33" s="17" t="n">
        <f aca="false">IFERROR(VALUE(LEFT($A33,4)),"")</f>
        <v>2026</v>
      </c>
      <c r="C33" s="17" t="n">
        <f aca="false">IFERROR(VALUE(RIGHT($A33,2)),"")</f>
        <v>7</v>
      </c>
      <c r="D33" s="17" t="n">
        <f aca="false">IFERROR(ROUNDUP($C33/3,0),"")</f>
        <v>3</v>
      </c>
      <c r="E33" s="18" t="n">
        <f aca="false">IFERROR(VALUE(SUBSTITUTE(TRIM('수출입 총괄'!B37),",","")),"")</f>
        <v>24</v>
      </c>
      <c r="F33" s="19" t="n">
        <f aca="false">IFERROR(VALUE(SUBSTITUTE(TRIM('수출입 총괄'!C37),",","")),"")</f>
        <v>1111934</v>
      </c>
      <c r="G33" s="18" t="n">
        <f aca="false">IFERROR(VALUE(SUBSTITUTE(TRIM('수출입 총괄'!D37),",","")),"")</f>
        <v>17660680.7</v>
      </c>
      <c r="H33" s="19" t="n">
        <f aca="false">IFERROR(VALUE(SUBSTITUTE(TRIM('수출입 총괄'!E37),",","")),"")</f>
        <v>98959099</v>
      </c>
      <c r="I33" s="19" t="n">
        <f aca="false">IFERROR(VALUE(SUBSTITUTE(TRIM('수출입 총괄'!F37),",","")),"")</f>
        <v>5158848</v>
      </c>
      <c r="J33" s="18" t="n">
        <f aca="false">IFERROR(VALUE(SUBSTITUTE(TRIM('수출입 총괄'!G37),",","")),"")</f>
        <v>51144176.2</v>
      </c>
      <c r="K33" s="19" t="n">
        <f aca="false">IFERROR(VALUE(SUBSTITUTE(TRIM('수출입 총괄'!H37),",","")),"")</f>
        <v>68567473</v>
      </c>
      <c r="L33" s="19" t="n">
        <f aca="false">IFERROR(VALUE(SUBSTITUTE(TRIM('수출입 총괄'!I37),",","")),"")</f>
        <v>30391625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6" min="5" style="1" width="34"/>
    <col collapsed="false" customWidth="true" hidden="false" outlineLevel="0" max="11" min="7" style="1" width="12"/>
  </cols>
  <sheetData>
    <row r="1" customFormat="false" ht="15" hidden="false" customHeight="true" outlineLevel="0" collapsed="false">
      <c r="A1" s="15" t="s">
        <v>19652</v>
      </c>
    </row>
    <row r="2" customFormat="false" ht="15" hidden="false" customHeight="true" outlineLevel="0" collapsed="false">
      <c r="A2" s="16" t="s">
        <v>56</v>
      </c>
      <c r="B2" s="16" t="s">
        <v>19653</v>
      </c>
      <c r="C2" s="16" t="s">
        <v>19654</v>
      </c>
      <c r="D2" s="16" t="s">
        <v>19655</v>
      </c>
      <c r="E2" s="20" t="s">
        <v>19656</v>
      </c>
      <c r="F2" s="16" t="s">
        <v>337</v>
      </c>
      <c r="G2" s="16" t="s">
        <v>59</v>
      </c>
      <c r="H2" s="16" t="s">
        <v>60</v>
      </c>
      <c r="I2" s="16" t="s">
        <v>338</v>
      </c>
      <c r="J2" s="16" t="s">
        <v>339</v>
      </c>
      <c r="K2" s="16" t="s">
        <v>64</v>
      </c>
    </row>
    <row r="3" customFormat="false" ht="15" hidden="false" customHeight="true" outlineLevel="0" collapsed="false">
      <c r="A3" s="11" t="str">
        <f aca="false">TRIM('수출입 실적(품목별)'!A7)</f>
        <v>2024.01</v>
      </c>
      <c r="B3" s="17" t="n">
        <f aca="false">IFERROR(VALUE(LEFT($A3,4)),"")</f>
        <v>2024</v>
      </c>
      <c r="C3" s="17" t="n">
        <f aca="false">IFERROR(VALUE(RIGHT($A3,2)),"")</f>
        <v>1</v>
      </c>
      <c r="D3" s="17" t="n">
        <f aca="false">IFERROR(ROUNDUP($C3/3,0),"")</f>
        <v>1</v>
      </c>
      <c r="E3" s="11" t="str">
        <f aca="false">TRIM('수출입 실적(품목별)'!B7)</f>
        <v>01</v>
      </c>
      <c r="F3" s="11" t="str">
        <f aca="false">TRIM('수출입 실적(품목별)'!C7)</f>
        <v>살아 있는 동물</v>
      </c>
      <c r="G3" s="18" t="n">
        <f aca="false">IFERROR(VALUE(SUBSTITUTE(TRIM('수출입 실적(품목별)'!D7),",","")),"")</f>
        <v>1.9</v>
      </c>
      <c r="H3" s="19" t="n">
        <f aca="false">IFERROR(VALUE(SUBSTITUTE(TRIM('수출입 실적(품목별)'!E7),",","")),"")</f>
        <v>697</v>
      </c>
      <c r="I3" s="18" t="n">
        <f aca="false">IFERROR(VALUE(SUBSTITUTE(TRIM('수출입 실적(품목별)'!F7),",","")),"")</f>
        <v>78.1</v>
      </c>
      <c r="J3" s="19" t="n">
        <f aca="false">IFERROR(VALUE(SUBSTITUTE(TRIM('수출입 실적(품목별)'!G7),",","")),"")</f>
        <v>5631</v>
      </c>
      <c r="K3" s="19" t="n">
        <f aca="false">IFERROR(VALUE(SUBSTITUTE(TRIM('수출입 실적(품목별)'!H7),",","")),"")</f>
        <v>-4934</v>
      </c>
    </row>
    <row r="4" customFormat="false" ht="15" hidden="false" customHeight="true" outlineLevel="0" collapsed="false">
      <c r="A4" s="11" t="str">
        <f aca="false">TRIM('수출입 실적(품목별)'!A8)</f>
        <v>2024.01</v>
      </c>
      <c r="B4" s="17" t="n">
        <f aca="false">IFERROR(VALUE(LEFT($A4,4)),"")</f>
        <v>2024</v>
      </c>
      <c r="C4" s="17" t="n">
        <f aca="false">IFERROR(VALUE(RIGHT($A4,2)),"")</f>
        <v>1</v>
      </c>
      <c r="D4" s="17" t="n">
        <f aca="false">IFERROR(ROUNDUP($C4/3,0),"")</f>
        <v>1</v>
      </c>
      <c r="E4" s="11" t="str">
        <f aca="false">TRIM('수출입 실적(품목별)'!B8)</f>
        <v>02</v>
      </c>
      <c r="F4" s="11" t="str">
        <f aca="false">TRIM('수출입 실적(품목별)'!C8)</f>
        <v>육과 식용 설육(屑肉)</v>
      </c>
      <c r="G4" s="18" t="n">
        <f aca="false">IFERROR(VALUE(SUBSTITUTE(TRIM('수출입 실적(품목별)'!D8),",","")),"")</f>
        <v>3806.5</v>
      </c>
      <c r="H4" s="19" t="n">
        <f aca="false">IFERROR(VALUE(SUBSTITUTE(TRIM('수출입 실적(품목별)'!E8),",","")),"")</f>
        <v>5389</v>
      </c>
      <c r="I4" s="18" t="n">
        <f aca="false">IFERROR(VALUE(SUBSTITUTE(TRIM('수출입 실적(품목별)'!F8),",","")),"")</f>
        <v>154357.2</v>
      </c>
      <c r="J4" s="19" t="n">
        <f aca="false">IFERROR(VALUE(SUBSTITUTE(TRIM('수출입 실적(품목별)'!G8),",","")),"")</f>
        <v>823919</v>
      </c>
      <c r="K4" s="19" t="n">
        <f aca="false">IFERROR(VALUE(SUBSTITUTE(TRIM('수출입 실적(품목별)'!H8),",","")),"")</f>
        <v>-818530</v>
      </c>
    </row>
    <row r="5" customFormat="false" ht="15" hidden="false" customHeight="true" outlineLevel="0" collapsed="false">
      <c r="A5" s="11" t="str">
        <f aca="false">TRIM('수출입 실적(품목별)'!A9)</f>
        <v>2024.01</v>
      </c>
      <c r="B5" s="17" t="n">
        <f aca="false">IFERROR(VALUE(LEFT($A5,4)),"")</f>
        <v>2024</v>
      </c>
      <c r="C5" s="17" t="n">
        <f aca="false">IFERROR(VALUE(RIGHT($A5,2)),"")</f>
        <v>1</v>
      </c>
      <c r="D5" s="17" t="n">
        <f aca="false">IFERROR(ROUNDUP($C5/3,0),"")</f>
        <v>1</v>
      </c>
      <c r="E5" s="11" t="str">
        <f aca="false">TRIM('수출입 실적(품목별)'!B9)</f>
        <v>03</v>
      </c>
      <c r="F5" s="11" t="str">
        <f aca="false">TRIM('수출입 실적(품목별)'!C9)</f>
        <v>어류ㆍ갑각류ㆍ연체동물과 그 밖의 수생(水生) 무척추동물</v>
      </c>
      <c r="G5" s="18" t="n">
        <f aca="false">IFERROR(VALUE(SUBSTITUTE(TRIM('수출입 실적(품목별)'!D9),",","")),"")</f>
        <v>45908.2</v>
      </c>
      <c r="H5" s="19" t="n">
        <f aca="false">IFERROR(VALUE(SUBSTITUTE(TRIM('수출입 실적(품목별)'!E9),",","")),"")</f>
        <v>128716</v>
      </c>
      <c r="I5" s="18" t="n">
        <f aca="false">IFERROR(VALUE(SUBSTITUTE(TRIM('수출입 실적(품목별)'!F9),",","")),"")</f>
        <v>119002.6</v>
      </c>
      <c r="J5" s="19" t="n">
        <f aca="false">IFERROR(VALUE(SUBSTITUTE(TRIM('수출입 실적(품목별)'!G9),",","")),"")</f>
        <v>424949</v>
      </c>
      <c r="K5" s="19" t="n">
        <f aca="false">IFERROR(VALUE(SUBSTITUTE(TRIM('수출입 실적(품목별)'!H9),",","")),"")</f>
        <v>-296232</v>
      </c>
    </row>
    <row r="6" customFormat="false" ht="15" hidden="false" customHeight="true" outlineLevel="0" collapsed="false">
      <c r="A6" s="11" t="str">
        <f aca="false">TRIM('수출입 실적(품목별)'!A10)</f>
        <v>2024.01</v>
      </c>
      <c r="B6" s="17" t="n">
        <f aca="false">IFERROR(VALUE(LEFT($A6,4)),"")</f>
        <v>2024</v>
      </c>
      <c r="C6" s="17" t="n">
        <f aca="false">IFERROR(VALUE(RIGHT($A6,2)),"")</f>
        <v>1</v>
      </c>
      <c r="D6" s="17" t="n">
        <f aca="false">IFERROR(ROUNDUP($C6/3,0),"")</f>
        <v>1</v>
      </c>
      <c r="E6" s="11" t="str">
        <f aca="false">TRIM('수출입 실적(품목별)'!B10)</f>
        <v>04</v>
      </c>
      <c r="F6" s="11" t="str">
        <f aca="false">TRIM('수출입 실적(품목별)'!C10)</f>
        <v>낙농품, 새의 알, 천연꿀, 다른 류로 분류되지 않은 식용인 동물성 생산품</v>
      </c>
      <c r="G6" s="18" t="n">
        <f aca="false">IFERROR(VALUE(SUBSTITUTE(TRIM('수출입 실적(품목별)'!D10),",","")),"")</f>
        <v>2995.9</v>
      </c>
      <c r="H6" s="19" t="n">
        <f aca="false">IFERROR(VALUE(SUBSTITUTE(TRIM('수출입 실적(품목별)'!E10),",","")),"")</f>
        <v>7500</v>
      </c>
      <c r="I6" s="18" t="n">
        <f aca="false">IFERROR(VALUE(SUBSTITUTE(TRIM('수출입 실적(품목별)'!F10),",","")),"")</f>
        <v>23072.3</v>
      </c>
      <c r="J6" s="19" t="n">
        <f aca="false">IFERROR(VALUE(SUBSTITUTE(TRIM('수출입 실적(품목별)'!G10),",","")),"")</f>
        <v>93645</v>
      </c>
      <c r="K6" s="19" t="n">
        <f aca="false">IFERROR(VALUE(SUBSTITUTE(TRIM('수출입 실적(품목별)'!H10),",","")),"")</f>
        <v>-86145</v>
      </c>
    </row>
    <row r="7" customFormat="false" ht="15" hidden="false" customHeight="true" outlineLevel="0" collapsed="false">
      <c r="A7" s="11" t="str">
        <f aca="false">TRIM('수출입 실적(품목별)'!A11)</f>
        <v>2024.01</v>
      </c>
      <c r="B7" s="17" t="n">
        <f aca="false">IFERROR(VALUE(LEFT($A7,4)),"")</f>
        <v>2024</v>
      </c>
      <c r="C7" s="17" t="n">
        <f aca="false">IFERROR(VALUE(RIGHT($A7,2)),"")</f>
        <v>1</v>
      </c>
      <c r="D7" s="17" t="n">
        <f aca="false">IFERROR(ROUNDUP($C7/3,0),"")</f>
        <v>1</v>
      </c>
      <c r="E7" s="11" t="str">
        <f aca="false">TRIM('수출입 실적(품목별)'!B11)</f>
        <v>05</v>
      </c>
      <c r="F7" s="11" t="str">
        <f aca="false">TRIM('수출입 실적(품목별)'!C11)</f>
        <v>다른 류로 분류되지 않은 동물성 생산품</v>
      </c>
      <c r="G7" s="18" t="n">
        <f aca="false">IFERROR(VALUE(SUBSTITUTE(TRIM('수출입 실적(품목별)'!D11),",","")),"")</f>
        <v>1211.7</v>
      </c>
      <c r="H7" s="19" t="n">
        <f aca="false">IFERROR(VALUE(SUBSTITUTE(TRIM('수출입 실적(품목별)'!E11),",","")),"")</f>
        <v>3306</v>
      </c>
      <c r="I7" s="18" t="n">
        <f aca="false">IFERROR(VALUE(SUBSTITUTE(TRIM('수출입 실적(품목별)'!F11),",","")),"")</f>
        <v>5691</v>
      </c>
      <c r="J7" s="19" t="n">
        <f aca="false">IFERROR(VALUE(SUBSTITUTE(TRIM('수출입 실적(품목별)'!G11),",","")),"")</f>
        <v>28749</v>
      </c>
      <c r="K7" s="19" t="n">
        <f aca="false">IFERROR(VALUE(SUBSTITUTE(TRIM('수출입 실적(품목별)'!H11),",","")),"")</f>
        <v>-25443</v>
      </c>
    </row>
    <row r="8" customFormat="false" ht="15" hidden="false" customHeight="true" outlineLevel="0" collapsed="false">
      <c r="A8" s="11" t="str">
        <f aca="false">TRIM('수출입 실적(품목별)'!A12)</f>
        <v>2024.01</v>
      </c>
      <c r="B8" s="17" t="n">
        <f aca="false">IFERROR(VALUE(LEFT($A8,4)),"")</f>
        <v>2024</v>
      </c>
      <c r="C8" s="17" t="n">
        <f aca="false">IFERROR(VALUE(RIGHT($A8,2)),"")</f>
        <v>1</v>
      </c>
      <c r="D8" s="17" t="n">
        <f aca="false">IFERROR(ROUNDUP($C8/3,0),"")</f>
        <v>1</v>
      </c>
      <c r="E8" s="11" t="str">
        <f aca="false">TRIM('수출입 실적(품목별)'!B12)</f>
        <v>06</v>
      </c>
      <c r="F8" s="11" t="str">
        <f aca="false">TRIM('수출입 실적(품목별)'!C12)</f>
        <v>살아 있는 수목과 그 밖의 식물, 인경(鱗莖)ㆍ뿌리와 이와 유사한 물품, 절화(切花)와 장식용 잎</v>
      </c>
      <c r="G8" s="18" t="n">
        <f aca="false">IFERROR(VALUE(SUBSTITUTE(TRIM('수출입 실적(품목별)'!D12),",","")),"")</f>
        <v>67.8</v>
      </c>
      <c r="H8" s="19" t="n">
        <f aca="false">IFERROR(VALUE(SUBSTITUTE(TRIM('수출입 실적(품목별)'!E12),",","")),"")</f>
        <v>856</v>
      </c>
      <c r="I8" s="18" t="n">
        <f aca="false">IFERROR(VALUE(SUBSTITUTE(TRIM('수출입 실적(품목별)'!F12),",","")),"")</f>
        <v>8667.7</v>
      </c>
      <c r="J8" s="19" t="n">
        <f aca="false">IFERROR(VALUE(SUBSTITUTE(TRIM('수출입 실적(품목별)'!G12),",","")),"")</f>
        <v>15350</v>
      </c>
      <c r="K8" s="19" t="n">
        <f aca="false">IFERROR(VALUE(SUBSTITUTE(TRIM('수출입 실적(품목별)'!H12),",","")),"")</f>
        <v>-14494</v>
      </c>
    </row>
    <row r="9" customFormat="false" ht="15" hidden="false" customHeight="true" outlineLevel="0" collapsed="false">
      <c r="A9" s="11" t="str">
        <f aca="false">TRIM('수출입 실적(품목별)'!A13)</f>
        <v>2024.01</v>
      </c>
      <c r="B9" s="17" t="n">
        <f aca="false">IFERROR(VALUE(LEFT($A9,4)),"")</f>
        <v>2024</v>
      </c>
      <c r="C9" s="17" t="n">
        <f aca="false">IFERROR(VALUE(RIGHT($A9,2)),"")</f>
        <v>1</v>
      </c>
      <c r="D9" s="17" t="n">
        <f aca="false">IFERROR(ROUNDUP($C9/3,0),"")</f>
        <v>1</v>
      </c>
      <c r="E9" s="11" t="str">
        <f aca="false">TRIM('수출입 실적(품목별)'!B13)</f>
        <v>07</v>
      </c>
      <c r="F9" s="11" t="str">
        <f aca="false">TRIM('수출입 실적(품목별)'!C13)</f>
        <v>식용의 채소ㆍ뿌리ㆍ괴경(塊莖)</v>
      </c>
      <c r="G9" s="18" t="n">
        <f aca="false">IFERROR(VALUE(SUBSTITUTE(TRIM('수출입 실적(품목별)'!D13),",","")),"")</f>
        <v>5191.9</v>
      </c>
      <c r="H9" s="19" t="n">
        <f aca="false">IFERROR(VALUE(SUBSTITUTE(TRIM('수출입 실적(품목별)'!E13),",","")),"")</f>
        <v>10899</v>
      </c>
      <c r="I9" s="18" t="n">
        <f aca="false">IFERROR(VALUE(SUBSTITUTE(TRIM('수출입 실적(품목별)'!F13),",","")),"")</f>
        <v>103820.8</v>
      </c>
      <c r="J9" s="19" t="n">
        <f aca="false">IFERROR(VALUE(SUBSTITUTE(TRIM('수출입 실적(품목별)'!G13),",","")),"")</f>
        <v>86850</v>
      </c>
      <c r="K9" s="19" t="n">
        <f aca="false">IFERROR(VALUE(SUBSTITUTE(TRIM('수출입 실적(품목별)'!H13),",","")),"")</f>
        <v>-75951</v>
      </c>
    </row>
    <row r="10" customFormat="false" ht="15" hidden="false" customHeight="true" outlineLevel="0" collapsed="false">
      <c r="A10" s="11" t="str">
        <f aca="false">TRIM('수출입 실적(품목별)'!A14)</f>
        <v>2024.01</v>
      </c>
      <c r="B10" s="17" t="n">
        <f aca="false">IFERROR(VALUE(LEFT($A10,4)),"")</f>
        <v>2024</v>
      </c>
      <c r="C10" s="17" t="n">
        <f aca="false">IFERROR(VALUE(RIGHT($A10,2)),"")</f>
        <v>1</v>
      </c>
      <c r="D10" s="17" t="n">
        <f aca="false">IFERROR(ROUNDUP($C10/3,0),"")</f>
        <v>1</v>
      </c>
      <c r="E10" s="11" t="str">
        <f aca="false">TRIM('수출입 실적(품목별)'!B14)</f>
        <v>08</v>
      </c>
      <c r="F10" s="11" t="str">
        <f aca="false">TRIM('수출입 실적(품목별)'!C14)</f>
        <v>식용의 과실과 견과류, 감귤류ㆍ멜론의 껍질</v>
      </c>
      <c r="G10" s="18" t="n">
        <f aca="false">IFERROR(VALUE(SUBSTITUTE(TRIM('수출입 실적(품목별)'!D14),",","")),"")</f>
        <v>2972.4</v>
      </c>
      <c r="H10" s="19" t="n">
        <f aca="false">IFERROR(VALUE(SUBSTITUTE(TRIM('수출입 실적(품목별)'!E14),",","")),"")</f>
        <v>26827</v>
      </c>
      <c r="I10" s="18" t="n">
        <f aca="false">IFERROR(VALUE(SUBSTITUTE(TRIM('수출입 실적(품목별)'!F14),",","")),"")</f>
        <v>67690.2</v>
      </c>
      <c r="J10" s="19" t="n">
        <f aca="false">IFERROR(VALUE(SUBSTITUTE(TRIM('수출입 실적(품목별)'!G14),",","")),"")</f>
        <v>159724</v>
      </c>
      <c r="K10" s="19" t="n">
        <f aca="false">IFERROR(VALUE(SUBSTITUTE(TRIM('수출입 실적(품목별)'!H14),",","")),"")</f>
        <v>-132897</v>
      </c>
    </row>
    <row r="11" customFormat="false" ht="15" hidden="false" customHeight="true" outlineLevel="0" collapsed="false">
      <c r="A11" s="11" t="str">
        <f aca="false">TRIM('수출입 실적(품목별)'!A15)</f>
        <v>2024.01</v>
      </c>
      <c r="B11" s="17" t="n">
        <f aca="false">IFERROR(VALUE(LEFT($A11,4)),"")</f>
        <v>2024</v>
      </c>
      <c r="C11" s="17" t="n">
        <f aca="false">IFERROR(VALUE(RIGHT($A11,2)),"")</f>
        <v>1</v>
      </c>
      <c r="D11" s="17" t="n">
        <f aca="false">IFERROR(ROUNDUP($C11/3,0),"")</f>
        <v>1</v>
      </c>
      <c r="E11" s="11" t="str">
        <f aca="false">TRIM('수출입 실적(품목별)'!B15)</f>
        <v>09</v>
      </c>
      <c r="F11" s="11" t="str">
        <f aca="false">TRIM('수출입 실적(품목별)'!C15)</f>
        <v>커피ㆍ차ㆍ마테(maté)ㆍ향신료</v>
      </c>
      <c r="G11" s="18" t="n">
        <f aca="false">IFERROR(VALUE(SUBSTITUTE(TRIM('수출입 실적(품목별)'!D15),",","")),"")</f>
        <v>385</v>
      </c>
      <c r="H11" s="19" t="n">
        <f aca="false">IFERROR(VALUE(SUBSTITUTE(TRIM('수출입 실적(품목별)'!E15),",","")),"")</f>
        <v>3239</v>
      </c>
      <c r="I11" s="18" t="n">
        <f aca="false">IFERROR(VALUE(SUBSTITUTE(TRIM('수출입 실적(품목별)'!F15),",","")),"")</f>
        <v>21378.1</v>
      </c>
      <c r="J11" s="19" t="n">
        <f aca="false">IFERROR(VALUE(SUBSTITUTE(TRIM('수출입 실적(품목별)'!G15),",","")),"")</f>
        <v>103751</v>
      </c>
      <c r="K11" s="19" t="n">
        <f aca="false">IFERROR(VALUE(SUBSTITUTE(TRIM('수출입 실적(품목별)'!H15),",","")),"")</f>
        <v>-100511</v>
      </c>
    </row>
    <row r="12" customFormat="false" ht="15" hidden="false" customHeight="true" outlineLevel="0" collapsed="false">
      <c r="A12" s="11" t="str">
        <f aca="false">TRIM('수출입 실적(품목별)'!A16)</f>
        <v>2024.01</v>
      </c>
      <c r="B12" s="17" t="n">
        <f aca="false">IFERROR(VALUE(LEFT($A12,4)),"")</f>
        <v>2024</v>
      </c>
      <c r="C12" s="17" t="n">
        <f aca="false">IFERROR(VALUE(RIGHT($A12,2)),"")</f>
        <v>1</v>
      </c>
      <c r="D12" s="17" t="n">
        <f aca="false">IFERROR(ROUNDUP($C12/3,0),"")</f>
        <v>1</v>
      </c>
      <c r="E12" s="11" t="str">
        <f aca="false">TRIM('수출입 실적(품목별)'!B16)</f>
        <v>10</v>
      </c>
      <c r="F12" s="11" t="str">
        <f aca="false">TRIM('수출입 실적(품목별)'!C16)</f>
        <v>곡물</v>
      </c>
      <c r="G12" s="18" t="n">
        <f aca="false">IFERROR(VALUE(SUBSTITUTE(TRIM('수출입 실적(품목별)'!D16),",","")),"")</f>
        <v>358.6</v>
      </c>
      <c r="H12" s="19" t="n">
        <f aca="false">IFERROR(VALUE(SUBSTITUTE(TRIM('수출입 실적(품목별)'!E16),",","")),"")</f>
        <v>918</v>
      </c>
      <c r="I12" s="18" t="n">
        <f aca="false">IFERROR(VALUE(SUBSTITUTE(TRIM('수출입 실적(품목별)'!F16),",","")),"")</f>
        <v>1451151.7</v>
      </c>
      <c r="J12" s="19" t="n">
        <f aca="false">IFERROR(VALUE(SUBSTITUTE(TRIM('수출입 실적(품목별)'!G16),",","")),"")</f>
        <v>450755</v>
      </c>
      <c r="K12" s="19" t="n">
        <f aca="false">IFERROR(VALUE(SUBSTITUTE(TRIM('수출입 실적(품목별)'!H16),",","")),"")</f>
        <v>-449837</v>
      </c>
    </row>
    <row r="13" customFormat="false" ht="15" hidden="false" customHeight="true" outlineLevel="0" collapsed="false">
      <c r="A13" s="11" t="str">
        <f aca="false">TRIM('수출입 실적(품목별)'!A17)</f>
        <v>2024.01</v>
      </c>
      <c r="B13" s="17" t="n">
        <f aca="false">IFERROR(VALUE(LEFT($A13,4)),"")</f>
        <v>2024</v>
      </c>
      <c r="C13" s="17" t="n">
        <f aca="false">IFERROR(VALUE(RIGHT($A13,2)),"")</f>
        <v>1</v>
      </c>
      <c r="D13" s="17" t="n">
        <f aca="false">IFERROR(ROUNDUP($C13/3,0),"")</f>
        <v>1</v>
      </c>
      <c r="E13" s="11" t="str">
        <f aca="false">TRIM('수출입 실적(품목별)'!B17)</f>
        <v>11</v>
      </c>
      <c r="F13" s="11" t="str">
        <f aca="false">TRIM('수출입 실적(품목별)'!C17)</f>
        <v>제분공업의 생산품과 맥아, 전분, 이눌린(inulin), 밀의 글루텐(gluten)</v>
      </c>
      <c r="G13" s="18" t="n">
        <f aca="false">IFERROR(VALUE(SUBSTITUTE(TRIM('수출입 실적(품목별)'!D17),",","")),"")</f>
        <v>5794.3</v>
      </c>
      <c r="H13" s="19" t="n">
        <f aca="false">IFERROR(VALUE(SUBSTITUTE(TRIM('수출입 실적(품목별)'!E17),",","")),"")</f>
        <v>4158</v>
      </c>
      <c r="I13" s="18" t="n">
        <f aca="false">IFERROR(VALUE(SUBSTITUTE(TRIM('수출입 실적(품목별)'!F17),",","")),"")</f>
        <v>31887.3</v>
      </c>
      <c r="J13" s="19" t="n">
        <f aca="false">IFERROR(VALUE(SUBSTITUTE(TRIM('수출입 실적(품목별)'!G17),",","")),"")</f>
        <v>28615</v>
      </c>
      <c r="K13" s="19" t="n">
        <f aca="false">IFERROR(VALUE(SUBSTITUTE(TRIM('수출입 실적(품목별)'!H17),",","")),"")</f>
        <v>-24457</v>
      </c>
    </row>
    <row r="14" customFormat="false" ht="15" hidden="false" customHeight="true" outlineLevel="0" collapsed="false">
      <c r="A14" s="11" t="str">
        <f aca="false">TRIM('수출입 실적(품목별)'!A18)</f>
        <v>2024.01</v>
      </c>
      <c r="B14" s="17" t="n">
        <f aca="false">IFERROR(VALUE(LEFT($A14,4)),"")</f>
        <v>2024</v>
      </c>
      <c r="C14" s="17" t="n">
        <f aca="false">IFERROR(VALUE(RIGHT($A14,2)),"")</f>
        <v>1</v>
      </c>
      <c r="D14" s="17" t="n">
        <f aca="false">IFERROR(ROUNDUP($C14/3,0),"")</f>
        <v>1</v>
      </c>
      <c r="E14" s="11" t="str">
        <f aca="false">TRIM('수출입 실적(품목별)'!B18)</f>
        <v>12</v>
      </c>
      <c r="F14" s="11" t="str">
        <f aca="false">TRIM('수출입 실적(품목별)'!C18)</f>
        <v>채유(採油)에 적합한 종자와 과실, 각종 종자와 과실, 공업용ㆍ의약용 식물, 짚과 사료용 식물</v>
      </c>
      <c r="G14" s="18" t="n">
        <f aca="false">IFERROR(VALUE(SUBSTITUTE(TRIM('수출입 실적(품목별)'!D18),",","")),"")</f>
        <v>2659.8</v>
      </c>
      <c r="H14" s="19" t="n">
        <f aca="false">IFERROR(VALUE(SUBSTITUTE(TRIM('수출입 실적(품목별)'!E18),",","")),"")</f>
        <v>46869</v>
      </c>
      <c r="I14" s="18" t="n">
        <f aca="false">IFERROR(VALUE(SUBSTITUTE(TRIM('수출입 실적(품목별)'!F18),",","")),"")</f>
        <v>265704.5</v>
      </c>
      <c r="J14" s="19" t="n">
        <f aca="false">IFERROR(VALUE(SUBSTITUTE(TRIM('수출입 실적(품목별)'!G18),",","")),"")</f>
        <v>164119</v>
      </c>
      <c r="K14" s="19" t="n">
        <f aca="false">IFERROR(VALUE(SUBSTITUTE(TRIM('수출입 실적(품목별)'!H18),",","")),"")</f>
        <v>-117250</v>
      </c>
    </row>
    <row r="15" customFormat="false" ht="15" hidden="false" customHeight="true" outlineLevel="0" collapsed="false">
      <c r="A15" s="11" t="str">
        <f aca="false">TRIM('수출입 실적(품목별)'!A19)</f>
        <v>2024.01</v>
      </c>
      <c r="B15" s="17" t="n">
        <f aca="false">IFERROR(VALUE(LEFT($A15,4)),"")</f>
        <v>2024</v>
      </c>
      <c r="C15" s="17" t="n">
        <f aca="false">IFERROR(VALUE(RIGHT($A15,2)),"")</f>
        <v>1</v>
      </c>
      <c r="D15" s="17" t="n">
        <f aca="false">IFERROR(ROUNDUP($C15/3,0),"")</f>
        <v>1</v>
      </c>
      <c r="E15" s="11" t="str">
        <f aca="false">TRIM('수출입 실적(품목별)'!B19)</f>
        <v>13</v>
      </c>
      <c r="F15" s="11" t="str">
        <f aca="false">TRIM('수출입 실적(품목별)'!C19)</f>
        <v>락(lac), 검ㆍ수지ㆍ그 밖의 식물성 수액과 추출물(extract)</v>
      </c>
      <c r="G15" s="18" t="n">
        <f aca="false">IFERROR(VALUE(SUBSTITUTE(TRIM('수출입 실적(품목별)'!D19),",","")),"")</f>
        <v>352.1</v>
      </c>
      <c r="H15" s="19" t="n">
        <f aca="false">IFERROR(VALUE(SUBSTITUTE(TRIM('수출입 실적(품목별)'!E19),",","")),"")</f>
        <v>8023</v>
      </c>
      <c r="I15" s="18" t="n">
        <f aca="false">IFERROR(VALUE(SUBSTITUTE(TRIM('수출입 실적(품목별)'!F19),",","")),"")</f>
        <v>8066.1</v>
      </c>
      <c r="J15" s="19" t="n">
        <f aca="false">IFERROR(VALUE(SUBSTITUTE(TRIM('수출입 실적(품목별)'!G19),",","")),"")</f>
        <v>24882</v>
      </c>
      <c r="K15" s="19" t="n">
        <f aca="false">IFERROR(VALUE(SUBSTITUTE(TRIM('수출입 실적(품목별)'!H19),",","")),"")</f>
        <v>-16859</v>
      </c>
    </row>
    <row r="16" customFormat="false" ht="15" hidden="false" customHeight="true" outlineLevel="0" collapsed="false">
      <c r="A16" s="11" t="str">
        <f aca="false">TRIM('수출입 실적(품목별)'!A20)</f>
        <v>2024.01</v>
      </c>
      <c r="B16" s="17" t="n">
        <f aca="false">IFERROR(VALUE(LEFT($A16,4)),"")</f>
        <v>2024</v>
      </c>
      <c r="C16" s="17" t="n">
        <f aca="false">IFERROR(VALUE(RIGHT($A16,2)),"")</f>
        <v>1</v>
      </c>
      <c r="D16" s="17" t="n">
        <f aca="false">IFERROR(ROUNDUP($C16/3,0),"")</f>
        <v>1</v>
      </c>
      <c r="E16" s="11" t="str">
        <f aca="false">TRIM('수출입 실적(품목별)'!B20)</f>
        <v>14</v>
      </c>
      <c r="F16" s="11" t="str">
        <f aca="false">TRIM('수출입 실적(품목별)'!C20)</f>
        <v>식물성 편조물(編組物)용 재료와 다른 류로 분류되지 않은 식물성 생산품</v>
      </c>
      <c r="G16" s="18" t="n">
        <f aca="false">IFERROR(VALUE(SUBSTITUTE(TRIM('수출입 실적(품목별)'!D20),",","")),"")</f>
        <v>17</v>
      </c>
      <c r="H16" s="19" t="n">
        <f aca="false">IFERROR(VALUE(SUBSTITUTE(TRIM('수출입 실적(품목별)'!E20),",","")),"")</f>
        <v>88</v>
      </c>
      <c r="I16" s="18" t="n">
        <f aca="false">IFERROR(VALUE(SUBSTITUTE(TRIM('수출입 실적(품목별)'!F20),",","")),"")</f>
        <v>16246.3</v>
      </c>
      <c r="J16" s="19" t="n">
        <f aca="false">IFERROR(VALUE(SUBSTITUTE(TRIM('수출입 실적(품목별)'!G20),",","")),"")</f>
        <v>4128</v>
      </c>
      <c r="K16" s="19" t="n">
        <f aca="false">IFERROR(VALUE(SUBSTITUTE(TRIM('수출입 실적(품목별)'!H20),",","")),"")</f>
        <v>-4040</v>
      </c>
    </row>
    <row r="17" customFormat="false" ht="15" hidden="false" customHeight="true" outlineLevel="0" collapsed="false">
      <c r="A17" s="11" t="str">
        <f aca="false">TRIM('수출입 실적(품목별)'!A21)</f>
        <v>2024.01</v>
      </c>
      <c r="B17" s="17" t="n">
        <f aca="false">IFERROR(VALUE(LEFT($A17,4)),"")</f>
        <v>2024</v>
      </c>
      <c r="C17" s="17" t="n">
        <f aca="false">IFERROR(VALUE(RIGHT($A17,2)),"")</f>
        <v>1</v>
      </c>
      <c r="D17" s="17" t="n">
        <f aca="false">IFERROR(ROUNDUP($C17/3,0),"")</f>
        <v>1</v>
      </c>
      <c r="E17" s="11" t="str">
        <f aca="false">TRIM('수출입 실적(품목별)'!B21)</f>
        <v>15</v>
      </c>
      <c r="F17" s="11" t="str">
        <f aca="false">TRIM('수출입 실적(품목별)'!C21)</f>
        <v>동물성ㆍ식물성ㆍ미생물성 지방과 기름 및이들의 분해생산물, 조제한 식용 지방과 동물성ㆍ식물성 왁스</v>
      </c>
      <c r="G17" s="18" t="n">
        <f aca="false">IFERROR(VALUE(SUBSTITUTE(TRIM('수출입 실적(품목별)'!D21),",","")),"")</f>
        <v>4629.2</v>
      </c>
      <c r="H17" s="19" t="n">
        <f aca="false">IFERROR(VALUE(SUBSTITUTE(TRIM('수출입 실적(품목별)'!E21),",","")),"")</f>
        <v>6136</v>
      </c>
      <c r="I17" s="18" t="n">
        <f aca="false">IFERROR(VALUE(SUBSTITUTE(TRIM('수출입 실적(품목별)'!F21),",","")),"")</f>
        <v>102620.1</v>
      </c>
      <c r="J17" s="19" t="n">
        <f aca="false">IFERROR(VALUE(SUBSTITUTE(TRIM('수출입 실적(품목별)'!G21),",","")),"")</f>
        <v>132488</v>
      </c>
      <c r="K17" s="19" t="n">
        <f aca="false">IFERROR(VALUE(SUBSTITUTE(TRIM('수출입 실적(품목별)'!H21),",","")),"")</f>
        <v>-126352</v>
      </c>
    </row>
    <row r="18" customFormat="false" ht="15" hidden="false" customHeight="true" outlineLevel="0" collapsed="false">
      <c r="A18" s="11" t="str">
        <f aca="false">TRIM('수출입 실적(품목별)'!A22)</f>
        <v>2024.01</v>
      </c>
      <c r="B18" s="17" t="n">
        <f aca="false">IFERROR(VALUE(LEFT($A18,4)),"")</f>
        <v>2024</v>
      </c>
      <c r="C18" s="17" t="n">
        <f aca="false">IFERROR(VALUE(RIGHT($A18,2)),"")</f>
        <v>1</v>
      </c>
      <c r="D18" s="17" t="n">
        <f aca="false">IFERROR(ROUNDUP($C18/3,0),"")</f>
        <v>1</v>
      </c>
      <c r="E18" s="11" t="str">
        <f aca="false">TRIM('수출입 실적(품목별)'!B22)</f>
        <v>16</v>
      </c>
      <c r="F18" s="11" t="str">
        <f aca="false">TRIM('수출입 실적(품목별)'!C22)</f>
        <v>육류ㆍ어류ㆍ갑각류ㆍ연체동물이나 그 밖의 수생(水生) 무척추동물 또는 곤충의 조제품</v>
      </c>
      <c r="G18" s="18" t="n">
        <f aca="false">IFERROR(VALUE(SUBSTITUTE(TRIM('수출입 실적(품목별)'!D22),",","")),"")</f>
        <v>4160.4</v>
      </c>
      <c r="H18" s="19" t="n">
        <f aca="false">IFERROR(VALUE(SUBSTITUTE(TRIM('수출입 실적(품목별)'!E22),",","")),"")</f>
        <v>25872</v>
      </c>
      <c r="I18" s="18" t="n">
        <f aca="false">IFERROR(VALUE(SUBSTITUTE(TRIM('수출입 실적(품목별)'!F22),",","")),"")</f>
        <v>18620.1</v>
      </c>
      <c r="J18" s="19" t="n">
        <f aca="false">IFERROR(VALUE(SUBSTITUTE(TRIM('수출입 실적(품목별)'!G22),",","")),"")</f>
        <v>101141</v>
      </c>
      <c r="K18" s="19" t="n">
        <f aca="false">IFERROR(VALUE(SUBSTITUTE(TRIM('수출입 실적(품목별)'!H22),",","")),"")</f>
        <v>-75269</v>
      </c>
    </row>
    <row r="19" customFormat="false" ht="15" hidden="false" customHeight="true" outlineLevel="0" collapsed="false">
      <c r="A19" s="11" t="str">
        <f aca="false">TRIM('수출입 실적(품목별)'!A23)</f>
        <v>2024.01</v>
      </c>
      <c r="B19" s="17" t="n">
        <f aca="false">IFERROR(VALUE(LEFT($A19,4)),"")</f>
        <v>2024</v>
      </c>
      <c r="C19" s="17" t="n">
        <f aca="false">IFERROR(VALUE(RIGHT($A19,2)),"")</f>
        <v>1</v>
      </c>
      <c r="D19" s="17" t="n">
        <f aca="false">IFERROR(ROUNDUP($C19/3,0),"")</f>
        <v>1</v>
      </c>
      <c r="E19" s="11" t="str">
        <f aca="false">TRIM('수출입 실적(품목별)'!B23)</f>
        <v>17</v>
      </c>
      <c r="F19" s="11" t="str">
        <f aca="false">TRIM('수출입 실적(품목별)'!C23)</f>
        <v>당류(糖類)와 설탕과자</v>
      </c>
      <c r="G19" s="18" t="n">
        <f aca="false">IFERROR(VALUE(SUBSTITUTE(TRIM('수출입 실적(품목별)'!D23),",","")),"")</f>
        <v>32227.3</v>
      </c>
      <c r="H19" s="19" t="n">
        <f aca="false">IFERROR(VALUE(SUBSTITUTE(TRIM('수출입 실적(품목별)'!E23),",","")),"")</f>
        <v>31537</v>
      </c>
      <c r="I19" s="18" t="n">
        <f aca="false">IFERROR(VALUE(SUBSTITUTE(TRIM('수출입 실적(품목별)'!F23),",","")),"")</f>
        <v>206375.9</v>
      </c>
      <c r="J19" s="19" t="n">
        <f aca="false">IFERROR(VALUE(SUBSTITUTE(TRIM('수출입 실적(품목별)'!G23),",","")),"")</f>
        <v>150608</v>
      </c>
      <c r="K19" s="19" t="n">
        <f aca="false">IFERROR(VALUE(SUBSTITUTE(TRIM('수출입 실적(품목별)'!H23),",","")),"")</f>
        <v>-119071</v>
      </c>
    </row>
    <row r="20" customFormat="false" ht="15" hidden="false" customHeight="true" outlineLevel="0" collapsed="false">
      <c r="A20" s="11" t="str">
        <f aca="false">TRIM('수출입 실적(품목별)'!A24)</f>
        <v>2024.01</v>
      </c>
      <c r="B20" s="17" t="n">
        <f aca="false">IFERROR(VALUE(LEFT($A20,4)),"")</f>
        <v>2024</v>
      </c>
      <c r="C20" s="17" t="n">
        <f aca="false">IFERROR(VALUE(RIGHT($A20,2)),"")</f>
        <v>1</v>
      </c>
      <c r="D20" s="17" t="n">
        <f aca="false">IFERROR(ROUNDUP($C20/3,0),"")</f>
        <v>1</v>
      </c>
      <c r="E20" s="11" t="str">
        <f aca="false">TRIM('수출입 실적(품목별)'!B24)</f>
        <v>18</v>
      </c>
      <c r="F20" s="11" t="str">
        <f aca="false">TRIM('수출입 실적(품목별)'!C24)</f>
        <v>코코아와 그 조제품</v>
      </c>
      <c r="G20" s="18" t="n">
        <f aca="false">IFERROR(VALUE(SUBSTITUTE(TRIM('수출입 실적(품목별)'!D24),",","")),"")</f>
        <v>1946.3</v>
      </c>
      <c r="H20" s="19" t="n">
        <f aca="false">IFERROR(VALUE(SUBSTITUTE(TRIM('수출입 실적(품목별)'!E24),",","")),"")</f>
        <v>4923</v>
      </c>
      <c r="I20" s="18" t="n">
        <f aca="false">IFERROR(VALUE(SUBSTITUTE(TRIM('수출입 실적(품목별)'!F24),",","")),"")</f>
        <v>5880.4</v>
      </c>
      <c r="J20" s="19" t="n">
        <f aca="false">IFERROR(VALUE(SUBSTITUTE(TRIM('수출입 실적(품목별)'!G24),",","")),"")</f>
        <v>43737</v>
      </c>
      <c r="K20" s="19" t="n">
        <f aca="false">IFERROR(VALUE(SUBSTITUTE(TRIM('수출입 실적(품목별)'!H24),",","")),"")</f>
        <v>-38814</v>
      </c>
    </row>
    <row r="21" customFormat="false" ht="15" hidden="false" customHeight="true" outlineLevel="0" collapsed="false">
      <c r="A21" s="11" t="str">
        <f aca="false">TRIM('수출입 실적(품목별)'!A25)</f>
        <v>2024.01</v>
      </c>
      <c r="B21" s="17" t="n">
        <f aca="false">IFERROR(VALUE(LEFT($A21,4)),"")</f>
        <v>2024</v>
      </c>
      <c r="C21" s="17" t="n">
        <f aca="false">IFERROR(VALUE(RIGHT($A21,2)),"")</f>
        <v>1</v>
      </c>
      <c r="D21" s="17" t="n">
        <f aca="false">IFERROR(ROUNDUP($C21/3,0),"")</f>
        <v>1</v>
      </c>
      <c r="E21" s="11" t="str">
        <f aca="false">TRIM('수출입 실적(품목별)'!B25)</f>
        <v>19</v>
      </c>
      <c r="F21" s="11" t="str">
        <f aca="false">TRIM('수출입 실적(품목별)'!C25)</f>
        <v>곡물ㆍ고운 가루ㆍ전분ㆍ밀크의 조제품과 베이커리 제품</v>
      </c>
      <c r="G21" s="18" t="n">
        <f aca="false">IFERROR(VALUE(SUBSTITUTE(TRIM('수출입 실적(품목별)'!D25),",","")),"")</f>
        <v>43637.8</v>
      </c>
      <c r="H21" s="19" t="n">
        <f aca="false">IFERROR(VALUE(SUBSTITUTE(TRIM('수출입 실적(품목별)'!E25),",","")),"")</f>
        <v>172480</v>
      </c>
      <c r="I21" s="18" t="n">
        <f aca="false">IFERROR(VALUE(SUBSTITUTE(TRIM('수출입 실적(품목별)'!F25),",","")),"")</f>
        <v>29825.5</v>
      </c>
      <c r="J21" s="19" t="n">
        <f aca="false">IFERROR(VALUE(SUBSTITUTE(TRIM('수출입 실적(품목별)'!G25),",","")),"")</f>
        <v>97746</v>
      </c>
      <c r="K21" s="19" t="n">
        <f aca="false">IFERROR(VALUE(SUBSTITUTE(TRIM('수출입 실적(품목별)'!H25),",","")),"")</f>
        <v>74734</v>
      </c>
    </row>
    <row r="22" customFormat="false" ht="15" hidden="false" customHeight="true" outlineLevel="0" collapsed="false">
      <c r="A22" s="11" t="str">
        <f aca="false">TRIM('수출입 실적(품목별)'!A26)</f>
        <v>2024.01</v>
      </c>
      <c r="B22" s="17" t="n">
        <f aca="false">IFERROR(VALUE(LEFT($A22,4)),"")</f>
        <v>2024</v>
      </c>
      <c r="C22" s="17" t="n">
        <f aca="false">IFERROR(VALUE(RIGHT($A22,2)),"")</f>
        <v>1</v>
      </c>
      <c r="D22" s="17" t="n">
        <f aca="false">IFERROR(ROUNDUP($C22/3,0),"")</f>
        <v>1</v>
      </c>
      <c r="E22" s="11" t="str">
        <f aca="false">TRIM('수출입 실적(품목별)'!B26)</f>
        <v>20</v>
      </c>
      <c r="F22" s="11" t="str">
        <f aca="false">TRIM('수출입 실적(품목별)'!C26)</f>
        <v>채소ㆍ과실ㆍ견과류나 식물의그 밖의 부분의 조제품</v>
      </c>
      <c r="G22" s="18" t="n">
        <f aca="false">IFERROR(VALUE(SUBSTITUTE(TRIM('수출입 실적(품목별)'!D26),",","")),"")</f>
        <v>10058.7</v>
      </c>
      <c r="H22" s="19" t="n">
        <f aca="false">IFERROR(VALUE(SUBSTITUTE(TRIM('수출입 실적(품목별)'!E26),",","")),"")</f>
        <v>73506</v>
      </c>
      <c r="I22" s="18" t="n">
        <f aca="false">IFERROR(VALUE(SUBSTITUTE(TRIM('수출입 실적(품목별)'!F26),",","")),"")</f>
        <v>99683.9</v>
      </c>
      <c r="J22" s="19" t="n">
        <f aca="false">IFERROR(VALUE(SUBSTITUTE(TRIM('수출입 실적(품목별)'!G26),",","")),"")</f>
        <v>141997</v>
      </c>
      <c r="K22" s="19" t="n">
        <f aca="false">IFERROR(VALUE(SUBSTITUTE(TRIM('수출입 실적(품목별)'!H26),",","")),"")</f>
        <v>-68491</v>
      </c>
    </row>
    <row r="23" customFormat="false" ht="15" hidden="false" customHeight="true" outlineLevel="0" collapsed="false">
      <c r="A23" s="11" t="str">
        <f aca="false">TRIM('수출입 실적(품목별)'!A27)</f>
        <v>2024.01</v>
      </c>
      <c r="B23" s="17" t="n">
        <f aca="false">IFERROR(VALUE(LEFT($A23,4)),"")</f>
        <v>2024</v>
      </c>
      <c r="C23" s="17" t="n">
        <f aca="false">IFERROR(VALUE(RIGHT($A23,2)),"")</f>
        <v>1</v>
      </c>
      <c r="D23" s="17" t="n">
        <f aca="false">IFERROR(ROUNDUP($C23/3,0),"")</f>
        <v>1</v>
      </c>
      <c r="E23" s="11" t="str">
        <f aca="false">TRIM('수출입 실적(품목별)'!B27)</f>
        <v>21</v>
      </c>
      <c r="F23" s="11" t="str">
        <f aca="false">TRIM('수출입 실적(품목별)'!C27)</f>
        <v>각종 조제 식료품</v>
      </c>
      <c r="G23" s="18" t="n">
        <f aca="false">IFERROR(VALUE(SUBSTITUTE(TRIM('수출입 실적(품목별)'!D27),",","")),"")</f>
        <v>35722</v>
      </c>
      <c r="H23" s="19" t="n">
        <f aca="false">IFERROR(VALUE(SUBSTITUTE(TRIM('수출입 실적(품목별)'!E27),",","")),"")</f>
        <v>141456</v>
      </c>
      <c r="I23" s="18" t="n">
        <f aca="false">IFERROR(VALUE(SUBSTITUTE(TRIM('수출입 실적(품목별)'!F27),",","")),"")</f>
        <v>32859.4</v>
      </c>
      <c r="J23" s="19" t="n">
        <f aca="false">IFERROR(VALUE(SUBSTITUTE(TRIM('수출입 실적(품목별)'!G27),",","")),"")</f>
        <v>227146</v>
      </c>
      <c r="K23" s="19" t="n">
        <f aca="false">IFERROR(VALUE(SUBSTITUTE(TRIM('수출입 실적(품목별)'!H27),",","")),"")</f>
        <v>-85690</v>
      </c>
    </row>
    <row r="24" customFormat="false" ht="15" hidden="false" customHeight="true" outlineLevel="0" collapsed="false">
      <c r="A24" s="11" t="str">
        <f aca="false">TRIM('수출입 실적(품목별)'!A28)</f>
        <v>2024.01</v>
      </c>
      <c r="B24" s="17" t="n">
        <f aca="false">IFERROR(VALUE(LEFT($A24,4)),"")</f>
        <v>2024</v>
      </c>
      <c r="C24" s="17" t="n">
        <f aca="false">IFERROR(VALUE(RIGHT($A24,2)),"")</f>
        <v>1</v>
      </c>
      <c r="D24" s="17" t="n">
        <f aca="false">IFERROR(ROUNDUP($C24/3,0),"")</f>
        <v>1</v>
      </c>
      <c r="E24" s="11" t="str">
        <f aca="false">TRIM('수출입 실적(품목별)'!B28)</f>
        <v>22</v>
      </c>
      <c r="F24" s="11" t="str">
        <f aca="false">TRIM('수출입 실적(품목별)'!C28)</f>
        <v>음료ㆍ주류ㆍ식초</v>
      </c>
      <c r="G24" s="18" t="n">
        <f aca="false">IFERROR(VALUE(SUBSTITUTE(TRIM('수출입 실적(품목별)'!D28),",","")),"")</f>
        <v>61948.1</v>
      </c>
      <c r="H24" s="19" t="n">
        <f aca="false">IFERROR(VALUE(SUBSTITUTE(TRIM('수출입 실적(품목별)'!E28),",","")),"")</f>
        <v>76784</v>
      </c>
      <c r="I24" s="18" t="n">
        <f aca="false">IFERROR(VALUE(SUBSTITUTE(TRIM('수출입 실적(품목별)'!F28),",","")),"")</f>
        <v>82791.6</v>
      </c>
      <c r="J24" s="19" t="n">
        <f aca="false">IFERROR(VALUE(SUBSTITUTE(TRIM('수출입 실적(품목별)'!G28),",","")),"")</f>
        <v>130106</v>
      </c>
      <c r="K24" s="19" t="n">
        <f aca="false">IFERROR(VALUE(SUBSTITUTE(TRIM('수출입 실적(품목별)'!H28),",","")),"")</f>
        <v>-53322</v>
      </c>
    </row>
    <row r="25" customFormat="false" ht="15" hidden="false" customHeight="true" outlineLevel="0" collapsed="false">
      <c r="A25" s="11" t="str">
        <f aca="false">TRIM('수출입 실적(품목별)'!A29)</f>
        <v>2024.01</v>
      </c>
      <c r="B25" s="17" t="n">
        <f aca="false">IFERROR(VALUE(LEFT($A25,4)),"")</f>
        <v>2024</v>
      </c>
      <c r="C25" s="17" t="n">
        <f aca="false">IFERROR(VALUE(RIGHT($A25,2)),"")</f>
        <v>1</v>
      </c>
      <c r="D25" s="17" t="n">
        <f aca="false">IFERROR(ROUNDUP($C25/3,0),"")</f>
        <v>1</v>
      </c>
      <c r="E25" s="11" t="str">
        <f aca="false">TRIM('수출입 실적(품목별)'!B29)</f>
        <v>23</v>
      </c>
      <c r="F25" s="11" t="str">
        <f aca="false">TRIM('수출입 실적(품목별)'!C29)</f>
        <v>식품 공업에서 생기는 잔재물과 웨이스트(waste), 조제 사료</v>
      </c>
      <c r="G25" s="18" t="n">
        <f aca="false">IFERROR(VALUE(SUBSTITUTE(TRIM('수출입 실적(품목별)'!D29),",","")),"")</f>
        <v>29616.8</v>
      </c>
      <c r="H25" s="19" t="n">
        <f aca="false">IFERROR(VALUE(SUBSTITUTE(TRIM('수출입 실적(품목별)'!E29),",","")),"")</f>
        <v>29457</v>
      </c>
      <c r="I25" s="18" t="n">
        <f aca="false">IFERROR(VALUE(SUBSTITUTE(TRIM('수출입 실적(품목별)'!F29),",","")),"")</f>
        <v>696368.3</v>
      </c>
      <c r="J25" s="19" t="n">
        <f aca="false">IFERROR(VALUE(SUBSTITUTE(TRIM('수출입 실적(품목별)'!G29),",","")),"")</f>
        <v>272316</v>
      </c>
      <c r="K25" s="19" t="n">
        <f aca="false">IFERROR(VALUE(SUBSTITUTE(TRIM('수출입 실적(품목별)'!H29),",","")),"")</f>
        <v>-242859</v>
      </c>
    </row>
    <row r="26" customFormat="false" ht="15" hidden="false" customHeight="true" outlineLevel="0" collapsed="false">
      <c r="A26" s="11" t="str">
        <f aca="false">TRIM('수출입 실적(품목별)'!A30)</f>
        <v>2024.01</v>
      </c>
      <c r="B26" s="17" t="n">
        <f aca="false">IFERROR(VALUE(LEFT($A26,4)),"")</f>
        <v>2024</v>
      </c>
      <c r="C26" s="17" t="n">
        <f aca="false">IFERROR(VALUE(RIGHT($A26,2)),"")</f>
        <v>1</v>
      </c>
      <c r="D26" s="17" t="n">
        <f aca="false">IFERROR(ROUNDUP($C26/3,0),"")</f>
        <v>1</v>
      </c>
      <c r="E26" s="11" t="str">
        <f aca="false">TRIM('수출입 실적(품목별)'!B30)</f>
        <v>24</v>
      </c>
      <c r="F26" s="11" t="str">
        <f aca="false">TRIM('수출입 실적(품목별)'!C30)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6" s="18" t="n">
        <f aca="false">IFERROR(VALUE(SUBSTITUTE(TRIM('수출입 실적(품목별)'!D30),",","")),"")</f>
        <v>8471.4</v>
      </c>
      <c r="H26" s="19" t="n">
        <f aca="false">IFERROR(VALUE(SUBSTITUTE(TRIM('수출입 실적(품목별)'!E30),",","")),"")</f>
        <v>68475</v>
      </c>
      <c r="I26" s="18" t="n">
        <f aca="false">IFERROR(VALUE(SUBSTITUTE(TRIM('수출입 실적(품목별)'!F30),",","")),"")</f>
        <v>8226.8</v>
      </c>
      <c r="J26" s="19" t="n">
        <f aca="false">IFERROR(VALUE(SUBSTITUTE(TRIM('수출입 실적(품목별)'!G30),",","")),"")</f>
        <v>61695</v>
      </c>
      <c r="K26" s="19" t="n">
        <f aca="false">IFERROR(VALUE(SUBSTITUTE(TRIM('수출입 실적(품목별)'!H30),",","")),"")</f>
        <v>6780</v>
      </c>
    </row>
    <row r="27" customFormat="false" ht="15" hidden="false" customHeight="true" outlineLevel="0" collapsed="false">
      <c r="A27" s="11" t="str">
        <f aca="false">TRIM('수출입 실적(품목별)'!A31)</f>
        <v>2024.01</v>
      </c>
      <c r="B27" s="17" t="n">
        <f aca="false">IFERROR(VALUE(LEFT($A27,4)),"")</f>
        <v>2024</v>
      </c>
      <c r="C27" s="17" t="n">
        <f aca="false">IFERROR(VALUE(RIGHT($A27,2)),"")</f>
        <v>1</v>
      </c>
      <c r="D27" s="17" t="n">
        <f aca="false">IFERROR(ROUNDUP($C27/3,0),"")</f>
        <v>1</v>
      </c>
      <c r="E27" s="11" t="str">
        <f aca="false">TRIM('수출입 실적(품목별)'!B31)</f>
        <v>25</v>
      </c>
      <c r="F27" s="11" t="str">
        <f aca="false">TRIM('수출입 실적(품목별)'!C31)</f>
        <v>소금, 황, 토석류(土石類), 석고ㆍ석회ㆍ시멘트</v>
      </c>
      <c r="G27" s="18" t="n">
        <f aca="false">IFERROR(VALUE(SUBSTITUTE(TRIM('수출입 실적(품목별)'!D31),",","")),"")</f>
        <v>394916.9</v>
      </c>
      <c r="H27" s="19" t="n">
        <f aca="false">IFERROR(VALUE(SUBSTITUTE(TRIM('수출입 실적(품목별)'!E31),",","")),"")</f>
        <v>23062</v>
      </c>
      <c r="I27" s="18" t="n">
        <f aca="false">IFERROR(VALUE(SUBSTITUTE(TRIM('수출입 실적(품목별)'!F31),",","")),"")</f>
        <v>870670.4</v>
      </c>
      <c r="J27" s="19" t="n">
        <f aca="false">IFERROR(VALUE(SUBSTITUTE(TRIM('수출입 실적(품목별)'!G31),",","")),"")</f>
        <v>68468</v>
      </c>
      <c r="K27" s="19" t="n">
        <f aca="false">IFERROR(VALUE(SUBSTITUTE(TRIM('수출입 실적(품목별)'!H31),",","")),"")</f>
        <v>-45406</v>
      </c>
    </row>
    <row r="28" customFormat="false" ht="15" hidden="false" customHeight="true" outlineLevel="0" collapsed="false">
      <c r="A28" s="11" t="str">
        <f aca="false">TRIM('수출입 실적(품목별)'!A32)</f>
        <v>2024.01</v>
      </c>
      <c r="B28" s="17" t="n">
        <f aca="false">IFERROR(VALUE(LEFT($A28,4)),"")</f>
        <v>2024</v>
      </c>
      <c r="C28" s="17" t="n">
        <f aca="false">IFERROR(VALUE(RIGHT($A28,2)),"")</f>
        <v>1</v>
      </c>
      <c r="D28" s="17" t="n">
        <f aca="false">IFERROR(ROUNDUP($C28/3,0),"")</f>
        <v>1</v>
      </c>
      <c r="E28" s="11" t="str">
        <f aca="false">TRIM('수출입 실적(품목별)'!B32)</f>
        <v>26</v>
      </c>
      <c r="F28" s="11" t="str">
        <f aca="false">TRIM('수출입 실적(품목별)'!C32)</f>
        <v>광(鑛)ㆍ슬래그(slag)ㆍ회(灰)</v>
      </c>
      <c r="G28" s="18" t="n">
        <f aca="false">IFERROR(VALUE(SUBSTITUTE(TRIM('수출입 실적(품목별)'!D32),",","")),"")</f>
        <v>152598.7</v>
      </c>
      <c r="H28" s="19" t="n">
        <f aca="false">IFERROR(VALUE(SUBSTITUTE(TRIM('수출입 실적(품목별)'!E32),",","")),"")</f>
        <v>120988</v>
      </c>
      <c r="I28" s="18" t="n">
        <f aca="false">IFERROR(VALUE(SUBSTITUTE(TRIM('수출입 실적(품목별)'!F32),",","")),"")</f>
        <v>7108278.3</v>
      </c>
      <c r="J28" s="19" t="n">
        <f aca="false">IFERROR(VALUE(SUBSTITUTE(TRIM('수출입 실적(품목별)'!G32),",","")),"")</f>
        <v>1773555</v>
      </c>
      <c r="K28" s="19" t="n">
        <f aca="false">IFERROR(VALUE(SUBSTITUTE(TRIM('수출입 실적(품목별)'!H32),",","")),"")</f>
        <v>-1652568</v>
      </c>
    </row>
    <row r="29" customFormat="false" ht="15" hidden="false" customHeight="true" outlineLevel="0" collapsed="false">
      <c r="A29" s="11" t="str">
        <f aca="false">TRIM('수출입 실적(품목별)'!A33)</f>
        <v>2024.01</v>
      </c>
      <c r="B29" s="17" t="n">
        <f aca="false">IFERROR(VALUE(LEFT($A29,4)),"")</f>
        <v>2024</v>
      </c>
      <c r="C29" s="17" t="n">
        <f aca="false">IFERROR(VALUE(RIGHT($A29,2)),"")</f>
        <v>1</v>
      </c>
      <c r="D29" s="17" t="n">
        <f aca="false">IFERROR(ROUNDUP($C29/3,0),"")</f>
        <v>1</v>
      </c>
      <c r="E29" s="11" t="str">
        <f aca="false">TRIM('수출입 실적(품목별)'!B33)</f>
        <v>27</v>
      </c>
      <c r="F29" s="11" t="str">
        <f aca="false">TRIM('수출입 실적(품목별)'!C33)</f>
        <v>광물성 연료ㆍ광물유(鑛物油)와 이들의 증류물, 역청(瀝靑)물질, 광물성 왁스</v>
      </c>
      <c r="G29" s="18" t="n">
        <f aca="false">IFERROR(VALUE(SUBSTITUTE(TRIM('수출입 실적(품목별)'!D33),",","")),"")</f>
        <v>6296365.8</v>
      </c>
      <c r="H29" s="19" t="n">
        <f aca="false">IFERROR(VALUE(SUBSTITUTE(TRIM('수출입 실적(품목별)'!E33),",","")),"")</f>
        <v>4964732</v>
      </c>
      <c r="I29" s="18" t="n">
        <f aca="false">IFERROR(VALUE(SUBSTITUTE(TRIM('수출입 실적(품목별)'!F33),",","")),"")</f>
        <v>32892533.5</v>
      </c>
      <c r="J29" s="19" t="n">
        <f aca="false">IFERROR(VALUE(SUBSTITUTE(TRIM('수출입 실적(품목별)'!G33),",","")),"")</f>
        <v>15700071</v>
      </c>
      <c r="K29" s="19" t="n">
        <f aca="false">IFERROR(VALUE(SUBSTITUTE(TRIM('수출입 실적(품목별)'!H33),",","")),"")</f>
        <v>-10735339</v>
      </c>
    </row>
    <row r="30" customFormat="false" ht="15" hidden="false" customHeight="true" outlineLevel="0" collapsed="false">
      <c r="A30" s="11" t="str">
        <f aca="false">TRIM('수출입 실적(품목별)'!A34)</f>
        <v>2024.01</v>
      </c>
      <c r="B30" s="17" t="n">
        <f aca="false">IFERROR(VALUE(LEFT($A30,4)),"")</f>
        <v>2024</v>
      </c>
      <c r="C30" s="17" t="n">
        <f aca="false">IFERROR(VALUE(RIGHT($A30,2)),"")</f>
        <v>1</v>
      </c>
      <c r="D30" s="17" t="n">
        <f aca="false">IFERROR(ROUNDUP($C30/3,0),"")</f>
        <v>1</v>
      </c>
      <c r="E30" s="11" t="str">
        <f aca="false">TRIM('수출입 실적(품목별)'!B34)</f>
        <v>28</v>
      </c>
      <c r="F30" s="11" t="str">
        <f aca="false">TRIM('수출입 실적(품목별)'!C34)</f>
        <v>무기화학품, 귀금속ㆍ희토류(稀土類)금속ㆍ방사성원소ㆍ동위원소의 유기화합물이나 무기화합물</v>
      </c>
      <c r="G30" s="18" t="n">
        <f aca="false">IFERROR(VALUE(SUBSTITUTE(TRIM('수출입 실적(품목별)'!D34),",","")),"")</f>
        <v>463934</v>
      </c>
      <c r="H30" s="19" t="n">
        <f aca="false">IFERROR(VALUE(SUBSTITUTE(TRIM('수출입 실적(품목별)'!E34),",","")),"")</f>
        <v>914706</v>
      </c>
      <c r="I30" s="18" t="n">
        <f aca="false">IFERROR(VALUE(SUBSTITUTE(TRIM('수출입 실적(품목별)'!F34),",","")),"")</f>
        <v>437262.8</v>
      </c>
      <c r="J30" s="19" t="n">
        <f aca="false">IFERROR(VALUE(SUBSTITUTE(TRIM('수출입 실적(품목별)'!G34),",","")),"")</f>
        <v>1156717</v>
      </c>
      <c r="K30" s="19" t="n">
        <f aca="false">IFERROR(VALUE(SUBSTITUTE(TRIM('수출입 실적(품목별)'!H34),",","")),"")</f>
        <v>-242012</v>
      </c>
    </row>
    <row r="31" customFormat="false" ht="15" hidden="false" customHeight="true" outlineLevel="0" collapsed="false">
      <c r="A31" s="11" t="str">
        <f aca="false">TRIM('수출입 실적(품목별)'!A35)</f>
        <v>2024.01</v>
      </c>
      <c r="B31" s="17" t="n">
        <f aca="false">IFERROR(VALUE(LEFT($A31,4)),"")</f>
        <v>2024</v>
      </c>
      <c r="C31" s="17" t="n">
        <f aca="false">IFERROR(VALUE(RIGHT($A31,2)),"")</f>
        <v>1</v>
      </c>
      <c r="D31" s="17" t="n">
        <f aca="false">IFERROR(ROUNDUP($C31/3,0),"")</f>
        <v>1</v>
      </c>
      <c r="E31" s="11" t="str">
        <f aca="false">TRIM('수출입 실적(품목별)'!B35)</f>
        <v>29</v>
      </c>
      <c r="F31" s="11" t="str">
        <f aca="false">TRIM('수출입 실적(품목별)'!C35)</f>
        <v>유기화학품</v>
      </c>
      <c r="G31" s="18" t="n">
        <f aca="false">IFERROR(VALUE(SUBSTITUTE(TRIM('수출입 실적(품목별)'!D35),",","")),"")</f>
        <v>1639674.9</v>
      </c>
      <c r="H31" s="19" t="n">
        <f aca="false">IFERROR(VALUE(SUBSTITUTE(TRIM('수출입 실적(품목별)'!E35),",","")),"")</f>
        <v>1867566</v>
      </c>
      <c r="I31" s="18" t="n">
        <f aca="false">IFERROR(VALUE(SUBSTITUTE(TRIM('수출입 실적(품목별)'!F35),",","")),"")</f>
        <v>624119.5</v>
      </c>
      <c r="J31" s="19" t="n">
        <f aca="false">IFERROR(VALUE(SUBSTITUTE(TRIM('수출입 실적(품목별)'!G35),",","")),"")</f>
        <v>1158761</v>
      </c>
      <c r="K31" s="19" t="n">
        <f aca="false">IFERROR(VALUE(SUBSTITUTE(TRIM('수출입 실적(품목별)'!H35),",","")),"")</f>
        <v>708805</v>
      </c>
    </row>
    <row r="32" customFormat="false" ht="15" hidden="false" customHeight="true" outlineLevel="0" collapsed="false">
      <c r="A32" s="11" t="str">
        <f aca="false">TRIM('수출입 실적(품목별)'!A36)</f>
        <v>2024.01</v>
      </c>
      <c r="B32" s="17" t="n">
        <f aca="false">IFERROR(VALUE(LEFT($A32,4)),"")</f>
        <v>2024</v>
      </c>
      <c r="C32" s="17" t="n">
        <f aca="false">IFERROR(VALUE(RIGHT($A32,2)),"")</f>
        <v>1</v>
      </c>
      <c r="D32" s="17" t="n">
        <f aca="false">IFERROR(ROUNDUP($C32/3,0),"")</f>
        <v>1</v>
      </c>
      <c r="E32" s="11" t="str">
        <f aca="false">TRIM('수출입 실적(품목별)'!B36)</f>
        <v>30</v>
      </c>
      <c r="F32" s="11" t="str">
        <f aca="false">TRIM('수출입 실적(품목별)'!C36)</f>
        <v>의료용품</v>
      </c>
      <c r="G32" s="18" t="n">
        <f aca="false">IFERROR(VALUE(SUBSTITUTE(TRIM('수출입 실적(품목별)'!D36),",","")),"")</f>
        <v>1983.4</v>
      </c>
      <c r="H32" s="19" t="n">
        <f aca="false">IFERROR(VALUE(SUBSTITUTE(TRIM('수출입 실적(품목별)'!E36),",","")),"")</f>
        <v>556254</v>
      </c>
      <c r="I32" s="18" t="n">
        <f aca="false">IFERROR(VALUE(SUBSTITUTE(TRIM('수출입 실적(품목별)'!F36),",","")),"")</f>
        <v>8144.4</v>
      </c>
      <c r="J32" s="19" t="n">
        <f aca="false">IFERROR(VALUE(SUBSTITUTE(TRIM('수출입 실적(품목별)'!G36),",","")),"")</f>
        <v>810342</v>
      </c>
      <c r="K32" s="19" t="n">
        <f aca="false">IFERROR(VALUE(SUBSTITUTE(TRIM('수출입 실적(품목별)'!H36),",","")),"")</f>
        <v>-254088</v>
      </c>
    </row>
    <row r="33" customFormat="false" ht="15" hidden="false" customHeight="true" outlineLevel="0" collapsed="false">
      <c r="A33" s="11" t="str">
        <f aca="false">TRIM('수출입 실적(품목별)'!A37)</f>
        <v>2024.01</v>
      </c>
      <c r="B33" s="17" t="n">
        <f aca="false">IFERROR(VALUE(LEFT($A33,4)),"")</f>
        <v>2024</v>
      </c>
      <c r="C33" s="17" t="n">
        <f aca="false">IFERROR(VALUE(RIGHT($A33,2)),"")</f>
        <v>1</v>
      </c>
      <c r="D33" s="17" t="n">
        <f aca="false">IFERROR(ROUNDUP($C33/3,0),"")</f>
        <v>1</v>
      </c>
      <c r="E33" s="11" t="str">
        <f aca="false">TRIM('수출입 실적(품목별)'!B37)</f>
        <v>31</v>
      </c>
      <c r="F33" s="11" t="str">
        <f aca="false">TRIM('수출입 실적(품목별)'!C37)</f>
        <v>비료</v>
      </c>
      <c r="G33" s="18" t="n">
        <f aca="false">IFERROR(VALUE(SUBSTITUTE(TRIM('수출입 실적(품목별)'!D37),",","")),"")</f>
        <v>89409.3</v>
      </c>
      <c r="H33" s="19" t="n">
        <f aca="false">IFERROR(VALUE(SUBSTITUTE(TRIM('수출입 실적(품목별)'!E37),",","")),"")</f>
        <v>42051</v>
      </c>
      <c r="I33" s="18" t="n">
        <f aca="false">IFERROR(VALUE(SUBSTITUTE(TRIM('수출입 실적(품목별)'!F37),",","")),"")</f>
        <v>316618.3</v>
      </c>
      <c r="J33" s="19" t="n">
        <f aca="false">IFERROR(VALUE(SUBSTITUTE(TRIM('수출입 실적(품목별)'!G37),",","")),"")</f>
        <v>117406</v>
      </c>
      <c r="K33" s="19" t="n">
        <f aca="false">IFERROR(VALUE(SUBSTITUTE(TRIM('수출입 실적(품목별)'!H37),",","")),"")</f>
        <v>-75355</v>
      </c>
    </row>
    <row r="34" customFormat="false" ht="15" hidden="false" customHeight="true" outlineLevel="0" collapsed="false">
      <c r="A34" s="11" t="str">
        <f aca="false">TRIM('수출입 실적(품목별)'!A38)</f>
        <v>2024.01</v>
      </c>
      <c r="B34" s="17" t="n">
        <f aca="false">IFERROR(VALUE(LEFT($A34,4)),"")</f>
        <v>2024</v>
      </c>
      <c r="C34" s="17" t="n">
        <f aca="false">IFERROR(VALUE(RIGHT($A34,2)),"")</f>
        <v>1</v>
      </c>
      <c r="D34" s="17" t="n">
        <f aca="false">IFERROR(ROUNDUP($C34/3,0),"")</f>
        <v>1</v>
      </c>
      <c r="E34" s="11" t="str">
        <f aca="false">TRIM('수출입 실적(품목별)'!B38)</f>
        <v>32</v>
      </c>
      <c r="F34" s="11" t="str">
        <f aca="false">TRIM('수출입 실적(품목별)'!C38)</f>
        <v>유연용ㆍ염색용 추출물(extract), 탄닌과 이들의 유도체, 염료ㆍ안료와 그 밖의 착색제, 페인트ㆍ바니시(varnish), 퍼티(putty)와 그 밖의 매스틱(mastic), 잉크</v>
      </c>
      <c r="G34" s="18" t="n">
        <f aca="false">IFERROR(VALUE(SUBSTITUTE(TRIM('수출입 실적(품목별)'!D38),",","")),"")</f>
        <v>27502.1</v>
      </c>
      <c r="H34" s="19" t="n">
        <f aca="false">IFERROR(VALUE(SUBSTITUTE(TRIM('수출입 실적(품목별)'!E38),",","")),"")</f>
        <v>238057</v>
      </c>
      <c r="I34" s="18" t="n">
        <f aca="false">IFERROR(VALUE(SUBSTITUTE(TRIM('수출입 실적(품목별)'!F38),",","")),"")</f>
        <v>24993.2</v>
      </c>
      <c r="J34" s="19" t="n">
        <f aca="false">IFERROR(VALUE(SUBSTITUTE(TRIM('수출입 실적(품목별)'!G38),",","")),"")</f>
        <v>199299</v>
      </c>
      <c r="K34" s="19" t="n">
        <f aca="false">IFERROR(VALUE(SUBSTITUTE(TRIM('수출입 실적(품목별)'!H38),",","")),"")</f>
        <v>38758</v>
      </c>
    </row>
    <row r="35" customFormat="false" ht="15" hidden="false" customHeight="true" outlineLevel="0" collapsed="false">
      <c r="A35" s="11" t="str">
        <f aca="false">TRIM('수출입 실적(품목별)'!A39)</f>
        <v>2024.01</v>
      </c>
      <c r="B35" s="17" t="n">
        <f aca="false">IFERROR(VALUE(LEFT($A35,4)),"")</f>
        <v>2024</v>
      </c>
      <c r="C35" s="17" t="n">
        <f aca="false">IFERROR(VALUE(RIGHT($A35,2)),"")</f>
        <v>1</v>
      </c>
      <c r="D35" s="17" t="n">
        <f aca="false">IFERROR(ROUNDUP($C35/3,0),"")</f>
        <v>1</v>
      </c>
      <c r="E35" s="11" t="str">
        <f aca="false">TRIM('수출입 실적(품목별)'!B39)</f>
        <v>33</v>
      </c>
      <c r="F35" s="11" t="str">
        <f aca="false">TRIM('수출입 실적(품목별)'!C39)</f>
        <v>정유(essential oil)와 레지노이드(resinoid), 조제향료와 화장품ㆍ화장용품</v>
      </c>
      <c r="G35" s="18" t="n">
        <f aca="false">IFERROR(VALUE(SUBSTITUTE(TRIM('수출입 실적(품목별)'!D39),",","")),"")</f>
        <v>32548.9</v>
      </c>
      <c r="H35" s="19" t="n">
        <f aca="false">IFERROR(VALUE(SUBSTITUTE(TRIM('수출입 실적(품목별)'!E39),",","")),"")</f>
        <v>773866</v>
      </c>
      <c r="I35" s="18" t="n">
        <f aca="false">IFERROR(VALUE(SUBSTITUTE(TRIM('수출입 실적(품목별)'!F39),",","")),"")</f>
        <v>8809.4</v>
      </c>
      <c r="J35" s="19" t="n">
        <f aca="false">IFERROR(VALUE(SUBSTITUTE(TRIM('수출입 실적(품목별)'!G39),",","")),"")</f>
        <v>163137</v>
      </c>
      <c r="K35" s="19" t="n">
        <f aca="false">IFERROR(VALUE(SUBSTITUTE(TRIM('수출입 실적(품목별)'!H39),",","")),"")</f>
        <v>610729</v>
      </c>
    </row>
    <row r="36" customFormat="false" ht="15" hidden="false" customHeight="true" outlineLevel="0" collapsed="false">
      <c r="A36" s="11" t="str">
        <f aca="false">TRIM('수출입 실적(품목별)'!A40)</f>
        <v>2024.01</v>
      </c>
      <c r="B36" s="17" t="n">
        <f aca="false">IFERROR(VALUE(LEFT($A36,4)),"")</f>
        <v>2024</v>
      </c>
      <c r="C36" s="17" t="n">
        <f aca="false">IFERROR(VALUE(RIGHT($A36,2)),"")</f>
        <v>1</v>
      </c>
      <c r="D36" s="17" t="n">
        <f aca="false">IFERROR(ROUNDUP($C36/3,0),"")</f>
        <v>1</v>
      </c>
      <c r="E36" s="11" t="str">
        <f aca="false">TRIM('수출입 실적(품목별)'!B40)</f>
        <v>34</v>
      </c>
      <c r="F36" s="11" t="str">
        <f aca="false">TRIM('수출입 실적(품목별)'!C40)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36" s="18" t="n">
        <f aca="false">IFERROR(VALUE(SUBSTITUTE(TRIM('수출입 실적(품목별)'!D40),",","")),"")</f>
        <v>58018.7</v>
      </c>
      <c r="H36" s="19" t="n">
        <f aca="false">IFERROR(VALUE(SUBSTITUTE(TRIM('수출입 실적(품목별)'!E40),",","")),"")</f>
        <v>145384</v>
      </c>
      <c r="I36" s="18" t="n">
        <f aca="false">IFERROR(VALUE(SUBSTITUTE(TRIM('수출입 실적(품목별)'!F40),",","")),"")</f>
        <v>23994.1</v>
      </c>
      <c r="J36" s="19" t="n">
        <f aca="false">IFERROR(VALUE(SUBSTITUTE(TRIM('수출입 실적(품목별)'!G40),",","")),"")</f>
        <v>86239</v>
      </c>
      <c r="K36" s="19" t="n">
        <f aca="false">IFERROR(VALUE(SUBSTITUTE(TRIM('수출입 실적(품목별)'!H40),",","")),"")</f>
        <v>59146</v>
      </c>
    </row>
    <row r="37" customFormat="false" ht="15" hidden="false" customHeight="true" outlineLevel="0" collapsed="false">
      <c r="A37" s="11" t="str">
        <f aca="false">TRIM('수출입 실적(품목별)'!A41)</f>
        <v>2024.01</v>
      </c>
      <c r="B37" s="17" t="n">
        <f aca="false">IFERROR(VALUE(LEFT($A37,4)),"")</f>
        <v>2024</v>
      </c>
      <c r="C37" s="17" t="n">
        <f aca="false">IFERROR(VALUE(RIGHT($A37,2)),"")</f>
        <v>1</v>
      </c>
      <c r="D37" s="17" t="n">
        <f aca="false">IFERROR(ROUNDUP($C37/3,0),"")</f>
        <v>1</v>
      </c>
      <c r="E37" s="11" t="str">
        <f aca="false">TRIM('수출입 실적(품목별)'!B41)</f>
        <v>35</v>
      </c>
      <c r="F37" s="11" t="str">
        <f aca="false">TRIM('수출입 실적(품목별)'!C41)</f>
        <v>단백질계 물질, 변성전분, 글루(glue), 효소</v>
      </c>
      <c r="G37" s="18" t="n">
        <f aca="false">IFERROR(VALUE(SUBSTITUTE(TRIM('수출입 실적(품목별)'!D41),",","")),"")</f>
        <v>5859.1</v>
      </c>
      <c r="H37" s="19" t="n">
        <f aca="false">IFERROR(VALUE(SUBSTITUTE(TRIM('수출입 실적(품목별)'!E41),",","")),"")</f>
        <v>91435</v>
      </c>
      <c r="I37" s="18" t="n">
        <f aca="false">IFERROR(VALUE(SUBSTITUTE(TRIM('수출입 실적(품목별)'!F41),",","")),"")</f>
        <v>16567.3</v>
      </c>
      <c r="J37" s="19" t="n">
        <f aca="false">IFERROR(VALUE(SUBSTITUTE(TRIM('수출입 실적(품목별)'!G41),",","")),"")</f>
        <v>76674</v>
      </c>
      <c r="K37" s="19" t="n">
        <f aca="false">IFERROR(VALUE(SUBSTITUTE(TRIM('수출입 실적(품목별)'!H41),",","")),"")</f>
        <v>14761</v>
      </c>
    </row>
    <row r="38" customFormat="false" ht="15" hidden="false" customHeight="true" outlineLevel="0" collapsed="false">
      <c r="A38" s="11" t="str">
        <f aca="false">TRIM('수출입 실적(품목별)'!A42)</f>
        <v>2024.01</v>
      </c>
      <c r="B38" s="17" t="n">
        <f aca="false">IFERROR(VALUE(LEFT($A38,4)),"")</f>
        <v>2024</v>
      </c>
      <c r="C38" s="17" t="n">
        <f aca="false">IFERROR(VALUE(RIGHT($A38,2)),"")</f>
        <v>1</v>
      </c>
      <c r="D38" s="17" t="n">
        <f aca="false">IFERROR(ROUNDUP($C38/3,0),"")</f>
        <v>1</v>
      </c>
      <c r="E38" s="11" t="str">
        <f aca="false">TRIM('수출입 실적(품목별)'!B42)</f>
        <v>36</v>
      </c>
      <c r="F38" s="11" t="str">
        <f aca="false">TRIM('수출입 실적(품목별)'!C42)</f>
        <v>화약류, 화공품, 성냥, 발화성 합금, 특정 가연성 조제품</v>
      </c>
      <c r="G38" s="18" t="n">
        <f aca="false">IFERROR(VALUE(SUBSTITUTE(TRIM('수출입 실적(품목별)'!D42),",","")),"")</f>
        <v>147.3</v>
      </c>
      <c r="H38" s="19" t="n">
        <f aca="false">IFERROR(VALUE(SUBSTITUTE(TRIM('수출입 실적(품목별)'!E42),",","")),"")</f>
        <v>2618</v>
      </c>
      <c r="I38" s="18" t="n">
        <f aca="false">IFERROR(VALUE(SUBSTITUTE(TRIM('수출입 실적(품목별)'!F42),",","")),"")</f>
        <v>276.2</v>
      </c>
      <c r="J38" s="19" t="n">
        <f aca="false">IFERROR(VALUE(SUBSTITUTE(TRIM('수출입 실적(품목별)'!G42),",","")),"")</f>
        <v>4001</v>
      </c>
      <c r="K38" s="19" t="n">
        <f aca="false">IFERROR(VALUE(SUBSTITUTE(TRIM('수출입 실적(품목별)'!H42),",","")),"")</f>
        <v>-1384</v>
      </c>
    </row>
    <row r="39" customFormat="false" ht="15" hidden="false" customHeight="true" outlineLevel="0" collapsed="false">
      <c r="A39" s="11" t="str">
        <f aca="false">TRIM('수출입 실적(품목별)'!A43)</f>
        <v>2024.01</v>
      </c>
      <c r="B39" s="17" t="n">
        <f aca="false">IFERROR(VALUE(LEFT($A39,4)),"")</f>
        <v>2024</v>
      </c>
      <c r="C39" s="17" t="n">
        <f aca="false">IFERROR(VALUE(RIGHT($A39,2)),"")</f>
        <v>1</v>
      </c>
      <c r="D39" s="17" t="n">
        <f aca="false">IFERROR(ROUNDUP($C39/3,0),"")</f>
        <v>1</v>
      </c>
      <c r="E39" s="11" t="str">
        <f aca="false">TRIM('수출입 실적(품목별)'!B43)</f>
        <v>37</v>
      </c>
      <c r="F39" s="11" t="str">
        <f aca="false">TRIM('수출입 실적(품목별)'!C43)</f>
        <v>사진용이나 영화용 재료</v>
      </c>
      <c r="G39" s="18" t="n">
        <f aca="false">IFERROR(VALUE(SUBSTITUTE(TRIM('수출입 실적(품목별)'!D43),",","")),"")</f>
        <v>2248.5</v>
      </c>
      <c r="H39" s="19" t="n">
        <f aca="false">IFERROR(VALUE(SUBSTITUTE(TRIM('수출입 실적(품목별)'!E43),",","")),"")</f>
        <v>100232</v>
      </c>
      <c r="I39" s="18" t="n">
        <f aca="false">IFERROR(VALUE(SUBSTITUTE(TRIM('수출입 실적(품목별)'!F43),",","")),"")</f>
        <v>3145.3</v>
      </c>
      <c r="J39" s="19" t="n">
        <f aca="false">IFERROR(VALUE(SUBSTITUTE(TRIM('수출입 실적(품목별)'!G43),",","")),"")</f>
        <v>81640</v>
      </c>
      <c r="K39" s="19" t="n">
        <f aca="false">IFERROR(VALUE(SUBSTITUTE(TRIM('수출입 실적(품목별)'!H43),",","")),"")</f>
        <v>18592</v>
      </c>
    </row>
    <row r="40" customFormat="false" ht="15" hidden="false" customHeight="true" outlineLevel="0" collapsed="false">
      <c r="A40" s="11" t="str">
        <f aca="false">TRIM('수출입 실적(품목별)'!A44)</f>
        <v>2024.01</v>
      </c>
      <c r="B40" s="17" t="n">
        <f aca="false">IFERROR(VALUE(LEFT($A40,4)),"")</f>
        <v>2024</v>
      </c>
      <c r="C40" s="17" t="n">
        <f aca="false">IFERROR(VALUE(RIGHT($A40,2)),"")</f>
        <v>1</v>
      </c>
      <c r="D40" s="17" t="n">
        <f aca="false">IFERROR(ROUNDUP($C40/3,0),"")</f>
        <v>1</v>
      </c>
      <c r="E40" s="11" t="str">
        <f aca="false">TRIM('수출입 실적(품목별)'!B44)</f>
        <v>38</v>
      </c>
      <c r="F40" s="11" t="str">
        <f aca="false">TRIM('수출입 실적(품목별)'!C44)</f>
        <v>각종 화학공업 생산품</v>
      </c>
      <c r="G40" s="18" t="n">
        <f aca="false">IFERROR(VALUE(SUBSTITUTE(TRIM('수출입 실적(품목별)'!D44),",","")),"")</f>
        <v>105321.6</v>
      </c>
      <c r="H40" s="19" t="n">
        <f aca="false">IFERROR(VALUE(SUBSTITUTE(TRIM('수출입 실적(품목별)'!E44),",","")),"")</f>
        <v>587080</v>
      </c>
      <c r="I40" s="18" t="n">
        <f aca="false">IFERROR(VALUE(SUBSTITUTE(TRIM('수출입 실적(품목별)'!F44),",","")),"")</f>
        <v>239081.9</v>
      </c>
      <c r="J40" s="19" t="n">
        <f aca="false">IFERROR(VALUE(SUBSTITUTE(TRIM('수출입 실적(품목별)'!G44),",","")),"")</f>
        <v>615188</v>
      </c>
      <c r="K40" s="19" t="n">
        <f aca="false">IFERROR(VALUE(SUBSTITUTE(TRIM('수출입 실적(품목별)'!H44),",","")),"")</f>
        <v>-28108</v>
      </c>
    </row>
    <row r="41" customFormat="false" ht="15" hidden="false" customHeight="true" outlineLevel="0" collapsed="false">
      <c r="A41" s="11" t="str">
        <f aca="false">TRIM('수출입 실적(품목별)'!A45)</f>
        <v>2024.01</v>
      </c>
      <c r="B41" s="17" t="n">
        <f aca="false">IFERROR(VALUE(LEFT($A41,4)),"")</f>
        <v>2024</v>
      </c>
      <c r="C41" s="17" t="n">
        <f aca="false">IFERROR(VALUE(RIGHT($A41,2)),"")</f>
        <v>1</v>
      </c>
      <c r="D41" s="17" t="n">
        <f aca="false">IFERROR(ROUNDUP($C41/3,0),"")</f>
        <v>1</v>
      </c>
      <c r="E41" s="11" t="str">
        <f aca="false">TRIM('수출입 실적(품목별)'!B45)</f>
        <v>39</v>
      </c>
      <c r="F41" s="11" t="str">
        <f aca="false">TRIM('수출입 실적(품목별)'!C45)</f>
        <v>플라스틱과 그 제품</v>
      </c>
      <c r="G41" s="18" t="n">
        <f aca="false">IFERROR(VALUE(SUBSTITUTE(TRIM('수출입 실적(품목별)'!D45),",","")),"")</f>
        <v>1538157.7</v>
      </c>
      <c r="H41" s="19" t="n">
        <f aca="false">IFERROR(VALUE(SUBSTITUTE(TRIM('수출입 실적(품목별)'!E45),",","")),"")</f>
        <v>3037165</v>
      </c>
      <c r="I41" s="18" t="n">
        <f aca="false">IFERROR(VALUE(SUBSTITUTE(TRIM('수출입 실적(품목별)'!F45),",","")),"")</f>
        <v>261709.1</v>
      </c>
      <c r="J41" s="19" t="n">
        <f aca="false">IFERROR(VALUE(SUBSTITUTE(TRIM('수출입 실적(품목별)'!G45),",","")),"")</f>
        <v>1091958</v>
      </c>
      <c r="K41" s="19" t="n">
        <f aca="false">IFERROR(VALUE(SUBSTITUTE(TRIM('수출입 실적(품목별)'!H45),",","")),"")</f>
        <v>1945207</v>
      </c>
    </row>
    <row r="42" customFormat="false" ht="15" hidden="false" customHeight="true" outlineLevel="0" collapsed="false">
      <c r="A42" s="11" t="str">
        <f aca="false">TRIM('수출입 실적(품목별)'!A46)</f>
        <v>2024.01</v>
      </c>
      <c r="B42" s="17" t="n">
        <f aca="false">IFERROR(VALUE(LEFT($A42,4)),"")</f>
        <v>2024</v>
      </c>
      <c r="C42" s="17" t="n">
        <f aca="false">IFERROR(VALUE(RIGHT($A42,2)),"")</f>
        <v>1</v>
      </c>
      <c r="D42" s="17" t="n">
        <f aca="false">IFERROR(ROUNDUP($C42/3,0),"")</f>
        <v>1</v>
      </c>
      <c r="E42" s="11" t="str">
        <f aca="false">TRIM('수출입 실적(품목별)'!B46)</f>
        <v>40</v>
      </c>
      <c r="F42" s="11" t="str">
        <f aca="false">TRIM('수출입 실적(품목별)'!C46)</f>
        <v>고무와 그 제품</v>
      </c>
      <c r="G42" s="18" t="n">
        <f aca="false">IFERROR(VALUE(SUBSTITUTE(TRIM('수출입 실적(품목별)'!D46),",","")),"")</f>
        <v>245769.8</v>
      </c>
      <c r="H42" s="19" t="n">
        <f aca="false">IFERROR(VALUE(SUBSTITUTE(TRIM('수출입 실적(품목별)'!E46),",","")),"")</f>
        <v>643545</v>
      </c>
      <c r="I42" s="18" t="n">
        <f aca="false">IFERROR(VALUE(SUBSTITUTE(TRIM('수출입 실적(품목별)'!F46),",","")),"")</f>
        <v>73491.7</v>
      </c>
      <c r="J42" s="19" t="n">
        <f aca="false">IFERROR(VALUE(SUBSTITUTE(TRIM('수출입 실적(품목별)'!G46),",","")),"")</f>
        <v>234349</v>
      </c>
      <c r="K42" s="19" t="n">
        <f aca="false">IFERROR(VALUE(SUBSTITUTE(TRIM('수출입 실적(품목별)'!H46),",","")),"")</f>
        <v>409196</v>
      </c>
    </row>
    <row r="43" customFormat="false" ht="15" hidden="false" customHeight="true" outlineLevel="0" collapsed="false">
      <c r="A43" s="11" t="str">
        <f aca="false">TRIM('수출입 실적(품목별)'!A47)</f>
        <v>2024.01</v>
      </c>
      <c r="B43" s="17" t="n">
        <f aca="false">IFERROR(VALUE(LEFT($A43,4)),"")</f>
        <v>2024</v>
      </c>
      <c r="C43" s="17" t="n">
        <f aca="false">IFERROR(VALUE(RIGHT($A43,2)),"")</f>
        <v>1</v>
      </c>
      <c r="D43" s="17" t="n">
        <f aca="false">IFERROR(ROUNDUP($C43/3,0),"")</f>
        <v>1</v>
      </c>
      <c r="E43" s="11" t="str">
        <f aca="false">TRIM('수출입 실적(품목별)'!B47)</f>
        <v>41</v>
      </c>
      <c r="F43" s="11" t="str">
        <f aca="false">TRIM('수출입 실적(품목별)'!C47)</f>
        <v>원피(모피는 제외한다)와 가죽</v>
      </c>
      <c r="G43" s="18" t="n">
        <f aca="false">IFERROR(VALUE(SUBSTITUTE(TRIM('수출입 실적(품목별)'!D47),",","")),"")</f>
        <v>2979.1</v>
      </c>
      <c r="H43" s="19" t="n">
        <f aca="false">IFERROR(VALUE(SUBSTITUTE(TRIM('수출입 실적(품목별)'!E47),",","")),"")</f>
        <v>24757</v>
      </c>
      <c r="I43" s="18" t="n">
        <f aca="false">IFERROR(VALUE(SUBSTITUTE(TRIM('수출입 실적(품목별)'!F47),",","")),"")</f>
        <v>6945.2</v>
      </c>
      <c r="J43" s="19" t="n">
        <f aca="false">IFERROR(VALUE(SUBSTITUTE(TRIM('수출입 실적(품목별)'!G47),",","")),"")</f>
        <v>17645</v>
      </c>
      <c r="K43" s="19" t="n">
        <f aca="false">IFERROR(VALUE(SUBSTITUTE(TRIM('수출입 실적(품목별)'!H47),",","")),"")</f>
        <v>7112</v>
      </c>
    </row>
    <row r="44" customFormat="false" ht="15" hidden="false" customHeight="true" outlineLevel="0" collapsed="false">
      <c r="A44" s="11" t="str">
        <f aca="false">TRIM('수출입 실적(품목별)'!A48)</f>
        <v>2024.01</v>
      </c>
      <c r="B44" s="17" t="n">
        <f aca="false">IFERROR(VALUE(LEFT($A44,4)),"")</f>
        <v>2024</v>
      </c>
      <c r="C44" s="17" t="n">
        <f aca="false">IFERROR(VALUE(RIGHT($A44,2)),"")</f>
        <v>1</v>
      </c>
      <c r="D44" s="17" t="n">
        <f aca="false">IFERROR(ROUNDUP($C44/3,0),"")</f>
        <v>1</v>
      </c>
      <c r="E44" s="11" t="str">
        <f aca="false">TRIM('수출입 실적(품목별)'!B48)</f>
        <v>42</v>
      </c>
      <c r="F44" s="11" t="str">
        <f aca="false">TRIM('수출입 실적(품목별)'!C48)</f>
        <v>가죽제품, 마구, 여행용구ㆍ핸드백과 이와 유사한 용기, 동물 거트(gut)[누에의 거트(gut)는 제외한다]의 제품</v>
      </c>
      <c r="G44" s="18" t="n">
        <f aca="false">IFERROR(VALUE(SUBSTITUTE(TRIM('수출입 실적(품목별)'!D48),",","")),"")</f>
        <v>856.8</v>
      </c>
      <c r="H44" s="19" t="n">
        <f aca="false">IFERROR(VALUE(SUBSTITUTE(TRIM('수출입 실적(품목별)'!E48),",","")),"")</f>
        <v>31796</v>
      </c>
      <c r="I44" s="18" t="n">
        <f aca="false">IFERROR(VALUE(SUBSTITUTE(TRIM('수출입 실적(품목별)'!F48),",","")),"")</f>
        <v>11445.7</v>
      </c>
      <c r="J44" s="19" t="n">
        <f aca="false">IFERROR(VALUE(SUBSTITUTE(TRIM('수출입 실적(품목별)'!G48),",","")),"")</f>
        <v>369489</v>
      </c>
      <c r="K44" s="19" t="n">
        <f aca="false">IFERROR(VALUE(SUBSTITUTE(TRIM('수출입 실적(품목별)'!H48),",","")),"")</f>
        <v>-337693</v>
      </c>
    </row>
    <row r="45" customFormat="false" ht="15" hidden="false" customHeight="true" outlineLevel="0" collapsed="false">
      <c r="A45" s="11" t="str">
        <f aca="false">TRIM('수출입 실적(품목별)'!A49)</f>
        <v>2024.01</v>
      </c>
      <c r="B45" s="17" t="n">
        <f aca="false">IFERROR(VALUE(LEFT($A45,4)),"")</f>
        <v>2024</v>
      </c>
      <c r="C45" s="17" t="n">
        <f aca="false">IFERROR(VALUE(RIGHT($A45,2)),"")</f>
        <v>1</v>
      </c>
      <c r="D45" s="17" t="n">
        <f aca="false">IFERROR(ROUNDUP($C45/3,0),"")</f>
        <v>1</v>
      </c>
      <c r="E45" s="11" t="str">
        <f aca="false">TRIM('수출입 실적(품목별)'!B49)</f>
        <v>43</v>
      </c>
      <c r="F45" s="11" t="str">
        <f aca="false">TRIM('수출입 실적(품목별)'!C49)</f>
        <v>모피ㆍ인조모피와 이들의 제품</v>
      </c>
      <c r="G45" s="18" t="n">
        <f aca="false">IFERROR(VALUE(SUBSTITUTE(TRIM('수출입 실적(품목별)'!D49),",","")),"")</f>
        <v>2.7</v>
      </c>
      <c r="H45" s="19" t="n">
        <f aca="false">IFERROR(VALUE(SUBSTITUTE(TRIM('수출입 실적(품목별)'!E49),",","")),"")</f>
        <v>335</v>
      </c>
      <c r="I45" s="18" t="n">
        <f aca="false">IFERROR(VALUE(SUBSTITUTE(TRIM('수출입 실적(품목별)'!F49),",","")),"")</f>
        <v>47.4</v>
      </c>
      <c r="J45" s="19" t="n">
        <f aca="false">IFERROR(VALUE(SUBSTITUTE(TRIM('수출입 실적(품목별)'!G49),",","")),"")</f>
        <v>6733</v>
      </c>
      <c r="K45" s="19" t="n">
        <f aca="false">IFERROR(VALUE(SUBSTITUTE(TRIM('수출입 실적(품목별)'!H49),",","")),"")</f>
        <v>-6398</v>
      </c>
    </row>
    <row r="46" customFormat="false" ht="15" hidden="false" customHeight="true" outlineLevel="0" collapsed="false">
      <c r="A46" s="11" t="str">
        <f aca="false">TRIM('수출입 실적(품목별)'!A50)</f>
        <v>2024.01</v>
      </c>
      <c r="B46" s="17" t="n">
        <f aca="false">IFERROR(VALUE(LEFT($A46,4)),"")</f>
        <v>2024</v>
      </c>
      <c r="C46" s="17" t="n">
        <f aca="false">IFERROR(VALUE(RIGHT($A46,2)),"")</f>
        <v>1</v>
      </c>
      <c r="D46" s="17" t="n">
        <f aca="false">IFERROR(ROUNDUP($C46/3,0),"")</f>
        <v>1</v>
      </c>
      <c r="E46" s="11" t="str">
        <f aca="false">TRIM('수출입 실적(품목별)'!B50)</f>
        <v>44</v>
      </c>
      <c r="F46" s="11" t="str">
        <f aca="false">TRIM('수출입 실적(품목별)'!C50)</f>
        <v>목재와 그 제품, 목탄</v>
      </c>
      <c r="G46" s="18" t="n">
        <f aca="false">IFERROR(VALUE(SUBSTITUTE(TRIM('수출입 실적(품목별)'!D50),",","")),"")</f>
        <v>5057.9</v>
      </c>
      <c r="H46" s="19" t="n">
        <f aca="false">IFERROR(VALUE(SUBSTITUTE(TRIM('수출입 실적(품목별)'!E50),",","")),"")</f>
        <v>6338</v>
      </c>
      <c r="I46" s="18" t="n">
        <f aca="false">IFERROR(VALUE(SUBSTITUTE(TRIM('수출입 실적(품목별)'!F50),",","")),"")</f>
        <v>910932.5</v>
      </c>
      <c r="J46" s="19" t="n">
        <f aca="false">IFERROR(VALUE(SUBSTITUTE(TRIM('수출입 실적(품목별)'!G50),",","")),"")</f>
        <v>253384</v>
      </c>
      <c r="K46" s="19" t="n">
        <f aca="false">IFERROR(VALUE(SUBSTITUTE(TRIM('수출입 실적(품목별)'!H50),",","")),"")</f>
        <v>-247046</v>
      </c>
    </row>
    <row r="47" customFormat="false" ht="15" hidden="false" customHeight="true" outlineLevel="0" collapsed="false">
      <c r="A47" s="11" t="str">
        <f aca="false">TRIM('수출입 실적(품목별)'!A51)</f>
        <v>2024.01</v>
      </c>
      <c r="B47" s="17" t="n">
        <f aca="false">IFERROR(VALUE(LEFT($A47,4)),"")</f>
        <v>2024</v>
      </c>
      <c r="C47" s="17" t="n">
        <f aca="false">IFERROR(VALUE(RIGHT($A47,2)),"")</f>
        <v>1</v>
      </c>
      <c r="D47" s="17" t="n">
        <f aca="false">IFERROR(ROUNDUP($C47/3,0),"")</f>
        <v>1</v>
      </c>
      <c r="E47" s="11" t="str">
        <f aca="false">TRIM('수출입 실적(품목별)'!B51)</f>
        <v>45</v>
      </c>
      <c r="F47" s="11" t="str">
        <f aca="false">TRIM('수출입 실적(품목별)'!C51)</f>
        <v>코르크(cork)와 그 제품</v>
      </c>
      <c r="G47" s="18" t="n">
        <f aca="false">IFERROR(VALUE(SUBSTITUTE(TRIM('수출입 실적(품목별)'!D51),",","")),"")</f>
        <v>2.2</v>
      </c>
      <c r="H47" s="19" t="n">
        <f aca="false">IFERROR(VALUE(SUBSTITUTE(TRIM('수출입 실적(품목별)'!E51),",","")),"")</f>
        <v>53</v>
      </c>
      <c r="I47" s="18" t="n">
        <f aca="false">IFERROR(VALUE(SUBSTITUTE(TRIM('수출입 실적(품목별)'!F51),",","")),"")</f>
        <v>30.1</v>
      </c>
      <c r="J47" s="19" t="n">
        <f aca="false">IFERROR(VALUE(SUBSTITUTE(TRIM('수출입 실적(품목별)'!G51),",","")),"")</f>
        <v>230</v>
      </c>
      <c r="K47" s="19" t="n">
        <f aca="false">IFERROR(VALUE(SUBSTITUTE(TRIM('수출입 실적(품목별)'!H51),",","")),"")</f>
        <v>-177</v>
      </c>
    </row>
    <row r="48" customFormat="false" ht="15" hidden="false" customHeight="true" outlineLevel="0" collapsed="false">
      <c r="A48" s="11" t="str">
        <f aca="false">TRIM('수출입 실적(품목별)'!A52)</f>
        <v>2024.01</v>
      </c>
      <c r="B48" s="17" t="n">
        <f aca="false">IFERROR(VALUE(LEFT($A48,4)),"")</f>
        <v>2024</v>
      </c>
      <c r="C48" s="17" t="n">
        <f aca="false">IFERROR(VALUE(RIGHT($A48,2)),"")</f>
        <v>1</v>
      </c>
      <c r="D48" s="17" t="n">
        <f aca="false">IFERROR(ROUNDUP($C48/3,0),"")</f>
        <v>1</v>
      </c>
      <c r="E48" s="11" t="str">
        <f aca="false">TRIM('수출입 실적(품목별)'!B52)</f>
        <v>46</v>
      </c>
      <c r="F48" s="11" t="str">
        <f aca="false">TRIM('수출입 실적(품목별)'!C52)</f>
        <v>짚ㆍ에스파르토(esparto)나 그 밖의 조물 재료의 제품, 바구니 세공물(basketware)과 지조세공물(枝條細工物)</v>
      </c>
      <c r="G48" s="18" t="n">
        <f aca="false">IFERROR(VALUE(SUBSTITUTE(TRIM('수출입 실적(품목별)'!D52),",","")),"")</f>
        <v>2.9</v>
      </c>
      <c r="H48" s="19" t="n">
        <f aca="false">IFERROR(VALUE(SUBSTITUTE(TRIM('수출입 실적(품목별)'!E52),",","")),"")</f>
        <v>72</v>
      </c>
      <c r="I48" s="18" t="n">
        <f aca="false">IFERROR(VALUE(SUBSTITUTE(TRIM('수출입 실적(품목별)'!F52),",","")),"")</f>
        <v>382.5</v>
      </c>
      <c r="J48" s="19" t="n">
        <f aca="false">IFERROR(VALUE(SUBSTITUTE(TRIM('수출입 실적(품목별)'!G52),",","")),"")</f>
        <v>2087</v>
      </c>
      <c r="K48" s="19" t="n">
        <f aca="false">IFERROR(VALUE(SUBSTITUTE(TRIM('수출입 실적(품목별)'!H52),",","")),"")</f>
        <v>-2016</v>
      </c>
    </row>
    <row r="49" customFormat="false" ht="15" hidden="false" customHeight="true" outlineLevel="0" collapsed="false">
      <c r="A49" s="11" t="str">
        <f aca="false">TRIM('수출입 실적(품목별)'!A53)</f>
        <v>2024.01</v>
      </c>
      <c r="B49" s="17" t="n">
        <f aca="false">IFERROR(VALUE(LEFT($A49,4)),"")</f>
        <v>2024</v>
      </c>
      <c r="C49" s="17" t="n">
        <f aca="false">IFERROR(VALUE(RIGHT($A49,2)),"")</f>
        <v>1</v>
      </c>
      <c r="D49" s="17" t="n">
        <f aca="false">IFERROR(ROUNDUP($C49/3,0),"")</f>
        <v>1</v>
      </c>
      <c r="E49" s="11" t="str">
        <f aca="false">TRIM('수출입 실적(품목별)'!B53)</f>
        <v>47</v>
      </c>
      <c r="F49" s="11" t="str">
        <f aca="false">TRIM('수출입 실적(품목별)'!C53)</f>
        <v>목재나 그 밖의 섬유질 셀룰로오스재료의 펄프, 회수한 종이ㆍ판지[웨이스트(waste)와 스크랩(scrap)]</v>
      </c>
      <c r="G49" s="18" t="n">
        <f aca="false">IFERROR(VALUE(SUBSTITUTE(TRIM('수출입 실적(품목별)'!D53),",","")),"")</f>
        <v>53551.9</v>
      </c>
      <c r="H49" s="19" t="n">
        <f aca="false">IFERROR(VALUE(SUBSTITUTE(TRIM('수출입 실적(품목별)'!E53),",","")),"")</f>
        <v>11662</v>
      </c>
      <c r="I49" s="18" t="n">
        <f aca="false">IFERROR(VALUE(SUBSTITUTE(TRIM('수출입 실적(품목별)'!F53),",","")),"")</f>
        <v>228892.1</v>
      </c>
      <c r="J49" s="19" t="n">
        <f aca="false">IFERROR(VALUE(SUBSTITUTE(TRIM('수출입 실적(품목별)'!G53),",","")),"")</f>
        <v>126114</v>
      </c>
      <c r="K49" s="19" t="n">
        <f aca="false">IFERROR(VALUE(SUBSTITUTE(TRIM('수출입 실적(품목별)'!H53),",","")),"")</f>
        <v>-114452</v>
      </c>
    </row>
    <row r="50" customFormat="false" ht="15" hidden="false" customHeight="true" outlineLevel="0" collapsed="false">
      <c r="A50" s="11" t="str">
        <f aca="false">TRIM('수출입 실적(품목별)'!A54)</f>
        <v>2024.01</v>
      </c>
      <c r="B50" s="17" t="n">
        <f aca="false">IFERROR(VALUE(LEFT($A50,4)),"")</f>
        <v>2024</v>
      </c>
      <c r="C50" s="17" t="n">
        <f aca="false">IFERROR(VALUE(RIGHT($A50,2)),"")</f>
        <v>1</v>
      </c>
      <c r="D50" s="17" t="n">
        <f aca="false">IFERROR(ROUNDUP($C50/3,0),"")</f>
        <v>1</v>
      </c>
      <c r="E50" s="11" t="str">
        <f aca="false">TRIM('수출입 실적(품목별)'!B54)</f>
        <v>48</v>
      </c>
      <c r="F50" s="11" t="str">
        <f aca="false">TRIM('수출입 실적(품목별)'!C54)</f>
        <v>종이와 판지, 제지용 펄프ㆍ종이ㆍ판지의 제품</v>
      </c>
      <c r="G50" s="18" t="n">
        <f aca="false">IFERROR(VALUE(SUBSTITUTE(TRIM('수출입 실적(품목별)'!D54),",","")),"")</f>
        <v>224141.5</v>
      </c>
      <c r="H50" s="19" t="n">
        <f aca="false">IFERROR(VALUE(SUBSTITUTE(TRIM('수출입 실적(품목별)'!E54),",","")),"")</f>
        <v>231117</v>
      </c>
      <c r="I50" s="18" t="n">
        <f aca="false">IFERROR(VALUE(SUBSTITUTE(TRIM('수출입 실적(품목별)'!F54),",","")),"")</f>
        <v>131137</v>
      </c>
      <c r="J50" s="19" t="n">
        <f aca="false">IFERROR(VALUE(SUBSTITUTE(TRIM('수출입 실적(품목별)'!G54),",","")),"")</f>
        <v>198602</v>
      </c>
      <c r="K50" s="19" t="n">
        <f aca="false">IFERROR(VALUE(SUBSTITUTE(TRIM('수출입 실적(품목별)'!H54),",","")),"")</f>
        <v>32514</v>
      </c>
    </row>
    <row r="51" customFormat="false" ht="15" hidden="false" customHeight="true" outlineLevel="0" collapsed="false">
      <c r="A51" s="11" t="str">
        <f aca="false">TRIM('수출입 실적(품목별)'!A55)</f>
        <v>2024.01</v>
      </c>
      <c r="B51" s="17" t="n">
        <f aca="false">IFERROR(VALUE(LEFT($A51,4)),"")</f>
        <v>2024</v>
      </c>
      <c r="C51" s="17" t="n">
        <f aca="false">IFERROR(VALUE(RIGHT($A51,2)),"")</f>
        <v>1</v>
      </c>
      <c r="D51" s="17" t="n">
        <f aca="false">IFERROR(ROUNDUP($C51/3,0),"")</f>
        <v>1</v>
      </c>
      <c r="E51" s="11" t="str">
        <f aca="false">TRIM('수출입 실적(품목별)'!B55)</f>
        <v>49</v>
      </c>
      <c r="F51" s="11" t="str">
        <f aca="false">TRIM('수출입 실적(품목별)'!C55)</f>
        <v>인쇄서적ㆍ신문ㆍ회화ㆍ그 밖의 인쇄물, 수제(手製)문서ㆍ타자문서ㆍ도면</v>
      </c>
      <c r="G51" s="18" t="n">
        <f aca="false">IFERROR(VALUE(SUBSTITUTE(TRIM('수출입 실적(품목별)'!D55),",","")),"")</f>
        <v>2514.6</v>
      </c>
      <c r="H51" s="19" t="n">
        <f aca="false">IFERROR(VALUE(SUBSTITUTE(TRIM('수출입 실적(품목별)'!E55),",","")),"")</f>
        <v>26947</v>
      </c>
      <c r="I51" s="18" t="n">
        <f aca="false">IFERROR(VALUE(SUBSTITUTE(TRIM('수출입 실적(품목별)'!F55),",","")),"")</f>
        <v>1164.7</v>
      </c>
      <c r="J51" s="19" t="n">
        <f aca="false">IFERROR(VALUE(SUBSTITUTE(TRIM('수출입 실적(품목별)'!G55),",","")),"")</f>
        <v>20436</v>
      </c>
      <c r="K51" s="19" t="n">
        <f aca="false">IFERROR(VALUE(SUBSTITUTE(TRIM('수출입 실적(품목별)'!H55),",","")),"")</f>
        <v>6510</v>
      </c>
    </row>
    <row r="52" customFormat="false" ht="15" hidden="false" customHeight="true" outlineLevel="0" collapsed="false">
      <c r="A52" s="11" t="str">
        <f aca="false">TRIM('수출입 실적(품목별)'!A56)</f>
        <v>2024.01</v>
      </c>
      <c r="B52" s="17" t="n">
        <f aca="false">IFERROR(VALUE(LEFT($A52,4)),"")</f>
        <v>2024</v>
      </c>
      <c r="C52" s="17" t="n">
        <f aca="false">IFERROR(VALUE(RIGHT($A52,2)),"")</f>
        <v>1</v>
      </c>
      <c r="D52" s="17" t="n">
        <f aca="false">IFERROR(ROUNDUP($C52/3,0),"")</f>
        <v>1</v>
      </c>
      <c r="E52" s="11" t="str">
        <f aca="false">TRIM('수출입 실적(품목별)'!B56)</f>
        <v>50</v>
      </c>
      <c r="F52" s="11" t="str">
        <f aca="false">TRIM('수출입 실적(품목별)'!C56)</f>
        <v>견</v>
      </c>
      <c r="G52" s="18" t="n">
        <f aca="false">IFERROR(VALUE(SUBSTITUTE(TRIM('수출입 실적(품목별)'!D56),",","")),"")</f>
        <v>19.9</v>
      </c>
      <c r="H52" s="19" t="n">
        <f aca="false">IFERROR(VALUE(SUBSTITUTE(TRIM('수출입 실적(품목별)'!E56),",","")),"")</f>
        <v>1724</v>
      </c>
      <c r="I52" s="18" t="n">
        <f aca="false">IFERROR(VALUE(SUBSTITUTE(TRIM('수출입 실적(품목별)'!F56),",","")),"")</f>
        <v>31.5</v>
      </c>
      <c r="J52" s="19" t="n">
        <f aca="false">IFERROR(VALUE(SUBSTITUTE(TRIM('수출입 실적(품목별)'!G56),",","")),"")</f>
        <v>2820</v>
      </c>
      <c r="K52" s="19" t="n">
        <f aca="false">IFERROR(VALUE(SUBSTITUTE(TRIM('수출입 실적(품목별)'!H56),",","")),"")</f>
        <v>-1096</v>
      </c>
    </row>
    <row r="53" customFormat="false" ht="15" hidden="false" customHeight="true" outlineLevel="0" collapsed="false">
      <c r="A53" s="11" t="str">
        <f aca="false">TRIM('수출입 실적(품목별)'!A57)</f>
        <v>2024.01</v>
      </c>
      <c r="B53" s="17" t="n">
        <f aca="false">IFERROR(VALUE(LEFT($A53,4)),"")</f>
        <v>2024</v>
      </c>
      <c r="C53" s="17" t="n">
        <f aca="false">IFERROR(VALUE(RIGHT($A53,2)),"")</f>
        <v>1</v>
      </c>
      <c r="D53" s="17" t="n">
        <f aca="false">IFERROR(ROUNDUP($C53/3,0),"")</f>
        <v>1</v>
      </c>
      <c r="E53" s="11" t="str">
        <f aca="false">TRIM('수출입 실적(품목별)'!B57)</f>
        <v>51</v>
      </c>
      <c r="F53" s="11" t="str">
        <f aca="false">TRIM('수출입 실적(품목별)'!C57)</f>
        <v>양모ㆍ동물의 부드러운 털이나 거친 털ㆍ말의 털로 만든 실과 직물</v>
      </c>
      <c r="G53" s="18" t="n">
        <f aca="false">IFERROR(VALUE(SUBSTITUTE(TRIM('수출입 실적(품목별)'!D57),",","")),"")</f>
        <v>124.9</v>
      </c>
      <c r="H53" s="19" t="n">
        <f aca="false">IFERROR(VALUE(SUBSTITUTE(TRIM('수출입 실적(품목별)'!E57),",","")),"")</f>
        <v>2673</v>
      </c>
      <c r="I53" s="18" t="n">
        <f aca="false">IFERROR(VALUE(SUBSTITUTE(TRIM('수출입 실적(품목별)'!F57),",","")),"")</f>
        <v>948.9</v>
      </c>
      <c r="J53" s="19" t="n">
        <f aca="false">IFERROR(VALUE(SUBSTITUTE(TRIM('수출입 실적(품목별)'!G57),",","")),"")</f>
        <v>14158</v>
      </c>
      <c r="K53" s="19" t="n">
        <f aca="false">IFERROR(VALUE(SUBSTITUTE(TRIM('수출입 실적(품목별)'!H57),",","")),"")</f>
        <v>-11484</v>
      </c>
    </row>
    <row r="54" customFormat="false" ht="15" hidden="false" customHeight="true" outlineLevel="0" collapsed="false">
      <c r="A54" s="11" t="str">
        <f aca="false">TRIM('수출입 실적(품목별)'!A58)</f>
        <v>2024.01</v>
      </c>
      <c r="B54" s="17" t="n">
        <f aca="false">IFERROR(VALUE(LEFT($A54,4)),"")</f>
        <v>2024</v>
      </c>
      <c r="C54" s="17" t="n">
        <f aca="false">IFERROR(VALUE(RIGHT($A54,2)),"")</f>
        <v>1</v>
      </c>
      <c r="D54" s="17" t="n">
        <f aca="false">IFERROR(ROUNDUP($C54/3,0),"")</f>
        <v>1</v>
      </c>
      <c r="E54" s="11" t="str">
        <f aca="false">TRIM('수출입 실적(품목별)'!B58)</f>
        <v>52</v>
      </c>
      <c r="F54" s="11" t="str">
        <f aca="false">TRIM('수출입 실적(품목별)'!C58)</f>
        <v>면</v>
      </c>
      <c r="G54" s="18" t="n">
        <f aca="false">IFERROR(VALUE(SUBSTITUTE(TRIM('수출입 실적(품목별)'!D58),",","")),"")</f>
        <v>2574.6</v>
      </c>
      <c r="H54" s="19" t="n">
        <f aca="false">IFERROR(VALUE(SUBSTITUTE(TRIM('수출입 실적(품목별)'!E58),",","")),"")</f>
        <v>21683</v>
      </c>
      <c r="I54" s="18" t="n">
        <f aca="false">IFERROR(VALUE(SUBSTITUTE(TRIM('수출입 실적(품목별)'!F58),",","")),"")</f>
        <v>22568.9</v>
      </c>
      <c r="J54" s="19" t="n">
        <f aca="false">IFERROR(VALUE(SUBSTITUTE(TRIM('수출입 실적(품목별)'!G58),",","")),"")</f>
        <v>71388</v>
      </c>
      <c r="K54" s="19" t="n">
        <f aca="false">IFERROR(VALUE(SUBSTITUTE(TRIM('수출입 실적(품목별)'!H58),",","")),"")</f>
        <v>-49705</v>
      </c>
    </row>
    <row r="55" customFormat="false" ht="15" hidden="false" customHeight="true" outlineLevel="0" collapsed="false">
      <c r="A55" s="11" t="str">
        <f aca="false">TRIM('수출입 실적(품목별)'!A59)</f>
        <v>2024.01</v>
      </c>
      <c r="B55" s="17" t="n">
        <f aca="false">IFERROR(VALUE(LEFT($A55,4)),"")</f>
        <v>2024</v>
      </c>
      <c r="C55" s="17" t="n">
        <f aca="false">IFERROR(VALUE(RIGHT($A55,2)),"")</f>
        <v>1</v>
      </c>
      <c r="D55" s="17" t="n">
        <f aca="false">IFERROR(ROUNDUP($C55/3,0),"")</f>
        <v>1</v>
      </c>
      <c r="E55" s="11" t="str">
        <f aca="false">TRIM('수출입 실적(품목별)'!B59)</f>
        <v>53</v>
      </c>
      <c r="F55" s="11" t="str">
        <f aca="false">TRIM('수출입 실적(품목별)'!C59)</f>
        <v>그 밖의 식물성 방직용 섬유, 종이실(paper yarn)과 종이실로 만든 직물</v>
      </c>
      <c r="G55" s="18" t="n">
        <f aca="false">IFERROR(VALUE(SUBSTITUTE(TRIM('수출입 실적(품목별)'!D59),",","")),"")</f>
        <v>41</v>
      </c>
      <c r="H55" s="19" t="n">
        <f aca="false">IFERROR(VALUE(SUBSTITUTE(TRIM('수출입 실적(품목별)'!E59),",","")),"")</f>
        <v>829</v>
      </c>
      <c r="I55" s="18" t="n">
        <f aca="false">IFERROR(VALUE(SUBSTITUTE(TRIM('수출입 실적(품목별)'!F59),",","")),"")</f>
        <v>1059.7</v>
      </c>
      <c r="J55" s="19" t="n">
        <f aca="false">IFERROR(VALUE(SUBSTITUTE(TRIM('수출입 실적(품목별)'!G59),",","")),"")</f>
        <v>5674</v>
      </c>
      <c r="K55" s="19" t="n">
        <f aca="false">IFERROR(VALUE(SUBSTITUTE(TRIM('수출입 실적(품목별)'!H59),",","")),"")</f>
        <v>-4844</v>
      </c>
    </row>
    <row r="56" customFormat="false" ht="15" hidden="false" customHeight="true" outlineLevel="0" collapsed="false">
      <c r="A56" s="11" t="str">
        <f aca="false">TRIM('수출입 실적(품목별)'!A60)</f>
        <v>2024.01</v>
      </c>
      <c r="B56" s="17" t="n">
        <f aca="false">IFERROR(VALUE(LEFT($A56,4)),"")</f>
        <v>2024</v>
      </c>
      <c r="C56" s="17" t="n">
        <f aca="false">IFERROR(VALUE(RIGHT($A56,2)),"")</f>
        <v>1</v>
      </c>
      <c r="D56" s="17" t="n">
        <f aca="false">IFERROR(ROUNDUP($C56/3,0),"")</f>
        <v>1</v>
      </c>
      <c r="E56" s="11" t="str">
        <f aca="false">TRIM('수출입 실적(품목별)'!B60)</f>
        <v>54</v>
      </c>
      <c r="F56" s="11" t="str">
        <f aca="false">TRIM('수출입 실적(품목별)'!C60)</f>
        <v>인조필라멘트, 인조방직용 섬유재료의 스트립(strip)과 이와 유사한 것</v>
      </c>
      <c r="G56" s="18" t="n">
        <f aca="false">IFERROR(VALUE(SUBSTITUTE(TRIM('수출입 실적(품목별)'!D60),",","")),"")</f>
        <v>27392.3</v>
      </c>
      <c r="H56" s="19" t="n">
        <f aca="false">IFERROR(VALUE(SUBSTITUTE(TRIM('수출입 실적(품목별)'!E60),",","")),"")</f>
        <v>171295</v>
      </c>
      <c r="I56" s="18" t="n">
        <f aca="false">IFERROR(VALUE(SUBSTITUTE(TRIM('수출입 실적(품목별)'!F60),",","")),"")</f>
        <v>40633.7</v>
      </c>
      <c r="J56" s="19" t="n">
        <f aca="false">IFERROR(VALUE(SUBSTITUTE(TRIM('수출입 실적(품목별)'!G60),",","")),"")</f>
        <v>88491</v>
      </c>
      <c r="K56" s="19" t="n">
        <f aca="false">IFERROR(VALUE(SUBSTITUTE(TRIM('수출입 실적(품목별)'!H60),",","")),"")</f>
        <v>82804</v>
      </c>
    </row>
    <row r="57" customFormat="false" ht="15" hidden="false" customHeight="true" outlineLevel="0" collapsed="false">
      <c r="A57" s="11" t="str">
        <f aca="false">TRIM('수출입 실적(품목별)'!A61)</f>
        <v>2024.01</v>
      </c>
      <c r="B57" s="17" t="n">
        <f aca="false">IFERROR(VALUE(LEFT($A57,4)),"")</f>
        <v>2024</v>
      </c>
      <c r="C57" s="17" t="n">
        <f aca="false">IFERROR(VALUE(RIGHT($A57,2)),"")</f>
        <v>1</v>
      </c>
      <c r="D57" s="17" t="n">
        <f aca="false">IFERROR(ROUNDUP($C57/3,0),"")</f>
        <v>1</v>
      </c>
      <c r="E57" s="11" t="str">
        <f aca="false">TRIM('수출입 실적(품목별)'!B61)</f>
        <v>55</v>
      </c>
      <c r="F57" s="11" t="str">
        <f aca="false">TRIM('수출입 실적(품목별)'!C61)</f>
        <v>인조스테이플섬유</v>
      </c>
      <c r="G57" s="18" t="n">
        <f aca="false">IFERROR(VALUE(SUBSTITUTE(TRIM('수출입 실적(품목별)'!D61),",","")),"")</f>
        <v>64364.2</v>
      </c>
      <c r="H57" s="19" t="n">
        <f aca="false">IFERROR(VALUE(SUBSTITUTE(TRIM('수출입 실적(품목별)'!E61),",","")),"")</f>
        <v>115753</v>
      </c>
      <c r="I57" s="18" t="n">
        <f aca="false">IFERROR(VALUE(SUBSTITUTE(TRIM('수출입 실적(품목별)'!F61),",","")),"")</f>
        <v>14157</v>
      </c>
      <c r="J57" s="19" t="n">
        <f aca="false">IFERROR(VALUE(SUBSTITUTE(TRIM('수출입 실적(품목별)'!G61),",","")),"")</f>
        <v>50745</v>
      </c>
      <c r="K57" s="19" t="n">
        <f aca="false">IFERROR(VALUE(SUBSTITUTE(TRIM('수출입 실적(품목별)'!H61),",","")),"")</f>
        <v>65007</v>
      </c>
    </row>
    <row r="58" customFormat="false" ht="15" hidden="false" customHeight="true" outlineLevel="0" collapsed="false">
      <c r="A58" s="11" t="str">
        <f aca="false">TRIM('수출입 실적(품목별)'!A62)</f>
        <v>2024.01</v>
      </c>
      <c r="B58" s="17" t="n">
        <f aca="false">IFERROR(VALUE(LEFT($A58,4)),"")</f>
        <v>2024</v>
      </c>
      <c r="C58" s="17" t="n">
        <f aca="false">IFERROR(VALUE(RIGHT($A58,2)),"")</f>
        <v>1</v>
      </c>
      <c r="D58" s="17" t="n">
        <f aca="false">IFERROR(ROUNDUP($C58/3,0),"")</f>
        <v>1</v>
      </c>
      <c r="E58" s="11" t="str">
        <f aca="false">TRIM('수출입 실적(품목별)'!B62)</f>
        <v>56</v>
      </c>
      <c r="F58" s="11" t="str">
        <f aca="false">TRIM('수출입 실적(품목별)'!C62)</f>
        <v>워딩(wadding)ㆍ펠트(felt)ㆍ부직포, 특수사, 끈ㆍ배의 밧줄(cordage)ㆍ로프ㆍ케이블과 이들의 제품</v>
      </c>
      <c r="G58" s="18" t="n">
        <f aca="false">IFERROR(VALUE(SUBSTITUTE(TRIM('수출입 실적(품목별)'!D62),",","")),"")</f>
        <v>9153.7</v>
      </c>
      <c r="H58" s="19" t="n">
        <f aca="false">IFERROR(VALUE(SUBSTITUTE(TRIM('수출입 실적(품목별)'!E62),",","")),"")</f>
        <v>63709</v>
      </c>
      <c r="I58" s="18" t="n">
        <f aca="false">IFERROR(VALUE(SUBSTITUTE(TRIM('수출입 실적(품목별)'!F62),",","")),"")</f>
        <v>17861.7</v>
      </c>
      <c r="J58" s="19" t="n">
        <f aca="false">IFERROR(VALUE(SUBSTITUTE(TRIM('수출입 실적(품목별)'!G62),",","")),"")</f>
        <v>55633</v>
      </c>
      <c r="K58" s="19" t="n">
        <f aca="false">IFERROR(VALUE(SUBSTITUTE(TRIM('수출입 실적(품목별)'!H62),",","")),"")</f>
        <v>8076</v>
      </c>
    </row>
    <row r="59" customFormat="false" ht="15" hidden="false" customHeight="true" outlineLevel="0" collapsed="false">
      <c r="A59" s="11" t="str">
        <f aca="false">TRIM('수출입 실적(품목별)'!A63)</f>
        <v>2024.01</v>
      </c>
      <c r="B59" s="17" t="n">
        <f aca="false">IFERROR(VALUE(LEFT($A59,4)),"")</f>
        <v>2024</v>
      </c>
      <c r="C59" s="17" t="n">
        <f aca="false">IFERROR(VALUE(RIGHT($A59,2)),"")</f>
        <v>1</v>
      </c>
      <c r="D59" s="17" t="n">
        <f aca="false">IFERROR(ROUNDUP($C59/3,0),"")</f>
        <v>1</v>
      </c>
      <c r="E59" s="11" t="str">
        <f aca="false">TRIM('수출입 실적(품목별)'!B63)</f>
        <v>57</v>
      </c>
      <c r="F59" s="11" t="str">
        <f aca="false">TRIM('수출입 실적(품목별)'!C63)</f>
        <v>양탄자류와 그 밖의 방직용 섬유로 만든 바닥깔개</v>
      </c>
      <c r="G59" s="18" t="n">
        <f aca="false">IFERROR(VALUE(SUBSTITUTE(TRIM('수출입 실적(품목별)'!D63),",","")),"")</f>
        <v>670.9</v>
      </c>
      <c r="H59" s="19" t="n">
        <f aca="false">IFERROR(VALUE(SUBSTITUTE(TRIM('수출입 실적(품목별)'!E63),",","")),"")</f>
        <v>3773</v>
      </c>
      <c r="I59" s="18" t="n">
        <f aca="false">IFERROR(VALUE(SUBSTITUTE(TRIM('수출입 실적(품목별)'!F63),",","")),"")</f>
        <v>5080.5</v>
      </c>
      <c r="J59" s="19" t="n">
        <f aca="false">IFERROR(VALUE(SUBSTITUTE(TRIM('수출입 실적(품목별)'!G63),",","")),"")</f>
        <v>9494</v>
      </c>
      <c r="K59" s="19" t="n">
        <f aca="false">IFERROR(VALUE(SUBSTITUTE(TRIM('수출입 실적(품목별)'!H63),",","")),"")</f>
        <v>-5720</v>
      </c>
    </row>
    <row r="60" customFormat="false" ht="15" hidden="false" customHeight="true" outlineLevel="0" collapsed="false">
      <c r="A60" s="11" t="str">
        <f aca="false">TRIM('수출입 실적(품목별)'!A64)</f>
        <v>2024.01</v>
      </c>
      <c r="B60" s="17" t="n">
        <f aca="false">IFERROR(VALUE(LEFT($A60,4)),"")</f>
        <v>2024</v>
      </c>
      <c r="C60" s="17" t="n">
        <f aca="false">IFERROR(VALUE(RIGHT($A60,2)),"")</f>
        <v>1</v>
      </c>
      <c r="D60" s="17" t="n">
        <f aca="false">IFERROR(ROUNDUP($C60/3,0),"")</f>
        <v>1</v>
      </c>
      <c r="E60" s="11" t="str">
        <f aca="false">TRIM('수출입 실적(품목별)'!B64)</f>
        <v>58</v>
      </c>
      <c r="F60" s="11" t="str">
        <f aca="false">TRIM('수출입 실적(품목별)'!C64)</f>
        <v>특수직물, 터프트(tuft)한 직물, 레이스, 태피스트리(tapestry), 트리밍(trimming), 자수천</v>
      </c>
      <c r="G60" s="18" t="n">
        <f aca="false">IFERROR(VALUE(SUBSTITUTE(TRIM('수출입 실적(품목별)'!D64),",","")),"")</f>
        <v>1440.4</v>
      </c>
      <c r="H60" s="19" t="n">
        <f aca="false">IFERROR(VALUE(SUBSTITUTE(TRIM('수출입 실적(품목별)'!E64),",","")),"")</f>
        <v>17690</v>
      </c>
      <c r="I60" s="18" t="n">
        <f aca="false">IFERROR(VALUE(SUBSTITUTE(TRIM('수출입 실적(품목별)'!F64),",","")),"")</f>
        <v>694.7</v>
      </c>
      <c r="J60" s="19" t="n">
        <f aca="false">IFERROR(VALUE(SUBSTITUTE(TRIM('수출입 실적(품목별)'!G64),",","")),"")</f>
        <v>5967</v>
      </c>
      <c r="K60" s="19" t="n">
        <f aca="false">IFERROR(VALUE(SUBSTITUTE(TRIM('수출입 실적(품목별)'!H64),",","")),"")</f>
        <v>11722</v>
      </c>
    </row>
    <row r="61" customFormat="false" ht="15" hidden="false" customHeight="true" outlineLevel="0" collapsed="false">
      <c r="A61" s="11" t="str">
        <f aca="false">TRIM('수출입 실적(품목별)'!A65)</f>
        <v>2024.01</v>
      </c>
      <c r="B61" s="17" t="n">
        <f aca="false">IFERROR(VALUE(LEFT($A61,4)),"")</f>
        <v>2024</v>
      </c>
      <c r="C61" s="17" t="n">
        <f aca="false">IFERROR(VALUE(RIGHT($A61,2)),"")</f>
        <v>1</v>
      </c>
      <c r="D61" s="17" t="n">
        <f aca="false">IFERROR(ROUNDUP($C61/3,0),"")</f>
        <v>1</v>
      </c>
      <c r="E61" s="11" t="str">
        <f aca="false">TRIM('수출입 실적(품목별)'!B65)</f>
        <v>59</v>
      </c>
      <c r="F61" s="11" t="str">
        <f aca="false">TRIM('수출입 실적(품목별)'!C65)</f>
        <v>침투ㆍ도포ㆍ피복하거나 적층한 방직용 섬유의 직물, 공업용인 방직용 섬유제품</v>
      </c>
      <c r="G61" s="18" t="n">
        <f aca="false">IFERROR(VALUE(SUBSTITUTE(TRIM('수출입 실적(품목별)'!D65),",","")),"")</f>
        <v>9297.7</v>
      </c>
      <c r="H61" s="19" t="n">
        <f aca="false">IFERROR(VALUE(SUBSTITUTE(TRIM('수출입 실적(품목별)'!E65),",","")),"")</f>
        <v>89852</v>
      </c>
      <c r="I61" s="18" t="n">
        <f aca="false">IFERROR(VALUE(SUBSTITUTE(TRIM('수출입 실적(품목별)'!F65),",","")),"")</f>
        <v>6682</v>
      </c>
      <c r="J61" s="19" t="n">
        <f aca="false">IFERROR(VALUE(SUBSTITUTE(TRIM('수출입 실적(품목별)'!G65),",","")),"")</f>
        <v>39234</v>
      </c>
      <c r="K61" s="19" t="n">
        <f aca="false">IFERROR(VALUE(SUBSTITUTE(TRIM('수출입 실적(품목별)'!H65),",","")),"")</f>
        <v>50618</v>
      </c>
    </row>
    <row r="62" customFormat="false" ht="15" hidden="false" customHeight="true" outlineLevel="0" collapsed="false">
      <c r="A62" s="11" t="str">
        <f aca="false">TRIM('수출입 실적(품목별)'!A66)</f>
        <v>2024.01</v>
      </c>
      <c r="B62" s="17" t="n">
        <f aca="false">IFERROR(VALUE(LEFT($A62,4)),"")</f>
        <v>2024</v>
      </c>
      <c r="C62" s="17" t="n">
        <f aca="false">IFERROR(VALUE(RIGHT($A62,2)),"")</f>
        <v>1</v>
      </c>
      <c r="D62" s="17" t="n">
        <f aca="false">IFERROR(ROUNDUP($C62/3,0),"")</f>
        <v>1</v>
      </c>
      <c r="E62" s="11" t="str">
        <f aca="false">TRIM('수출입 실적(품목별)'!B66)</f>
        <v>60</v>
      </c>
      <c r="F62" s="11" t="str">
        <f aca="false">TRIM('수출입 실적(품목별)'!C66)</f>
        <v>메리야스 편물과 뜨개질 편물</v>
      </c>
      <c r="G62" s="18" t="n">
        <f aca="false">IFERROR(VALUE(SUBSTITUTE(TRIM('수출입 실적(품목별)'!D66),",","")),"")</f>
        <v>16454.5</v>
      </c>
      <c r="H62" s="19" t="n">
        <f aca="false">IFERROR(VALUE(SUBSTITUTE(TRIM('수출입 실적(품목별)'!E66),",","")),"")</f>
        <v>128730</v>
      </c>
      <c r="I62" s="18" t="n">
        <f aca="false">IFERROR(VALUE(SUBSTITUTE(TRIM('수출입 실적(품목별)'!F66),",","")),"")</f>
        <v>1642.4</v>
      </c>
      <c r="J62" s="19" t="n">
        <f aca="false">IFERROR(VALUE(SUBSTITUTE(TRIM('수출입 실적(품목별)'!G66),",","")),"")</f>
        <v>8595</v>
      </c>
      <c r="K62" s="19" t="n">
        <f aca="false">IFERROR(VALUE(SUBSTITUTE(TRIM('수출입 실적(품목별)'!H66),",","")),"")</f>
        <v>120135</v>
      </c>
    </row>
    <row r="63" customFormat="false" ht="15" hidden="false" customHeight="true" outlineLevel="0" collapsed="false">
      <c r="A63" s="11" t="str">
        <f aca="false">TRIM('수출입 실적(품목별)'!A67)</f>
        <v>2024.01</v>
      </c>
      <c r="B63" s="17" t="n">
        <f aca="false">IFERROR(VALUE(LEFT($A63,4)),"")</f>
        <v>2024</v>
      </c>
      <c r="C63" s="17" t="n">
        <f aca="false">IFERROR(VALUE(RIGHT($A63,2)),"")</f>
        <v>1</v>
      </c>
      <c r="D63" s="17" t="n">
        <f aca="false">IFERROR(ROUNDUP($C63/3,0),"")</f>
        <v>1</v>
      </c>
      <c r="E63" s="11" t="str">
        <f aca="false">TRIM('수출입 실적(품목별)'!B67)</f>
        <v>61</v>
      </c>
      <c r="F63" s="11" t="str">
        <f aca="false">TRIM('수출입 실적(품목별)'!C67)</f>
        <v>의류와 그 부속품(메리야스 편물이나 뜨개질 편물로 한정한다)</v>
      </c>
      <c r="G63" s="18" t="n">
        <f aca="false">IFERROR(VALUE(SUBSTITUTE(TRIM('수출입 실적(품목별)'!D67),",","")),"")</f>
        <v>2545.8</v>
      </c>
      <c r="H63" s="19" t="n">
        <f aca="false">IFERROR(VALUE(SUBSTITUTE(TRIM('수출입 실적(품목별)'!E67),",","")),"")</f>
        <v>70792</v>
      </c>
      <c r="I63" s="18" t="n">
        <f aca="false">IFERROR(VALUE(SUBSTITUTE(TRIM('수출입 실적(품목별)'!F67),",","")),"")</f>
        <v>22384.5</v>
      </c>
      <c r="J63" s="19" t="n">
        <f aca="false">IFERROR(VALUE(SUBSTITUTE(TRIM('수출입 실적(품목별)'!G67),",","")),"")</f>
        <v>438489</v>
      </c>
      <c r="K63" s="19" t="n">
        <f aca="false">IFERROR(VALUE(SUBSTITUTE(TRIM('수출입 실적(품목별)'!H67),",","")),"")</f>
        <v>-367696</v>
      </c>
    </row>
    <row r="64" customFormat="false" ht="15" hidden="false" customHeight="true" outlineLevel="0" collapsed="false">
      <c r="A64" s="11" t="str">
        <f aca="false">TRIM('수출입 실적(품목별)'!A68)</f>
        <v>2024.01</v>
      </c>
      <c r="B64" s="17" t="n">
        <f aca="false">IFERROR(VALUE(LEFT($A64,4)),"")</f>
        <v>2024</v>
      </c>
      <c r="C64" s="17" t="n">
        <f aca="false">IFERROR(VALUE(RIGHT($A64,2)),"")</f>
        <v>1</v>
      </c>
      <c r="D64" s="17" t="n">
        <f aca="false">IFERROR(ROUNDUP($C64/3,0),"")</f>
        <v>1</v>
      </c>
      <c r="E64" s="11" t="str">
        <f aca="false">TRIM('수출입 실적(품목별)'!B68)</f>
        <v>62</v>
      </c>
      <c r="F64" s="11" t="str">
        <f aca="false">TRIM('수출입 실적(품목별)'!C68)</f>
        <v>의류와 그 부속품(메리야스 편물이나 뜨개질편물은 제외한다)</v>
      </c>
      <c r="G64" s="18" t="n">
        <f aca="false">IFERROR(VALUE(SUBSTITUTE(TRIM('수출입 실적(품목별)'!D68),",","")),"")</f>
        <v>3001.7</v>
      </c>
      <c r="H64" s="19" t="n">
        <f aca="false">IFERROR(VALUE(SUBSTITUTE(TRIM('수출입 실적(품목별)'!E68),",","")),"")</f>
        <v>85016</v>
      </c>
      <c r="I64" s="18" t="n">
        <f aca="false">IFERROR(VALUE(SUBSTITUTE(TRIM('수출입 실적(품목별)'!F68),",","")),"")</f>
        <v>20754.1</v>
      </c>
      <c r="J64" s="19" t="n">
        <f aca="false">IFERROR(VALUE(SUBSTITUTE(TRIM('수출입 실적(품목별)'!G68),",","")),"")</f>
        <v>669983</v>
      </c>
      <c r="K64" s="19" t="n">
        <f aca="false">IFERROR(VALUE(SUBSTITUTE(TRIM('수출입 실적(품목별)'!H68),",","")),"")</f>
        <v>-584967</v>
      </c>
    </row>
    <row r="65" customFormat="false" ht="15" hidden="false" customHeight="true" outlineLevel="0" collapsed="false">
      <c r="A65" s="11" t="str">
        <f aca="false">TRIM('수출입 실적(품목별)'!A69)</f>
        <v>2024.01</v>
      </c>
      <c r="B65" s="17" t="n">
        <f aca="false">IFERROR(VALUE(LEFT($A65,4)),"")</f>
        <v>2024</v>
      </c>
      <c r="C65" s="17" t="n">
        <f aca="false">IFERROR(VALUE(RIGHT($A65,2)),"")</f>
        <v>1</v>
      </c>
      <c r="D65" s="17" t="n">
        <f aca="false">IFERROR(ROUNDUP($C65/3,0),"")</f>
        <v>1</v>
      </c>
      <c r="E65" s="11" t="str">
        <f aca="false">TRIM('수출입 실적(품목별)'!B69)</f>
        <v>63</v>
      </c>
      <c r="F65" s="11" t="str">
        <f aca="false">TRIM('수출입 실적(품목별)'!C69)</f>
        <v>제품으로 된 방직용 섬유의 그 밖의 물품, 세트, 사용하던 의류ㆍ방직용 섬유제품, 넝마</v>
      </c>
      <c r="G65" s="18" t="n">
        <f aca="false">IFERROR(VALUE(SUBSTITUTE(TRIM('수출입 실적(품목별)'!D69),",","")),"")</f>
        <v>27279.5</v>
      </c>
      <c r="H65" s="19" t="n">
        <f aca="false">IFERROR(VALUE(SUBSTITUTE(TRIM('수출입 실적(품목별)'!E69),",","")),"")</f>
        <v>52749</v>
      </c>
      <c r="I65" s="18" t="n">
        <f aca="false">IFERROR(VALUE(SUBSTITUTE(TRIM('수출입 실적(품목별)'!F69),",","")),"")</f>
        <v>27379</v>
      </c>
      <c r="J65" s="19" t="n">
        <f aca="false">IFERROR(VALUE(SUBSTITUTE(TRIM('수출입 실적(품목별)'!G69),",","")),"")</f>
        <v>116031</v>
      </c>
      <c r="K65" s="19" t="n">
        <f aca="false">IFERROR(VALUE(SUBSTITUTE(TRIM('수출입 실적(품목별)'!H69),",","")),"")</f>
        <v>-63282</v>
      </c>
    </row>
    <row r="66" customFormat="false" ht="15" hidden="false" customHeight="true" outlineLevel="0" collapsed="false">
      <c r="A66" s="11" t="str">
        <f aca="false">TRIM('수출입 실적(품목별)'!A70)</f>
        <v>2024.01</v>
      </c>
      <c r="B66" s="17" t="n">
        <f aca="false">IFERROR(VALUE(LEFT($A66,4)),"")</f>
        <v>2024</v>
      </c>
      <c r="C66" s="17" t="n">
        <f aca="false">IFERROR(VALUE(RIGHT($A66,2)),"")</f>
        <v>1</v>
      </c>
      <c r="D66" s="17" t="n">
        <f aca="false">IFERROR(ROUNDUP($C66/3,0),"")</f>
        <v>1</v>
      </c>
      <c r="E66" s="11" t="str">
        <f aca="false">TRIM('수출입 실적(품목별)'!B70)</f>
        <v>64</v>
      </c>
      <c r="F66" s="11" t="str">
        <f aca="false">TRIM('수출입 실적(품목별)'!C70)</f>
        <v>신발류ㆍ각반과 이와 유사한 것, 이들의 부분품</v>
      </c>
      <c r="G66" s="18" t="n">
        <f aca="false">IFERROR(VALUE(SUBSTITUTE(TRIM('수출입 실적(품목별)'!D70),",","")),"")</f>
        <v>1400.6</v>
      </c>
      <c r="H66" s="19" t="n">
        <f aca="false">IFERROR(VALUE(SUBSTITUTE(TRIM('수출입 실적(품목별)'!E70),",","")),"")</f>
        <v>33687</v>
      </c>
      <c r="I66" s="18" t="n">
        <f aca="false">IFERROR(VALUE(SUBSTITUTE(TRIM('수출입 실적(품목별)'!F70),",","")),"")</f>
        <v>12470.8</v>
      </c>
      <c r="J66" s="19" t="n">
        <f aca="false">IFERROR(VALUE(SUBSTITUTE(TRIM('수출입 실적(품목별)'!G70),",","")),"")</f>
        <v>333327</v>
      </c>
      <c r="K66" s="19" t="n">
        <f aca="false">IFERROR(VALUE(SUBSTITUTE(TRIM('수출입 실적(품목별)'!H70),",","")),"")</f>
        <v>-299641</v>
      </c>
    </row>
    <row r="67" customFormat="false" ht="15" hidden="false" customHeight="true" outlineLevel="0" collapsed="false">
      <c r="A67" s="11" t="str">
        <f aca="false">TRIM('수출입 실적(품목별)'!A71)</f>
        <v>2024.01</v>
      </c>
      <c r="B67" s="17" t="n">
        <f aca="false">IFERROR(VALUE(LEFT($A67,4)),"")</f>
        <v>2024</v>
      </c>
      <c r="C67" s="17" t="n">
        <f aca="false">IFERROR(VALUE(RIGHT($A67,2)),"")</f>
        <v>1</v>
      </c>
      <c r="D67" s="17" t="n">
        <f aca="false">IFERROR(ROUNDUP($C67/3,0),"")</f>
        <v>1</v>
      </c>
      <c r="E67" s="11" t="str">
        <f aca="false">TRIM('수출입 실적(품목별)'!B71)</f>
        <v>65</v>
      </c>
      <c r="F67" s="11" t="str">
        <f aca="false">TRIM('수출입 실적(품목별)'!C71)</f>
        <v>모자류와 그 부분품</v>
      </c>
      <c r="G67" s="18" t="n">
        <f aca="false">IFERROR(VALUE(SUBSTITUTE(TRIM('수출입 실적(품목별)'!D71),",","")),"")</f>
        <v>228.9</v>
      </c>
      <c r="H67" s="19" t="n">
        <f aca="false">IFERROR(VALUE(SUBSTITUTE(TRIM('수출입 실적(품목별)'!E71),",","")),"")</f>
        <v>7020</v>
      </c>
      <c r="I67" s="18" t="n">
        <f aca="false">IFERROR(VALUE(SUBSTITUTE(TRIM('수출입 실적(품목별)'!F71),",","")),"")</f>
        <v>881.5</v>
      </c>
      <c r="J67" s="19" t="n">
        <f aca="false">IFERROR(VALUE(SUBSTITUTE(TRIM('수출입 실적(품목별)'!G71),",","")),"")</f>
        <v>26103</v>
      </c>
      <c r="K67" s="19" t="n">
        <f aca="false">IFERROR(VALUE(SUBSTITUTE(TRIM('수출입 실적(품목별)'!H71),",","")),"")</f>
        <v>-19082</v>
      </c>
    </row>
    <row r="68" customFormat="false" ht="15" hidden="false" customHeight="true" outlineLevel="0" collapsed="false">
      <c r="A68" s="11" t="str">
        <f aca="false">TRIM('수출입 실적(품목별)'!A72)</f>
        <v>2024.01</v>
      </c>
      <c r="B68" s="17" t="n">
        <f aca="false">IFERROR(VALUE(LEFT($A68,4)),"")</f>
        <v>2024</v>
      </c>
      <c r="C68" s="17" t="n">
        <f aca="false">IFERROR(VALUE(RIGHT($A68,2)),"")</f>
        <v>1</v>
      </c>
      <c r="D68" s="17" t="n">
        <f aca="false">IFERROR(ROUNDUP($C68/3,0),"")</f>
        <v>1</v>
      </c>
      <c r="E68" s="11" t="str">
        <f aca="false">TRIM('수출입 실적(품목별)'!B72)</f>
        <v>66</v>
      </c>
      <c r="F68" s="11" t="str">
        <f aca="false">TRIM('수출입 실적(품목별)'!C72)</f>
        <v>산류(傘類)ㆍ지팡이ㆍ시트스틱(seat-stick)ㆍ채찍ㆍ승마용 채찍과 이들의 부분품</v>
      </c>
      <c r="G68" s="18" t="n">
        <f aca="false">IFERROR(VALUE(SUBSTITUTE(TRIM('수출입 실적(품목별)'!D72),",","")),"")</f>
        <v>2.7</v>
      </c>
      <c r="H68" s="19" t="n">
        <f aca="false">IFERROR(VALUE(SUBSTITUTE(TRIM('수출입 실적(품목별)'!E72),",","")),"")</f>
        <v>111</v>
      </c>
      <c r="I68" s="18" t="n">
        <f aca="false">IFERROR(VALUE(SUBSTITUTE(TRIM('수출입 실적(품목별)'!F72),",","")),"")</f>
        <v>1437.2</v>
      </c>
      <c r="J68" s="19" t="n">
        <f aca="false">IFERROR(VALUE(SUBSTITUTE(TRIM('수출입 실적(품목별)'!G72),",","")),"")</f>
        <v>9780</v>
      </c>
      <c r="K68" s="19" t="n">
        <f aca="false">IFERROR(VALUE(SUBSTITUTE(TRIM('수출입 실적(품목별)'!H72),",","")),"")</f>
        <v>-9669</v>
      </c>
    </row>
    <row r="69" customFormat="false" ht="15" hidden="false" customHeight="true" outlineLevel="0" collapsed="false">
      <c r="A69" s="11" t="str">
        <f aca="false">TRIM('수출입 실적(품목별)'!A73)</f>
        <v>2024.01</v>
      </c>
      <c r="B69" s="17" t="n">
        <f aca="false">IFERROR(VALUE(LEFT($A69,4)),"")</f>
        <v>2024</v>
      </c>
      <c r="C69" s="17" t="n">
        <f aca="false">IFERROR(VALUE(RIGHT($A69,2)),"")</f>
        <v>1</v>
      </c>
      <c r="D69" s="17" t="n">
        <f aca="false">IFERROR(ROUNDUP($C69/3,0),"")</f>
        <v>1</v>
      </c>
      <c r="E69" s="11" t="str">
        <f aca="false">TRIM('수출입 실적(품목별)'!B73)</f>
        <v>67</v>
      </c>
      <c r="F69" s="11" t="str">
        <f aca="false">TRIM('수출입 실적(품목별)'!C73)</f>
        <v>조제 깃털ㆍ솜털과 그 제품, 조화, 사람 머리카락으로 된 제품</v>
      </c>
      <c r="G69" s="18" t="n">
        <f aca="false">IFERROR(VALUE(SUBSTITUTE(TRIM('수출입 실적(품목별)'!D73),",","")),"")</f>
        <v>56.7</v>
      </c>
      <c r="H69" s="19" t="n">
        <f aca="false">IFERROR(VALUE(SUBSTITUTE(TRIM('수출입 실적(품목별)'!E73),",","")),"")</f>
        <v>1958</v>
      </c>
      <c r="I69" s="18" t="n">
        <f aca="false">IFERROR(VALUE(SUBSTITUTE(TRIM('수출입 실적(품목별)'!F73),",","")),"")</f>
        <v>737</v>
      </c>
      <c r="J69" s="19" t="n">
        <f aca="false">IFERROR(VALUE(SUBSTITUTE(TRIM('수출입 실적(품목별)'!G73),",","")),"")</f>
        <v>9996</v>
      </c>
      <c r="K69" s="19" t="n">
        <f aca="false">IFERROR(VALUE(SUBSTITUTE(TRIM('수출입 실적(품목별)'!H73),",","")),"")</f>
        <v>-8038</v>
      </c>
    </row>
    <row r="70" customFormat="false" ht="15" hidden="false" customHeight="true" outlineLevel="0" collapsed="false">
      <c r="A70" s="11" t="str">
        <f aca="false">TRIM('수출입 실적(품목별)'!A74)</f>
        <v>2024.01</v>
      </c>
      <c r="B70" s="17" t="n">
        <f aca="false">IFERROR(VALUE(LEFT($A70,4)),"")</f>
        <v>2024</v>
      </c>
      <c r="C70" s="17" t="n">
        <f aca="false">IFERROR(VALUE(RIGHT($A70,2)),"")</f>
        <v>1</v>
      </c>
      <c r="D70" s="17" t="n">
        <f aca="false">IFERROR(ROUNDUP($C70/3,0),"")</f>
        <v>1</v>
      </c>
      <c r="E70" s="11" t="str">
        <f aca="false">TRIM('수출입 실적(품목별)'!B74)</f>
        <v>68</v>
      </c>
      <c r="F70" s="11" t="str">
        <f aca="false">TRIM('수출입 실적(품목별)'!C74)</f>
        <v>돌ㆍ플라스터(plaster)ㆍ시멘트ㆍ석면ㆍ운모나 이와 유사한 재료의 제품</v>
      </c>
      <c r="G70" s="18" t="n">
        <f aca="false">IFERROR(VALUE(SUBSTITUTE(TRIM('수출입 실적(품목별)'!D74),",","")),"")</f>
        <v>10973.1</v>
      </c>
      <c r="H70" s="19" t="n">
        <f aca="false">IFERROR(VALUE(SUBSTITUTE(TRIM('수출입 실적(품목별)'!E74),",","")),"")</f>
        <v>81447</v>
      </c>
      <c r="I70" s="18" t="n">
        <f aca="false">IFERROR(VALUE(SUBSTITUTE(TRIM('수출입 실적(품목별)'!F74),",","")),"")</f>
        <v>231026.8</v>
      </c>
      <c r="J70" s="19" t="n">
        <f aca="false">IFERROR(VALUE(SUBSTITUTE(TRIM('수출입 실적(품목별)'!G74),",","")),"")</f>
        <v>121248</v>
      </c>
      <c r="K70" s="19" t="n">
        <f aca="false">IFERROR(VALUE(SUBSTITUTE(TRIM('수출입 실적(품목별)'!H74),",","")),"")</f>
        <v>-39801</v>
      </c>
    </row>
    <row r="71" customFormat="false" ht="15" hidden="false" customHeight="true" outlineLevel="0" collapsed="false">
      <c r="A71" s="11" t="str">
        <f aca="false">TRIM('수출입 실적(품목별)'!A75)</f>
        <v>2024.01</v>
      </c>
      <c r="B71" s="17" t="n">
        <f aca="false">IFERROR(VALUE(LEFT($A71,4)),"")</f>
        <v>2024</v>
      </c>
      <c r="C71" s="17" t="n">
        <f aca="false">IFERROR(VALUE(RIGHT($A71,2)),"")</f>
        <v>1</v>
      </c>
      <c r="D71" s="17" t="n">
        <f aca="false">IFERROR(ROUNDUP($C71/3,0),"")</f>
        <v>1</v>
      </c>
      <c r="E71" s="11" t="str">
        <f aca="false">TRIM('수출입 실적(품목별)'!B75)</f>
        <v>69</v>
      </c>
      <c r="F71" s="11" t="str">
        <f aca="false">TRIM('수출입 실적(품목별)'!C75)</f>
        <v>도자제품</v>
      </c>
      <c r="G71" s="18" t="n">
        <f aca="false">IFERROR(VALUE(SUBSTITUTE(TRIM('수출입 실적(품목별)'!D75),",","")),"")</f>
        <v>2879</v>
      </c>
      <c r="H71" s="19" t="n">
        <f aca="false">IFERROR(VALUE(SUBSTITUTE(TRIM('수출입 실적(품목별)'!E75),",","")),"")</f>
        <v>35590</v>
      </c>
      <c r="I71" s="18" t="n">
        <f aca="false">IFERROR(VALUE(SUBSTITUTE(TRIM('수출입 실적(품목별)'!F75),",","")),"")</f>
        <v>156902.8</v>
      </c>
      <c r="J71" s="19" t="n">
        <f aca="false">IFERROR(VALUE(SUBSTITUTE(TRIM('수출입 실적(품목별)'!G75),",","")),"")</f>
        <v>142171</v>
      </c>
      <c r="K71" s="19" t="n">
        <f aca="false">IFERROR(VALUE(SUBSTITUTE(TRIM('수출입 실적(품목별)'!H75),",","")),"")</f>
        <v>-106581</v>
      </c>
    </row>
    <row r="72" customFormat="false" ht="15" hidden="false" customHeight="true" outlineLevel="0" collapsed="false">
      <c r="A72" s="11" t="str">
        <f aca="false">TRIM('수출입 실적(품목별)'!A76)</f>
        <v>2024.01</v>
      </c>
      <c r="B72" s="17" t="n">
        <f aca="false">IFERROR(VALUE(LEFT($A72,4)),"")</f>
        <v>2024</v>
      </c>
      <c r="C72" s="17" t="n">
        <f aca="false">IFERROR(VALUE(RIGHT($A72,2)),"")</f>
        <v>1</v>
      </c>
      <c r="D72" s="17" t="n">
        <f aca="false">IFERROR(ROUNDUP($C72/3,0),"")</f>
        <v>1</v>
      </c>
      <c r="E72" s="11" t="str">
        <f aca="false">TRIM('수출입 실적(품목별)'!B76)</f>
        <v>70</v>
      </c>
      <c r="F72" s="11" t="str">
        <f aca="false">TRIM('수출입 실적(품목별)'!C76)</f>
        <v>유리와 유리제품</v>
      </c>
      <c r="G72" s="18" t="n">
        <f aca="false">IFERROR(VALUE(SUBSTITUTE(TRIM('수출입 실적(품목별)'!D76),",","")),"")</f>
        <v>34405.2</v>
      </c>
      <c r="H72" s="19" t="n">
        <f aca="false">IFERROR(VALUE(SUBSTITUTE(TRIM('수출입 실적(품목별)'!E76),",","")),"")</f>
        <v>180016</v>
      </c>
      <c r="I72" s="18" t="n">
        <f aca="false">IFERROR(VALUE(SUBSTITUTE(TRIM('수출입 실적(품목별)'!F76),",","")),"")</f>
        <v>101219.8</v>
      </c>
      <c r="J72" s="19" t="n">
        <f aca="false">IFERROR(VALUE(SUBSTITUTE(TRIM('수출입 실적(품목별)'!G76),",","")),"")</f>
        <v>217351</v>
      </c>
      <c r="K72" s="19" t="n">
        <f aca="false">IFERROR(VALUE(SUBSTITUTE(TRIM('수출입 실적(품목별)'!H76),",","")),"")</f>
        <v>-37335</v>
      </c>
    </row>
    <row r="73" customFormat="false" ht="15" hidden="false" customHeight="true" outlineLevel="0" collapsed="false">
      <c r="A73" s="11" t="str">
        <f aca="false">TRIM('수출입 실적(품목별)'!A77)</f>
        <v>2024.01</v>
      </c>
      <c r="B73" s="17" t="n">
        <f aca="false">IFERROR(VALUE(LEFT($A73,4)),"")</f>
        <v>2024</v>
      </c>
      <c r="C73" s="17" t="n">
        <f aca="false">IFERROR(VALUE(RIGHT($A73,2)),"")</f>
        <v>1</v>
      </c>
      <c r="D73" s="17" t="n">
        <f aca="false">IFERROR(ROUNDUP($C73/3,0),"")</f>
        <v>1</v>
      </c>
      <c r="E73" s="11" t="str">
        <f aca="false">TRIM('수출입 실적(품목별)'!B77)</f>
        <v>71</v>
      </c>
      <c r="F73" s="11" t="str">
        <f aca="false">TRIM('수출입 실적(품목별)'!C77)</f>
        <v>천연진주ㆍ양식진주ㆍ귀석ㆍ반귀석ㆍ귀금속ㆍ귀금속을 입힌 금속과 이들의 제품, 모조 신변장식용품, 주화</v>
      </c>
      <c r="G73" s="18" t="n">
        <f aca="false">IFERROR(VALUE(SUBSTITUTE(TRIM('수출입 실적(품목별)'!D77),",","")),"")</f>
        <v>879.9</v>
      </c>
      <c r="H73" s="19" t="n">
        <f aca="false">IFERROR(VALUE(SUBSTITUTE(TRIM('수출입 실적(품목별)'!E77),",","")),"")</f>
        <v>332272</v>
      </c>
      <c r="I73" s="18" t="n">
        <f aca="false">IFERROR(VALUE(SUBSTITUTE(TRIM('수출입 실적(품목별)'!F77),",","")),"")</f>
        <v>1825.4</v>
      </c>
      <c r="J73" s="19" t="n">
        <f aca="false">IFERROR(VALUE(SUBSTITUTE(TRIM('수출입 실적(품목별)'!G77),",","")),"")</f>
        <v>500809</v>
      </c>
      <c r="K73" s="19" t="n">
        <f aca="false">IFERROR(VALUE(SUBSTITUTE(TRIM('수출입 실적(품목별)'!H77),",","")),"")</f>
        <v>-168537</v>
      </c>
    </row>
    <row r="74" customFormat="false" ht="15" hidden="false" customHeight="true" outlineLevel="0" collapsed="false">
      <c r="A74" s="11" t="str">
        <f aca="false">TRIM('수출입 실적(품목별)'!A78)</f>
        <v>2024.01</v>
      </c>
      <c r="B74" s="17" t="n">
        <f aca="false">IFERROR(VALUE(LEFT($A74,4)),"")</f>
        <v>2024</v>
      </c>
      <c r="C74" s="17" t="n">
        <f aca="false">IFERROR(VALUE(RIGHT($A74,2)),"")</f>
        <v>1</v>
      </c>
      <c r="D74" s="17" t="n">
        <f aca="false">IFERROR(ROUNDUP($C74/3,0),"")</f>
        <v>1</v>
      </c>
      <c r="E74" s="11" t="str">
        <f aca="false">TRIM('수출입 실적(품목별)'!B78)</f>
        <v>72</v>
      </c>
      <c r="F74" s="11" t="str">
        <f aca="false">TRIM('수출입 실적(품목별)'!C78)</f>
        <v>철강</v>
      </c>
      <c r="G74" s="18" t="n">
        <f aca="false">IFERROR(VALUE(SUBSTITUTE(TRIM('수출입 실적(품목별)'!D78),",","")),"")</f>
        <v>2153462.3</v>
      </c>
      <c r="H74" s="19" t="n">
        <f aca="false">IFERROR(VALUE(SUBSTITUTE(TRIM('수출입 실적(품목별)'!E78),",","")),"")</f>
        <v>2065468</v>
      </c>
      <c r="I74" s="18" t="n">
        <f aca="false">IFERROR(VALUE(SUBSTITUTE(TRIM('수출입 실적(품목별)'!F78),",","")),"")</f>
        <v>1531713.7</v>
      </c>
      <c r="J74" s="19" t="n">
        <f aca="false">IFERROR(VALUE(SUBSTITUTE(TRIM('수출입 실적(품목별)'!G78),",","")),"")</f>
        <v>1255753</v>
      </c>
      <c r="K74" s="19" t="n">
        <f aca="false">IFERROR(VALUE(SUBSTITUTE(TRIM('수출입 실적(품목별)'!H78),",","")),"")</f>
        <v>809715</v>
      </c>
    </row>
    <row r="75" customFormat="false" ht="15" hidden="false" customHeight="true" outlineLevel="0" collapsed="false">
      <c r="A75" s="11" t="str">
        <f aca="false">TRIM('수출입 실적(품목별)'!A79)</f>
        <v>2024.01</v>
      </c>
      <c r="B75" s="17" t="n">
        <f aca="false">IFERROR(VALUE(LEFT($A75,4)),"")</f>
        <v>2024</v>
      </c>
      <c r="C75" s="17" t="n">
        <f aca="false">IFERROR(VALUE(RIGHT($A75,2)),"")</f>
        <v>1</v>
      </c>
      <c r="D75" s="17" t="n">
        <f aca="false">IFERROR(ROUNDUP($C75/3,0),"")</f>
        <v>1</v>
      </c>
      <c r="E75" s="11" t="str">
        <f aca="false">TRIM('수출입 실적(품목별)'!B79)</f>
        <v>73</v>
      </c>
      <c r="F75" s="11" t="str">
        <f aca="false">TRIM('수출입 실적(품목별)'!C79)</f>
        <v>철강의 제품</v>
      </c>
      <c r="G75" s="18" t="n">
        <f aca="false">IFERROR(VALUE(SUBSTITUTE(TRIM('수출입 실적(품목별)'!D79),",","")),"")</f>
        <v>302722.6</v>
      </c>
      <c r="H75" s="19" t="n">
        <f aca="false">IFERROR(VALUE(SUBSTITUTE(TRIM('수출입 실적(품목별)'!E79),",","")),"")</f>
        <v>807996</v>
      </c>
      <c r="I75" s="18" t="n">
        <f aca="false">IFERROR(VALUE(SUBSTITUTE(TRIM('수출입 실적(품목별)'!F79),",","")),"")</f>
        <v>254498.5</v>
      </c>
      <c r="J75" s="19" t="n">
        <f aca="false">IFERROR(VALUE(SUBSTITUTE(TRIM('수출입 실적(품목별)'!G79),",","")),"")</f>
        <v>653022</v>
      </c>
      <c r="K75" s="19" t="n">
        <f aca="false">IFERROR(VALUE(SUBSTITUTE(TRIM('수출입 실적(품목별)'!H79),",","")),"")</f>
        <v>154974</v>
      </c>
    </row>
    <row r="76" customFormat="false" ht="15" hidden="false" customHeight="true" outlineLevel="0" collapsed="false">
      <c r="A76" s="11" t="str">
        <f aca="false">TRIM('수출입 실적(품목별)'!A80)</f>
        <v>2024.01</v>
      </c>
      <c r="B76" s="17" t="n">
        <f aca="false">IFERROR(VALUE(LEFT($A76,4)),"")</f>
        <v>2024</v>
      </c>
      <c r="C76" s="17" t="n">
        <f aca="false">IFERROR(VALUE(RIGHT($A76,2)),"")</f>
        <v>1</v>
      </c>
      <c r="D76" s="17" t="n">
        <f aca="false">IFERROR(ROUNDUP($C76/3,0),"")</f>
        <v>1</v>
      </c>
      <c r="E76" s="11" t="str">
        <f aca="false">TRIM('수출입 실적(품목별)'!B80)</f>
        <v>74</v>
      </c>
      <c r="F76" s="11" t="str">
        <f aca="false">TRIM('수출입 실적(품목별)'!C80)</f>
        <v>구리와 그 제품</v>
      </c>
      <c r="G76" s="18" t="n">
        <f aca="false">IFERROR(VALUE(SUBSTITUTE(TRIM('수출입 실적(품목별)'!D80),",","")),"")</f>
        <v>52071.9</v>
      </c>
      <c r="H76" s="19" t="n">
        <f aca="false">IFERROR(VALUE(SUBSTITUTE(TRIM('수출입 실적(품목별)'!E80),",","")),"")</f>
        <v>422578</v>
      </c>
      <c r="I76" s="18" t="n">
        <f aca="false">IFERROR(VALUE(SUBSTITUTE(TRIM('수출입 실적(품목별)'!F80),",","")),"")</f>
        <v>64333.6</v>
      </c>
      <c r="J76" s="19" t="n">
        <f aca="false">IFERROR(VALUE(SUBSTITUTE(TRIM('수출입 실적(품목별)'!G80),",","")),"")</f>
        <v>523965</v>
      </c>
      <c r="K76" s="19" t="n">
        <f aca="false">IFERROR(VALUE(SUBSTITUTE(TRIM('수출입 실적(품목별)'!H80),",","")),"")</f>
        <v>-101387</v>
      </c>
    </row>
    <row r="77" customFormat="false" ht="15" hidden="false" customHeight="true" outlineLevel="0" collapsed="false">
      <c r="A77" s="11" t="str">
        <f aca="false">TRIM('수출입 실적(품목별)'!A81)</f>
        <v>2024.01</v>
      </c>
      <c r="B77" s="17" t="n">
        <f aca="false">IFERROR(VALUE(LEFT($A77,4)),"")</f>
        <v>2024</v>
      </c>
      <c r="C77" s="17" t="n">
        <f aca="false">IFERROR(VALUE(RIGHT($A77,2)),"")</f>
        <v>1</v>
      </c>
      <c r="D77" s="17" t="n">
        <f aca="false">IFERROR(ROUNDUP($C77/3,0),"")</f>
        <v>1</v>
      </c>
      <c r="E77" s="11" t="str">
        <f aca="false">TRIM('수출입 실적(품목별)'!B81)</f>
        <v>75</v>
      </c>
      <c r="F77" s="11" t="str">
        <f aca="false">TRIM('수출입 실적(품목별)'!C81)</f>
        <v>니켈과 그 제품</v>
      </c>
      <c r="G77" s="18" t="n">
        <f aca="false">IFERROR(VALUE(SUBSTITUTE(TRIM('수출입 실적(품목별)'!D81),",","")),"")</f>
        <v>1501.6</v>
      </c>
      <c r="H77" s="19" t="n">
        <f aca="false">IFERROR(VALUE(SUBSTITUTE(TRIM('수출입 실적(품목별)'!E81),",","")),"")</f>
        <v>24406</v>
      </c>
      <c r="I77" s="18" t="n">
        <f aca="false">IFERROR(VALUE(SUBSTITUTE(TRIM('수출입 실적(품목별)'!F81),",","")),"")</f>
        <v>6962.6</v>
      </c>
      <c r="J77" s="19" t="n">
        <f aca="false">IFERROR(VALUE(SUBSTITUTE(TRIM('수출입 실적(품목별)'!G81),",","")),"")</f>
        <v>123762</v>
      </c>
      <c r="K77" s="19" t="n">
        <f aca="false">IFERROR(VALUE(SUBSTITUTE(TRIM('수출입 실적(품목별)'!H81),",","")),"")</f>
        <v>-99355</v>
      </c>
    </row>
    <row r="78" customFormat="false" ht="15" hidden="false" customHeight="true" outlineLevel="0" collapsed="false">
      <c r="A78" s="11" t="str">
        <f aca="false">TRIM('수출입 실적(품목별)'!A82)</f>
        <v>2024.01</v>
      </c>
      <c r="B78" s="17" t="n">
        <f aca="false">IFERROR(VALUE(LEFT($A78,4)),"")</f>
        <v>2024</v>
      </c>
      <c r="C78" s="17" t="n">
        <f aca="false">IFERROR(VALUE(RIGHT($A78,2)),"")</f>
        <v>1</v>
      </c>
      <c r="D78" s="17" t="n">
        <f aca="false">IFERROR(ROUNDUP($C78/3,0),"")</f>
        <v>1</v>
      </c>
      <c r="E78" s="11" t="str">
        <f aca="false">TRIM('수출입 실적(품목별)'!B82)</f>
        <v>76</v>
      </c>
      <c r="F78" s="11" t="str">
        <f aca="false">TRIM('수출입 실적(품목별)'!C82)</f>
        <v>알루미늄과 그 제품</v>
      </c>
      <c r="G78" s="18" t="n">
        <f aca="false">IFERROR(VALUE(SUBSTITUTE(TRIM('수출입 실적(품목별)'!D82),",","")),"")</f>
        <v>117431.1</v>
      </c>
      <c r="H78" s="19" t="n">
        <f aca="false">IFERROR(VALUE(SUBSTITUTE(TRIM('수출입 실적(품목별)'!E82),",","")),"")</f>
        <v>420911</v>
      </c>
      <c r="I78" s="18" t="n">
        <f aca="false">IFERROR(VALUE(SUBSTITUTE(TRIM('수출입 실적(품목별)'!F82),",","")),"")</f>
        <v>268349.5</v>
      </c>
      <c r="J78" s="19" t="n">
        <f aca="false">IFERROR(VALUE(SUBSTITUTE(TRIM('수출입 실적(품목별)'!G82),",","")),"")</f>
        <v>712791</v>
      </c>
      <c r="K78" s="19" t="n">
        <f aca="false">IFERROR(VALUE(SUBSTITUTE(TRIM('수출입 실적(품목별)'!H82),",","")),"")</f>
        <v>-291880</v>
      </c>
    </row>
    <row r="79" customFormat="false" ht="15" hidden="false" customHeight="true" outlineLevel="0" collapsed="false">
      <c r="A79" s="11" t="str">
        <f aca="false">TRIM('수출입 실적(품목별)'!A83)</f>
        <v>2024.01</v>
      </c>
      <c r="B79" s="17" t="n">
        <f aca="false">IFERROR(VALUE(LEFT($A79,4)),"")</f>
        <v>2024</v>
      </c>
      <c r="C79" s="17" t="n">
        <f aca="false">IFERROR(VALUE(RIGHT($A79,2)),"")</f>
        <v>1</v>
      </c>
      <c r="D79" s="17" t="n">
        <f aca="false">IFERROR(ROUNDUP($C79/3,0),"")</f>
        <v>1</v>
      </c>
      <c r="E79" s="11" t="str">
        <f aca="false">TRIM('수출입 실적(품목별)'!B83)</f>
        <v>78</v>
      </c>
      <c r="F79" s="11" t="str">
        <f aca="false">TRIM('수출입 실적(품목별)'!C83)</f>
        <v>납과 그 제품</v>
      </c>
      <c r="G79" s="18" t="n">
        <f aca="false">IFERROR(VALUE(SUBSTITUTE(TRIM('수출입 실적(품목별)'!D83),",","")),"")</f>
        <v>26967.9</v>
      </c>
      <c r="H79" s="19" t="n">
        <f aca="false">IFERROR(VALUE(SUBSTITUTE(TRIM('수출입 실적(품목별)'!E83),",","")),"")</f>
        <v>61062</v>
      </c>
      <c r="I79" s="18" t="n">
        <f aca="false">IFERROR(VALUE(SUBSTITUTE(TRIM('수출입 실적(품목별)'!F83),",","")),"")</f>
        <v>13185.7</v>
      </c>
      <c r="J79" s="19" t="n">
        <f aca="false">IFERROR(VALUE(SUBSTITUTE(TRIM('수출입 실적(품목별)'!G83),",","")),"")</f>
        <v>30714</v>
      </c>
      <c r="K79" s="19" t="n">
        <f aca="false">IFERROR(VALUE(SUBSTITUTE(TRIM('수출입 실적(품목별)'!H83),",","")),"")</f>
        <v>30348</v>
      </c>
    </row>
    <row r="80" customFormat="false" ht="15" hidden="false" customHeight="true" outlineLevel="0" collapsed="false">
      <c r="A80" s="11" t="str">
        <f aca="false">TRIM('수출입 실적(품목별)'!A84)</f>
        <v>2024.01</v>
      </c>
      <c r="B80" s="17" t="n">
        <f aca="false">IFERROR(VALUE(LEFT($A80,4)),"")</f>
        <v>2024</v>
      </c>
      <c r="C80" s="17" t="n">
        <f aca="false">IFERROR(VALUE(RIGHT($A80,2)),"")</f>
        <v>1</v>
      </c>
      <c r="D80" s="17" t="n">
        <f aca="false">IFERROR(ROUNDUP($C80/3,0),"")</f>
        <v>1</v>
      </c>
      <c r="E80" s="11" t="str">
        <f aca="false">TRIM('수출입 실적(품목별)'!B84)</f>
        <v>79</v>
      </c>
      <c r="F80" s="11" t="str">
        <f aca="false">TRIM('수출입 실적(품목별)'!C84)</f>
        <v>아연과 그 제품</v>
      </c>
      <c r="G80" s="18" t="n">
        <f aca="false">IFERROR(VALUE(SUBSTITUTE(TRIM('수출입 실적(품목별)'!D84),",","")),"")</f>
        <v>49671.9</v>
      </c>
      <c r="H80" s="19" t="n">
        <f aca="false">IFERROR(VALUE(SUBSTITUTE(TRIM('수출입 실적(품목별)'!E84),",","")),"")</f>
        <v>133018</v>
      </c>
      <c r="I80" s="18" t="n">
        <f aca="false">IFERROR(VALUE(SUBSTITUTE(TRIM('수출입 실적(품목별)'!F84),",","")),"")</f>
        <v>1903.5</v>
      </c>
      <c r="J80" s="19" t="n">
        <f aca="false">IFERROR(VALUE(SUBSTITUTE(TRIM('수출입 실적(품목별)'!G84),",","")),"")</f>
        <v>6166</v>
      </c>
      <c r="K80" s="19" t="n">
        <f aca="false">IFERROR(VALUE(SUBSTITUTE(TRIM('수출입 실적(품목별)'!H84),",","")),"")</f>
        <v>126852</v>
      </c>
    </row>
    <row r="81" customFormat="false" ht="15" hidden="false" customHeight="true" outlineLevel="0" collapsed="false">
      <c r="A81" s="11" t="str">
        <f aca="false">TRIM('수출입 실적(품목별)'!A85)</f>
        <v>2024.01</v>
      </c>
      <c r="B81" s="17" t="n">
        <f aca="false">IFERROR(VALUE(LEFT($A81,4)),"")</f>
        <v>2024</v>
      </c>
      <c r="C81" s="17" t="n">
        <f aca="false">IFERROR(VALUE(RIGHT($A81,2)),"")</f>
        <v>1</v>
      </c>
      <c r="D81" s="17" t="n">
        <f aca="false">IFERROR(ROUNDUP($C81/3,0),"")</f>
        <v>1</v>
      </c>
      <c r="E81" s="11" t="str">
        <f aca="false">TRIM('수출입 실적(품목별)'!B85)</f>
        <v>80</v>
      </c>
      <c r="F81" s="11" t="str">
        <f aca="false">TRIM('수출입 실적(품목별)'!C85)</f>
        <v>주석과 그 제품</v>
      </c>
      <c r="G81" s="18" t="n">
        <f aca="false">IFERROR(VALUE(SUBSTITUTE(TRIM('수출입 실적(품목별)'!D85),",","")),"")</f>
        <v>183.6</v>
      </c>
      <c r="H81" s="19" t="n">
        <f aca="false">IFERROR(VALUE(SUBSTITUTE(TRIM('수출입 실적(품목별)'!E85),",","")),"")</f>
        <v>5695</v>
      </c>
      <c r="I81" s="18" t="n">
        <f aca="false">IFERROR(VALUE(SUBSTITUTE(TRIM('수출입 실적(품목별)'!F85),",","")),"")</f>
        <v>1364.9</v>
      </c>
      <c r="J81" s="19" t="n">
        <f aca="false">IFERROR(VALUE(SUBSTITUTE(TRIM('수출입 실적(품목별)'!G85),",","")),"")</f>
        <v>36750</v>
      </c>
      <c r="K81" s="19" t="n">
        <f aca="false">IFERROR(VALUE(SUBSTITUTE(TRIM('수출입 실적(품목별)'!H85),",","")),"")</f>
        <v>-31056</v>
      </c>
    </row>
    <row r="82" customFormat="false" ht="15" hidden="false" customHeight="true" outlineLevel="0" collapsed="false">
      <c r="A82" s="11" t="str">
        <f aca="false">TRIM('수출입 실적(품목별)'!A86)</f>
        <v>2024.01</v>
      </c>
      <c r="B82" s="17" t="n">
        <f aca="false">IFERROR(VALUE(LEFT($A82,4)),"")</f>
        <v>2024</v>
      </c>
      <c r="C82" s="17" t="n">
        <f aca="false">IFERROR(VALUE(RIGHT($A82,2)),"")</f>
        <v>1</v>
      </c>
      <c r="D82" s="17" t="n">
        <f aca="false">IFERROR(ROUNDUP($C82/3,0),"")</f>
        <v>1</v>
      </c>
      <c r="E82" s="11" t="str">
        <f aca="false">TRIM('수출입 실적(품목별)'!B86)</f>
        <v>81</v>
      </c>
      <c r="F82" s="11" t="str">
        <f aca="false">TRIM('수출입 실적(품목별)'!C86)</f>
        <v>그 밖의 비금속(卑金屬), 서멧(cermet), 이들의 제품</v>
      </c>
      <c r="G82" s="18" t="n">
        <f aca="false">IFERROR(VALUE(SUBSTITUTE(TRIM('수출입 실적(품목별)'!D86),",","")),"")</f>
        <v>2240.2</v>
      </c>
      <c r="H82" s="19" t="n">
        <f aca="false">IFERROR(VALUE(SUBSTITUTE(TRIM('수출입 실적(품목별)'!E86),",","")),"")</f>
        <v>23743</v>
      </c>
      <c r="I82" s="18" t="n">
        <f aca="false">IFERROR(VALUE(SUBSTITUTE(TRIM('수출입 실적(품목별)'!F86),",","")),"")</f>
        <v>14981.9</v>
      </c>
      <c r="J82" s="19" t="n">
        <f aca="false">IFERROR(VALUE(SUBSTITUTE(TRIM('수출입 실적(품목별)'!G86),",","")),"")</f>
        <v>101900</v>
      </c>
      <c r="K82" s="19" t="n">
        <f aca="false">IFERROR(VALUE(SUBSTITUTE(TRIM('수출입 실적(품목별)'!H86),",","")),"")</f>
        <v>-78158</v>
      </c>
    </row>
    <row r="83" customFormat="false" ht="15" hidden="false" customHeight="true" outlineLevel="0" collapsed="false">
      <c r="A83" s="11" t="str">
        <f aca="false">TRIM('수출입 실적(품목별)'!A87)</f>
        <v>2024.01</v>
      </c>
      <c r="B83" s="17" t="n">
        <f aca="false">IFERROR(VALUE(LEFT($A83,4)),"")</f>
        <v>2024</v>
      </c>
      <c r="C83" s="17" t="n">
        <f aca="false">IFERROR(VALUE(RIGHT($A83,2)),"")</f>
        <v>1</v>
      </c>
      <c r="D83" s="17" t="n">
        <f aca="false">IFERROR(ROUNDUP($C83/3,0),"")</f>
        <v>1</v>
      </c>
      <c r="E83" s="11" t="str">
        <f aca="false">TRIM('수출입 실적(품목별)'!B87)</f>
        <v>82</v>
      </c>
      <c r="F83" s="11" t="str">
        <f aca="false">TRIM('수출입 실적(품목별)'!C87)</f>
        <v>비금속(卑金屬)으로 만든 공구ㆍ도구ㆍ칼붙이ㆍ스푼ㆍ포크, 이들의 부분품</v>
      </c>
      <c r="G83" s="18" t="n">
        <f aca="false">IFERROR(VALUE(SUBSTITUTE(TRIM('수출입 실적(품목별)'!D87),",","")),"")</f>
        <v>7158.5</v>
      </c>
      <c r="H83" s="19" t="n">
        <f aca="false">IFERROR(VALUE(SUBSTITUTE(TRIM('수출입 실적(품목별)'!E87),",","")),"")</f>
        <v>164504</v>
      </c>
      <c r="I83" s="18" t="n">
        <f aca="false">IFERROR(VALUE(SUBSTITUTE(TRIM('수출입 실적(품목별)'!F87),",","")),"")</f>
        <v>5670.1</v>
      </c>
      <c r="J83" s="19" t="n">
        <f aca="false">IFERROR(VALUE(SUBSTITUTE(TRIM('수출입 실적(품목별)'!G87),",","")),"")</f>
        <v>90524</v>
      </c>
      <c r="K83" s="19" t="n">
        <f aca="false">IFERROR(VALUE(SUBSTITUTE(TRIM('수출입 실적(품목별)'!H87),",","")),"")</f>
        <v>73981</v>
      </c>
    </row>
    <row r="84" customFormat="false" ht="15" hidden="false" customHeight="true" outlineLevel="0" collapsed="false">
      <c r="A84" s="11" t="str">
        <f aca="false">TRIM('수출입 실적(품목별)'!A88)</f>
        <v>2024.01</v>
      </c>
      <c r="B84" s="17" t="n">
        <f aca="false">IFERROR(VALUE(LEFT($A84,4)),"")</f>
        <v>2024</v>
      </c>
      <c r="C84" s="17" t="n">
        <f aca="false">IFERROR(VALUE(RIGHT($A84,2)),"")</f>
        <v>1</v>
      </c>
      <c r="D84" s="17" t="n">
        <f aca="false">IFERROR(ROUNDUP($C84/3,0),"")</f>
        <v>1</v>
      </c>
      <c r="E84" s="11" t="str">
        <f aca="false">TRIM('수출입 실적(품목별)'!B88)</f>
        <v>83</v>
      </c>
      <c r="F84" s="11" t="str">
        <f aca="false">TRIM('수출입 실적(품목별)'!C88)</f>
        <v>비금속(卑金屬)으로 만든 각종 제품</v>
      </c>
      <c r="G84" s="18" t="n">
        <f aca="false">IFERROR(VALUE(SUBSTITUTE(TRIM('수출입 실적(품목별)'!D88),",","")),"")</f>
        <v>26656</v>
      </c>
      <c r="H84" s="19" t="n">
        <f aca="false">IFERROR(VALUE(SUBSTITUTE(TRIM('수출입 실적(품목별)'!E88),",","")),"")</f>
        <v>143057</v>
      </c>
      <c r="I84" s="18" t="n">
        <f aca="false">IFERROR(VALUE(SUBSTITUTE(TRIM('수출입 실적(품목별)'!F88),",","")),"")</f>
        <v>14564.9</v>
      </c>
      <c r="J84" s="19" t="n">
        <f aca="false">IFERROR(VALUE(SUBSTITUTE(TRIM('수출입 실적(품목별)'!G88),",","")),"")</f>
        <v>86324</v>
      </c>
      <c r="K84" s="19" t="n">
        <f aca="false">IFERROR(VALUE(SUBSTITUTE(TRIM('수출입 실적(품목별)'!H88),",","")),"")</f>
        <v>56733</v>
      </c>
    </row>
    <row r="85" customFormat="false" ht="15" hidden="false" customHeight="true" outlineLevel="0" collapsed="false">
      <c r="A85" s="11" t="str">
        <f aca="false">TRIM('수출입 실적(품목별)'!A89)</f>
        <v>2024.01</v>
      </c>
      <c r="B85" s="17" t="n">
        <f aca="false">IFERROR(VALUE(LEFT($A85,4)),"")</f>
        <v>2024</v>
      </c>
      <c r="C85" s="17" t="n">
        <f aca="false">IFERROR(VALUE(RIGHT($A85,2)),"")</f>
        <v>1</v>
      </c>
      <c r="D85" s="17" t="n">
        <f aca="false">IFERROR(ROUNDUP($C85/3,0),"")</f>
        <v>1</v>
      </c>
      <c r="E85" s="11" t="str">
        <f aca="false">TRIM('수출입 실적(품목별)'!B89)</f>
        <v>84</v>
      </c>
      <c r="F85" s="11" t="str">
        <f aca="false">TRIM('수출입 실적(품목별)'!C89)</f>
        <v>원자로ㆍ보일러ㆍ기계류와 이들의 부분품</v>
      </c>
      <c r="G85" s="18" t="n">
        <f aca="false">IFERROR(VALUE(SUBSTITUTE(TRIM('수출입 실적(품목별)'!D89),",","")),"")</f>
        <v>389576.7</v>
      </c>
      <c r="H85" s="19" t="n">
        <f aca="false">IFERROR(VALUE(SUBSTITUTE(TRIM('수출입 실적(품목별)'!E89),",","")),"")</f>
        <v>5981471</v>
      </c>
      <c r="I85" s="18" t="n">
        <f aca="false">IFERROR(VALUE(SUBSTITUTE(TRIM('수출입 실적(품목별)'!F89),",","")),"")</f>
        <v>214039</v>
      </c>
      <c r="J85" s="19" t="n">
        <f aca="false">IFERROR(VALUE(SUBSTITUTE(TRIM('수출입 실적(품목별)'!G89),",","")),"")</f>
        <v>5471938</v>
      </c>
      <c r="K85" s="19" t="n">
        <f aca="false">IFERROR(VALUE(SUBSTITUTE(TRIM('수출입 실적(품목별)'!H89),",","")),"")</f>
        <v>509533</v>
      </c>
    </row>
    <row r="86" customFormat="false" ht="15" hidden="false" customHeight="true" outlineLevel="0" collapsed="false">
      <c r="A86" s="11" t="str">
        <f aca="false">TRIM('수출입 실적(품목별)'!A90)</f>
        <v>2024.01</v>
      </c>
      <c r="B86" s="17" t="n">
        <f aca="false">IFERROR(VALUE(LEFT($A86,4)),"")</f>
        <v>2024</v>
      </c>
      <c r="C86" s="17" t="n">
        <f aca="false">IFERROR(VALUE(RIGHT($A86,2)),"")</f>
        <v>1</v>
      </c>
      <c r="D86" s="17" t="n">
        <f aca="false">IFERROR(ROUNDUP($C86/3,0),"")</f>
        <v>1</v>
      </c>
      <c r="E86" s="11" t="str">
        <f aca="false">TRIM('수출입 실적(품목별)'!B90)</f>
        <v>85</v>
      </c>
      <c r="F86" s="11" t="str">
        <f aca="false">TRIM('수출입 실적(품목별)'!C90)</f>
        <v>전기기기와 그 부분품, 녹음기ㆍ음성 재생기ㆍ텔레비전의 영상과 음성의 기록기ㆍ재생기와 이들의 부분품ㆍ부속품</v>
      </c>
      <c r="G86" s="18" t="n">
        <f aca="false">IFERROR(VALUE(SUBSTITUTE(TRIM('수출입 실적(품목별)'!D90),",","")),"")</f>
        <v>210677.3</v>
      </c>
      <c r="H86" s="19" t="n">
        <f aca="false">IFERROR(VALUE(SUBSTITUTE(TRIM('수출입 실적(품목별)'!E90),",","")),"")</f>
        <v>15092049</v>
      </c>
      <c r="I86" s="18" t="n">
        <f aca="false">IFERROR(VALUE(SUBSTITUTE(TRIM('수출입 실적(품목별)'!F90),",","")),"")</f>
        <v>186888.7</v>
      </c>
      <c r="J86" s="19" t="n">
        <f aca="false">IFERROR(VALUE(SUBSTITUTE(TRIM('수출입 실적(품목별)'!G90),",","")),"")</f>
        <v>10151080</v>
      </c>
      <c r="K86" s="19" t="n">
        <f aca="false">IFERROR(VALUE(SUBSTITUTE(TRIM('수출입 실적(품목별)'!H90),",","")),"")</f>
        <v>4940969</v>
      </c>
    </row>
    <row r="87" customFormat="false" ht="15" hidden="false" customHeight="true" outlineLevel="0" collapsed="false">
      <c r="A87" s="11" t="str">
        <f aca="false">TRIM('수출입 실적(품목별)'!A91)</f>
        <v>2024.01</v>
      </c>
      <c r="B87" s="17" t="n">
        <f aca="false">IFERROR(VALUE(LEFT($A87,4)),"")</f>
        <v>2024</v>
      </c>
      <c r="C87" s="17" t="n">
        <f aca="false">IFERROR(VALUE(RIGHT($A87,2)),"")</f>
        <v>1</v>
      </c>
      <c r="D87" s="17" t="n">
        <f aca="false">IFERROR(ROUNDUP($C87/3,0),"")</f>
        <v>1</v>
      </c>
      <c r="E87" s="11" t="str">
        <f aca="false">TRIM('수출입 실적(품목별)'!B91)</f>
        <v>86</v>
      </c>
      <c r="F87" s="11" t="str">
        <f aca="false">TRIM('수출입 실적(품목별)'!C91)</f>
        <v>철도용이나 궤도용 기관차ㆍ차량과 이들의 부분품, 철도용이나 궤도용 장비품과 그 부분품, 기계식(전기기계식을 포함한다) 각종 교통신호용 기기</v>
      </c>
      <c r="G87" s="18" t="n">
        <f aca="false">IFERROR(VALUE(SUBSTITUTE(TRIM('수출입 실적(품목별)'!D91),",","")),"")</f>
        <v>11891.8</v>
      </c>
      <c r="H87" s="19" t="n">
        <f aca="false">IFERROR(VALUE(SUBSTITUTE(TRIM('수출입 실적(품목별)'!E91),",","")),"")</f>
        <v>63764</v>
      </c>
      <c r="I87" s="18" t="n">
        <f aca="false">IFERROR(VALUE(SUBSTITUTE(TRIM('수출입 실적(품목별)'!F91),",","")),"")</f>
        <v>10917.3</v>
      </c>
      <c r="J87" s="19" t="n">
        <f aca="false">IFERROR(VALUE(SUBSTITUTE(TRIM('수출입 실적(품목별)'!G91),",","")),"")</f>
        <v>29700</v>
      </c>
      <c r="K87" s="19" t="n">
        <f aca="false">IFERROR(VALUE(SUBSTITUTE(TRIM('수출입 실적(품목별)'!H91),",","")),"")</f>
        <v>34065</v>
      </c>
    </row>
    <row r="88" customFormat="false" ht="15" hidden="false" customHeight="true" outlineLevel="0" collapsed="false">
      <c r="A88" s="11" t="str">
        <f aca="false">TRIM('수출입 실적(품목별)'!A92)</f>
        <v>2024.01</v>
      </c>
      <c r="B88" s="17" t="n">
        <f aca="false">IFERROR(VALUE(LEFT($A88,4)),"")</f>
        <v>2024</v>
      </c>
      <c r="C88" s="17" t="n">
        <f aca="false">IFERROR(VALUE(RIGHT($A88,2)),"")</f>
        <v>1</v>
      </c>
      <c r="D88" s="17" t="n">
        <f aca="false">IFERROR(ROUNDUP($C88/3,0),"")</f>
        <v>1</v>
      </c>
      <c r="E88" s="11" t="str">
        <f aca="false">TRIM('수출입 실적(품목별)'!B92)</f>
        <v>87</v>
      </c>
      <c r="F88" s="11" t="str">
        <f aca="false">TRIM('수출입 실적(품목별)'!C92)</f>
        <v>철도용이나 궤도용 외의 차량과 그 부분품ㆍ부속품</v>
      </c>
      <c r="G88" s="18" t="n">
        <f aca="false">IFERROR(VALUE(SUBSTITUTE(TRIM('수출입 실적(품목별)'!D92),",","")),"")</f>
        <v>688992.5</v>
      </c>
      <c r="H88" s="19" t="n">
        <f aca="false">IFERROR(VALUE(SUBSTITUTE(TRIM('수출입 실적(품목별)'!E92),",","")),"")</f>
        <v>8118538</v>
      </c>
      <c r="I88" s="18" t="n">
        <f aca="false">IFERROR(VALUE(SUBSTITUTE(TRIM('수출입 실적(품목별)'!F92),",","")),"")</f>
        <v>86043.7</v>
      </c>
      <c r="J88" s="19" t="n">
        <f aca="false">IFERROR(VALUE(SUBSTITUTE(TRIM('수출입 실적(품목별)'!G92),",","")),"")</f>
        <v>1303231</v>
      </c>
      <c r="K88" s="19" t="n">
        <f aca="false">IFERROR(VALUE(SUBSTITUTE(TRIM('수출입 실적(품목별)'!H92),",","")),"")</f>
        <v>6815307</v>
      </c>
    </row>
    <row r="89" customFormat="false" ht="15" hidden="false" customHeight="true" outlineLevel="0" collapsed="false">
      <c r="A89" s="11" t="str">
        <f aca="false">TRIM('수출입 실적(품목별)'!A93)</f>
        <v>2024.01</v>
      </c>
      <c r="B89" s="17" t="n">
        <f aca="false">IFERROR(VALUE(LEFT($A89,4)),"")</f>
        <v>2024</v>
      </c>
      <c r="C89" s="17" t="n">
        <f aca="false">IFERROR(VALUE(RIGHT($A89,2)),"")</f>
        <v>1</v>
      </c>
      <c r="D89" s="17" t="n">
        <f aca="false">IFERROR(ROUNDUP($C89/3,0),"")</f>
        <v>1</v>
      </c>
      <c r="E89" s="11" t="str">
        <f aca="false">TRIM('수출입 실적(품목별)'!B93)</f>
        <v>88</v>
      </c>
      <c r="F89" s="11" t="str">
        <f aca="false">TRIM('수출입 실적(품목별)'!C93)</f>
        <v>항공기와 우주선, 이들의 부분품</v>
      </c>
      <c r="G89" s="18" t="n">
        <f aca="false">IFERROR(VALUE(SUBSTITUTE(TRIM('수출입 실적(품목별)'!D93),",","")),"")</f>
        <v>362.9</v>
      </c>
      <c r="H89" s="19" t="n">
        <f aca="false">IFERROR(VALUE(SUBSTITUTE(TRIM('수출입 실적(품목별)'!E93),",","")),"")</f>
        <v>125804</v>
      </c>
      <c r="I89" s="18" t="n">
        <f aca="false">IFERROR(VALUE(SUBSTITUTE(TRIM('수출입 실적(품목별)'!F93),",","")),"")</f>
        <v>202</v>
      </c>
      <c r="J89" s="19" t="n">
        <f aca="false">IFERROR(VALUE(SUBSTITUTE(TRIM('수출입 실적(품목별)'!G93),",","")),"")</f>
        <v>182953</v>
      </c>
      <c r="K89" s="19" t="n">
        <f aca="false">IFERROR(VALUE(SUBSTITUTE(TRIM('수출입 실적(품목별)'!H93),",","")),"")</f>
        <v>-57149</v>
      </c>
    </row>
    <row r="90" customFormat="false" ht="15" hidden="false" customHeight="true" outlineLevel="0" collapsed="false">
      <c r="A90" s="11" t="str">
        <f aca="false">TRIM('수출입 실적(품목별)'!A94)</f>
        <v>2024.01</v>
      </c>
      <c r="B90" s="17" t="n">
        <f aca="false">IFERROR(VALUE(LEFT($A90,4)),"")</f>
        <v>2024</v>
      </c>
      <c r="C90" s="17" t="n">
        <f aca="false">IFERROR(VALUE(RIGHT($A90,2)),"")</f>
        <v>1</v>
      </c>
      <c r="D90" s="17" t="n">
        <f aca="false">IFERROR(ROUNDUP($C90/3,0),"")</f>
        <v>1</v>
      </c>
      <c r="E90" s="11" t="str">
        <f aca="false">TRIM('수출입 실적(품목별)'!B94)</f>
        <v>89</v>
      </c>
      <c r="F90" s="11" t="str">
        <f aca="false">TRIM('수출입 실적(품목별)'!C94)</f>
        <v>선박과 수상 구조물</v>
      </c>
      <c r="G90" s="18" t="n">
        <f aca="false">IFERROR(VALUE(SUBSTITUTE(TRIM('수출입 실적(품목별)'!D94),",","")),"")</f>
        <v>1125130.2</v>
      </c>
      <c r="H90" s="19" t="n">
        <f aca="false">IFERROR(VALUE(SUBSTITUTE(TRIM('수출입 실적(품목별)'!E94),",","")),"")</f>
        <v>2407768</v>
      </c>
      <c r="I90" s="18" t="n">
        <f aca="false">IFERROR(VALUE(SUBSTITUTE(TRIM('수출입 실적(품목별)'!F94),",","")),"")</f>
        <v>51258.5</v>
      </c>
      <c r="J90" s="19" t="n">
        <f aca="false">IFERROR(VALUE(SUBSTITUTE(TRIM('수출입 실적(품목별)'!G94),",","")),"")</f>
        <v>61275</v>
      </c>
      <c r="K90" s="19" t="n">
        <f aca="false">IFERROR(VALUE(SUBSTITUTE(TRIM('수출입 실적(품목별)'!H94),",","")),"")</f>
        <v>2346493</v>
      </c>
    </row>
    <row r="91" customFormat="false" ht="15" hidden="false" customHeight="true" outlineLevel="0" collapsed="false">
      <c r="A91" s="11" t="str">
        <f aca="false">TRIM('수출입 실적(품목별)'!A95)</f>
        <v>2024.01</v>
      </c>
      <c r="B91" s="17" t="n">
        <f aca="false">IFERROR(VALUE(LEFT($A91,4)),"")</f>
        <v>2024</v>
      </c>
      <c r="C91" s="17" t="n">
        <f aca="false">IFERROR(VALUE(RIGHT($A91,2)),"")</f>
        <v>1</v>
      </c>
      <c r="D91" s="17" t="n">
        <f aca="false">IFERROR(ROUNDUP($C91/3,0),"")</f>
        <v>1</v>
      </c>
      <c r="E91" s="11" t="str">
        <f aca="false">TRIM('수출입 실적(품목별)'!B95)</f>
        <v>90</v>
      </c>
      <c r="F91" s="11" t="str">
        <f aca="false">TRIM('수출입 실적(품목별)'!C95)</f>
        <v>광학기기ㆍ사진용 기기ㆍ영화용 기기ㆍ측정기기ㆍ검사기기ㆍ정밀기기ㆍ의료용 기기, 이들의 부분품과 부속품</v>
      </c>
      <c r="G91" s="18" t="n">
        <f aca="false">IFERROR(VALUE(SUBSTITUTE(TRIM('수출입 실적(품목별)'!D95),",","")),"")</f>
        <v>16998.4</v>
      </c>
      <c r="H91" s="19" t="n">
        <f aca="false">IFERROR(VALUE(SUBSTITUTE(TRIM('수출입 실적(품목별)'!E95),",","")),"")</f>
        <v>1391089</v>
      </c>
      <c r="I91" s="18" t="n">
        <f aca="false">IFERROR(VALUE(SUBSTITUTE(TRIM('수출입 실적(품목별)'!F95),",","")),"")</f>
        <v>17406.5</v>
      </c>
      <c r="J91" s="19" t="n">
        <f aca="false">IFERROR(VALUE(SUBSTITUTE(TRIM('수출입 실적(품목별)'!G95),",","")),"")</f>
        <v>1785510</v>
      </c>
      <c r="K91" s="19" t="n">
        <f aca="false">IFERROR(VALUE(SUBSTITUTE(TRIM('수출입 실적(품목별)'!H95),",","")),"")</f>
        <v>-394422</v>
      </c>
    </row>
    <row r="92" customFormat="false" ht="15" hidden="false" customHeight="true" outlineLevel="0" collapsed="false">
      <c r="A92" s="11" t="str">
        <f aca="false">TRIM('수출입 실적(품목별)'!A96)</f>
        <v>2024.01</v>
      </c>
      <c r="B92" s="17" t="n">
        <f aca="false">IFERROR(VALUE(LEFT($A92,4)),"")</f>
        <v>2024</v>
      </c>
      <c r="C92" s="17" t="n">
        <f aca="false">IFERROR(VALUE(RIGHT($A92,2)),"")</f>
        <v>1</v>
      </c>
      <c r="D92" s="17" t="n">
        <f aca="false">IFERROR(ROUNDUP($C92/3,0),"")</f>
        <v>1</v>
      </c>
      <c r="E92" s="11" t="str">
        <f aca="false">TRIM('수출입 실적(품목별)'!B96)</f>
        <v>91</v>
      </c>
      <c r="F92" s="11" t="str">
        <f aca="false">TRIM('수출입 실적(품목별)'!C96)</f>
        <v>시계와 그 부분품</v>
      </c>
      <c r="G92" s="18" t="n">
        <f aca="false">IFERROR(VALUE(SUBSTITUTE(TRIM('수출입 실적(품목별)'!D96),",","")),"")</f>
        <v>17.7</v>
      </c>
      <c r="H92" s="19" t="n">
        <f aca="false">IFERROR(VALUE(SUBSTITUTE(TRIM('수출입 실적(품목별)'!E96),",","")),"")</f>
        <v>13173</v>
      </c>
      <c r="I92" s="18" t="n">
        <f aca="false">IFERROR(VALUE(SUBSTITUTE(TRIM('수출입 실적(품목별)'!F96),",","")),"")</f>
        <v>368.4</v>
      </c>
      <c r="J92" s="19" t="n">
        <f aca="false">IFERROR(VALUE(SUBSTITUTE(TRIM('수출입 실적(품목별)'!G96),",","")),"")</f>
        <v>75132</v>
      </c>
      <c r="K92" s="19" t="n">
        <f aca="false">IFERROR(VALUE(SUBSTITUTE(TRIM('수출입 실적(품목별)'!H96),",","")),"")</f>
        <v>-61958</v>
      </c>
    </row>
    <row r="93" customFormat="false" ht="15" hidden="false" customHeight="true" outlineLevel="0" collapsed="false">
      <c r="A93" s="11" t="str">
        <f aca="false">TRIM('수출입 실적(품목별)'!A97)</f>
        <v>2024.01</v>
      </c>
      <c r="B93" s="17" t="n">
        <f aca="false">IFERROR(VALUE(LEFT($A93,4)),"")</f>
        <v>2024</v>
      </c>
      <c r="C93" s="17" t="n">
        <f aca="false">IFERROR(VALUE(RIGHT($A93,2)),"")</f>
        <v>1</v>
      </c>
      <c r="D93" s="17" t="n">
        <f aca="false">IFERROR(ROUNDUP($C93/3,0),"")</f>
        <v>1</v>
      </c>
      <c r="E93" s="11" t="str">
        <f aca="false">TRIM('수출입 실적(품목별)'!B97)</f>
        <v>92</v>
      </c>
      <c r="F93" s="11" t="str">
        <f aca="false">TRIM('수출입 실적(품목별)'!C97)</f>
        <v>악기와 그 부분품과 부속품</v>
      </c>
      <c r="G93" s="18" t="n">
        <f aca="false">IFERROR(VALUE(SUBSTITUTE(TRIM('수출입 실적(품목별)'!D97),",","")),"")</f>
        <v>419.7</v>
      </c>
      <c r="H93" s="19" t="n">
        <f aca="false">IFERROR(VALUE(SUBSTITUTE(TRIM('수출입 실적(품목별)'!E97),",","")),"")</f>
        <v>9869</v>
      </c>
      <c r="I93" s="18" t="n">
        <f aca="false">IFERROR(VALUE(SUBSTITUTE(TRIM('수출입 실적(품목별)'!F97),",","")),"")</f>
        <v>747</v>
      </c>
      <c r="J93" s="19" t="n">
        <f aca="false">IFERROR(VALUE(SUBSTITUTE(TRIM('수출입 실적(품목별)'!G97),",","")),"")</f>
        <v>18112</v>
      </c>
      <c r="K93" s="19" t="n">
        <f aca="false">IFERROR(VALUE(SUBSTITUTE(TRIM('수출입 실적(품목별)'!H97),",","")),"")</f>
        <v>-8243</v>
      </c>
    </row>
    <row r="94" customFormat="false" ht="15" hidden="false" customHeight="true" outlineLevel="0" collapsed="false">
      <c r="A94" s="11" t="str">
        <f aca="false">TRIM('수출입 실적(품목별)'!A98)</f>
        <v>2024.01</v>
      </c>
      <c r="B94" s="17" t="n">
        <f aca="false">IFERROR(VALUE(LEFT($A94,4)),"")</f>
        <v>2024</v>
      </c>
      <c r="C94" s="17" t="n">
        <f aca="false">IFERROR(VALUE(RIGHT($A94,2)),"")</f>
        <v>1</v>
      </c>
      <c r="D94" s="17" t="n">
        <f aca="false">IFERROR(ROUNDUP($C94/3,0),"")</f>
        <v>1</v>
      </c>
      <c r="E94" s="11" t="str">
        <f aca="false">TRIM('수출입 실적(품목별)'!B98)</f>
        <v>93</v>
      </c>
      <c r="F94" s="11" t="str">
        <f aca="false">TRIM('수출입 실적(품목별)'!C98)</f>
        <v>무기ㆍ총포탄과 이들의 부분품과 부속품</v>
      </c>
      <c r="G94" s="18" t="n">
        <f aca="false">IFERROR(VALUE(SUBSTITUTE(TRIM('수출입 실적(품목별)'!D98),",","")),"")</f>
        <v>1378.2</v>
      </c>
      <c r="H94" s="19" t="n">
        <f aca="false">IFERROR(VALUE(SUBSTITUTE(TRIM('수출입 실적(품목별)'!E98),",","")),"")</f>
        <v>153027</v>
      </c>
      <c r="I94" s="18" t="n">
        <f aca="false">IFERROR(VALUE(SUBSTITUTE(TRIM('수출입 실적(품목별)'!F98),",","")),"")</f>
        <v>74.7</v>
      </c>
      <c r="J94" s="19" t="n">
        <f aca="false">IFERROR(VALUE(SUBSTITUTE(TRIM('수출입 실적(품목별)'!G98),",","")),"")</f>
        <v>20440</v>
      </c>
      <c r="K94" s="19" t="n">
        <f aca="false">IFERROR(VALUE(SUBSTITUTE(TRIM('수출입 실적(품목별)'!H98),",","")),"")</f>
        <v>132587</v>
      </c>
    </row>
    <row r="95" customFormat="false" ht="15" hidden="false" customHeight="true" outlineLevel="0" collapsed="false">
      <c r="A95" s="11" t="str">
        <f aca="false">TRIM('수출입 실적(품목별)'!A99)</f>
        <v>2024.01</v>
      </c>
      <c r="B95" s="17" t="n">
        <f aca="false">IFERROR(VALUE(LEFT($A95,4)),"")</f>
        <v>2024</v>
      </c>
      <c r="C95" s="17" t="n">
        <f aca="false">IFERROR(VALUE(RIGHT($A95,2)),"")</f>
        <v>1</v>
      </c>
      <c r="D95" s="17" t="n">
        <f aca="false">IFERROR(ROUNDUP($C95/3,0),"")</f>
        <v>1</v>
      </c>
      <c r="E95" s="11" t="str">
        <f aca="false">TRIM('수출입 실적(품목별)'!B99)</f>
        <v>94</v>
      </c>
      <c r="F95" s="11" t="str">
        <f aca="false">TRIM('수출입 실적(품목별)'!C99)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95" s="18" t="n">
        <f aca="false">IFERROR(VALUE(SUBSTITUTE(TRIM('수출입 실적(품목별)'!D99),",","")),"")</f>
        <v>15670.1</v>
      </c>
      <c r="H95" s="19" t="n">
        <f aca="false">IFERROR(VALUE(SUBSTITUTE(TRIM('수출입 실적(품목별)'!E99),",","")),"")</f>
        <v>113358</v>
      </c>
      <c r="I95" s="18" t="n">
        <f aca="false">IFERROR(VALUE(SUBSTITUTE(TRIM('수출입 실적(품목별)'!F99),",","")),"")</f>
        <v>81689.5</v>
      </c>
      <c r="J95" s="19" t="n">
        <f aca="false">IFERROR(VALUE(SUBSTITUTE(TRIM('수출입 실적(품목별)'!G99),",","")),"")</f>
        <v>346582</v>
      </c>
      <c r="K95" s="19" t="n">
        <f aca="false">IFERROR(VALUE(SUBSTITUTE(TRIM('수출입 실적(품목별)'!H99),",","")),"")</f>
        <v>-233224</v>
      </c>
    </row>
    <row r="96" customFormat="false" ht="15" hidden="false" customHeight="true" outlineLevel="0" collapsed="false">
      <c r="A96" s="11" t="str">
        <f aca="false">TRIM('수출입 실적(품목별)'!A100)</f>
        <v>2024.01</v>
      </c>
      <c r="B96" s="17" t="n">
        <f aca="false">IFERROR(VALUE(LEFT($A96,4)),"")</f>
        <v>2024</v>
      </c>
      <c r="C96" s="17" t="n">
        <f aca="false">IFERROR(VALUE(RIGHT($A96,2)),"")</f>
        <v>1</v>
      </c>
      <c r="D96" s="17" t="n">
        <f aca="false">IFERROR(ROUNDUP($C96/3,0),"")</f>
        <v>1</v>
      </c>
      <c r="E96" s="11" t="str">
        <f aca="false">TRIM('수출입 실적(품목별)'!B100)</f>
        <v>95</v>
      </c>
      <c r="F96" s="11" t="str">
        <f aca="false">TRIM('수출입 실적(품목별)'!C100)</f>
        <v>완구ㆍ게임용구ㆍ운동용구와 이들의 부분품과 부속품</v>
      </c>
      <c r="G96" s="18" t="n">
        <f aca="false">IFERROR(VALUE(SUBSTITUTE(TRIM('수출입 실적(품목별)'!D100),",","")),"")</f>
        <v>1912.9</v>
      </c>
      <c r="H96" s="19" t="n">
        <f aca="false">IFERROR(VALUE(SUBSTITUTE(TRIM('수출입 실적(품목별)'!E100),",","")),"")</f>
        <v>42834</v>
      </c>
      <c r="I96" s="18" t="n">
        <f aca="false">IFERROR(VALUE(SUBSTITUTE(TRIM('수출입 실적(품목별)'!F100),",","")),"")</f>
        <v>14921.9</v>
      </c>
      <c r="J96" s="19" t="n">
        <f aca="false">IFERROR(VALUE(SUBSTITUTE(TRIM('수출입 실적(품목별)'!G100),",","")),"")</f>
        <v>217744</v>
      </c>
      <c r="K96" s="19" t="n">
        <f aca="false">IFERROR(VALUE(SUBSTITUTE(TRIM('수출입 실적(품목별)'!H100),",","")),"")</f>
        <v>-174910</v>
      </c>
    </row>
    <row r="97" customFormat="false" ht="15" hidden="false" customHeight="true" outlineLevel="0" collapsed="false">
      <c r="A97" s="11" t="str">
        <f aca="false">TRIM('수출입 실적(품목별)'!A101)</f>
        <v>2024.01</v>
      </c>
      <c r="B97" s="17" t="n">
        <f aca="false">IFERROR(VALUE(LEFT($A97,4)),"")</f>
        <v>2024</v>
      </c>
      <c r="C97" s="17" t="n">
        <f aca="false">IFERROR(VALUE(RIGHT($A97,2)),"")</f>
        <v>1</v>
      </c>
      <c r="D97" s="17" t="n">
        <f aca="false">IFERROR(ROUNDUP($C97/3,0),"")</f>
        <v>1</v>
      </c>
      <c r="E97" s="11" t="str">
        <f aca="false">TRIM('수출입 실적(품목별)'!B101)</f>
        <v>96</v>
      </c>
      <c r="F97" s="11" t="str">
        <f aca="false">TRIM('수출입 실적(품목별)'!C101)</f>
        <v>잡품</v>
      </c>
      <c r="G97" s="18" t="n">
        <f aca="false">IFERROR(VALUE(SUBSTITUTE(TRIM('수출입 실적(품목별)'!D101),",","")),"")</f>
        <v>2097.2</v>
      </c>
      <c r="H97" s="19" t="n">
        <f aca="false">IFERROR(VALUE(SUBSTITUTE(TRIM('수출입 실적(품목별)'!E101),",","")),"")</f>
        <v>35997</v>
      </c>
      <c r="I97" s="18" t="n">
        <f aca="false">IFERROR(VALUE(SUBSTITUTE(TRIM('수출입 실적(품목별)'!F101),",","")),"")</f>
        <v>12364.7</v>
      </c>
      <c r="J97" s="19" t="n">
        <f aca="false">IFERROR(VALUE(SUBSTITUTE(TRIM('수출입 실적(품목별)'!G101),",","")),"")</f>
        <v>101386</v>
      </c>
      <c r="K97" s="19" t="n">
        <f aca="false">IFERROR(VALUE(SUBSTITUTE(TRIM('수출입 실적(품목별)'!H101),",","")),"")</f>
        <v>-65389</v>
      </c>
    </row>
    <row r="98" customFormat="false" ht="15" hidden="false" customHeight="true" outlineLevel="0" collapsed="false">
      <c r="A98" s="11" t="str">
        <f aca="false">TRIM('수출입 실적(품목별)'!A102)</f>
        <v>2024.01</v>
      </c>
      <c r="B98" s="17" t="n">
        <f aca="false">IFERROR(VALUE(LEFT($A98,4)),"")</f>
        <v>2024</v>
      </c>
      <c r="C98" s="17" t="n">
        <f aca="false">IFERROR(VALUE(RIGHT($A98,2)),"")</f>
        <v>1</v>
      </c>
      <c r="D98" s="17" t="n">
        <f aca="false">IFERROR(ROUNDUP($C98/3,0),"")</f>
        <v>1</v>
      </c>
      <c r="E98" s="11" t="str">
        <f aca="false">TRIM('수출입 실적(품목별)'!B102)</f>
        <v>97</v>
      </c>
      <c r="F98" s="11" t="str">
        <f aca="false">TRIM('수출입 실적(품목별)'!C102)</f>
        <v>예술품ㆍ수집품ㆍ골동품</v>
      </c>
      <c r="G98" s="18" t="n">
        <f aca="false">IFERROR(VALUE(SUBSTITUTE(TRIM('수출입 실적(품목별)'!D102),",","")),"")</f>
        <v>13.1</v>
      </c>
      <c r="H98" s="19" t="n">
        <f aca="false">IFERROR(VALUE(SUBSTITUTE(TRIM('수출입 실적(품목별)'!E102),",","")),"")</f>
        <v>30149</v>
      </c>
      <c r="I98" s="18" t="n">
        <f aca="false">IFERROR(VALUE(SUBSTITUTE(TRIM('수출입 실적(품목별)'!F102),",","")),"")</f>
        <v>48.5</v>
      </c>
      <c r="J98" s="19" t="n">
        <f aca="false">IFERROR(VALUE(SUBSTITUTE(TRIM('수출입 실적(품목별)'!G102),",","")),"")</f>
        <v>23407</v>
      </c>
      <c r="K98" s="19" t="n">
        <f aca="false">IFERROR(VALUE(SUBSTITUTE(TRIM('수출입 실적(품목별)'!H102),",","")),"")</f>
        <v>6743</v>
      </c>
    </row>
    <row r="99" customFormat="false" ht="15" hidden="false" customHeight="true" outlineLevel="0" collapsed="false">
      <c r="A99" s="11" t="str">
        <f aca="false">TRIM('수출입 실적(품목별)'!A103)</f>
        <v>2024.01</v>
      </c>
      <c r="B99" s="17" t="n">
        <f aca="false">IFERROR(VALUE(LEFT($A99,4)),"")</f>
        <v>2024</v>
      </c>
      <c r="C99" s="17" t="n">
        <f aca="false">IFERROR(VALUE(RIGHT($A99,2)),"")</f>
        <v>1</v>
      </c>
      <c r="D99" s="17" t="n">
        <f aca="false">IFERROR(ROUNDUP($C99/3,0),"")</f>
        <v>1</v>
      </c>
      <c r="E99" s="11" t="str">
        <f aca="false">TRIM('수출입 실적(품목별)'!B103)</f>
        <v>99</v>
      </c>
      <c r="F99" s="11" t="str">
        <f aca="false">TRIM('수출입 실적(품목별)'!C103)</f>
        <v>일시적 입법 ; 설치된 간이 수정에 따른 입법을 트레이드한다 ; 추가적 수입제한농업인 것의 제 22 부에 따른 확립된 것 조정 행위, 수정된 것처럼</v>
      </c>
      <c r="G99" s="18" t="n">
        <f aca="false">IFERROR(VALUE(SUBSTITUTE(TRIM('수출입 실적(품목별)'!D103),",","")),"")</f>
        <v>0</v>
      </c>
      <c r="H99" s="19" t="n">
        <f aca="false">IFERROR(VALUE(SUBSTITUTE(TRIM('수출입 실적(품목별)'!E103),",","")),"")</f>
        <v>0</v>
      </c>
      <c r="I99" s="18" t="n">
        <f aca="false">IFERROR(VALUE(SUBSTITUTE(TRIM('수출입 실적(품목별)'!F103),",","")),"")</f>
        <v>495.8</v>
      </c>
      <c r="J99" s="19" t="n">
        <f aca="false">IFERROR(VALUE(SUBSTITUTE(TRIM('수출입 실적(품목별)'!G103),",","")),"")</f>
        <v>0</v>
      </c>
      <c r="K99" s="19" t="n">
        <f aca="false">IFERROR(VALUE(SUBSTITUTE(TRIM('수출입 실적(품목별)'!H103),",","")),"")</f>
        <v>0</v>
      </c>
    </row>
    <row r="100" customFormat="false" ht="15" hidden="false" customHeight="true" outlineLevel="0" collapsed="false">
      <c r="A100" s="11" t="str">
        <f aca="false">TRIM('수출입 실적(품목별)'!A104)</f>
        <v>2024.02</v>
      </c>
      <c r="B100" s="17" t="n">
        <f aca="false">IFERROR(VALUE(LEFT($A100,4)),"")</f>
        <v>2024</v>
      </c>
      <c r="C100" s="17" t="n">
        <f aca="false">IFERROR(VALUE(RIGHT($A100,2)),"")</f>
        <v>2</v>
      </c>
      <c r="D100" s="17" t="n">
        <f aca="false">IFERROR(ROUNDUP($C100/3,0),"")</f>
        <v>1</v>
      </c>
      <c r="E100" s="11" t="str">
        <f aca="false">TRIM('수출입 실적(품목별)'!B104)</f>
        <v>01</v>
      </c>
      <c r="F100" s="11" t="str">
        <f aca="false">TRIM('수출입 실적(품목별)'!C104)</f>
        <v>살아 있는 동물</v>
      </c>
      <c r="G100" s="18" t="n">
        <f aca="false">IFERROR(VALUE(SUBSTITUTE(TRIM('수출입 실적(품목별)'!D104),",","")),"")</f>
        <v>2.8</v>
      </c>
      <c r="H100" s="19" t="n">
        <f aca="false">IFERROR(VALUE(SUBSTITUTE(TRIM('수출입 실적(품목별)'!E104),",","")),"")</f>
        <v>712</v>
      </c>
      <c r="I100" s="18" t="n">
        <f aca="false">IFERROR(VALUE(SUBSTITUTE(TRIM('수출입 실적(품목별)'!F104),",","")),"")</f>
        <v>53.4</v>
      </c>
      <c r="J100" s="19" t="n">
        <f aca="false">IFERROR(VALUE(SUBSTITUTE(TRIM('수출입 실적(품목별)'!G104),",","")),"")</f>
        <v>4050</v>
      </c>
      <c r="K100" s="19" t="n">
        <f aca="false">IFERROR(VALUE(SUBSTITUTE(TRIM('수출입 실적(품목별)'!H104),",","")),"")</f>
        <v>-3338</v>
      </c>
    </row>
    <row r="101" customFormat="false" ht="15" hidden="false" customHeight="true" outlineLevel="0" collapsed="false">
      <c r="A101" s="11" t="str">
        <f aca="false">TRIM('수출입 실적(품목별)'!A105)</f>
        <v>2024.02</v>
      </c>
      <c r="B101" s="17" t="n">
        <f aca="false">IFERROR(VALUE(LEFT($A101,4)),"")</f>
        <v>2024</v>
      </c>
      <c r="C101" s="17" t="n">
        <f aca="false">IFERROR(VALUE(RIGHT($A101,2)),"")</f>
        <v>2</v>
      </c>
      <c r="D101" s="17" t="n">
        <f aca="false">IFERROR(ROUNDUP($C101/3,0),"")</f>
        <v>1</v>
      </c>
      <c r="E101" s="11" t="str">
        <f aca="false">TRIM('수출입 실적(품목별)'!B105)</f>
        <v>02</v>
      </c>
      <c r="F101" s="11" t="str">
        <f aca="false">TRIM('수출입 실적(품목별)'!C105)</f>
        <v>육과 식용 설육(屑肉)</v>
      </c>
      <c r="G101" s="18" t="n">
        <f aca="false">IFERROR(VALUE(SUBSTITUTE(TRIM('수출입 실적(품목별)'!D105),",","")),"")</f>
        <v>5691.2</v>
      </c>
      <c r="H101" s="19" t="n">
        <f aca="false">IFERROR(VALUE(SUBSTITUTE(TRIM('수출입 실적(품목별)'!E105),",","")),"")</f>
        <v>7710</v>
      </c>
      <c r="I101" s="18" t="n">
        <f aca="false">IFERROR(VALUE(SUBSTITUTE(TRIM('수출입 실적(품목별)'!F105),",","")),"")</f>
        <v>89977.1</v>
      </c>
      <c r="J101" s="19" t="n">
        <f aca="false">IFERROR(VALUE(SUBSTITUTE(TRIM('수출입 실적(품목별)'!G105),",","")),"")</f>
        <v>466316</v>
      </c>
      <c r="K101" s="19" t="n">
        <f aca="false">IFERROR(VALUE(SUBSTITUTE(TRIM('수출입 실적(품목별)'!H105),",","")),"")</f>
        <v>-458605</v>
      </c>
    </row>
    <row r="102" customFormat="false" ht="15" hidden="false" customHeight="true" outlineLevel="0" collapsed="false">
      <c r="A102" s="11" t="str">
        <f aca="false">TRIM('수출입 실적(품목별)'!A106)</f>
        <v>2024.02</v>
      </c>
      <c r="B102" s="17" t="n">
        <f aca="false">IFERROR(VALUE(LEFT($A102,4)),"")</f>
        <v>2024</v>
      </c>
      <c r="C102" s="17" t="n">
        <f aca="false">IFERROR(VALUE(RIGHT($A102,2)),"")</f>
        <v>2</v>
      </c>
      <c r="D102" s="17" t="n">
        <f aca="false">IFERROR(ROUNDUP($C102/3,0),"")</f>
        <v>1</v>
      </c>
      <c r="E102" s="11" t="str">
        <f aca="false">TRIM('수출입 실적(품목별)'!B106)</f>
        <v>03</v>
      </c>
      <c r="F102" s="11" t="str">
        <f aca="false">TRIM('수출입 실적(품목별)'!C106)</f>
        <v>어류ㆍ갑각류ㆍ연체동물과 그 밖의 수생(水生) 무척추동물</v>
      </c>
      <c r="G102" s="18" t="n">
        <f aca="false">IFERROR(VALUE(SUBSTITUTE(TRIM('수출입 실적(품목별)'!D106),",","")),"")</f>
        <v>41589</v>
      </c>
      <c r="H102" s="19" t="n">
        <f aca="false">IFERROR(VALUE(SUBSTITUTE(TRIM('수출입 실적(품목별)'!E106),",","")),"")</f>
        <v>124869</v>
      </c>
      <c r="I102" s="18" t="n">
        <f aca="false">IFERROR(VALUE(SUBSTITUTE(TRIM('수출입 실적(품목별)'!F106),",","")),"")</f>
        <v>94230.7</v>
      </c>
      <c r="J102" s="19" t="n">
        <f aca="false">IFERROR(VALUE(SUBSTITUTE(TRIM('수출입 실적(품목별)'!G106),",","")),"")</f>
        <v>385892</v>
      </c>
      <c r="K102" s="19" t="n">
        <f aca="false">IFERROR(VALUE(SUBSTITUTE(TRIM('수출입 실적(품목별)'!H106),",","")),"")</f>
        <v>-261023</v>
      </c>
    </row>
    <row r="103" customFormat="false" ht="15" hidden="false" customHeight="true" outlineLevel="0" collapsed="false">
      <c r="A103" s="11" t="str">
        <f aca="false">TRIM('수출입 실적(품목별)'!A107)</f>
        <v>2024.02</v>
      </c>
      <c r="B103" s="17" t="n">
        <f aca="false">IFERROR(VALUE(LEFT($A103,4)),"")</f>
        <v>2024</v>
      </c>
      <c r="C103" s="17" t="n">
        <f aca="false">IFERROR(VALUE(RIGHT($A103,2)),"")</f>
        <v>2</v>
      </c>
      <c r="D103" s="17" t="n">
        <f aca="false">IFERROR(ROUNDUP($C103/3,0),"")</f>
        <v>1</v>
      </c>
      <c r="E103" s="11" t="str">
        <f aca="false">TRIM('수출입 실적(품목별)'!B107)</f>
        <v>04</v>
      </c>
      <c r="F103" s="11" t="str">
        <f aca="false">TRIM('수출입 실적(품목별)'!C107)</f>
        <v>낙농품, 새의 알, 천연꿀, 다른 류로 분류되지 않은 식용인 동물성 생산품</v>
      </c>
      <c r="G103" s="18" t="n">
        <f aca="false">IFERROR(VALUE(SUBSTITUTE(TRIM('수출입 실적(품목별)'!D107),",","")),"")</f>
        <v>2718.4</v>
      </c>
      <c r="H103" s="19" t="n">
        <f aca="false">IFERROR(VALUE(SUBSTITUTE(TRIM('수출입 실적(품목별)'!E107),",","")),"")</f>
        <v>6529</v>
      </c>
      <c r="I103" s="18" t="n">
        <f aca="false">IFERROR(VALUE(SUBSTITUTE(TRIM('수출입 실적(품목별)'!F107),",","")),"")</f>
        <v>21648.4</v>
      </c>
      <c r="J103" s="19" t="n">
        <f aca="false">IFERROR(VALUE(SUBSTITUTE(TRIM('수출입 실적(품목별)'!G107),",","")),"")</f>
        <v>81413</v>
      </c>
      <c r="K103" s="19" t="n">
        <f aca="false">IFERROR(VALUE(SUBSTITUTE(TRIM('수출입 실적(품목별)'!H107),",","")),"")</f>
        <v>-74884</v>
      </c>
    </row>
    <row r="104" customFormat="false" ht="15" hidden="false" customHeight="true" outlineLevel="0" collapsed="false">
      <c r="A104" s="11" t="str">
        <f aca="false">TRIM('수출입 실적(품목별)'!A108)</f>
        <v>2024.02</v>
      </c>
      <c r="B104" s="17" t="n">
        <f aca="false">IFERROR(VALUE(LEFT($A104,4)),"")</f>
        <v>2024</v>
      </c>
      <c r="C104" s="17" t="n">
        <f aca="false">IFERROR(VALUE(RIGHT($A104,2)),"")</f>
        <v>2</v>
      </c>
      <c r="D104" s="17" t="n">
        <f aca="false">IFERROR(ROUNDUP($C104/3,0),"")</f>
        <v>1</v>
      </c>
      <c r="E104" s="11" t="str">
        <f aca="false">TRIM('수출입 실적(품목별)'!B108)</f>
        <v>05</v>
      </c>
      <c r="F104" s="11" t="str">
        <f aca="false">TRIM('수출입 실적(품목별)'!C108)</f>
        <v>다른 류로 분류되지 않은 동물성 생산품</v>
      </c>
      <c r="G104" s="18" t="n">
        <f aca="false">IFERROR(VALUE(SUBSTITUTE(TRIM('수출입 실적(품목별)'!D108),",","")),"")</f>
        <v>1090.5</v>
      </c>
      <c r="H104" s="19" t="n">
        <f aca="false">IFERROR(VALUE(SUBSTITUTE(TRIM('수출입 실적(품목별)'!E108),",","")),"")</f>
        <v>3523</v>
      </c>
      <c r="I104" s="18" t="n">
        <f aca="false">IFERROR(VALUE(SUBSTITUTE(TRIM('수출입 실적(품목별)'!F108),",","")),"")</f>
        <v>3053.6</v>
      </c>
      <c r="J104" s="19" t="n">
        <f aca="false">IFERROR(VALUE(SUBSTITUTE(TRIM('수출입 실적(품목별)'!G108),",","")),"")</f>
        <v>21617</v>
      </c>
      <c r="K104" s="19" t="n">
        <f aca="false">IFERROR(VALUE(SUBSTITUTE(TRIM('수출입 실적(품목별)'!H108),",","")),"")</f>
        <v>-18094</v>
      </c>
    </row>
    <row r="105" customFormat="false" ht="15" hidden="false" customHeight="true" outlineLevel="0" collapsed="false">
      <c r="A105" s="11" t="str">
        <f aca="false">TRIM('수출입 실적(품목별)'!A109)</f>
        <v>2024.02</v>
      </c>
      <c r="B105" s="17" t="n">
        <f aca="false">IFERROR(VALUE(LEFT($A105,4)),"")</f>
        <v>2024</v>
      </c>
      <c r="C105" s="17" t="n">
        <f aca="false">IFERROR(VALUE(RIGHT($A105,2)),"")</f>
        <v>2</v>
      </c>
      <c r="D105" s="17" t="n">
        <f aca="false">IFERROR(ROUNDUP($C105/3,0),"")</f>
        <v>1</v>
      </c>
      <c r="E105" s="11" t="str">
        <f aca="false">TRIM('수출입 실적(품목별)'!B109)</f>
        <v>06</v>
      </c>
      <c r="F105" s="11" t="str">
        <f aca="false">TRIM('수출입 실적(품목별)'!C109)</f>
        <v>살아 있는 수목과 그 밖의 식물, 인경(鱗莖)ㆍ뿌리와 이와 유사한 물품, 절화(切花)와 장식용 잎</v>
      </c>
      <c r="G105" s="18" t="n">
        <f aca="false">IFERROR(VALUE(SUBSTITUTE(TRIM('수출입 실적(품목별)'!D109),",","")),"")</f>
        <v>50.6</v>
      </c>
      <c r="H105" s="19" t="n">
        <f aca="false">IFERROR(VALUE(SUBSTITUTE(TRIM('수출입 실적(품목별)'!E109),",","")),"")</f>
        <v>210</v>
      </c>
      <c r="I105" s="18" t="n">
        <f aca="false">IFERROR(VALUE(SUBSTITUTE(TRIM('수출입 실적(품목별)'!F109),",","")),"")</f>
        <v>5836.4</v>
      </c>
      <c r="J105" s="19" t="n">
        <f aca="false">IFERROR(VALUE(SUBSTITUTE(TRIM('수출입 실적(품목별)'!G109),",","")),"")</f>
        <v>14195</v>
      </c>
      <c r="K105" s="19" t="n">
        <f aca="false">IFERROR(VALUE(SUBSTITUTE(TRIM('수출입 실적(품목별)'!H109),",","")),"")</f>
        <v>-13985</v>
      </c>
    </row>
    <row r="106" customFormat="false" ht="15" hidden="false" customHeight="true" outlineLevel="0" collapsed="false">
      <c r="A106" s="11" t="str">
        <f aca="false">TRIM('수출입 실적(품목별)'!A110)</f>
        <v>2024.02</v>
      </c>
      <c r="B106" s="17" t="n">
        <f aca="false">IFERROR(VALUE(LEFT($A106,4)),"")</f>
        <v>2024</v>
      </c>
      <c r="C106" s="17" t="n">
        <f aca="false">IFERROR(VALUE(RIGHT($A106,2)),"")</f>
        <v>2</v>
      </c>
      <c r="D106" s="17" t="n">
        <f aca="false">IFERROR(ROUNDUP($C106/3,0),"")</f>
        <v>1</v>
      </c>
      <c r="E106" s="11" t="str">
        <f aca="false">TRIM('수출입 실적(품목별)'!B110)</f>
        <v>07</v>
      </c>
      <c r="F106" s="11" t="str">
        <f aca="false">TRIM('수출입 실적(품목별)'!C110)</f>
        <v>식용의 채소ㆍ뿌리ㆍ괴경(塊莖)</v>
      </c>
      <c r="G106" s="18" t="n">
        <f aca="false">IFERROR(VALUE(SUBSTITUTE(TRIM('수출입 실적(품목별)'!D110),",","")),"")</f>
        <v>3427.6</v>
      </c>
      <c r="H106" s="19" t="n">
        <f aca="false">IFERROR(VALUE(SUBSTITUTE(TRIM('수출입 실적(품목별)'!E110),",","")),"")</f>
        <v>9624</v>
      </c>
      <c r="I106" s="18" t="n">
        <f aca="false">IFERROR(VALUE(SUBSTITUTE(TRIM('수출입 실적(품목별)'!F110),",","")),"")</f>
        <v>63719.4</v>
      </c>
      <c r="J106" s="19" t="n">
        <f aca="false">IFERROR(VALUE(SUBSTITUTE(TRIM('수출입 실적(품목별)'!G110),",","")),"")</f>
        <v>57438</v>
      </c>
      <c r="K106" s="19" t="n">
        <f aca="false">IFERROR(VALUE(SUBSTITUTE(TRIM('수출입 실적(품목별)'!H110),",","")),"")</f>
        <v>-47813</v>
      </c>
    </row>
    <row r="107" customFormat="false" ht="15" hidden="false" customHeight="true" outlineLevel="0" collapsed="false">
      <c r="A107" s="11" t="str">
        <f aca="false">TRIM('수출입 실적(품목별)'!A111)</f>
        <v>2024.02</v>
      </c>
      <c r="B107" s="17" t="n">
        <f aca="false">IFERROR(VALUE(LEFT($A107,4)),"")</f>
        <v>2024</v>
      </c>
      <c r="C107" s="17" t="n">
        <f aca="false">IFERROR(VALUE(RIGHT($A107,2)),"")</f>
        <v>2</v>
      </c>
      <c r="D107" s="17" t="n">
        <f aca="false">IFERROR(ROUNDUP($C107/3,0),"")</f>
        <v>1</v>
      </c>
      <c r="E107" s="11" t="str">
        <f aca="false">TRIM('수출입 실적(품목별)'!B111)</f>
        <v>08</v>
      </c>
      <c r="F107" s="11" t="str">
        <f aca="false">TRIM('수출입 실적(품목별)'!C111)</f>
        <v>식용의 과실과 견과류, 감귤류ㆍ멜론의 껍질</v>
      </c>
      <c r="G107" s="18" t="n">
        <f aca="false">IFERROR(VALUE(SUBSTITUTE(TRIM('수출입 실적(품목별)'!D111),",","")),"")</f>
        <v>1544.8</v>
      </c>
      <c r="H107" s="19" t="n">
        <f aca="false">IFERROR(VALUE(SUBSTITUTE(TRIM('수출입 실적(품목별)'!E111),",","")),"")</f>
        <v>18098</v>
      </c>
      <c r="I107" s="18" t="n">
        <f aca="false">IFERROR(VALUE(SUBSTITUTE(TRIM('수출입 실적(품목별)'!F111),",","")),"")</f>
        <v>69429.5</v>
      </c>
      <c r="J107" s="19" t="n">
        <f aca="false">IFERROR(VALUE(SUBSTITUTE(TRIM('수출입 실적(품목별)'!G111),",","")),"")</f>
        <v>149910</v>
      </c>
      <c r="K107" s="19" t="n">
        <f aca="false">IFERROR(VALUE(SUBSTITUTE(TRIM('수출입 실적(품목별)'!H111),",","")),"")</f>
        <v>-131812</v>
      </c>
    </row>
    <row r="108" customFormat="false" ht="15" hidden="false" customHeight="true" outlineLevel="0" collapsed="false">
      <c r="A108" s="11" t="str">
        <f aca="false">TRIM('수출입 실적(품목별)'!A112)</f>
        <v>2024.02</v>
      </c>
      <c r="B108" s="17" t="n">
        <f aca="false">IFERROR(VALUE(LEFT($A108,4)),"")</f>
        <v>2024</v>
      </c>
      <c r="C108" s="17" t="n">
        <f aca="false">IFERROR(VALUE(RIGHT($A108,2)),"")</f>
        <v>2</v>
      </c>
      <c r="D108" s="17" t="n">
        <f aca="false">IFERROR(ROUNDUP($C108/3,0),"")</f>
        <v>1</v>
      </c>
      <c r="E108" s="11" t="str">
        <f aca="false">TRIM('수출입 실적(품목별)'!B112)</f>
        <v>09</v>
      </c>
      <c r="F108" s="11" t="str">
        <f aca="false">TRIM('수출입 실적(품목별)'!C112)</f>
        <v>커피ㆍ차ㆍ마테(maté)ㆍ향신료</v>
      </c>
      <c r="G108" s="18" t="n">
        <f aca="false">IFERROR(VALUE(SUBSTITUTE(TRIM('수출입 실적(품목별)'!D112),",","")),"")</f>
        <v>366.7</v>
      </c>
      <c r="H108" s="19" t="n">
        <f aca="false">IFERROR(VALUE(SUBSTITUTE(TRIM('수출입 실적(품목별)'!E112),",","")),"")</f>
        <v>3019</v>
      </c>
      <c r="I108" s="18" t="n">
        <f aca="false">IFERROR(VALUE(SUBSTITUTE(TRIM('수출입 실적(품목별)'!F112),",","")),"")</f>
        <v>16446.1</v>
      </c>
      <c r="J108" s="19" t="n">
        <f aca="false">IFERROR(VALUE(SUBSTITUTE(TRIM('수출입 실적(품목별)'!G112),",","")),"")</f>
        <v>83805</v>
      </c>
      <c r="K108" s="19" t="n">
        <f aca="false">IFERROR(VALUE(SUBSTITUTE(TRIM('수출입 실적(품목별)'!H112),",","")),"")</f>
        <v>-80786</v>
      </c>
    </row>
    <row r="109" customFormat="false" ht="15" hidden="false" customHeight="true" outlineLevel="0" collapsed="false">
      <c r="A109" s="11" t="str">
        <f aca="false">TRIM('수출입 실적(품목별)'!A113)</f>
        <v>2024.02</v>
      </c>
      <c r="B109" s="17" t="n">
        <f aca="false">IFERROR(VALUE(LEFT($A109,4)),"")</f>
        <v>2024</v>
      </c>
      <c r="C109" s="17" t="n">
        <f aca="false">IFERROR(VALUE(RIGHT($A109,2)),"")</f>
        <v>2</v>
      </c>
      <c r="D109" s="17" t="n">
        <f aca="false">IFERROR(ROUNDUP($C109/3,0),"")</f>
        <v>1</v>
      </c>
      <c r="E109" s="11" t="str">
        <f aca="false">TRIM('수출입 실적(품목별)'!B113)</f>
        <v>10</v>
      </c>
      <c r="F109" s="11" t="str">
        <f aca="false">TRIM('수출입 실적(품목별)'!C113)</f>
        <v>곡물</v>
      </c>
      <c r="G109" s="18" t="n">
        <f aca="false">IFERROR(VALUE(SUBSTITUTE(TRIM('수출입 실적(품목별)'!D113),",","")),"")</f>
        <v>479.8</v>
      </c>
      <c r="H109" s="19" t="n">
        <f aca="false">IFERROR(VALUE(SUBSTITUTE(TRIM('수출입 실적(품목별)'!E113),",","")),"")</f>
        <v>1127</v>
      </c>
      <c r="I109" s="18" t="n">
        <f aca="false">IFERROR(VALUE(SUBSTITUTE(TRIM('수출입 실적(품목별)'!F113),",","")),"")</f>
        <v>1401381.1</v>
      </c>
      <c r="J109" s="19" t="n">
        <f aca="false">IFERROR(VALUE(SUBSTITUTE(TRIM('수출입 실적(품목별)'!G113),",","")),"")</f>
        <v>383110</v>
      </c>
      <c r="K109" s="19" t="n">
        <f aca="false">IFERROR(VALUE(SUBSTITUTE(TRIM('수출입 실적(품목별)'!H113),",","")),"")</f>
        <v>-381983</v>
      </c>
    </row>
    <row r="110" customFormat="false" ht="15" hidden="false" customHeight="true" outlineLevel="0" collapsed="false">
      <c r="A110" s="11" t="str">
        <f aca="false">TRIM('수출입 실적(품목별)'!A114)</f>
        <v>2024.02</v>
      </c>
      <c r="B110" s="17" t="n">
        <f aca="false">IFERROR(VALUE(LEFT($A110,4)),"")</f>
        <v>2024</v>
      </c>
      <c r="C110" s="17" t="n">
        <f aca="false">IFERROR(VALUE(RIGHT($A110,2)),"")</f>
        <v>2</v>
      </c>
      <c r="D110" s="17" t="n">
        <f aca="false">IFERROR(ROUNDUP($C110/3,0),"")</f>
        <v>1</v>
      </c>
      <c r="E110" s="11" t="str">
        <f aca="false">TRIM('수출입 실적(품목별)'!B114)</f>
        <v>11</v>
      </c>
      <c r="F110" s="11" t="str">
        <f aca="false">TRIM('수출입 실적(품목별)'!C114)</f>
        <v>제분공업의 생산품과 맥아, 전분, 이눌린(inulin), 밀의 글루텐(gluten)</v>
      </c>
      <c r="G110" s="18" t="n">
        <f aca="false">IFERROR(VALUE(SUBSTITUTE(TRIM('수출입 실적(품목별)'!D114),",","")),"")</f>
        <v>5924.6</v>
      </c>
      <c r="H110" s="19" t="n">
        <f aca="false">IFERROR(VALUE(SUBSTITUTE(TRIM('수출입 실적(품목별)'!E114),",","")),"")</f>
        <v>4179</v>
      </c>
      <c r="I110" s="18" t="n">
        <f aca="false">IFERROR(VALUE(SUBSTITUTE(TRIM('수출입 실적(품목별)'!F114),",","")),"")</f>
        <v>25621</v>
      </c>
      <c r="J110" s="19" t="n">
        <f aca="false">IFERROR(VALUE(SUBSTITUTE(TRIM('수출입 실적(품목별)'!G114),",","")),"")</f>
        <v>21934</v>
      </c>
      <c r="K110" s="19" t="n">
        <f aca="false">IFERROR(VALUE(SUBSTITUTE(TRIM('수출입 실적(품목별)'!H114),",","")),"")</f>
        <v>-17755</v>
      </c>
    </row>
    <row r="111" customFormat="false" ht="15" hidden="false" customHeight="true" outlineLevel="0" collapsed="false">
      <c r="A111" s="11" t="str">
        <f aca="false">TRIM('수출입 실적(품목별)'!A115)</f>
        <v>2024.02</v>
      </c>
      <c r="B111" s="17" t="n">
        <f aca="false">IFERROR(VALUE(LEFT($A111,4)),"")</f>
        <v>2024</v>
      </c>
      <c r="C111" s="17" t="n">
        <f aca="false">IFERROR(VALUE(RIGHT($A111,2)),"")</f>
        <v>2</v>
      </c>
      <c r="D111" s="17" t="n">
        <f aca="false">IFERROR(ROUNDUP($C111/3,0),"")</f>
        <v>1</v>
      </c>
      <c r="E111" s="11" t="str">
        <f aca="false">TRIM('수출입 실적(품목별)'!B115)</f>
        <v>12</v>
      </c>
      <c r="F111" s="11" t="str">
        <f aca="false">TRIM('수출입 실적(품목별)'!C115)</f>
        <v>채유(採油)에 적합한 종자와 과실, 각종 종자와 과실, 공업용ㆍ의약용 식물, 짚과 사료용 식물</v>
      </c>
      <c r="G111" s="18" t="n">
        <f aca="false">IFERROR(VALUE(SUBSTITUTE(TRIM('수출입 실적(품목별)'!D115),",","")),"")</f>
        <v>1875</v>
      </c>
      <c r="H111" s="19" t="n">
        <f aca="false">IFERROR(VALUE(SUBSTITUTE(TRIM('수출입 실적(품목별)'!E115),",","")),"")</f>
        <v>34253</v>
      </c>
      <c r="I111" s="18" t="n">
        <f aca="false">IFERROR(VALUE(SUBSTITUTE(TRIM('수출입 실적(품목별)'!F115),",","")),"")</f>
        <v>189009.7</v>
      </c>
      <c r="J111" s="19" t="n">
        <f aca="false">IFERROR(VALUE(SUBSTITUTE(TRIM('수출입 실적(품목별)'!G115),",","")),"")</f>
        <v>119309</v>
      </c>
      <c r="K111" s="19" t="n">
        <f aca="false">IFERROR(VALUE(SUBSTITUTE(TRIM('수출입 실적(품목별)'!H115),",","")),"")</f>
        <v>-85055</v>
      </c>
    </row>
    <row r="112" customFormat="false" ht="15" hidden="false" customHeight="true" outlineLevel="0" collapsed="false">
      <c r="A112" s="11" t="str">
        <f aca="false">TRIM('수출입 실적(품목별)'!A116)</f>
        <v>2024.02</v>
      </c>
      <c r="B112" s="17" t="n">
        <f aca="false">IFERROR(VALUE(LEFT($A112,4)),"")</f>
        <v>2024</v>
      </c>
      <c r="C112" s="17" t="n">
        <f aca="false">IFERROR(VALUE(RIGHT($A112,2)),"")</f>
        <v>2</v>
      </c>
      <c r="D112" s="17" t="n">
        <f aca="false">IFERROR(ROUNDUP($C112/3,0),"")</f>
        <v>1</v>
      </c>
      <c r="E112" s="11" t="str">
        <f aca="false">TRIM('수출입 실적(품목별)'!B116)</f>
        <v>13</v>
      </c>
      <c r="F112" s="11" t="str">
        <f aca="false">TRIM('수출입 실적(품목별)'!C116)</f>
        <v>락(lac), 검ㆍ수지ㆍ그 밖의 식물성 수액과 추출물(extract)</v>
      </c>
      <c r="G112" s="18" t="n">
        <f aca="false">IFERROR(VALUE(SUBSTITUTE(TRIM('수출입 실적(품목별)'!D116),",","")),"")</f>
        <v>361.7</v>
      </c>
      <c r="H112" s="19" t="n">
        <f aca="false">IFERROR(VALUE(SUBSTITUTE(TRIM('수출입 실적(품목별)'!E116),",","")),"")</f>
        <v>8140</v>
      </c>
      <c r="I112" s="18" t="n">
        <f aca="false">IFERROR(VALUE(SUBSTITUTE(TRIM('수출입 실적(품목별)'!F116),",","")),"")</f>
        <v>11200</v>
      </c>
      <c r="J112" s="19" t="n">
        <f aca="false">IFERROR(VALUE(SUBSTITUTE(TRIM('수출입 실적(품목별)'!G116),",","")),"")</f>
        <v>25635</v>
      </c>
      <c r="K112" s="19" t="n">
        <f aca="false">IFERROR(VALUE(SUBSTITUTE(TRIM('수출입 실적(품목별)'!H116),",","")),"")</f>
        <v>-17495</v>
      </c>
    </row>
    <row r="113" customFormat="false" ht="15" hidden="false" customHeight="true" outlineLevel="0" collapsed="false">
      <c r="A113" s="11" t="str">
        <f aca="false">TRIM('수출입 실적(품목별)'!A117)</f>
        <v>2024.02</v>
      </c>
      <c r="B113" s="17" t="n">
        <f aca="false">IFERROR(VALUE(LEFT($A113,4)),"")</f>
        <v>2024</v>
      </c>
      <c r="C113" s="17" t="n">
        <f aca="false">IFERROR(VALUE(RIGHT($A113,2)),"")</f>
        <v>2</v>
      </c>
      <c r="D113" s="17" t="n">
        <f aca="false">IFERROR(ROUNDUP($C113/3,0),"")</f>
        <v>1</v>
      </c>
      <c r="E113" s="11" t="str">
        <f aca="false">TRIM('수출입 실적(품목별)'!B117)</f>
        <v>14</v>
      </c>
      <c r="F113" s="11" t="str">
        <f aca="false">TRIM('수출입 실적(품목별)'!C117)</f>
        <v>식물성 편조물(編組物)용 재료와 다른 류로 분류되지 않은 식물성 생산품</v>
      </c>
      <c r="G113" s="18" t="n">
        <f aca="false">IFERROR(VALUE(SUBSTITUTE(TRIM('수출입 실적(품목별)'!D117),",","")),"")</f>
        <v>12.9</v>
      </c>
      <c r="H113" s="19" t="n">
        <f aca="false">IFERROR(VALUE(SUBSTITUTE(TRIM('수출입 실적(품목별)'!E117),",","")),"")</f>
        <v>12</v>
      </c>
      <c r="I113" s="18" t="n">
        <f aca="false">IFERROR(VALUE(SUBSTITUTE(TRIM('수출입 실적(품목별)'!F117),",","")),"")</f>
        <v>12028.1</v>
      </c>
      <c r="J113" s="19" t="n">
        <f aca="false">IFERROR(VALUE(SUBSTITUTE(TRIM('수출입 실적(품목별)'!G117),",","")),"")</f>
        <v>3120</v>
      </c>
      <c r="K113" s="19" t="n">
        <f aca="false">IFERROR(VALUE(SUBSTITUTE(TRIM('수출입 실적(품목별)'!H117),",","")),"")</f>
        <v>-3108</v>
      </c>
    </row>
    <row r="114" customFormat="false" ht="15" hidden="false" customHeight="true" outlineLevel="0" collapsed="false">
      <c r="A114" s="11" t="str">
        <f aca="false">TRIM('수출입 실적(품목별)'!A118)</f>
        <v>2024.02</v>
      </c>
      <c r="B114" s="17" t="n">
        <f aca="false">IFERROR(VALUE(LEFT($A114,4)),"")</f>
        <v>2024</v>
      </c>
      <c r="C114" s="17" t="n">
        <f aca="false">IFERROR(VALUE(RIGHT($A114,2)),"")</f>
        <v>2</v>
      </c>
      <c r="D114" s="17" t="n">
        <f aca="false">IFERROR(ROUNDUP($C114/3,0),"")</f>
        <v>1</v>
      </c>
      <c r="E114" s="11" t="str">
        <f aca="false">TRIM('수출입 실적(품목별)'!B118)</f>
        <v>15</v>
      </c>
      <c r="F114" s="11" t="str">
        <f aca="false">TRIM('수출입 실적(품목별)'!C118)</f>
        <v>동물성ㆍ식물성ㆍ미생물성 지방과 기름 및이들의 분해생산물, 조제한 식용 지방과 동물성ㆍ식물성 왁스</v>
      </c>
      <c r="G114" s="18" t="n">
        <f aca="false">IFERROR(VALUE(SUBSTITUTE(TRIM('수출입 실적(품목별)'!D118),",","")),"")</f>
        <v>10083.7</v>
      </c>
      <c r="H114" s="19" t="n">
        <f aca="false">IFERROR(VALUE(SUBSTITUTE(TRIM('수출입 실적(품목별)'!E118),",","")),"")</f>
        <v>11664</v>
      </c>
      <c r="I114" s="18" t="n">
        <f aca="false">IFERROR(VALUE(SUBSTITUTE(TRIM('수출입 실적(품목별)'!F118),",","")),"")</f>
        <v>128526.8</v>
      </c>
      <c r="J114" s="19" t="n">
        <f aca="false">IFERROR(VALUE(SUBSTITUTE(TRIM('수출입 실적(품목별)'!G118),",","")),"")</f>
        <v>150487</v>
      </c>
      <c r="K114" s="19" t="n">
        <f aca="false">IFERROR(VALUE(SUBSTITUTE(TRIM('수출입 실적(품목별)'!H118),",","")),"")</f>
        <v>-138823</v>
      </c>
    </row>
    <row r="115" customFormat="false" ht="15" hidden="false" customHeight="true" outlineLevel="0" collapsed="false">
      <c r="A115" s="11" t="str">
        <f aca="false">TRIM('수출입 실적(품목별)'!A119)</f>
        <v>2024.02</v>
      </c>
      <c r="B115" s="17" t="n">
        <f aca="false">IFERROR(VALUE(LEFT($A115,4)),"")</f>
        <v>2024</v>
      </c>
      <c r="C115" s="17" t="n">
        <f aca="false">IFERROR(VALUE(RIGHT($A115,2)),"")</f>
        <v>2</v>
      </c>
      <c r="D115" s="17" t="n">
        <f aca="false">IFERROR(ROUNDUP($C115/3,0),"")</f>
        <v>1</v>
      </c>
      <c r="E115" s="11" t="str">
        <f aca="false">TRIM('수출입 실적(품목별)'!B119)</f>
        <v>16</v>
      </c>
      <c r="F115" s="11" t="str">
        <f aca="false">TRIM('수출입 실적(품목별)'!C119)</f>
        <v>육류ㆍ어류ㆍ갑각류ㆍ연체동물이나 그 밖의 수생(水生) 무척추동물 또는 곤충의 조제품</v>
      </c>
      <c r="G115" s="18" t="n">
        <f aca="false">IFERROR(VALUE(SUBSTITUTE(TRIM('수출입 실적(품목별)'!D119),",","")),"")</f>
        <v>3940.8</v>
      </c>
      <c r="H115" s="19" t="n">
        <f aca="false">IFERROR(VALUE(SUBSTITUTE(TRIM('수출입 실적(품목별)'!E119),",","")),"")</f>
        <v>22662</v>
      </c>
      <c r="I115" s="18" t="n">
        <f aca="false">IFERROR(VALUE(SUBSTITUTE(TRIM('수출입 실적(품목별)'!F119),",","")),"")</f>
        <v>12309.1</v>
      </c>
      <c r="J115" s="19" t="n">
        <f aca="false">IFERROR(VALUE(SUBSTITUTE(TRIM('수출입 실적(품목별)'!G119),",","")),"")</f>
        <v>67357</v>
      </c>
      <c r="K115" s="19" t="n">
        <f aca="false">IFERROR(VALUE(SUBSTITUTE(TRIM('수출입 실적(품목별)'!H119),",","")),"")</f>
        <v>-44695</v>
      </c>
    </row>
    <row r="116" customFormat="false" ht="15" hidden="false" customHeight="true" outlineLevel="0" collapsed="false">
      <c r="A116" s="11" t="str">
        <f aca="false">TRIM('수출입 실적(품목별)'!A120)</f>
        <v>2024.02</v>
      </c>
      <c r="B116" s="17" t="n">
        <f aca="false">IFERROR(VALUE(LEFT($A116,4)),"")</f>
        <v>2024</v>
      </c>
      <c r="C116" s="17" t="n">
        <f aca="false">IFERROR(VALUE(RIGHT($A116,2)),"")</f>
        <v>2</v>
      </c>
      <c r="D116" s="17" t="n">
        <f aca="false">IFERROR(ROUNDUP($C116/3,0),"")</f>
        <v>1</v>
      </c>
      <c r="E116" s="11" t="str">
        <f aca="false">TRIM('수출입 실적(품목별)'!B120)</f>
        <v>17</v>
      </c>
      <c r="F116" s="11" t="str">
        <f aca="false">TRIM('수출입 실적(품목별)'!C120)</f>
        <v>당류(糖類)와 설탕과자</v>
      </c>
      <c r="G116" s="18" t="n">
        <f aca="false">IFERROR(VALUE(SUBSTITUTE(TRIM('수출입 실적(품목별)'!D120),",","")),"")</f>
        <v>30106.3</v>
      </c>
      <c r="H116" s="19" t="n">
        <f aca="false">IFERROR(VALUE(SUBSTITUTE(TRIM('수출입 실적(품목별)'!E120),",","")),"")</f>
        <v>28636</v>
      </c>
      <c r="I116" s="18" t="n">
        <f aca="false">IFERROR(VALUE(SUBSTITUTE(TRIM('수출입 실적(품목별)'!F120),",","")),"")</f>
        <v>197461.1</v>
      </c>
      <c r="J116" s="19" t="n">
        <f aca="false">IFERROR(VALUE(SUBSTITUTE(TRIM('수출입 실적(품목별)'!G120),",","")),"")</f>
        <v>136443</v>
      </c>
      <c r="K116" s="19" t="n">
        <f aca="false">IFERROR(VALUE(SUBSTITUTE(TRIM('수출입 실적(품목별)'!H120),",","")),"")</f>
        <v>-107807</v>
      </c>
    </row>
    <row r="117" customFormat="false" ht="15" hidden="false" customHeight="true" outlineLevel="0" collapsed="false">
      <c r="A117" s="11" t="str">
        <f aca="false">TRIM('수출입 실적(품목별)'!A121)</f>
        <v>2024.02</v>
      </c>
      <c r="B117" s="17" t="n">
        <f aca="false">IFERROR(VALUE(LEFT($A117,4)),"")</f>
        <v>2024</v>
      </c>
      <c r="C117" s="17" t="n">
        <f aca="false">IFERROR(VALUE(RIGHT($A117,2)),"")</f>
        <v>2</v>
      </c>
      <c r="D117" s="17" t="n">
        <f aca="false">IFERROR(ROUNDUP($C117/3,0),"")</f>
        <v>1</v>
      </c>
      <c r="E117" s="11" t="str">
        <f aca="false">TRIM('수출입 실적(품목별)'!B121)</f>
        <v>18</v>
      </c>
      <c r="F117" s="11" t="str">
        <f aca="false">TRIM('수출입 실적(품목별)'!C121)</f>
        <v>코코아와 그 조제품</v>
      </c>
      <c r="G117" s="18" t="n">
        <f aca="false">IFERROR(VALUE(SUBSTITUTE(TRIM('수출입 실적(품목별)'!D121),",","")),"")</f>
        <v>1356.9</v>
      </c>
      <c r="H117" s="19" t="n">
        <f aca="false">IFERROR(VALUE(SUBSTITUTE(TRIM('수출입 실적(품목별)'!E121),",","")),"")</f>
        <v>4394</v>
      </c>
      <c r="I117" s="18" t="n">
        <f aca="false">IFERROR(VALUE(SUBSTITUTE(TRIM('수출입 실적(품목별)'!F121),",","")),"")</f>
        <v>5242</v>
      </c>
      <c r="J117" s="19" t="n">
        <f aca="false">IFERROR(VALUE(SUBSTITUTE(TRIM('수출입 실적(품목별)'!G121),",","")),"")</f>
        <v>34961</v>
      </c>
      <c r="K117" s="19" t="n">
        <f aca="false">IFERROR(VALUE(SUBSTITUTE(TRIM('수출입 실적(품목별)'!H121),",","")),"")</f>
        <v>-30566</v>
      </c>
    </row>
    <row r="118" customFormat="false" ht="15" hidden="false" customHeight="true" outlineLevel="0" collapsed="false">
      <c r="A118" s="11" t="str">
        <f aca="false">TRIM('수출입 실적(품목별)'!A122)</f>
        <v>2024.02</v>
      </c>
      <c r="B118" s="17" t="n">
        <f aca="false">IFERROR(VALUE(LEFT($A118,4)),"")</f>
        <v>2024</v>
      </c>
      <c r="C118" s="17" t="n">
        <f aca="false">IFERROR(VALUE(RIGHT($A118,2)),"")</f>
        <v>2</v>
      </c>
      <c r="D118" s="17" t="n">
        <f aca="false">IFERROR(ROUNDUP($C118/3,0),"")</f>
        <v>1</v>
      </c>
      <c r="E118" s="11" t="str">
        <f aca="false">TRIM('수출입 실적(품목별)'!B122)</f>
        <v>19</v>
      </c>
      <c r="F118" s="11" t="str">
        <f aca="false">TRIM('수출입 실적(품목별)'!C122)</f>
        <v>곡물ㆍ고운 가루ㆍ전분ㆍ밀크의 조제품과 베이커리 제품</v>
      </c>
      <c r="G118" s="18" t="n">
        <f aca="false">IFERROR(VALUE(SUBSTITUTE(TRIM('수출입 실적(품목별)'!D122),",","")),"")</f>
        <v>44592.6</v>
      </c>
      <c r="H118" s="19" t="n">
        <f aca="false">IFERROR(VALUE(SUBSTITUTE(TRIM('수출입 실적(품목별)'!E122),",","")),"")</f>
        <v>179549</v>
      </c>
      <c r="I118" s="18" t="n">
        <f aca="false">IFERROR(VALUE(SUBSTITUTE(TRIM('수출입 실적(품목별)'!F122),",","")),"")</f>
        <v>22857</v>
      </c>
      <c r="J118" s="19" t="n">
        <f aca="false">IFERROR(VALUE(SUBSTITUTE(TRIM('수출입 실적(품목별)'!G122),",","")),"")</f>
        <v>77015</v>
      </c>
      <c r="K118" s="19" t="n">
        <f aca="false">IFERROR(VALUE(SUBSTITUTE(TRIM('수출입 실적(품목별)'!H122),",","")),"")</f>
        <v>102534</v>
      </c>
    </row>
    <row r="119" customFormat="false" ht="15" hidden="false" customHeight="true" outlineLevel="0" collapsed="false">
      <c r="A119" s="11" t="str">
        <f aca="false">TRIM('수출입 실적(품목별)'!A123)</f>
        <v>2024.02</v>
      </c>
      <c r="B119" s="17" t="n">
        <f aca="false">IFERROR(VALUE(LEFT($A119,4)),"")</f>
        <v>2024</v>
      </c>
      <c r="C119" s="17" t="n">
        <f aca="false">IFERROR(VALUE(RIGHT($A119,2)),"")</f>
        <v>2</v>
      </c>
      <c r="D119" s="17" t="n">
        <f aca="false">IFERROR(ROUNDUP($C119/3,0),"")</f>
        <v>1</v>
      </c>
      <c r="E119" s="11" t="str">
        <f aca="false">TRIM('수출입 실적(품목별)'!B123)</f>
        <v>20</v>
      </c>
      <c r="F119" s="11" t="str">
        <f aca="false">TRIM('수출입 실적(품목별)'!C123)</f>
        <v>채소ㆍ과실ㆍ견과류나 식물의그 밖의 부분의 조제품</v>
      </c>
      <c r="G119" s="18" t="n">
        <f aca="false">IFERROR(VALUE(SUBSTITUTE(TRIM('수출입 실적(품목별)'!D123),",","")),"")</f>
        <v>9853.4</v>
      </c>
      <c r="H119" s="19" t="n">
        <f aca="false">IFERROR(VALUE(SUBSTITUTE(TRIM('수출입 실적(품목별)'!E123),",","")),"")</f>
        <v>73877</v>
      </c>
      <c r="I119" s="18" t="n">
        <f aca="false">IFERROR(VALUE(SUBSTITUTE(TRIM('수출입 실적(품목별)'!F123),",","")),"")</f>
        <v>77995.8</v>
      </c>
      <c r="J119" s="19" t="n">
        <f aca="false">IFERROR(VALUE(SUBSTITUTE(TRIM('수출입 실적(품목별)'!G123),",","")),"")</f>
        <v>109161</v>
      </c>
      <c r="K119" s="19" t="n">
        <f aca="false">IFERROR(VALUE(SUBSTITUTE(TRIM('수출입 실적(품목별)'!H123),",","")),"")</f>
        <v>-35284</v>
      </c>
    </row>
    <row r="120" customFormat="false" ht="15" hidden="false" customHeight="true" outlineLevel="0" collapsed="false">
      <c r="A120" s="11" t="str">
        <f aca="false">TRIM('수출입 실적(품목별)'!A124)</f>
        <v>2024.02</v>
      </c>
      <c r="B120" s="17" t="n">
        <f aca="false">IFERROR(VALUE(LEFT($A120,4)),"")</f>
        <v>2024</v>
      </c>
      <c r="C120" s="17" t="n">
        <f aca="false">IFERROR(VALUE(RIGHT($A120,2)),"")</f>
        <v>2</v>
      </c>
      <c r="D120" s="17" t="n">
        <f aca="false">IFERROR(ROUNDUP($C120/3,0),"")</f>
        <v>1</v>
      </c>
      <c r="E120" s="11" t="str">
        <f aca="false">TRIM('수출입 실적(품목별)'!B124)</f>
        <v>21</v>
      </c>
      <c r="F120" s="11" t="str">
        <f aca="false">TRIM('수출입 실적(품목별)'!C124)</f>
        <v>각종 조제 식료품</v>
      </c>
      <c r="G120" s="18" t="n">
        <f aca="false">IFERROR(VALUE(SUBSTITUTE(TRIM('수출입 실적(품목별)'!D124),",","")),"")</f>
        <v>33450.6</v>
      </c>
      <c r="H120" s="19" t="n">
        <f aca="false">IFERROR(VALUE(SUBSTITUTE(TRIM('수출입 실적(품목별)'!E124),",","")),"")</f>
        <v>131030</v>
      </c>
      <c r="I120" s="18" t="n">
        <f aca="false">IFERROR(VALUE(SUBSTITUTE(TRIM('수출입 실적(품목별)'!F124),",","")),"")</f>
        <v>27237.6</v>
      </c>
      <c r="J120" s="19" t="n">
        <f aca="false">IFERROR(VALUE(SUBSTITUTE(TRIM('수출입 실적(품목별)'!G124),",","")),"")</f>
        <v>221782</v>
      </c>
      <c r="K120" s="19" t="n">
        <f aca="false">IFERROR(VALUE(SUBSTITUTE(TRIM('수출입 실적(품목별)'!H124),",","")),"")</f>
        <v>-90752</v>
      </c>
    </row>
    <row r="121" customFormat="false" ht="15" hidden="false" customHeight="true" outlineLevel="0" collapsed="false">
      <c r="A121" s="11" t="str">
        <f aca="false">TRIM('수출입 실적(품목별)'!A125)</f>
        <v>2024.02</v>
      </c>
      <c r="B121" s="17" t="n">
        <f aca="false">IFERROR(VALUE(LEFT($A121,4)),"")</f>
        <v>2024</v>
      </c>
      <c r="C121" s="17" t="n">
        <f aca="false">IFERROR(VALUE(RIGHT($A121,2)),"")</f>
        <v>2</v>
      </c>
      <c r="D121" s="17" t="n">
        <f aca="false">IFERROR(ROUNDUP($C121/3,0),"")</f>
        <v>1</v>
      </c>
      <c r="E121" s="11" t="str">
        <f aca="false">TRIM('수출입 실적(품목별)'!B125)</f>
        <v>22</v>
      </c>
      <c r="F121" s="11" t="str">
        <f aca="false">TRIM('수출입 실적(품목별)'!C125)</f>
        <v>음료ㆍ주류ㆍ식초</v>
      </c>
      <c r="G121" s="18" t="n">
        <f aca="false">IFERROR(VALUE(SUBSTITUTE(TRIM('수출입 실적(품목별)'!D125),",","")),"")</f>
        <v>71095.6</v>
      </c>
      <c r="H121" s="19" t="n">
        <f aca="false">IFERROR(VALUE(SUBSTITUTE(TRIM('수출입 실적(품목별)'!E125),",","")),"")</f>
        <v>86389</v>
      </c>
      <c r="I121" s="18" t="n">
        <f aca="false">IFERROR(VALUE(SUBSTITUTE(TRIM('수출입 실적(품목별)'!F125),",","")),"")</f>
        <v>82369</v>
      </c>
      <c r="J121" s="19" t="n">
        <f aca="false">IFERROR(VALUE(SUBSTITUTE(TRIM('수출입 실적(품목별)'!G125),",","")),"")</f>
        <v>110688</v>
      </c>
      <c r="K121" s="19" t="n">
        <f aca="false">IFERROR(VALUE(SUBSTITUTE(TRIM('수출입 실적(품목별)'!H125),",","")),"")</f>
        <v>-24299</v>
      </c>
    </row>
    <row r="122" customFormat="false" ht="15" hidden="false" customHeight="true" outlineLevel="0" collapsed="false">
      <c r="A122" s="11" t="str">
        <f aca="false">TRIM('수출입 실적(품목별)'!A126)</f>
        <v>2024.02</v>
      </c>
      <c r="B122" s="17" t="n">
        <f aca="false">IFERROR(VALUE(LEFT($A122,4)),"")</f>
        <v>2024</v>
      </c>
      <c r="C122" s="17" t="n">
        <f aca="false">IFERROR(VALUE(RIGHT($A122,2)),"")</f>
        <v>2</v>
      </c>
      <c r="D122" s="17" t="n">
        <f aca="false">IFERROR(ROUNDUP($C122/3,0),"")</f>
        <v>1</v>
      </c>
      <c r="E122" s="11" t="str">
        <f aca="false">TRIM('수출입 실적(품목별)'!B126)</f>
        <v>23</v>
      </c>
      <c r="F122" s="11" t="str">
        <f aca="false">TRIM('수출입 실적(품목별)'!C126)</f>
        <v>식품 공업에서 생기는 잔재물과 웨이스트(waste), 조제 사료</v>
      </c>
      <c r="G122" s="18" t="n">
        <f aca="false">IFERROR(VALUE(SUBSTITUTE(TRIM('수출입 실적(품목별)'!D126),",","")),"")</f>
        <v>22403.6</v>
      </c>
      <c r="H122" s="19" t="n">
        <f aca="false">IFERROR(VALUE(SUBSTITUTE(TRIM('수출입 실적(품목별)'!E126),",","")),"")</f>
        <v>25342</v>
      </c>
      <c r="I122" s="18" t="n">
        <f aca="false">IFERROR(VALUE(SUBSTITUTE(TRIM('수출입 실적(품목별)'!F126),",","")),"")</f>
        <v>562612.9</v>
      </c>
      <c r="J122" s="19" t="n">
        <f aca="false">IFERROR(VALUE(SUBSTITUTE(TRIM('수출입 실적(품목별)'!G126),",","")),"")</f>
        <v>213072</v>
      </c>
      <c r="K122" s="19" t="n">
        <f aca="false">IFERROR(VALUE(SUBSTITUTE(TRIM('수출입 실적(품목별)'!H126),",","")),"")</f>
        <v>-187730</v>
      </c>
    </row>
    <row r="123" customFormat="false" ht="15" hidden="false" customHeight="true" outlineLevel="0" collapsed="false">
      <c r="A123" s="11" t="str">
        <f aca="false">TRIM('수출입 실적(품목별)'!A127)</f>
        <v>2024.02</v>
      </c>
      <c r="B123" s="17" t="n">
        <f aca="false">IFERROR(VALUE(LEFT($A123,4)),"")</f>
        <v>2024</v>
      </c>
      <c r="C123" s="17" t="n">
        <f aca="false">IFERROR(VALUE(RIGHT($A123,2)),"")</f>
        <v>2</v>
      </c>
      <c r="D123" s="17" t="n">
        <f aca="false">IFERROR(ROUNDUP($C123/3,0),"")</f>
        <v>1</v>
      </c>
      <c r="E123" s="11" t="str">
        <f aca="false">TRIM('수출입 실적(품목별)'!B127)</f>
        <v>24</v>
      </c>
      <c r="F123" s="11" t="str">
        <f aca="false">TRIM('수출입 실적(품목별)'!C127)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23" s="18" t="n">
        <f aca="false">IFERROR(VALUE(SUBSTITUTE(TRIM('수출입 실적(품목별)'!D127),",","")),"")</f>
        <v>8814.1</v>
      </c>
      <c r="H123" s="19" t="n">
        <f aca="false">IFERROR(VALUE(SUBSTITUTE(TRIM('수출입 실적(품목별)'!E127),",","")),"")</f>
        <v>82228</v>
      </c>
      <c r="I123" s="18" t="n">
        <f aca="false">IFERROR(VALUE(SUBSTITUTE(TRIM('수출입 실적(품목별)'!F127),",","")),"")</f>
        <v>9212.8</v>
      </c>
      <c r="J123" s="19" t="n">
        <f aca="false">IFERROR(VALUE(SUBSTITUTE(TRIM('수출입 실적(품목별)'!G127),",","")),"")</f>
        <v>72199</v>
      </c>
      <c r="K123" s="19" t="n">
        <f aca="false">IFERROR(VALUE(SUBSTITUTE(TRIM('수출입 실적(품목별)'!H127),",","")),"")</f>
        <v>10029</v>
      </c>
    </row>
    <row r="124" customFormat="false" ht="15" hidden="false" customHeight="true" outlineLevel="0" collapsed="false">
      <c r="A124" s="11" t="str">
        <f aca="false">TRIM('수출입 실적(품목별)'!A128)</f>
        <v>2024.02</v>
      </c>
      <c r="B124" s="17" t="n">
        <f aca="false">IFERROR(VALUE(LEFT($A124,4)),"")</f>
        <v>2024</v>
      </c>
      <c r="C124" s="17" t="n">
        <f aca="false">IFERROR(VALUE(RIGHT($A124,2)),"")</f>
        <v>2</v>
      </c>
      <c r="D124" s="17" t="n">
        <f aca="false">IFERROR(ROUNDUP($C124/3,0),"")</f>
        <v>1</v>
      </c>
      <c r="E124" s="11" t="str">
        <f aca="false">TRIM('수출입 실적(품목별)'!B128)</f>
        <v>25</v>
      </c>
      <c r="F124" s="11" t="str">
        <f aca="false">TRIM('수출입 실적(품목별)'!C128)</f>
        <v>소금, 황, 토석류(土石類), 석고ㆍ석회ㆍ시멘트</v>
      </c>
      <c r="G124" s="18" t="n">
        <f aca="false">IFERROR(VALUE(SUBSTITUTE(TRIM('수출입 실적(품목별)'!D128),",","")),"")</f>
        <v>450130.4</v>
      </c>
      <c r="H124" s="19" t="n">
        <f aca="false">IFERROR(VALUE(SUBSTITUTE(TRIM('수출입 실적(품목별)'!E128),",","")),"")</f>
        <v>25189</v>
      </c>
      <c r="I124" s="18" t="n">
        <f aca="false">IFERROR(VALUE(SUBSTITUTE(TRIM('수출입 실적(품목별)'!F128),",","")),"")</f>
        <v>863486</v>
      </c>
      <c r="J124" s="19" t="n">
        <f aca="false">IFERROR(VALUE(SUBSTITUTE(TRIM('수출입 실적(품목별)'!G128),",","")),"")</f>
        <v>76307</v>
      </c>
      <c r="K124" s="19" t="n">
        <f aca="false">IFERROR(VALUE(SUBSTITUTE(TRIM('수출입 실적(품목별)'!H128),",","")),"")</f>
        <v>-51118</v>
      </c>
    </row>
    <row r="125" customFormat="false" ht="15" hidden="false" customHeight="true" outlineLevel="0" collapsed="false">
      <c r="A125" s="11" t="str">
        <f aca="false">TRIM('수출입 실적(품목별)'!A129)</f>
        <v>2024.02</v>
      </c>
      <c r="B125" s="17" t="n">
        <f aca="false">IFERROR(VALUE(LEFT($A125,4)),"")</f>
        <v>2024</v>
      </c>
      <c r="C125" s="17" t="n">
        <f aca="false">IFERROR(VALUE(RIGHT($A125,2)),"")</f>
        <v>2</v>
      </c>
      <c r="D125" s="17" t="n">
        <f aca="false">IFERROR(ROUNDUP($C125/3,0),"")</f>
        <v>1</v>
      </c>
      <c r="E125" s="11" t="str">
        <f aca="false">TRIM('수출입 실적(품목별)'!B129)</f>
        <v>26</v>
      </c>
      <c r="F125" s="11" t="str">
        <f aca="false">TRIM('수출입 실적(품목별)'!C129)</f>
        <v>광(鑛)ㆍ슬래그(slag)ㆍ회(灰)</v>
      </c>
      <c r="G125" s="18" t="n">
        <f aca="false">IFERROR(VALUE(SUBSTITUTE(TRIM('수출입 실적(품목별)'!D129),",","")),"")</f>
        <v>182206</v>
      </c>
      <c r="H125" s="19" t="n">
        <f aca="false">IFERROR(VALUE(SUBSTITUTE(TRIM('수출입 실적(품목별)'!E129),",","")),"")</f>
        <v>136990</v>
      </c>
      <c r="I125" s="18" t="n">
        <f aca="false">IFERROR(VALUE(SUBSTITUTE(TRIM('수출입 실적(품목별)'!F129),",","")),"")</f>
        <v>5765097.1</v>
      </c>
      <c r="J125" s="19" t="n">
        <f aca="false">IFERROR(VALUE(SUBSTITUTE(TRIM('수출입 실적(품목별)'!G129),",","")),"")</f>
        <v>1487991</v>
      </c>
      <c r="K125" s="19" t="n">
        <f aca="false">IFERROR(VALUE(SUBSTITUTE(TRIM('수출입 실적(품목별)'!H129),",","")),"")</f>
        <v>-1351001</v>
      </c>
    </row>
    <row r="126" customFormat="false" ht="15" hidden="false" customHeight="true" outlineLevel="0" collapsed="false">
      <c r="A126" s="11" t="str">
        <f aca="false">TRIM('수출입 실적(품목별)'!A130)</f>
        <v>2024.02</v>
      </c>
      <c r="B126" s="17" t="n">
        <f aca="false">IFERROR(VALUE(LEFT($A126,4)),"")</f>
        <v>2024</v>
      </c>
      <c r="C126" s="17" t="n">
        <f aca="false">IFERROR(VALUE(RIGHT($A126,2)),"")</f>
        <v>2</v>
      </c>
      <c r="D126" s="17" t="n">
        <f aca="false">IFERROR(ROUNDUP($C126/3,0),"")</f>
        <v>1</v>
      </c>
      <c r="E126" s="11" t="str">
        <f aca="false">TRIM('수출입 실적(품목별)'!B130)</f>
        <v>27</v>
      </c>
      <c r="F126" s="11" t="str">
        <f aca="false">TRIM('수출입 실적(품목별)'!C130)</f>
        <v>광물성 연료ㆍ광물유(鑛物油)와 이들의 증류물, 역청(瀝靑)물질, 광물성 왁스</v>
      </c>
      <c r="G126" s="18" t="n">
        <f aca="false">IFERROR(VALUE(SUBSTITUTE(TRIM('수출입 실적(품목별)'!D130),",","")),"")</f>
        <v>5670229.3</v>
      </c>
      <c r="H126" s="19" t="n">
        <f aca="false">IFERROR(VALUE(SUBSTITUTE(TRIM('수출입 실적(품목별)'!E130),",","")),"")</f>
        <v>4589485</v>
      </c>
      <c r="I126" s="18" t="n">
        <f aca="false">IFERROR(VALUE(SUBSTITUTE(TRIM('수출입 실적(품목별)'!F130),",","")),"")</f>
        <v>29923854.8</v>
      </c>
      <c r="J126" s="19" t="n">
        <f aca="false">IFERROR(VALUE(SUBSTITUTE(TRIM('수출입 실적(품목별)'!G130),",","")),"")</f>
        <v>13927770</v>
      </c>
      <c r="K126" s="19" t="n">
        <f aca="false">IFERROR(VALUE(SUBSTITUTE(TRIM('수출입 실적(품목별)'!H130),",","")),"")</f>
        <v>-9338285</v>
      </c>
    </row>
    <row r="127" customFormat="false" ht="15" hidden="false" customHeight="true" outlineLevel="0" collapsed="false">
      <c r="A127" s="11" t="str">
        <f aca="false">TRIM('수출입 실적(품목별)'!A131)</f>
        <v>2024.02</v>
      </c>
      <c r="B127" s="17" t="n">
        <f aca="false">IFERROR(VALUE(LEFT($A127,4)),"")</f>
        <v>2024</v>
      </c>
      <c r="C127" s="17" t="n">
        <f aca="false">IFERROR(VALUE(RIGHT($A127,2)),"")</f>
        <v>2</v>
      </c>
      <c r="D127" s="17" t="n">
        <f aca="false">IFERROR(ROUNDUP($C127/3,0),"")</f>
        <v>1</v>
      </c>
      <c r="E127" s="11" t="str">
        <f aca="false">TRIM('수출입 실적(품목별)'!B131)</f>
        <v>28</v>
      </c>
      <c r="F127" s="11" t="str">
        <f aca="false">TRIM('수출입 실적(품목별)'!C131)</f>
        <v>무기화학품, 귀금속ㆍ희토류(稀土類)금속ㆍ방사성원소ㆍ동위원소의 유기화합물이나 무기화합물</v>
      </c>
      <c r="G127" s="18" t="n">
        <f aca="false">IFERROR(VALUE(SUBSTITUTE(TRIM('수출입 실적(품목별)'!D131),",","")),"")</f>
        <v>408526.2</v>
      </c>
      <c r="H127" s="19" t="n">
        <f aca="false">IFERROR(VALUE(SUBSTITUTE(TRIM('수출입 실적(품목별)'!E131),",","")),"")</f>
        <v>941068</v>
      </c>
      <c r="I127" s="18" t="n">
        <f aca="false">IFERROR(VALUE(SUBSTITUTE(TRIM('수출입 실적(품목별)'!F131),",","")),"")</f>
        <v>297641.4</v>
      </c>
      <c r="J127" s="19" t="n">
        <f aca="false">IFERROR(VALUE(SUBSTITUTE(TRIM('수출입 실적(품목별)'!G131),",","")),"")</f>
        <v>887329</v>
      </c>
      <c r="K127" s="19" t="n">
        <f aca="false">IFERROR(VALUE(SUBSTITUTE(TRIM('수출입 실적(품목별)'!H131),",","")),"")</f>
        <v>53739</v>
      </c>
    </row>
    <row r="128" customFormat="false" ht="15" hidden="false" customHeight="true" outlineLevel="0" collapsed="false">
      <c r="A128" s="11" t="str">
        <f aca="false">TRIM('수출입 실적(품목별)'!A132)</f>
        <v>2024.02</v>
      </c>
      <c r="B128" s="17" t="n">
        <f aca="false">IFERROR(VALUE(LEFT($A128,4)),"")</f>
        <v>2024</v>
      </c>
      <c r="C128" s="17" t="n">
        <f aca="false">IFERROR(VALUE(RIGHT($A128,2)),"")</f>
        <v>2</v>
      </c>
      <c r="D128" s="17" t="n">
        <f aca="false">IFERROR(ROUNDUP($C128/3,0),"")</f>
        <v>1</v>
      </c>
      <c r="E128" s="11" t="str">
        <f aca="false">TRIM('수출입 실적(품목별)'!B132)</f>
        <v>29</v>
      </c>
      <c r="F128" s="11" t="str">
        <f aca="false">TRIM('수출입 실적(품목별)'!C132)</f>
        <v>유기화학품</v>
      </c>
      <c r="G128" s="18" t="n">
        <f aca="false">IFERROR(VALUE(SUBSTITUTE(TRIM('수출입 실적(품목별)'!D132),",","")),"")</f>
        <v>1645116.5</v>
      </c>
      <c r="H128" s="19" t="n">
        <f aca="false">IFERROR(VALUE(SUBSTITUTE(TRIM('수출입 실적(품목별)'!E132),",","")),"")</f>
        <v>1870413</v>
      </c>
      <c r="I128" s="18" t="n">
        <f aca="false">IFERROR(VALUE(SUBSTITUTE(TRIM('수출입 실적(품목별)'!F132),",","")),"")</f>
        <v>632632.8</v>
      </c>
      <c r="J128" s="19" t="n">
        <f aca="false">IFERROR(VALUE(SUBSTITUTE(TRIM('수출입 실적(품목별)'!G132),",","")),"")</f>
        <v>1059789</v>
      </c>
      <c r="K128" s="19" t="n">
        <f aca="false">IFERROR(VALUE(SUBSTITUTE(TRIM('수출입 실적(품목별)'!H132),",","")),"")</f>
        <v>810624</v>
      </c>
    </row>
    <row r="129" customFormat="false" ht="15" hidden="false" customHeight="true" outlineLevel="0" collapsed="false">
      <c r="A129" s="11" t="str">
        <f aca="false">TRIM('수출입 실적(품목별)'!A133)</f>
        <v>2024.02</v>
      </c>
      <c r="B129" s="17" t="n">
        <f aca="false">IFERROR(VALUE(LEFT($A129,4)),"")</f>
        <v>2024</v>
      </c>
      <c r="C129" s="17" t="n">
        <f aca="false">IFERROR(VALUE(RIGHT($A129,2)),"")</f>
        <v>2</v>
      </c>
      <c r="D129" s="17" t="n">
        <f aca="false">IFERROR(ROUNDUP($C129/3,0),"")</f>
        <v>1</v>
      </c>
      <c r="E129" s="11" t="str">
        <f aca="false">TRIM('수출입 실적(품목별)'!B133)</f>
        <v>30</v>
      </c>
      <c r="F129" s="11" t="str">
        <f aca="false">TRIM('수출입 실적(품목별)'!C133)</f>
        <v>의료용품</v>
      </c>
      <c r="G129" s="18" t="n">
        <f aca="false">IFERROR(VALUE(SUBSTITUTE(TRIM('수출입 실적(품목별)'!D133),",","")),"")</f>
        <v>2144.2</v>
      </c>
      <c r="H129" s="19" t="n">
        <f aca="false">IFERROR(VALUE(SUBSTITUTE(TRIM('수출입 실적(품목별)'!E133),",","")),"")</f>
        <v>597545</v>
      </c>
      <c r="I129" s="18" t="n">
        <f aca="false">IFERROR(VALUE(SUBSTITUTE(TRIM('수출입 실적(품목별)'!F133),",","")),"")</f>
        <v>6726.7</v>
      </c>
      <c r="J129" s="19" t="n">
        <f aca="false">IFERROR(VALUE(SUBSTITUTE(TRIM('수출입 실적(품목별)'!G133),",","")),"")</f>
        <v>720409</v>
      </c>
      <c r="K129" s="19" t="n">
        <f aca="false">IFERROR(VALUE(SUBSTITUTE(TRIM('수출입 실적(품목별)'!H133),",","")),"")</f>
        <v>-122864</v>
      </c>
    </row>
    <row r="130" customFormat="false" ht="15" hidden="false" customHeight="true" outlineLevel="0" collapsed="false">
      <c r="A130" s="11" t="str">
        <f aca="false">TRIM('수출입 실적(품목별)'!A134)</f>
        <v>2024.02</v>
      </c>
      <c r="B130" s="17" t="n">
        <f aca="false">IFERROR(VALUE(LEFT($A130,4)),"")</f>
        <v>2024</v>
      </c>
      <c r="C130" s="17" t="n">
        <f aca="false">IFERROR(VALUE(RIGHT($A130,2)),"")</f>
        <v>2</v>
      </c>
      <c r="D130" s="17" t="n">
        <f aca="false">IFERROR(ROUNDUP($C130/3,0),"")</f>
        <v>1</v>
      </c>
      <c r="E130" s="11" t="str">
        <f aca="false">TRIM('수출입 실적(품목별)'!B134)</f>
        <v>31</v>
      </c>
      <c r="F130" s="11" t="str">
        <f aca="false">TRIM('수출입 실적(품목별)'!C134)</f>
        <v>비료</v>
      </c>
      <c r="G130" s="18" t="n">
        <f aca="false">IFERROR(VALUE(SUBSTITUTE(TRIM('수출입 실적(품목별)'!D134),",","")),"")</f>
        <v>71723.5</v>
      </c>
      <c r="H130" s="19" t="n">
        <f aca="false">IFERROR(VALUE(SUBSTITUTE(TRIM('수출입 실적(품목별)'!E134),",","")),"")</f>
        <v>30087</v>
      </c>
      <c r="I130" s="18" t="n">
        <f aca="false">IFERROR(VALUE(SUBSTITUTE(TRIM('수출입 실적(품목별)'!F134),",","")),"")</f>
        <v>199383.9</v>
      </c>
      <c r="J130" s="19" t="n">
        <f aca="false">IFERROR(VALUE(SUBSTITUTE(TRIM('수출입 실적(품목별)'!G134),",","")),"")</f>
        <v>80001</v>
      </c>
      <c r="K130" s="19" t="n">
        <f aca="false">IFERROR(VALUE(SUBSTITUTE(TRIM('수출입 실적(품목별)'!H134),",","")),"")</f>
        <v>-49913</v>
      </c>
    </row>
    <row r="131" customFormat="false" ht="15" hidden="false" customHeight="true" outlineLevel="0" collapsed="false">
      <c r="A131" s="11" t="str">
        <f aca="false">TRIM('수출입 실적(품목별)'!A135)</f>
        <v>2024.02</v>
      </c>
      <c r="B131" s="17" t="n">
        <f aca="false">IFERROR(VALUE(LEFT($A131,4)),"")</f>
        <v>2024</v>
      </c>
      <c r="C131" s="17" t="n">
        <f aca="false">IFERROR(VALUE(RIGHT($A131,2)),"")</f>
        <v>2</v>
      </c>
      <c r="D131" s="17" t="n">
        <f aca="false">IFERROR(ROUNDUP($C131/3,0),"")</f>
        <v>1</v>
      </c>
      <c r="E131" s="11" t="str">
        <f aca="false">TRIM('수출입 실적(품목별)'!B135)</f>
        <v>32</v>
      </c>
      <c r="F131" s="11" t="str">
        <f aca="false">TRIM('수출입 실적(품목별)'!C135)</f>
        <v>유연용ㆍ염색용 추출물(extract), 탄닌과 이들의 유도체, 염료ㆍ안료와 그 밖의 착색제, 페인트ㆍ바니시(varnish), 퍼티(putty)와 그 밖의 매스틱(mastic), 잉크</v>
      </c>
      <c r="G131" s="18" t="n">
        <f aca="false">IFERROR(VALUE(SUBSTITUTE(TRIM('수출입 실적(품목별)'!D135),",","")),"")</f>
        <v>30858.2</v>
      </c>
      <c r="H131" s="19" t="n">
        <f aca="false">IFERROR(VALUE(SUBSTITUTE(TRIM('수출입 실적(품목별)'!E135),",","")),"")</f>
        <v>243025</v>
      </c>
      <c r="I131" s="18" t="n">
        <f aca="false">IFERROR(VALUE(SUBSTITUTE(TRIM('수출입 실적(품목별)'!F135),",","")),"")</f>
        <v>22704.4</v>
      </c>
      <c r="J131" s="19" t="n">
        <f aca="false">IFERROR(VALUE(SUBSTITUTE(TRIM('수출입 실적(품목별)'!G135),",","")),"")</f>
        <v>170224</v>
      </c>
      <c r="K131" s="19" t="n">
        <f aca="false">IFERROR(VALUE(SUBSTITUTE(TRIM('수출입 실적(품목별)'!H135),",","")),"")</f>
        <v>72801</v>
      </c>
    </row>
    <row r="132" customFormat="false" ht="15" hidden="false" customHeight="true" outlineLevel="0" collapsed="false">
      <c r="A132" s="11" t="str">
        <f aca="false">TRIM('수출입 실적(품목별)'!A136)</f>
        <v>2024.02</v>
      </c>
      <c r="B132" s="17" t="n">
        <f aca="false">IFERROR(VALUE(LEFT($A132,4)),"")</f>
        <v>2024</v>
      </c>
      <c r="C132" s="17" t="n">
        <f aca="false">IFERROR(VALUE(RIGHT($A132,2)),"")</f>
        <v>2</v>
      </c>
      <c r="D132" s="17" t="n">
        <f aca="false">IFERROR(ROUNDUP($C132/3,0),"")</f>
        <v>1</v>
      </c>
      <c r="E132" s="11" t="str">
        <f aca="false">TRIM('수출입 실적(품목별)'!B136)</f>
        <v>33</v>
      </c>
      <c r="F132" s="11" t="str">
        <f aca="false">TRIM('수출입 실적(품목별)'!C136)</f>
        <v>정유(essential oil)와 레지노이드(resinoid), 조제향료와 화장품ㆍ화장용품</v>
      </c>
      <c r="G132" s="18" t="n">
        <f aca="false">IFERROR(VALUE(SUBSTITUTE(TRIM('수출입 실적(품목별)'!D136),",","")),"")</f>
        <v>32122.7</v>
      </c>
      <c r="H132" s="19" t="n">
        <f aca="false">IFERROR(VALUE(SUBSTITUTE(TRIM('수출입 실적(품목별)'!E136),",","")),"")</f>
        <v>698589</v>
      </c>
      <c r="I132" s="18" t="n">
        <f aca="false">IFERROR(VALUE(SUBSTITUTE(TRIM('수출입 실적(품목별)'!F136),",","")),"")</f>
        <v>8361.3</v>
      </c>
      <c r="J132" s="19" t="n">
        <f aca="false">IFERROR(VALUE(SUBSTITUTE(TRIM('수출입 실적(품목별)'!G136),",","")),"")</f>
        <v>155080</v>
      </c>
      <c r="K132" s="19" t="n">
        <f aca="false">IFERROR(VALUE(SUBSTITUTE(TRIM('수출입 실적(품목별)'!H136),",","")),"")</f>
        <v>543508</v>
      </c>
    </row>
    <row r="133" customFormat="false" ht="15" hidden="false" customHeight="true" outlineLevel="0" collapsed="false">
      <c r="A133" s="11" t="str">
        <f aca="false">TRIM('수출입 실적(품목별)'!A137)</f>
        <v>2024.02</v>
      </c>
      <c r="B133" s="17" t="n">
        <f aca="false">IFERROR(VALUE(LEFT($A133,4)),"")</f>
        <v>2024</v>
      </c>
      <c r="C133" s="17" t="n">
        <f aca="false">IFERROR(VALUE(RIGHT($A133,2)),"")</f>
        <v>2</v>
      </c>
      <c r="D133" s="17" t="n">
        <f aca="false">IFERROR(ROUNDUP($C133/3,0),"")</f>
        <v>1</v>
      </c>
      <c r="E133" s="11" t="str">
        <f aca="false">TRIM('수출입 실적(품목별)'!B137)</f>
        <v>34</v>
      </c>
      <c r="F133" s="11" t="str">
        <f aca="false">TRIM('수출입 실적(품목별)'!C137)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33" s="18" t="n">
        <f aca="false">IFERROR(VALUE(SUBSTITUTE(TRIM('수출입 실적(품목별)'!D137),",","")),"")</f>
        <v>53530.7</v>
      </c>
      <c r="H133" s="19" t="n">
        <f aca="false">IFERROR(VALUE(SUBSTITUTE(TRIM('수출입 실적(품목별)'!E137),",","")),"")</f>
        <v>135292</v>
      </c>
      <c r="I133" s="18" t="n">
        <f aca="false">IFERROR(VALUE(SUBSTITUTE(TRIM('수출입 실적(품목별)'!F137),",","")),"")</f>
        <v>19379.2</v>
      </c>
      <c r="J133" s="19" t="n">
        <f aca="false">IFERROR(VALUE(SUBSTITUTE(TRIM('수출입 실적(품목별)'!G137),",","")),"")</f>
        <v>80202</v>
      </c>
      <c r="K133" s="19" t="n">
        <f aca="false">IFERROR(VALUE(SUBSTITUTE(TRIM('수출입 실적(품목별)'!H137),",","")),"")</f>
        <v>55091</v>
      </c>
    </row>
    <row r="134" customFormat="false" ht="15" hidden="false" customHeight="true" outlineLevel="0" collapsed="false">
      <c r="A134" s="11" t="str">
        <f aca="false">TRIM('수출입 실적(품목별)'!A138)</f>
        <v>2024.02</v>
      </c>
      <c r="B134" s="17" t="n">
        <f aca="false">IFERROR(VALUE(LEFT($A134,4)),"")</f>
        <v>2024</v>
      </c>
      <c r="C134" s="17" t="n">
        <f aca="false">IFERROR(VALUE(RIGHT($A134,2)),"")</f>
        <v>2</v>
      </c>
      <c r="D134" s="17" t="n">
        <f aca="false">IFERROR(ROUNDUP($C134/3,0),"")</f>
        <v>1</v>
      </c>
      <c r="E134" s="11" t="str">
        <f aca="false">TRIM('수출입 실적(품목별)'!B138)</f>
        <v>35</v>
      </c>
      <c r="F134" s="11" t="str">
        <f aca="false">TRIM('수출입 실적(품목별)'!C138)</f>
        <v>단백질계 물질, 변성전분, 글루(glue), 효소</v>
      </c>
      <c r="G134" s="18" t="n">
        <f aca="false">IFERROR(VALUE(SUBSTITUTE(TRIM('수출입 실적(품목별)'!D138),",","")),"")</f>
        <v>5794.8</v>
      </c>
      <c r="H134" s="19" t="n">
        <f aca="false">IFERROR(VALUE(SUBSTITUTE(TRIM('수출입 실적(품목별)'!E138),",","")),"")</f>
        <v>73663</v>
      </c>
      <c r="I134" s="18" t="n">
        <f aca="false">IFERROR(VALUE(SUBSTITUTE(TRIM('수출입 실적(품목별)'!F138),",","")),"")</f>
        <v>14104.6</v>
      </c>
      <c r="J134" s="19" t="n">
        <f aca="false">IFERROR(VALUE(SUBSTITUTE(TRIM('수출입 실적(품목별)'!G138),",","")),"")</f>
        <v>69064</v>
      </c>
      <c r="K134" s="19" t="n">
        <f aca="false">IFERROR(VALUE(SUBSTITUTE(TRIM('수출입 실적(품목별)'!H138),",","")),"")</f>
        <v>4599</v>
      </c>
    </row>
    <row r="135" customFormat="false" ht="15" hidden="false" customHeight="true" outlineLevel="0" collapsed="false">
      <c r="A135" s="11" t="str">
        <f aca="false">TRIM('수출입 실적(품목별)'!A139)</f>
        <v>2024.02</v>
      </c>
      <c r="B135" s="17" t="n">
        <f aca="false">IFERROR(VALUE(LEFT($A135,4)),"")</f>
        <v>2024</v>
      </c>
      <c r="C135" s="17" t="n">
        <f aca="false">IFERROR(VALUE(RIGHT($A135,2)),"")</f>
        <v>2</v>
      </c>
      <c r="D135" s="17" t="n">
        <f aca="false">IFERROR(ROUNDUP($C135/3,0),"")</f>
        <v>1</v>
      </c>
      <c r="E135" s="11" t="str">
        <f aca="false">TRIM('수출입 실적(품목별)'!B139)</f>
        <v>36</v>
      </c>
      <c r="F135" s="11" t="str">
        <f aca="false">TRIM('수출입 실적(품목별)'!C139)</f>
        <v>화약류, 화공품, 성냥, 발화성 합금, 특정 가연성 조제품</v>
      </c>
      <c r="G135" s="18" t="n">
        <f aca="false">IFERROR(VALUE(SUBSTITUTE(TRIM('수출입 실적(품목별)'!D139),",","")),"")</f>
        <v>215.6</v>
      </c>
      <c r="H135" s="19" t="n">
        <f aca="false">IFERROR(VALUE(SUBSTITUTE(TRIM('수출입 실적(품목별)'!E139),",","")),"")</f>
        <v>3040</v>
      </c>
      <c r="I135" s="18" t="n">
        <f aca="false">IFERROR(VALUE(SUBSTITUTE(TRIM('수출입 실적(품목별)'!F139),",","")),"")</f>
        <v>146.2</v>
      </c>
      <c r="J135" s="19" t="n">
        <f aca="false">IFERROR(VALUE(SUBSTITUTE(TRIM('수출입 실적(품목별)'!G139),",","")),"")</f>
        <v>1238</v>
      </c>
      <c r="K135" s="19" t="n">
        <f aca="false">IFERROR(VALUE(SUBSTITUTE(TRIM('수출입 실적(품목별)'!H139),",","")),"")</f>
        <v>1802</v>
      </c>
    </row>
    <row r="136" customFormat="false" ht="15" hidden="false" customHeight="true" outlineLevel="0" collapsed="false">
      <c r="A136" s="11" t="str">
        <f aca="false">TRIM('수출입 실적(품목별)'!A140)</f>
        <v>2024.02</v>
      </c>
      <c r="B136" s="17" t="n">
        <f aca="false">IFERROR(VALUE(LEFT($A136,4)),"")</f>
        <v>2024</v>
      </c>
      <c r="C136" s="17" t="n">
        <f aca="false">IFERROR(VALUE(RIGHT($A136,2)),"")</f>
        <v>2</v>
      </c>
      <c r="D136" s="17" t="n">
        <f aca="false">IFERROR(ROUNDUP($C136/3,0),"")</f>
        <v>1</v>
      </c>
      <c r="E136" s="11" t="str">
        <f aca="false">TRIM('수출입 실적(품목별)'!B140)</f>
        <v>37</v>
      </c>
      <c r="F136" s="11" t="str">
        <f aca="false">TRIM('수출입 실적(품목별)'!C140)</f>
        <v>사진용이나 영화용 재료</v>
      </c>
      <c r="G136" s="18" t="n">
        <f aca="false">IFERROR(VALUE(SUBSTITUTE(TRIM('수출입 실적(품목별)'!D140),",","")),"")</f>
        <v>1712.9</v>
      </c>
      <c r="H136" s="19" t="n">
        <f aca="false">IFERROR(VALUE(SUBSTITUTE(TRIM('수출입 실적(품목별)'!E140),",","")),"")</f>
        <v>82155</v>
      </c>
      <c r="I136" s="18" t="n">
        <f aca="false">IFERROR(VALUE(SUBSTITUTE(TRIM('수출입 실적(품목별)'!F140),",","")),"")</f>
        <v>3229.1</v>
      </c>
      <c r="J136" s="19" t="n">
        <f aca="false">IFERROR(VALUE(SUBSTITUTE(TRIM('수출입 실적(품목별)'!G140),",","")),"")</f>
        <v>86969</v>
      </c>
      <c r="K136" s="19" t="n">
        <f aca="false">IFERROR(VALUE(SUBSTITUTE(TRIM('수출입 실적(품목별)'!H140),",","")),"")</f>
        <v>-4815</v>
      </c>
    </row>
    <row r="137" customFormat="false" ht="15" hidden="false" customHeight="true" outlineLevel="0" collapsed="false">
      <c r="A137" s="11" t="str">
        <f aca="false">TRIM('수출입 실적(품목별)'!A141)</f>
        <v>2024.02</v>
      </c>
      <c r="B137" s="17" t="n">
        <f aca="false">IFERROR(VALUE(LEFT($A137,4)),"")</f>
        <v>2024</v>
      </c>
      <c r="C137" s="17" t="n">
        <f aca="false">IFERROR(VALUE(RIGHT($A137,2)),"")</f>
        <v>2</v>
      </c>
      <c r="D137" s="17" t="n">
        <f aca="false">IFERROR(ROUNDUP($C137/3,0),"")</f>
        <v>1</v>
      </c>
      <c r="E137" s="11" t="str">
        <f aca="false">TRIM('수출입 실적(품목별)'!B141)</f>
        <v>38</v>
      </c>
      <c r="F137" s="11" t="str">
        <f aca="false">TRIM('수출입 실적(품목별)'!C141)</f>
        <v>각종 화학공업 생산품</v>
      </c>
      <c r="G137" s="18" t="n">
        <f aca="false">IFERROR(VALUE(SUBSTITUTE(TRIM('수출입 실적(품목별)'!D141),",","")),"")</f>
        <v>98562.2</v>
      </c>
      <c r="H137" s="19" t="n">
        <f aca="false">IFERROR(VALUE(SUBSTITUTE(TRIM('수출입 실적(품목별)'!E141),",","")),"")</f>
        <v>533432</v>
      </c>
      <c r="I137" s="18" t="n">
        <f aca="false">IFERROR(VALUE(SUBSTITUTE(TRIM('수출입 실적(품목별)'!F141),",","")),"")</f>
        <v>200138.9</v>
      </c>
      <c r="J137" s="19" t="n">
        <f aca="false">IFERROR(VALUE(SUBSTITUTE(TRIM('수출입 실적(품목별)'!G141),",","")),"")</f>
        <v>684848</v>
      </c>
      <c r="K137" s="19" t="n">
        <f aca="false">IFERROR(VALUE(SUBSTITUTE(TRIM('수출입 실적(품목별)'!H141),",","")),"")</f>
        <v>-151416</v>
      </c>
    </row>
    <row r="138" customFormat="false" ht="15" hidden="false" customHeight="true" outlineLevel="0" collapsed="false">
      <c r="A138" s="11" t="str">
        <f aca="false">TRIM('수출입 실적(품목별)'!A142)</f>
        <v>2024.02</v>
      </c>
      <c r="B138" s="17" t="n">
        <f aca="false">IFERROR(VALUE(LEFT($A138,4)),"")</f>
        <v>2024</v>
      </c>
      <c r="C138" s="17" t="n">
        <f aca="false">IFERROR(VALUE(RIGHT($A138,2)),"")</f>
        <v>2</v>
      </c>
      <c r="D138" s="17" t="n">
        <f aca="false">IFERROR(ROUNDUP($C138/3,0),"")</f>
        <v>1</v>
      </c>
      <c r="E138" s="11" t="str">
        <f aca="false">TRIM('수출입 실적(품목별)'!B142)</f>
        <v>39</v>
      </c>
      <c r="F138" s="11" t="str">
        <f aca="false">TRIM('수출입 실적(품목별)'!C142)</f>
        <v>플라스틱과 그 제품</v>
      </c>
      <c r="G138" s="18" t="n">
        <f aca="false">IFERROR(VALUE(SUBSTITUTE(TRIM('수출입 실적(품목별)'!D142),",","")),"")</f>
        <v>1493478.4</v>
      </c>
      <c r="H138" s="19" t="n">
        <f aca="false">IFERROR(VALUE(SUBSTITUTE(TRIM('수출입 실적(품목별)'!E142),",","")),"")</f>
        <v>2946760</v>
      </c>
      <c r="I138" s="18" t="n">
        <f aca="false">IFERROR(VALUE(SUBSTITUTE(TRIM('수출입 실적(품목별)'!F142),",","")),"")</f>
        <v>216806.8</v>
      </c>
      <c r="J138" s="19" t="n">
        <f aca="false">IFERROR(VALUE(SUBSTITUTE(TRIM('수출입 실적(품목별)'!G142),",","")),"")</f>
        <v>901010</v>
      </c>
      <c r="K138" s="19" t="n">
        <f aca="false">IFERROR(VALUE(SUBSTITUTE(TRIM('수출입 실적(품목별)'!H142),",","")),"")</f>
        <v>2045751</v>
      </c>
    </row>
    <row r="139" customFormat="false" ht="15" hidden="false" customHeight="true" outlineLevel="0" collapsed="false">
      <c r="A139" s="11" t="str">
        <f aca="false">TRIM('수출입 실적(품목별)'!A143)</f>
        <v>2024.02</v>
      </c>
      <c r="B139" s="17" t="n">
        <f aca="false">IFERROR(VALUE(LEFT($A139,4)),"")</f>
        <v>2024</v>
      </c>
      <c r="C139" s="17" t="n">
        <f aca="false">IFERROR(VALUE(RIGHT($A139,2)),"")</f>
        <v>2</v>
      </c>
      <c r="D139" s="17" t="n">
        <f aca="false">IFERROR(ROUNDUP($C139/3,0),"")</f>
        <v>1</v>
      </c>
      <c r="E139" s="11" t="str">
        <f aca="false">TRIM('수출입 실적(품목별)'!B143)</f>
        <v>40</v>
      </c>
      <c r="F139" s="11" t="str">
        <f aca="false">TRIM('수출입 실적(품목별)'!C143)</f>
        <v>고무와 그 제품</v>
      </c>
      <c r="G139" s="18" t="n">
        <f aca="false">IFERROR(VALUE(SUBSTITUTE(TRIM('수출입 실적(품목별)'!D143),",","")),"")</f>
        <v>237373.4</v>
      </c>
      <c r="H139" s="19" t="n">
        <f aca="false">IFERROR(VALUE(SUBSTITUTE(TRIM('수출입 실적(품목별)'!E143),",","")),"")</f>
        <v>601129</v>
      </c>
      <c r="I139" s="18" t="n">
        <f aca="false">IFERROR(VALUE(SUBSTITUTE(TRIM('수출입 실적(품목별)'!F143),",","")),"")</f>
        <v>63722</v>
      </c>
      <c r="J139" s="19" t="n">
        <f aca="false">IFERROR(VALUE(SUBSTITUTE(TRIM('수출입 실적(품목별)'!G143),",","")),"")</f>
        <v>212351</v>
      </c>
      <c r="K139" s="19" t="n">
        <f aca="false">IFERROR(VALUE(SUBSTITUTE(TRIM('수출입 실적(품목별)'!H143),",","")),"")</f>
        <v>388778</v>
      </c>
    </row>
    <row r="140" customFormat="false" ht="15" hidden="false" customHeight="true" outlineLevel="0" collapsed="false">
      <c r="A140" s="11" t="str">
        <f aca="false">TRIM('수출입 실적(품목별)'!A144)</f>
        <v>2024.02</v>
      </c>
      <c r="B140" s="17" t="n">
        <f aca="false">IFERROR(VALUE(LEFT($A140,4)),"")</f>
        <v>2024</v>
      </c>
      <c r="C140" s="17" t="n">
        <f aca="false">IFERROR(VALUE(RIGHT($A140,2)),"")</f>
        <v>2</v>
      </c>
      <c r="D140" s="17" t="n">
        <f aca="false">IFERROR(ROUNDUP($C140/3,0),"")</f>
        <v>1</v>
      </c>
      <c r="E140" s="11" t="str">
        <f aca="false">TRIM('수출입 실적(품목별)'!B144)</f>
        <v>41</v>
      </c>
      <c r="F140" s="11" t="str">
        <f aca="false">TRIM('수출입 실적(품목별)'!C144)</f>
        <v>원피(모피는 제외한다)와 가죽</v>
      </c>
      <c r="G140" s="18" t="n">
        <f aca="false">IFERROR(VALUE(SUBSTITUTE(TRIM('수출입 실적(품목별)'!D144),",","")),"")</f>
        <v>2594.2</v>
      </c>
      <c r="H140" s="19" t="n">
        <f aca="false">IFERROR(VALUE(SUBSTITUTE(TRIM('수출입 실적(품목별)'!E144),",","")),"")</f>
        <v>23663</v>
      </c>
      <c r="I140" s="18" t="n">
        <f aca="false">IFERROR(VALUE(SUBSTITUTE(TRIM('수출입 실적(품목별)'!F144),",","")),"")</f>
        <v>6509.7</v>
      </c>
      <c r="J140" s="19" t="n">
        <f aca="false">IFERROR(VALUE(SUBSTITUTE(TRIM('수출입 실적(품목별)'!G144),",","")),"")</f>
        <v>19498</v>
      </c>
      <c r="K140" s="19" t="n">
        <f aca="false">IFERROR(VALUE(SUBSTITUTE(TRIM('수출입 실적(품목별)'!H144),",","")),"")</f>
        <v>4165</v>
      </c>
    </row>
    <row r="141" customFormat="false" ht="15" hidden="false" customHeight="true" outlineLevel="0" collapsed="false">
      <c r="A141" s="11" t="str">
        <f aca="false">TRIM('수출입 실적(품목별)'!A145)</f>
        <v>2024.02</v>
      </c>
      <c r="B141" s="17" t="n">
        <f aca="false">IFERROR(VALUE(LEFT($A141,4)),"")</f>
        <v>2024</v>
      </c>
      <c r="C141" s="17" t="n">
        <f aca="false">IFERROR(VALUE(RIGHT($A141,2)),"")</f>
        <v>2</v>
      </c>
      <c r="D141" s="17" t="n">
        <f aca="false">IFERROR(ROUNDUP($C141/3,0),"")</f>
        <v>1</v>
      </c>
      <c r="E141" s="11" t="str">
        <f aca="false">TRIM('수출입 실적(품목별)'!B145)</f>
        <v>42</v>
      </c>
      <c r="F141" s="11" t="str">
        <f aca="false">TRIM('수출입 실적(품목별)'!C145)</f>
        <v>가죽제품, 마구, 여행용구ㆍ핸드백과 이와 유사한 용기, 동물 거트(gut)[누에의 거트(gut)는 제외한다]의 제품</v>
      </c>
      <c r="G141" s="18" t="n">
        <f aca="false">IFERROR(VALUE(SUBSTITUTE(TRIM('수출입 실적(품목별)'!D145),",","")),"")</f>
        <v>738.6</v>
      </c>
      <c r="H141" s="19" t="n">
        <f aca="false">IFERROR(VALUE(SUBSTITUTE(TRIM('수출입 실적(품목별)'!E145),",","")),"")</f>
        <v>24685</v>
      </c>
      <c r="I141" s="18" t="n">
        <f aca="false">IFERROR(VALUE(SUBSTITUTE(TRIM('수출입 실적(품목별)'!F145),",","")),"")</f>
        <v>6576.3</v>
      </c>
      <c r="J141" s="19" t="n">
        <f aca="false">IFERROR(VALUE(SUBSTITUTE(TRIM('수출입 실적(품목별)'!G145),",","")),"")</f>
        <v>291932</v>
      </c>
      <c r="K141" s="19" t="n">
        <f aca="false">IFERROR(VALUE(SUBSTITUTE(TRIM('수출입 실적(품목별)'!H145),",","")),"")</f>
        <v>-267247</v>
      </c>
    </row>
    <row r="142" customFormat="false" ht="15" hidden="false" customHeight="true" outlineLevel="0" collapsed="false">
      <c r="A142" s="11" t="str">
        <f aca="false">TRIM('수출입 실적(품목별)'!A146)</f>
        <v>2024.02</v>
      </c>
      <c r="B142" s="17" t="n">
        <f aca="false">IFERROR(VALUE(LEFT($A142,4)),"")</f>
        <v>2024</v>
      </c>
      <c r="C142" s="17" t="n">
        <f aca="false">IFERROR(VALUE(RIGHT($A142,2)),"")</f>
        <v>2</v>
      </c>
      <c r="D142" s="17" t="n">
        <f aca="false">IFERROR(ROUNDUP($C142/3,0),"")</f>
        <v>1</v>
      </c>
      <c r="E142" s="11" t="str">
        <f aca="false">TRIM('수출입 실적(품목별)'!B146)</f>
        <v>43</v>
      </c>
      <c r="F142" s="11" t="str">
        <f aca="false">TRIM('수출입 실적(품목별)'!C146)</f>
        <v>모피ㆍ인조모피와 이들의 제품</v>
      </c>
      <c r="G142" s="18" t="n">
        <f aca="false">IFERROR(VALUE(SUBSTITUTE(TRIM('수출입 실적(품목별)'!D146),",","")),"")</f>
        <v>4.5</v>
      </c>
      <c r="H142" s="19" t="n">
        <f aca="false">IFERROR(VALUE(SUBSTITUTE(TRIM('수출입 실적(품목별)'!E146),",","")),"")</f>
        <v>441</v>
      </c>
      <c r="I142" s="18" t="n">
        <f aca="false">IFERROR(VALUE(SUBSTITUTE(TRIM('수출입 실적(품목별)'!F146),",","")),"")</f>
        <v>13.4</v>
      </c>
      <c r="J142" s="19" t="n">
        <f aca="false">IFERROR(VALUE(SUBSTITUTE(TRIM('수출입 실적(품목별)'!G146),",","")),"")</f>
        <v>1530</v>
      </c>
      <c r="K142" s="19" t="n">
        <f aca="false">IFERROR(VALUE(SUBSTITUTE(TRIM('수출입 실적(품목별)'!H146),",","")),"")</f>
        <v>-1089</v>
      </c>
    </row>
    <row r="143" customFormat="false" ht="15" hidden="false" customHeight="true" outlineLevel="0" collapsed="false">
      <c r="A143" s="11" t="str">
        <f aca="false">TRIM('수출입 실적(품목별)'!A147)</f>
        <v>2024.02</v>
      </c>
      <c r="B143" s="17" t="n">
        <f aca="false">IFERROR(VALUE(LEFT($A143,4)),"")</f>
        <v>2024</v>
      </c>
      <c r="C143" s="17" t="n">
        <f aca="false">IFERROR(VALUE(RIGHT($A143,2)),"")</f>
        <v>2</v>
      </c>
      <c r="D143" s="17" t="n">
        <f aca="false">IFERROR(ROUNDUP($C143/3,0),"")</f>
        <v>1</v>
      </c>
      <c r="E143" s="11" t="str">
        <f aca="false">TRIM('수출입 실적(품목별)'!B147)</f>
        <v>44</v>
      </c>
      <c r="F143" s="11" t="str">
        <f aca="false">TRIM('수출입 실적(품목별)'!C147)</f>
        <v>목재와 그 제품, 목탄</v>
      </c>
      <c r="G143" s="18" t="n">
        <f aca="false">IFERROR(VALUE(SUBSTITUTE(TRIM('수출입 실적(품목별)'!D147),",","")),"")</f>
        <v>4535.7</v>
      </c>
      <c r="H143" s="19" t="n">
        <f aca="false">IFERROR(VALUE(SUBSTITUTE(TRIM('수출입 실적(품목별)'!E147),",","")),"")</f>
        <v>4995</v>
      </c>
      <c r="I143" s="18" t="n">
        <f aca="false">IFERROR(VALUE(SUBSTITUTE(TRIM('수출입 실적(품목별)'!F147),",","")),"")</f>
        <v>681187.3</v>
      </c>
      <c r="J143" s="19" t="n">
        <f aca="false">IFERROR(VALUE(SUBSTITUTE(TRIM('수출입 실적(품목별)'!G147),",","")),"")</f>
        <v>203530</v>
      </c>
      <c r="K143" s="19" t="n">
        <f aca="false">IFERROR(VALUE(SUBSTITUTE(TRIM('수출입 실적(품목별)'!H147),",","")),"")</f>
        <v>-198535</v>
      </c>
    </row>
    <row r="144" customFormat="false" ht="15" hidden="false" customHeight="true" outlineLevel="0" collapsed="false">
      <c r="A144" s="11" t="str">
        <f aca="false">TRIM('수출입 실적(품목별)'!A148)</f>
        <v>2024.02</v>
      </c>
      <c r="B144" s="17" t="n">
        <f aca="false">IFERROR(VALUE(LEFT($A144,4)),"")</f>
        <v>2024</v>
      </c>
      <c r="C144" s="17" t="n">
        <f aca="false">IFERROR(VALUE(RIGHT($A144,2)),"")</f>
        <v>2</v>
      </c>
      <c r="D144" s="17" t="n">
        <f aca="false">IFERROR(ROUNDUP($C144/3,0),"")</f>
        <v>1</v>
      </c>
      <c r="E144" s="11" t="str">
        <f aca="false">TRIM('수출입 실적(품목별)'!B148)</f>
        <v>45</v>
      </c>
      <c r="F144" s="11" t="str">
        <f aca="false">TRIM('수출입 실적(품목별)'!C148)</f>
        <v>코르크(cork)와 그 제품</v>
      </c>
      <c r="G144" s="18" t="n">
        <f aca="false">IFERROR(VALUE(SUBSTITUTE(TRIM('수출입 실적(품목별)'!D148),",","")),"")</f>
        <v>8</v>
      </c>
      <c r="H144" s="19" t="n">
        <f aca="false">IFERROR(VALUE(SUBSTITUTE(TRIM('수출입 실적(품목별)'!E148),",","")),"")</f>
        <v>76</v>
      </c>
      <c r="I144" s="18" t="n">
        <f aca="false">IFERROR(VALUE(SUBSTITUTE(TRIM('수출입 실적(품목별)'!F148),",","")),"")</f>
        <v>66.1</v>
      </c>
      <c r="J144" s="19" t="n">
        <f aca="false">IFERROR(VALUE(SUBSTITUTE(TRIM('수출입 실적(품목별)'!G148),",","")),"")</f>
        <v>326</v>
      </c>
      <c r="K144" s="19" t="n">
        <f aca="false">IFERROR(VALUE(SUBSTITUTE(TRIM('수출입 실적(품목별)'!H148),",","")),"")</f>
        <v>-250</v>
      </c>
    </row>
    <row r="145" customFormat="false" ht="15" hidden="false" customHeight="true" outlineLevel="0" collapsed="false">
      <c r="A145" s="11" t="str">
        <f aca="false">TRIM('수출입 실적(품목별)'!A149)</f>
        <v>2024.02</v>
      </c>
      <c r="B145" s="17" t="n">
        <f aca="false">IFERROR(VALUE(LEFT($A145,4)),"")</f>
        <v>2024</v>
      </c>
      <c r="C145" s="17" t="n">
        <f aca="false">IFERROR(VALUE(RIGHT($A145,2)),"")</f>
        <v>2</v>
      </c>
      <c r="D145" s="17" t="n">
        <f aca="false">IFERROR(ROUNDUP($C145/3,0),"")</f>
        <v>1</v>
      </c>
      <c r="E145" s="11" t="str">
        <f aca="false">TRIM('수출입 실적(품목별)'!B149)</f>
        <v>46</v>
      </c>
      <c r="F145" s="11" t="str">
        <f aca="false">TRIM('수출입 실적(품목별)'!C149)</f>
        <v>짚ㆍ에스파르토(esparto)나 그 밖의 조물 재료의 제품, 바구니 세공물(basketware)과 지조세공물(枝條細工物)</v>
      </c>
      <c r="G145" s="18" t="n">
        <f aca="false">IFERROR(VALUE(SUBSTITUTE(TRIM('수출입 실적(품목별)'!D149),",","")),"")</f>
        <v>1.9</v>
      </c>
      <c r="H145" s="19" t="n">
        <f aca="false">IFERROR(VALUE(SUBSTITUTE(TRIM('수출입 실적(품목별)'!E149),",","")),"")</f>
        <v>86</v>
      </c>
      <c r="I145" s="18" t="n">
        <f aca="false">IFERROR(VALUE(SUBSTITUTE(TRIM('수출입 실적(품목별)'!F149),",","")),"")</f>
        <v>214.1</v>
      </c>
      <c r="J145" s="19" t="n">
        <f aca="false">IFERROR(VALUE(SUBSTITUTE(TRIM('수출입 실적(품목별)'!G149),",","")),"")</f>
        <v>1397</v>
      </c>
      <c r="K145" s="19" t="n">
        <f aca="false">IFERROR(VALUE(SUBSTITUTE(TRIM('수출입 실적(품목별)'!H149),",","")),"")</f>
        <v>-1311</v>
      </c>
    </row>
    <row r="146" customFormat="false" ht="15" hidden="false" customHeight="true" outlineLevel="0" collapsed="false">
      <c r="A146" s="11" t="str">
        <f aca="false">TRIM('수출입 실적(품목별)'!A150)</f>
        <v>2024.02</v>
      </c>
      <c r="B146" s="17" t="n">
        <f aca="false">IFERROR(VALUE(LEFT($A146,4)),"")</f>
        <v>2024</v>
      </c>
      <c r="C146" s="17" t="n">
        <f aca="false">IFERROR(VALUE(RIGHT($A146,2)),"")</f>
        <v>2</v>
      </c>
      <c r="D146" s="17" t="n">
        <f aca="false">IFERROR(ROUNDUP($C146/3,0),"")</f>
        <v>1</v>
      </c>
      <c r="E146" s="11" t="str">
        <f aca="false">TRIM('수출입 실적(품목별)'!B150)</f>
        <v>47</v>
      </c>
      <c r="F146" s="11" t="str">
        <f aca="false">TRIM('수출입 실적(품목별)'!C150)</f>
        <v>목재나 그 밖의 섬유질 셀룰로오스재료의 펄프, 회수한 종이ㆍ판지[웨이스트(waste)와 스크랩(scrap)]</v>
      </c>
      <c r="G146" s="18" t="n">
        <f aca="false">IFERROR(VALUE(SUBSTITUTE(TRIM('수출입 실적(품목별)'!D150),",","")),"")</f>
        <v>49638.2</v>
      </c>
      <c r="H146" s="19" t="n">
        <f aca="false">IFERROR(VALUE(SUBSTITUTE(TRIM('수출입 실적(품목별)'!E150),",","")),"")</f>
        <v>10449</v>
      </c>
      <c r="I146" s="18" t="n">
        <f aca="false">IFERROR(VALUE(SUBSTITUTE(TRIM('수출입 실적(품목별)'!F150),",","")),"")</f>
        <v>233153.2</v>
      </c>
      <c r="J146" s="19" t="n">
        <f aca="false">IFERROR(VALUE(SUBSTITUTE(TRIM('수출입 실적(품목별)'!G150),",","")),"")</f>
        <v>135608</v>
      </c>
      <c r="K146" s="19" t="n">
        <f aca="false">IFERROR(VALUE(SUBSTITUTE(TRIM('수출입 실적(품목별)'!H150),",","")),"")</f>
        <v>-125159</v>
      </c>
    </row>
    <row r="147" customFormat="false" ht="15" hidden="false" customHeight="true" outlineLevel="0" collapsed="false">
      <c r="A147" s="11" t="str">
        <f aca="false">TRIM('수출입 실적(품목별)'!A151)</f>
        <v>2024.02</v>
      </c>
      <c r="B147" s="17" t="n">
        <f aca="false">IFERROR(VALUE(LEFT($A147,4)),"")</f>
        <v>2024</v>
      </c>
      <c r="C147" s="17" t="n">
        <f aca="false">IFERROR(VALUE(RIGHT($A147,2)),"")</f>
        <v>2</v>
      </c>
      <c r="D147" s="17" t="n">
        <f aca="false">IFERROR(ROUNDUP($C147/3,0),"")</f>
        <v>1</v>
      </c>
      <c r="E147" s="11" t="str">
        <f aca="false">TRIM('수출입 실적(품목별)'!B151)</f>
        <v>48</v>
      </c>
      <c r="F147" s="11" t="str">
        <f aca="false">TRIM('수출입 실적(품목별)'!C151)</f>
        <v>종이와 판지, 제지용 펄프ㆍ종이ㆍ판지의 제품</v>
      </c>
      <c r="G147" s="18" t="n">
        <f aca="false">IFERROR(VALUE(SUBSTITUTE(TRIM('수출입 실적(품목별)'!D151),",","")),"")</f>
        <v>230372.6</v>
      </c>
      <c r="H147" s="19" t="n">
        <f aca="false">IFERROR(VALUE(SUBSTITUTE(TRIM('수출입 실적(품목별)'!E151),",","")),"")</f>
        <v>231242</v>
      </c>
      <c r="I147" s="18" t="n">
        <f aca="false">IFERROR(VALUE(SUBSTITUTE(TRIM('수출입 실적(품목별)'!F151),",","")),"")</f>
        <v>112920.6</v>
      </c>
      <c r="J147" s="19" t="n">
        <f aca="false">IFERROR(VALUE(SUBSTITUTE(TRIM('수출입 실적(품목별)'!G151),",","")),"")</f>
        <v>167074</v>
      </c>
      <c r="K147" s="19" t="n">
        <f aca="false">IFERROR(VALUE(SUBSTITUTE(TRIM('수출입 실적(품목별)'!H151),",","")),"")</f>
        <v>64168</v>
      </c>
    </row>
    <row r="148" customFormat="false" ht="15" hidden="false" customHeight="true" outlineLevel="0" collapsed="false">
      <c r="A148" s="11" t="str">
        <f aca="false">TRIM('수출입 실적(품목별)'!A152)</f>
        <v>2024.02</v>
      </c>
      <c r="B148" s="17" t="n">
        <f aca="false">IFERROR(VALUE(LEFT($A148,4)),"")</f>
        <v>2024</v>
      </c>
      <c r="C148" s="17" t="n">
        <f aca="false">IFERROR(VALUE(RIGHT($A148,2)),"")</f>
        <v>2</v>
      </c>
      <c r="D148" s="17" t="n">
        <f aca="false">IFERROR(ROUNDUP($C148/3,0),"")</f>
        <v>1</v>
      </c>
      <c r="E148" s="11" t="str">
        <f aca="false">TRIM('수출입 실적(품목별)'!B152)</f>
        <v>49</v>
      </c>
      <c r="F148" s="11" t="str">
        <f aca="false">TRIM('수출입 실적(품목별)'!C152)</f>
        <v>인쇄서적ㆍ신문ㆍ회화ㆍ그 밖의 인쇄물, 수제(手製)문서ㆍ타자문서ㆍ도면</v>
      </c>
      <c r="G148" s="18" t="n">
        <f aca="false">IFERROR(VALUE(SUBSTITUTE(TRIM('수출입 실적(품목별)'!D152),",","")),"")</f>
        <v>2729.3</v>
      </c>
      <c r="H148" s="19" t="n">
        <f aca="false">IFERROR(VALUE(SUBSTITUTE(TRIM('수출입 실적(품목별)'!E152),",","")),"")</f>
        <v>24884</v>
      </c>
      <c r="I148" s="18" t="n">
        <f aca="false">IFERROR(VALUE(SUBSTITUTE(TRIM('수출입 실적(품목별)'!F152),",","")),"")</f>
        <v>1119.9</v>
      </c>
      <c r="J148" s="19" t="n">
        <f aca="false">IFERROR(VALUE(SUBSTITUTE(TRIM('수출입 실적(품목별)'!G152),",","")),"")</f>
        <v>18965</v>
      </c>
      <c r="K148" s="19" t="n">
        <f aca="false">IFERROR(VALUE(SUBSTITUTE(TRIM('수출입 실적(품목별)'!H152),",","")),"")</f>
        <v>5919</v>
      </c>
    </row>
    <row r="149" customFormat="false" ht="15" hidden="false" customHeight="true" outlineLevel="0" collapsed="false">
      <c r="A149" s="11" t="str">
        <f aca="false">TRIM('수출입 실적(품목별)'!A153)</f>
        <v>2024.02</v>
      </c>
      <c r="B149" s="17" t="n">
        <f aca="false">IFERROR(VALUE(LEFT($A149,4)),"")</f>
        <v>2024</v>
      </c>
      <c r="C149" s="17" t="n">
        <f aca="false">IFERROR(VALUE(RIGHT($A149,2)),"")</f>
        <v>2</v>
      </c>
      <c r="D149" s="17" t="n">
        <f aca="false">IFERROR(ROUNDUP($C149/3,0),"")</f>
        <v>1</v>
      </c>
      <c r="E149" s="11" t="str">
        <f aca="false">TRIM('수출입 실적(품목별)'!B153)</f>
        <v>50</v>
      </c>
      <c r="F149" s="11" t="str">
        <f aca="false">TRIM('수출입 실적(품목별)'!C153)</f>
        <v>견</v>
      </c>
      <c r="G149" s="18" t="n">
        <f aca="false">IFERROR(VALUE(SUBSTITUTE(TRIM('수출입 실적(품목별)'!D153),",","")),"")</f>
        <v>19.4</v>
      </c>
      <c r="H149" s="19" t="n">
        <f aca="false">IFERROR(VALUE(SUBSTITUTE(TRIM('수출입 실적(품목별)'!E153),",","")),"")</f>
        <v>1767</v>
      </c>
      <c r="I149" s="18" t="n">
        <f aca="false">IFERROR(VALUE(SUBSTITUTE(TRIM('수출입 실적(품목별)'!F153),",","")),"")</f>
        <v>31.4</v>
      </c>
      <c r="J149" s="19" t="n">
        <f aca="false">IFERROR(VALUE(SUBSTITUTE(TRIM('수출입 실적(품목별)'!G153),",","")),"")</f>
        <v>1867</v>
      </c>
      <c r="K149" s="19" t="n">
        <f aca="false">IFERROR(VALUE(SUBSTITUTE(TRIM('수출입 실적(품목별)'!H153),",","")),"")</f>
        <v>-99</v>
      </c>
    </row>
    <row r="150" customFormat="false" ht="15" hidden="false" customHeight="true" outlineLevel="0" collapsed="false">
      <c r="A150" s="11" t="str">
        <f aca="false">TRIM('수출입 실적(품목별)'!A154)</f>
        <v>2024.02</v>
      </c>
      <c r="B150" s="17" t="n">
        <f aca="false">IFERROR(VALUE(LEFT($A150,4)),"")</f>
        <v>2024</v>
      </c>
      <c r="C150" s="17" t="n">
        <f aca="false">IFERROR(VALUE(RIGHT($A150,2)),"")</f>
        <v>2</v>
      </c>
      <c r="D150" s="17" t="n">
        <f aca="false">IFERROR(ROUNDUP($C150/3,0),"")</f>
        <v>1</v>
      </c>
      <c r="E150" s="11" t="str">
        <f aca="false">TRIM('수출입 실적(품목별)'!B154)</f>
        <v>51</v>
      </c>
      <c r="F150" s="11" t="str">
        <f aca="false">TRIM('수출입 실적(품목별)'!C154)</f>
        <v>양모ㆍ동물의 부드러운 털이나 거친 털ㆍ말의 털로 만든 실과 직물</v>
      </c>
      <c r="G150" s="18" t="n">
        <f aca="false">IFERROR(VALUE(SUBSTITUTE(TRIM('수출입 실적(품목별)'!D154),",","")),"")</f>
        <v>115.6</v>
      </c>
      <c r="H150" s="19" t="n">
        <f aca="false">IFERROR(VALUE(SUBSTITUTE(TRIM('수출입 실적(품목별)'!E154),",","")),"")</f>
        <v>2702</v>
      </c>
      <c r="I150" s="18" t="n">
        <f aca="false">IFERROR(VALUE(SUBSTITUTE(TRIM('수출입 실적(품목별)'!F154),",","")),"")</f>
        <v>884.9</v>
      </c>
      <c r="J150" s="19" t="n">
        <f aca="false">IFERROR(VALUE(SUBSTITUTE(TRIM('수출입 실적(품목별)'!G154),",","")),"")</f>
        <v>15021</v>
      </c>
      <c r="K150" s="19" t="n">
        <f aca="false">IFERROR(VALUE(SUBSTITUTE(TRIM('수출입 실적(품목별)'!H154),",","")),"")</f>
        <v>-12319</v>
      </c>
    </row>
    <row r="151" customFormat="false" ht="15" hidden="false" customHeight="true" outlineLevel="0" collapsed="false">
      <c r="A151" s="11" t="str">
        <f aca="false">TRIM('수출입 실적(품목별)'!A155)</f>
        <v>2024.02</v>
      </c>
      <c r="B151" s="17" t="n">
        <f aca="false">IFERROR(VALUE(LEFT($A151,4)),"")</f>
        <v>2024</v>
      </c>
      <c r="C151" s="17" t="n">
        <f aca="false">IFERROR(VALUE(RIGHT($A151,2)),"")</f>
        <v>2</v>
      </c>
      <c r="D151" s="17" t="n">
        <f aca="false">IFERROR(ROUNDUP($C151/3,0),"")</f>
        <v>1</v>
      </c>
      <c r="E151" s="11" t="str">
        <f aca="false">TRIM('수출입 실적(품목별)'!B155)</f>
        <v>52</v>
      </c>
      <c r="F151" s="11" t="str">
        <f aca="false">TRIM('수출입 실적(품목별)'!C155)</f>
        <v>면</v>
      </c>
      <c r="G151" s="18" t="n">
        <f aca="false">IFERROR(VALUE(SUBSTITUTE(TRIM('수출입 실적(품목별)'!D155),",","")),"")</f>
        <v>2731.6</v>
      </c>
      <c r="H151" s="19" t="n">
        <f aca="false">IFERROR(VALUE(SUBSTITUTE(TRIM('수출입 실적(품목별)'!E155),",","")),"")</f>
        <v>21304</v>
      </c>
      <c r="I151" s="18" t="n">
        <f aca="false">IFERROR(VALUE(SUBSTITUTE(TRIM('수출입 실적(품목별)'!F155),",","")),"")</f>
        <v>20255.2</v>
      </c>
      <c r="J151" s="19" t="n">
        <f aca="false">IFERROR(VALUE(SUBSTITUTE(TRIM('수출입 실적(품목별)'!G155),",","")),"")</f>
        <v>61935</v>
      </c>
      <c r="K151" s="19" t="n">
        <f aca="false">IFERROR(VALUE(SUBSTITUTE(TRIM('수출입 실적(품목별)'!H155),",","")),"")</f>
        <v>-40631</v>
      </c>
    </row>
    <row r="152" customFormat="false" ht="15" hidden="false" customHeight="true" outlineLevel="0" collapsed="false">
      <c r="A152" s="11" t="str">
        <f aca="false">TRIM('수출입 실적(품목별)'!A156)</f>
        <v>2024.02</v>
      </c>
      <c r="B152" s="17" t="n">
        <f aca="false">IFERROR(VALUE(LEFT($A152,4)),"")</f>
        <v>2024</v>
      </c>
      <c r="C152" s="17" t="n">
        <f aca="false">IFERROR(VALUE(RIGHT($A152,2)),"")</f>
        <v>2</v>
      </c>
      <c r="D152" s="17" t="n">
        <f aca="false">IFERROR(ROUNDUP($C152/3,0),"")</f>
        <v>1</v>
      </c>
      <c r="E152" s="11" t="str">
        <f aca="false">TRIM('수출입 실적(품목별)'!B156)</f>
        <v>53</v>
      </c>
      <c r="F152" s="11" t="str">
        <f aca="false">TRIM('수출입 실적(품목별)'!C156)</f>
        <v>그 밖의 식물성 방직용 섬유, 종이실(paper yarn)과 종이실로 만든 직물</v>
      </c>
      <c r="G152" s="18" t="n">
        <f aca="false">IFERROR(VALUE(SUBSTITUTE(TRIM('수출입 실적(품목별)'!D156),",","")),"")</f>
        <v>27.6</v>
      </c>
      <c r="H152" s="19" t="n">
        <f aca="false">IFERROR(VALUE(SUBSTITUTE(TRIM('수출입 실적(품목별)'!E156),",","")),"")</f>
        <v>665</v>
      </c>
      <c r="I152" s="18" t="n">
        <f aca="false">IFERROR(VALUE(SUBSTITUTE(TRIM('수출입 실적(품목별)'!F156),",","")),"")</f>
        <v>863.3</v>
      </c>
      <c r="J152" s="19" t="n">
        <f aca="false">IFERROR(VALUE(SUBSTITUTE(TRIM('수출입 실적(품목별)'!G156),",","")),"")</f>
        <v>5200</v>
      </c>
      <c r="K152" s="19" t="n">
        <f aca="false">IFERROR(VALUE(SUBSTITUTE(TRIM('수출입 실적(품목별)'!H156),",","")),"")</f>
        <v>-4535</v>
      </c>
    </row>
    <row r="153" customFormat="false" ht="15" hidden="false" customHeight="true" outlineLevel="0" collapsed="false">
      <c r="A153" s="11" t="str">
        <f aca="false">TRIM('수출입 실적(품목별)'!A157)</f>
        <v>2024.02</v>
      </c>
      <c r="B153" s="17" t="n">
        <f aca="false">IFERROR(VALUE(LEFT($A153,4)),"")</f>
        <v>2024</v>
      </c>
      <c r="C153" s="17" t="n">
        <f aca="false">IFERROR(VALUE(RIGHT($A153,2)),"")</f>
        <v>2</v>
      </c>
      <c r="D153" s="17" t="n">
        <f aca="false">IFERROR(ROUNDUP($C153/3,0),"")</f>
        <v>1</v>
      </c>
      <c r="E153" s="11" t="str">
        <f aca="false">TRIM('수출입 실적(품목별)'!B157)</f>
        <v>54</v>
      </c>
      <c r="F153" s="11" t="str">
        <f aca="false">TRIM('수출입 실적(품목별)'!C157)</f>
        <v>인조필라멘트, 인조방직용 섬유재료의 스트립(strip)과 이와 유사한 것</v>
      </c>
      <c r="G153" s="18" t="n">
        <f aca="false">IFERROR(VALUE(SUBSTITUTE(TRIM('수출입 실적(품목별)'!D157),",","")),"")</f>
        <v>25767.8</v>
      </c>
      <c r="H153" s="19" t="n">
        <f aca="false">IFERROR(VALUE(SUBSTITUTE(TRIM('수출입 실적(품목별)'!E157),",","")),"")</f>
        <v>160685</v>
      </c>
      <c r="I153" s="18" t="n">
        <f aca="false">IFERROR(VALUE(SUBSTITUTE(TRIM('수출입 실적(품목별)'!F157),",","")),"")</f>
        <v>31644.1</v>
      </c>
      <c r="J153" s="19" t="n">
        <f aca="false">IFERROR(VALUE(SUBSTITUTE(TRIM('수출입 실적(품목별)'!G157),",","")),"")</f>
        <v>73968</v>
      </c>
      <c r="K153" s="19" t="n">
        <f aca="false">IFERROR(VALUE(SUBSTITUTE(TRIM('수출입 실적(품목별)'!H157),",","")),"")</f>
        <v>86717</v>
      </c>
    </row>
    <row r="154" customFormat="false" ht="15" hidden="false" customHeight="true" outlineLevel="0" collapsed="false">
      <c r="A154" s="11" t="str">
        <f aca="false">TRIM('수출입 실적(품목별)'!A158)</f>
        <v>2024.02</v>
      </c>
      <c r="B154" s="17" t="n">
        <f aca="false">IFERROR(VALUE(LEFT($A154,4)),"")</f>
        <v>2024</v>
      </c>
      <c r="C154" s="17" t="n">
        <f aca="false">IFERROR(VALUE(RIGHT($A154,2)),"")</f>
        <v>2</v>
      </c>
      <c r="D154" s="17" t="n">
        <f aca="false">IFERROR(ROUNDUP($C154/3,0),"")</f>
        <v>1</v>
      </c>
      <c r="E154" s="11" t="str">
        <f aca="false">TRIM('수출입 실적(품목별)'!B158)</f>
        <v>55</v>
      </c>
      <c r="F154" s="11" t="str">
        <f aca="false">TRIM('수출입 실적(품목별)'!C158)</f>
        <v>인조스테이플섬유</v>
      </c>
      <c r="G154" s="18" t="n">
        <f aca="false">IFERROR(VALUE(SUBSTITUTE(TRIM('수출입 실적(품목별)'!D158),",","")),"")</f>
        <v>56907.8</v>
      </c>
      <c r="H154" s="19" t="n">
        <f aca="false">IFERROR(VALUE(SUBSTITUTE(TRIM('수출입 실적(품목별)'!E158),",","")),"")</f>
        <v>97400</v>
      </c>
      <c r="I154" s="18" t="n">
        <f aca="false">IFERROR(VALUE(SUBSTITUTE(TRIM('수출입 실적(품목별)'!F158),",","")),"")</f>
        <v>10234</v>
      </c>
      <c r="J154" s="19" t="n">
        <f aca="false">IFERROR(VALUE(SUBSTITUTE(TRIM('수출입 실적(품목별)'!G158),",","")),"")</f>
        <v>39506</v>
      </c>
      <c r="K154" s="19" t="n">
        <f aca="false">IFERROR(VALUE(SUBSTITUTE(TRIM('수출입 실적(품목별)'!H158),",","")),"")</f>
        <v>57893</v>
      </c>
    </row>
    <row r="155" customFormat="false" ht="15" hidden="false" customHeight="true" outlineLevel="0" collapsed="false">
      <c r="A155" s="11" t="str">
        <f aca="false">TRIM('수출입 실적(품목별)'!A159)</f>
        <v>2024.02</v>
      </c>
      <c r="B155" s="17" t="n">
        <f aca="false">IFERROR(VALUE(LEFT($A155,4)),"")</f>
        <v>2024</v>
      </c>
      <c r="C155" s="17" t="n">
        <f aca="false">IFERROR(VALUE(RIGHT($A155,2)),"")</f>
        <v>2</v>
      </c>
      <c r="D155" s="17" t="n">
        <f aca="false">IFERROR(ROUNDUP($C155/3,0),"")</f>
        <v>1</v>
      </c>
      <c r="E155" s="11" t="str">
        <f aca="false">TRIM('수출입 실적(품목별)'!B159)</f>
        <v>56</v>
      </c>
      <c r="F155" s="11" t="str">
        <f aca="false">TRIM('수출입 실적(품목별)'!C159)</f>
        <v>워딩(wadding)ㆍ펠트(felt)ㆍ부직포, 특수사, 끈ㆍ배의 밧줄(cordage)ㆍ로프ㆍ케이블과 이들의 제품</v>
      </c>
      <c r="G155" s="18" t="n">
        <f aca="false">IFERROR(VALUE(SUBSTITUTE(TRIM('수출입 실적(품목별)'!D159),",","")),"")</f>
        <v>8754.5</v>
      </c>
      <c r="H155" s="19" t="n">
        <f aca="false">IFERROR(VALUE(SUBSTITUTE(TRIM('수출입 실적(품목별)'!E159),",","")),"")</f>
        <v>62671</v>
      </c>
      <c r="I155" s="18" t="n">
        <f aca="false">IFERROR(VALUE(SUBSTITUTE(TRIM('수출입 실적(품목별)'!F159),",","")),"")</f>
        <v>15034</v>
      </c>
      <c r="J155" s="19" t="n">
        <f aca="false">IFERROR(VALUE(SUBSTITUTE(TRIM('수출입 실적(품목별)'!G159),",","")),"")</f>
        <v>47205</v>
      </c>
      <c r="K155" s="19" t="n">
        <f aca="false">IFERROR(VALUE(SUBSTITUTE(TRIM('수출입 실적(품목별)'!H159),",","")),"")</f>
        <v>15466</v>
      </c>
    </row>
    <row r="156" customFormat="false" ht="15" hidden="false" customHeight="true" outlineLevel="0" collapsed="false">
      <c r="A156" s="11" t="str">
        <f aca="false">TRIM('수출입 실적(품목별)'!A160)</f>
        <v>2024.02</v>
      </c>
      <c r="B156" s="17" t="n">
        <f aca="false">IFERROR(VALUE(LEFT($A156,4)),"")</f>
        <v>2024</v>
      </c>
      <c r="C156" s="17" t="n">
        <f aca="false">IFERROR(VALUE(RIGHT($A156,2)),"")</f>
        <v>2</v>
      </c>
      <c r="D156" s="17" t="n">
        <f aca="false">IFERROR(ROUNDUP($C156/3,0),"")</f>
        <v>1</v>
      </c>
      <c r="E156" s="11" t="str">
        <f aca="false">TRIM('수출입 실적(품목별)'!B160)</f>
        <v>57</v>
      </c>
      <c r="F156" s="11" t="str">
        <f aca="false">TRIM('수출입 실적(품목별)'!C160)</f>
        <v>양탄자류와 그 밖의 방직용 섬유로 만든 바닥깔개</v>
      </c>
      <c r="G156" s="18" t="n">
        <f aca="false">IFERROR(VALUE(SUBSTITUTE(TRIM('수출입 실적(품목별)'!D160),",","")),"")</f>
        <v>497.8</v>
      </c>
      <c r="H156" s="19" t="n">
        <f aca="false">IFERROR(VALUE(SUBSTITUTE(TRIM('수출입 실적(품목별)'!E160),",","")),"")</f>
        <v>3065</v>
      </c>
      <c r="I156" s="18" t="n">
        <f aca="false">IFERROR(VALUE(SUBSTITUTE(TRIM('수출입 실적(품목별)'!F160),",","")),"")</f>
        <v>4197.3</v>
      </c>
      <c r="J156" s="19" t="n">
        <f aca="false">IFERROR(VALUE(SUBSTITUTE(TRIM('수출입 실적(품목별)'!G160),",","")),"")</f>
        <v>8780</v>
      </c>
      <c r="K156" s="19" t="n">
        <f aca="false">IFERROR(VALUE(SUBSTITUTE(TRIM('수출입 실적(품목별)'!H160),",","")),"")</f>
        <v>-5715</v>
      </c>
    </row>
    <row r="157" customFormat="false" ht="15" hidden="false" customHeight="true" outlineLevel="0" collapsed="false">
      <c r="A157" s="11" t="str">
        <f aca="false">TRIM('수출입 실적(품목별)'!A161)</f>
        <v>2024.02</v>
      </c>
      <c r="B157" s="17" t="n">
        <f aca="false">IFERROR(VALUE(LEFT($A157,4)),"")</f>
        <v>2024</v>
      </c>
      <c r="C157" s="17" t="n">
        <f aca="false">IFERROR(VALUE(RIGHT($A157,2)),"")</f>
        <v>2</v>
      </c>
      <c r="D157" s="17" t="n">
        <f aca="false">IFERROR(ROUNDUP($C157/3,0),"")</f>
        <v>1</v>
      </c>
      <c r="E157" s="11" t="str">
        <f aca="false">TRIM('수출입 실적(품목별)'!B161)</f>
        <v>58</v>
      </c>
      <c r="F157" s="11" t="str">
        <f aca="false">TRIM('수출입 실적(품목별)'!C161)</f>
        <v>특수직물, 터프트(tuft)한 직물, 레이스, 태피스트리(tapestry), 트리밍(trimming), 자수천</v>
      </c>
      <c r="G157" s="18" t="n">
        <f aca="false">IFERROR(VALUE(SUBSTITUTE(TRIM('수출입 실적(품목별)'!D161),",","")),"")</f>
        <v>1353.4</v>
      </c>
      <c r="H157" s="19" t="n">
        <f aca="false">IFERROR(VALUE(SUBSTITUTE(TRIM('수출입 실적(품목별)'!E161),",","")),"")</f>
        <v>16267</v>
      </c>
      <c r="I157" s="18" t="n">
        <f aca="false">IFERROR(VALUE(SUBSTITUTE(TRIM('수출입 실적(품목별)'!F161),",","")),"")</f>
        <v>520.6</v>
      </c>
      <c r="J157" s="19" t="n">
        <f aca="false">IFERROR(VALUE(SUBSTITUTE(TRIM('수출입 실적(품목별)'!G161),",","")),"")</f>
        <v>4402</v>
      </c>
      <c r="K157" s="19" t="n">
        <f aca="false">IFERROR(VALUE(SUBSTITUTE(TRIM('수출입 실적(품목별)'!H161),",","")),"")</f>
        <v>11865</v>
      </c>
    </row>
    <row r="158" customFormat="false" ht="15" hidden="false" customHeight="true" outlineLevel="0" collapsed="false">
      <c r="A158" s="11" t="str">
        <f aca="false">TRIM('수출입 실적(품목별)'!A162)</f>
        <v>2024.02</v>
      </c>
      <c r="B158" s="17" t="n">
        <f aca="false">IFERROR(VALUE(LEFT($A158,4)),"")</f>
        <v>2024</v>
      </c>
      <c r="C158" s="17" t="n">
        <f aca="false">IFERROR(VALUE(RIGHT($A158,2)),"")</f>
        <v>2</v>
      </c>
      <c r="D158" s="17" t="n">
        <f aca="false">IFERROR(ROUNDUP($C158/3,0),"")</f>
        <v>1</v>
      </c>
      <c r="E158" s="11" t="str">
        <f aca="false">TRIM('수출입 실적(품목별)'!B162)</f>
        <v>59</v>
      </c>
      <c r="F158" s="11" t="str">
        <f aca="false">TRIM('수출입 실적(품목별)'!C162)</f>
        <v>침투ㆍ도포ㆍ피복하거나 적층한 방직용 섬유의 직물, 공업용인 방직용 섬유제품</v>
      </c>
      <c r="G158" s="18" t="n">
        <f aca="false">IFERROR(VALUE(SUBSTITUTE(TRIM('수출입 실적(품목별)'!D162),",","")),"")</f>
        <v>9206</v>
      </c>
      <c r="H158" s="19" t="n">
        <f aca="false">IFERROR(VALUE(SUBSTITUTE(TRIM('수출입 실적(품목별)'!E162),",","")),"")</f>
        <v>94707</v>
      </c>
      <c r="I158" s="18" t="n">
        <f aca="false">IFERROR(VALUE(SUBSTITUTE(TRIM('수출입 실적(품목별)'!F162),",","")),"")</f>
        <v>5070.1</v>
      </c>
      <c r="J158" s="19" t="n">
        <f aca="false">IFERROR(VALUE(SUBSTITUTE(TRIM('수출입 실적(품목별)'!G162),",","")),"")</f>
        <v>30614</v>
      </c>
      <c r="K158" s="19" t="n">
        <f aca="false">IFERROR(VALUE(SUBSTITUTE(TRIM('수출입 실적(품목별)'!H162),",","")),"")</f>
        <v>64093</v>
      </c>
    </row>
    <row r="159" customFormat="false" ht="15" hidden="false" customHeight="true" outlineLevel="0" collapsed="false">
      <c r="A159" s="11" t="str">
        <f aca="false">TRIM('수출입 실적(품목별)'!A163)</f>
        <v>2024.02</v>
      </c>
      <c r="B159" s="17" t="n">
        <f aca="false">IFERROR(VALUE(LEFT($A159,4)),"")</f>
        <v>2024</v>
      </c>
      <c r="C159" s="17" t="n">
        <f aca="false">IFERROR(VALUE(RIGHT($A159,2)),"")</f>
        <v>2</v>
      </c>
      <c r="D159" s="17" t="n">
        <f aca="false">IFERROR(ROUNDUP($C159/3,0),"")</f>
        <v>1</v>
      </c>
      <c r="E159" s="11" t="str">
        <f aca="false">TRIM('수출입 실적(품목별)'!B163)</f>
        <v>60</v>
      </c>
      <c r="F159" s="11" t="str">
        <f aca="false">TRIM('수출입 실적(품목별)'!C163)</f>
        <v>메리야스 편물과 뜨개질 편물</v>
      </c>
      <c r="G159" s="18" t="n">
        <f aca="false">IFERROR(VALUE(SUBSTITUTE(TRIM('수출입 실적(품목별)'!D163),",","")),"")</f>
        <v>18326.1</v>
      </c>
      <c r="H159" s="19" t="n">
        <f aca="false">IFERROR(VALUE(SUBSTITUTE(TRIM('수출입 실적(품목별)'!E163),",","")),"")</f>
        <v>142974</v>
      </c>
      <c r="I159" s="18" t="n">
        <f aca="false">IFERROR(VALUE(SUBSTITUTE(TRIM('수출입 실적(품목별)'!F163),",","")),"")</f>
        <v>1390.6</v>
      </c>
      <c r="J159" s="19" t="n">
        <f aca="false">IFERROR(VALUE(SUBSTITUTE(TRIM('수출입 실적(품목별)'!G163),",","")),"")</f>
        <v>7485</v>
      </c>
      <c r="K159" s="19" t="n">
        <f aca="false">IFERROR(VALUE(SUBSTITUTE(TRIM('수출입 실적(품목별)'!H163),",","")),"")</f>
        <v>135489</v>
      </c>
    </row>
    <row r="160" customFormat="false" ht="15" hidden="false" customHeight="true" outlineLevel="0" collapsed="false">
      <c r="A160" s="11" t="str">
        <f aca="false">TRIM('수출입 실적(품목별)'!A164)</f>
        <v>2024.02</v>
      </c>
      <c r="B160" s="17" t="n">
        <f aca="false">IFERROR(VALUE(LEFT($A160,4)),"")</f>
        <v>2024</v>
      </c>
      <c r="C160" s="17" t="n">
        <f aca="false">IFERROR(VALUE(RIGHT($A160,2)),"")</f>
        <v>2</v>
      </c>
      <c r="D160" s="17" t="n">
        <f aca="false">IFERROR(ROUNDUP($C160/3,0),"")</f>
        <v>1</v>
      </c>
      <c r="E160" s="11" t="str">
        <f aca="false">TRIM('수출입 실적(품목별)'!B164)</f>
        <v>61</v>
      </c>
      <c r="F160" s="11" t="str">
        <f aca="false">TRIM('수출입 실적(품목별)'!C164)</f>
        <v>의류와 그 부속품(메리야스 편물이나 뜨개질 편물로 한정한다)</v>
      </c>
      <c r="G160" s="18" t="n">
        <f aca="false">IFERROR(VALUE(SUBSTITUTE(TRIM('수출입 실적(품목별)'!D164),",","")),"")</f>
        <v>2315.6</v>
      </c>
      <c r="H160" s="19" t="n">
        <f aca="false">IFERROR(VALUE(SUBSTITUTE(TRIM('수출입 실적(품목별)'!E164),",","")),"")</f>
        <v>60261</v>
      </c>
      <c r="I160" s="18" t="n">
        <f aca="false">IFERROR(VALUE(SUBSTITUTE(TRIM('수출입 실적(품목별)'!F164),",","")),"")</f>
        <v>15733.9</v>
      </c>
      <c r="J160" s="19" t="n">
        <f aca="false">IFERROR(VALUE(SUBSTITUTE(TRIM('수출입 실적(품목별)'!G164),",","")),"")</f>
        <v>366215</v>
      </c>
      <c r="K160" s="19" t="n">
        <f aca="false">IFERROR(VALUE(SUBSTITUTE(TRIM('수출입 실적(품목별)'!H164),",","")),"")</f>
        <v>-305954</v>
      </c>
    </row>
    <row r="161" customFormat="false" ht="15" hidden="false" customHeight="true" outlineLevel="0" collapsed="false">
      <c r="A161" s="11" t="str">
        <f aca="false">TRIM('수출입 실적(품목별)'!A165)</f>
        <v>2024.02</v>
      </c>
      <c r="B161" s="17" t="n">
        <f aca="false">IFERROR(VALUE(LEFT($A161,4)),"")</f>
        <v>2024</v>
      </c>
      <c r="C161" s="17" t="n">
        <f aca="false">IFERROR(VALUE(RIGHT($A161,2)),"")</f>
        <v>2</v>
      </c>
      <c r="D161" s="17" t="n">
        <f aca="false">IFERROR(ROUNDUP($C161/3,0),"")</f>
        <v>1</v>
      </c>
      <c r="E161" s="11" t="str">
        <f aca="false">TRIM('수출입 실적(품목별)'!B165)</f>
        <v>62</v>
      </c>
      <c r="F161" s="11" t="str">
        <f aca="false">TRIM('수출입 실적(품목별)'!C165)</f>
        <v>의류와 그 부속품(메리야스 편물이나 뜨개질편물은 제외한다)</v>
      </c>
      <c r="G161" s="18" t="n">
        <f aca="false">IFERROR(VALUE(SUBSTITUTE(TRIM('수출입 실적(품목별)'!D165),",","")),"")</f>
        <v>2282.3</v>
      </c>
      <c r="H161" s="19" t="n">
        <f aca="false">IFERROR(VALUE(SUBSTITUTE(TRIM('수출입 실적(품목별)'!E165),",","")),"")</f>
        <v>64578</v>
      </c>
      <c r="I161" s="18" t="n">
        <f aca="false">IFERROR(VALUE(SUBSTITUTE(TRIM('수출입 실적(품목별)'!F165),",","")),"")</f>
        <v>14589.2</v>
      </c>
      <c r="J161" s="19" t="n">
        <f aca="false">IFERROR(VALUE(SUBSTITUTE(TRIM('수출입 실적(품목별)'!G165),",","")),"")</f>
        <v>530287</v>
      </c>
      <c r="K161" s="19" t="n">
        <f aca="false">IFERROR(VALUE(SUBSTITUTE(TRIM('수출입 실적(품목별)'!H165),",","")),"")</f>
        <v>-465709</v>
      </c>
    </row>
    <row r="162" customFormat="false" ht="15" hidden="false" customHeight="true" outlineLevel="0" collapsed="false">
      <c r="A162" s="11" t="str">
        <f aca="false">TRIM('수출입 실적(품목별)'!A166)</f>
        <v>2024.02</v>
      </c>
      <c r="B162" s="17" t="n">
        <f aca="false">IFERROR(VALUE(LEFT($A162,4)),"")</f>
        <v>2024</v>
      </c>
      <c r="C162" s="17" t="n">
        <f aca="false">IFERROR(VALUE(RIGHT($A162,2)),"")</f>
        <v>2</v>
      </c>
      <c r="D162" s="17" t="n">
        <f aca="false">IFERROR(ROUNDUP($C162/3,0),"")</f>
        <v>1</v>
      </c>
      <c r="E162" s="11" t="str">
        <f aca="false">TRIM('수출입 실적(품목별)'!B166)</f>
        <v>63</v>
      </c>
      <c r="F162" s="11" t="str">
        <f aca="false">TRIM('수출입 실적(품목별)'!C166)</f>
        <v>제품으로 된 방직용 섬유의 그 밖의 물품, 세트, 사용하던 의류ㆍ방직용 섬유제품, 넝마</v>
      </c>
      <c r="G162" s="18" t="n">
        <f aca="false">IFERROR(VALUE(SUBSTITUTE(TRIM('수출입 실적(품목별)'!D166),",","")),"")</f>
        <v>26502.7</v>
      </c>
      <c r="H162" s="19" t="n">
        <f aca="false">IFERROR(VALUE(SUBSTITUTE(TRIM('수출입 실적(품목별)'!E166),",","")),"")</f>
        <v>52819</v>
      </c>
      <c r="I162" s="18" t="n">
        <f aca="false">IFERROR(VALUE(SUBSTITUTE(TRIM('수출입 실적(품목별)'!F166),",","")),"")</f>
        <v>19296.3</v>
      </c>
      <c r="J162" s="19" t="n">
        <f aca="false">IFERROR(VALUE(SUBSTITUTE(TRIM('수출입 실적(품목별)'!G166),",","")),"")</f>
        <v>75671</v>
      </c>
      <c r="K162" s="19" t="n">
        <f aca="false">IFERROR(VALUE(SUBSTITUTE(TRIM('수출입 실적(품목별)'!H166),",","")),"")</f>
        <v>-22852</v>
      </c>
    </row>
    <row r="163" customFormat="false" ht="15" hidden="false" customHeight="true" outlineLevel="0" collapsed="false">
      <c r="A163" s="11" t="str">
        <f aca="false">TRIM('수출입 실적(품목별)'!A167)</f>
        <v>2024.02</v>
      </c>
      <c r="B163" s="17" t="n">
        <f aca="false">IFERROR(VALUE(LEFT($A163,4)),"")</f>
        <v>2024</v>
      </c>
      <c r="C163" s="17" t="n">
        <f aca="false">IFERROR(VALUE(RIGHT($A163,2)),"")</f>
        <v>2</v>
      </c>
      <c r="D163" s="17" t="n">
        <f aca="false">IFERROR(ROUNDUP($C163/3,0),"")</f>
        <v>1</v>
      </c>
      <c r="E163" s="11" t="str">
        <f aca="false">TRIM('수출입 실적(품목별)'!B167)</f>
        <v>64</v>
      </c>
      <c r="F163" s="11" t="str">
        <f aca="false">TRIM('수출입 실적(품목별)'!C167)</f>
        <v>신발류ㆍ각반과 이와 유사한 것, 이들의 부분품</v>
      </c>
      <c r="G163" s="18" t="n">
        <f aca="false">IFERROR(VALUE(SUBSTITUTE(TRIM('수출입 실적(품목별)'!D167),",","")),"")</f>
        <v>1132.2</v>
      </c>
      <c r="H163" s="19" t="n">
        <f aca="false">IFERROR(VALUE(SUBSTITUTE(TRIM('수출입 실적(품목별)'!E167),",","")),"")</f>
        <v>31891</v>
      </c>
      <c r="I163" s="18" t="n">
        <f aca="false">IFERROR(VALUE(SUBSTITUTE(TRIM('수출입 실적(품목별)'!F167),",","")),"")</f>
        <v>9127.7</v>
      </c>
      <c r="J163" s="19" t="n">
        <f aca="false">IFERROR(VALUE(SUBSTITUTE(TRIM('수출입 실적(품목별)'!G167),",","")),"")</f>
        <v>295841</v>
      </c>
      <c r="K163" s="19" t="n">
        <f aca="false">IFERROR(VALUE(SUBSTITUTE(TRIM('수출입 실적(품목별)'!H167),",","")),"")</f>
        <v>-263950</v>
      </c>
    </row>
    <row r="164" customFormat="false" ht="15" hidden="false" customHeight="true" outlineLevel="0" collapsed="false">
      <c r="A164" s="11" t="str">
        <f aca="false">TRIM('수출입 실적(품목별)'!A168)</f>
        <v>2024.02</v>
      </c>
      <c r="B164" s="17" t="n">
        <f aca="false">IFERROR(VALUE(LEFT($A164,4)),"")</f>
        <v>2024</v>
      </c>
      <c r="C164" s="17" t="n">
        <f aca="false">IFERROR(VALUE(RIGHT($A164,2)),"")</f>
        <v>2</v>
      </c>
      <c r="D164" s="17" t="n">
        <f aca="false">IFERROR(ROUNDUP($C164/3,0),"")</f>
        <v>1</v>
      </c>
      <c r="E164" s="11" t="str">
        <f aca="false">TRIM('수출입 실적(품목별)'!B168)</f>
        <v>65</v>
      </c>
      <c r="F164" s="11" t="str">
        <f aca="false">TRIM('수출입 실적(품목별)'!C168)</f>
        <v>모자류와 그 부분품</v>
      </c>
      <c r="G164" s="18" t="n">
        <f aca="false">IFERROR(VALUE(SUBSTITUTE(TRIM('수출입 실적(품목별)'!D168),",","")),"")</f>
        <v>209.4</v>
      </c>
      <c r="H164" s="19" t="n">
        <f aca="false">IFERROR(VALUE(SUBSTITUTE(TRIM('수출입 실적(품목별)'!E168),",","")),"")</f>
        <v>6837</v>
      </c>
      <c r="I164" s="18" t="n">
        <f aca="false">IFERROR(VALUE(SUBSTITUTE(TRIM('수출입 실적(품목별)'!F168),",","")),"")</f>
        <v>493.6</v>
      </c>
      <c r="J164" s="19" t="n">
        <f aca="false">IFERROR(VALUE(SUBSTITUTE(TRIM('수출입 실적(품목별)'!G168),",","")),"")</f>
        <v>17852</v>
      </c>
      <c r="K164" s="19" t="n">
        <f aca="false">IFERROR(VALUE(SUBSTITUTE(TRIM('수출입 실적(품목별)'!H168),",","")),"")</f>
        <v>-11015</v>
      </c>
    </row>
    <row r="165" customFormat="false" ht="15" hidden="false" customHeight="true" outlineLevel="0" collapsed="false">
      <c r="A165" s="11" t="str">
        <f aca="false">TRIM('수출입 실적(품목별)'!A169)</f>
        <v>2024.02</v>
      </c>
      <c r="B165" s="17" t="n">
        <f aca="false">IFERROR(VALUE(LEFT($A165,4)),"")</f>
        <v>2024</v>
      </c>
      <c r="C165" s="17" t="n">
        <f aca="false">IFERROR(VALUE(RIGHT($A165,2)),"")</f>
        <v>2</v>
      </c>
      <c r="D165" s="17" t="n">
        <f aca="false">IFERROR(ROUNDUP($C165/3,0),"")</f>
        <v>1</v>
      </c>
      <c r="E165" s="11" t="str">
        <f aca="false">TRIM('수출입 실적(품목별)'!B169)</f>
        <v>66</v>
      </c>
      <c r="F165" s="11" t="str">
        <f aca="false">TRIM('수출입 실적(품목별)'!C169)</f>
        <v>산류(傘類)ㆍ지팡이ㆍ시트스틱(seat-stick)ㆍ채찍ㆍ승마용 채찍과 이들의 부분품</v>
      </c>
      <c r="G165" s="18" t="n">
        <f aca="false">IFERROR(VALUE(SUBSTITUTE(TRIM('수출입 실적(품목별)'!D169),",","")),"")</f>
        <v>2.5</v>
      </c>
      <c r="H165" s="19" t="n">
        <f aca="false">IFERROR(VALUE(SUBSTITUTE(TRIM('수출입 실적(품목별)'!E169),",","")),"")</f>
        <v>98</v>
      </c>
      <c r="I165" s="18" t="n">
        <f aca="false">IFERROR(VALUE(SUBSTITUTE(TRIM('수출입 실적(품목별)'!F169),",","")),"")</f>
        <v>1247.7</v>
      </c>
      <c r="J165" s="19" t="n">
        <f aca="false">IFERROR(VALUE(SUBSTITUTE(TRIM('수출입 실적(품목별)'!G169),",","")),"")</f>
        <v>8559</v>
      </c>
      <c r="K165" s="19" t="n">
        <f aca="false">IFERROR(VALUE(SUBSTITUTE(TRIM('수출입 실적(품목별)'!H169),",","")),"")</f>
        <v>-8462</v>
      </c>
    </row>
    <row r="166" customFormat="false" ht="15" hidden="false" customHeight="true" outlineLevel="0" collapsed="false">
      <c r="A166" s="11" t="str">
        <f aca="false">TRIM('수출입 실적(품목별)'!A170)</f>
        <v>2024.02</v>
      </c>
      <c r="B166" s="17" t="n">
        <f aca="false">IFERROR(VALUE(LEFT($A166,4)),"")</f>
        <v>2024</v>
      </c>
      <c r="C166" s="17" t="n">
        <f aca="false">IFERROR(VALUE(RIGHT($A166,2)),"")</f>
        <v>2</v>
      </c>
      <c r="D166" s="17" t="n">
        <f aca="false">IFERROR(ROUNDUP($C166/3,0),"")</f>
        <v>1</v>
      </c>
      <c r="E166" s="11" t="str">
        <f aca="false">TRIM('수출입 실적(품목별)'!B170)</f>
        <v>67</v>
      </c>
      <c r="F166" s="11" t="str">
        <f aca="false">TRIM('수출입 실적(품목별)'!C170)</f>
        <v>조제 깃털ㆍ솜털과 그 제품, 조화, 사람 머리카락으로 된 제품</v>
      </c>
      <c r="G166" s="18" t="n">
        <f aca="false">IFERROR(VALUE(SUBSTITUTE(TRIM('수출입 실적(품목별)'!D170),",","")),"")</f>
        <v>43</v>
      </c>
      <c r="H166" s="19" t="n">
        <f aca="false">IFERROR(VALUE(SUBSTITUTE(TRIM('수출입 실적(품목별)'!E170),",","")),"")</f>
        <v>1429</v>
      </c>
      <c r="I166" s="18" t="n">
        <f aca="false">IFERROR(VALUE(SUBSTITUTE(TRIM('수출입 실적(품목별)'!F170),",","")),"")</f>
        <v>281.8</v>
      </c>
      <c r="J166" s="19" t="n">
        <f aca="false">IFERROR(VALUE(SUBSTITUTE(TRIM('수출입 실적(품목별)'!G170),",","")),"")</f>
        <v>5579</v>
      </c>
      <c r="K166" s="19" t="n">
        <f aca="false">IFERROR(VALUE(SUBSTITUTE(TRIM('수출입 실적(품목별)'!H170),",","")),"")</f>
        <v>-4150</v>
      </c>
    </row>
    <row r="167" customFormat="false" ht="15" hidden="false" customHeight="true" outlineLevel="0" collapsed="false">
      <c r="A167" s="11" t="str">
        <f aca="false">TRIM('수출입 실적(품목별)'!A171)</f>
        <v>2024.02</v>
      </c>
      <c r="B167" s="17" t="n">
        <f aca="false">IFERROR(VALUE(LEFT($A167,4)),"")</f>
        <v>2024</v>
      </c>
      <c r="C167" s="17" t="n">
        <f aca="false">IFERROR(VALUE(RIGHT($A167,2)),"")</f>
        <v>2</v>
      </c>
      <c r="D167" s="17" t="n">
        <f aca="false">IFERROR(ROUNDUP($C167/3,0),"")</f>
        <v>1</v>
      </c>
      <c r="E167" s="11" t="str">
        <f aca="false">TRIM('수출입 실적(품목별)'!B171)</f>
        <v>68</v>
      </c>
      <c r="F167" s="11" t="str">
        <f aca="false">TRIM('수출입 실적(품목별)'!C171)</f>
        <v>돌ㆍ플라스터(plaster)ㆍ시멘트ㆍ석면ㆍ운모나 이와 유사한 재료의 제품</v>
      </c>
      <c r="G167" s="18" t="n">
        <f aca="false">IFERROR(VALUE(SUBSTITUTE(TRIM('수출입 실적(품목별)'!D171),",","")),"")</f>
        <v>10069</v>
      </c>
      <c r="H167" s="19" t="n">
        <f aca="false">IFERROR(VALUE(SUBSTITUTE(TRIM('수출입 실적(품목별)'!E171),",","")),"")</f>
        <v>73422</v>
      </c>
      <c r="I167" s="18" t="n">
        <f aca="false">IFERROR(VALUE(SUBSTITUTE(TRIM('수출입 실적(품목별)'!F171),",","")),"")</f>
        <v>132524.5</v>
      </c>
      <c r="J167" s="19" t="n">
        <f aca="false">IFERROR(VALUE(SUBSTITUTE(TRIM('수출입 실적(품목별)'!G171),",","")),"")</f>
        <v>88482</v>
      </c>
      <c r="K167" s="19" t="n">
        <f aca="false">IFERROR(VALUE(SUBSTITUTE(TRIM('수출입 실적(품목별)'!H171),",","")),"")</f>
        <v>-15060</v>
      </c>
    </row>
    <row r="168" customFormat="false" ht="15" hidden="false" customHeight="true" outlineLevel="0" collapsed="false">
      <c r="A168" s="11" t="str">
        <f aca="false">TRIM('수출입 실적(품목별)'!A172)</f>
        <v>2024.02</v>
      </c>
      <c r="B168" s="17" t="n">
        <f aca="false">IFERROR(VALUE(LEFT($A168,4)),"")</f>
        <v>2024</v>
      </c>
      <c r="C168" s="17" t="n">
        <f aca="false">IFERROR(VALUE(RIGHT($A168,2)),"")</f>
        <v>2</v>
      </c>
      <c r="D168" s="17" t="n">
        <f aca="false">IFERROR(ROUNDUP($C168/3,0),"")</f>
        <v>1</v>
      </c>
      <c r="E168" s="11" t="str">
        <f aca="false">TRIM('수출입 실적(품목별)'!B172)</f>
        <v>69</v>
      </c>
      <c r="F168" s="11" t="str">
        <f aca="false">TRIM('수출입 실적(품목별)'!C172)</f>
        <v>도자제품</v>
      </c>
      <c r="G168" s="18" t="n">
        <f aca="false">IFERROR(VALUE(SUBSTITUTE(TRIM('수출입 실적(품목별)'!D172),",","")),"")</f>
        <v>2425.9</v>
      </c>
      <c r="H168" s="19" t="n">
        <f aca="false">IFERROR(VALUE(SUBSTITUTE(TRIM('수출입 실적(품목별)'!E172),",","")),"")</f>
        <v>27853</v>
      </c>
      <c r="I168" s="18" t="n">
        <f aca="false">IFERROR(VALUE(SUBSTITUTE(TRIM('수출입 실적(품목별)'!F172),",","")),"")</f>
        <v>101080.7</v>
      </c>
      <c r="J168" s="19" t="n">
        <f aca="false">IFERROR(VALUE(SUBSTITUTE(TRIM('수출입 실적(품목별)'!G172),",","")),"")</f>
        <v>108755</v>
      </c>
      <c r="K168" s="19" t="n">
        <f aca="false">IFERROR(VALUE(SUBSTITUTE(TRIM('수출입 실적(품목별)'!H172),",","")),"")</f>
        <v>-80902</v>
      </c>
    </row>
    <row r="169" customFormat="false" ht="15" hidden="false" customHeight="true" outlineLevel="0" collapsed="false">
      <c r="A169" s="11" t="str">
        <f aca="false">TRIM('수출입 실적(품목별)'!A173)</f>
        <v>2024.02</v>
      </c>
      <c r="B169" s="17" t="n">
        <f aca="false">IFERROR(VALUE(LEFT($A169,4)),"")</f>
        <v>2024</v>
      </c>
      <c r="C169" s="17" t="n">
        <f aca="false">IFERROR(VALUE(RIGHT($A169,2)),"")</f>
        <v>2</v>
      </c>
      <c r="D169" s="17" t="n">
        <f aca="false">IFERROR(ROUNDUP($C169/3,0),"")</f>
        <v>1</v>
      </c>
      <c r="E169" s="11" t="str">
        <f aca="false">TRIM('수출입 실적(품목별)'!B173)</f>
        <v>70</v>
      </c>
      <c r="F169" s="11" t="str">
        <f aca="false">TRIM('수출입 실적(품목별)'!C173)</f>
        <v>유리와 유리제품</v>
      </c>
      <c r="G169" s="18" t="n">
        <f aca="false">IFERROR(VALUE(SUBSTITUTE(TRIM('수출입 실적(품목별)'!D173),",","")),"")</f>
        <v>30079</v>
      </c>
      <c r="H169" s="19" t="n">
        <f aca="false">IFERROR(VALUE(SUBSTITUTE(TRIM('수출입 실적(품목별)'!E173),",","")),"")</f>
        <v>148010</v>
      </c>
      <c r="I169" s="18" t="n">
        <f aca="false">IFERROR(VALUE(SUBSTITUTE(TRIM('수출입 실적(품목별)'!F173),",","")),"")</f>
        <v>89284.2</v>
      </c>
      <c r="J169" s="19" t="n">
        <f aca="false">IFERROR(VALUE(SUBSTITUTE(TRIM('수출입 실적(품목별)'!G173),",","")),"")</f>
        <v>185011</v>
      </c>
      <c r="K169" s="19" t="n">
        <f aca="false">IFERROR(VALUE(SUBSTITUTE(TRIM('수출입 실적(품목별)'!H173),",","")),"")</f>
        <v>-37001</v>
      </c>
    </row>
    <row r="170" customFormat="false" ht="15" hidden="false" customHeight="true" outlineLevel="0" collapsed="false">
      <c r="A170" s="11" t="str">
        <f aca="false">TRIM('수출입 실적(품목별)'!A174)</f>
        <v>2024.02</v>
      </c>
      <c r="B170" s="17" t="n">
        <f aca="false">IFERROR(VALUE(LEFT($A170,4)),"")</f>
        <v>2024</v>
      </c>
      <c r="C170" s="17" t="n">
        <f aca="false">IFERROR(VALUE(RIGHT($A170,2)),"")</f>
        <v>2</v>
      </c>
      <c r="D170" s="17" t="n">
        <f aca="false">IFERROR(ROUNDUP($C170/3,0),"")</f>
        <v>1</v>
      </c>
      <c r="E170" s="11" t="str">
        <f aca="false">TRIM('수출입 실적(품목별)'!B174)</f>
        <v>71</v>
      </c>
      <c r="F170" s="11" t="str">
        <f aca="false">TRIM('수출입 실적(품목별)'!C174)</f>
        <v>천연진주ㆍ양식진주ㆍ귀석ㆍ반귀석ㆍ귀금속ㆍ귀금속을 입힌 금속과 이들의 제품, 모조 신변장식용품, 주화</v>
      </c>
      <c r="G170" s="18" t="n">
        <f aca="false">IFERROR(VALUE(SUBSTITUTE(TRIM('수출입 실적(품목별)'!D174),",","")),"")</f>
        <v>719.9</v>
      </c>
      <c r="H170" s="19" t="n">
        <f aca="false">IFERROR(VALUE(SUBSTITUTE(TRIM('수출입 실적(품목별)'!E174),",","")),"")</f>
        <v>347542</v>
      </c>
      <c r="I170" s="18" t="n">
        <f aca="false">IFERROR(VALUE(SUBSTITUTE(TRIM('수출입 실적(품목별)'!F174),",","")),"")</f>
        <v>1545.3</v>
      </c>
      <c r="J170" s="19" t="n">
        <f aca="false">IFERROR(VALUE(SUBSTITUTE(TRIM('수출입 실적(품목별)'!G174),",","")),"")</f>
        <v>319735</v>
      </c>
      <c r="K170" s="19" t="n">
        <f aca="false">IFERROR(VALUE(SUBSTITUTE(TRIM('수출입 실적(품목별)'!H174),",","")),"")</f>
        <v>27807</v>
      </c>
    </row>
    <row r="171" customFormat="false" ht="15" hidden="false" customHeight="true" outlineLevel="0" collapsed="false">
      <c r="A171" s="11" t="str">
        <f aca="false">TRIM('수출입 실적(품목별)'!A175)</f>
        <v>2024.02</v>
      </c>
      <c r="B171" s="17" t="n">
        <f aca="false">IFERROR(VALUE(LEFT($A171,4)),"")</f>
        <v>2024</v>
      </c>
      <c r="C171" s="17" t="n">
        <f aca="false">IFERROR(VALUE(RIGHT($A171,2)),"")</f>
        <v>2</v>
      </c>
      <c r="D171" s="17" t="n">
        <f aca="false">IFERROR(ROUNDUP($C171/3,0),"")</f>
        <v>1</v>
      </c>
      <c r="E171" s="11" t="str">
        <f aca="false">TRIM('수출입 실적(품목별)'!B175)</f>
        <v>72</v>
      </c>
      <c r="F171" s="11" t="str">
        <f aca="false">TRIM('수출입 실적(품목별)'!C175)</f>
        <v>철강</v>
      </c>
      <c r="G171" s="18" t="n">
        <f aca="false">IFERROR(VALUE(SUBSTITUTE(TRIM('수출입 실적(품목별)'!D175),",","")),"")</f>
        <v>2109328.5</v>
      </c>
      <c r="H171" s="19" t="n">
        <f aca="false">IFERROR(VALUE(SUBSTITUTE(TRIM('수출입 실적(품목별)'!E175),",","")),"")</f>
        <v>2037922</v>
      </c>
      <c r="I171" s="18" t="n">
        <f aca="false">IFERROR(VALUE(SUBSTITUTE(TRIM('수출입 실적(품목별)'!F175),",","")),"")</f>
        <v>1556210.6</v>
      </c>
      <c r="J171" s="19" t="n">
        <f aca="false">IFERROR(VALUE(SUBSTITUTE(TRIM('수출입 실적(품목별)'!G175),",","")),"")</f>
        <v>1254325</v>
      </c>
      <c r="K171" s="19" t="n">
        <f aca="false">IFERROR(VALUE(SUBSTITUTE(TRIM('수출입 실적(품목별)'!H175),",","")),"")</f>
        <v>783596</v>
      </c>
    </row>
    <row r="172" customFormat="false" ht="15" hidden="false" customHeight="true" outlineLevel="0" collapsed="false">
      <c r="A172" s="11" t="str">
        <f aca="false">TRIM('수출입 실적(품목별)'!A176)</f>
        <v>2024.02</v>
      </c>
      <c r="B172" s="17" t="n">
        <f aca="false">IFERROR(VALUE(LEFT($A172,4)),"")</f>
        <v>2024</v>
      </c>
      <c r="C172" s="17" t="n">
        <f aca="false">IFERROR(VALUE(RIGHT($A172,2)),"")</f>
        <v>2</v>
      </c>
      <c r="D172" s="17" t="n">
        <f aca="false">IFERROR(ROUNDUP($C172/3,0),"")</f>
        <v>1</v>
      </c>
      <c r="E172" s="11" t="str">
        <f aca="false">TRIM('수출입 실적(품목별)'!B176)</f>
        <v>73</v>
      </c>
      <c r="F172" s="11" t="str">
        <f aca="false">TRIM('수출입 실적(품목별)'!C176)</f>
        <v>철강의 제품</v>
      </c>
      <c r="G172" s="18" t="n">
        <f aca="false">IFERROR(VALUE(SUBSTITUTE(TRIM('수출입 실적(품목별)'!D176),",","")),"")</f>
        <v>283466.9</v>
      </c>
      <c r="H172" s="19" t="n">
        <f aca="false">IFERROR(VALUE(SUBSTITUTE(TRIM('수출입 실적(품목별)'!E176),",","")),"")</f>
        <v>750069</v>
      </c>
      <c r="I172" s="18" t="n">
        <f aca="false">IFERROR(VALUE(SUBSTITUTE(TRIM('수출입 실적(품목별)'!F176),",","")),"")</f>
        <v>192347.3</v>
      </c>
      <c r="J172" s="19" t="n">
        <f aca="false">IFERROR(VALUE(SUBSTITUTE(TRIM('수출입 실적(품목별)'!G176),",","")),"")</f>
        <v>529077</v>
      </c>
      <c r="K172" s="19" t="n">
        <f aca="false">IFERROR(VALUE(SUBSTITUTE(TRIM('수출입 실적(품목별)'!H176),",","")),"")</f>
        <v>220992</v>
      </c>
    </row>
    <row r="173" customFormat="false" ht="15" hidden="false" customHeight="true" outlineLevel="0" collapsed="false">
      <c r="A173" s="11" t="str">
        <f aca="false">TRIM('수출입 실적(품목별)'!A177)</f>
        <v>2024.02</v>
      </c>
      <c r="B173" s="17" t="n">
        <f aca="false">IFERROR(VALUE(LEFT($A173,4)),"")</f>
        <v>2024</v>
      </c>
      <c r="C173" s="17" t="n">
        <f aca="false">IFERROR(VALUE(RIGHT($A173,2)),"")</f>
        <v>2</v>
      </c>
      <c r="D173" s="17" t="n">
        <f aca="false">IFERROR(ROUNDUP($C173/3,0),"")</f>
        <v>1</v>
      </c>
      <c r="E173" s="11" t="str">
        <f aca="false">TRIM('수출입 실적(품목별)'!B177)</f>
        <v>74</v>
      </c>
      <c r="F173" s="11" t="str">
        <f aca="false">TRIM('수출입 실적(품목별)'!C177)</f>
        <v>구리와 그 제품</v>
      </c>
      <c r="G173" s="18" t="n">
        <f aca="false">IFERROR(VALUE(SUBSTITUTE(TRIM('수출입 실적(품목별)'!D177),",","")),"")</f>
        <v>41942.8</v>
      </c>
      <c r="H173" s="19" t="n">
        <f aca="false">IFERROR(VALUE(SUBSTITUTE(TRIM('수출입 실적(품목별)'!E177),",","")),"")</f>
        <v>362502</v>
      </c>
      <c r="I173" s="18" t="n">
        <f aca="false">IFERROR(VALUE(SUBSTITUTE(TRIM('수출입 실적(품목별)'!F177),",","")),"")</f>
        <v>64305.1</v>
      </c>
      <c r="J173" s="19" t="n">
        <f aca="false">IFERROR(VALUE(SUBSTITUTE(TRIM('수출입 실적(품목별)'!G177),",","")),"")</f>
        <v>535518</v>
      </c>
      <c r="K173" s="19" t="n">
        <f aca="false">IFERROR(VALUE(SUBSTITUTE(TRIM('수출입 실적(품목별)'!H177),",","")),"")</f>
        <v>-173016</v>
      </c>
    </row>
    <row r="174" customFormat="false" ht="15" hidden="false" customHeight="true" outlineLevel="0" collapsed="false">
      <c r="A174" s="11" t="str">
        <f aca="false">TRIM('수출입 실적(품목별)'!A178)</f>
        <v>2024.02</v>
      </c>
      <c r="B174" s="17" t="n">
        <f aca="false">IFERROR(VALUE(LEFT($A174,4)),"")</f>
        <v>2024</v>
      </c>
      <c r="C174" s="17" t="n">
        <f aca="false">IFERROR(VALUE(RIGHT($A174,2)),"")</f>
        <v>2</v>
      </c>
      <c r="D174" s="17" t="n">
        <f aca="false">IFERROR(ROUNDUP($C174/3,0),"")</f>
        <v>1</v>
      </c>
      <c r="E174" s="11" t="str">
        <f aca="false">TRIM('수출입 실적(품목별)'!B178)</f>
        <v>75</v>
      </c>
      <c r="F174" s="11" t="str">
        <f aca="false">TRIM('수출입 실적(품목별)'!C178)</f>
        <v>니켈과 그 제품</v>
      </c>
      <c r="G174" s="18" t="n">
        <f aca="false">IFERROR(VALUE(SUBSTITUTE(TRIM('수출입 실적(품목별)'!D178),",","")),"")</f>
        <v>689.6</v>
      </c>
      <c r="H174" s="19" t="n">
        <f aca="false">IFERROR(VALUE(SUBSTITUTE(TRIM('수출입 실적(품목별)'!E178),",","")),"")</f>
        <v>15797</v>
      </c>
      <c r="I174" s="18" t="n">
        <f aca="false">IFERROR(VALUE(SUBSTITUTE(TRIM('수출입 실적(품목별)'!F178),",","")),"")</f>
        <v>12769</v>
      </c>
      <c r="J174" s="19" t="n">
        <f aca="false">IFERROR(VALUE(SUBSTITUTE(TRIM('수출입 실적(품목별)'!G178),",","")),"")</f>
        <v>135436</v>
      </c>
      <c r="K174" s="19" t="n">
        <f aca="false">IFERROR(VALUE(SUBSTITUTE(TRIM('수출입 실적(품목별)'!H178),",","")),"")</f>
        <v>-119639</v>
      </c>
    </row>
    <row r="175" customFormat="false" ht="15" hidden="false" customHeight="true" outlineLevel="0" collapsed="false">
      <c r="A175" s="11" t="str">
        <f aca="false">TRIM('수출입 실적(품목별)'!A179)</f>
        <v>2024.02</v>
      </c>
      <c r="B175" s="17" t="n">
        <f aca="false">IFERROR(VALUE(LEFT($A175,4)),"")</f>
        <v>2024</v>
      </c>
      <c r="C175" s="17" t="n">
        <f aca="false">IFERROR(VALUE(RIGHT($A175,2)),"")</f>
        <v>2</v>
      </c>
      <c r="D175" s="17" t="n">
        <f aca="false">IFERROR(ROUNDUP($C175/3,0),"")</f>
        <v>1</v>
      </c>
      <c r="E175" s="11" t="str">
        <f aca="false">TRIM('수출입 실적(품목별)'!B179)</f>
        <v>76</v>
      </c>
      <c r="F175" s="11" t="str">
        <f aca="false">TRIM('수출입 실적(품목별)'!C179)</f>
        <v>알루미늄과 그 제품</v>
      </c>
      <c r="G175" s="18" t="n">
        <f aca="false">IFERROR(VALUE(SUBSTITUTE(TRIM('수출입 실적(품목별)'!D179),",","")),"")</f>
        <v>96453.7</v>
      </c>
      <c r="H175" s="19" t="n">
        <f aca="false">IFERROR(VALUE(SUBSTITUTE(TRIM('수출입 실적(품목별)'!E179),",","")),"")</f>
        <v>361081</v>
      </c>
      <c r="I175" s="18" t="n">
        <f aca="false">IFERROR(VALUE(SUBSTITUTE(TRIM('수출입 실적(품목별)'!F179),",","")),"")</f>
        <v>229227</v>
      </c>
      <c r="J175" s="19" t="n">
        <f aca="false">IFERROR(VALUE(SUBSTITUTE(TRIM('수출입 실적(품목별)'!G179),",","")),"")</f>
        <v>598910</v>
      </c>
      <c r="K175" s="19" t="n">
        <f aca="false">IFERROR(VALUE(SUBSTITUTE(TRIM('수출입 실적(품목별)'!H179),",","")),"")</f>
        <v>-237829</v>
      </c>
    </row>
    <row r="176" customFormat="false" ht="15" hidden="false" customHeight="true" outlineLevel="0" collapsed="false">
      <c r="A176" s="11" t="str">
        <f aca="false">TRIM('수출입 실적(품목별)'!A180)</f>
        <v>2024.02</v>
      </c>
      <c r="B176" s="17" t="n">
        <f aca="false">IFERROR(VALUE(LEFT($A176,4)),"")</f>
        <v>2024</v>
      </c>
      <c r="C176" s="17" t="n">
        <f aca="false">IFERROR(VALUE(RIGHT($A176,2)),"")</f>
        <v>2</v>
      </c>
      <c r="D176" s="17" t="n">
        <f aca="false">IFERROR(ROUNDUP($C176/3,0),"")</f>
        <v>1</v>
      </c>
      <c r="E176" s="11" t="str">
        <f aca="false">TRIM('수출입 실적(품목별)'!B180)</f>
        <v>78</v>
      </c>
      <c r="F176" s="11" t="str">
        <f aca="false">TRIM('수출입 실적(품목별)'!C180)</f>
        <v>납과 그 제품</v>
      </c>
      <c r="G176" s="18" t="n">
        <f aca="false">IFERROR(VALUE(SUBSTITUTE(TRIM('수출입 실적(품목별)'!D180),",","")),"")</f>
        <v>30986.5</v>
      </c>
      <c r="H176" s="19" t="n">
        <f aca="false">IFERROR(VALUE(SUBSTITUTE(TRIM('수출입 실적(품목별)'!E180),",","")),"")</f>
        <v>70023</v>
      </c>
      <c r="I176" s="18" t="n">
        <f aca="false">IFERROR(VALUE(SUBSTITUTE(TRIM('수출입 실적(품목별)'!F180),",","")),"")</f>
        <v>10968</v>
      </c>
      <c r="J176" s="19" t="n">
        <f aca="false">IFERROR(VALUE(SUBSTITUTE(TRIM('수출입 실적(품목별)'!G180),",","")),"")</f>
        <v>24715</v>
      </c>
      <c r="K176" s="19" t="n">
        <f aca="false">IFERROR(VALUE(SUBSTITUTE(TRIM('수출입 실적(품목별)'!H180),",","")),"")</f>
        <v>45308</v>
      </c>
    </row>
    <row r="177" customFormat="false" ht="15" hidden="false" customHeight="true" outlineLevel="0" collapsed="false">
      <c r="A177" s="11" t="str">
        <f aca="false">TRIM('수출입 실적(품목별)'!A181)</f>
        <v>2024.02</v>
      </c>
      <c r="B177" s="17" t="n">
        <f aca="false">IFERROR(VALUE(LEFT($A177,4)),"")</f>
        <v>2024</v>
      </c>
      <c r="C177" s="17" t="n">
        <f aca="false">IFERROR(VALUE(RIGHT($A177,2)),"")</f>
        <v>2</v>
      </c>
      <c r="D177" s="17" t="n">
        <f aca="false">IFERROR(ROUNDUP($C177/3,0),"")</f>
        <v>1</v>
      </c>
      <c r="E177" s="11" t="str">
        <f aca="false">TRIM('수출입 실적(품목별)'!B181)</f>
        <v>79</v>
      </c>
      <c r="F177" s="11" t="str">
        <f aca="false">TRIM('수출입 실적(품목별)'!C181)</f>
        <v>아연과 그 제품</v>
      </c>
      <c r="G177" s="18" t="n">
        <f aca="false">IFERROR(VALUE(SUBSTITUTE(TRIM('수출입 실적(품목별)'!D181),",","")),"")</f>
        <v>46301.2</v>
      </c>
      <c r="H177" s="19" t="n">
        <f aca="false">IFERROR(VALUE(SUBSTITUTE(TRIM('수출입 실적(품목별)'!E181),",","")),"")</f>
        <v>120303</v>
      </c>
      <c r="I177" s="18" t="n">
        <f aca="false">IFERROR(VALUE(SUBSTITUTE(TRIM('수출입 실적(품목별)'!F181),",","")),"")</f>
        <v>2561</v>
      </c>
      <c r="J177" s="19" t="n">
        <f aca="false">IFERROR(VALUE(SUBSTITUTE(TRIM('수출입 실적(품목별)'!G181),",","")),"")</f>
        <v>7290</v>
      </c>
      <c r="K177" s="19" t="n">
        <f aca="false">IFERROR(VALUE(SUBSTITUTE(TRIM('수출입 실적(품목별)'!H181),",","")),"")</f>
        <v>113013</v>
      </c>
    </row>
    <row r="178" customFormat="false" ht="15" hidden="false" customHeight="true" outlineLevel="0" collapsed="false">
      <c r="A178" s="11" t="str">
        <f aca="false">TRIM('수출입 실적(품목별)'!A182)</f>
        <v>2024.02</v>
      </c>
      <c r="B178" s="17" t="n">
        <f aca="false">IFERROR(VALUE(LEFT($A178,4)),"")</f>
        <v>2024</v>
      </c>
      <c r="C178" s="17" t="n">
        <f aca="false">IFERROR(VALUE(RIGHT($A178,2)),"")</f>
        <v>2</v>
      </c>
      <c r="D178" s="17" t="n">
        <f aca="false">IFERROR(ROUNDUP($C178/3,0),"")</f>
        <v>1</v>
      </c>
      <c r="E178" s="11" t="str">
        <f aca="false">TRIM('수출입 실적(품목별)'!B182)</f>
        <v>80</v>
      </c>
      <c r="F178" s="11" t="str">
        <f aca="false">TRIM('수출입 실적(품목별)'!C182)</f>
        <v>주석과 그 제품</v>
      </c>
      <c r="G178" s="18" t="n">
        <f aca="false">IFERROR(VALUE(SUBSTITUTE(TRIM('수출입 실적(품목별)'!D182),",","")),"")</f>
        <v>148.2</v>
      </c>
      <c r="H178" s="19" t="n">
        <f aca="false">IFERROR(VALUE(SUBSTITUTE(TRIM('수출입 실적(품목별)'!E182),",","")),"")</f>
        <v>5277</v>
      </c>
      <c r="I178" s="18" t="n">
        <f aca="false">IFERROR(VALUE(SUBSTITUTE(TRIM('수출입 실적(품목별)'!F182),",","")),"")</f>
        <v>880.7</v>
      </c>
      <c r="J178" s="19" t="n">
        <f aca="false">IFERROR(VALUE(SUBSTITUTE(TRIM('수출입 실적(품목별)'!G182),",","")),"")</f>
        <v>24944</v>
      </c>
      <c r="K178" s="19" t="n">
        <f aca="false">IFERROR(VALUE(SUBSTITUTE(TRIM('수출입 실적(품목별)'!H182),",","")),"")</f>
        <v>-19667</v>
      </c>
    </row>
    <row r="179" customFormat="false" ht="15" hidden="false" customHeight="true" outlineLevel="0" collapsed="false">
      <c r="A179" s="11" t="str">
        <f aca="false">TRIM('수출입 실적(품목별)'!A183)</f>
        <v>2024.02</v>
      </c>
      <c r="B179" s="17" t="n">
        <f aca="false">IFERROR(VALUE(LEFT($A179,4)),"")</f>
        <v>2024</v>
      </c>
      <c r="C179" s="17" t="n">
        <f aca="false">IFERROR(VALUE(RIGHT($A179,2)),"")</f>
        <v>2</v>
      </c>
      <c r="D179" s="17" t="n">
        <f aca="false">IFERROR(ROUNDUP($C179/3,0),"")</f>
        <v>1</v>
      </c>
      <c r="E179" s="11" t="str">
        <f aca="false">TRIM('수출입 실적(품목별)'!B183)</f>
        <v>81</v>
      </c>
      <c r="F179" s="11" t="str">
        <f aca="false">TRIM('수출입 실적(품목별)'!C183)</f>
        <v>그 밖의 비금속(卑金屬), 서멧(cermet), 이들의 제품</v>
      </c>
      <c r="G179" s="18" t="n">
        <f aca="false">IFERROR(VALUE(SUBSTITUTE(TRIM('수출입 실적(품목별)'!D183),",","")),"")</f>
        <v>1846.9</v>
      </c>
      <c r="H179" s="19" t="n">
        <f aca="false">IFERROR(VALUE(SUBSTITUTE(TRIM('수출입 실적(품목별)'!E183),",","")),"")</f>
        <v>24995</v>
      </c>
      <c r="I179" s="18" t="n">
        <f aca="false">IFERROR(VALUE(SUBSTITUTE(TRIM('수출입 실적(품목별)'!F183),",","")),"")</f>
        <v>10430.2</v>
      </c>
      <c r="J179" s="19" t="n">
        <f aca="false">IFERROR(VALUE(SUBSTITUTE(TRIM('수출입 실적(품목별)'!G183),",","")),"")</f>
        <v>92181</v>
      </c>
      <c r="K179" s="19" t="n">
        <f aca="false">IFERROR(VALUE(SUBSTITUTE(TRIM('수출입 실적(품목별)'!H183),",","")),"")</f>
        <v>-67185</v>
      </c>
    </row>
    <row r="180" customFormat="false" ht="15" hidden="false" customHeight="true" outlineLevel="0" collapsed="false">
      <c r="A180" s="11" t="str">
        <f aca="false">TRIM('수출입 실적(품목별)'!A184)</f>
        <v>2024.02</v>
      </c>
      <c r="B180" s="17" t="n">
        <f aca="false">IFERROR(VALUE(LEFT($A180,4)),"")</f>
        <v>2024</v>
      </c>
      <c r="C180" s="17" t="n">
        <f aca="false">IFERROR(VALUE(RIGHT($A180,2)),"")</f>
        <v>2</v>
      </c>
      <c r="D180" s="17" t="n">
        <f aca="false">IFERROR(ROUNDUP($C180/3,0),"")</f>
        <v>1</v>
      </c>
      <c r="E180" s="11" t="str">
        <f aca="false">TRIM('수출입 실적(품목별)'!B184)</f>
        <v>82</v>
      </c>
      <c r="F180" s="11" t="str">
        <f aca="false">TRIM('수출입 실적(품목별)'!C184)</f>
        <v>비금속(卑金屬)으로 만든 공구ㆍ도구ㆍ칼붙이ㆍ스푼ㆍ포크, 이들의 부분품</v>
      </c>
      <c r="G180" s="18" t="n">
        <f aca="false">IFERROR(VALUE(SUBSTITUTE(TRIM('수출입 실적(품목별)'!D184),",","")),"")</f>
        <v>8209.2</v>
      </c>
      <c r="H180" s="19" t="n">
        <f aca="false">IFERROR(VALUE(SUBSTITUTE(TRIM('수출입 실적(품목별)'!E184),",","")),"")</f>
        <v>170223</v>
      </c>
      <c r="I180" s="18" t="n">
        <f aca="false">IFERROR(VALUE(SUBSTITUTE(TRIM('수출입 실적(품목별)'!F184),",","")),"")</f>
        <v>3669</v>
      </c>
      <c r="J180" s="19" t="n">
        <f aca="false">IFERROR(VALUE(SUBSTITUTE(TRIM('수출입 실적(품목별)'!G184),",","")),"")</f>
        <v>68013</v>
      </c>
      <c r="K180" s="19" t="n">
        <f aca="false">IFERROR(VALUE(SUBSTITUTE(TRIM('수출입 실적(품목별)'!H184),",","")),"")</f>
        <v>102210</v>
      </c>
    </row>
    <row r="181" customFormat="false" ht="15" hidden="false" customHeight="true" outlineLevel="0" collapsed="false">
      <c r="A181" s="11" t="str">
        <f aca="false">TRIM('수출입 실적(품목별)'!A185)</f>
        <v>2024.02</v>
      </c>
      <c r="B181" s="17" t="n">
        <f aca="false">IFERROR(VALUE(LEFT($A181,4)),"")</f>
        <v>2024</v>
      </c>
      <c r="C181" s="17" t="n">
        <f aca="false">IFERROR(VALUE(RIGHT($A181,2)),"")</f>
        <v>2</v>
      </c>
      <c r="D181" s="17" t="n">
        <f aca="false">IFERROR(ROUNDUP($C181/3,0),"")</f>
        <v>1</v>
      </c>
      <c r="E181" s="11" t="str">
        <f aca="false">TRIM('수출입 실적(품목별)'!B185)</f>
        <v>83</v>
      </c>
      <c r="F181" s="11" t="str">
        <f aca="false">TRIM('수출입 실적(품목별)'!C185)</f>
        <v>비금속(卑金屬)으로 만든 각종 제품</v>
      </c>
      <c r="G181" s="18" t="n">
        <f aca="false">IFERROR(VALUE(SUBSTITUTE(TRIM('수출입 실적(품목별)'!D185),",","")),"")</f>
        <v>24657.1</v>
      </c>
      <c r="H181" s="19" t="n">
        <f aca="false">IFERROR(VALUE(SUBSTITUTE(TRIM('수출입 실적(품목별)'!E185),",","")),"")</f>
        <v>139278</v>
      </c>
      <c r="I181" s="18" t="n">
        <f aca="false">IFERROR(VALUE(SUBSTITUTE(TRIM('수출입 실적(품목별)'!F185),",","")),"")</f>
        <v>9758.4</v>
      </c>
      <c r="J181" s="19" t="n">
        <f aca="false">IFERROR(VALUE(SUBSTITUTE(TRIM('수출입 실적(품목별)'!G185),",","")),"")</f>
        <v>65908</v>
      </c>
      <c r="K181" s="19" t="n">
        <f aca="false">IFERROR(VALUE(SUBSTITUTE(TRIM('수출입 실적(품목별)'!H185),",","")),"")</f>
        <v>73370</v>
      </c>
    </row>
    <row r="182" customFormat="false" ht="15" hidden="false" customHeight="true" outlineLevel="0" collapsed="false">
      <c r="A182" s="11" t="str">
        <f aca="false">TRIM('수출입 실적(품목별)'!A186)</f>
        <v>2024.02</v>
      </c>
      <c r="B182" s="17" t="n">
        <f aca="false">IFERROR(VALUE(LEFT($A182,4)),"")</f>
        <v>2024</v>
      </c>
      <c r="C182" s="17" t="n">
        <f aca="false">IFERROR(VALUE(RIGHT($A182,2)),"")</f>
        <v>2</v>
      </c>
      <c r="D182" s="17" t="n">
        <f aca="false">IFERROR(ROUNDUP($C182/3,0),"")</f>
        <v>1</v>
      </c>
      <c r="E182" s="11" t="str">
        <f aca="false">TRIM('수출입 실적(품목별)'!B186)</f>
        <v>84</v>
      </c>
      <c r="F182" s="11" t="str">
        <f aca="false">TRIM('수출입 실적(품목별)'!C186)</f>
        <v>원자로ㆍ보일러ㆍ기계류와 이들의 부분품</v>
      </c>
      <c r="G182" s="18" t="n">
        <f aca="false">IFERROR(VALUE(SUBSTITUTE(TRIM('수출입 실적(품목별)'!D186),",","")),"")</f>
        <v>415392.2</v>
      </c>
      <c r="H182" s="19" t="n">
        <f aca="false">IFERROR(VALUE(SUBSTITUTE(TRIM('수출입 실적(품목별)'!E186),",","")),"")</f>
        <v>6139483</v>
      </c>
      <c r="I182" s="18" t="n">
        <f aca="false">IFERROR(VALUE(SUBSTITUTE(TRIM('수출입 실적(품목별)'!F186),",","")),"")</f>
        <v>173217.8</v>
      </c>
      <c r="J182" s="19" t="n">
        <f aca="false">IFERROR(VALUE(SUBSTITUTE(TRIM('수출입 실적(품목별)'!G186),",","")),"")</f>
        <v>4963898</v>
      </c>
      <c r="K182" s="19" t="n">
        <f aca="false">IFERROR(VALUE(SUBSTITUTE(TRIM('수출입 실적(품목별)'!H186),",","")),"")</f>
        <v>1175585</v>
      </c>
    </row>
    <row r="183" customFormat="false" ht="15" hidden="false" customHeight="true" outlineLevel="0" collapsed="false">
      <c r="A183" s="11" t="str">
        <f aca="false">TRIM('수출입 실적(품목별)'!A187)</f>
        <v>2024.02</v>
      </c>
      <c r="B183" s="17" t="n">
        <f aca="false">IFERROR(VALUE(LEFT($A183,4)),"")</f>
        <v>2024</v>
      </c>
      <c r="C183" s="17" t="n">
        <f aca="false">IFERROR(VALUE(RIGHT($A183,2)),"")</f>
        <v>2</v>
      </c>
      <c r="D183" s="17" t="n">
        <f aca="false">IFERROR(ROUNDUP($C183/3,0),"")</f>
        <v>1</v>
      </c>
      <c r="E183" s="11" t="str">
        <f aca="false">TRIM('수출입 실적(품목별)'!B187)</f>
        <v>85</v>
      </c>
      <c r="F183" s="11" t="str">
        <f aca="false">TRIM('수출입 실적(품목별)'!C187)</f>
        <v>전기기기와 그 부분품, 녹음기ㆍ음성 재생기ㆍ텔레비전의 영상과 음성의 기록기ㆍ재생기와 이들의 부분품ㆍ부속품</v>
      </c>
      <c r="G183" s="18" t="n">
        <f aca="false">IFERROR(VALUE(SUBSTITUTE(TRIM('수출입 실적(품목별)'!D187),",","")),"")</f>
        <v>232068.7</v>
      </c>
      <c r="H183" s="19" t="n">
        <f aca="false">IFERROR(VALUE(SUBSTITUTE(TRIM('수출입 실적(품목별)'!E187),",","")),"")</f>
        <v>15252575</v>
      </c>
      <c r="I183" s="18" t="n">
        <f aca="false">IFERROR(VALUE(SUBSTITUTE(TRIM('수출입 실적(품목별)'!F187),",","")),"")</f>
        <v>154757.1</v>
      </c>
      <c r="J183" s="19" t="n">
        <f aca="false">IFERROR(VALUE(SUBSTITUTE(TRIM('수출입 실적(품목별)'!G187),",","")),"")</f>
        <v>8891416</v>
      </c>
      <c r="K183" s="19" t="n">
        <f aca="false">IFERROR(VALUE(SUBSTITUTE(TRIM('수출입 실적(품목별)'!H187),",","")),"")</f>
        <v>6361160</v>
      </c>
    </row>
    <row r="184" customFormat="false" ht="15" hidden="false" customHeight="true" outlineLevel="0" collapsed="false">
      <c r="A184" s="11" t="str">
        <f aca="false">TRIM('수출입 실적(품목별)'!A188)</f>
        <v>2024.02</v>
      </c>
      <c r="B184" s="17" t="n">
        <f aca="false">IFERROR(VALUE(LEFT($A184,4)),"")</f>
        <v>2024</v>
      </c>
      <c r="C184" s="17" t="n">
        <f aca="false">IFERROR(VALUE(RIGHT($A184,2)),"")</f>
        <v>2</v>
      </c>
      <c r="D184" s="17" t="n">
        <f aca="false">IFERROR(ROUNDUP($C184/3,0),"")</f>
        <v>1</v>
      </c>
      <c r="E184" s="11" t="str">
        <f aca="false">TRIM('수출입 실적(품목별)'!B188)</f>
        <v>86</v>
      </c>
      <c r="F184" s="11" t="str">
        <f aca="false">TRIM('수출입 실적(품목별)'!C188)</f>
        <v>철도용이나 궤도용 기관차ㆍ차량과 이들의 부분품, 철도용이나 궤도용 장비품과 그 부분품, 기계식(전기기계식을 포함한다) 각종 교통신호용 기기</v>
      </c>
      <c r="G184" s="18" t="n">
        <f aca="false">IFERROR(VALUE(SUBSTITUTE(TRIM('수출입 실적(품목별)'!D188),",","")),"")</f>
        <v>11084</v>
      </c>
      <c r="H184" s="19" t="n">
        <f aca="false">IFERROR(VALUE(SUBSTITUTE(TRIM('수출입 실적(품목별)'!E188),",","")),"")</f>
        <v>103098</v>
      </c>
      <c r="I184" s="18" t="n">
        <f aca="false">IFERROR(VALUE(SUBSTITUTE(TRIM('수출입 실적(품목별)'!F188),",","")),"")</f>
        <v>8517.8</v>
      </c>
      <c r="J184" s="19" t="n">
        <f aca="false">IFERROR(VALUE(SUBSTITUTE(TRIM('수출입 실적(품목별)'!G188),",","")),"")</f>
        <v>25097</v>
      </c>
      <c r="K184" s="19" t="n">
        <f aca="false">IFERROR(VALUE(SUBSTITUTE(TRIM('수출입 실적(품목별)'!H188),",","")),"")</f>
        <v>78001</v>
      </c>
    </row>
    <row r="185" customFormat="false" ht="15" hidden="false" customHeight="true" outlineLevel="0" collapsed="false">
      <c r="A185" s="11" t="str">
        <f aca="false">TRIM('수출입 실적(품목별)'!A189)</f>
        <v>2024.02</v>
      </c>
      <c r="B185" s="17" t="n">
        <f aca="false">IFERROR(VALUE(LEFT($A185,4)),"")</f>
        <v>2024</v>
      </c>
      <c r="C185" s="17" t="n">
        <f aca="false">IFERROR(VALUE(RIGHT($A185,2)),"")</f>
        <v>2</v>
      </c>
      <c r="D185" s="17" t="n">
        <f aca="false">IFERROR(ROUNDUP($C185/3,0),"")</f>
        <v>1</v>
      </c>
      <c r="E185" s="11" t="str">
        <f aca="false">TRIM('수출입 실적(품목별)'!B189)</f>
        <v>87</v>
      </c>
      <c r="F185" s="11" t="str">
        <f aca="false">TRIM('수출입 실적(품목별)'!C189)</f>
        <v>철도용이나 궤도용 외의 차량과 그 부분품ㆍ부속품</v>
      </c>
      <c r="G185" s="18" t="n">
        <f aca="false">IFERROR(VALUE(SUBSTITUTE(TRIM('수출입 실적(품목별)'!D189),",","")),"")</f>
        <v>621537</v>
      </c>
      <c r="H185" s="19" t="n">
        <f aca="false">IFERROR(VALUE(SUBSTITUTE(TRIM('수출입 실적(품목별)'!E189),",","")),"")</f>
        <v>6910254</v>
      </c>
      <c r="I185" s="18" t="n">
        <f aca="false">IFERROR(VALUE(SUBSTITUTE(TRIM('수출입 실적(품목별)'!F189),",","")),"")</f>
        <v>92217.7</v>
      </c>
      <c r="J185" s="19" t="n">
        <f aca="false">IFERROR(VALUE(SUBSTITUTE(TRIM('수출입 실적(품목별)'!G189),",","")),"")</f>
        <v>1478407</v>
      </c>
      <c r="K185" s="19" t="n">
        <f aca="false">IFERROR(VALUE(SUBSTITUTE(TRIM('수출입 실적(품목별)'!H189),",","")),"")</f>
        <v>5431846</v>
      </c>
    </row>
    <row r="186" customFormat="false" ht="15" hidden="false" customHeight="true" outlineLevel="0" collapsed="false">
      <c r="A186" s="11" t="str">
        <f aca="false">TRIM('수출입 실적(품목별)'!A190)</f>
        <v>2024.02</v>
      </c>
      <c r="B186" s="17" t="n">
        <f aca="false">IFERROR(VALUE(LEFT($A186,4)),"")</f>
        <v>2024</v>
      </c>
      <c r="C186" s="17" t="n">
        <f aca="false">IFERROR(VALUE(RIGHT($A186,2)),"")</f>
        <v>2</v>
      </c>
      <c r="D186" s="17" t="n">
        <f aca="false">IFERROR(ROUNDUP($C186/3,0),"")</f>
        <v>1</v>
      </c>
      <c r="E186" s="11" t="str">
        <f aca="false">TRIM('수출입 실적(품목별)'!B190)</f>
        <v>88</v>
      </c>
      <c r="F186" s="11" t="str">
        <f aca="false">TRIM('수출입 실적(품목별)'!C190)</f>
        <v>항공기와 우주선, 이들의 부분품</v>
      </c>
      <c r="G186" s="18" t="n">
        <f aca="false">IFERROR(VALUE(SUBSTITUTE(TRIM('수출입 실적(품목별)'!D190),",","")),"")</f>
        <v>393.8</v>
      </c>
      <c r="H186" s="19" t="n">
        <f aca="false">IFERROR(VALUE(SUBSTITUTE(TRIM('수출입 실적(품목별)'!E190),",","")),"")</f>
        <v>201780</v>
      </c>
      <c r="I186" s="18" t="n">
        <f aca="false">IFERROR(VALUE(SUBSTITUTE(TRIM('수출입 실적(품목별)'!F190),",","")),"")</f>
        <v>597.5</v>
      </c>
      <c r="J186" s="19" t="n">
        <f aca="false">IFERROR(VALUE(SUBSTITUTE(TRIM('수출입 실적(품목별)'!G190),",","")),"")</f>
        <v>318017</v>
      </c>
      <c r="K186" s="19" t="n">
        <f aca="false">IFERROR(VALUE(SUBSTITUTE(TRIM('수출입 실적(품목별)'!H190),",","")),"")</f>
        <v>-116237</v>
      </c>
    </row>
    <row r="187" customFormat="false" ht="15" hidden="false" customHeight="true" outlineLevel="0" collapsed="false">
      <c r="A187" s="11" t="str">
        <f aca="false">TRIM('수출입 실적(품목별)'!A191)</f>
        <v>2024.02</v>
      </c>
      <c r="B187" s="17" t="n">
        <f aca="false">IFERROR(VALUE(LEFT($A187,4)),"")</f>
        <v>2024</v>
      </c>
      <c r="C187" s="17" t="n">
        <f aca="false">IFERROR(VALUE(RIGHT($A187,2)),"")</f>
        <v>2</v>
      </c>
      <c r="D187" s="17" t="n">
        <f aca="false">IFERROR(ROUNDUP($C187/3,0),"")</f>
        <v>1</v>
      </c>
      <c r="E187" s="11" t="str">
        <f aca="false">TRIM('수출입 실적(품목별)'!B191)</f>
        <v>89</v>
      </c>
      <c r="F187" s="11" t="str">
        <f aca="false">TRIM('수출입 실적(품목별)'!C191)</f>
        <v>선박과 수상 구조물</v>
      </c>
      <c r="G187" s="18" t="n">
        <f aca="false">IFERROR(VALUE(SUBSTITUTE(TRIM('수출입 실적(품목별)'!D191),",","")),"")</f>
        <v>523166.6</v>
      </c>
      <c r="H187" s="19" t="n">
        <f aca="false">IFERROR(VALUE(SUBSTITUTE(TRIM('수출입 실적(품목별)'!E191),",","")),"")</f>
        <v>1610777</v>
      </c>
      <c r="I187" s="18" t="n">
        <f aca="false">IFERROR(VALUE(SUBSTITUTE(TRIM('수출입 실적(품목별)'!F191),",","")),"")</f>
        <v>151837</v>
      </c>
      <c r="J187" s="19" t="n">
        <f aca="false">IFERROR(VALUE(SUBSTITUTE(TRIM('수출입 실적(품목별)'!G191),",","")),"")</f>
        <v>161029</v>
      </c>
      <c r="K187" s="19" t="n">
        <f aca="false">IFERROR(VALUE(SUBSTITUTE(TRIM('수출입 실적(품목별)'!H191),",","")),"")</f>
        <v>1449748</v>
      </c>
    </row>
    <row r="188" customFormat="false" ht="15" hidden="false" customHeight="true" outlineLevel="0" collapsed="false">
      <c r="A188" s="11" t="str">
        <f aca="false">TRIM('수출입 실적(품목별)'!A192)</f>
        <v>2024.02</v>
      </c>
      <c r="B188" s="17" t="n">
        <f aca="false">IFERROR(VALUE(LEFT($A188,4)),"")</f>
        <v>2024</v>
      </c>
      <c r="C188" s="17" t="n">
        <f aca="false">IFERROR(VALUE(RIGHT($A188,2)),"")</f>
        <v>2</v>
      </c>
      <c r="D188" s="17" t="n">
        <f aca="false">IFERROR(ROUNDUP($C188/3,0),"")</f>
        <v>1</v>
      </c>
      <c r="E188" s="11" t="str">
        <f aca="false">TRIM('수출입 실적(품목별)'!B192)</f>
        <v>90</v>
      </c>
      <c r="F188" s="11" t="str">
        <f aca="false">TRIM('수출입 실적(품목별)'!C192)</f>
        <v>광학기기ㆍ사진용 기기ㆍ영화용 기기ㆍ측정기기ㆍ검사기기ㆍ정밀기기ㆍ의료용 기기, 이들의 부분품과 부속품</v>
      </c>
      <c r="G188" s="18" t="n">
        <f aca="false">IFERROR(VALUE(SUBSTITUTE(TRIM('수출입 실적(품목별)'!D192),",","")),"")</f>
        <v>17729.6</v>
      </c>
      <c r="H188" s="19" t="n">
        <f aca="false">IFERROR(VALUE(SUBSTITUTE(TRIM('수출입 실적(품목별)'!E192),",","")),"")</f>
        <v>1352831</v>
      </c>
      <c r="I188" s="18" t="n">
        <f aca="false">IFERROR(VALUE(SUBSTITUTE(TRIM('수출입 실적(품목별)'!F192),",","")),"")</f>
        <v>13981.9</v>
      </c>
      <c r="J188" s="19" t="n">
        <f aca="false">IFERROR(VALUE(SUBSTITUTE(TRIM('수출입 실적(품목별)'!G192),",","")),"")</f>
        <v>1606145</v>
      </c>
      <c r="K188" s="19" t="n">
        <f aca="false">IFERROR(VALUE(SUBSTITUTE(TRIM('수출입 실적(품목별)'!H192),",","")),"")</f>
        <v>-253315</v>
      </c>
    </row>
    <row r="189" customFormat="false" ht="15" hidden="false" customHeight="true" outlineLevel="0" collapsed="false">
      <c r="A189" s="11" t="str">
        <f aca="false">TRIM('수출입 실적(품목별)'!A193)</f>
        <v>2024.02</v>
      </c>
      <c r="B189" s="17" t="n">
        <f aca="false">IFERROR(VALUE(LEFT($A189,4)),"")</f>
        <v>2024</v>
      </c>
      <c r="C189" s="17" t="n">
        <f aca="false">IFERROR(VALUE(RIGHT($A189,2)),"")</f>
        <v>2</v>
      </c>
      <c r="D189" s="17" t="n">
        <f aca="false">IFERROR(ROUNDUP($C189/3,0),"")</f>
        <v>1</v>
      </c>
      <c r="E189" s="11" t="str">
        <f aca="false">TRIM('수출입 실적(품목별)'!B193)</f>
        <v>91</v>
      </c>
      <c r="F189" s="11" t="str">
        <f aca="false">TRIM('수출입 실적(품목별)'!C193)</f>
        <v>시계와 그 부분품</v>
      </c>
      <c r="G189" s="18" t="n">
        <f aca="false">IFERROR(VALUE(SUBSTITUTE(TRIM('수출입 실적(품목별)'!D193),",","")),"")</f>
        <v>12.8</v>
      </c>
      <c r="H189" s="19" t="n">
        <f aca="false">IFERROR(VALUE(SUBSTITUTE(TRIM('수출입 실적(품목별)'!E193),",","")),"")</f>
        <v>13993</v>
      </c>
      <c r="I189" s="18" t="n">
        <f aca="false">IFERROR(VALUE(SUBSTITUTE(TRIM('수출입 실적(품목별)'!F193),",","")),"")</f>
        <v>270.7</v>
      </c>
      <c r="J189" s="19" t="n">
        <f aca="false">IFERROR(VALUE(SUBSTITUTE(TRIM('수출입 실적(품목별)'!G193),",","")),"")</f>
        <v>94445</v>
      </c>
      <c r="K189" s="19" t="n">
        <f aca="false">IFERROR(VALUE(SUBSTITUTE(TRIM('수출입 실적(품목별)'!H193),",","")),"")</f>
        <v>-80452</v>
      </c>
    </row>
    <row r="190" customFormat="false" ht="15" hidden="false" customHeight="true" outlineLevel="0" collapsed="false">
      <c r="A190" s="11" t="str">
        <f aca="false">TRIM('수출입 실적(품목별)'!A194)</f>
        <v>2024.02</v>
      </c>
      <c r="B190" s="17" t="n">
        <f aca="false">IFERROR(VALUE(LEFT($A190,4)),"")</f>
        <v>2024</v>
      </c>
      <c r="C190" s="17" t="n">
        <f aca="false">IFERROR(VALUE(RIGHT($A190,2)),"")</f>
        <v>2</v>
      </c>
      <c r="D190" s="17" t="n">
        <f aca="false">IFERROR(ROUNDUP($C190/3,0),"")</f>
        <v>1</v>
      </c>
      <c r="E190" s="11" t="str">
        <f aca="false">TRIM('수출입 실적(품목별)'!B194)</f>
        <v>92</v>
      </c>
      <c r="F190" s="11" t="str">
        <f aca="false">TRIM('수출입 실적(품목별)'!C194)</f>
        <v>악기와 그 부분품과 부속품</v>
      </c>
      <c r="G190" s="18" t="n">
        <f aca="false">IFERROR(VALUE(SUBSTITUTE(TRIM('수출입 실적(품목별)'!D194),",","")),"")</f>
        <v>678</v>
      </c>
      <c r="H190" s="19" t="n">
        <f aca="false">IFERROR(VALUE(SUBSTITUTE(TRIM('수출입 실적(품목별)'!E194),",","")),"")</f>
        <v>8157</v>
      </c>
      <c r="I190" s="18" t="n">
        <f aca="false">IFERROR(VALUE(SUBSTITUTE(TRIM('수출입 실적(품목별)'!F194),",","")),"")</f>
        <v>711.4</v>
      </c>
      <c r="J190" s="19" t="n">
        <f aca="false">IFERROR(VALUE(SUBSTITUTE(TRIM('수출입 실적(품목별)'!G194),",","")),"")</f>
        <v>17655</v>
      </c>
      <c r="K190" s="19" t="n">
        <f aca="false">IFERROR(VALUE(SUBSTITUTE(TRIM('수출입 실적(품목별)'!H194),",","")),"")</f>
        <v>-9498</v>
      </c>
    </row>
    <row r="191" customFormat="false" ht="15" hidden="false" customHeight="true" outlineLevel="0" collapsed="false">
      <c r="A191" s="11" t="str">
        <f aca="false">TRIM('수출입 실적(품목별)'!A195)</f>
        <v>2024.02</v>
      </c>
      <c r="B191" s="17" t="n">
        <f aca="false">IFERROR(VALUE(LEFT($A191,4)),"")</f>
        <v>2024</v>
      </c>
      <c r="C191" s="17" t="n">
        <f aca="false">IFERROR(VALUE(RIGHT($A191,2)),"")</f>
        <v>2</v>
      </c>
      <c r="D191" s="17" t="n">
        <f aca="false">IFERROR(ROUNDUP($C191/3,0),"")</f>
        <v>1</v>
      </c>
      <c r="E191" s="11" t="str">
        <f aca="false">TRIM('수출입 실적(품목별)'!B195)</f>
        <v>93</v>
      </c>
      <c r="F191" s="11" t="str">
        <f aca="false">TRIM('수출입 실적(품목별)'!C195)</f>
        <v>무기ㆍ총포탄과 이들의 부분품과 부속품</v>
      </c>
      <c r="G191" s="18" t="n">
        <f aca="false">IFERROR(VALUE(SUBSTITUTE(TRIM('수출입 실적(품목별)'!D195),",","")),"")</f>
        <v>1760.3</v>
      </c>
      <c r="H191" s="19" t="n">
        <f aca="false">IFERROR(VALUE(SUBSTITUTE(TRIM('수출입 실적(품목별)'!E195),",","")),"")</f>
        <v>75697</v>
      </c>
      <c r="I191" s="18" t="n">
        <f aca="false">IFERROR(VALUE(SUBSTITUTE(TRIM('수출입 실적(품목별)'!F195),",","")),"")</f>
        <v>160.6</v>
      </c>
      <c r="J191" s="19" t="n">
        <f aca="false">IFERROR(VALUE(SUBSTITUTE(TRIM('수출입 실적(품목별)'!G195),",","")),"")</f>
        <v>18844</v>
      </c>
      <c r="K191" s="19" t="n">
        <f aca="false">IFERROR(VALUE(SUBSTITUTE(TRIM('수출입 실적(품목별)'!H195),",","")),"")</f>
        <v>56853</v>
      </c>
    </row>
    <row r="192" customFormat="false" ht="15" hidden="false" customHeight="true" outlineLevel="0" collapsed="false">
      <c r="A192" s="11" t="str">
        <f aca="false">TRIM('수출입 실적(품목별)'!A196)</f>
        <v>2024.02</v>
      </c>
      <c r="B192" s="17" t="n">
        <f aca="false">IFERROR(VALUE(LEFT($A192,4)),"")</f>
        <v>2024</v>
      </c>
      <c r="C192" s="17" t="n">
        <f aca="false">IFERROR(VALUE(RIGHT($A192,2)),"")</f>
        <v>2</v>
      </c>
      <c r="D192" s="17" t="n">
        <f aca="false">IFERROR(ROUNDUP($C192/3,0),"")</f>
        <v>1</v>
      </c>
      <c r="E192" s="11" t="str">
        <f aca="false">TRIM('수출입 실적(품목별)'!B196)</f>
        <v>94</v>
      </c>
      <c r="F192" s="11" t="str">
        <f aca="false">TRIM('수출입 실적(품목별)'!C196)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92" s="18" t="n">
        <f aca="false">IFERROR(VALUE(SUBSTITUTE(TRIM('수출입 실적(품목별)'!D196),",","")),"")</f>
        <v>14142.6</v>
      </c>
      <c r="H192" s="19" t="n">
        <f aca="false">IFERROR(VALUE(SUBSTITUTE(TRIM('수출입 실적(품목별)'!E196),",","")),"")</f>
        <v>101831</v>
      </c>
      <c r="I192" s="18" t="n">
        <f aca="false">IFERROR(VALUE(SUBSTITUTE(TRIM('수출입 실적(품목별)'!F196),",","")),"")</f>
        <v>61573.2</v>
      </c>
      <c r="J192" s="19" t="n">
        <f aca="false">IFERROR(VALUE(SUBSTITUTE(TRIM('수출입 실적(품목별)'!G196),",","")),"")</f>
        <v>268240</v>
      </c>
      <c r="K192" s="19" t="n">
        <f aca="false">IFERROR(VALUE(SUBSTITUTE(TRIM('수출입 실적(품목별)'!H196),",","")),"")</f>
        <v>-166410</v>
      </c>
    </row>
    <row r="193" customFormat="false" ht="15" hidden="false" customHeight="true" outlineLevel="0" collapsed="false">
      <c r="A193" s="11" t="str">
        <f aca="false">TRIM('수출입 실적(품목별)'!A197)</f>
        <v>2024.02</v>
      </c>
      <c r="B193" s="17" t="n">
        <f aca="false">IFERROR(VALUE(LEFT($A193,4)),"")</f>
        <v>2024</v>
      </c>
      <c r="C193" s="17" t="n">
        <f aca="false">IFERROR(VALUE(RIGHT($A193,2)),"")</f>
        <v>2</v>
      </c>
      <c r="D193" s="17" t="n">
        <f aca="false">IFERROR(ROUNDUP($C193/3,0),"")</f>
        <v>1</v>
      </c>
      <c r="E193" s="11" t="str">
        <f aca="false">TRIM('수출입 실적(품목별)'!B197)</f>
        <v>95</v>
      </c>
      <c r="F193" s="11" t="str">
        <f aca="false">TRIM('수출입 실적(품목별)'!C197)</f>
        <v>완구ㆍ게임용구ㆍ운동용구와 이들의 부분품과 부속품</v>
      </c>
      <c r="G193" s="18" t="n">
        <f aca="false">IFERROR(VALUE(SUBSTITUTE(TRIM('수출입 실적(품목별)'!D197),",","")),"")</f>
        <v>1649.9</v>
      </c>
      <c r="H193" s="19" t="n">
        <f aca="false">IFERROR(VALUE(SUBSTITUTE(TRIM('수출입 실적(품목별)'!E197),",","")),"")</f>
        <v>39875</v>
      </c>
      <c r="I193" s="18" t="n">
        <f aca="false">IFERROR(VALUE(SUBSTITUTE(TRIM('수출입 실적(품목별)'!F197),",","")),"")</f>
        <v>9905</v>
      </c>
      <c r="J193" s="19" t="n">
        <f aca="false">IFERROR(VALUE(SUBSTITUTE(TRIM('수출입 실적(품목별)'!G197),",","")),"")</f>
        <v>154914</v>
      </c>
      <c r="K193" s="19" t="n">
        <f aca="false">IFERROR(VALUE(SUBSTITUTE(TRIM('수출입 실적(품목별)'!H197),",","")),"")</f>
        <v>-115039</v>
      </c>
    </row>
    <row r="194" customFormat="false" ht="15" hidden="false" customHeight="true" outlineLevel="0" collapsed="false">
      <c r="A194" s="11" t="str">
        <f aca="false">TRIM('수출입 실적(품목별)'!A198)</f>
        <v>2024.02</v>
      </c>
      <c r="B194" s="17" t="n">
        <f aca="false">IFERROR(VALUE(LEFT($A194,4)),"")</f>
        <v>2024</v>
      </c>
      <c r="C194" s="17" t="n">
        <f aca="false">IFERROR(VALUE(RIGHT($A194,2)),"")</f>
        <v>2</v>
      </c>
      <c r="D194" s="17" t="n">
        <f aca="false">IFERROR(ROUNDUP($C194/3,0),"")</f>
        <v>1</v>
      </c>
      <c r="E194" s="11" t="str">
        <f aca="false">TRIM('수출입 실적(품목별)'!B198)</f>
        <v>96</v>
      </c>
      <c r="F194" s="11" t="str">
        <f aca="false">TRIM('수출입 실적(품목별)'!C198)</f>
        <v>잡품</v>
      </c>
      <c r="G194" s="18" t="n">
        <f aca="false">IFERROR(VALUE(SUBSTITUTE(TRIM('수출입 실적(품목별)'!D198),",","")),"")</f>
        <v>2197.9</v>
      </c>
      <c r="H194" s="19" t="n">
        <f aca="false">IFERROR(VALUE(SUBSTITUTE(TRIM('수출입 실적(품목별)'!E198),",","")),"")</f>
        <v>34777</v>
      </c>
      <c r="I194" s="18" t="n">
        <f aca="false">IFERROR(VALUE(SUBSTITUTE(TRIM('수출입 실적(품목별)'!F198),",","")),"")</f>
        <v>7950.2</v>
      </c>
      <c r="J194" s="19" t="n">
        <f aca="false">IFERROR(VALUE(SUBSTITUTE(TRIM('수출입 실적(품목별)'!G198),",","")),"")</f>
        <v>69462</v>
      </c>
      <c r="K194" s="19" t="n">
        <f aca="false">IFERROR(VALUE(SUBSTITUTE(TRIM('수출입 실적(품목별)'!H198),",","")),"")</f>
        <v>-34686</v>
      </c>
    </row>
    <row r="195" customFormat="false" ht="15" hidden="false" customHeight="true" outlineLevel="0" collapsed="false">
      <c r="A195" s="11" t="str">
        <f aca="false">TRIM('수출입 실적(품목별)'!A199)</f>
        <v>2024.02</v>
      </c>
      <c r="B195" s="17" t="n">
        <f aca="false">IFERROR(VALUE(LEFT($A195,4)),"")</f>
        <v>2024</v>
      </c>
      <c r="C195" s="17" t="n">
        <f aca="false">IFERROR(VALUE(RIGHT($A195,2)),"")</f>
        <v>2</v>
      </c>
      <c r="D195" s="17" t="n">
        <f aca="false">IFERROR(ROUNDUP($C195/3,0),"")</f>
        <v>1</v>
      </c>
      <c r="E195" s="11" t="str">
        <f aca="false">TRIM('수출입 실적(품목별)'!B199)</f>
        <v>97</v>
      </c>
      <c r="F195" s="11" t="str">
        <f aca="false">TRIM('수출입 실적(품목별)'!C199)</f>
        <v>예술품ㆍ수집품ㆍ골동품</v>
      </c>
      <c r="G195" s="18" t="n">
        <f aca="false">IFERROR(VALUE(SUBSTITUTE(TRIM('수출입 실적(품목별)'!D199),",","")),"")</f>
        <v>10.6</v>
      </c>
      <c r="H195" s="19" t="n">
        <f aca="false">IFERROR(VALUE(SUBSTITUTE(TRIM('수출입 실적(품목별)'!E199),",","")),"")</f>
        <v>38501</v>
      </c>
      <c r="I195" s="18" t="n">
        <f aca="false">IFERROR(VALUE(SUBSTITUTE(TRIM('수출입 실적(품목별)'!F199),",","")),"")</f>
        <v>47.9</v>
      </c>
      <c r="J195" s="19" t="n">
        <f aca="false">IFERROR(VALUE(SUBSTITUTE(TRIM('수출입 실적(품목별)'!G199),",","")),"")</f>
        <v>48163</v>
      </c>
      <c r="K195" s="19" t="n">
        <f aca="false">IFERROR(VALUE(SUBSTITUTE(TRIM('수출입 실적(품목별)'!H199),",","")),"")</f>
        <v>-9662</v>
      </c>
    </row>
    <row r="196" customFormat="false" ht="15" hidden="false" customHeight="true" outlineLevel="0" collapsed="false">
      <c r="A196" s="11" t="str">
        <f aca="false">TRIM('수출입 실적(품목별)'!A200)</f>
        <v>2024.02</v>
      </c>
      <c r="B196" s="17" t="n">
        <f aca="false">IFERROR(VALUE(LEFT($A196,4)),"")</f>
        <v>2024</v>
      </c>
      <c r="C196" s="17" t="n">
        <f aca="false">IFERROR(VALUE(RIGHT($A196,2)),"")</f>
        <v>2</v>
      </c>
      <c r="D196" s="17" t="n">
        <f aca="false">IFERROR(ROUNDUP($C196/3,0),"")</f>
        <v>1</v>
      </c>
      <c r="E196" s="11" t="str">
        <f aca="false">TRIM('수출입 실적(품목별)'!B200)</f>
        <v>99</v>
      </c>
      <c r="F196" s="11" t="str">
        <f aca="false">TRIM('수출입 실적(품목별)'!C200)</f>
        <v>일시적 입법 ; 설치된 간이 수정에 따른 입법을 트레이드한다 ; 추가적 수입제한농업인 것의 제 22 부에 따른 확립된 것 조정 행위, 수정된 것처럼</v>
      </c>
      <c r="G196" s="18" t="n">
        <f aca="false">IFERROR(VALUE(SUBSTITUTE(TRIM('수출입 실적(품목별)'!D200),",","")),"")</f>
        <v>0</v>
      </c>
      <c r="H196" s="19" t="n">
        <f aca="false">IFERROR(VALUE(SUBSTITUTE(TRIM('수출입 실적(품목별)'!E200),",","")),"")</f>
        <v>0</v>
      </c>
      <c r="I196" s="18" t="n">
        <f aca="false">IFERROR(VALUE(SUBSTITUTE(TRIM('수출입 실적(품목별)'!F200),",","")),"")</f>
        <v>9</v>
      </c>
      <c r="J196" s="19" t="n">
        <f aca="false">IFERROR(VALUE(SUBSTITUTE(TRIM('수출입 실적(품목별)'!G200),",","")),"")</f>
        <v>0</v>
      </c>
      <c r="K196" s="19" t="n">
        <f aca="false">IFERROR(VALUE(SUBSTITUTE(TRIM('수출입 실적(품목별)'!H200),",","")),"")</f>
        <v>0</v>
      </c>
    </row>
    <row r="197" customFormat="false" ht="15" hidden="false" customHeight="true" outlineLevel="0" collapsed="false">
      <c r="A197" s="11" t="str">
        <f aca="false">TRIM('수출입 실적(품목별)'!A201)</f>
        <v>2024.03</v>
      </c>
      <c r="B197" s="17" t="n">
        <f aca="false">IFERROR(VALUE(LEFT($A197,4)),"")</f>
        <v>2024</v>
      </c>
      <c r="C197" s="17" t="n">
        <f aca="false">IFERROR(VALUE(RIGHT($A197,2)),"")</f>
        <v>3</v>
      </c>
      <c r="D197" s="17" t="n">
        <f aca="false">IFERROR(ROUNDUP($C197/3,0),"")</f>
        <v>1</v>
      </c>
      <c r="E197" s="11" t="str">
        <f aca="false">TRIM('수출입 실적(품목별)'!B201)</f>
        <v>01</v>
      </c>
      <c r="F197" s="11" t="str">
        <f aca="false">TRIM('수출입 실적(품목별)'!C201)</f>
        <v>살아 있는 동물</v>
      </c>
      <c r="G197" s="18" t="n">
        <f aca="false">IFERROR(VALUE(SUBSTITUTE(TRIM('수출입 실적(품목별)'!D201),",","")),"")</f>
        <v>2.6</v>
      </c>
      <c r="H197" s="19" t="n">
        <f aca="false">IFERROR(VALUE(SUBSTITUTE(TRIM('수출입 실적(품목별)'!E201),",","")),"")</f>
        <v>944</v>
      </c>
      <c r="I197" s="18" t="n">
        <f aca="false">IFERROR(VALUE(SUBSTITUTE(TRIM('수출입 실적(품목별)'!F201),",","")),"")</f>
        <v>54.8</v>
      </c>
      <c r="J197" s="19" t="n">
        <f aca="false">IFERROR(VALUE(SUBSTITUTE(TRIM('수출입 실적(품목별)'!G201),",","")),"")</f>
        <v>4386</v>
      </c>
      <c r="K197" s="19" t="n">
        <f aca="false">IFERROR(VALUE(SUBSTITUTE(TRIM('수출입 실적(품목별)'!H201),",","")),"")</f>
        <v>-3442</v>
      </c>
    </row>
    <row r="198" customFormat="false" ht="15" hidden="false" customHeight="true" outlineLevel="0" collapsed="false">
      <c r="A198" s="11" t="str">
        <f aca="false">TRIM('수출입 실적(품목별)'!A202)</f>
        <v>2024.03</v>
      </c>
      <c r="B198" s="17" t="n">
        <f aca="false">IFERROR(VALUE(LEFT($A198,4)),"")</f>
        <v>2024</v>
      </c>
      <c r="C198" s="17" t="n">
        <f aca="false">IFERROR(VALUE(RIGHT($A198,2)),"")</f>
        <v>3</v>
      </c>
      <c r="D198" s="17" t="n">
        <f aca="false">IFERROR(ROUNDUP($C198/3,0),"")</f>
        <v>1</v>
      </c>
      <c r="E198" s="11" t="str">
        <f aca="false">TRIM('수출입 실적(품목별)'!B202)</f>
        <v>02</v>
      </c>
      <c r="F198" s="11" t="str">
        <f aca="false">TRIM('수출입 실적(품목별)'!C202)</f>
        <v>육과 식용 설육(屑肉)</v>
      </c>
      <c r="G198" s="18" t="n">
        <f aca="false">IFERROR(VALUE(SUBSTITUTE(TRIM('수출입 실적(품목별)'!D202),",","")),"")</f>
        <v>5634</v>
      </c>
      <c r="H198" s="19" t="n">
        <f aca="false">IFERROR(VALUE(SUBSTITUTE(TRIM('수출입 실적(품목별)'!E202),",","")),"")</f>
        <v>7350</v>
      </c>
      <c r="I198" s="18" t="n">
        <f aca="false">IFERROR(VALUE(SUBSTITUTE(TRIM('수출입 실적(품목별)'!F202),",","")),"")</f>
        <v>124853.4</v>
      </c>
      <c r="J198" s="19" t="n">
        <f aca="false">IFERROR(VALUE(SUBSTITUTE(TRIM('수출입 실적(품목별)'!G202),",","")),"")</f>
        <v>598604</v>
      </c>
      <c r="K198" s="19" t="n">
        <f aca="false">IFERROR(VALUE(SUBSTITUTE(TRIM('수출입 실적(품목별)'!H202),",","")),"")</f>
        <v>-591253</v>
      </c>
    </row>
    <row r="199" customFormat="false" ht="15" hidden="false" customHeight="true" outlineLevel="0" collapsed="false">
      <c r="A199" s="11" t="str">
        <f aca="false">TRIM('수출입 실적(품목별)'!A203)</f>
        <v>2024.03</v>
      </c>
      <c r="B199" s="17" t="n">
        <f aca="false">IFERROR(VALUE(LEFT($A199,4)),"")</f>
        <v>2024</v>
      </c>
      <c r="C199" s="17" t="n">
        <f aca="false">IFERROR(VALUE(RIGHT($A199,2)),"")</f>
        <v>3</v>
      </c>
      <c r="D199" s="17" t="n">
        <f aca="false">IFERROR(ROUNDUP($C199/3,0),"")</f>
        <v>1</v>
      </c>
      <c r="E199" s="11" t="str">
        <f aca="false">TRIM('수출입 실적(품목별)'!B203)</f>
        <v>03</v>
      </c>
      <c r="F199" s="11" t="str">
        <f aca="false">TRIM('수출입 실적(품목별)'!C203)</f>
        <v>어류ㆍ갑각류ㆍ연체동물과 그 밖의 수생(水生) 무척추동물</v>
      </c>
      <c r="G199" s="18" t="n">
        <f aca="false">IFERROR(VALUE(SUBSTITUTE(TRIM('수출입 실적(품목별)'!D203),",","")),"")</f>
        <v>36745.7</v>
      </c>
      <c r="H199" s="19" t="n">
        <f aca="false">IFERROR(VALUE(SUBSTITUTE(TRIM('수출입 실적(품목별)'!E203),",","")),"")</f>
        <v>120182</v>
      </c>
      <c r="I199" s="18" t="n">
        <f aca="false">IFERROR(VALUE(SUBSTITUTE(TRIM('수출입 실적(품목별)'!F203),",","")),"")</f>
        <v>103956.9</v>
      </c>
      <c r="J199" s="19" t="n">
        <f aca="false">IFERROR(VALUE(SUBSTITUTE(TRIM('수출입 실적(품목별)'!G203),",","")),"")</f>
        <v>397030</v>
      </c>
      <c r="K199" s="19" t="n">
        <f aca="false">IFERROR(VALUE(SUBSTITUTE(TRIM('수출입 실적(품목별)'!H203),",","")),"")</f>
        <v>-276848</v>
      </c>
    </row>
    <row r="200" customFormat="false" ht="15" hidden="false" customHeight="true" outlineLevel="0" collapsed="false">
      <c r="A200" s="11" t="str">
        <f aca="false">TRIM('수출입 실적(품목별)'!A204)</f>
        <v>2024.03</v>
      </c>
      <c r="B200" s="17" t="n">
        <f aca="false">IFERROR(VALUE(LEFT($A200,4)),"")</f>
        <v>2024</v>
      </c>
      <c r="C200" s="17" t="n">
        <f aca="false">IFERROR(VALUE(RIGHT($A200,2)),"")</f>
        <v>3</v>
      </c>
      <c r="D200" s="17" t="n">
        <f aca="false">IFERROR(ROUNDUP($C200/3,0),"")</f>
        <v>1</v>
      </c>
      <c r="E200" s="11" t="str">
        <f aca="false">TRIM('수출입 실적(품목별)'!B204)</f>
        <v>04</v>
      </c>
      <c r="F200" s="11" t="str">
        <f aca="false">TRIM('수출입 실적(품목별)'!C204)</f>
        <v>낙농품, 새의 알, 천연꿀, 다른 류로 분류되지 않은 식용인 동물성 생산품</v>
      </c>
      <c r="G200" s="18" t="n">
        <f aca="false">IFERROR(VALUE(SUBSTITUTE(TRIM('수출입 실적(품목별)'!D204),",","")),"")</f>
        <v>2634.7</v>
      </c>
      <c r="H200" s="19" t="n">
        <f aca="false">IFERROR(VALUE(SUBSTITUTE(TRIM('수출입 실적(품목별)'!E204),",","")),"")</f>
        <v>6627</v>
      </c>
      <c r="I200" s="18" t="n">
        <f aca="false">IFERROR(VALUE(SUBSTITUTE(TRIM('수출입 실적(품목별)'!F204),",","")),"")</f>
        <v>30709.4</v>
      </c>
      <c r="J200" s="19" t="n">
        <f aca="false">IFERROR(VALUE(SUBSTITUTE(TRIM('수출입 실적(품목별)'!G204),",","")),"")</f>
        <v>112453</v>
      </c>
      <c r="K200" s="19" t="n">
        <f aca="false">IFERROR(VALUE(SUBSTITUTE(TRIM('수출입 실적(품목별)'!H204),",","")),"")</f>
        <v>-105825</v>
      </c>
    </row>
    <row r="201" customFormat="false" ht="15" hidden="false" customHeight="true" outlineLevel="0" collapsed="false">
      <c r="A201" s="11" t="str">
        <f aca="false">TRIM('수출입 실적(품목별)'!A205)</f>
        <v>2024.03</v>
      </c>
      <c r="B201" s="17" t="n">
        <f aca="false">IFERROR(VALUE(LEFT($A201,4)),"")</f>
        <v>2024</v>
      </c>
      <c r="C201" s="17" t="n">
        <f aca="false">IFERROR(VALUE(RIGHT($A201,2)),"")</f>
        <v>3</v>
      </c>
      <c r="D201" s="17" t="n">
        <f aca="false">IFERROR(ROUNDUP($C201/3,0),"")</f>
        <v>1</v>
      </c>
      <c r="E201" s="11" t="str">
        <f aca="false">TRIM('수출입 실적(품목별)'!B205)</f>
        <v>05</v>
      </c>
      <c r="F201" s="11" t="str">
        <f aca="false">TRIM('수출입 실적(품목별)'!C205)</f>
        <v>다른 류로 분류되지 않은 동물성 생산품</v>
      </c>
      <c r="G201" s="18" t="n">
        <f aca="false">IFERROR(VALUE(SUBSTITUTE(TRIM('수출입 실적(품목별)'!D205),",","")),"")</f>
        <v>1430</v>
      </c>
      <c r="H201" s="19" t="n">
        <f aca="false">IFERROR(VALUE(SUBSTITUTE(TRIM('수출입 실적(품목별)'!E205),",","")),"")</f>
        <v>7977</v>
      </c>
      <c r="I201" s="18" t="n">
        <f aca="false">IFERROR(VALUE(SUBSTITUTE(TRIM('수출입 실적(품목별)'!F205),",","")),"")</f>
        <v>4369.3</v>
      </c>
      <c r="J201" s="19" t="n">
        <f aca="false">IFERROR(VALUE(SUBSTITUTE(TRIM('수출입 실적(품목별)'!G205),",","")),"")</f>
        <v>22946</v>
      </c>
      <c r="K201" s="19" t="n">
        <f aca="false">IFERROR(VALUE(SUBSTITUTE(TRIM('수출입 실적(품목별)'!H205),",","")),"")</f>
        <v>-14969</v>
      </c>
    </row>
    <row r="202" customFormat="false" ht="15" hidden="false" customHeight="true" outlineLevel="0" collapsed="false">
      <c r="A202" s="11" t="str">
        <f aca="false">TRIM('수출입 실적(품목별)'!A206)</f>
        <v>2024.03</v>
      </c>
      <c r="B202" s="17" t="n">
        <f aca="false">IFERROR(VALUE(LEFT($A202,4)),"")</f>
        <v>2024</v>
      </c>
      <c r="C202" s="17" t="n">
        <f aca="false">IFERROR(VALUE(RIGHT($A202,2)),"")</f>
        <v>3</v>
      </c>
      <c r="D202" s="17" t="n">
        <f aca="false">IFERROR(ROUNDUP($C202/3,0),"")</f>
        <v>1</v>
      </c>
      <c r="E202" s="11" t="str">
        <f aca="false">TRIM('수출입 실적(품목별)'!B206)</f>
        <v>06</v>
      </c>
      <c r="F202" s="11" t="str">
        <f aca="false">TRIM('수출입 실적(품목별)'!C206)</f>
        <v>살아 있는 수목과 그 밖의 식물, 인경(鱗莖)ㆍ뿌리와 이와 유사한 물품, 절화(切花)와 장식용 잎</v>
      </c>
      <c r="G202" s="18" t="n">
        <f aca="false">IFERROR(VALUE(SUBSTITUTE(TRIM('수출입 실적(품목별)'!D206),",","")),"")</f>
        <v>134.2</v>
      </c>
      <c r="H202" s="19" t="n">
        <f aca="false">IFERROR(VALUE(SUBSTITUTE(TRIM('수출입 실적(품목별)'!E206),",","")),"")</f>
        <v>1480</v>
      </c>
      <c r="I202" s="18" t="n">
        <f aca="false">IFERROR(VALUE(SUBSTITUTE(TRIM('수출입 실적(품목별)'!F206),",","")),"")</f>
        <v>8442</v>
      </c>
      <c r="J202" s="19" t="n">
        <f aca="false">IFERROR(VALUE(SUBSTITUTE(TRIM('수출입 실적(품목별)'!G206),",","")),"")</f>
        <v>17822</v>
      </c>
      <c r="K202" s="19" t="n">
        <f aca="false">IFERROR(VALUE(SUBSTITUTE(TRIM('수출입 실적(품목별)'!H206),",","")),"")</f>
        <v>-16342</v>
      </c>
    </row>
    <row r="203" customFormat="false" ht="15" hidden="false" customHeight="true" outlineLevel="0" collapsed="false">
      <c r="A203" s="11" t="str">
        <f aca="false">TRIM('수출입 실적(품목별)'!A207)</f>
        <v>2024.03</v>
      </c>
      <c r="B203" s="17" t="n">
        <f aca="false">IFERROR(VALUE(LEFT($A203,4)),"")</f>
        <v>2024</v>
      </c>
      <c r="C203" s="17" t="n">
        <f aca="false">IFERROR(VALUE(RIGHT($A203,2)),"")</f>
        <v>3</v>
      </c>
      <c r="D203" s="17" t="n">
        <f aca="false">IFERROR(ROUNDUP($C203/3,0),"")</f>
        <v>1</v>
      </c>
      <c r="E203" s="11" t="str">
        <f aca="false">TRIM('수출입 실적(품목별)'!B207)</f>
        <v>07</v>
      </c>
      <c r="F203" s="11" t="str">
        <f aca="false">TRIM('수출입 실적(품목별)'!C207)</f>
        <v>식용의 채소ㆍ뿌리ㆍ괴경(塊莖)</v>
      </c>
      <c r="G203" s="18" t="n">
        <f aca="false">IFERROR(VALUE(SUBSTITUTE(TRIM('수출입 실적(품목별)'!D207),",","")),"")</f>
        <v>3023.6</v>
      </c>
      <c r="H203" s="19" t="n">
        <f aca="false">IFERROR(VALUE(SUBSTITUTE(TRIM('수출입 실적(품목별)'!E207),",","")),"")</f>
        <v>10223</v>
      </c>
      <c r="I203" s="18" t="n">
        <f aca="false">IFERROR(VALUE(SUBSTITUTE(TRIM('수출입 실적(품목별)'!F207),",","")),"")</f>
        <v>86298</v>
      </c>
      <c r="J203" s="19" t="n">
        <f aca="false">IFERROR(VALUE(SUBSTITUTE(TRIM('수출입 실적(품목별)'!G207),",","")),"")</f>
        <v>72551</v>
      </c>
      <c r="K203" s="19" t="n">
        <f aca="false">IFERROR(VALUE(SUBSTITUTE(TRIM('수출입 실적(품목별)'!H207),",","")),"")</f>
        <v>-62328</v>
      </c>
    </row>
    <row r="204" customFormat="false" ht="15" hidden="false" customHeight="true" outlineLevel="0" collapsed="false">
      <c r="A204" s="11" t="str">
        <f aca="false">TRIM('수출입 실적(품목별)'!A208)</f>
        <v>2024.03</v>
      </c>
      <c r="B204" s="17" t="n">
        <f aca="false">IFERROR(VALUE(LEFT($A204,4)),"")</f>
        <v>2024</v>
      </c>
      <c r="C204" s="17" t="n">
        <f aca="false">IFERROR(VALUE(RIGHT($A204,2)),"")</f>
        <v>3</v>
      </c>
      <c r="D204" s="17" t="n">
        <f aca="false">IFERROR(ROUNDUP($C204/3,0),"")</f>
        <v>1</v>
      </c>
      <c r="E204" s="11" t="str">
        <f aca="false">TRIM('수출입 실적(품목별)'!B208)</f>
        <v>08</v>
      </c>
      <c r="F204" s="11" t="str">
        <f aca="false">TRIM('수출입 실적(품목별)'!C208)</f>
        <v>식용의 과실과 견과류, 감귤류ㆍ멜론의 껍질</v>
      </c>
      <c r="G204" s="18" t="n">
        <f aca="false">IFERROR(VALUE(SUBSTITUTE(TRIM('수출입 실적(품목별)'!D208),",","")),"")</f>
        <v>1320.3</v>
      </c>
      <c r="H204" s="19" t="n">
        <f aca="false">IFERROR(VALUE(SUBSTITUTE(TRIM('수출입 실적(품목별)'!E208),",","")),"")</f>
        <v>15298</v>
      </c>
      <c r="I204" s="18" t="n">
        <f aca="false">IFERROR(VALUE(SUBSTITUTE(TRIM('수출입 실적(품목별)'!F208),",","")),"")</f>
        <v>120263.3</v>
      </c>
      <c r="J204" s="19" t="n">
        <f aca="false">IFERROR(VALUE(SUBSTITUTE(TRIM('수출입 실적(품목별)'!G208),",","")),"")</f>
        <v>263723</v>
      </c>
      <c r="K204" s="19" t="n">
        <f aca="false">IFERROR(VALUE(SUBSTITUTE(TRIM('수출입 실적(품목별)'!H208),",","")),"")</f>
        <v>-248425</v>
      </c>
    </row>
    <row r="205" customFormat="false" ht="15" hidden="false" customHeight="true" outlineLevel="0" collapsed="false">
      <c r="A205" s="11" t="str">
        <f aca="false">TRIM('수출입 실적(품목별)'!A209)</f>
        <v>2024.03</v>
      </c>
      <c r="B205" s="17" t="n">
        <f aca="false">IFERROR(VALUE(LEFT($A205,4)),"")</f>
        <v>2024</v>
      </c>
      <c r="C205" s="17" t="n">
        <f aca="false">IFERROR(VALUE(RIGHT($A205,2)),"")</f>
        <v>3</v>
      </c>
      <c r="D205" s="17" t="n">
        <f aca="false">IFERROR(ROUNDUP($C205/3,0),"")</f>
        <v>1</v>
      </c>
      <c r="E205" s="11" t="str">
        <f aca="false">TRIM('수출입 실적(품목별)'!B209)</f>
        <v>09</v>
      </c>
      <c r="F205" s="11" t="str">
        <f aca="false">TRIM('수출입 실적(품목별)'!C209)</f>
        <v>커피ㆍ차ㆍ마테(maté)ㆍ향신료</v>
      </c>
      <c r="G205" s="18" t="n">
        <f aca="false">IFERROR(VALUE(SUBSTITUTE(TRIM('수출입 실적(품목별)'!D209),",","")),"")</f>
        <v>402.2</v>
      </c>
      <c r="H205" s="19" t="n">
        <f aca="false">IFERROR(VALUE(SUBSTITUTE(TRIM('수출입 실적(품목별)'!E209),",","")),"")</f>
        <v>3211</v>
      </c>
      <c r="I205" s="18" t="n">
        <f aca="false">IFERROR(VALUE(SUBSTITUTE(TRIM('수출입 실적(품목별)'!F209),",","")),"")</f>
        <v>18195.6</v>
      </c>
      <c r="J205" s="19" t="n">
        <f aca="false">IFERROR(VALUE(SUBSTITUTE(TRIM('수출입 실적(품목별)'!G209),",","")),"")</f>
        <v>93834</v>
      </c>
      <c r="K205" s="19" t="n">
        <f aca="false">IFERROR(VALUE(SUBSTITUTE(TRIM('수출입 실적(품목별)'!H209),",","")),"")</f>
        <v>-90624</v>
      </c>
    </row>
    <row r="206" customFormat="false" ht="15" hidden="false" customHeight="true" outlineLevel="0" collapsed="false">
      <c r="A206" s="11" t="str">
        <f aca="false">TRIM('수출입 실적(품목별)'!A210)</f>
        <v>2024.03</v>
      </c>
      <c r="B206" s="17" t="n">
        <f aca="false">IFERROR(VALUE(LEFT($A206,4)),"")</f>
        <v>2024</v>
      </c>
      <c r="C206" s="17" t="n">
        <f aca="false">IFERROR(VALUE(RIGHT($A206,2)),"")</f>
        <v>3</v>
      </c>
      <c r="D206" s="17" t="n">
        <f aca="false">IFERROR(ROUNDUP($C206/3,0),"")</f>
        <v>1</v>
      </c>
      <c r="E206" s="11" t="str">
        <f aca="false">TRIM('수출입 실적(품목별)'!B210)</f>
        <v>10</v>
      </c>
      <c r="F206" s="11" t="str">
        <f aca="false">TRIM('수출입 실적(품목별)'!C210)</f>
        <v>곡물</v>
      </c>
      <c r="G206" s="18" t="n">
        <f aca="false">IFERROR(VALUE(SUBSTITUTE(TRIM('수출입 실적(품목별)'!D210),",","")),"")</f>
        <v>513.3</v>
      </c>
      <c r="H206" s="19" t="n">
        <f aca="false">IFERROR(VALUE(SUBSTITUTE(TRIM('수출입 실적(품목별)'!E210),",","")),"")</f>
        <v>1122</v>
      </c>
      <c r="I206" s="18" t="n">
        <f aca="false">IFERROR(VALUE(SUBSTITUTE(TRIM('수출입 실적(품목별)'!F210),",","")),"")</f>
        <v>1280849.1</v>
      </c>
      <c r="J206" s="19" t="n">
        <f aca="false">IFERROR(VALUE(SUBSTITUTE(TRIM('수출입 실적(품목별)'!G210),",","")),"")</f>
        <v>408615</v>
      </c>
      <c r="K206" s="19" t="n">
        <f aca="false">IFERROR(VALUE(SUBSTITUTE(TRIM('수출입 실적(품목별)'!H210),",","")),"")</f>
        <v>-407493</v>
      </c>
    </row>
    <row r="207" customFormat="false" ht="15" hidden="false" customHeight="true" outlineLevel="0" collapsed="false">
      <c r="A207" s="11" t="str">
        <f aca="false">TRIM('수출입 실적(품목별)'!A211)</f>
        <v>2024.03</v>
      </c>
      <c r="B207" s="17" t="n">
        <f aca="false">IFERROR(VALUE(LEFT($A207,4)),"")</f>
        <v>2024</v>
      </c>
      <c r="C207" s="17" t="n">
        <f aca="false">IFERROR(VALUE(RIGHT($A207,2)),"")</f>
        <v>3</v>
      </c>
      <c r="D207" s="17" t="n">
        <f aca="false">IFERROR(ROUNDUP($C207/3,0),"")</f>
        <v>1</v>
      </c>
      <c r="E207" s="11" t="str">
        <f aca="false">TRIM('수출입 실적(품목별)'!B211)</f>
        <v>11</v>
      </c>
      <c r="F207" s="11" t="str">
        <f aca="false">TRIM('수출입 실적(품목별)'!C211)</f>
        <v>제분공업의 생산품과 맥아, 전분, 이눌린(inulin), 밀의 글루텐(gluten)</v>
      </c>
      <c r="G207" s="18" t="n">
        <f aca="false">IFERROR(VALUE(SUBSTITUTE(TRIM('수출입 실적(품목별)'!D211),",","")),"")</f>
        <v>5805.5</v>
      </c>
      <c r="H207" s="19" t="n">
        <f aca="false">IFERROR(VALUE(SUBSTITUTE(TRIM('수출입 실적(품목별)'!E211),",","")),"")</f>
        <v>4391</v>
      </c>
      <c r="I207" s="18" t="n">
        <f aca="false">IFERROR(VALUE(SUBSTITUTE(TRIM('수출입 실적(품목별)'!F211),",","")),"")</f>
        <v>33110.9</v>
      </c>
      <c r="J207" s="19" t="n">
        <f aca="false">IFERROR(VALUE(SUBSTITUTE(TRIM('수출입 실적(품목별)'!G211),",","")),"")</f>
        <v>28601</v>
      </c>
      <c r="K207" s="19" t="n">
        <f aca="false">IFERROR(VALUE(SUBSTITUTE(TRIM('수출입 실적(품목별)'!H211),",","")),"")</f>
        <v>-24210</v>
      </c>
    </row>
    <row r="208" customFormat="false" ht="15" hidden="false" customHeight="true" outlineLevel="0" collapsed="false">
      <c r="A208" s="11" t="str">
        <f aca="false">TRIM('수출입 실적(품목별)'!A212)</f>
        <v>2024.03</v>
      </c>
      <c r="B208" s="17" t="n">
        <f aca="false">IFERROR(VALUE(LEFT($A208,4)),"")</f>
        <v>2024</v>
      </c>
      <c r="C208" s="17" t="n">
        <f aca="false">IFERROR(VALUE(RIGHT($A208,2)),"")</f>
        <v>3</v>
      </c>
      <c r="D208" s="17" t="n">
        <f aca="false">IFERROR(ROUNDUP($C208/3,0),"")</f>
        <v>1</v>
      </c>
      <c r="E208" s="11" t="str">
        <f aca="false">TRIM('수출입 실적(품목별)'!B212)</f>
        <v>12</v>
      </c>
      <c r="F208" s="11" t="str">
        <f aca="false">TRIM('수출입 실적(품목별)'!C212)</f>
        <v>채유(採油)에 적합한 종자와 과실, 각종 종자와 과실, 공업용ㆍ의약용 식물, 짚과 사료용 식물</v>
      </c>
      <c r="G208" s="18" t="n">
        <f aca="false">IFERROR(VALUE(SUBSTITUTE(TRIM('수출입 실적(품목별)'!D212),",","")),"")</f>
        <v>5293.5</v>
      </c>
      <c r="H208" s="19" t="n">
        <f aca="false">IFERROR(VALUE(SUBSTITUTE(TRIM('수출입 실적(품목별)'!E212),",","")),"")</f>
        <v>59486</v>
      </c>
      <c r="I208" s="18" t="n">
        <f aca="false">IFERROR(VALUE(SUBSTITUTE(TRIM('수출입 실적(품목별)'!F212),",","")),"")</f>
        <v>206631.4</v>
      </c>
      <c r="J208" s="19" t="n">
        <f aca="false">IFERROR(VALUE(SUBSTITUTE(TRIM('수출입 실적(품목별)'!G212),",","")),"")</f>
        <v>148167</v>
      </c>
      <c r="K208" s="19" t="n">
        <f aca="false">IFERROR(VALUE(SUBSTITUTE(TRIM('수출입 실적(품목별)'!H212),",","")),"")</f>
        <v>-88681</v>
      </c>
    </row>
    <row r="209" customFormat="false" ht="15" hidden="false" customHeight="true" outlineLevel="0" collapsed="false">
      <c r="A209" s="11" t="str">
        <f aca="false">TRIM('수출입 실적(품목별)'!A213)</f>
        <v>2024.03</v>
      </c>
      <c r="B209" s="17" t="n">
        <f aca="false">IFERROR(VALUE(LEFT($A209,4)),"")</f>
        <v>2024</v>
      </c>
      <c r="C209" s="17" t="n">
        <f aca="false">IFERROR(VALUE(RIGHT($A209,2)),"")</f>
        <v>3</v>
      </c>
      <c r="D209" s="17" t="n">
        <f aca="false">IFERROR(ROUNDUP($C209/3,0),"")</f>
        <v>1</v>
      </c>
      <c r="E209" s="11" t="str">
        <f aca="false">TRIM('수출입 실적(품목별)'!B213)</f>
        <v>13</v>
      </c>
      <c r="F209" s="11" t="str">
        <f aca="false">TRIM('수출입 실적(품목별)'!C213)</f>
        <v>락(lac), 검ㆍ수지ㆍ그 밖의 식물성 수액과 추출물(extract)</v>
      </c>
      <c r="G209" s="18" t="n">
        <f aca="false">IFERROR(VALUE(SUBSTITUTE(TRIM('수출입 실적(품목별)'!D213),",","")),"")</f>
        <v>1219.7</v>
      </c>
      <c r="H209" s="19" t="n">
        <f aca="false">IFERROR(VALUE(SUBSTITUTE(TRIM('수출입 실적(품목별)'!E213),",","")),"")</f>
        <v>8869</v>
      </c>
      <c r="I209" s="18" t="n">
        <f aca="false">IFERROR(VALUE(SUBSTITUTE(TRIM('수출입 실적(품목별)'!F213),",","")),"")</f>
        <v>8975</v>
      </c>
      <c r="J209" s="19" t="n">
        <f aca="false">IFERROR(VALUE(SUBSTITUTE(TRIM('수출입 실적(품목별)'!G213),",","")),"")</f>
        <v>23792</v>
      </c>
      <c r="K209" s="19" t="n">
        <f aca="false">IFERROR(VALUE(SUBSTITUTE(TRIM('수출입 실적(품목별)'!H213),",","")),"")</f>
        <v>-14923</v>
      </c>
    </row>
    <row r="210" customFormat="false" ht="15" hidden="false" customHeight="true" outlineLevel="0" collapsed="false">
      <c r="A210" s="11" t="str">
        <f aca="false">TRIM('수출입 실적(품목별)'!A214)</f>
        <v>2024.03</v>
      </c>
      <c r="B210" s="17" t="n">
        <f aca="false">IFERROR(VALUE(LEFT($A210,4)),"")</f>
        <v>2024</v>
      </c>
      <c r="C210" s="17" t="n">
        <f aca="false">IFERROR(VALUE(RIGHT($A210,2)),"")</f>
        <v>3</v>
      </c>
      <c r="D210" s="17" t="n">
        <f aca="false">IFERROR(ROUNDUP($C210/3,0),"")</f>
        <v>1</v>
      </c>
      <c r="E210" s="11" t="str">
        <f aca="false">TRIM('수출입 실적(품목별)'!B214)</f>
        <v>14</v>
      </c>
      <c r="F210" s="11" t="str">
        <f aca="false">TRIM('수출입 실적(품목별)'!C214)</f>
        <v>식물성 편조물(編組物)용 재료와 다른 류로 분류되지 않은 식물성 생산품</v>
      </c>
      <c r="G210" s="18" t="n">
        <f aca="false">IFERROR(VALUE(SUBSTITUTE(TRIM('수출입 실적(품목별)'!D214),",","")),"")</f>
        <v>17.9</v>
      </c>
      <c r="H210" s="19" t="n">
        <f aca="false">IFERROR(VALUE(SUBSTITUTE(TRIM('수출입 실적(품목별)'!E214),",","")),"")</f>
        <v>28</v>
      </c>
      <c r="I210" s="18" t="n">
        <f aca="false">IFERROR(VALUE(SUBSTITUTE(TRIM('수출입 실적(품목별)'!F214),",","")),"")</f>
        <v>17577.5</v>
      </c>
      <c r="J210" s="19" t="n">
        <f aca="false">IFERROR(VALUE(SUBSTITUTE(TRIM('수출입 실적(품목별)'!G214),",","")),"")</f>
        <v>4522</v>
      </c>
      <c r="K210" s="19" t="n">
        <f aca="false">IFERROR(VALUE(SUBSTITUTE(TRIM('수출입 실적(품목별)'!H214),",","")),"")</f>
        <v>-4493</v>
      </c>
    </row>
    <row r="211" customFormat="false" ht="15" hidden="false" customHeight="true" outlineLevel="0" collapsed="false">
      <c r="A211" s="11" t="str">
        <f aca="false">TRIM('수출입 실적(품목별)'!A215)</f>
        <v>2024.03</v>
      </c>
      <c r="B211" s="17" t="n">
        <f aca="false">IFERROR(VALUE(LEFT($A211,4)),"")</f>
        <v>2024</v>
      </c>
      <c r="C211" s="17" t="n">
        <f aca="false">IFERROR(VALUE(RIGHT($A211,2)),"")</f>
        <v>3</v>
      </c>
      <c r="D211" s="17" t="n">
        <f aca="false">IFERROR(ROUNDUP($C211/3,0),"")</f>
        <v>1</v>
      </c>
      <c r="E211" s="11" t="str">
        <f aca="false">TRIM('수출입 실적(품목별)'!B215)</f>
        <v>15</v>
      </c>
      <c r="F211" s="11" t="str">
        <f aca="false">TRIM('수출입 실적(품목별)'!C215)</f>
        <v>동물성ㆍ식물성ㆍ미생물성 지방과 기름 및이들의 분해생산물, 조제한 식용 지방과 동물성ㆍ식물성 왁스</v>
      </c>
      <c r="G211" s="18" t="n">
        <f aca="false">IFERROR(VALUE(SUBSTITUTE(TRIM('수출입 실적(품목별)'!D215),",","")),"")</f>
        <v>12803.7</v>
      </c>
      <c r="H211" s="19" t="n">
        <f aca="false">IFERROR(VALUE(SUBSTITUTE(TRIM('수출입 실적(품목별)'!E215),",","")),"")</f>
        <v>13811</v>
      </c>
      <c r="I211" s="18" t="n">
        <f aca="false">IFERROR(VALUE(SUBSTITUTE(TRIM('수출입 실적(품목별)'!F215),",","")),"")</f>
        <v>134853.3</v>
      </c>
      <c r="J211" s="19" t="n">
        <f aca="false">IFERROR(VALUE(SUBSTITUTE(TRIM('수출입 실적(품목별)'!G215),",","")),"")</f>
        <v>169904</v>
      </c>
      <c r="K211" s="19" t="n">
        <f aca="false">IFERROR(VALUE(SUBSTITUTE(TRIM('수출입 실적(품목별)'!H215),",","")),"")</f>
        <v>-156093</v>
      </c>
    </row>
    <row r="212" customFormat="false" ht="15" hidden="false" customHeight="true" outlineLevel="0" collapsed="false">
      <c r="A212" s="11" t="str">
        <f aca="false">TRIM('수출입 실적(품목별)'!A216)</f>
        <v>2024.03</v>
      </c>
      <c r="B212" s="17" t="n">
        <f aca="false">IFERROR(VALUE(LEFT($A212,4)),"")</f>
        <v>2024</v>
      </c>
      <c r="C212" s="17" t="n">
        <f aca="false">IFERROR(VALUE(RIGHT($A212,2)),"")</f>
        <v>3</v>
      </c>
      <c r="D212" s="17" t="n">
        <f aca="false">IFERROR(ROUNDUP($C212/3,0),"")</f>
        <v>1</v>
      </c>
      <c r="E212" s="11" t="str">
        <f aca="false">TRIM('수출입 실적(품목별)'!B216)</f>
        <v>16</v>
      </c>
      <c r="F212" s="11" t="str">
        <f aca="false">TRIM('수출입 실적(품목별)'!C216)</f>
        <v>육류ㆍ어류ㆍ갑각류ㆍ연체동물이나 그 밖의 수생(水生) 무척추동물 또는 곤충의 조제품</v>
      </c>
      <c r="G212" s="18" t="n">
        <f aca="false">IFERROR(VALUE(SUBSTITUTE(TRIM('수출입 실적(품목별)'!D216),",","")),"")</f>
        <v>4754</v>
      </c>
      <c r="H212" s="19" t="n">
        <f aca="false">IFERROR(VALUE(SUBSTITUTE(TRIM('수출입 실적(품목별)'!E216),",","")),"")</f>
        <v>28939</v>
      </c>
      <c r="I212" s="18" t="n">
        <f aca="false">IFERROR(VALUE(SUBSTITUTE(TRIM('수출입 실적(품목별)'!F216),",","")),"")</f>
        <v>15799.7</v>
      </c>
      <c r="J212" s="19" t="n">
        <f aca="false">IFERROR(VALUE(SUBSTITUTE(TRIM('수출입 실적(품목별)'!G216),",","")),"")</f>
        <v>80354</v>
      </c>
      <c r="K212" s="19" t="n">
        <f aca="false">IFERROR(VALUE(SUBSTITUTE(TRIM('수출입 실적(품목별)'!H216),",","")),"")</f>
        <v>-51415</v>
      </c>
    </row>
    <row r="213" customFormat="false" ht="15" hidden="false" customHeight="true" outlineLevel="0" collapsed="false">
      <c r="A213" s="11" t="str">
        <f aca="false">TRIM('수출입 실적(품목별)'!A217)</f>
        <v>2024.03</v>
      </c>
      <c r="B213" s="17" t="n">
        <f aca="false">IFERROR(VALUE(LEFT($A213,4)),"")</f>
        <v>2024</v>
      </c>
      <c r="C213" s="17" t="n">
        <f aca="false">IFERROR(VALUE(RIGHT($A213,2)),"")</f>
        <v>3</v>
      </c>
      <c r="D213" s="17" t="n">
        <f aca="false">IFERROR(ROUNDUP($C213/3,0),"")</f>
        <v>1</v>
      </c>
      <c r="E213" s="11" t="str">
        <f aca="false">TRIM('수출입 실적(품목별)'!B217)</f>
        <v>17</v>
      </c>
      <c r="F213" s="11" t="str">
        <f aca="false">TRIM('수출입 실적(품목별)'!C217)</f>
        <v>당류(糖類)와 설탕과자</v>
      </c>
      <c r="G213" s="18" t="n">
        <f aca="false">IFERROR(VALUE(SUBSTITUTE(TRIM('수출입 실적(품목별)'!D217),",","")),"")</f>
        <v>19363.1</v>
      </c>
      <c r="H213" s="19" t="n">
        <f aca="false">IFERROR(VALUE(SUBSTITUTE(TRIM('수출입 실적(품목별)'!E217),",","")),"")</f>
        <v>21228</v>
      </c>
      <c r="I213" s="18" t="n">
        <f aca="false">IFERROR(VALUE(SUBSTITUTE(TRIM('수출입 실적(품목별)'!F217),",","")),"")</f>
        <v>143664.7</v>
      </c>
      <c r="J213" s="19" t="n">
        <f aca="false">IFERROR(VALUE(SUBSTITUTE(TRIM('수출입 실적(품목별)'!G217),",","")),"")</f>
        <v>106969</v>
      </c>
      <c r="K213" s="19" t="n">
        <f aca="false">IFERROR(VALUE(SUBSTITUTE(TRIM('수출입 실적(품목별)'!H217),",","")),"")</f>
        <v>-85741</v>
      </c>
    </row>
    <row r="214" customFormat="false" ht="15" hidden="false" customHeight="true" outlineLevel="0" collapsed="false">
      <c r="A214" s="11" t="str">
        <f aca="false">TRIM('수출입 실적(품목별)'!A218)</f>
        <v>2024.03</v>
      </c>
      <c r="B214" s="17" t="n">
        <f aca="false">IFERROR(VALUE(LEFT($A214,4)),"")</f>
        <v>2024</v>
      </c>
      <c r="C214" s="17" t="n">
        <f aca="false">IFERROR(VALUE(RIGHT($A214,2)),"")</f>
        <v>3</v>
      </c>
      <c r="D214" s="17" t="n">
        <f aca="false">IFERROR(ROUNDUP($C214/3,0),"")</f>
        <v>1</v>
      </c>
      <c r="E214" s="11" t="str">
        <f aca="false">TRIM('수출입 실적(품목별)'!B218)</f>
        <v>18</v>
      </c>
      <c r="F214" s="11" t="str">
        <f aca="false">TRIM('수출입 실적(품목별)'!C218)</f>
        <v>코코아와 그 조제품</v>
      </c>
      <c r="G214" s="18" t="n">
        <f aca="false">IFERROR(VALUE(SUBSTITUTE(TRIM('수출입 실적(품목별)'!D218),",","")),"")</f>
        <v>1848.5</v>
      </c>
      <c r="H214" s="19" t="n">
        <f aca="false">IFERROR(VALUE(SUBSTITUTE(TRIM('수출입 실적(품목별)'!E218),",","")),"")</f>
        <v>5579</v>
      </c>
      <c r="I214" s="18" t="n">
        <f aca="false">IFERROR(VALUE(SUBSTITUTE(TRIM('수출입 실적(품목별)'!F218),",","")),"")</f>
        <v>5213.5</v>
      </c>
      <c r="J214" s="19" t="n">
        <f aca="false">IFERROR(VALUE(SUBSTITUTE(TRIM('수출입 실적(품목별)'!G218),",","")),"")</f>
        <v>34829</v>
      </c>
      <c r="K214" s="19" t="n">
        <f aca="false">IFERROR(VALUE(SUBSTITUTE(TRIM('수출입 실적(품목별)'!H218),",","")),"")</f>
        <v>-29250</v>
      </c>
    </row>
    <row r="215" customFormat="false" ht="15" hidden="false" customHeight="true" outlineLevel="0" collapsed="false">
      <c r="A215" s="11" t="str">
        <f aca="false">TRIM('수출입 실적(품목별)'!A219)</f>
        <v>2024.03</v>
      </c>
      <c r="B215" s="17" t="n">
        <f aca="false">IFERROR(VALUE(LEFT($A215,4)),"")</f>
        <v>2024</v>
      </c>
      <c r="C215" s="17" t="n">
        <f aca="false">IFERROR(VALUE(RIGHT($A215,2)),"")</f>
        <v>3</v>
      </c>
      <c r="D215" s="17" t="n">
        <f aca="false">IFERROR(ROUNDUP($C215/3,0),"")</f>
        <v>1</v>
      </c>
      <c r="E215" s="11" t="str">
        <f aca="false">TRIM('수출입 실적(품목별)'!B219)</f>
        <v>19</v>
      </c>
      <c r="F215" s="11" t="str">
        <f aca="false">TRIM('수출입 실적(품목별)'!C219)</f>
        <v>곡물ㆍ고운 가루ㆍ전분ㆍ밀크의 조제품과 베이커리 제품</v>
      </c>
      <c r="G215" s="18" t="n">
        <f aca="false">IFERROR(VALUE(SUBSTITUTE(TRIM('수출입 실적(품목별)'!D219),",","")),"")</f>
        <v>48132.5</v>
      </c>
      <c r="H215" s="19" t="n">
        <f aca="false">IFERROR(VALUE(SUBSTITUTE(TRIM('수출입 실적(품목별)'!E219),",","")),"")</f>
        <v>190119</v>
      </c>
      <c r="I215" s="18" t="n">
        <f aca="false">IFERROR(VALUE(SUBSTITUTE(TRIM('수출입 실적(품목별)'!F219),",","")),"")</f>
        <v>27162.9</v>
      </c>
      <c r="J215" s="19" t="n">
        <f aca="false">IFERROR(VALUE(SUBSTITUTE(TRIM('수출입 실적(품목별)'!G219),",","")),"")</f>
        <v>89936</v>
      </c>
      <c r="K215" s="19" t="n">
        <f aca="false">IFERROR(VALUE(SUBSTITUTE(TRIM('수출입 실적(품목별)'!H219),",","")),"")</f>
        <v>100183</v>
      </c>
    </row>
    <row r="216" customFormat="false" ht="15" hidden="false" customHeight="true" outlineLevel="0" collapsed="false">
      <c r="A216" s="11" t="str">
        <f aca="false">TRIM('수출입 실적(품목별)'!A220)</f>
        <v>2024.03</v>
      </c>
      <c r="B216" s="17" t="n">
        <f aca="false">IFERROR(VALUE(LEFT($A216,4)),"")</f>
        <v>2024</v>
      </c>
      <c r="C216" s="17" t="n">
        <f aca="false">IFERROR(VALUE(RIGHT($A216,2)),"")</f>
        <v>3</v>
      </c>
      <c r="D216" s="17" t="n">
        <f aca="false">IFERROR(ROUNDUP($C216/3,0),"")</f>
        <v>1</v>
      </c>
      <c r="E216" s="11" t="str">
        <f aca="false">TRIM('수출입 실적(품목별)'!B220)</f>
        <v>20</v>
      </c>
      <c r="F216" s="11" t="str">
        <f aca="false">TRIM('수출입 실적(품목별)'!C220)</f>
        <v>채소ㆍ과실ㆍ견과류나 식물의그 밖의 부분의 조제품</v>
      </c>
      <c r="G216" s="18" t="n">
        <f aca="false">IFERROR(VALUE(SUBSTITUTE(TRIM('수출입 실적(품목별)'!D220),",","")),"")</f>
        <v>10004.8</v>
      </c>
      <c r="H216" s="19" t="n">
        <f aca="false">IFERROR(VALUE(SUBSTITUTE(TRIM('수출입 실적(품목별)'!E220),",","")),"")</f>
        <v>82228</v>
      </c>
      <c r="I216" s="18" t="n">
        <f aca="false">IFERROR(VALUE(SUBSTITUTE(TRIM('수출입 실적(품목별)'!F220),",","")),"")</f>
        <v>93043.6</v>
      </c>
      <c r="J216" s="19" t="n">
        <f aca="false">IFERROR(VALUE(SUBSTITUTE(TRIM('수출입 실적(품목별)'!G220),",","")),"")</f>
        <v>135401</v>
      </c>
      <c r="K216" s="19" t="n">
        <f aca="false">IFERROR(VALUE(SUBSTITUTE(TRIM('수출입 실적(품목별)'!H220),",","")),"")</f>
        <v>-53174</v>
      </c>
    </row>
    <row r="217" customFormat="false" ht="15" hidden="false" customHeight="true" outlineLevel="0" collapsed="false">
      <c r="A217" s="11" t="str">
        <f aca="false">TRIM('수출입 실적(품목별)'!A221)</f>
        <v>2024.03</v>
      </c>
      <c r="B217" s="17" t="n">
        <f aca="false">IFERROR(VALUE(LEFT($A217,4)),"")</f>
        <v>2024</v>
      </c>
      <c r="C217" s="17" t="n">
        <f aca="false">IFERROR(VALUE(RIGHT($A217,2)),"")</f>
        <v>3</v>
      </c>
      <c r="D217" s="17" t="n">
        <f aca="false">IFERROR(ROUNDUP($C217/3,0),"")</f>
        <v>1</v>
      </c>
      <c r="E217" s="11" t="str">
        <f aca="false">TRIM('수출입 실적(품목별)'!B221)</f>
        <v>21</v>
      </c>
      <c r="F217" s="11" t="str">
        <f aca="false">TRIM('수출입 실적(품목별)'!C221)</f>
        <v>각종 조제 식료품</v>
      </c>
      <c r="G217" s="18" t="n">
        <f aca="false">IFERROR(VALUE(SUBSTITUTE(TRIM('수출입 실적(품목별)'!D221),",","")),"")</f>
        <v>33248.3</v>
      </c>
      <c r="H217" s="19" t="n">
        <f aca="false">IFERROR(VALUE(SUBSTITUTE(TRIM('수출입 실적(품목별)'!E221),",","")),"")</f>
        <v>147287</v>
      </c>
      <c r="I217" s="18" t="n">
        <f aca="false">IFERROR(VALUE(SUBSTITUTE(TRIM('수출입 실적(품목별)'!F221),",","")),"")</f>
        <v>31441.3</v>
      </c>
      <c r="J217" s="19" t="n">
        <f aca="false">IFERROR(VALUE(SUBSTITUTE(TRIM('수출입 실적(품목별)'!G221),",","")),"")</f>
        <v>246806</v>
      </c>
      <c r="K217" s="19" t="n">
        <f aca="false">IFERROR(VALUE(SUBSTITUTE(TRIM('수출입 실적(품목별)'!H221),",","")),"")</f>
        <v>-99519</v>
      </c>
    </row>
    <row r="218" customFormat="false" ht="15" hidden="false" customHeight="true" outlineLevel="0" collapsed="false">
      <c r="A218" s="11" t="str">
        <f aca="false">TRIM('수출입 실적(품목별)'!A222)</f>
        <v>2024.03</v>
      </c>
      <c r="B218" s="17" t="n">
        <f aca="false">IFERROR(VALUE(LEFT($A218,4)),"")</f>
        <v>2024</v>
      </c>
      <c r="C218" s="17" t="n">
        <f aca="false">IFERROR(VALUE(RIGHT($A218,2)),"")</f>
        <v>3</v>
      </c>
      <c r="D218" s="17" t="n">
        <f aca="false">IFERROR(ROUNDUP($C218/3,0),"")</f>
        <v>1</v>
      </c>
      <c r="E218" s="11" t="str">
        <f aca="false">TRIM('수출입 실적(품목별)'!B222)</f>
        <v>22</v>
      </c>
      <c r="F218" s="11" t="str">
        <f aca="false">TRIM('수출입 실적(품목별)'!C222)</f>
        <v>음료ㆍ주류ㆍ식초</v>
      </c>
      <c r="G218" s="18" t="n">
        <f aca="false">IFERROR(VALUE(SUBSTITUTE(TRIM('수출입 실적(품목별)'!D222),",","")),"")</f>
        <v>82309</v>
      </c>
      <c r="H218" s="19" t="n">
        <f aca="false">IFERROR(VALUE(SUBSTITUTE(TRIM('수출입 실적(품목별)'!E222),",","")),"")</f>
        <v>96435</v>
      </c>
      <c r="I218" s="18" t="n">
        <f aca="false">IFERROR(VALUE(SUBSTITUTE(TRIM('수출입 실적(품목별)'!F222),",","")),"")</f>
        <v>82495.5</v>
      </c>
      <c r="J218" s="19" t="n">
        <f aca="false">IFERROR(VALUE(SUBSTITUTE(TRIM('수출입 실적(품목별)'!G222),",","")),"")</f>
        <v>126390</v>
      </c>
      <c r="K218" s="19" t="n">
        <f aca="false">IFERROR(VALUE(SUBSTITUTE(TRIM('수출입 실적(품목별)'!H222),",","")),"")</f>
        <v>-29955</v>
      </c>
    </row>
    <row r="219" customFormat="false" ht="15" hidden="false" customHeight="true" outlineLevel="0" collapsed="false">
      <c r="A219" s="11" t="str">
        <f aca="false">TRIM('수출입 실적(품목별)'!A223)</f>
        <v>2024.03</v>
      </c>
      <c r="B219" s="17" t="n">
        <f aca="false">IFERROR(VALUE(LEFT($A219,4)),"")</f>
        <v>2024</v>
      </c>
      <c r="C219" s="17" t="n">
        <f aca="false">IFERROR(VALUE(RIGHT($A219,2)),"")</f>
        <v>3</v>
      </c>
      <c r="D219" s="17" t="n">
        <f aca="false">IFERROR(ROUNDUP($C219/3,0),"")</f>
        <v>1</v>
      </c>
      <c r="E219" s="11" t="str">
        <f aca="false">TRIM('수출입 실적(품목별)'!B223)</f>
        <v>23</v>
      </c>
      <c r="F219" s="11" t="str">
        <f aca="false">TRIM('수출입 실적(품목별)'!C223)</f>
        <v>식품 공업에서 생기는 잔재물과 웨이스트(waste), 조제 사료</v>
      </c>
      <c r="G219" s="18" t="n">
        <f aca="false">IFERROR(VALUE(SUBSTITUTE(TRIM('수출입 실적(품목별)'!D223),",","")),"")</f>
        <v>28592.2</v>
      </c>
      <c r="H219" s="19" t="n">
        <f aca="false">IFERROR(VALUE(SUBSTITUTE(TRIM('수출입 실적(품목별)'!E223),",","")),"")</f>
        <v>29186</v>
      </c>
      <c r="I219" s="18" t="n">
        <f aca="false">IFERROR(VALUE(SUBSTITUTE(TRIM('수출입 실적(품목별)'!F223),",","")),"")</f>
        <v>540329.8</v>
      </c>
      <c r="J219" s="19" t="n">
        <f aca="false">IFERROR(VALUE(SUBSTITUTE(TRIM('수출입 실적(품목별)'!G223),",","")),"")</f>
        <v>212106</v>
      </c>
      <c r="K219" s="19" t="n">
        <f aca="false">IFERROR(VALUE(SUBSTITUTE(TRIM('수출입 실적(품목별)'!H223),",","")),"")</f>
        <v>-182919</v>
      </c>
    </row>
    <row r="220" customFormat="false" ht="15" hidden="false" customHeight="true" outlineLevel="0" collapsed="false">
      <c r="A220" s="11" t="str">
        <f aca="false">TRIM('수출입 실적(품목별)'!A224)</f>
        <v>2024.03</v>
      </c>
      <c r="B220" s="17" t="n">
        <f aca="false">IFERROR(VALUE(LEFT($A220,4)),"")</f>
        <v>2024</v>
      </c>
      <c r="C220" s="17" t="n">
        <f aca="false">IFERROR(VALUE(RIGHT($A220,2)),"")</f>
        <v>3</v>
      </c>
      <c r="D220" s="17" t="n">
        <f aca="false">IFERROR(ROUNDUP($C220/3,0),"")</f>
        <v>1</v>
      </c>
      <c r="E220" s="11" t="str">
        <f aca="false">TRIM('수출입 실적(품목별)'!B224)</f>
        <v>24</v>
      </c>
      <c r="F220" s="11" t="str">
        <f aca="false">TRIM('수출입 실적(품목별)'!C224)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20" s="18" t="n">
        <f aca="false">IFERROR(VALUE(SUBSTITUTE(TRIM('수출입 실적(품목별)'!D224),",","")),"")</f>
        <v>8230.7</v>
      </c>
      <c r="H220" s="19" t="n">
        <f aca="false">IFERROR(VALUE(SUBSTITUTE(TRIM('수출입 실적(품목별)'!E224),",","")),"")</f>
        <v>88441</v>
      </c>
      <c r="I220" s="18" t="n">
        <f aca="false">IFERROR(VALUE(SUBSTITUTE(TRIM('수출입 실적(품목별)'!F224),",","")),"")</f>
        <v>6691.4</v>
      </c>
      <c r="J220" s="19" t="n">
        <f aca="false">IFERROR(VALUE(SUBSTITUTE(TRIM('수출입 실적(품목별)'!G224),",","")),"")</f>
        <v>53765</v>
      </c>
      <c r="K220" s="19" t="n">
        <f aca="false">IFERROR(VALUE(SUBSTITUTE(TRIM('수출입 실적(품목별)'!H224),",","")),"")</f>
        <v>34676</v>
      </c>
    </row>
    <row r="221" customFormat="false" ht="15" hidden="false" customHeight="true" outlineLevel="0" collapsed="false">
      <c r="A221" s="11" t="str">
        <f aca="false">TRIM('수출입 실적(품목별)'!A225)</f>
        <v>2024.03</v>
      </c>
      <c r="B221" s="17" t="n">
        <f aca="false">IFERROR(VALUE(LEFT($A221,4)),"")</f>
        <v>2024</v>
      </c>
      <c r="C221" s="17" t="n">
        <f aca="false">IFERROR(VALUE(RIGHT($A221,2)),"")</f>
        <v>3</v>
      </c>
      <c r="D221" s="17" t="n">
        <f aca="false">IFERROR(ROUNDUP($C221/3,0),"")</f>
        <v>1</v>
      </c>
      <c r="E221" s="11" t="str">
        <f aca="false">TRIM('수출입 실적(품목별)'!B225)</f>
        <v>25</v>
      </c>
      <c r="F221" s="11" t="str">
        <f aca="false">TRIM('수출입 실적(품목별)'!C225)</f>
        <v>소금, 황, 토석류(土石類), 석고ㆍ석회ㆍ시멘트</v>
      </c>
      <c r="G221" s="18" t="n">
        <f aca="false">IFERROR(VALUE(SUBSTITUTE(TRIM('수출입 실적(품목별)'!D225),",","")),"")</f>
        <v>268696.6</v>
      </c>
      <c r="H221" s="19" t="n">
        <f aca="false">IFERROR(VALUE(SUBSTITUTE(TRIM('수출입 실적(품목별)'!E225),",","")),"")</f>
        <v>21752</v>
      </c>
      <c r="I221" s="18" t="n">
        <f aca="false">IFERROR(VALUE(SUBSTITUTE(TRIM('수출입 실적(품목별)'!F225),",","")),"")</f>
        <v>761540.2</v>
      </c>
      <c r="J221" s="19" t="n">
        <f aca="false">IFERROR(VALUE(SUBSTITUTE(TRIM('수출입 실적(품목별)'!G225),",","")),"")</f>
        <v>76507</v>
      </c>
      <c r="K221" s="19" t="n">
        <f aca="false">IFERROR(VALUE(SUBSTITUTE(TRIM('수출입 실적(품목별)'!H225),",","")),"")</f>
        <v>-54755</v>
      </c>
    </row>
    <row r="222" customFormat="false" ht="15" hidden="false" customHeight="true" outlineLevel="0" collapsed="false">
      <c r="A222" s="11" t="str">
        <f aca="false">TRIM('수출입 실적(품목별)'!A226)</f>
        <v>2024.03</v>
      </c>
      <c r="B222" s="17" t="n">
        <f aca="false">IFERROR(VALUE(LEFT($A222,4)),"")</f>
        <v>2024</v>
      </c>
      <c r="C222" s="17" t="n">
        <f aca="false">IFERROR(VALUE(RIGHT($A222,2)),"")</f>
        <v>3</v>
      </c>
      <c r="D222" s="17" t="n">
        <f aca="false">IFERROR(ROUNDUP($C222/3,0),"")</f>
        <v>1</v>
      </c>
      <c r="E222" s="11" t="str">
        <f aca="false">TRIM('수출입 실적(품목별)'!B226)</f>
        <v>26</v>
      </c>
      <c r="F222" s="11" t="str">
        <f aca="false">TRIM('수출입 실적(품목별)'!C226)</f>
        <v>광(鑛)ㆍ슬래그(slag)ㆍ회(灰)</v>
      </c>
      <c r="G222" s="18" t="n">
        <f aca="false">IFERROR(VALUE(SUBSTITUTE(TRIM('수출입 실적(품목별)'!D226),",","")),"")</f>
        <v>146831.8</v>
      </c>
      <c r="H222" s="19" t="n">
        <f aca="false">IFERROR(VALUE(SUBSTITUTE(TRIM('수출입 실적(품목별)'!E226),",","")),"")</f>
        <v>83256</v>
      </c>
      <c r="I222" s="18" t="n">
        <f aca="false">IFERROR(VALUE(SUBSTITUTE(TRIM('수출입 실적(품목별)'!F226),",","")),"")</f>
        <v>6361449.2</v>
      </c>
      <c r="J222" s="19" t="n">
        <f aca="false">IFERROR(VALUE(SUBSTITUTE(TRIM('수출입 실적(품목별)'!G226),",","")),"")</f>
        <v>1326111</v>
      </c>
      <c r="K222" s="19" t="n">
        <f aca="false">IFERROR(VALUE(SUBSTITUTE(TRIM('수출입 실적(품목별)'!H226),",","")),"")</f>
        <v>-1242855</v>
      </c>
    </row>
    <row r="223" customFormat="false" ht="15" hidden="false" customHeight="true" outlineLevel="0" collapsed="false">
      <c r="A223" s="11" t="str">
        <f aca="false">TRIM('수출입 실적(품목별)'!A227)</f>
        <v>2024.03</v>
      </c>
      <c r="B223" s="17" t="n">
        <f aca="false">IFERROR(VALUE(LEFT($A223,4)),"")</f>
        <v>2024</v>
      </c>
      <c r="C223" s="17" t="n">
        <f aca="false">IFERROR(VALUE(RIGHT($A223,2)),"")</f>
        <v>3</v>
      </c>
      <c r="D223" s="17" t="n">
        <f aca="false">IFERROR(ROUNDUP($C223/3,0),"")</f>
        <v>1</v>
      </c>
      <c r="E223" s="11" t="str">
        <f aca="false">TRIM('수출입 실적(품목별)'!B227)</f>
        <v>27</v>
      </c>
      <c r="F223" s="11" t="str">
        <f aca="false">TRIM('수출입 실적(품목별)'!C227)</f>
        <v>광물성 연료ㆍ광물유(鑛物油)와 이들의 증류물, 역청(瀝靑)물질, 광물성 왁스</v>
      </c>
      <c r="G223" s="18" t="n">
        <f aca="false">IFERROR(VALUE(SUBSTITUTE(TRIM('수출입 실적(품목별)'!D227),",","")),"")</f>
        <v>6065356.6</v>
      </c>
      <c r="H223" s="19" t="n">
        <f aca="false">IFERROR(VALUE(SUBSTITUTE(TRIM('수출입 실적(품목별)'!E227),",","")),"")</f>
        <v>4878428</v>
      </c>
      <c r="I223" s="18" t="n">
        <f aca="false">IFERROR(VALUE(SUBSTITUTE(TRIM('수출입 실적(품목별)'!F227),",","")),"")</f>
        <v>27032584.2</v>
      </c>
      <c r="J223" s="19" t="n">
        <f aca="false">IFERROR(VALUE(SUBSTITUTE(TRIM('수출입 실적(품목별)'!G227),",","")),"")</f>
        <v>13239450</v>
      </c>
      <c r="K223" s="19" t="n">
        <f aca="false">IFERROR(VALUE(SUBSTITUTE(TRIM('수출입 실적(품목별)'!H227),",","")),"")</f>
        <v>-8361022</v>
      </c>
    </row>
    <row r="224" customFormat="false" ht="15" hidden="false" customHeight="true" outlineLevel="0" collapsed="false">
      <c r="A224" s="11" t="str">
        <f aca="false">TRIM('수출입 실적(품목별)'!A228)</f>
        <v>2024.03</v>
      </c>
      <c r="B224" s="17" t="n">
        <f aca="false">IFERROR(VALUE(LEFT($A224,4)),"")</f>
        <v>2024</v>
      </c>
      <c r="C224" s="17" t="n">
        <f aca="false">IFERROR(VALUE(RIGHT($A224,2)),"")</f>
        <v>3</v>
      </c>
      <c r="D224" s="17" t="n">
        <f aca="false">IFERROR(ROUNDUP($C224/3,0),"")</f>
        <v>1</v>
      </c>
      <c r="E224" s="11" t="str">
        <f aca="false">TRIM('수출입 실적(품목별)'!B228)</f>
        <v>28</v>
      </c>
      <c r="F224" s="11" t="str">
        <f aca="false">TRIM('수출입 실적(품목별)'!C228)</f>
        <v>무기화학품, 귀금속ㆍ희토류(稀土類)금속ㆍ방사성원소ㆍ동위원소의 유기화합물이나 무기화합물</v>
      </c>
      <c r="G224" s="18" t="n">
        <f aca="false">IFERROR(VALUE(SUBSTITUTE(TRIM('수출입 실적(품목별)'!D228),",","")),"")</f>
        <v>431785.3</v>
      </c>
      <c r="H224" s="19" t="n">
        <f aca="false">IFERROR(VALUE(SUBSTITUTE(TRIM('수출입 실적(품목별)'!E228),",","")),"")</f>
        <v>832816</v>
      </c>
      <c r="I224" s="18" t="n">
        <f aca="false">IFERROR(VALUE(SUBSTITUTE(TRIM('수출입 실적(품목별)'!F228),",","")),"")</f>
        <v>319137.9</v>
      </c>
      <c r="J224" s="19" t="n">
        <f aca="false">IFERROR(VALUE(SUBSTITUTE(TRIM('수출입 실적(품목별)'!G228),",","")),"")</f>
        <v>1308655</v>
      </c>
      <c r="K224" s="19" t="n">
        <f aca="false">IFERROR(VALUE(SUBSTITUTE(TRIM('수출입 실적(품목별)'!H228),",","")),"")</f>
        <v>-475839</v>
      </c>
    </row>
    <row r="225" customFormat="false" ht="15" hidden="false" customHeight="true" outlineLevel="0" collapsed="false">
      <c r="A225" s="11" t="str">
        <f aca="false">TRIM('수출입 실적(품목별)'!A229)</f>
        <v>2024.03</v>
      </c>
      <c r="B225" s="17" t="n">
        <f aca="false">IFERROR(VALUE(LEFT($A225,4)),"")</f>
        <v>2024</v>
      </c>
      <c r="C225" s="17" t="n">
        <f aca="false">IFERROR(VALUE(RIGHT($A225,2)),"")</f>
        <v>3</v>
      </c>
      <c r="D225" s="17" t="n">
        <f aca="false">IFERROR(ROUNDUP($C225/3,0),"")</f>
        <v>1</v>
      </c>
      <c r="E225" s="11" t="str">
        <f aca="false">TRIM('수출입 실적(품목별)'!B229)</f>
        <v>29</v>
      </c>
      <c r="F225" s="11" t="str">
        <f aca="false">TRIM('수출입 실적(품목별)'!C229)</f>
        <v>유기화학품</v>
      </c>
      <c r="G225" s="18" t="n">
        <f aca="false">IFERROR(VALUE(SUBSTITUTE(TRIM('수출입 실적(품목별)'!D229),",","")),"")</f>
        <v>1569623.8</v>
      </c>
      <c r="H225" s="19" t="n">
        <f aca="false">IFERROR(VALUE(SUBSTITUTE(TRIM('수출입 실적(품목별)'!E229),",","")),"")</f>
        <v>1889609</v>
      </c>
      <c r="I225" s="18" t="n">
        <f aca="false">IFERROR(VALUE(SUBSTITUTE(TRIM('수출입 실적(품목별)'!F229),",","")),"")</f>
        <v>721784.4</v>
      </c>
      <c r="J225" s="19" t="n">
        <f aca="false">IFERROR(VALUE(SUBSTITUTE(TRIM('수출입 실적(품목별)'!G229),",","")),"")</f>
        <v>1285093</v>
      </c>
      <c r="K225" s="19" t="n">
        <f aca="false">IFERROR(VALUE(SUBSTITUTE(TRIM('수출입 실적(품목별)'!H229),",","")),"")</f>
        <v>604516</v>
      </c>
    </row>
    <row r="226" customFormat="false" ht="15" hidden="false" customHeight="true" outlineLevel="0" collapsed="false">
      <c r="A226" s="11" t="str">
        <f aca="false">TRIM('수출입 실적(품목별)'!A230)</f>
        <v>2024.03</v>
      </c>
      <c r="B226" s="17" t="n">
        <f aca="false">IFERROR(VALUE(LEFT($A226,4)),"")</f>
        <v>2024</v>
      </c>
      <c r="C226" s="17" t="n">
        <f aca="false">IFERROR(VALUE(RIGHT($A226,2)),"")</f>
        <v>3</v>
      </c>
      <c r="D226" s="17" t="n">
        <f aca="false">IFERROR(ROUNDUP($C226/3,0),"")</f>
        <v>1</v>
      </c>
      <c r="E226" s="11" t="str">
        <f aca="false">TRIM('수출입 실적(품목별)'!B230)</f>
        <v>30</v>
      </c>
      <c r="F226" s="11" t="str">
        <f aca="false">TRIM('수출입 실적(품목별)'!C230)</f>
        <v>의료용품</v>
      </c>
      <c r="G226" s="18" t="n">
        <f aca="false">IFERROR(VALUE(SUBSTITUTE(TRIM('수출입 실적(품목별)'!D230),",","")),"")</f>
        <v>2482.6</v>
      </c>
      <c r="H226" s="19" t="n">
        <f aca="false">IFERROR(VALUE(SUBSTITUTE(TRIM('수출입 실적(품목별)'!E230),",","")),"")</f>
        <v>651057</v>
      </c>
      <c r="I226" s="18" t="n">
        <f aca="false">IFERROR(VALUE(SUBSTITUTE(TRIM('수출입 실적(품목별)'!F230),",","")),"")</f>
        <v>7166.3</v>
      </c>
      <c r="J226" s="19" t="n">
        <f aca="false">IFERROR(VALUE(SUBSTITUTE(TRIM('수출입 실적(품목별)'!G230),",","")),"")</f>
        <v>856588</v>
      </c>
      <c r="K226" s="19" t="n">
        <f aca="false">IFERROR(VALUE(SUBSTITUTE(TRIM('수출입 실적(품목별)'!H230),",","")),"")</f>
        <v>-205531</v>
      </c>
    </row>
    <row r="227" customFormat="false" ht="15" hidden="false" customHeight="true" outlineLevel="0" collapsed="false">
      <c r="A227" s="11" t="str">
        <f aca="false">TRIM('수출입 실적(품목별)'!A231)</f>
        <v>2024.03</v>
      </c>
      <c r="B227" s="17" t="n">
        <f aca="false">IFERROR(VALUE(LEFT($A227,4)),"")</f>
        <v>2024</v>
      </c>
      <c r="C227" s="17" t="n">
        <f aca="false">IFERROR(VALUE(RIGHT($A227,2)),"")</f>
        <v>3</v>
      </c>
      <c r="D227" s="17" t="n">
        <f aca="false">IFERROR(ROUNDUP($C227/3,0),"")</f>
        <v>1</v>
      </c>
      <c r="E227" s="11" t="str">
        <f aca="false">TRIM('수출입 실적(품목별)'!B231)</f>
        <v>31</v>
      </c>
      <c r="F227" s="11" t="str">
        <f aca="false">TRIM('수출입 실적(품목별)'!C231)</f>
        <v>비료</v>
      </c>
      <c r="G227" s="18" t="n">
        <f aca="false">IFERROR(VALUE(SUBSTITUTE(TRIM('수출입 실적(품목별)'!D231),",","")),"")</f>
        <v>66409.4</v>
      </c>
      <c r="H227" s="19" t="n">
        <f aca="false">IFERROR(VALUE(SUBSTITUTE(TRIM('수출입 실적(품목별)'!E231),",","")),"")</f>
        <v>27362</v>
      </c>
      <c r="I227" s="18" t="n">
        <f aca="false">IFERROR(VALUE(SUBSTITUTE(TRIM('수출입 실적(품목별)'!F231),",","")),"")</f>
        <v>109966.8</v>
      </c>
      <c r="J227" s="19" t="n">
        <f aca="false">IFERROR(VALUE(SUBSTITUTE(TRIM('수출입 실적(품목별)'!G231),",","")),"")</f>
        <v>43655</v>
      </c>
      <c r="K227" s="19" t="n">
        <f aca="false">IFERROR(VALUE(SUBSTITUTE(TRIM('수출입 실적(품목별)'!H231),",","")),"")</f>
        <v>-16293</v>
      </c>
    </row>
    <row r="228" customFormat="false" ht="15" hidden="false" customHeight="true" outlineLevel="0" collapsed="false">
      <c r="A228" s="11" t="str">
        <f aca="false">TRIM('수출입 실적(품목별)'!A232)</f>
        <v>2024.03</v>
      </c>
      <c r="B228" s="17" t="n">
        <f aca="false">IFERROR(VALUE(LEFT($A228,4)),"")</f>
        <v>2024</v>
      </c>
      <c r="C228" s="17" t="n">
        <f aca="false">IFERROR(VALUE(RIGHT($A228,2)),"")</f>
        <v>3</v>
      </c>
      <c r="D228" s="17" t="n">
        <f aca="false">IFERROR(ROUNDUP($C228/3,0),"")</f>
        <v>1</v>
      </c>
      <c r="E228" s="11" t="str">
        <f aca="false">TRIM('수출입 실적(품목별)'!B232)</f>
        <v>32</v>
      </c>
      <c r="F228" s="11" t="str">
        <f aca="false">TRIM('수출입 실적(품목별)'!C232)</f>
        <v>유연용ㆍ염색용 추출물(extract), 탄닌과 이들의 유도체, 염료ㆍ안료와 그 밖의 착색제, 페인트ㆍ바니시(varnish), 퍼티(putty)와 그 밖의 매스틱(mastic), 잉크</v>
      </c>
      <c r="G228" s="18" t="n">
        <f aca="false">IFERROR(VALUE(SUBSTITUTE(TRIM('수출입 실적(품목별)'!D232),",","")),"")</f>
        <v>30286.8</v>
      </c>
      <c r="H228" s="19" t="n">
        <f aca="false">IFERROR(VALUE(SUBSTITUTE(TRIM('수출입 실적(품목별)'!E232),",","")),"")</f>
        <v>234753</v>
      </c>
      <c r="I228" s="18" t="n">
        <f aca="false">IFERROR(VALUE(SUBSTITUTE(TRIM('수출입 실적(품목별)'!F232),",","")),"")</f>
        <v>27362.9</v>
      </c>
      <c r="J228" s="19" t="n">
        <f aca="false">IFERROR(VALUE(SUBSTITUTE(TRIM('수출입 실적(품목별)'!G232),",","")),"")</f>
        <v>209476</v>
      </c>
      <c r="K228" s="19" t="n">
        <f aca="false">IFERROR(VALUE(SUBSTITUTE(TRIM('수출입 실적(품목별)'!H232),",","")),"")</f>
        <v>25278</v>
      </c>
    </row>
    <row r="229" customFormat="false" ht="15" hidden="false" customHeight="true" outlineLevel="0" collapsed="false">
      <c r="A229" s="11" t="str">
        <f aca="false">TRIM('수출입 실적(품목별)'!A233)</f>
        <v>2024.03</v>
      </c>
      <c r="B229" s="17" t="n">
        <f aca="false">IFERROR(VALUE(LEFT($A229,4)),"")</f>
        <v>2024</v>
      </c>
      <c r="C229" s="17" t="n">
        <f aca="false">IFERROR(VALUE(RIGHT($A229,2)),"")</f>
        <v>3</v>
      </c>
      <c r="D229" s="17" t="n">
        <f aca="false">IFERROR(ROUNDUP($C229/3,0),"")</f>
        <v>1</v>
      </c>
      <c r="E229" s="11" t="str">
        <f aca="false">TRIM('수출입 실적(품목별)'!B233)</f>
        <v>33</v>
      </c>
      <c r="F229" s="11" t="str">
        <f aca="false">TRIM('수출입 실적(품목별)'!C233)</f>
        <v>정유(essential oil)와 레지노이드(resinoid), 조제향료와 화장품ㆍ화장용품</v>
      </c>
      <c r="G229" s="18" t="n">
        <f aca="false">IFERROR(VALUE(SUBSTITUTE(TRIM('수출입 실적(품목별)'!D233),",","")),"")</f>
        <v>34721.3</v>
      </c>
      <c r="H229" s="19" t="n">
        <f aca="false">IFERROR(VALUE(SUBSTITUTE(TRIM('수출입 실적(품목별)'!E233),",","")),"")</f>
        <v>749821</v>
      </c>
      <c r="I229" s="18" t="n">
        <f aca="false">IFERROR(VALUE(SUBSTITUTE(TRIM('수출입 실적(품목별)'!F233),",","")),"")</f>
        <v>9137.7</v>
      </c>
      <c r="J229" s="19" t="n">
        <f aca="false">IFERROR(VALUE(SUBSTITUTE(TRIM('수출입 실적(품목별)'!G233),",","")),"")</f>
        <v>173890</v>
      </c>
      <c r="K229" s="19" t="n">
        <f aca="false">IFERROR(VALUE(SUBSTITUTE(TRIM('수출입 실적(품목별)'!H233),",","")),"")</f>
        <v>575931</v>
      </c>
    </row>
    <row r="230" customFormat="false" ht="15" hidden="false" customHeight="true" outlineLevel="0" collapsed="false">
      <c r="A230" s="11" t="str">
        <f aca="false">TRIM('수출입 실적(품목별)'!A234)</f>
        <v>2024.03</v>
      </c>
      <c r="B230" s="17" t="n">
        <f aca="false">IFERROR(VALUE(LEFT($A230,4)),"")</f>
        <v>2024</v>
      </c>
      <c r="C230" s="17" t="n">
        <f aca="false">IFERROR(VALUE(RIGHT($A230,2)),"")</f>
        <v>3</v>
      </c>
      <c r="D230" s="17" t="n">
        <f aca="false">IFERROR(ROUNDUP($C230/3,0),"")</f>
        <v>1</v>
      </c>
      <c r="E230" s="11" t="str">
        <f aca="false">TRIM('수출입 실적(품목별)'!B234)</f>
        <v>34</v>
      </c>
      <c r="F230" s="11" t="str">
        <f aca="false">TRIM('수출입 실적(품목별)'!C234)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30" s="18" t="n">
        <f aca="false">IFERROR(VALUE(SUBSTITUTE(TRIM('수출입 실적(품목별)'!D234),",","")),"")</f>
        <v>55183</v>
      </c>
      <c r="H230" s="19" t="n">
        <f aca="false">IFERROR(VALUE(SUBSTITUTE(TRIM('수출입 실적(품목별)'!E234),",","")),"")</f>
        <v>151784</v>
      </c>
      <c r="I230" s="18" t="n">
        <f aca="false">IFERROR(VALUE(SUBSTITUTE(TRIM('수출입 실적(품목별)'!F234),",","")),"")</f>
        <v>23816.3</v>
      </c>
      <c r="J230" s="19" t="n">
        <f aca="false">IFERROR(VALUE(SUBSTITUTE(TRIM('수출입 실적(품목별)'!G234),",","")),"")</f>
        <v>94317</v>
      </c>
      <c r="K230" s="19" t="n">
        <f aca="false">IFERROR(VALUE(SUBSTITUTE(TRIM('수출입 실적(품목별)'!H234),",","")),"")</f>
        <v>57467</v>
      </c>
    </row>
    <row r="231" customFormat="false" ht="15" hidden="false" customHeight="true" outlineLevel="0" collapsed="false">
      <c r="A231" s="11" t="str">
        <f aca="false">TRIM('수출입 실적(품목별)'!A235)</f>
        <v>2024.03</v>
      </c>
      <c r="B231" s="17" t="n">
        <f aca="false">IFERROR(VALUE(LEFT($A231,4)),"")</f>
        <v>2024</v>
      </c>
      <c r="C231" s="17" t="n">
        <f aca="false">IFERROR(VALUE(RIGHT($A231,2)),"")</f>
        <v>3</v>
      </c>
      <c r="D231" s="17" t="n">
        <f aca="false">IFERROR(ROUNDUP($C231/3,0),"")</f>
        <v>1</v>
      </c>
      <c r="E231" s="11" t="str">
        <f aca="false">TRIM('수출입 실적(품목별)'!B235)</f>
        <v>35</v>
      </c>
      <c r="F231" s="11" t="str">
        <f aca="false">TRIM('수출입 실적(품목별)'!C235)</f>
        <v>단백질계 물질, 변성전분, 글루(glue), 효소</v>
      </c>
      <c r="G231" s="18" t="n">
        <f aca="false">IFERROR(VALUE(SUBSTITUTE(TRIM('수출입 실적(품목별)'!D235),",","")),"")</f>
        <v>5925.4</v>
      </c>
      <c r="H231" s="19" t="n">
        <f aca="false">IFERROR(VALUE(SUBSTITUTE(TRIM('수출입 실적(품목별)'!E235),",","")),"")</f>
        <v>81825</v>
      </c>
      <c r="I231" s="18" t="n">
        <f aca="false">IFERROR(VALUE(SUBSTITUTE(TRIM('수출입 실적(품목별)'!F235),",","")),"")</f>
        <v>16697.4</v>
      </c>
      <c r="J231" s="19" t="n">
        <f aca="false">IFERROR(VALUE(SUBSTITUTE(TRIM('수출입 실적(품목별)'!G235),",","")),"")</f>
        <v>83842</v>
      </c>
      <c r="K231" s="19" t="n">
        <f aca="false">IFERROR(VALUE(SUBSTITUTE(TRIM('수출입 실적(품목별)'!H235),",","")),"")</f>
        <v>-2018</v>
      </c>
    </row>
    <row r="232" customFormat="false" ht="15" hidden="false" customHeight="true" outlineLevel="0" collapsed="false">
      <c r="A232" s="11" t="str">
        <f aca="false">TRIM('수출입 실적(품목별)'!A236)</f>
        <v>2024.03</v>
      </c>
      <c r="B232" s="17" t="n">
        <f aca="false">IFERROR(VALUE(LEFT($A232,4)),"")</f>
        <v>2024</v>
      </c>
      <c r="C232" s="17" t="n">
        <f aca="false">IFERROR(VALUE(RIGHT($A232,2)),"")</f>
        <v>3</v>
      </c>
      <c r="D232" s="17" t="n">
        <f aca="false">IFERROR(ROUNDUP($C232/3,0),"")</f>
        <v>1</v>
      </c>
      <c r="E232" s="11" t="str">
        <f aca="false">TRIM('수출입 실적(품목별)'!B236)</f>
        <v>36</v>
      </c>
      <c r="F232" s="11" t="str">
        <f aca="false">TRIM('수출입 실적(품목별)'!C236)</f>
        <v>화약류, 화공품, 성냥, 발화성 합금, 특정 가연성 조제품</v>
      </c>
      <c r="G232" s="18" t="n">
        <f aca="false">IFERROR(VALUE(SUBSTITUTE(TRIM('수출입 실적(품목별)'!D236),",","")),"")</f>
        <v>121.5</v>
      </c>
      <c r="H232" s="19" t="n">
        <f aca="false">IFERROR(VALUE(SUBSTITUTE(TRIM('수출입 실적(품목별)'!E236),",","")),"")</f>
        <v>2377</v>
      </c>
      <c r="I232" s="18" t="n">
        <f aca="false">IFERROR(VALUE(SUBSTITUTE(TRIM('수출입 실적(품목별)'!F236),",","")),"")</f>
        <v>182.4</v>
      </c>
      <c r="J232" s="19" t="n">
        <f aca="false">IFERROR(VALUE(SUBSTITUTE(TRIM('수출입 실적(품목별)'!G236),",","")),"")</f>
        <v>1631</v>
      </c>
      <c r="K232" s="19" t="n">
        <f aca="false">IFERROR(VALUE(SUBSTITUTE(TRIM('수출입 실적(품목별)'!H236),",","")),"")</f>
        <v>746</v>
      </c>
    </row>
    <row r="233" customFormat="false" ht="15" hidden="false" customHeight="true" outlineLevel="0" collapsed="false">
      <c r="A233" s="11" t="str">
        <f aca="false">TRIM('수출입 실적(품목별)'!A237)</f>
        <v>2024.03</v>
      </c>
      <c r="B233" s="17" t="n">
        <f aca="false">IFERROR(VALUE(LEFT($A233,4)),"")</f>
        <v>2024</v>
      </c>
      <c r="C233" s="17" t="n">
        <f aca="false">IFERROR(VALUE(RIGHT($A233,2)),"")</f>
        <v>3</v>
      </c>
      <c r="D233" s="17" t="n">
        <f aca="false">IFERROR(ROUNDUP($C233/3,0),"")</f>
        <v>1</v>
      </c>
      <c r="E233" s="11" t="str">
        <f aca="false">TRIM('수출입 실적(품목별)'!B237)</f>
        <v>37</v>
      </c>
      <c r="F233" s="11" t="str">
        <f aca="false">TRIM('수출입 실적(품목별)'!C237)</f>
        <v>사진용이나 영화용 재료</v>
      </c>
      <c r="G233" s="18" t="n">
        <f aca="false">IFERROR(VALUE(SUBSTITUTE(TRIM('수출입 실적(품목별)'!D237),",","")),"")</f>
        <v>2034.9</v>
      </c>
      <c r="H233" s="19" t="n">
        <f aca="false">IFERROR(VALUE(SUBSTITUTE(TRIM('수출입 실적(품목별)'!E237),",","")),"")</f>
        <v>98115</v>
      </c>
      <c r="I233" s="18" t="n">
        <f aca="false">IFERROR(VALUE(SUBSTITUTE(TRIM('수출입 실적(품목별)'!F237),",","")),"")</f>
        <v>3242.6</v>
      </c>
      <c r="J233" s="19" t="n">
        <f aca="false">IFERROR(VALUE(SUBSTITUTE(TRIM('수출입 실적(품목별)'!G237),",","")),"")</f>
        <v>85077</v>
      </c>
      <c r="K233" s="19" t="n">
        <f aca="false">IFERROR(VALUE(SUBSTITUTE(TRIM('수출입 실적(품목별)'!H237),",","")),"")</f>
        <v>13039</v>
      </c>
    </row>
    <row r="234" customFormat="false" ht="15" hidden="false" customHeight="true" outlineLevel="0" collapsed="false">
      <c r="A234" s="11" t="str">
        <f aca="false">TRIM('수출입 실적(품목별)'!A238)</f>
        <v>2024.03</v>
      </c>
      <c r="B234" s="17" t="n">
        <f aca="false">IFERROR(VALUE(LEFT($A234,4)),"")</f>
        <v>2024</v>
      </c>
      <c r="C234" s="17" t="n">
        <f aca="false">IFERROR(VALUE(RIGHT($A234,2)),"")</f>
        <v>3</v>
      </c>
      <c r="D234" s="17" t="n">
        <f aca="false">IFERROR(ROUNDUP($C234/3,0),"")</f>
        <v>1</v>
      </c>
      <c r="E234" s="11" t="str">
        <f aca="false">TRIM('수출입 실적(품목별)'!B238)</f>
        <v>38</v>
      </c>
      <c r="F234" s="11" t="str">
        <f aca="false">TRIM('수출입 실적(품목별)'!C238)</f>
        <v>각종 화학공업 생산품</v>
      </c>
      <c r="G234" s="18" t="n">
        <f aca="false">IFERROR(VALUE(SUBSTITUTE(TRIM('수출입 실적(품목별)'!D238),",","")),"")</f>
        <v>114072.4</v>
      </c>
      <c r="H234" s="19" t="n">
        <f aca="false">IFERROR(VALUE(SUBSTITUTE(TRIM('수출입 실적(품목별)'!E238),",","")),"")</f>
        <v>578130</v>
      </c>
      <c r="I234" s="18" t="n">
        <f aca="false">IFERROR(VALUE(SUBSTITUTE(TRIM('수출입 실적(품목별)'!F238),",","")),"")</f>
        <v>194730.3</v>
      </c>
      <c r="J234" s="19" t="n">
        <f aca="false">IFERROR(VALUE(SUBSTITUTE(TRIM('수출입 실적(품목별)'!G238),",","")),"")</f>
        <v>835111</v>
      </c>
      <c r="K234" s="19" t="n">
        <f aca="false">IFERROR(VALUE(SUBSTITUTE(TRIM('수출입 실적(품목별)'!H238),",","")),"")</f>
        <v>-256981</v>
      </c>
    </row>
    <row r="235" customFormat="false" ht="15" hidden="false" customHeight="true" outlineLevel="0" collapsed="false">
      <c r="A235" s="11" t="str">
        <f aca="false">TRIM('수출입 실적(품목별)'!A239)</f>
        <v>2024.03</v>
      </c>
      <c r="B235" s="17" t="n">
        <f aca="false">IFERROR(VALUE(LEFT($A235,4)),"")</f>
        <v>2024</v>
      </c>
      <c r="C235" s="17" t="n">
        <f aca="false">IFERROR(VALUE(RIGHT($A235,2)),"")</f>
        <v>3</v>
      </c>
      <c r="D235" s="17" t="n">
        <f aca="false">IFERROR(ROUNDUP($C235/3,0),"")</f>
        <v>1</v>
      </c>
      <c r="E235" s="11" t="str">
        <f aca="false">TRIM('수출입 실적(품목별)'!B239)</f>
        <v>39</v>
      </c>
      <c r="F235" s="11" t="str">
        <f aca="false">TRIM('수출입 실적(품목별)'!C239)</f>
        <v>플라스틱과 그 제품</v>
      </c>
      <c r="G235" s="18" t="n">
        <f aca="false">IFERROR(VALUE(SUBSTITUTE(TRIM('수출입 실적(품목별)'!D239),",","")),"")</f>
        <v>1509452.5</v>
      </c>
      <c r="H235" s="19" t="n">
        <f aca="false">IFERROR(VALUE(SUBSTITUTE(TRIM('수출입 실적(품목별)'!E239),",","")),"")</f>
        <v>3023845</v>
      </c>
      <c r="I235" s="18" t="n">
        <f aca="false">IFERROR(VALUE(SUBSTITUTE(TRIM('수출입 실적(품목별)'!F239),",","")),"")</f>
        <v>268932.9</v>
      </c>
      <c r="J235" s="19" t="n">
        <f aca="false">IFERROR(VALUE(SUBSTITUTE(TRIM('수출입 실적(품목별)'!G239),",","")),"")</f>
        <v>1095959</v>
      </c>
      <c r="K235" s="19" t="n">
        <f aca="false">IFERROR(VALUE(SUBSTITUTE(TRIM('수출입 실적(품목별)'!H239),",","")),"")</f>
        <v>1927886</v>
      </c>
    </row>
    <row r="236" customFormat="false" ht="15" hidden="false" customHeight="true" outlineLevel="0" collapsed="false">
      <c r="A236" s="11" t="str">
        <f aca="false">TRIM('수출입 실적(품목별)'!A240)</f>
        <v>2024.03</v>
      </c>
      <c r="B236" s="17" t="n">
        <f aca="false">IFERROR(VALUE(LEFT($A236,4)),"")</f>
        <v>2024</v>
      </c>
      <c r="C236" s="17" t="n">
        <f aca="false">IFERROR(VALUE(RIGHT($A236,2)),"")</f>
        <v>3</v>
      </c>
      <c r="D236" s="17" t="n">
        <f aca="false">IFERROR(ROUNDUP($C236/3,0),"")</f>
        <v>1</v>
      </c>
      <c r="E236" s="11" t="str">
        <f aca="false">TRIM('수출입 실적(품목별)'!B240)</f>
        <v>40</v>
      </c>
      <c r="F236" s="11" t="str">
        <f aca="false">TRIM('수출입 실적(품목별)'!C240)</f>
        <v>고무와 그 제품</v>
      </c>
      <c r="G236" s="18" t="n">
        <f aca="false">IFERROR(VALUE(SUBSTITUTE(TRIM('수출입 실적(품목별)'!D240),",","")),"")</f>
        <v>233480</v>
      </c>
      <c r="H236" s="19" t="n">
        <f aca="false">IFERROR(VALUE(SUBSTITUTE(TRIM('수출입 실적(품목별)'!E240),",","")),"")</f>
        <v>630862</v>
      </c>
      <c r="I236" s="18" t="n">
        <f aca="false">IFERROR(VALUE(SUBSTITUTE(TRIM('수출입 실적(품목별)'!F240),",","")),"")</f>
        <v>73148.2</v>
      </c>
      <c r="J236" s="19" t="n">
        <f aca="false">IFERROR(VALUE(SUBSTITUTE(TRIM('수출입 실적(품목별)'!G240),",","")),"")</f>
        <v>241454</v>
      </c>
      <c r="K236" s="19" t="n">
        <f aca="false">IFERROR(VALUE(SUBSTITUTE(TRIM('수출입 실적(품목별)'!H240),",","")),"")</f>
        <v>389408</v>
      </c>
    </row>
    <row r="237" customFormat="false" ht="15" hidden="false" customHeight="true" outlineLevel="0" collapsed="false">
      <c r="A237" s="11" t="str">
        <f aca="false">TRIM('수출입 실적(품목별)'!A241)</f>
        <v>2024.03</v>
      </c>
      <c r="B237" s="17" t="n">
        <f aca="false">IFERROR(VALUE(LEFT($A237,4)),"")</f>
        <v>2024</v>
      </c>
      <c r="C237" s="17" t="n">
        <f aca="false">IFERROR(VALUE(RIGHT($A237,2)),"")</f>
        <v>3</v>
      </c>
      <c r="D237" s="17" t="n">
        <f aca="false">IFERROR(ROUNDUP($C237/3,0),"")</f>
        <v>1</v>
      </c>
      <c r="E237" s="11" t="str">
        <f aca="false">TRIM('수출입 실적(품목별)'!B241)</f>
        <v>41</v>
      </c>
      <c r="F237" s="11" t="str">
        <f aca="false">TRIM('수출입 실적(품목별)'!C241)</f>
        <v>원피(모피는 제외한다)와 가죽</v>
      </c>
      <c r="G237" s="18" t="n">
        <f aca="false">IFERROR(VALUE(SUBSTITUTE(TRIM('수출입 실적(품목별)'!D241),",","")),"")</f>
        <v>2941.1</v>
      </c>
      <c r="H237" s="19" t="n">
        <f aca="false">IFERROR(VALUE(SUBSTITUTE(TRIM('수출입 실적(품목별)'!E241),",","")),"")</f>
        <v>24358</v>
      </c>
      <c r="I237" s="18" t="n">
        <f aca="false">IFERROR(VALUE(SUBSTITUTE(TRIM('수출입 실적(품목별)'!F241),",","")),"")</f>
        <v>7650.4</v>
      </c>
      <c r="J237" s="19" t="n">
        <f aca="false">IFERROR(VALUE(SUBSTITUTE(TRIM('수출입 실적(품목별)'!G241),",","")),"")</f>
        <v>20060</v>
      </c>
      <c r="K237" s="19" t="n">
        <f aca="false">IFERROR(VALUE(SUBSTITUTE(TRIM('수출입 실적(품목별)'!H241),",","")),"")</f>
        <v>4298</v>
      </c>
    </row>
    <row r="238" customFormat="false" ht="15" hidden="false" customHeight="true" outlineLevel="0" collapsed="false">
      <c r="A238" s="11" t="str">
        <f aca="false">TRIM('수출입 실적(품목별)'!A242)</f>
        <v>2024.03</v>
      </c>
      <c r="B238" s="17" t="n">
        <f aca="false">IFERROR(VALUE(LEFT($A238,4)),"")</f>
        <v>2024</v>
      </c>
      <c r="C238" s="17" t="n">
        <f aca="false">IFERROR(VALUE(RIGHT($A238,2)),"")</f>
        <v>3</v>
      </c>
      <c r="D238" s="17" t="n">
        <f aca="false">IFERROR(ROUNDUP($C238/3,0),"")</f>
        <v>1</v>
      </c>
      <c r="E238" s="11" t="str">
        <f aca="false">TRIM('수출입 실적(품목별)'!B242)</f>
        <v>42</v>
      </c>
      <c r="F238" s="11" t="str">
        <f aca="false">TRIM('수출입 실적(품목별)'!C242)</f>
        <v>가죽제품, 마구, 여행용구ㆍ핸드백과 이와 유사한 용기, 동물 거트(gut)[누에의 거트(gut)는 제외한다]의 제품</v>
      </c>
      <c r="G238" s="18" t="n">
        <f aca="false">IFERROR(VALUE(SUBSTITUTE(TRIM('수출입 실적(품목별)'!D242),",","")),"")</f>
        <v>709.8</v>
      </c>
      <c r="H238" s="19" t="n">
        <f aca="false">IFERROR(VALUE(SUBSTITUTE(TRIM('수출입 실적(품목별)'!E242),",","")),"")</f>
        <v>29172</v>
      </c>
      <c r="I238" s="18" t="n">
        <f aca="false">IFERROR(VALUE(SUBSTITUTE(TRIM('수출입 실적(품목별)'!F242),",","")),"")</f>
        <v>8004.7</v>
      </c>
      <c r="J238" s="19" t="n">
        <f aca="false">IFERROR(VALUE(SUBSTITUTE(TRIM('수출입 실적(품목별)'!G242),",","")),"")</f>
        <v>333110</v>
      </c>
      <c r="K238" s="19" t="n">
        <f aca="false">IFERROR(VALUE(SUBSTITUTE(TRIM('수출입 실적(품목별)'!H242),",","")),"")</f>
        <v>-303938</v>
      </c>
    </row>
    <row r="239" customFormat="false" ht="15" hidden="false" customHeight="true" outlineLevel="0" collapsed="false">
      <c r="A239" s="11" t="str">
        <f aca="false">TRIM('수출입 실적(품목별)'!A243)</f>
        <v>2024.03</v>
      </c>
      <c r="B239" s="17" t="n">
        <f aca="false">IFERROR(VALUE(LEFT($A239,4)),"")</f>
        <v>2024</v>
      </c>
      <c r="C239" s="17" t="n">
        <f aca="false">IFERROR(VALUE(RIGHT($A239,2)),"")</f>
        <v>3</v>
      </c>
      <c r="D239" s="17" t="n">
        <f aca="false">IFERROR(ROUNDUP($C239/3,0),"")</f>
        <v>1</v>
      </c>
      <c r="E239" s="11" t="str">
        <f aca="false">TRIM('수출입 실적(품목별)'!B243)</f>
        <v>43</v>
      </c>
      <c r="F239" s="11" t="str">
        <f aca="false">TRIM('수출입 실적(품목별)'!C243)</f>
        <v>모피ㆍ인조모피와 이들의 제품</v>
      </c>
      <c r="G239" s="18" t="n">
        <f aca="false">IFERROR(VALUE(SUBSTITUTE(TRIM('수출입 실적(품목별)'!D243),",","")),"")</f>
        <v>3.5</v>
      </c>
      <c r="H239" s="19" t="n">
        <f aca="false">IFERROR(VALUE(SUBSTITUTE(TRIM('수출입 실적(품목별)'!E243),",","")),"")</f>
        <v>721</v>
      </c>
      <c r="I239" s="18" t="n">
        <f aca="false">IFERROR(VALUE(SUBSTITUTE(TRIM('수출입 실적(품목별)'!F243),",","")),"")</f>
        <v>19.8</v>
      </c>
      <c r="J239" s="19" t="n">
        <f aca="false">IFERROR(VALUE(SUBSTITUTE(TRIM('수출입 실적(품목별)'!G243),",","")),"")</f>
        <v>3358</v>
      </c>
      <c r="K239" s="19" t="n">
        <f aca="false">IFERROR(VALUE(SUBSTITUTE(TRIM('수출입 실적(품목별)'!H243),",","")),"")</f>
        <v>-2637</v>
      </c>
    </row>
    <row r="240" customFormat="false" ht="15" hidden="false" customHeight="true" outlineLevel="0" collapsed="false">
      <c r="A240" s="11" t="str">
        <f aca="false">TRIM('수출입 실적(품목별)'!A244)</f>
        <v>2024.03</v>
      </c>
      <c r="B240" s="17" t="n">
        <f aca="false">IFERROR(VALUE(LEFT($A240,4)),"")</f>
        <v>2024</v>
      </c>
      <c r="C240" s="17" t="n">
        <f aca="false">IFERROR(VALUE(RIGHT($A240,2)),"")</f>
        <v>3</v>
      </c>
      <c r="D240" s="17" t="n">
        <f aca="false">IFERROR(ROUNDUP($C240/3,0),"")</f>
        <v>1</v>
      </c>
      <c r="E240" s="11" t="str">
        <f aca="false">TRIM('수출입 실적(품목별)'!B244)</f>
        <v>44</v>
      </c>
      <c r="F240" s="11" t="str">
        <f aca="false">TRIM('수출입 실적(품목별)'!C244)</f>
        <v>목재와 그 제품, 목탄</v>
      </c>
      <c r="G240" s="18" t="n">
        <f aca="false">IFERROR(VALUE(SUBSTITUTE(TRIM('수출입 실적(품목별)'!D244),",","")),"")</f>
        <v>4251.5</v>
      </c>
      <c r="H240" s="19" t="n">
        <f aca="false">IFERROR(VALUE(SUBSTITUTE(TRIM('수출입 실적(품목별)'!E244),",","")),"")</f>
        <v>5569</v>
      </c>
      <c r="I240" s="18" t="n">
        <f aca="false">IFERROR(VALUE(SUBSTITUTE(TRIM('수출입 실적(품목별)'!F244),",","")),"")</f>
        <v>842336.7</v>
      </c>
      <c r="J240" s="19" t="n">
        <f aca="false">IFERROR(VALUE(SUBSTITUTE(TRIM('수출입 실적(품목별)'!G244),",","")),"")</f>
        <v>230714</v>
      </c>
      <c r="K240" s="19" t="n">
        <f aca="false">IFERROR(VALUE(SUBSTITUTE(TRIM('수출입 실적(품목별)'!H244),",","")),"")</f>
        <v>-225145</v>
      </c>
    </row>
    <row r="241" customFormat="false" ht="15" hidden="false" customHeight="true" outlineLevel="0" collapsed="false">
      <c r="A241" s="11" t="str">
        <f aca="false">TRIM('수출입 실적(품목별)'!A245)</f>
        <v>2024.03</v>
      </c>
      <c r="B241" s="17" t="n">
        <f aca="false">IFERROR(VALUE(LEFT($A241,4)),"")</f>
        <v>2024</v>
      </c>
      <c r="C241" s="17" t="n">
        <f aca="false">IFERROR(VALUE(RIGHT($A241,2)),"")</f>
        <v>3</v>
      </c>
      <c r="D241" s="17" t="n">
        <f aca="false">IFERROR(ROUNDUP($C241/3,0),"")</f>
        <v>1</v>
      </c>
      <c r="E241" s="11" t="str">
        <f aca="false">TRIM('수출입 실적(품목별)'!B245)</f>
        <v>45</v>
      </c>
      <c r="F241" s="11" t="str">
        <f aca="false">TRIM('수출입 실적(품목별)'!C245)</f>
        <v>코르크(cork)와 그 제품</v>
      </c>
      <c r="G241" s="18" t="n">
        <f aca="false">IFERROR(VALUE(SUBSTITUTE(TRIM('수출입 실적(품목별)'!D245),",","")),"")</f>
        <v>2</v>
      </c>
      <c r="H241" s="19" t="n">
        <f aca="false">IFERROR(VALUE(SUBSTITUTE(TRIM('수출입 실적(품목별)'!E245),",","")),"")</f>
        <v>42</v>
      </c>
      <c r="I241" s="18" t="n">
        <f aca="false">IFERROR(VALUE(SUBSTITUTE(TRIM('수출입 실적(품목별)'!F245),",","")),"")</f>
        <v>52.6</v>
      </c>
      <c r="J241" s="19" t="n">
        <f aca="false">IFERROR(VALUE(SUBSTITUTE(TRIM('수출입 실적(품목별)'!G245),",","")),"")</f>
        <v>265</v>
      </c>
      <c r="K241" s="19" t="n">
        <f aca="false">IFERROR(VALUE(SUBSTITUTE(TRIM('수출입 실적(품목별)'!H245),",","")),"")</f>
        <v>-223</v>
      </c>
    </row>
    <row r="242" customFormat="false" ht="15" hidden="false" customHeight="true" outlineLevel="0" collapsed="false">
      <c r="A242" s="11" t="str">
        <f aca="false">TRIM('수출입 실적(품목별)'!A246)</f>
        <v>2024.03</v>
      </c>
      <c r="B242" s="17" t="n">
        <f aca="false">IFERROR(VALUE(LEFT($A242,4)),"")</f>
        <v>2024</v>
      </c>
      <c r="C242" s="17" t="n">
        <f aca="false">IFERROR(VALUE(RIGHT($A242,2)),"")</f>
        <v>3</v>
      </c>
      <c r="D242" s="17" t="n">
        <f aca="false">IFERROR(ROUNDUP($C242/3,0),"")</f>
        <v>1</v>
      </c>
      <c r="E242" s="11" t="str">
        <f aca="false">TRIM('수출입 실적(품목별)'!B246)</f>
        <v>46</v>
      </c>
      <c r="F242" s="11" t="str">
        <f aca="false">TRIM('수출입 실적(품목별)'!C246)</f>
        <v>짚ㆍ에스파르토(esparto)나 그 밖의 조물 재료의 제품, 바구니 세공물(basketware)과 지조세공물(枝條細工物)</v>
      </c>
      <c r="G242" s="18" t="n">
        <f aca="false">IFERROR(VALUE(SUBSTITUTE(TRIM('수출입 실적(품목별)'!D246),",","")),"")</f>
        <v>3.3</v>
      </c>
      <c r="H242" s="19" t="n">
        <f aca="false">IFERROR(VALUE(SUBSTITUTE(TRIM('수출입 실적(품목별)'!E246),",","")),"")</f>
        <v>85</v>
      </c>
      <c r="I242" s="18" t="n">
        <f aca="false">IFERROR(VALUE(SUBSTITUTE(TRIM('수출입 실적(품목별)'!F246),",","")),"")</f>
        <v>420.7</v>
      </c>
      <c r="J242" s="19" t="n">
        <f aca="false">IFERROR(VALUE(SUBSTITUTE(TRIM('수출입 실적(품목별)'!G246),",","")),"")</f>
        <v>2712</v>
      </c>
      <c r="K242" s="19" t="n">
        <f aca="false">IFERROR(VALUE(SUBSTITUTE(TRIM('수출입 실적(품목별)'!H246),",","")),"")</f>
        <v>-2627</v>
      </c>
    </row>
    <row r="243" customFormat="false" ht="15" hidden="false" customHeight="true" outlineLevel="0" collapsed="false">
      <c r="A243" s="11" t="str">
        <f aca="false">TRIM('수출입 실적(품목별)'!A247)</f>
        <v>2024.03</v>
      </c>
      <c r="B243" s="17" t="n">
        <f aca="false">IFERROR(VALUE(LEFT($A243,4)),"")</f>
        <v>2024</v>
      </c>
      <c r="C243" s="17" t="n">
        <f aca="false">IFERROR(VALUE(RIGHT($A243,2)),"")</f>
        <v>3</v>
      </c>
      <c r="D243" s="17" t="n">
        <f aca="false">IFERROR(ROUNDUP($C243/3,0),"")</f>
        <v>1</v>
      </c>
      <c r="E243" s="11" t="str">
        <f aca="false">TRIM('수출입 실적(품목별)'!B247)</f>
        <v>47</v>
      </c>
      <c r="F243" s="11" t="str">
        <f aca="false">TRIM('수출입 실적(품목별)'!C247)</f>
        <v>목재나 그 밖의 섬유질 셀룰로오스재료의 펄프, 회수한 종이ㆍ판지[웨이스트(waste)와 스크랩(scrap)]</v>
      </c>
      <c r="G243" s="18" t="n">
        <f aca="false">IFERROR(VALUE(SUBSTITUTE(TRIM('수출입 실적(품목별)'!D247),",","")),"")</f>
        <v>60184.6</v>
      </c>
      <c r="H243" s="19" t="n">
        <f aca="false">IFERROR(VALUE(SUBSTITUTE(TRIM('수출입 실적(품목별)'!E247),",","")),"")</f>
        <v>13248</v>
      </c>
      <c r="I243" s="18" t="n">
        <f aca="false">IFERROR(VALUE(SUBSTITUTE(TRIM('수출입 실적(품목별)'!F247),",","")),"")</f>
        <v>240505.3</v>
      </c>
      <c r="J243" s="19" t="n">
        <f aca="false">IFERROR(VALUE(SUBSTITUTE(TRIM('수출입 실적(품목별)'!G247),",","")),"")</f>
        <v>132958</v>
      </c>
      <c r="K243" s="19" t="n">
        <f aca="false">IFERROR(VALUE(SUBSTITUTE(TRIM('수출입 실적(품목별)'!H247),",","")),"")</f>
        <v>-119709</v>
      </c>
    </row>
    <row r="244" customFormat="false" ht="15" hidden="false" customHeight="true" outlineLevel="0" collapsed="false">
      <c r="A244" s="11" t="str">
        <f aca="false">TRIM('수출입 실적(품목별)'!A248)</f>
        <v>2024.03</v>
      </c>
      <c r="B244" s="17" t="n">
        <f aca="false">IFERROR(VALUE(LEFT($A244,4)),"")</f>
        <v>2024</v>
      </c>
      <c r="C244" s="17" t="n">
        <f aca="false">IFERROR(VALUE(RIGHT($A244,2)),"")</f>
        <v>3</v>
      </c>
      <c r="D244" s="17" t="n">
        <f aca="false">IFERROR(ROUNDUP($C244/3,0),"")</f>
        <v>1</v>
      </c>
      <c r="E244" s="11" t="str">
        <f aca="false">TRIM('수출입 실적(품목별)'!B248)</f>
        <v>48</v>
      </c>
      <c r="F244" s="11" t="str">
        <f aca="false">TRIM('수출입 실적(품목별)'!C248)</f>
        <v>종이와 판지, 제지용 펄프ㆍ종이ㆍ판지의 제품</v>
      </c>
      <c r="G244" s="18" t="n">
        <f aca="false">IFERROR(VALUE(SUBSTITUTE(TRIM('수출입 실적(품목별)'!D248),",","")),"")</f>
        <v>237442.9</v>
      </c>
      <c r="H244" s="19" t="n">
        <f aca="false">IFERROR(VALUE(SUBSTITUTE(TRIM('수출입 실적(품목별)'!E248),",","")),"")</f>
        <v>234010</v>
      </c>
      <c r="I244" s="18" t="n">
        <f aca="false">IFERROR(VALUE(SUBSTITUTE(TRIM('수출입 실적(품목별)'!F248),",","")),"")</f>
        <v>110663.9</v>
      </c>
      <c r="J244" s="19" t="n">
        <f aca="false">IFERROR(VALUE(SUBSTITUTE(TRIM('수출입 실적(품목별)'!G248),",","")),"")</f>
        <v>173935</v>
      </c>
      <c r="K244" s="19" t="n">
        <f aca="false">IFERROR(VALUE(SUBSTITUTE(TRIM('수출입 실적(품목별)'!H248),",","")),"")</f>
        <v>60075</v>
      </c>
    </row>
    <row r="245" customFormat="false" ht="15" hidden="false" customHeight="true" outlineLevel="0" collapsed="false">
      <c r="A245" s="11" t="str">
        <f aca="false">TRIM('수출입 실적(품목별)'!A249)</f>
        <v>2024.03</v>
      </c>
      <c r="B245" s="17" t="n">
        <f aca="false">IFERROR(VALUE(LEFT($A245,4)),"")</f>
        <v>2024</v>
      </c>
      <c r="C245" s="17" t="n">
        <f aca="false">IFERROR(VALUE(RIGHT($A245,2)),"")</f>
        <v>3</v>
      </c>
      <c r="D245" s="17" t="n">
        <f aca="false">IFERROR(ROUNDUP($C245/3,0),"")</f>
        <v>1</v>
      </c>
      <c r="E245" s="11" t="str">
        <f aca="false">TRIM('수출입 실적(품목별)'!B249)</f>
        <v>49</v>
      </c>
      <c r="F245" s="11" t="str">
        <f aca="false">TRIM('수출입 실적(품목별)'!C249)</f>
        <v>인쇄서적ㆍ신문ㆍ회화ㆍ그 밖의 인쇄물, 수제(手製)문서ㆍ타자문서ㆍ도면</v>
      </c>
      <c r="G245" s="18" t="n">
        <f aca="false">IFERROR(VALUE(SUBSTITUTE(TRIM('수출입 실적(품목별)'!D249),",","")),"")</f>
        <v>2398.4</v>
      </c>
      <c r="H245" s="19" t="n">
        <f aca="false">IFERROR(VALUE(SUBSTITUTE(TRIM('수출입 실적(품목별)'!E249),",","")),"")</f>
        <v>19652</v>
      </c>
      <c r="I245" s="18" t="n">
        <f aca="false">IFERROR(VALUE(SUBSTITUTE(TRIM('수출입 실적(품목별)'!F249),",","")),"")</f>
        <v>1168.3</v>
      </c>
      <c r="J245" s="19" t="n">
        <f aca="false">IFERROR(VALUE(SUBSTITUTE(TRIM('수출입 실적(품목별)'!G249),",","")),"")</f>
        <v>27804</v>
      </c>
      <c r="K245" s="19" t="n">
        <f aca="false">IFERROR(VALUE(SUBSTITUTE(TRIM('수출입 실적(품목별)'!H249),",","")),"")</f>
        <v>-8152</v>
      </c>
    </row>
    <row r="246" customFormat="false" ht="15" hidden="false" customHeight="true" outlineLevel="0" collapsed="false">
      <c r="A246" s="11" t="str">
        <f aca="false">TRIM('수출입 실적(품목별)'!A250)</f>
        <v>2024.03</v>
      </c>
      <c r="B246" s="17" t="n">
        <f aca="false">IFERROR(VALUE(LEFT($A246,4)),"")</f>
        <v>2024</v>
      </c>
      <c r="C246" s="17" t="n">
        <f aca="false">IFERROR(VALUE(RIGHT($A246,2)),"")</f>
        <v>3</v>
      </c>
      <c r="D246" s="17" t="n">
        <f aca="false">IFERROR(ROUNDUP($C246/3,0),"")</f>
        <v>1</v>
      </c>
      <c r="E246" s="11" t="str">
        <f aca="false">TRIM('수출입 실적(품목별)'!B250)</f>
        <v>50</v>
      </c>
      <c r="F246" s="11" t="str">
        <f aca="false">TRIM('수출입 실적(품목별)'!C250)</f>
        <v>견</v>
      </c>
      <c r="G246" s="18" t="n">
        <f aca="false">IFERROR(VALUE(SUBSTITUTE(TRIM('수출입 실적(품목별)'!D250),",","")),"")</f>
        <v>24</v>
      </c>
      <c r="H246" s="19" t="n">
        <f aca="false">IFERROR(VALUE(SUBSTITUTE(TRIM('수출입 실적(품목별)'!E250),",","")),"")</f>
        <v>1136</v>
      </c>
      <c r="I246" s="18" t="n">
        <f aca="false">IFERROR(VALUE(SUBSTITUTE(TRIM('수출입 실적(품목별)'!F250),",","")),"")</f>
        <v>30.7</v>
      </c>
      <c r="J246" s="19" t="n">
        <f aca="false">IFERROR(VALUE(SUBSTITUTE(TRIM('수출입 실적(품목별)'!G250),",","")),"")</f>
        <v>2849</v>
      </c>
      <c r="K246" s="19" t="n">
        <f aca="false">IFERROR(VALUE(SUBSTITUTE(TRIM('수출입 실적(품목별)'!H250),",","")),"")</f>
        <v>-1713</v>
      </c>
    </row>
    <row r="247" customFormat="false" ht="15" hidden="false" customHeight="true" outlineLevel="0" collapsed="false">
      <c r="A247" s="11" t="str">
        <f aca="false">TRIM('수출입 실적(품목별)'!A251)</f>
        <v>2024.03</v>
      </c>
      <c r="B247" s="17" t="n">
        <f aca="false">IFERROR(VALUE(LEFT($A247,4)),"")</f>
        <v>2024</v>
      </c>
      <c r="C247" s="17" t="n">
        <f aca="false">IFERROR(VALUE(RIGHT($A247,2)),"")</f>
        <v>3</v>
      </c>
      <c r="D247" s="17" t="n">
        <f aca="false">IFERROR(ROUNDUP($C247/3,0),"")</f>
        <v>1</v>
      </c>
      <c r="E247" s="11" t="str">
        <f aca="false">TRIM('수출입 실적(품목별)'!B251)</f>
        <v>51</v>
      </c>
      <c r="F247" s="11" t="str">
        <f aca="false">TRIM('수출입 실적(품목별)'!C251)</f>
        <v>양모ㆍ동물의 부드러운 털이나 거친 털ㆍ말의 털로 만든 실과 직물</v>
      </c>
      <c r="G247" s="18" t="n">
        <f aca="false">IFERROR(VALUE(SUBSTITUTE(TRIM('수출입 실적(품목별)'!D251),",","")),"")</f>
        <v>120.9</v>
      </c>
      <c r="H247" s="19" t="n">
        <f aca="false">IFERROR(VALUE(SUBSTITUTE(TRIM('수출입 실적(품목별)'!E251),",","")),"")</f>
        <v>3039</v>
      </c>
      <c r="I247" s="18" t="n">
        <f aca="false">IFERROR(VALUE(SUBSTITUTE(TRIM('수출입 실적(품목별)'!F251),",","")),"")</f>
        <v>1141</v>
      </c>
      <c r="J247" s="19" t="n">
        <f aca="false">IFERROR(VALUE(SUBSTITUTE(TRIM('수출입 실적(품목별)'!G251),",","")),"")</f>
        <v>19633</v>
      </c>
      <c r="K247" s="19" t="n">
        <f aca="false">IFERROR(VALUE(SUBSTITUTE(TRIM('수출입 실적(품목별)'!H251),",","")),"")</f>
        <v>-16594</v>
      </c>
    </row>
    <row r="248" customFormat="false" ht="15" hidden="false" customHeight="true" outlineLevel="0" collapsed="false">
      <c r="A248" s="11" t="str">
        <f aca="false">TRIM('수출입 실적(품목별)'!A252)</f>
        <v>2024.03</v>
      </c>
      <c r="B248" s="17" t="n">
        <f aca="false">IFERROR(VALUE(LEFT($A248,4)),"")</f>
        <v>2024</v>
      </c>
      <c r="C248" s="17" t="n">
        <f aca="false">IFERROR(VALUE(RIGHT($A248,2)),"")</f>
        <v>3</v>
      </c>
      <c r="D248" s="17" t="n">
        <f aca="false">IFERROR(ROUNDUP($C248/3,0),"")</f>
        <v>1</v>
      </c>
      <c r="E248" s="11" t="str">
        <f aca="false">TRIM('수출입 실적(품목별)'!B252)</f>
        <v>52</v>
      </c>
      <c r="F248" s="11" t="str">
        <f aca="false">TRIM('수출입 실적(품목별)'!C252)</f>
        <v>면</v>
      </c>
      <c r="G248" s="18" t="n">
        <f aca="false">IFERROR(VALUE(SUBSTITUTE(TRIM('수출입 실적(품목별)'!D252),",","")),"")</f>
        <v>2381.1</v>
      </c>
      <c r="H248" s="19" t="n">
        <f aca="false">IFERROR(VALUE(SUBSTITUTE(TRIM('수출입 실적(품목별)'!E252),",","")),"")</f>
        <v>20915</v>
      </c>
      <c r="I248" s="18" t="n">
        <f aca="false">IFERROR(VALUE(SUBSTITUTE(TRIM('수출입 실적(품목별)'!F252),",","")),"")</f>
        <v>24236.2</v>
      </c>
      <c r="J248" s="19" t="n">
        <f aca="false">IFERROR(VALUE(SUBSTITUTE(TRIM('수출입 실적(품목별)'!G252),",","")),"")</f>
        <v>77310</v>
      </c>
      <c r="K248" s="19" t="n">
        <f aca="false">IFERROR(VALUE(SUBSTITUTE(TRIM('수출입 실적(품목별)'!H252),",","")),"")</f>
        <v>-56395</v>
      </c>
    </row>
    <row r="249" customFormat="false" ht="15" hidden="false" customHeight="true" outlineLevel="0" collapsed="false">
      <c r="A249" s="11" t="str">
        <f aca="false">TRIM('수출입 실적(품목별)'!A253)</f>
        <v>2024.03</v>
      </c>
      <c r="B249" s="17" t="n">
        <f aca="false">IFERROR(VALUE(LEFT($A249,4)),"")</f>
        <v>2024</v>
      </c>
      <c r="C249" s="17" t="n">
        <f aca="false">IFERROR(VALUE(RIGHT($A249,2)),"")</f>
        <v>3</v>
      </c>
      <c r="D249" s="17" t="n">
        <f aca="false">IFERROR(ROUNDUP($C249/3,0),"")</f>
        <v>1</v>
      </c>
      <c r="E249" s="11" t="str">
        <f aca="false">TRIM('수출입 실적(품목별)'!B253)</f>
        <v>53</v>
      </c>
      <c r="F249" s="11" t="str">
        <f aca="false">TRIM('수출입 실적(품목별)'!C253)</f>
        <v>그 밖의 식물성 방직용 섬유, 종이실(paper yarn)과 종이실로 만든 직물</v>
      </c>
      <c r="G249" s="18" t="n">
        <f aca="false">IFERROR(VALUE(SUBSTITUTE(TRIM('수출입 실적(품목별)'!D253),",","")),"")</f>
        <v>39.1</v>
      </c>
      <c r="H249" s="19" t="n">
        <f aca="false">IFERROR(VALUE(SUBSTITUTE(TRIM('수출입 실적(품목별)'!E253),",","")),"")</f>
        <v>452</v>
      </c>
      <c r="I249" s="18" t="n">
        <f aca="false">IFERROR(VALUE(SUBSTITUTE(TRIM('수출입 실적(품목별)'!F253),",","")),"")</f>
        <v>1359.4</v>
      </c>
      <c r="J249" s="19" t="n">
        <f aca="false">IFERROR(VALUE(SUBSTITUTE(TRIM('수출입 실적(품목별)'!G253),",","")),"")</f>
        <v>5485</v>
      </c>
      <c r="K249" s="19" t="n">
        <f aca="false">IFERROR(VALUE(SUBSTITUTE(TRIM('수출입 실적(품목별)'!H253),",","")),"")</f>
        <v>-5033</v>
      </c>
    </row>
    <row r="250" customFormat="false" ht="15" hidden="false" customHeight="true" outlineLevel="0" collapsed="false">
      <c r="A250" s="11" t="str">
        <f aca="false">TRIM('수출입 실적(품목별)'!A254)</f>
        <v>2024.03</v>
      </c>
      <c r="B250" s="17" t="n">
        <f aca="false">IFERROR(VALUE(LEFT($A250,4)),"")</f>
        <v>2024</v>
      </c>
      <c r="C250" s="17" t="n">
        <f aca="false">IFERROR(VALUE(RIGHT($A250,2)),"")</f>
        <v>3</v>
      </c>
      <c r="D250" s="17" t="n">
        <f aca="false">IFERROR(ROUNDUP($C250/3,0),"")</f>
        <v>1</v>
      </c>
      <c r="E250" s="11" t="str">
        <f aca="false">TRIM('수출입 실적(품목별)'!B254)</f>
        <v>54</v>
      </c>
      <c r="F250" s="11" t="str">
        <f aca="false">TRIM('수출입 실적(품목별)'!C254)</f>
        <v>인조필라멘트, 인조방직용 섬유재료의 스트립(strip)과 이와 유사한 것</v>
      </c>
      <c r="G250" s="18" t="n">
        <f aca="false">IFERROR(VALUE(SUBSTITUTE(TRIM('수출입 실적(품목별)'!D254),",","")),"")</f>
        <v>26593</v>
      </c>
      <c r="H250" s="19" t="n">
        <f aca="false">IFERROR(VALUE(SUBSTITUTE(TRIM('수출입 실적(품목별)'!E254),",","")),"")</f>
        <v>170478</v>
      </c>
      <c r="I250" s="18" t="n">
        <f aca="false">IFERROR(VALUE(SUBSTITUTE(TRIM('수출입 실적(품목별)'!F254),",","")),"")</f>
        <v>38717.4</v>
      </c>
      <c r="J250" s="19" t="n">
        <f aca="false">IFERROR(VALUE(SUBSTITUTE(TRIM('수출입 실적(품목별)'!G254),",","")),"")</f>
        <v>86650</v>
      </c>
      <c r="K250" s="19" t="n">
        <f aca="false">IFERROR(VALUE(SUBSTITUTE(TRIM('수출입 실적(품목별)'!H254),",","")),"")</f>
        <v>83828</v>
      </c>
    </row>
    <row r="251" customFormat="false" ht="15" hidden="false" customHeight="true" outlineLevel="0" collapsed="false">
      <c r="A251" s="11" t="str">
        <f aca="false">TRIM('수출입 실적(품목별)'!A255)</f>
        <v>2024.03</v>
      </c>
      <c r="B251" s="17" t="n">
        <f aca="false">IFERROR(VALUE(LEFT($A251,4)),"")</f>
        <v>2024</v>
      </c>
      <c r="C251" s="17" t="n">
        <f aca="false">IFERROR(VALUE(RIGHT($A251,2)),"")</f>
        <v>3</v>
      </c>
      <c r="D251" s="17" t="n">
        <f aca="false">IFERROR(ROUNDUP($C251/3,0),"")</f>
        <v>1</v>
      </c>
      <c r="E251" s="11" t="str">
        <f aca="false">TRIM('수출입 실적(품목별)'!B255)</f>
        <v>55</v>
      </c>
      <c r="F251" s="11" t="str">
        <f aca="false">TRIM('수출입 실적(품목별)'!C255)</f>
        <v>인조스테이플섬유</v>
      </c>
      <c r="G251" s="18" t="n">
        <f aca="false">IFERROR(VALUE(SUBSTITUTE(TRIM('수출입 실적(품목별)'!D255),",","")),"")</f>
        <v>62287.8</v>
      </c>
      <c r="H251" s="19" t="n">
        <f aca="false">IFERROR(VALUE(SUBSTITUTE(TRIM('수출입 실적(품목별)'!E255),",","")),"")</f>
        <v>105979</v>
      </c>
      <c r="I251" s="18" t="n">
        <f aca="false">IFERROR(VALUE(SUBSTITUTE(TRIM('수출입 실적(품목별)'!F255),",","")),"")</f>
        <v>12663.6</v>
      </c>
      <c r="J251" s="19" t="n">
        <f aca="false">IFERROR(VALUE(SUBSTITUTE(TRIM('수출입 실적(품목별)'!G255),",","")),"")</f>
        <v>49549</v>
      </c>
      <c r="K251" s="19" t="n">
        <f aca="false">IFERROR(VALUE(SUBSTITUTE(TRIM('수출입 실적(품목별)'!H255),",","")),"")</f>
        <v>56430</v>
      </c>
    </row>
    <row r="252" customFormat="false" ht="15" hidden="false" customHeight="true" outlineLevel="0" collapsed="false">
      <c r="A252" s="11" t="str">
        <f aca="false">TRIM('수출입 실적(품목별)'!A256)</f>
        <v>2024.03</v>
      </c>
      <c r="B252" s="17" t="n">
        <f aca="false">IFERROR(VALUE(LEFT($A252,4)),"")</f>
        <v>2024</v>
      </c>
      <c r="C252" s="17" t="n">
        <f aca="false">IFERROR(VALUE(RIGHT($A252,2)),"")</f>
        <v>3</v>
      </c>
      <c r="D252" s="17" t="n">
        <f aca="false">IFERROR(ROUNDUP($C252/3,0),"")</f>
        <v>1</v>
      </c>
      <c r="E252" s="11" t="str">
        <f aca="false">TRIM('수출입 실적(품목별)'!B256)</f>
        <v>56</v>
      </c>
      <c r="F252" s="11" t="str">
        <f aca="false">TRIM('수출입 실적(품목별)'!C256)</f>
        <v>워딩(wadding)ㆍ펠트(felt)ㆍ부직포, 특수사, 끈ㆍ배의 밧줄(cordage)ㆍ로프ㆍ케이블과 이들의 제품</v>
      </c>
      <c r="G252" s="18" t="n">
        <f aca="false">IFERROR(VALUE(SUBSTITUTE(TRIM('수출입 실적(품목별)'!D256),",","")),"")</f>
        <v>9778.2</v>
      </c>
      <c r="H252" s="19" t="n">
        <f aca="false">IFERROR(VALUE(SUBSTITUTE(TRIM('수출입 실적(품목별)'!E256),",","")),"")</f>
        <v>65487</v>
      </c>
      <c r="I252" s="18" t="n">
        <f aca="false">IFERROR(VALUE(SUBSTITUTE(TRIM('수출입 실적(품목별)'!F256),",","")),"")</f>
        <v>18851.4</v>
      </c>
      <c r="J252" s="19" t="n">
        <f aca="false">IFERROR(VALUE(SUBSTITUTE(TRIM('수출입 실적(품목별)'!G256),",","")),"")</f>
        <v>57831</v>
      </c>
      <c r="K252" s="19" t="n">
        <f aca="false">IFERROR(VALUE(SUBSTITUTE(TRIM('수출입 실적(품목별)'!H256),",","")),"")</f>
        <v>7656</v>
      </c>
    </row>
    <row r="253" customFormat="false" ht="15" hidden="false" customHeight="true" outlineLevel="0" collapsed="false">
      <c r="A253" s="11" t="str">
        <f aca="false">TRIM('수출입 실적(품목별)'!A257)</f>
        <v>2024.03</v>
      </c>
      <c r="B253" s="17" t="n">
        <f aca="false">IFERROR(VALUE(LEFT($A253,4)),"")</f>
        <v>2024</v>
      </c>
      <c r="C253" s="17" t="n">
        <f aca="false">IFERROR(VALUE(RIGHT($A253,2)),"")</f>
        <v>3</v>
      </c>
      <c r="D253" s="17" t="n">
        <f aca="false">IFERROR(ROUNDUP($C253/3,0),"")</f>
        <v>1</v>
      </c>
      <c r="E253" s="11" t="str">
        <f aca="false">TRIM('수출입 실적(품목별)'!B257)</f>
        <v>57</v>
      </c>
      <c r="F253" s="11" t="str">
        <f aca="false">TRIM('수출입 실적(품목별)'!C257)</f>
        <v>양탄자류와 그 밖의 방직용 섬유로 만든 바닥깔개</v>
      </c>
      <c r="G253" s="18" t="n">
        <f aca="false">IFERROR(VALUE(SUBSTITUTE(TRIM('수출입 실적(품목별)'!D257),",","")),"")</f>
        <v>631.7</v>
      </c>
      <c r="H253" s="19" t="n">
        <f aca="false">IFERROR(VALUE(SUBSTITUTE(TRIM('수출입 실적(품목별)'!E257),",","")),"")</f>
        <v>3871</v>
      </c>
      <c r="I253" s="18" t="n">
        <f aca="false">IFERROR(VALUE(SUBSTITUTE(TRIM('수출입 실적(품목별)'!F257),",","")),"")</f>
        <v>5539.5</v>
      </c>
      <c r="J253" s="19" t="n">
        <f aca="false">IFERROR(VALUE(SUBSTITUTE(TRIM('수출입 실적(품목별)'!G257),",","")),"")</f>
        <v>9177</v>
      </c>
      <c r="K253" s="19" t="n">
        <f aca="false">IFERROR(VALUE(SUBSTITUTE(TRIM('수출입 실적(품목별)'!H257),",","")),"")</f>
        <v>-5307</v>
      </c>
    </row>
    <row r="254" customFormat="false" ht="15" hidden="false" customHeight="true" outlineLevel="0" collapsed="false">
      <c r="A254" s="11" t="str">
        <f aca="false">TRIM('수출입 실적(품목별)'!A258)</f>
        <v>2024.03</v>
      </c>
      <c r="B254" s="17" t="n">
        <f aca="false">IFERROR(VALUE(LEFT($A254,4)),"")</f>
        <v>2024</v>
      </c>
      <c r="C254" s="17" t="n">
        <f aca="false">IFERROR(VALUE(RIGHT($A254,2)),"")</f>
        <v>3</v>
      </c>
      <c r="D254" s="17" t="n">
        <f aca="false">IFERROR(ROUNDUP($C254/3,0),"")</f>
        <v>1</v>
      </c>
      <c r="E254" s="11" t="str">
        <f aca="false">TRIM('수출입 실적(품목별)'!B258)</f>
        <v>58</v>
      </c>
      <c r="F254" s="11" t="str">
        <f aca="false">TRIM('수출입 실적(품목별)'!C258)</f>
        <v>특수직물, 터프트(tuft)한 직물, 레이스, 태피스트리(tapestry), 트리밍(trimming), 자수천</v>
      </c>
      <c r="G254" s="18" t="n">
        <f aca="false">IFERROR(VALUE(SUBSTITUTE(TRIM('수출입 실적(품목별)'!D258),",","")),"")</f>
        <v>1275.9</v>
      </c>
      <c r="H254" s="19" t="n">
        <f aca="false">IFERROR(VALUE(SUBSTITUTE(TRIM('수출입 실적(품목별)'!E258),",","")),"")</f>
        <v>15696</v>
      </c>
      <c r="I254" s="18" t="n">
        <f aca="false">IFERROR(VALUE(SUBSTITUTE(TRIM('수출입 실적(품목별)'!F258),",","")),"")</f>
        <v>705.5</v>
      </c>
      <c r="J254" s="19" t="n">
        <f aca="false">IFERROR(VALUE(SUBSTITUTE(TRIM('수출입 실적(품목별)'!G258),",","")),"")</f>
        <v>5868</v>
      </c>
      <c r="K254" s="19" t="n">
        <f aca="false">IFERROR(VALUE(SUBSTITUTE(TRIM('수출입 실적(품목별)'!H258),",","")),"")</f>
        <v>9828</v>
      </c>
    </row>
    <row r="255" customFormat="false" ht="15" hidden="false" customHeight="true" outlineLevel="0" collapsed="false">
      <c r="A255" s="11" t="str">
        <f aca="false">TRIM('수출입 실적(품목별)'!A259)</f>
        <v>2024.03</v>
      </c>
      <c r="B255" s="17" t="n">
        <f aca="false">IFERROR(VALUE(LEFT($A255,4)),"")</f>
        <v>2024</v>
      </c>
      <c r="C255" s="17" t="n">
        <f aca="false">IFERROR(VALUE(RIGHT($A255,2)),"")</f>
        <v>3</v>
      </c>
      <c r="D255" s="17" t="n">
        <f aca="false">IFERROR(ROUNDUP($C255/3,0),"")</f>
        <v>1</v>
      </c>
      <c r="E255" s="11" t="str">
        <f aca="false">TRIM('수출입 실적(품목별)'!B259)</f>
        <v>59</v>
      </c>
      <c r="F255" s="11" t="str">
        <f aca="false">TRIM('수출입 실적(품목별)'!C259)</f>
        <v>침투ㆍ도포ㆍ피복하거나 적층한 방직용 섬유의 직물, 공업용인 방직용 섬유제품</v>
      </c>
      <c r="G255" s="18" t="n">
        <f aca="false">IFERROR(VALUE(SUBSTITUTE(TRIM('수출입 실적(품목별)'!D259),",","")),"")</f>
        <v>9927.6</v>
      </c>
      <c r="H255" s="19" t="n">
        <f aca="false">IFERROR(VALUE(SUBSTITUTE(TRIM('수출입 실적(품목별)'!E259),",","")),"")</f>
        <v>100815</v>
      </c>
      <c r="I255" s="18" t="n">
        <f aca="false">IFERROR(VALUE(SUBSTITUTE(TRIM('수출입 실적(품목별)'!F259),",","")),"")</f>
        <v>5451.5</v>
      </c>
      <c r="J255" s="19" t="n">
        <f aca="false">IFERROR(VALUE(SUBSTITUTE(TRIM('수출입 실적(품목별)'!G259),",","")),"")</f>
        <v>35970</v>
      </c>
      <c r="K255" s="19" t="n">
        <f aca="false">IFERROR(VALUE(SUBSTITUTE(TRIM('수출입 실적(품목별)'!H259),",","")),"")</f>
        <v>64845</v>
      </c>
    </row>
    <row r="256" customFormat="false" ht="15" hidden="false" customHeight="true" outlineLevel="0" collapsed="false">
      <c r="A256" s="11" t="str">
        <f aca="false">TRIM('수출입 실적(품목별)'!A260)</f>
        <v>2024.03</v>
      </c>
      <c r="B256" s="17" t="n">
        <f aca="false">IFERROR(VALUE(LEFT($A256,4)),"")</f>
        <v>2024</v>
      </c>
      <c r="C256" s="17" t="n">
        <f aca="false">IFERROR(VALUE(RIGHT($A256,2)),"")</f>
        <v>3</v>
      </c>
      <c r="D256" s="17" t="n">
        <f aca="false">IFERROR(ROUNDUP($C256/3,0),"")</f>
        <v>1</v>
      </c>
      <c r="E256" s="11" t="str">
        <f aca="false">TRIM('수출입 실적(품목별)'!B260)</f>
        <v>60</v>
      </c>
      <c r="F256" s="11" t="str">
        <f aca="false">TRIM('수출입 실적(품목별)'!C260)</f>
        <v>메리야스 편물과 뜨개질 편물</v>
      </c>
      <c r="G256" s="18" t="n">
        <f aca="false">IFERROR(VALUE(SUBSTITUTE(TRIM('수출입 실적(품목별)'!D260),",","")),"")</f>
        <v>18670</v>
      </c>
      <c r="H256" s="19" t="n">
        <f aca="false">IFERROR(VALUE(SUBSTITUTE(TRIM('수출입 실적(품목별)'!E260),",","")),"")</f>
        <v>143181</v>
      </c>
      <c r="I256" s="18" t="n">
        <f aca="false">IFERROR(VALUE(SUBSTITUTE(TRIM('수출입 실적(품목별)'!F260),",","")),"")</f>
        <v>1243.8</v>
      </c>
      <c r="J256" s="19" t="n">
        <f aca="false">IFERROR(VALUE(SUBSTITUTE(TRIM('수출입 실적(품목별)'!G260),",","")),"")</f>
        <v>7381</v>
      </c>
      <c r="K256" s="19" t="n">
        <f aca="false">IFERROR(VALUE(SUBSTITUTE(TRIM('수출입 실적(품목별)'!H260),",","")),"")</f>
        <v>135800</v>
      </c>
    </row>
    <row r="257" customFormat="false" ht="15" hidden="false" customHeight="true" outlineLevel="0" collapsed="false">
      <c r="A257" s="11" t="str">
        <f aca="false">TRIM('수출입 실적(품목별)'!A261)</f>
        <v>2024.03</v>
      </c>
      <c r="B257" s="17" t="n">
        <f aca="false">IFERROR(VALUE(LEFT($A257,4)),"")</f>
        <v>2024</v>
      </c>
      <c r="C257" s="17" t="n">
        <f aca="false">IFERROR(VALUE(RIGHT($A257,2)),"")</f>
        <v>3</v>
      </c>
      <c r="D257" s="17" t="n">
        <f aca="false">IFERROR(ROUNDUP($C257/3,0),"")</f>
        <v>1</v>
      </c>
      <c r="E257" s="11" t="str">
        <f aca="false">TRIM('수출입 실적(품목별)'!B261)</f>
        <v>61</v>
      </c>
      <c r="F257" s="11" t="str">
        <f aca="false">TRIM('수출입 실적(품목별)'!C261)</f>
        <v>의류와 그 부속품(메리야스 편물이나 뜨개질 편물로 한정한다)</v>
      </c>
      <c r="G257" s="18" t="n">
        <f aca="false">IFERROR(VALUE(SUBSTITUTE(TRIM('수출입 실적(품목별)'!D261),",","")),"")</f>
        <v>2575.9</v>
      </c>
      <c r="H257" s="19" t="n">
        <f aca="false">IFERROR(VALUE(SUBSTITUTE(TRIM('수출입 실적(품목별)'!E261),",","")),"")</f>
        <v>68070</v>
      </c>
      <c r="I257" s="18" t="n">
        <f aca="false">IFERROR(VALUE(SUBSTITUTE(TRIM('수출입 실적(품목별)'!F261),",","")),"")</f>
        <v>20380.8</v>
      </c>
      <c r="J257" s="19" t="n">
        <f aca="false">IFERROR(VALUE(SUBSTITUTE(TRIM('수출입 실적(품목별)'!G261),",","")),"")</f>
        <v>442453</v>
      </c>
      <c r="K257" s="19" t="n">
        <f aca="false">IFERROR(VALUE(SUBSTITUTE(TRIM('수출입 실적(품목별)'!H261),",","")),"")</f>
        <v>-374383</v>
      </c>
    </row>
    <row r="258" customFormat="false" ht="15" hidden="false" customHeight="true" outlineLevel="0" collapsed="false">
      <c r="A258" s="11" t="str">
        <f aca="false">TRIM('수출입 실적(품목별)'!A262)</f>
        <v>2024.03</v>
      </c>
      <c r="B258" s="17" t="n">
        <f aca="false">IFERROR(VALUE(LEFT($A258,4)),"")</f>
        <v>2024</v>
      </c>
      <c r="C258" s="17" t="n">
        <f aca="false">IFERROR(VALUE(RIGHT($A258,2)),"")</f>
        <v>3</v>
      </c>
      <c r="D258" s="17" t="n">
        <f aca="false">IFERROR(ROUNDUP($C258/3,0),"")</f>
        <v>1</v>
      </c>
      <c r="E258" s="11" t="str">
        <f aca="false">TRIM('수출입 실적(품목별)'!B262)</f>
        <v>62</v>
      </c>
      <c r="F258" s="11" t="str">
        <f aca="false">TRIM('수출입 실적(품목별)'!C262)</f>
        <v>의류와 그 부속품(메리야스 편물이나 뜨개질편물은 제외한다)</v>
      </c>
      <c r="G258" s="18" t="n">
        <f aca="false">IFERROR(VALUE(SUBSTITUTE(TRIM('수출입 실적(품목별)'!D262),",","")),"")</f>
        <v>2621.9</v>
      </c>
      <c r="H258" s="19" t="n">
        <f aca="false">IFERROR(VALUE(SUBSTITUTE(TRIM('수출입 실적(품목별)'!E262),",","")),"")</f>
        <v>76156</v>
      </c>
      <c r="I258" s="18" t="n">
        <f aca="false">IFERROR(VALUE(SUBSTITUTE(TRIM('수출입 실적(품목별)'!F262),",","")),"")</f>
        <v>20124.1</v>
      </c>
      <c r="J258" s="19" t="n">
        <f aca="false">IFERROR(VALUE(SUBSTITUTE(TRIM('수출입 실적(품목별)'!G262),",","")),"")</f>
        <v>601291</v>
      </c>
      <c r="K258" s="19" t="n">
        <f aca="false">IFERROR(VALUE(SUBSTITUTE(TRIM('수출입 실적(품목별)'!H262),",","")),"")</f>
        <v>-525135</v>
      </c>
    </row>
    <row r="259" customFormat="false" ht="15" hidden="false" customHeight="true" outlineLevel="0" collapsed="false">
      <c r="A259" s="11" t="str">
        <f aca="false">TRIM('수출입 실적(품목별)'!A263)</f>
        <v>2024.03</v>
      </c>
      <c r="B259" s="17" t="n">
        <f aca="false">IFERROR(VALUE(LEFT($A259,4)),"")</f>
        <v>2024</v>
      </c>
      <c r="C259" s="17" t="n">
        <f aca="false">IFERROR(VALUE(RIGHT($A259,2)),"")</f>
        <v>3</v>
      </c>
      <c r="D259" s="17" t="n">
        <f aca="false">IFERROR(ROUNDUP($C259/3,0),"")</f>
        <v>1</v>
      </c>
      <c r="E259" s="11" t="str">
        <f aca="false">TRIM('수출입 실적(품목별)'!B263)</f>
        <v>63</v>
      </c>
      <c r="F259" s="11" t="str">
        <f aca="false">TRIM('수출입 실적(품목별)'!C263)</f>
        <v>제품으로 된 방직용 섬유의 그 밖의 물품, 세트, 사용하던 의류ㆍ방직용 섬유제품, 넝마</v>
      </c>
      <c r="G259" s="18" t="n">
        <f aca="false">IFERROR(VALUE(SUBSTITUTE(TRIM('수출입 실적(품목별)'!D263),",","")),"")</f>
        <v>27026</v>
      </c>
      <c r="H259" s="19" t="n">
        <f aca="false">IFERROR(VALUE(SUBSTITUTE(TRIM('수출입 실적(품목별)'!E263),",","")),"")</f>
        <v>52568</v>
      </c>
      <c r="I259" s="18" t="n">
        <f aca="false">IFERROR(VALUE(SUBSTITUTE(TRIM('수출입 실적(품목별)'!F263),",","")),"")</f>
        <v>23892.2</v>
      </c>
      <c r="J259" s="19" t="n">
        <f aca="false">IFERROR(VALUE(SUBSTITUTE(TRIM('수출입 실적(품목별)'!G263),",","")),"")</f>
        <v>94705</v>
      </c>
      <c r="K259" s="19" t="n">
        <f aca="false">IFERROR(VALUE(SUBSTITUTE(TRIM('수출입 실적(품목별)'!H263),",","")),"")</f>
        <v>-42137</v>
      </c>
    </row>
    <row r="260" customFormat="false" ht="15" hidden="false" customHeight="true" outlineLevel="0" collapsed="false">
      <c r="A260" s="11" t="str">
        <f aca="false">TRIM('수출입 실적(품목별)'!A264)</f>
        <v>2024.03</v>
      </c>
      <c r="B260" s="17" t="n">
        <f aca="false">IFERROR(VALUE(LEFT($A260,4)),"")</f>
        <v>2024</v>
      </c>
      <c r="C260" s="17" t="n">
        <f aca="false">IFERROR(VALUE(RIGHT($A260,2)),"")</f>
        <v>3</v>
      </c>
      <c r="D260" s="17" t="n">
        <f aca="false">IFERROR(ROUNDUP($C260/3,0),"")</f>
        <v>1</v>
      </c>
      <c r="E260" s="11" t="str">
        <f aca="false">TRIM('수출입 실적(품목별)'!B264)</f>
        <v>64</v>
      </c>
      <c r="F260" s="11" t="str">
        <f aca="false">TRIM('수출입 실적(품목별)'!C264)</f>
        <v>신발류ㆍ각반과 이와 유사한 것, 이들의 부분품</v>
      </c>
      <c r="G260" s="18" t="n">
        <f aca="false">IFERROR(VALUE(SUBSTITUTE(TRIM('수출입 실적(품목별)'!D264),",","")),"")</f>
        <v>1175.1</v>
      </c>
      <c r="H260" s="19" t="n">
        <f aca="false">IFERROR(VALUE(SUBSTITUTE(TRIM('수출입 실적(품목별)'!E264),",","")),"")</f>
        <v>27529</v>
      </c>
      <c r="I260" s="18" t="n">
        <f aca="false">IFERROR(VALUE(SUBSTITUTE(TRIM('수출입 실적(품목별)'!F264),",","")),"")</f>
        <v>9991.2</v>
      </c>
      <c r="J260" s="19" t="n">
        <f aca="false">IFERROR(VALUE(SUBSTITUTE(TRIM('수출입 실적(품목별)'!G264),",","")),"")</f>
        <v>284878</v>
      </c>
      <c r="K260" s="19" t="n">
        <f aca="false">IFERROR(VALUE(SUBSTITUTE(TRIM('수출입 실적(품목별)'!H264),",","")),"")</f>
        <v>-257349</v>
      </c>
    </row>
    <row r="261" customFormat="false" ht="15" hidden="false" customHeight="true" outlineLevel="0" collapsed="false">
      <c r="A261" s="11" t="str">
        <f aca="false">TRIM('수출입 실적(품목별)'!A265)</f>
        <v>2024.03</v>
      </c>
      <c r="B261" s="17" t="n">
        <f aca="false">IFERROR(VALUE(LEFT($A261,4)),"")</f>
        <v>2024</v>
      </c>
      <c r="C261" s="17" t="n">
        <f aca="false">IFERROR(VALUE(RIGHT($A261,2)),"")</f>
        <v>3</v>
      </c>
      <c r="D261" s="17" t="n">
        <f aca="false">IFERROR(ROUNDUP($C261/3,0),"")</f>
        <v>1</v>
      </c>
      <c r="E261" s="11" t="str">
        <f aca="false">TRIM('수출입 실적(품목별)'!B265)</f>
        <v>65</v>
      </c>
      <c r="F261" s="11" t="str">
        <f aca="false">TRIM('수출입 실적(품목별)'!C265)</f>
        <v>모자류와 그 부분품</v>
      </c>
      <c r="G261" s="18" t="n">
        <f aca="false">IFERROR(VALUE(SUBSTITUTE(TRIM('수출입 실적(품목별)'!D265),",","")),"")</f>
        <v>225.3</v>
      </c>
      <c r="H261" s="19" t="n">
        <f aca="false">IFERROR(VALUE(SUBSTITUTE(TRIM('수출입 실적(품목별)'!E265),",","")),"")</f>
        <v>7364</v>
      </c>
      <c r="I261" s="18" t="n">
        <f aca="false">IFERROR(VALUE(SUBSTITUTE(TRIM('수출입 실적(품목별)'!F265),",","")),"")</f>
        <v>779.4</v>
      </c>
      <c r="J261" s="19" t="n">
        <f aca="false">IFERROR(VALUE(SUBSTITUTE(TRIM('수출입 실적(품목별)'!G265),",","")),"")</f>
        <v>24150</v>
      </c>
      <c r="K261" s="19" t="n">
        <f aca="false">IFERROR(VALUE(SUBSTITUTE(TRIM('수출입 실적(품목별)'!H265),",","")),"")</f>
        <v>-16786</v>
      </c>
    </row>
    <row r="262" customFormat="false" ht="15" hidden="false" customHeight="true" outlineLevel="0" collapsed="false">
      <c r="A262" s="11" t="str">
        <f aca="false">TRIM('수출입 실적(품목별)'!A266)</f>
        <v>2024.03</v>
      </c>
      <c r="B262" s="17" t="n">
        <f aca="false">IFERROR(VALUE(LEFT($A262,4)),"")</f>
        <v>2024</v>
      </c>
      <c r="C262" s="17" t="n">
        <f aca="false">IFERROR(VALUE(RIGHT($A262,2)),"")</f>
        <v>3</v>
      </c>
      <c r="D262" s="17" t="n">
        <f aca="false">IFERROR(ROUNDUP($C262/3,0),"")</f>
        <v>1</v>
      </c>
      <c r="E262" s="11" t="str">
        <f aca="false">TRIM('수출입 실적(품목별)'!B266)</f>
        <v>66</v>
      </c>
      <c r="F262" s="11" t="str">
        <f aca="false">TRIM('수출입 실적(품목별)'!C266)</f>
        <v>산류(傘類)ㆍ지팡이ㆍ시트스틱(seat-stick)ㆍ채찍ㆍ승마용 채찍과 이들의 부분품</v>
      </c>
      <c r="G262" s="18" t="n">
        <f aca="false">IFERROR(VALUE(SUBSTITUTE(TRIM('수출입 실적(품목별)'!D266),",","")),"")</f>
        <v>17.9</v>
      </c>
      <c r="H262" s="19" t="n">
        <f aca="false">IFERROR(VALUE(SUBSTITUTE(TRIM('수출입 실적(품목별)'!E266),",","")),"")</f>
        <v>677</v>
      </c>
      <c r="I262" s="18" t="n">
        <f aca="false">IFERROR(VALUE(SUBSTITUTE(TRIM('수출입 실적(품목별)'!F266),",","")),"")</f>
        <v>1788.3</v>
      </c>
      <c r="J262" s="19" t="n">
        <f aca="false">IFERROR(VALUE(SUBSTITUTE(TRIM('수출입 실적(품목별)'!G266),",","")),"")</f>
        <v>12414</v>
      </c>
      <c r="K262" s="19" t="n">
        <f aca="false">IFERROR(VALUE(SUBSTITUTE(TRIM('수출입 실적(품목별)'!H266),",","")),"")</f>
        <v>-11737</v>
      </c>
    </row>
    <row r="263" customFormat="false" ht="15" hidden="false" customHeight="true" outlineLevel="0" collapsed="false">
      <c r="A263" s="11" t="str">
        <f aca="false">TRIM('수출입 실적(품목별)'!A267)</f>
        <v>2024.03</v>
      </c>
      <c r="B263" s="17" t="n">
        <f aca="false">IFERROR(VALUE(LEFT($A263,4)),"")</f>
        <v>2024</v>
      </c>
      <c r="C263" s="17" t="n">
        <f aca="false">IFERROR(VALUE(RIGHT($A263,2)),"")</f>
        <v>3</v>
      </c>
      <c r="D263" s="17" t="n">
        <f aca="false">IFERROR(ROUNDUP($C263/3,0),"")</f>
        <v>1</v>
      </c>
      <c r="E263" s="11" t="str">
        <f aca="false">TRIM('수출입 실적(품목별)'!B267)</f>
        <v>67</v>
      </c>
      <c r="F263" s="11" t="str">
        <f aca="false">TRIM('수출입 실적(품목별)'!C267)</f>
        <v>조제 깃털ㆍ솜털과 그 제품, 조화, 사람 머리카락으로 된 제품</v>
      </c>
      <c r="G263" s="18" t="n">
        <f aca="false">IFERROR(VALUE(SUBSTITUTE(TRIM('수출입 실적(품목별)'!D267),",","")),"")</f>
        <v>60.3</v>
      </c>
      <c r="H263" s="19" t="n">
        <f aca="false">IFERROR(VALUE(SUBSTITUTE(TRIM('수출입 실적(품목별)'!E267),",","")),"")</f>
        <v>1560</v>
      </c>
      <c r="I263" s="18" t="n">
        <f aca="false">IFERROR(VALUE(SUBSTITUTE(TRIM('수출입 실적(품목별)'!F267),",","")),"")</f>
        <v>467</v>
      </c>
      <c r="J263" s="19" t="n">
        <f aca="false">IFERROR(VALUE(SUBSTITUTE(TRIM('수출입 실적(품목별)'!G267),",","")),"")</f>
        <v>7384</v>
      </c>
      <c r="K263" s="19" t="n">
        <f aca="false">IFERROR(VALUE(SUBSTITUTE(TRIM('수출입 실적(품목별)'!H267),",","")),"")</f>
        <v>-5823</v>
      </c>
    </row>
    <row r="264" customFormat="false" ht="15" hidden="false" customHeight="true" outlineLevel="0" collapsed="false">
      <c r="A264" s="11" t="str">
        <f aca="false">TRIM('수출입 실적(품목별)'!A268)</f>
        <v>2024.03</v>
      </c>
      <c r="B264" s="17" t="n">
        <f aca="false">IFERROR(VALUE(LEFT($A264,4)),"")</f>
        <v>2024</v>
      </c>
      <c r="C264" s="17" t="n">
        <f aca="false">IFERROR(VALUE(RIGHT($A264,2)),"")</f>
        <v>3</v>
      </c>
      <c r="D264" s="17" t="n">
        <f aca="false">IFERROR(ROUNDUP($C264/3,0),"")</f>
        <v>1</v>
      </c>
      <c r="E264" s="11" t="str">
        <f aca="false">TRIM('수출입 실적(품목별)'!B268)</f>
        <v>68</v>
      </c>
      <c r="F264" s="11" t="str">
        <f aca="false">TRIM('수출입 실적(품목별)'!C268)</f>
        <v>돌ㆍ플라스터(plaster)ㆍ시멘트ㆍ석면ㆍ운모나 이와 유사한 재료의 제품</v>
      </c>
      <c r="G264" s="18" t="n">
        <f aca="false">IFERROR(VALUE(SUBSTITUTE(TRIM('수출입 실적(품목별)'!D268),",","")),"")</f>
        <v>10939.3</v>
      </c>
      <c r="H264" s="19" t="n">
        <f aca="false">IFERROR(VALUE(SUBSTITUTE(TRIM('수출입 실적(품목별)'!E268),",","")),"")</f>
        <v>85398</v>
      </c>
      <c r="I264" s="18" t="n">
        <f aca="false">IFERROR(VALUE(SUBSTITUTE(TRIM('수출입 실적(품목별)'!F268),",","")),"")</f>
        <v>193599</v>
      </c>
      <c r="J264" s="19" t="n">
        <f aca="false">IFERROR(VALUE(SUBSTITUTE(TRIM('수출입 실적(품목별)'!G268),",","")),"")</f>
        <v>108456</v>
      </c>
      <c r="K264" s="19" t="n">
        <f aca="false">IFERROR(VALUE(SUBSTITUTE(TRIM('수출입 실적(품목별)'!H268),",","")),"")</f>
        <v>-23059</v>
      </c>
    </row>
    <row r="265" customFormat="false" ht="15" hidden="false" customHeight="true" outlineLevel="0" collapsed="false">
      <c r="A265" s="11" t="str">
        <f aca="false">TRIM('수출입 실적(품목별)'!A269)</f>
        <v>2024.03</v>
      </c>
      <c r="B265" s="17" t="n">
        <f aca="false">IFERROR(VALUE(LEFT($A265,4)),"")</f>
        <v>2024</v>
      </c>
      <c r="C265" s="17" t="n">
        <f aca="false">IFERROR(VALUE(RIGHT($A265,2)),"")</f>
        <v>3</v>
      </c>
      <c r="D265" s="17" t="n">
        <f aca="false">IFERROR(ROUNDUP($C265/3,0),"")</f>
        <v>1</v>
      </c>
      <c r="E265" s="11" t="str">
        <f aca="false">TRIM('수출입 실적(품목별)'!B269)</f>
        <v>69</v>
      </c>
      <c r="F265" s="11" t="str">
        <f aca="false">TRIM('수출입 실적(품목별)'!C269)</f>
        <v>도자제품</v>
      </c>
      <c r="G265" s="18" t="n">
        <f aca="false">IFERROR(VALUE(SUBSTITUTE(TRIM('수출입 실적(품목별)'!D269),",","")),"")</f>
        <v>4114.5</v>
      </c>
      <c r="H265" s="19" t="n">
        <f aca="false">IFERROR(VALUE(SUBSTITUTE(TRIM('수출입 실적(품목별)'!E269),",","")),"")</f>
        <v>29301</v>
      </c>
      <c r="I265" s="18" t="n">
        <f aca="false">IFERROR(VALUE(SUBSTITUTE(TRIM('수출입 실적(품목별)'!F269),",","")),"")</f>
        <v>88264.5</v>
      </c>
      <c r="J265" s="19" t="n">
        <f aca="false">IFERROR(VALUE(SUBSTITUTE(TRIM('수출입 실적(품목별)'!G269),",","")),"")</f>
        <v>118085</v>
      </c>
      <c r="K265" s="19" t="n">
        <f aca="false">IFERROR(VALUE(SUBSTITUTE(TRIM('수출입 실적(품목별)'!H269),",","")),"")</f>
        <v>-88784</v>
      </c>
    </row>
    <row r="266" customFormat="false" ht="15" hidden="false" customHeight="true" outlineLevel="0" collapsed="false">
      <c r="A266" s="11" t="str">
        <f aca="false">TRIM('수출입 실적(품목별)'!A270)</f>
        <v>2024.03</v>
      </c>
      <c r="B266" s="17" t="n">
        <f aca="false">IFERROR(VALUE(LEFT($A266,4)),"")</f>
        <v>2024</v>
      </c>
      <c r="C266" s="17" t="n">
        <f aca="false">IFERROR(VALUE(RIGHT($A266,2)),"")</f>
        <v>3</v>
      </c>
      <c r="D266" s="17" t="n">
        <f aca="false">IFERROR(ROUNDUP($C266/3,0),"")</f>
        <v>1</v>
      </c>
      <c r="E266" s="11" t="str">
        <f aca="false">TRIM('수출입 실적(품목별)'!B270)</f>
        <v>70</v>
      </c>
      <c r="F266" s="11" t="str">
        <f aca="false">TRIM('수출입 실적(품목별)'!C270)</f>
        <v>유리와 유리제품</v>
      </c>
      <c r="G266" s="18" t="n">
        <f aca="false">IFERROR(VALUE(SUBSTITUTE(TRIM('수출입 실적(품목별)'!D270),",","")),"")</f>
        <v>30643.8</v>
      </c>
      <c r="H266" s="19" t="n">
        <f aca="false">IFERROR(VALUE(SUBSTITUTE(TRIM('수출입 실적(품목별)'!E270),",","")),"")</f>
        <v>166248</v>
      </c>
      <c r="I266" s="18" t="n">
        <f aca="false">IFERROR(VALUE(SUBSTITUTE(TRIM('수출입 실적(품목별)'!F270),",","")),"")</f>
        <v>104285.9</v>
      </c>
      <c r="J266" s="19" t="n">
        <f aca="false">IFERROR(VALUE(SUBSTITUTE(TRIM('수출입 실적(품목별)'!G270),",","")),"")</f>
        <v>219593</v>
      </c>
      <c r="K266" s="19" t="n">
        <f aca="false">IFERROR(VALUE(SUBSTITUTE(TRIM('수출입 실적(품목별)'!H270),",","")),"")</f>
        <v>-53345</v>
      </c>
    </row>
    <row r="267" customFormat="false" ht="15" hidden="false" customHeight="true" outlineLevel="0" collapsed="false">
      <c r="A267" s="11" t="str">
        <f aca="false">TRIM('수출입 실적(품목별)'!A271)</f>
        <v>2024.03</v>
      </c>
      <c r="B267" s="17" t="n">
        <f aca="false">IFERROR(VALUE(LEFT($A267,4)),"")</f>
        <v>2024</v>
      </c>
      <c r="C267" s="17" t="n">
        <f aca="false">IFERROR(VALUE(RIGHT($A267,2)),"")</f>
        <v>3</v>
      </c>
      <c r="D267" s="17" t="n">
        <f aca="false">IFERROR(ROUNDUP($C267/3,0),"")</f>
        <v>1</v>
      </c>
      <c r="E267" s="11" t="str">
        <f aca="false">TRIM('수출입 실적(품목별)'!B271)</f>
        <v>71</v>
      </c>
      <c r="F267" s="11" t="str">
        <f aca="false">TRIM('수출입 실적(품목별)'!C271)</f>
        <v>천연진주ㆍ양식진주ㆍ귀석ㆍ반귀석ㆍ귀금속ㆍ귀금속을 입힌 금속과 이들의 제품, 모조 신변장식용품, 주화</v>
      </c>
      <c r="G267" s="18" t="n">
        <f aca="false">IFERROR(VALUE(SUBSTITUTE(TRIM('수출입 실적(품목별)'!D271),",","")),"")</f>
        <v>1086.7</v>
      </c>
      <c r="H267" s="19" t="n">
        <f aca="false">IFERROR(VALUE(SUBSTITUTE(TRIM('수출입 실적(품목별)'!E271),",","")),"")</f>
        <v>448657</v>
      </c>
      <c r="I267" s="18" t="n">
        <f aca="false">IFERROR(VALUE(SUBSTITUTE(TRIM('수출입 실적(품목별)'!F271),",","")),"")</f>
        <v>1446</v>
      </c>
      <c r="J267" s="19" t="n">
        <f aca="false">IFERROR(VALUE(SUBSTITUTE(TRIM('수출입 실적(품목별)'!G271),",","")),"")</f>
        <v>539151</v>
      </c>
      <c r="K267" s="19" t="n">
        <f aca="false">IFERROR(VALUE(SUBSTITUTE(TRIM('수출입 실적(품목별)'!H271),",","")),"")</f>
        <v>-90494</v>
      </c>
    </row>
    <row r="268" customFormat="false" ht="15" hidden="false" customHeight="true" outlineLevel="0" collapsed="false">
      <c r="A268" s="11" t="str">
        <f aca="false">TRIM('수출입 실적(품목별)'!A272)</f>
        <v>2024.03</v>
      </c>
      <c r="B268" s="17" t="n">
        <f aca="false">IFERROR(VALUE(LEFT($A268,4)),"")</f>
        <v>2024</v>
      </c>
      <c r="C268" s="17" t="n">
        <f aca="false">IFERROR(VALUE(RIGHT($A268,2)),"")</f>
        <v>3</v>
      </c>
      <c r="D268" s="17" t="n">
        <f aca="false">IFERROR(ROUNDUP($C268/3,0),"")</f>
        <v>1</v>
      </c>
      <c r="E268" s="11" t="str">
        <f aca="false">TRIM('수출입 실적(품목별)'!B272)</f>
        <v>72</v>
      </c>
      <c r="F268" s="11" t="str">
        <f aca="false">TRIM('수출입 실적(품목별)'!C272)</f>
        <v>철강</v>
      </c>
      <c r="G268" s="18" t="n">
        <f aca="false">IFERROR(VALUE(SUBSTITUTE(TRIM('수출입 실적(품목별)'!D272),",","")),"")</f>
        <v>2206322.8</v>
      </c>
      <c r="H268" s="19" t="n">
        <f aca="false">IFERROR(VALUE(SUBSTITUTE(TRIM('수출입 실적(품목별)'!E272),",","")),"")</f>
        <v>2150885</v>
      </c>
      <c r="I268" s="18" t="n">
        <f aca="false">IFERROR(VALUE(SUBSTITUTE(TRIM('수출입 실적(품목별)'!F272),",","")),"")</f>
        <v>1643138.9</v>
      </c>
      <c r="J268" s="19" t="n">
        <f aca="false">IFERROR(VALUE(SUBSTITUTE(TRIM('수출입 실적(품목별)'!G272),",","")),"")</f>
        <v>1364423</v>
      </c>
      <c r="K268" s="19" t="n">
        <f aca="false">IFERROR(VALUE(SUBSTITUTE(TRIM('수출입 실적(품목별)'!H272),",","")),"")</f>
        <v>786463</v>
      </c>
    </row>
    <row r="269" customFormat="false" ht="15" hidden="false" customHeight="true" outlineLevel="0" collapsed="false">
      <c r="A269" s="11" t="str">
        <f aca="false">TRIM('수출입 실적(품목별)'!A273)</f>
        <v>2024.03</v>
      </c>
      <c r="B269" s="17" t="n">
        <f aca="false">IFERROR(VALUE(LEFT($A269,4)),"")</f>
        <v>2024</v>
      </c>
      <c r="C269" s="17" t="n">
        <f aca="false">IFERROR(VALUE(RIGHT($A269,2)),"")</f>
        <v>3</v>
      </c>
      <c r="D269" s="17" t="n">
        <f aca="false">IFERROR(ROUNDUP($C269/3,0),"")</f>
        <v>1</v>
      </c>
      <c r="E269" s="11" t="str">
        <f aca="false">TRIM('수출입 실적(품목별)'!B273)</f>
        <v>73</v>
      </c>
      <c r="F269" s="11" t="str">
        <f aca="false">TRIM('수출입 실적(품목별)'!C273)</f>
        <v>철강의 제품</v>
      </c>
      <c r="G269" s="18" t="n">
        <f aca="false">IFERROR(VALUE(SUBSTITUTE(TRIM('수출입 실적(품목별)'!D273),",","")),"")</f>
        <v>311827.5</v>
      </c>
      <c r="H269" s="19" t="n">
        <f aca="false">IFERROR(VALUE(SUBSTITUTE(TRIM('수출입 실적(품목별)'!E273),",","")),"")</f>
        <v>847761</v>
      </c>
      <c r="I269" s="18" t="n">
        <f aca="false">IFERROR(VALUE(SUBSTITUTE(TRIM('수출입 실적(품목별)'!F273),",","")),"")</f>
        <v>211527.4</v>
      </c>
      <c r="J269" s="19" t="n">
        <f aca="false">IFERROR(VALUE(SUBSTITUTE(TRIM('수출입 실적(품목별)'!G273),",","")),"")</f>
        <v>661153</v>
      </c>
      <c r="K269" s="19" t="n">
        <f aca="false">IFERROR(VALUE(SUBSTITUTE(TRIM('수출입 실적(품목별)'!H273),",","")),"")</f>
        <v>186608</v>
      </c>
    </row>
    <row r="270" customFormat="false" ht="15" hidden="false" customHeight="true" outlineLevel="0" collapsed="false">
      <c r="A270" s="11" t="str">
        <f aca="false">TRIM('수출입 실적(품목별)'!A274)</f>
        <v>2024.03</v>
      </c>
      <c r="B270" s="17" t="n">
        <f aca="false">IFERROR(VALUE(LEFT($A270,4)),"")</f>
        <v>2024</v>
      </c>
      <c r="C270" s="17" t="n">
        <f aca="false">IFERROR(VALUE(RIGHT($A270,2)),"")</f>
        <v>3</v>
      </c>
      <c r="D270" s="17" t="n">
        <f aca="false">IFERROR(ROUNDUP($C270/3,0),"")</f>
        <v>1</v>
      </c>
      <c r="E270" s="11" t="str">
        <f aca="false">TRIM('수출입 실적(품목별)'!B274)</f>
        <v>74</v>
      </c>
      <c r="F270" s="11" t="str">
        <f aca="false">TRIM('수출입 실적(품목별)'!C274)</f>
        <v>구리와 그 제품</v>
      </c>
      <c r="G270" s="18" t="n">
        <f aca="false">IFERROR(VALUE(SUBSTITUTE(TRIM('수출입 실적(품목별)'!D274),",","")),"")</f>
        <v>43689.5</v>
      </c>
      <c r="H270" s="19" t="n">
        <f aca="false">IFERROR(VALUE(SUBSTITUTE(TRIM('수출입 실적(품목별)'!E274),",","")),"")</f>
        <v>343699</v>
      </c>
      <c r="I270" s="18" t="n">
        <f aca="false">IFERROR(VALUE(SUBSTITUTE(TRIM('수출입 실적(품목별)'!F274),",","")),"")</f>
        <v>77000.4</v>
      </c>
      <c r="J270" s="19" t="n">
        <f aca="false">IFERROR(VALUE(SUBSTITUTE(TRIM('수출입 실적(품목별)'!G274),",","")),"")</f>
        <v>638974</v>
      </c>
      <c r="K270" s="19" t="n">
        <f aca="false">IFERROR(VALUE(SUBSTITUTE(TRIM('수출입 실적(품목별)'!H274),",","")),"")</f>
        <v>-295275</v>
      </c>
    </row>
    <row r="271" customFormat="false" ht="15" hidden="false" customHeight="true" outlineLevel="0" collapsed="false">
      <c r="A271" s="11" t="str">
        <f aca="false">TRIM('수출입 실적(품목별)'!A275)</f>
        <v>2024.03</v>
      </c>
      <c r="B271" s="17" t="n">
        <f aca="false">IFERROR(VALUE(LEFT($A271,4)),"")</f>
        <v>2024</v>
      </c>
      <c r="C271" s="17" t="n">
        <f aca="false">IFERROR(VALUE(RIGHT($A271,2)),"")</f>
        <v>3</v>
      </c>
      <c r="D271" s="17" t="n">
        <f aca="false">IFERROR(ROUNDUP($C271/3,0),"")</f>
        <v>1</v>
      </c>
      <c r="E271" s="11" t="str">
        <f aca="false">TRIM('수출입 실적(품목별)'!B275)</f>
        <v>75</v>
      </c>
      <c r="F271" s="11" t="str">
        <f aca="false">TRIM('수출입 실적(품목별)'!C275)</f>
        <v>니켈과 그 제품</v>
      </c>
      <c r="G271" s="18" t="n">
        <f aca="false">IFERROR(VALUE(SUBSTITUTE(TRIM('수출입 실적(품목별)'!D275),",","")),"")</f>
        <v>3523.3</v>
      </c>
      <c r="H271" s="19" t="n">
        <f aca="false">IFERROR(VALUE(SUBSTITUTE(TRIM('수출입 실적(품목별)'!E275),",","")),"")</f>
        <v>33073</v>
      </c>
      <c r="I271" s="18" t="n">
        <f aca="false">IFERROR(VALUE(SUBSTITUTE(TRIM('수출입 실적(품목별)'!F275),",","")),"")</f>
        <v>10513.3</v>
      </c>
      <c r="J271" s="19" t="n">
        <f aca="false">IFERROR(VALUE(SUBSTITUTE(TRIM('수출입 실적(품목별)'!G275),",","")),"")</f>
        <v>140596</v>
      </c>
      <c r="K271" s="19" t="n">
        <f aca="false">IFERROR(VALUE(SUBSTITUTE(TRIM('수출입 실적(품목별)'!H275),",","")),"")</f>
        <v>-107524</v>
      </c>
    </row>
    <row r="272" customFormat="false" ht="15" hidden="false" customHeight="true" outlineLevel="0" collapsed="false">
      <c r="A272" s="11" t="str">
        <f aca="false">TRIM('수출입 실적(품목별)'!A276)</f>
        <v>2024.03</v>
      </c>
      <c r="B272" s="17" t="n">
        <f aca="false">IFERROR(VALUE(LEFT($A272,4)),"")</f>
        <v>2024</v>
      </c>
      <c r="C272" s="17" t="n">
        <f aca="false">IFERROR(VALUE(RIGHT($A272,2)),"")</f>
        <v>3</v>
      </c>
      <c r="D272" s="17" t="n">
        <f aca="false">IFERROR(ROUNDUP($C272/3,0),"")</f>
        <v>1</v>
      </c>
      <c r="E272" s="11" t="str">
        <f aca="false">TRIM('수출입 실적(품목별)'!B276)</f>
        <v>76</v>
      </c>
      <c r="F272" s="11" t="str">
        <f aca="false">TRIM('수출입 실적(품목별)'!C276)</f>
        <v>알루미늄과 그 제품</v>
      </c>
      <c r="G272" s="18" t="n">
        <f aca="false">IFERROR(VALUE(SUBSTITUTE(TRIM('수출입 실적(품목별)'!D276),",","")),"")</f>
        <v>105782.1</v>
      </c>
      <c r="H272" s="19" t="n">
        <f aca="false">IFERROR(VALUE(SUBSTITUTE(TRIM('수출입 실적(품목별)'!E276),",","")),"")</f>
        <v>383121</v>
      </c>
      <c r="I272" s="18" t="n">
        <f aca="false">IFERROR(VALUE(SUBSTITUTE(TRIM('수출입 실적(품목별)'!F276),",","")),"")</f>
        <v>269140.5</v>
      </c>
      <c r="J272" s="19" t="n">
        <f aca="false">IFERROR(VALUE(SUBSTITUTE(TRIM('수출입 실적(품목별)'!G276),",","")),"")</f>
        <v>710310</v>
      </c>
      <c r="K272" s="19" t="n">
        <f aca="false">IFERROR(VALUE(SUBSTITUTE(TRIM('수출입 실적(품목별)'!H276),",","")),"")</f>
        <v>-327189</v>
      </c>
    </row>
    <row r="273" customFormat="false" ht="15" hidden="false" customHeight="true" outlineLevel="0" collapsed="false">
      <c r="A273" s="11" t="str">
        <f aca="false">TRIM('수출입 실적(품목별)'!A277)</f>
        <v>2024.03</v>
      </c>
      <c r="B273" s="17" t="n">
        <f aca="false">IFERROR(VALUE(LEFT($A273,4)),"")</f>
        <v>2024</v>
      </c>
      <c r="C273" s="17" t="n">
        <f aca="false">IFERROR(VALUE(RIGHT($A273,2)),"")</f>
        <v>3</v>
      </c>
      <c r="D273" s="17" t="n">
        <f aca="false">IFERROR(ROUNDUP($C273/3,0),"")</f>
        <v>1</v>
      </c>
      <c r="E273" s="11" t="str">
        <f aca="false">TRIM('수출입 실적(품목별)'!B277)</f>
        <v>78</v>
      </c>
      <c r="F273" s="11" t="str">
        <f aca="false">TRIM('수출입 실적(품목별)'!C277)</f>
        <v>납과 그 제품</v>
      </c>
      <c r="G273" s="18" t="n">
        <f aca="false">IFERROR(VALUE(SUBSTITUTE(TRIM('수출입 실적(품목별)'!D277),",","")),"")</f>
        <v>24288.8</v>
      </c>
      <c r="H273" s="19" t="n">
        <f aca="false">IFERROR(VALUE(SUBSTITUTE(TRIM('수출입 실적(품목별)'!E277),",","")),"")</f>
        <v>55323</v>
      </c>
      <c r="I273" s="18" t="n">
        <f aca="false">IFERROR(VALUE(SUBSTITUTE(TRIM('수출입 실적(품목별)'!F277),",","")),"")</f>
        <v>14212</v>
      </c>
      <c r="J273" s="19" t="n">
        <f aca="false">IFERROR(VALUE(SUBSTITUTE(TRIM('수출입 실적(품목별)'!G277),",","")),"")</f>
        <v>31128</v>
      </c>
      <c r="K273" s="19" t="n">
        <f aca="false">IFERROR(VALUE(SUBSTITUTE(TRIM('수출입 실적(품목별)'!H277),",","")),"")</f>
        <v>24195</v>
      </c>
    </row>
    <row r="274" customFormat="false" ht="15" hidden="false" customHeight="true" outlineLevel="0" collapsed="false">
      <c r="A274" s="11" t="str">
        <f aca="false">TRIM('수출입 실적(품목별)'!A278)</f>
        <v>2024.03</v>
      </c>
      <c r="B274" s="17" t="n">
        <f aca="false">IFERROR(VALUE(LEFT($A274,4)),"")</f>
        <v>2024</v>
      </c>
      <c r="C274" s="17" t="n">
        <f aca="false">IFERROR(VALUE(RIGHT($A274,2)),"")</f>
        <v>3</v>
      </c>
      <c r="D274" s="17" t="n">
        <f aca="false">IFERROR(ROUNDUP($C274/3,0),"")</f>
        <v>1</v>
      </c>
      <c r="E274" s="11" t="str">
        <f aca="false">TRIM('수출입 실적(품목별)'!B278)</f>
        <v>79</v>
      </c>
      <c r="F274" s="11" t="str">
        <f aca="false">TRIM('수출입 실적(품목별)'!C278)</f>
        <v>아연과 그 제품</v>
      </c>
      <c r="G274" s="18" t="n">
        <f aca="false">IFERROR(VALUE(SUBSTITUTE(TRIM('수출입 실적(품목별)'!D278),",","")),"")</f>
        <v>45019.5</v>
      </c>
      <c r="H274" s="19" t="n">
        <f aca="false">IFERROR(VALUE(SUBSTITUTE(TRIM('수출입 실적(품목별)'!E278),",","")),"")</f>
        <v>115418</v>
      </c>
      <c r="I274" s="18" t="n">
        <f aca="false">IFERROR(VALUE(SUBSTITUTE(TRIM('수출입 실적(품목별)'!F278),",","")),"")</f>
        <v>4356.4</v>
      </c>
      <c r="J274" s="19" t="n">
        <f aca="false">IFERROR(VALUE(SUBSTITUTE(TRIM('수출입 실적(품목별)'!G278),",","")),"")</f>
        <v>12103</v>
      </c>
      <c r="K274" s="19" t="n">
        <f aca="false">IFERROR(VALUE(SUBSTITUTE(TRIM('수출입 실적(품목별)'!H278),",","")),"")</f>
        <v>103315</v>
      </c>
    </row>
    <row r="275" customFormat="false" ht="15" hidden="false" customHeight="true" outlineLevel="0" collapsed="false">
      <c r="A275" s="11" t="str">
        <f aca="false">TRIM('수출입 실적(품목별)'!A279)</f>
        <v>2024.03</v>
      </c>
      <c r="B275" s="17" t="n">
        <f aca="false">IFERROR(VALUE(LEFT($A275,4)),"")</f>
        <v>2024</v>
      </c>
      <c r="C275" s="17" t="n">
        <f aca="false">IFERROR(VALUE(RIGHT($A275,2)),"")</f>
        <v>3</v>
      </c>
      <c r="D275" s="17" t="n">
        <f aca="false">IFERROR(ROUNDUP($C275/3,0),"")</f>
        <v>1</v>
      </c>
      <c r="E275" s="11" t="str">
        <f aca="false">TRIM('수출입 실적(품목별)'!B279)</f>
        <v>80</v>
      </c>
      <c r="F275" s="11" t="str">
        <f aca="false">TRIM('수출입 실적(품목별)'!C279)</f>
        <v>주석과 그 제품</v>
      </c>
      <c r="G275" s="18" t="n">
        <f aca="false">IFERROR(VALUE(SUBSTITUTE(TRIM('수출입 실적(품목별)'!D279),",","")),"")</f>
        <v>163.1</v>
      </c>
      <c r="H275" s="19" t="n">
        <f aca="false">IFERROR(VALUE(SUBSTITUTE(TRIM('수출입 실적(품목별)'!E279),",","")),"")</f>
        <v>5921</v>
      </c>
      <c r="I275" s="18" t="n">
        <f aca="false">IFERROR(VALUE(SUBSTITUTE(TRIM('수출입 실적(품목별)'!F279),",","")),"")</f>
        <v>930.8</v>
      </c>
      <c r="J275" s="19" t="n">
        <f aca="false">IFERROR(VALUE(SUBSTITUTE(TRIM('수출입 실적(품목별)'!G279),",","")),"")</f>
        <v>27230</v>
      </c>
      <c r="K275" s="19" t="n">
        <f aca="false">IFERROR(VALUE(SUBSTITUTE(TRIM('수출입 실적(품목별)'!H279),",","")),"")</f>
        <v>-21308</v>
      </c>
    </row>
    <row r="276" customFormat="false" ht="15" hidden="false" customHeight="true" outlineLevel="0" collapsed="false">
      <c r="A276" s="11" t="str">
        <f aca="false">TRIM('수출입 실적(품목별)'!A280)</f>
        <v>2024.03</v>
      </c>
      <c r="B276" s="17" t="n">
        <f aca="false">IFERROR(VALUE(LEFT($A276,4)),"")</f>
        <v>2024</v>
      </c>
      <c r="C276" s="17" t="n">
        <f aca="false">IFERROR(VALUE(RIGHT($A276,2)),"")</f>
        <v>3</v>
      </c>
      <c r="D276" s="17" t="n">
        <f aca="false">IFERROR(ROUNDUP($C276/3,0),"")</f>
        <v>1</v>
      </c>
      <c r="E276" s="11" t="str">
        <f aca="false">TRIM('수출입 실적(품목별)'!B280)</f>
        <v>81</v>
      </c>
      <c r="F276" s="11" t="str">
        <f aca="false">TRIM('수출입 실적(품목별)'!C280)</f>
        <v>그 밖의 비금속(卑金屬), 서멧(cermet), 이들의 제품</v>
      </c>
      <c r="G276" s="18" t="n">
        <f aca="false">IFERROR(VALUE(SUBSTITUTE(TRIM('수출입 실적(품목별)'!D280),",","")),"")</f>
        <v>2177.3</v>
      </c>
      <c r="H276" s="19" t="n">
        <f aca="false">IFERROR(VALUE(SUBSTITUTE(TRIM('수출입 실적(품목별)'!E280),",","")),"")</f>
        <v>27402</v>
      </c>
      <c r="I276" s="18" t="n">
        <f aca="false">IFERROR(VALUE(SUBSTITUTE(TRIM('수출입 실적(품목별)'!F280),",","")),"")</f>
        <v>15694.6</v>
      </c>
      <c r="J276" s="19" t="n">
        <f aca="false">IFERROR(VALUE(SUBSTITUTE(TRIM('수출입 실적(품목별)'!G280),",","")),"")</f>
        <v>115657</v>
      </c>
      <c r="K276" s="19" t="n">
        <f aca="false">IFERROR(VALUE(SUBSTITUTE(TRIM('수출입 실적(품목별)'!H280),",","")),"")</f>
        <v>-88255</v>
      </c>
    </row>
    <row r="277" customFormat="false" ht="15" hidden="false" customHeight="true" outlineLevel="0" collapsed="false">
      <c r="A277" s="11" t="str">
        <f aca="false">TRIM('수출입 실적(품목별)'!A281)</f>
        <v>2024.03</v>
      </c>
      <c r="B277" s="17" t="n">
        <f aca="false">IFERROR(VALUE(LEFT($A277,4)),"")</f>
        <v>2024</v>
      </c>
      <c r="C277" s="17" t="n">
        <f aca="false">IFERROR(VALUE(RIGHT($A277,2)),"")</f>
        <v>3</v>
      </c>
      <c r="D277" s="17" t="n">
        <f aca="false">IFERROR(ROUNDUP($C277/3,0),"")</f>
        <v>1</v>
      </c>
      <c r="E277" s="11" t="str">
        <f aca="false">TRIM('수출입 실적(품목별)'!B281)</f>
        <v>82</v>
      </c>
      <c r="F277" s="11" t="str">
        <f aca="false">TRIM('수출입 실적(품목별)'!C281)</f>
        <v>비금속(卑金屬)으로 만든 공구ㆍ도구ㆍ칼붙이ㆍ스푼ㆍ포크, 이들의 부분품</v>
      </c>
      <c r="G277" s="18" t="n">
        <f aca="false">IFERROR(VALUE(SUBSTITUTE(TRIM('수출입 실적(품목별)'!D281),",","")),"")</f>
        <v>8805.1</v>
      </c>
      <c r="H277" s="19" t="n">
        <f aca="false">IFERROR(VALUE(SUBSTITUTE(TRIM('수출입 실적(품목별)'!E281),",","")),"")</f>
        <v>171323</v>
      </c>
      <c r="I277" s="18" t="n">
        <f aca="false">IFERROR(VALUE(SUBSTITUTE(TRIM('수출입 실적(품목별)'!F281),",","")),"")</f>
        <v>4350.8</v>
      </c>
      <c r="J277" s="19" t="n">
        <f aca="false">IFERROR(VALUE(SUBSTITUTE(TRIM('수출입 실적(품목별)'!G281),",","")),"")</f>
        <v>84218</v>
      </c>
      <c r="K277" s="19" t="n">
        <f aca="false">IFERROR(VALUE(SUBSTITUTE(TRIM('수출입 실적(품목별)'!H281),",","")),"")</f>
        <v>87105</v>
      </c>
    </row>
    <row r="278" customFormat="false" ht="15" hidden="false" customHeight="true" outlineLevel="0" collapsed="false">
      <c r="A278" s="11" t="str">
        <f aca="false">TRIM('수출입 실적(품목별)'!A282)</f>
        <v>2024.03</v>
      </c>
      <c r="B278" s="17" t="n">
        <f aca="false">IFERROR(VALUE(LEFT($A278,4)),"")</f>
        <v>2024</v>
      </c>
      <c r="C278" s="17" t="n">
        <f aca="false">IFERROR(VALUE(RIGHT($A278,2)),"")</f>
        <v>3</v>
      </c>
      <c r="D278" s="17" t="n">
        <f aca="false">IFERROR(ROUNDUP($C278/3,0),"")</f>
        <v>1</v>
      </c>
      <c r="E278" s="11" t="str">
        <f aca="false">TRIM('수출입 실적(품목별)'!B282)</f>
        <v>83</v>
      </c>
      <c r="F278" s="11" t="str">
        <f aca="false">TRIM('수출입 실적(품목별)'!C282)</f>
        <v>비금속(卑金屬)으로 만든 각종 제품</v>
      </c>
      <c r="G278" s="18" t="n">
        <f aca="false">IFERROR(VALUE(SUBSTITUTE(TRIM('수출입 실적(품목별)'!D282),",","")),"")</f>
        <v>24686.9</v>
      </c>
      <c r="H278" s="19" t="n">
        <f aca="false">IFERROR(VALUE(SUBSTITUTE(TRIM('수출입 실적(품목별)'!E282),",","")),"")</f>
        <v>142135</v>
      </c>
      <c r="I278" s="18" t="n">
        <f aca="false">IFERROR(VALUE(SUBSTITUTE(TRIM('수출입 실적(품목별)'!F282),",","")),"")</f>
        <v>9429.3</v>
      </c>
      <c r="J278" s="19" t="n">
        <f aca="false">IFERROR(VALUE(SUBSTITUTE(TRIM('수출입 실적(품목별)'!G282),",","")),"")</f>
        <v>68889</v>
      </c>
      <c r="K278" s="19" t="n">
        <f aca="false">IFERROR(VALUE(SUBSTITUTE(TRIM('수출입 실적(품목별)'!H282),",","")),"")</f>
        <v>73246</v>
      </c>
    </row>
    <row r="279" customFormat="false" ht="15" hidden="false" customHeight="true" outlineLevel="0" collapsed="false">
      <c r="A279" s="11" t="str">
        <f aca="false">TRIM('수출입 실적(품목별)'!A283)</f>
        <v>2024.03</v>
      </c>
      <c r="B279" s="17" t="n">
        <f aca="false">IFERROR(VALUE(LEFT($A279,4)),"")</f>
        <v>2024</v>
      </c>
      <c r="C279" s="17" t="n">
        <f aca="false">IFERROR(VALUE(RIGHT($A279,2)),"")</f>
        <v>3</v>
      </c>
      <c r="D279" s="17" t="n">
        <f aca="false">IFERROR(ROUNDUP($C279/3,0),"")</f>
        <v>1</v>
      </c>
      <c r="E279" s="11" t="str">
        <f aca="false">TRIM('수출입 실적(품목별)'!B283)</f>
        <v>84</v>
      </c>
      <c r="F279" s="11" t="str">
        <f aca="false">TRIM('수출입 실적(품목별)'!C283)</f>
        <v>원자로ㆍ보일러ㆍ기계류와 이들의 부분품</v>
      </c>
      <c r="G279" s="18" t="n">
        <f aca="false">IFERROR(VALUE(SUBSTITUTE(TRIM('수출입 실적(품목별)'!D283),",","")),"")</f>
        <v>395271.7</v>
      </c>
      <c r="H279" s="19" t="n">
        <f aca="false">IFERROR(VALUE(SUBSTITUTE(TRIM('수출입 실적(품목별)'!E283),",","")),"")</f>
        <v>7019144</v>
      </c>
      <c r="I279" s="18" t="n">
        <f aca="false">IFERROR(VALUE(SUBSTITUTE(TRIM('수출입 실적(품목별)'!F283),",","")),"")</f>
        <v>206285.5</v>
      </c>
      <c r="J279" s="19" t="n">
        <f aca="false">IFERROR(VALUE(SUBSTITUTE(TRIM('수출입 실적(품목별)'!G283),",","")),"")</f>
        <v>5559210</v>
      </c>
      <c r="K279" s="19" t="n">
        <f aca="false">IFERROR(VALUE(SUBSTITUTE(TRIM('수출입 실적(품목별)'!H283),",","")),"")</f>
        <v>1459935</v>
      </c>
    </row>
    <row r="280" customFormat="false" ht="15" hidden="false" customHeight="true" outlineLevel="0" collapsed="false">
      <c r="A280" s="11" t="str">
        <f aca="false">TRIM('수출입 실적(품목별)'!A284)</f>
        <v>2024.03</v>
      </c>
      <c r="B280" s="17" t="n">
        <f aca="false">IFERROR(VALUE(LEFT($A280,4)),"")</f>
        <v>2024</v>
      </c>
      <c r="C280" s="17" t="n">
        <f aca="false">IFERROR(VALUE(RIGHT($A280,2)),"")</f>
        <v>3</v>
      </c>
      <c r="D280" s="17" t="n">
        <f aca="false">IFERROR(ROUNDUP($C280/3,0),"")</f>
        <v>1</v>
      </c>
      <c r="E280" s="11" t="str">
        <f aca="false">TRIM('수출입 실적(품목별)'!B284)</f>
        <v>85</v>
      </c>
      <c r="F280" s="11" t="str">
        <f aca="false">TRIM('수출입 실적(품목별)'!C284)</f>
        <v>전기기기와 그 부분품, 녹음기ㆍ음성 재생기ㆍ텔레비전의 영상과 음성의 기록기ㆍ재생기와 이들의 부분품ㆍ부속품</v>
      </c>
      <c r="G280" s="18" t="n">
        <f aca="false">IFERROR(VALUE(SUBSTITUTE(TRIM('수출입 실적(품목별)'!D284),",","")),"")</f>
        <v>225633.2</v>
      </c>
      <c r="H280" s="19" t="n">
        <f aca="false">IFERROR(VALUE(SUBSTITUTE(TRIM('수출입 실적(품목별)'!E284),",","")),"")</f>
        <v>16651262</v>
      </c>
      <c r="I280" s="18" t="n">
        <f aca="false">IFERROR(VALUE(SUBSTITUTE(TRIM('수출입 실적(품목별)'!F284),",","")),"")</f>
        <v>175510.4</v>
      </c>
      <c r="J280" s="19" t="n">
        <f aca="false">IFERROR(VALUE(SUBSTITUTE(TRIM('수출입 실적(품목별)'!G284),",","")),"")</f>
        <v>9803108</v>
      </c>
      <c r="K280" s="19" t="n">
        <f aca="false">IFERROR(VALUE(SUBSTITUTE(TRIM('수출입 실적(품목별)'!H284),",","")),"")</f>
        <v>6848155</v>
      </c>
    </row>
    <row r="281" customFormat="false" ht="15" hidden="false" customHeight="true" outlineLevel="0" collapsed="false">
      <c r="A281" s="11" t="str">
        <f aca="false">TRIM('수출입 실적(품목별)'!A285)</f>
        <v>2024.03</v>
      </c>
      <c r="B281" s="17" t="n">
        <f aca="false">IFERROR(VALUE(LEFT($A281,4)),"")</f>
        <v>2024</v>
      </c>
      <c r="C281" s="17" t="n">
        <f aca="false">IFERROR(VALUE(RIGHT($A281,2)),"")</f>
        <v>3</v>
      </c>
      <c r="D281" s="17" t="n">
        <f aca="false">IFERROR(ROUNDUP($C281/3,0),"")</f>
        <v>1</v>
      </c>
      <c r="E281" s="11" t="str">
        <f aca="false">TRIM('수출입 실적(품목별)'!B285)</f>
        <v>86</v>
      </c>
      <c r="F281" s="11" t="str">
        <f aca="false">TRIM('수출입 실적(품목별)'!C285)</f>
        <v>철도용이나 궤도용 기관차ㆍ차량과 이들의 부분품, 철도용이나 궤도용 장비품과 그 부분품, 기계식(전기기계식을 포함한다) 각종 교통신호용 기기</v>
      </c>
      <c r="G281" s="18" t="n">
        <f aca="false">IFERROR(VALUE(SUBSTITUTE(TRIM('수출입 실적(품목별)'!D285),",","")),"")</f>
        <v>10996.7</v>
      </c>
      <c r="H281" s="19" t="n">
        <f aca="false">IFERROR(VALUE(SUBSTITUTE(TRIM('수출입 실적(품목별)'!E285),",","")),"")</f>
        <v>47887</v>
      </c>
      <c r="I281" s="18" t="n">
        <f aca="false">IFERROR(VALUE(SUBSTITUTE(TRIM('수출입 실적(품목별)'!F285),",","")),"")</f>
        <v>11548.2</v>
      </c>
      <c r="J281" s="19" t="n">
        <f aca="false">IFERROR(VALUE(SUBSTITUTE(TRIM('수출입 실적(품목별)'!G285),",","")),"")</f>
        <v>40603</v>
      </c>
      <c r="K281" s="19" t="n">
        <f aca="false">IFERROR(VALUE(SUBSTITUTE(TRIM('수출입 실적(품목별)'!H285),",","")),"")</f>
        <v>7284</v>
      </c>
    </row>
    <row r="282" customFormat="false" ht="15" hidden="false" customHeight="true" outlineLevel="0" collapsed="false">
      <c r="A282" s="11" t="str">
        <f aca="false">TRIM('수출입 실적(품목별)'!A286)</f>
        <v>2024.03</v>
      </c>
      <c r="B282" s="17" t="n">
        <f aca="false">IFERROR(VALUE(LEFT($A282,4)),"")</f>
        <v>2024</v>
      </c>
      <c r="C282" s="17" t="n">
        <f aca="false">IFERROR(VALUE(RIGHT($A282,2)),"")</f>
        <v>3</v>
      </c>
      <c r="D282" s="17" t="n">
        <f aca="false">IFERROR(ROUNDUP($C282/3,0),"")</f>
        <v>1</v>
      </c>
      <c r="E282" s="11" t="str">
        <f aca="false">TRIM('수출입 실적(품목별)'!B286)</f>
        <v>87</v>
      </c>
      <c r="F282" s="11" t="str">
        <f aca="false">TRIM('수출입 실적(품목별)'!C286)</f>
        <v>철도용이나 궤도용 외의 차량과 그 부분품ㆍ부속품</v>
      </c>
      <c r="G282" s="18" t="n">
        <f aca="false">IFERROR(VALUE(SUBSTITUTE(TRIM('수출입 실적(품목별)'!D286),",","")),"")</f>
        <v>709030.2</v>
      </c>
      <c r="H282" s="19" t="n">
        <f aca="false">IFERROR(VALUE(SUBSTITUTE(TRIM('수출입 실적(품목별)'!E286),",","")),"")</f>
        <v>7885263</v>
      </c>
      <c r="I282" s="18" t="n">
        <f aca="false">IFERROR(VALUE(SUBSTITUTE(TRIM('수출입 실적(품목별)'!F286),",","")),"")</f>
        <v>100983.4</v>
      </c>
      <c r="J282" s="19" t="n">
        <f aca="false">IFERROR(VALUE(SUBSTITUTE(TRIM('수출입 실적(품목별)'!G286),",","")),"")</f>
        <v>1699605</v>
      </c>
      <c r="K282" s="19" t="n">
        <f aca="false">IFERROR(VALUE(SUBSTITUTE(TRIM('수출입 실적(품목별)'!H286),",","")),"")</f>
        <v>6185658</v>
      </c>
    </row>
    <row r="283" customFormat="false" ht="15" hidden="false" customHeight="true" outlineLevel="0" collapsed="false">
      <c r="A283" s="11" t="str">
        <f aca="false">TRIM('수출입 실적(품목별)'!A287)</f>
        <v>2024.03</v>
      </c>
      <c r="B283" s="17" t="n">
        <f aca="false">IFERROR(VALUE(LEFT($A283,4)),"")</f>
        <v>2024</v>
      </c>
      <c r="C283" s="17" t="n">
        <f aca="false">IFERROR(VALUE(RIGHT($A283,2)),"")</f>
        <v>3</v>
      </c>
      <c r="D283" s="17" t="n">
        <f aca="false">IFERROR(ROUNDUP($C283/3,0),"")</f>
        <v>1</v>
      </c>
      <c r="E283" s="11" t="str">
        <f aca="false">TRIM('수출입 실적(품목별)'!B287)</f>
        <v>88</v>
      </c>
      <c r="F283" s="11" t="str">
        <f aca="false">TRIM('수출입 실적(품목별)'!C287)</f>
        <v>항공기와 우주선, 이들의 부분품</v>
      </c>
      <c r="G283" s="18" t="n">
        <f aca="false">IFERROR(VALUE(SUBSTITUTE(TRIM('수출입 실적(품목별)'!D287),",","")),"")</f>
        <v>428.8</v>
      </c>
      <c r="H283" s="19" t="n">
        <f aca="false">IFERROR(VALUE(SUBSTITUTE(TRIM('수출입 실적(품목별)'!E287),",","")),"")</f>
        <v>148948</v>
      </c>
      <c r="I283" s="18" t="n">
        <f aca="false">IFERROR(VALUE(SUBSTITUTE(TRIM('수출입 실적(품목별)'!F287),",","")),"")</f>
        <v>245.8</v>
      </c>
      <c r="J283" s="19" t="n">
        <f aca="false">IFERROR(VALUE(SUBSTITUTE(TRIM('수출입 실적(품목별)'!G287),",","")),"")</f>
        <v>156990</v>
      </c>
      <c r="K283" s="19" t="n">
        <f aca="false">IFERROR(VALUE(SUBSTITUTE(TRIM('수출입 실적(품목별)'!H287),",","")),"")</f>
        <v>-8042</v>
      </c>
    </row>
    <row r="284" customFormat="false" ht="15" hidden="false" customHeight="true" outlineLevel="0" collapsed="false">
      <c r="A284" s="11" t="str">
        <f aca="false">TRIM('수출입 실적(품목별)'!A288)</f>
        <v>2024.03</v>
      </c>
      <c r="B284" s="17" t="n">
        <f aca="false">IFERROR(VALUE(LEFT($A284,4)),"")</f>
        <v>2024</v>
      </c>
      <c r="C284" s="17" t="n">
        <f aca="false">IFERROR(VALUE(RIGHT($A284,2)),"")</f>
        <v>3</v>
      </c>
      <c r="D284" s="17" t="n">
        <f aca="false">IFERROR(ROUNDUP($C284/3,0),"")</f>
        <v>1</v>
      </c>
      <c r="E284" s="11" t="str">
        <f aca="false">TRIM('수출입 실적(품목별)'!B288)</f>
        <v>89</v>
      </c>
      <c r="F284" s="11" t="str">
        <f aca="false">TRIM('수출입 실적(품목별)'!C288)</f>
        <v>선박과 수상 구조물</v>
      </c>
      <c r="G284" s="18" t="n">
        <f aca="false">IFERROR(VALUE(SUBSTITUTE(TRIM('수출입 실적(품목별)'!D288),",","")),"")</f>
        <v>1252045.7</v>
      </c>
      <c r="H284" s="19" t="n">
        <f aca="false">IFERROR(VALUE(SUBSTITUTE(TRIM('수출입 실적(품목별)'!E288),",","")),"")</f>
        <v>1962701</v>
      </c>
      <c r="I284" s="18" t="n">
        <f aca="false">IFERROR(VALUE(SUBSTITUTE(TRIM('수출입 실적(품목별)'!F288),",","")),"")</f>
        <v>568050.3</v>
      </c>
      <c r="J284" s="19" t="n">
        <f aca="false">IFERROR(VALUE(SUBSTITUTE(TRIM('수출입 실적(품목별)'!G288),",","")),"")</f>
        <v>335595</v>
      </c>
      <c r="K284" s="19" t="n">
        <f aca="false">IFERROR(VALUE(SUBSTITUTE(TRIM('수출입 실적(품목별)'!H288),",","")),"")</f>
        <v>1627106</v>
      </c>
    </row>
    <row r="285" customFormat="false" ht="15" hidden="false" customHeight="true" outlineLevel="0" collapsed="false">
      <c r="A285" s="11" t="str">
        <f aca="false">TRIM('수출입 실적(품목별)'!A289)</f>
        <v>2024.03</v>
      </c>
      <c r="B285" s="17" t="n">
        <f aca="false">IFERROR(VALUE(LEFT($A285,4)),"")</f>
        <v>2024</v>
      </c>
      <c r="C285" s="17" t="n">
        <f aca="false">IFERROR(VALUE(RIGHT($A285,2)),"")</f>
        <v>3</v>
      </c>
      <c r="D285" s="17" t="n">
        <f aca="false">IFERROR(ROUNDUP($C285/3,0),"")</f>
        <v>1</v>
      </c>
      <c r="E285" s="11" t="str">
        <f aca="false">TRIM('수출입 실적(품목별)'!B289)</f>
        <v>90</v>
      </c>
      <c r="F285" s="11" t="str">
        <f aca="false">TRIM('수출입 실적(품목별)'!C289)</f>
        <v>광학기기ㆍ사진용 기기ㆍ영화용 기기ㆍ측정기기ㆍ검사기기ㆍ정밀기기ㆍ의료용 기기, 이들의 부분품과 부속품</v>
      </c>
      <c r="G285" s="18" t="n">
        <f aca="false">IFERROR(VALUE(SUBSTITUTE(TRIM('수출입 실적(품목별)'!D289),",","")),"")</f>
        <v>16934.3</v>
      </c>
      <c r="H285" s="19" t="n">
        <f aca="false">IFERROR(VALUE(SUBSTITUTE(TRIM('수출입 실적(품목별)'!E289),",","")),"")</f>
        <v>1426551</v>
      </c>
      <c r="I285" s="18" t="n">
        <f aca="false">IFERROR(VALUE(SUBSTITUTE(TRIM('수출입 실적(품목별)'!F289),",","")),"")</f>
        <v>15431.8</v>
      </c>
      <c r="J285" s="19" t="n">
        <f aca="false">IFERROR(VALUE(SUBSTITUTE(TRIM('수출입 실적(품목별)'!G289),",","")),"")</f>
        <v>1825389</v>
      </c>
      <c r="K285" s="19" t="n">
        <f aca="false">IFERROR(VALUE(SUBSTITUTE(TRIM('수출입 실적(품목별)'!H289),",","")),"")</f>
        <v>-398838</v>
      </c>
    </row>
    <row r="286" customFormat="false" ht="15" hidden="false" customHeight="true" outlineLevel="0" collapsed="false">
      <c r="A286" s="11" t="str">
        <f aca="false">TRIM('수출입 실적(품목별)'!A290)</f>
        <v>2024.03</v>
      </c>
      <c r="B286" s="17" t="n">
        <f aca="false">IFERROR(VALUE(LEFT($A286,4)),"")</f>
        <v>2024</v>
      </c>
      <c r="C286" s="17" t="n">
        <f aca="false">IFERROR(VALUE(RIGHT($A286,2)),"")</f>
        <v>3</v>
      </c>
      <c r="D286" s="17" t="n">
        <f aca="false">IFERROR(ROUNDUP($C286/3,0),"")</f>
        <v>1</v>
      </c>
      <c r="E286" s="11" t="str">
        <f aca="false">TRIM('수출입 실적(품목별)'!B290)</f>
        <v>91</v>
      </c>
      <c r="F286" s="11" t="str">
        <f aca="false">TRIM('수출입 실적(품목별)'!C290)</f>
        <v>시계와 그 부분품</v>
      </c>
      <c r="G286" s="18" t="n">
        <f aca="false">IFERROR(VALUE(SUBSTITUTE(TRIM('수출입 실적(품목별)'!D290),",","")),"")</f>
        <v>19.8</v>
      </c>
      <c r="H286" s="19" t="n">
        <f aca="false">IFERROR(VALUE(SUBSTITUTE(TRIM('수출입 실적(품목별)'!E290),",","")),"")</f>
        <v>14511</v>
      </c>
      <c r="I286" s="18" t="n">
        <f aca="false">IFERROR(VALUE(SUBSTITUTE(TRIM('수출입 실적(품목별)'!F290),",","")),"")</f>
        <v>241.5</v>
      </c>
      <c r="J286" s="19" t="n">
        <f aca="false">IFERROR(VALUE(SUBSTITUTE(TRIM('수출입 실적(품목별)'!G290),",","")),"")</f>
        <v>85320</v>
      </c>
      <c r="K286" s="19" t="n">
        <f aca="false">IFERROR(VALUE(SUBSTITUTE(TRIM('수출입 실적(품목별)'!H290),",","")),"")</f>
        <v>-70808</v>
      </c>
    </row>
    <row r="287" customFormat="false" ht="15" hidden="false" customHeight="true" outlineLevel="0" collapsed="false">
      <c r="A287" s="11" t="str">
        <f aca="false">TRIM('수출입 실적(품목별)'!A291)</f>
        <v>2024.03</v>
      </c>
      <c r="B287" s="17" t="n">
        <f aca="false">IFERROR(VALUE(LEFT($A287,4)),"")</f>
        <v>2024</v>
      </c>
      <c r="C287" s="17" t="n">
        <f aca="false">IFERROR(VALUE(RIGHT($A287,2)),"")</f>
        <v>3</v>
      </c>
      <c r="D287" s="17" t="n">
        <f aca="false">IFERROR(ROUNDUP($C287/3,0),"")</f>
        <v>1</v>
      </c>
      <c r="E287" s="11" t="str">
        <f aca="false">TRIM('수출입 실적(품목별)'!B291)</f>
        <v>92</v>
      </c>
      <c r="F287" s="11" t="str">
        <f aca="false">TRIM('수출입 실적(품목별)'!C291)</f>
        <v>악기와 그 부분품과 부속품</v>
      </c>
      <c r="G287" s="18" t="n">
        <f aca="false">IFERROR(VALUE(SUBSTITUTE(TRIM('수출입 실적(품목별)'!D291),",","")),"")</f>
        <v>844.6</v>
      </c>
      <c r="H287" s="19" t="n">
        <f aca="false">IFERROR(VALUE(SUBSTITUTE(TRIM('수출입 실적(품목별)'!E291),",","")),"")</f>
        <v>9668</v>
      </c>
      <c r="I287" s="18" t="n">
        <f aca="false">IFERROR(VALUE(SUBSTITUTE(TRIM('수출입 실적(품목별)'!F291),",","")),"")</f>
        <v>590.2</v>
      </c>
      <c r="J287" s="19" t="n">
        <f aca="false">IFERROR(VALUE(SUBSTITUTE(TRIM('수출입 실적(품목별)'!G291),",","")),"")</f>
        <v>17021</v>
      </c>
      <c r="K287" s="19" t="n">
        <f aca="false">IFERROR(VALUE(SUBSTITUTE(TRIM('수출입 실적(품목별)'!H291),",","")),"")</f>
        <v>-7353</v>
      </c>
    </row>
    <row r="288" customFormat="false" ht="15" hidden="false" customHeight="true" outlineLevel="0" collapsed="false">
      <c r="A288" s="11" t="str">
        <f aca="false">TRIM('수출입 실적(품목별)'!A292)</f>
        <v>2024.03</v>
      </c>
      <c r="B288" s="17" t="n">
        <f aca="false">IFERROR(VALUE(LEFT($A288,4)),"")</f>
        <v>2024</v>
      </c>
      <c r="C288" s="17" t="n">
        <f aca="false">IFERROR(VALUE(RIGHT($A288,2)),"")</f>
        <v>3</v>
      </c>
      <c r="D288" s="17" t="n">
        <f aca="false">IFERROR(ROUNDUP($C288/3,0),"")</f>
        <v>1</v>
      </c>
      <c r="E288" s="11" t="str">
        <f aca="false">TRIM('수출입 실적(품목별)'!B292)</f>
        <v>93</v>
      </c>
      <c r="F288" s="11" t="str">
        <f aca="false">TRIM('수출입 실적(품목별)'!C292)</f>
        <v>무기ㆍ총포탄과 이들의 부분품과 부속품</v>
      </c>
      <c r="G288" s="18" t="n">
        <f aca="false">IFERROR(VALUE(SUBSTITUTE(TRIM('수출입 실적(품목별)'!D292),",","")),"")</f>
        <v>918.6</v>
      </c>
      <c r="H288" s="19" t="n">
        <f aca="false">IFERROR(VALUE(SUBSTITUTE(TRIM('수출입 실적(품목별)'!E292),",","")),"")</f>
        <v>23570</v>
      </c>
      <c r="I288" s="18" t="n">
        <f aca="false">IFERROR(VALUE(SUBSTITUTE(TRIM('수출입 실적(품목별)'!F292),",","")),"")</f>
        <v>115.6</v>
      </c>
      <c r="J288" s="19" t="n">
        <f aca="false">IFERROR(VALUE(SUBSTITUTE(TRIM('수출입 실적(품목별)'!G292),",","")),"")</f>
        <v>8216</v>
      </c>
      <c r="K288" s="19" t="n">
        <f aca="false">IFERROR(VALUE(SUBSTITUTE(TRIM('수출입 실적(품목별)'!H292),",","")),"")</f>
        <v>15354</v>
      </c>
    </row>
    <row r="289" customFormat="false" ht="15" hidden="false" customHeight="true" outlineLevel="0" collapsed="false">
      <c r="A289" s="11" t="str">
        <f aca="false">TRIM('수출입 실적(품목별)'!A293)</f>
        <v>2024.03</v>
      </c>
      <c r="B289" s="17" t="n">
        <f aca="false">IFERROR(VALUE(LEFT($A289,4)),"")</f>
        <v>2024</v>
      </c>
      <c r="C289" s="17" t="n">
        <f aca="false">IFERROR(VALUE(RIGHT($A289,2)),"")</f>
        <v>3</v>
      </c>
      <c r="D289" s="17" t="n">
        <f aca="false">IFERROR(ROUNDUP($C289/3,0),"")</f>
        <v>1</v>
      </c>
      <c r="E289" s="11" t="str">
        <f aca="false">TRIM('수출입 실적(품목별)'!B293)</f>
        <v>94</v>
      </c>
      <c r="F289" s="11" t="str">
        <f aca="false">TRIM('수출입 실적(품목별)'!C293)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89" s="18" t="n">
        <f aca="false">IFERROR(VALUE(SUBSTITUTE(TRIM('수출입 실적(품목별)'!D293),",","")),"")</f>
        <v>14426.4</v>
      </c>
      <c r="H289" s="19" t="n">
        <f aca="false">IFERROR(VALUE(SUBSTITUTE(TRIM('수출입 실적(품목별)'!E293),",","")),"")</f>
        <v>109804</v>
      </c>
      <c r="I289" s="18" t="n">
        <f aca="false">IFERROR(VALUE(SUBSTITUTE(TRIM('수출입 실적(품목별)'!F293),",","")),"")</f>
        <v>57942</v>
      </c>
      <c r="J289" s="19" t="n">
        <f aca="false">IFERROR(VALUE(SUBSTITUTE(TRIM('수출입 실적(품목별)'!G293),",","")),"")</f>
        <v>267743</v>
      </c>
      <c r="K289" s="19" t="n">
        <f aca="false">IFERROR(VALUE(SUBSTITUTE(TRIM('수출입 실적(품목별)'!H293),",","")),"")</f>
        <v>-157938</v>
      </c>
    </row>
    <row r="290" customFormat="false" ht="15" hidden="false" customHeight="true" outlineLevel="0" collapsed="false">
      <c r="A290" s="11" t="str">
        <f aca="false">TRIM('수출입 실적(품목별)'!A294)</f>
        <v>2024.03</v>
      </c>
      <c r="B290" s="17" t="n">
        <f aca="false">IFERROR(VALUE(LEFT($A290,4)),"")</f>
        <v>2024</v>
      </c>
      <c r="C290" s="17" t="n">
        <f aca="false">IFERROR(VALUE(RIGHT($A290,2)),"")</f>
        <v>3</v>
      </c>
      <c r="D290" s="17" t="n">
        <f aca="false">IFERROR(ROUNDUP($C290/3,0),"")</f>
        <v>1</v>
      </c>
      <c r="E290" s="11" t="str">
        <f aca="false">TRIM('수출입 실적(품목별)'!B294)</f>
        <v>95</v>
      </c>
      <c r="F290" s="11" t="str">
        <f aca="false">TRIM('수출입 실적(품목별)'!C294)</f>
        <v>완구ㆍ게임용구ㆍ운동용구와 이들의 부분품과 부속품</v>
      </c>
      <c r="G290" s="18" t="n">
        <f aca="false">IFERROR(VALUE(SUBSTITUTE(TRIM('수출입 실적(품목별)'!D294),",","")),"")</f>
        <v>2038.4</v>
      </c>
      <c r="H290" s="19" t="n">
        <f aca="false">IFERROR(VALUE(SUBSTITUTE(TRIM('수출입 실적(품목별)'!E294),",","")),"")</f>
        <v>46640</v>
      </c>
      <c r="I290" s="18" t="n">
        <f aca="false">IFERROR(VALUE(SUBSTITUTE(TRIM('수출입 실적(품목별)'!F294),",","")),"")</f>
        <v>12284.5</v>
      </c>
      <c r="J290" s="19" t="n">
        <f aca="false">IFERROR(VALUE(SUBSTITUTE(TRIM('수출입 실적(품목별)'!G294),",","")),"")</f>
        <v>187552</v>
      </c>
      <c r="K290" s="19" t="n">
        <f aca="false">IFERROR(VALUE(SUBSTITUTE(TRIM('수출입 실적(품목별)'!H294),",","")),"")</f>
        <v>-140912</v>
      </c>
    </row>
    <row r="291" customFormat="false" ht="15" hidden="false" customHeight="true" outlineLevel="0" collapsed="false">
      <c r="A291" s="11" t="str">
        <f aca="false">TRIM('수출입 실적(품목별)'!A295)</f>
        <v>2024.03</v>
      </c>
      <c r="B291" s="17" t="n">
        <f aca="false">IFERROR(VALUE(LEFT($A291,4)),"")</f>
        <v>2024</v>
      </c>
      <c r="C291" s="17" t="n">
        <f aca="false">IFERROR(VALUE(RIGHT($A291,2)),"")</f>
        <v>3</v>
      </c>
      <c r="D291" s="17" t="n">
        <f aca="false">IFERROR(ROUNDUP($C291/3,0),"")</f>
        <v>1</v>
      </c>
      <c r="E291" s="11" t="str">
        <f aca="false">TRIM('수출입 실적(품목별)'!B295)</f>
        <v>96</v>
      </c>
      <c r="F291" s="11" t="str">
        <f aca="false">TRIM('수출입 실적(품목별)'!C295)</f>
        <v>잡품</v>
      </c>
      <c r="G291" s="18" t="n">
        <f aca="false">IFERROR(VALUE(SUBSTITUTE(TRIM('수출입 실적(품목별)'!D295),",","")),"")</f>
        <v>2353.6</v>
      </c>
      <c r="H291" s="19" t="n">
        <f aca="false">IFERROR(VALUE(SUBSTITUTE(TRIM('수출입 실적(품목별)'!E295),",","")),"")</f>
        <v>37646</v>
      </c>
      <c r="I291" s="18" t="n">
        <f aca="false">IFERROR(VALUE(SUBSTITUTE(TRIM('수출입 실적(품목별)'!F295),",","")),"")</f>
        <v>9636.8</v>
      </c>
      <c r="J291" s="19" t="n">
        <f aca="false">IFERROR(VALUE(SUBSTITUTE(TRIM('수출입 실적(품목별)'!G295),",","")),"")</f>
        <v>81673</v>
      </c>
      <c r="K291" s="19" t="n">
        <f aca="false">IFERROR(VALUE(SUBSTITUTE(TRIM('수출입 실적(품목별)'!H295),",","")),"")</f>
        <v>-44028</v>
      </c>
    </row>
    <row r="292" customFormat="false" ht="15" hidden="false" customHeight="true" outlineLevel="0" collapsed="false">
      <c r="A292" s="11" t="str">
        <f aca="false">TRIM('수출입 실적(품목별)'!A296)</f>
        <v>2024.03</v>
      </c>
      <c r="B292" s="17" t="n">
        <f aca="false">IFERROR(VALUE(LEFT($A292,4)),"")</f>
        <v>2024</v>
      </c>
      <c r="C292" s="17" t="n">
        <f aca="false">IFERROR(VALUE(RIGHT($A292,2)),"")</f>
        <v>3</v>
      </c>
      <c r="D292" s="17" t="n">
        <f aca="false">IFERROR(ROUNDUP($C292/3,0),"")</f>
        <v>1</v>
      </c>
      <c r="E292" s="11" t="str">
        <f aca="false">TRIM('수출입 실적(품목별)'!B296)</f>
        <v>97</v>
      </c>
      <c r="F292" s="11" t="str">
        <f aca="false">TRIM('수출입 실적(품목별)'!C296)</f>
        <v>예술품ㆍ수집품ㆍ골동품</v>
      </c>
      <c r="G292" s="18" t="n">
        <f aca="false">IFERROR(VALUE(SUBSTITUTE(TRIM('수출입 실적(품목별)'!D296),",","")),"")</f>
        <v>18</v>
      </c>
      <c r="H292" s="19" t="n">
        <f aca="false">IFERROR(VALUE(SUBSTITUTE(TRIM('수출입 실적(품목별)'!E296),",","")),"")</f>
        <v>20572</v>
      </c>
      <c r="I292" s="18" t="n">
        <f aca="false">IFERROR(VALUE(SUBSTITUTE(TRIM('수출입 실적(품목별)'!F296),",","")),"")</f>
        <v>75.2</v>
      </c>
      <c r="J292" s="19" t="n">
        <f aca="false">IFERROR(VALUE(SUBSTITUTE(TRIM('수출입 실적(품목별)'!G296),",","")),"")</f>
        <v>29600</v>
      </c>
      <c r="K292" s="19" t="n">
        <f aca="false">IFERROR(VALUE(SUBSTITUTE(TRIM('수출입 실적(품목별)'!H296),",","")),"")</f>
        <v>-9028</v>
      </c>
    </row>
    <row r="293" customFormat="false" ht="15" hidden="false" customHeight="true" outlineLevel="0" collapsed="false">
      <c r="A293" s="11" t="str">
        <f aca="false">TRIM('수출입 실적(품목별)'!A297)</f>
        <v>2024.04</v>
      </c>
      <c r="B293" s="17" t="n">
        <f aca="false">IFERROR(VALUE(LEFT($A293,4)),"")</f>
        <v>2024</v>
      </c>
      <c r="C293" s="17" t="n">
        <f aca="false">IFERROR(VALUE(RIGHT($A293,2)),"")</f>
        <v>4</v>
      </c>
      <c r="D293" s="17" t="n">
        <f aca="false">IFERROR(ROUNDUP($C293/3,0),"")</f>
        <v>2</v>
      </c>
      <c r="E293" s="11" t="str">
        <f aca="false">TRIM('수출입 실적(품목별)'!B297)</f>
        <v>01</v>
      </c>
      <c r="F293" s="11" t="str">
        <f aca="false">TRIM('수출입 실적(품목별)'!C297)</f>
        <v>살아 있는 동물</v>
      </c>
      <c r="G293" s="18" t="n">
        <f aca="false">IFERROR(VALUE(SUBSTITUTE(TRIM('수출입 실적(품목별)'!D297),",","")),"")</f>
        <v>2.1</v>
      </c>
      <c r="H293" s="19" t="n">
        <f aca="false">IFERROR(VALUE(SUBSTITUTE(TRIM('수출입 실적(품목별)'!E297),",","")),"")</f>
        <v>665</v>
      </c>
      <c r="I293" s="18" t="n">
        <f aca="false">IFERROR(VALUE(SUBSTITUTE(TRIM('수출입 실적(품목별)'!F297),",","")),"")</f>
        <v>111.6</v>
      </c>
      <c r="J293" s="19" t="n">
        <f aca="false">IFERROR(VALUE(SUBSTITUTE(TRIM('수출입 실적(품목별)'!G297),",","")),"")</f>
        <v>7161</v>
      </c>
      <c r="K293" s="19" t="n">
        <f aca="false">IFERROR(VALUE(SUBSTITUTE(TRIM('수출입 실적(품목별)'!H297),",","")),"")</f>
        <v>-6496</v>
      </c>
    </row>
    <row r="294" customFormat="false" ht="15" hidden="false" customHeight="true" outlineLevel="0" collapsed="false">
      <c r="A294" s="11" t="str">
        <f aca="false">TRIM('수출입 실적(품목별)'!A298)</f>
        <v>2024.04</v>
      </c>
      <c r="B294" s="17" t="n">
        <f aca="false">IFERROR(VALUE(LEFT($A294,4)),"")</f>
        <v>2024</v>
      </c>
      <c r="C294" s="17" t="n">
        <f aca="false">IFERROR(VALUE(RIGHT($A294,2)),"")</f>
        <v>4</v>
      </c>
      <c r="D294" s="17" t="n">
        <f aca="false">IFERROR(ROUNDUP($C294/3,0),"")</f>
        <v>2</v>
      </c>
      <c r="E294" s="11" t="str">
        <f aca="false">TRIM('수출입 실적(품목별)'!B298)</f>
        <v>02</v>
      </c>
      <c r="F294" s="11" t="str">
        <f aca="false">TRIM('수출입 실적(품목별)'!C298)</f>
        <v>육과 식용 설육(屑肉)</v>
      </c>
      <c r="G294" s="18" t="n">
        <f aca="false">IFERROR(VALUE(SUBSTITUTE(TRIM('수출입 실적(품목별)'!D298),",","")),"")</f>
        <v>4323.6</v>
      </c>
      <c r="H294" s="19" t="n">
        <f aca="false">IFERROR(VALUE(SUBSTITUTE(TRIM('수출입 실적(품목별)'!E298),",","")),"")</f>
        <v>5790</v>
      </c>
      <c r="I294" s="18" t="n">
        <f aca="false">IFERROR(VALUE(SUBSTITUTE(TRIM('수출입 실적(품목별)'!F298),",","")),"")</f>
        <v>120998.5</v>
      </c>
      <c r="J294" s="19" t="n">
        <f aca="false">IFERROR(VALUE(SUBSTITUTE(TRIM('수출입 실적(품목별)'!G298),",","")),"")</f>
        <v>593805</v>
      </c>
      <c r="K294" s="19" t="n">
        <f aca="false">IFERROR(VALUE(SUBSTITUTE(TRIM('수출입 실적(품목별)'!H298),",","")),"")</f>
        <v>-588015</v>
      </c>
    </row>
    <row r="295" customFormat="false" ht="15" hidden="false" customHeight="true" outlineLevel="0" collapsed="false">
      <c r="A295" s="11" t="str">
        <f aca="false">TRIM('수출입 실적(품목별)'!A299)</f>
        <v>2024.04</v>
      </c>
      <c r="B295" s="17" t="n">
        <f aca="false">IFERROR(VALUE(LEFT($A295,4)),"")</f>
        <v>2024</v>
      </c>
      <c r="C295" s="17" t="n">
        <f aca="false">IFERROR(VALUE(RIGHT($A295,2)),"")</f>
        <v>4</v>
      </c>
      <c r="D295" s="17" t="n">
        <f aca="false">IFERROR(ROUNDUP($C295/3,0),"")</f>
        <v>2</v>
      </c>
      <c r="E295" s="11" t="str">
        <f aca="false">TRIM('수출입 실적(품목별)'!B299)</f>
        <v>03</v>
      </c>
      <c r="F295" s="11" t="str">
        <f aca="false">TRIM('수출입 실적(품목별)'!C299)</f>
        <v>어류ㆍ갑각류ㆍ연체동물과 그 밖의 수생(水生) 무척추동물</v>
      </c>
      <c r="G295" s="18" t="n">
        <f aca="false">IFERROR(VALUE(SUBSTITUTE(TRIM('수출입 실적(품목별)'!D299),",","")),"")</f>
        <v>54510.7</v>
      </c>
      <c r="H295" s="19" t="n">
        <f aca="false">IFERROR(VALUE(SUBSTITUTE(TRIM('수출입 실적(품목별)'!E299),",","")),"")</f>
        <v>160358</v>
      </c>
      <c r="I295" s="18" t="n">
        <f aca="false">IFERROR(VALUE(SUBSTITUTE(TRIM('수출입 실적(품목별)'!F299),",","")),"")</f>
        <v>101457.3</v>
      </c>
      <c r="J295" s="19" t="n">
        <f aca="false">IFERROR(VALUE(SUBSTITUTE(TRIM('수출입 실적(품목별)'!G299),",","")),"")</f>
        <v>393118</v>
      </c>
      <c r="K295" s="19" t="n">
        <f aca="false">IFERROR(VALUE(SUBSTITUTE(TRIM('수출입 실적(품목별)'!H299),",","")),"")</f>
        <v>-232760</v>
      </c>
    </row>
    <row r="296" customFormat="false" ht="15" hidden="false" customHeight="true" outlineLevel="0" collapsed="false">
      <c r="A296" s="11" t="str">
        <f aca="false">TRIM('수출입 실적(품목별)'!A300)</f>
        <v>2024.04</v>
      </c>
      <c r="B296" s="17" t="n">
        <f aca="false">IFERROR(VALUE(LEFT($A296,4)),"")</f>
        <v>2024</v>
      </c>
      <c r="C296" s="17" t="n">
        <f aca="false">IFERROR(VALUE(RIGHT($A296,2)),"")</f>
        <v>4</v>
      </c>
      <c r="D296" s="17" t="n">
        <f aca="false">IFERROR(ROUNDUP($C296/3,0),"")</f>
        <v>2</v>
      </c>
      <c r="E296" s="11" t="str">
        <f aca="false">TRIM('수출입 실적(품목별)'!B300)</f>
        <v>04</v>
      </c>
      <c r="F296" s="11" t="str">
        <f aca="false">TRIM('수출입 실적(품목별)'!C300)</f>
        <v>낙농품, 새의 알, 천연꿀, 다른 류로 분류되지 않은 식용인 동물성 생산품</v>
      </c>
      <c r="G296" s="18" t="n">
        <f aca="false">IFERROR(VALUE(SUBSTITUTE(TRIM('수출입 실적(품목별)'!D300),",","")),"")</f>
        <v>2441</v>
      </c>
      <c r="H296" s="19" t="n">
        <f aca="false">IFERROR(VALUE(SUBSTITUTE(TRIM('수출입 실적(품목별)'!E300),",","")),"")</f>
        <v>5644</v>
      </c>
      <c r="I296" s="18" t="n">
        <f aca="false">IFERROR(VALUE(SUBSTITUTE(TRIM('수출입 실적(품목별)'!F300),",","")),"")</f>
        <v>32994.2</v>
      </c>
      <c r="J296" s="19" t="n">
        <f aca="false">IFERROR(VALUE(SUBSTITUTE(TRIM('수출입 실적(품목별)'!G300),",","")),"")</f>
        <v>116985</v>
      </c>
      <c r="K296" s="19" t="n">
        <f aca="false">IFERROR(VALUE(SUBSTITUTE(TRIM('수출입 실적(품목별)'!H300),",","")),"")</f>
        <v>-111341</v>
      </c>
    </row>
    <row r="297" customFormat="false" ht="15" hidden="false" customHeight="true" outlineLevel="0" collapsed="false">
      <c r="A297" s="11" t="str">
        <f aca="false">TRIM('수출입 실적(품목별)'!A301)</f>
        <v>2024.04</v>
      </c>
      <c r="B297" s="17" t="n">
        <f aca="false">IFERROR(VALUE(LEFT($A297,4)),"")</f>
        <v>2024</v>
      </c>
      <c r="C297" s="17" t="n">
        <f aca="false">IFERROR(VALUE(RIGHT($A297,2)),"")</f>
        <v>4</v>
      </c>
      <c r="D297" s="17" t="n">
        <f aca="false">IFERROR(ROUNDUP($C297/3,0),"")</f>
        <v>2</v>
      </c>
      <c r="E297" s="11" t="str">
        <f aca="false">TRIM('수출입 실적(품목별)'!B301)</f>
        <v>05</v>
      </c>
      <c r="F297" s="11" t="str">
        <f aca="false">TRIM('수출입 실적(품목별)'!C301)</f>
        <v>다른 류로 분류되지 않은 동물성 생산품</v>
      </c>
      <c r="G297" s="18" t="n">
        <f aca="false">IFERROR(VALUE(SUBSTITUTE(TRIM('수출입 실적(품목별)'!D301),",","")),"")</f>
        <v>1995.9</v>
      </c>
      <c r="H297" s="19" t="n">
        <f aca="false">IFERROR(VALUE(SUBSTITUTE(TRIM('수출입 실적(품목별)'!E301),",","")),"")</f>
        <v>6423</v>
      </c>
      <c r="I297" s="18" t="n">
        <f aca="false">IFERROR(VALUE(SUBSTITUTE(TRIM('수출입 실적(품목별)'!F301),",","")),"")</f>
        <v>4608.9</v>
      </c>
      <c r="J297" s="19" t="n">
        <f aca="false">IFERROR(VALUE(SUBSTITUTE(TRIM('수출입 실적(품목별)'!G301),",","")),"")</f>
        <v>27827</v>
      </c>
      <c r="K297" s="19" t="n">
        <f aca="false">IFERROR(VALUE(SUBSTITUTE(TRIM('수출입 실적(품목별)'!H301),",","")),"")</f>
        <v>-21404</v>
      </c>
    </row>
    <row r="298" customFormat="false" ht="15" hidden="false" customHeight="true" outlineLevel="0" collapsed="false">
      <c r="A298" s="11" t="str">
        <f aca="false">TRIM('수출입 실적(품목별)'!A302)</f>
        <v>2024.04</v>
      </c>
      <c r="B298" s="17" t="n">
        <f aca="false">IFERROR(VALUE(LEFT($A298,4)),"")</f>
        <v>2024</v>
      </c>
      <c r="C298" s="17" t="n">
        <f aca="false">IFERROR(VALUE(RIGHT($A298,2)),"")</f>
        <v>4</v>
      </c>
      <c r="D298" s="17" t="n">
        <f aca="false">IFERROR(ROUNDUP($C298/3,0),"")</f>
        <v>2</v>
      </c>
      <c r="E298" s="11" t="str">
        <f aca="false">TRIM('수출입 실적(품목별)'!B302)</f>
        <v>06</v>
      </c>
      <c r="F298" s="11" t="str">
        <f aca="false">TRIM('수출입 실적(품목별)'!C302)</f>
        <v>살아 있는 수목과 그 밖의 식물, 인경(鱗莖)ㆍ뿌리와 이와 유사한 물품, 절화(切花)와 장식용 잎</v>
      </c>
      <c r="G298" s="18" t="n">
        <f aca="false">IFERROR(VALUE(SUBSTITUTE(TRIM('수출입 실적(품목별)'!D302),",","")),"")</f>
        <v>87.9</v>
      </c>
      <c r="H298" s="19" t="n">
        <f aca="false">IFERROR(VALUE(SUBSTITUTE(TRIM('수출입 실적(품목별)'!E302),",","")),"")</f>
        <v>859</v>
      </c>
      <c r="I298" s="18" t="n">
        <f aca="false">IFERROR(VALUE(SUBSTITUTE(TRIM('수출입 실적(품목별)'!F302),",","")),"")</f>
        <v>8060.8</v>
      </c>
      <c r="J298" s="19" t="n">
        <f aca="false">IFERROR(VALUE(SUBSTITUTE(TRIM('수출입 실적(품목별)'!G302),",","")),"")</f>
        <v>19396</v>
      </c>
      <c r="K298" s="19" t="n">
        <f aca="false">IFERROR(VALUE(SUBSTITUTE(TRIM('수출입 실적(품목별)'!H302),",","")),"")</f>
        <v>-18537</v>
      </c>
    </row>
    <row r="299" customFormat="false" ht="15" hidden="false" customHeight="true" outlineLevel="0" collapsed="false">
      <c r="A299" s="11" t="str">
        <f aca="false">TRIM('수출입 실적(품목별)'!A303)</f>
        <v>2024.04</v>
      </c>
      <c r="B299" s="17" t="n">
        <f aca="false">IFERROR(VALUE(LEFT($A299,4)),"")</f>
        <v>2024</v>
      </c>
      <c r="C299" s="17" t="n">
        <f aca="false">IFERROR(VALUE(RIGHT($A299,2)),"")</f>
        <v>4</v>
      </c>
      <c r="D299" s="17" t="n">
        <f aca="false">IFERROR(ROUNDUP($C299/3,0),"")</f>
        <v>2</v>
      </c>
      <c r="E299" s="11" t="str">
        <f aca="false">TRIM('수출입 실적(품목별)'!B303)</f>
        <v>07</v>
      </c>
      <c r="F299" s="11" t="str">
        <f aca="false">TRIM('수출입 실적(품목별)'!C303)</f>
        <v>식용의 채소ㆍ뿌리ㆍ괴경(塊莖)</v>
      </c>
      <c r="G299" s="18" t="n">
        <f aca="false">IFERROR(VALUE(SUBSTITUTE(TRIM('수출입 실적(품목별)'!D303),",","")),"")</f>
        <v>2999.7</v>
      </c>
      <c r="H299" s="19" t="n">
        <f aca="false">IFERROR(VALUE(SUBSTITUTE(TRIM('수출입 실적(품목별)'!E303),",","")),"")</f>
        <v>10717</v>
      </c>
      <c r="I299" s="18" t="n">
        <f aca="false">IFERROR(VALUE(SUBSTITUTE(TRIM('수출입 실적(품목별)'!F303),",","")),"")</f>
        <v>100933.1</v>
      </c>
      <c r="J299" s="19" t="n">
        <f aca="false">IFERROR(VALUE(SUBSTITUTE(TRIM('수출입 실적(품목별)'!G303),",","")),"")</f>
        <v>78941</v>
      </c>
      <c r="K299" s="19" t="n">
        <f aca="false">IFERROR(VALUE(SUBSTITUTE(TRIM('수출입 실적(품목별)'!H303),",","")),"")</f>
        <v>-68225</v>
      </c>
    </row>
    <row r="300" customFormat="false" ht="15" hidden="false" customHeight="true" outlineLevel="0" collapsed="false">
      <c r="A300" s="11" t="str">
        <f aca="false">TRIM('수출입 실적(품목별)'!A304)</f>
        <v>2024.04</v>
      </c>
      <c r="B300" s="17" t="n">
        <f aca="false">IFERROR(VALUE(LEFT($A300,4)),"")</f>
        <v>2024</v>
      </c>
      <c r="C300" s="17" t="n">
        <f aca="false">IFERROR(VALUE(RIGHT($A300,2)),"")</f>
        <v>4</v>
      </c>
      <c r="D300" s="17" t="n">
        <f aca="false">IFERROR(ROUNDUP($C300/3,0),"")</f>
        <v>2</v>
      </c>
      <c r="E300" s="11" t="str">
        <f aca="false">TRIM('수출입 실적(품목별)'!B304)</f>
        <v>08</v>
      </c>
      <c r="F300" s="11" t="str">
        <f aca="false">TRIM('수출입 실적(품목별)'!C304)</f>
        <v>식용의 과실과 견과류, 감귤류ㆍ멜론의 껍질</v>
      </c>
      <c r="G300" s="18" t="n">
        <f aca="false">IFERROR(VALUE(SUBSTITUTE(TRIM('수출입 실적(품목별)'!D304),",","")),"")</f>
        <v>856.2</v>
      </c>
      <c r="H300" s="19" t="n">
        <f aca="false">IFERROR(VALUE(SUBSTITUTE(TRIM('수출입 실적(품목별)'!E304),",","")),"")</f>
        <v>9432</v>
      </c>
      <c r="I300" s="18" t="n">
        <f aca="false">IFERROR(VALUE(SUBSTITUTE(TRIM('수출입 실적(품목별)'!F304),",","")),"")</f>
        <v>127728.4</v>
      </c>
      <c r="J300" s="19" t="n">
        <f aca="false">IFERROR(VALUE(SUBSTITUTE(TRIM('수출입 실적(품목별)'!G304),",","")),"")</f>
        <v>277352</v>
      </c>
      <c r="K300" s="19" t="n">
        <f aca="false">IFERROR(VALUE(SUBSTITUTE(TRIM('수출입 실적(품목별)'!H304),",","")),"")</f>
        <v>-267919</v>
      </c>
    </row>
    <row r="301" customFormat="false" ht="15" hidden="false" customHeight="true" outlineLevel="0" collapsed="false">
      <c r="A301" s="11" t="str">
        <f aca="false">TRIM('수출입 실적(품목별)'!A305)</f>
        <v>2024.04</v>
      </c>
      <c r="B301" s="17" t="n">
        <f aca="false">IFERROR(VALUE(LEFT($A301,4)),"")</f>
        <v>2024</v>
      </c>
      <c r="C301" s="17" t="n">
        <f aca="false">IFERROR(VALUE(RIGHT($A301,2)),"")</f>
        <v>4</v>
      </c>
      <c r="D301" s="17" t="n">
        <f aca="false">IFERROR(ROUNDUP($C301/3,0),"")</f>
        <v>2</v>
      </c>
      <c r="E301" s="11" t="str">
        <f aca="false">TRIM('수출입 실적(품목별)'!B305)</f>
        <v>09</v>
      </c>
      <c r="F301" s="11" t="str">
        <f aca="false">TRIM('수출입 실적(품목별)'!C305)</f>
        <v>커피ㆍ차ㆍ마테(maté)ㆍ향신료</v>
      </c>
      <c r="G301" s="18" t="n">
        <f aca="false">IFERROR(VALUE(SUBSTITUTE(TRIM('수출입 실적(품목별)'!D305),",","")),"")</f>
        <v>402.9</v>
      </c>
      <c r="H301" s="19" t="n">
        <f aca="false">IFERROR(VALUE(SUBSTITUTE(TRIM('수출입 실적(품목별)'!E305),",","")),"")</f>
        <v>3955</v>
      </c>
      <c r="I301" s="18" t="n">
        <f aca="false">IFERROR(VALUE(SUBSTITUTE(TRIM('수출입 실적(품목별)'!F305),",","")),"")</f>
        <v>23072.3</v>
      </c>
      <c r="J301" s="19" t="n">
        <f aca="false">IFERROR(VALUE(SUBSTITUTE(TRIM('수출입 실적(품목별)'!G305),",","")),"")</f>
        <v>124731</v>
      </c>
      <c r="K301" s="19" t="n">
        <f aca="false">IFERROR(VALUE(SUBSTITUTE(TRIM('수출입 실적(품목별)'!H305),",","")),"")</f>
        <v>-120776</v>
      </c>
    </row>
    <row r="302" customFormat="false" ht="15" hidden="false" customHeight="true" outlineLevel="0" collapsed="false">
      <c r="A302" s="11" t="str">
        <f aca="false">TRIM('수출입 실적(품목별)'!A306)</f>
        <v>2024.04</v>
      </c>
      <c r="B302" s="17" t="n">
        <f aca="false">IFERROR(VALUE(LEFT($A302,4)),"")</f>
        <v>2024</v>
      </c>
      <c r="C302" s="17" t="n">
        <f aca="false">IFERROR(VALUE(RIGHT($A302,2)),"")</f>
        <v>4</v>
      </c>
      <c r="D302" s="17" t="n">
        <f aca="false">IFERROR(ROUNDUP($C302/3,0),"")</f>
        <v>2</v>
      </c>
      <c r="E302" s="11" t="str">
        <f aca="false">TRIM('수출입 실적(품목별)'!B306)</f>
        <v>10</v>
      </c>
      <c r="F302" s="11" t="str">
        <f aca="false">TRIM('수출입 실적(품목별)'!C306)</f>
        <v>곡물</v>
      </c>
      <c r="G302" s="18" t="n">
        <f aca="false">IFERROR(VALUE(SUBSTITUTE(TRIM('수출입 실적(품목별)'!D306),",","")),"")</f>
        <v>43002.2</v>
      </c>
      <c r="H302" s="19" t="n">
        <f aca="false">IFERROR(VALUE(SUBSTITUTE(TRIM('수출입 실적(품목별)'!E306),",","")),"")</f>
        <v>12352</v>
      </c>
      <c r="I302" s="18" t="n">
        <f aca="false">IFERROR(VALUE(SUBSTITUTE(TRIM('수출입 실적(품목별)'!F306),",","")),"")</f>
        <v>1529408.2</v>
      </c>
      <c r="J302" s="19" t="n">
        <f aca="false">IFERROR(VALUE(SUBSTITUTE(TRIM('수출입 실적(품목별)'!G306),",","")),"")</f>
        <v>449635</v>
      </c>
      <c r="K302" s="19" t="n">
        <f aca="false">IFERROR(VALUE(SUBSTITUTE(TRIM('수출입 실적(품목별)'!H306),",","")),"")</f>
        <v>-437282</v>
      </c>
    </row>
    <row r="303" customFormat="false" ht="15" hidden="false" customHeight="true" outlineLevel="0" collapsed="false">
      <c r="A303" s="11" t="str">
        <f aca="false">TRIM('수출입 실적(품목별)'!A307)</f>
        <v>2024.04</v>
      </c>
      <c r="B303" s="17" t="n">
        <f aca="false">IFERROR(VALUE(LEFT($A303,4)),"")</f>
        <v>2024</v>
      </c>
      <c r="C303" s="17" t="n">
        <f aca="false">IFERROR(VALUE(RIGHT($A303,2)),"")</f>
        <v>4</v>
      </c>
      <c r="D303" s="17" t="n">
        <f aca="false">IFERROR(ROUNDUP($C303/3,0),"")</f>
        <v>2</v>
      </c>
      <c r="E303" s="11" t="str">
        <f aca="false">TRIM('수출입 실적(품목별)'!B307)</f>
        <v>11</v>
      </c>
      <c r="F303" s="11" t="str">
        <f aca="false">TRIM('수출입 실적(품목별)'!C307)</f>
        <v>제분공업의 생산품과 맥아, 전분, 이눌린(inulin), 밀의 글루텐(gluten)</v>
      </c>
      <c r="G303" s="18" t="n">
        <f aca="false">IFERROR(VALUE(SUBSTITUTE(TRIM('수출입 실적(품목별)'!D307),",","")),"")</f>
        <v>6389.2</v>
      </c>
      <c r="H303" s="19" t="n">
        <f aca="false">IFERROR(VALUE(SUBSTITUTE(TRIM('수출입 실적(품목별)'!E307),",","")),"")</f>
        <v>4642</v>
      </c>
      <c r="I303" s="18" t="n">
        <f aca="false">IFERROR(VALUE(SUBSTITUTE(TRIM('수출입 실적(품목별)'!F307),",","")),"")</f>
        <v>40724.7</v>
      </c>
      <c r="J303" s="19" t="n">
        <f aca="false">IFERROR(VALUE(SUBSTITUTE(TRIM('수출입 실적(품목별)'!G307),",","")),"")</f>
        <v>35530</v>
      </c>
      <c r="K303" s="19" t="n">
        <f aca="false">IFERROR(VALUE(SUBSTITUTE(TRIM('수출입 실적(품목별)'!H307),",","")),"")</f>
        <v>-30889</v>
      </c>
    </row>
    <row r="304" customFormat="false" ht="15" hidden="false" customHeight="true" outlineLevel="0" collapsed="false">
      <c r="A304" s="11" t="str">
        <f aca="false">TRIM('수출입 실적(품목별)'!A308)</f>
        <v>2024.04</v>
      </c>
      <c r="B304" s="17" t="n">
        <f aca="false">IFERROR(VALUE(LEFT($A304,4)),"")</f>
        <v>2024</v>
      </c>
      <c r="C304" s="17" t="n">
        <f aca="false">IFERROR(VALUE(RIGHT($A304,2)),"")</f>
        <v>4</v>
      </c>
      <c r="D304" s="17" t="n">
        <f aca="false">IFERROR(ROUNDUP($C304/3,0),"")</f>
        <v>2</v>
      </c>
      <c r="E304" s="11" t="str">
        <f aca="false">TRIM('수출입 실적(품목별)'!B308)</f>
        <v>12</v>
      </c>
      <c r="F304" s="11" t="str">
        <f aca="false">TRIM('수출입 실적(품목별)'!C308)</f>
        <v>채유(採油)에 적합한 종자와 과실, 각종 종자와 과실, 공업용ㆍ의약용 식물, 짚과 사료용 식물</v>
      </c>
      <c r="G304" s="18" t="n">
        <f aca="false">IFERROR(VALUE(SUBSTITUTE(TRIM('수출입 실적(품목별)'!D308),",","")),"")</f>
        <v>6334.6</v>
      </c>
      <c r="H304" s="19" t="n">
        <f aca="false">IFERROR(VALUE(SUBSTITUTE(TRIM('수출입 실적(품목별)'!E308),",","")),"")</f>
        <v>69205</v>
      </c>
      <c r="I304" s="18" t="n">
        <f aca="false">IFERROR(VALUE(SUBSTITUTE(TRIM('수출입 실적(품목별)'!F308),",","")),"")</f>
        <v>262005</v>
      </c>
      <c r="J304" s="19" t="n">
        <f aca="false">IFERROR(VALUE(SUBSTITUTE(TRIM('수출입 실적(품목별)'!G308),",","")),"")</f>
        <v>157215</v>
      </c>
      <c r="K304" s="19" t="n">
        <f aca="false">IFERROR(VALUE(SUBSTITUTE(TRIM('수출입 실적(품목별)'!H308),",","")),"")</f>
        <v>-88011</v>
      </c>
    </row>
    <row r="305" customFormat="false" ht="15" hidden="false" customHeight="true" outlineLevel="0" collapsed="false">
      <c r="A305" s="11" t="str">
        <f aca="false">TRIM('수출입 실적(품목별)'!A309)</f>
        <v>2024.04</v>
      </c>
      <c r="B305" s="17" t="n">
        <f aca="false">IFERROR(VALUE(LEFT($A305,4)),"")</f>
        <v>2024</v>
      </c>
      <c r="C305" s="17" t="n">
        <f aca="false">IFERROR(VALUE(RIGHT($A305,2)),"")</f>
        <v>4</v>
      </c>
      <c r="D305" s="17" t="n">
        <f aca="false">IFERROR(ROUNDUP($C305/3,0),"")</f>
        <v>2</v>
      </c>
      <c r="E305" s="11" t="str">
        <f aca="false">TRIM('수출입 실적(품목별)'!B309)</f>
        <v>13</v>
      </c>
      <c r="F305" s="11" t="str">
        <f aca="false">TRIM('수출입 실적(품목별)'!C309)</f>
        <v>락(lac), 검ㆍ수지ㆍ그 밖의 식물성 수액과 추출물(extract)</v>
      </c>
      <c r="G305" s="18" t="n">
        <f aca="false">IFERROR(VALUE(SUBSTITUTE(TRIM('수출입 실적(품목별)'!D309),",","")),"")</f>
        <v>356.1</v>
      </c>
      <c r="H305" s="19" t="n">
        <f aca="false">IFERROR(VALUE(SUBSTITUTE(TRIM('수출입 실적(품목별)'!E309),",","")),"")</f>
        <v>10839</v>
      </c>
      <c r="I305" s="18" t="n">
        <f aca="false">IFERROR(VALUE(SUBSTITUTE(TRIM('수출입 실적(품목별)'!F309),",","")),"")</f>
        <v>10789.5</v>
      </c>
      <c r="J305" s="19" t="n">
        <f aca="false">IFERROR(VALUE(SUBSTITUTE(TRIM('수출입 실적(품목별)'!G309),",","")),"")</f>
        <v>30866</v>
      </c>
      <c r="K305" s="19" t="n">
        <f aca="false">IFERROR(VALUE(SUBSTITUTE(TRIM('수출입 실적(품목별)'!H309),",","")),"")</f>
        <v>-20027</v>
      </c>
    </row>
    <row r="306" customFormat="false" ht="15" hidden="false" customHeight="true" outlineLevel="0" collapsed="false">
      <c r="A306" s="11" t="str">
        <f aca="false">TRIM('수출입 실적(품목별)'!A310)</f>
        <v>2024.04</v>
      </c>
      <c r="B306" s="17" t="n">
        <f aca="false">IFERROR(VALUE(LEFT($A306,4)),"")</f>
        <v>2024</v>
      </c>
      <c r="C306" s="17" t="n">
        <f aca="false">IFERROR(VALUE(RIGHT($A306,2)),"")</f>
        <v>4</v>
      </c>
      <c r="D306" s="17" t="n">
        <f aca="false">IFERROR(ROUNDUP($C306/3,0),"")</f>
        <v>2</v>
      </c>
      <c r="E306" s="11" t="str">
        <f aca="false">TRIM('수출입 실적(품목별)'!B310)</f>
        <v>14</v>
      </c>
      <c r="F306" s="11" t="str">
        <f aca="false">TRIM('수출입 실적(품목별)'!C310)</f>
        <v>식물성 편조물(編組物)용 재료와 다른 류로 분류되지 않은 식물성 생산품</v>
      </c>
      <c r="G306" s="18" t="n">
        <f aca="false">IFERROR(VALUE(SUBSTITUTE(TRIM('수출입 실적(품목별)'!D310),",","")),"")</f>
        <v>48.6</v>
      </c>
      <c r="H306" s="19" t="n">
        <f aca="false">IFERROR(VALUE(SUBSTITUTE(TRIM('수출입 실적(품목별)'!E310),",","")),"")</f>
        <v>73</v>
      </c>
      <c r="I306" s="18" t="n">
        <f aca="false">IFERROR(VALUE(SUBSTITUTE(TRIM('수출입 실적(품목별)'!F310),",","")),"")</f>
        <v>16773.2</v>
      </c>
      <c r="J306" s="19" t="n">
        <f aca="false">IFERROR(VALUE(SUBSTITUTE(TRIM('수출입 실적(품목별)'!G310),",","")),"")</f>
        <v>4584</v>
      </c>
      <c r="K306" s="19" t="n">
        <f aca="false">IFERROR(VALUE(SUBSTITUTE(TRIM('수출입 실적(품목별)'!H310),",","")),"")</f>
        <v>-4511</v>
      </c>
    </row>
    <row r="307" customFormat="false" ht="15" hidden="false" customHeight="true" outlineLevel="0" collapsed="false">
      <c r="A307" s="11" t="str">
        <f aca="false">TRIM('수출입 실적(품목별)'!A311)</f>
        <v>2024.04</v>
      </c>
      <c r="B307" s="17" t="n">
        <f aca="false">IFERROR(VALUE(LEFT($A307,4)),"")</f>
        <v>2024</v>
      </c>
      <c r="C307" s="17" t="n">
        <f aca="false">IFERROR(VALUE(RIGHT($A307,2)),"")</f>
        <v>4</v>
      </c>
      <c r="D307" s="17" t="n">
        <f aca="false">IFERROR(ROUNDUP($C307/3,0),"")</f>
        <v>2</v>
      </c>
      <c r="E307" s="11" t="str">
        <f aca="false">TRIM('수출입 실적(품목별)'!B311)</f>
        <v>15</v>
      </c>
      <c r="F307" s="11" t="str">
        <f aca="false">TRIM('수출입 실적(품목별)'!C311)</f>
        <v>동물성ㆍ식물성ㆍ미생물성 지방과 기름 및이들의 분해생산물, 조제한 식용 지방과 동물성ㆍ식물성 왁스</v>
      </c>
      <c r="G307" s="18" t="n">
        <f aca="false">IFERROR(VALUE(SUBSTITUTE(TRIM('수출입 실적(품목별)'!D311),",","")),"")</f>
        <v>9953.1</v>
      </c>
      <c r="H307" s="19" t="n">
        <f aca="false">IFERROR(VALUE(SUBSTITUTE(TRIM('수출입 실적(품목별)'!E311),",","")),"")</f>
        <v>11193</v>
      </c>
      <c r="I307" s="18" t="n">
        <f aca="false">IFERROR(VALUE(SUBSTITUTE(TRIM('수출입 실적(품목별)'!F311),",","")),"")</f>
        <v>157172.3</v>
      </c>
      <c r="J307" s="19" t="n">
        <f aca="false">IFERROR(VALUE(SUBSTITUTE(TRIM('수출입 실적(품목별)'!G311),",","")),"")</f>
        <v>189042</v>
      </c>
      <c r="K307" s="19" t="n">
        <f aca="false">IFERROR(VALUE(SUBSTITUTE(TRIM('수출입 실적(품목별)'!H311),",","")),"")</f>
        <v>-177849</v>
      </c>
    </row>
    <row r="308" customFormat="false" ht="15" hidden="false" customHeight="true" outlineLevel="0" collapsed="false">
      <c r="A308" s="11" t="str">
        <f aca="false">TRIM('수출입 실적(품목별)'!A312)</f>
        <v>2024.04</v>
      </c>
      <c r="B308" s="17" t="n">
        <f aca="false">IFERROR(VALUE(LEFT($A308,4)),"")</f>
        <v>2024</v>
      </c>
      <c r="C308" s="17" t="n">
        <f aca="false">IFERROR(VALUE(RIGHT($A308,2)),"")</f>
        <v>4</v>
      </c>
      <c r="D308" s="17" t="n">
        <f aca="false">IFERROR(ROUNDUP($C308/3,0),"")</f>
        <v>2</v>
      </c>
      <c r="E308" s="11" t="str">
        <f aca="false">TRIM('수출입 실적(품목별)'!B312)</f>
        <v>16</v>
      </c>
      <c r="F308" s="11" t="str">
        <f aca="false">TRIM('수출입 실적(품목별)'!C312)</f>
        <v>육류ㆍ어류ㆍ갑각류ㆍ연체동물이나 그 밖의 수생(水生) 무척추동물 또는 곤충의 조제품</v>
      </c>
      <c r="G308" s="18" t="n">
        <f aca="false">IFERROR(VALUE(SUBSTITUTE(TRIM('수출입 실적(품목별)'!D312),",","")),"")</f>
        <v>4829.3</v>
      </c>
      <c r="H308" s="19" t="n">
        <f aca="false">IFERROR(VALUE(SUBSTITUTE(TRIM('수출입 실적(품목별)'!E312),",","")),"")</f>
        <v>31625</v>
      </c>
      <c r="I308" s="18" t="n">
        <f aca="false">IFERROR(VALUE(SUBSTITUTE(TRIM('수출입 실적(품목별)'!F312),",","")),"")</f>
        <v>16488.4</v>
      </c>
      <c r="J308" s="19" t="n">
        <f aca="false">IFERROR(VALUE(SUBSTITUTE(TRIM('수출입 실적(품목별)'!G312),",","")),"")</f>
        <v>90560</v>
      </c>
      <c r="K308" s="19" t="n">
        <f aca="false">IFERROR(VALUE(SUBSTITUTE(TRIM('수출입 실적(품목별)'!H312),",","")),"")</f>
        <v>-58935</v>
      </c>
    </row>
    <row r="309" customFormat="false" ht="15" hidden="false" customHeight="true" outlineLevel="0" collapsed="false">
      <c r="A309" s="11" t="str">
        <f aca="false">TRIM('수출입 실적(품목별)'!A313)</f>
        <v>2024.04</v>
      </c>
      <c r="B309" s="17" t="n">
        <f aca="false">IFERROR(VALUE(LEFT($A309,4)),"")</f>
        <v>2024</v>
      </c>
      <c r="C309" s="17" t="n">
        <f aca="false">IFERROR(VALUE(RIGHT($A309,2)),"")</f>
        <v>4</v>
      </c>
      <c r="D309" s="17" t="n">
        <f aca="false">IFERROR(ROUNDUP($C309/3,0),"")</f>
        <v>2</v>
      </c>
      <c r="E309" s="11" t="str">
        <f aca="false">TRIM('수출입 실적(품목별)'!B313)</f>
        <v>17</v>
      </c>
      <c r="F309" s="11" t="str">
        <f aca="false">TRIM('수출입 실적(품목별)'!C313)</f>
        <v>당류(糖類)와 설탕과자</v>
      </c>
      <c r="G309" s="18" t="n">
        <f aca="false">IFERROR(VALUE(SUBSTITUTE(TRIM('수출입 실적(품목별)'!D313),",","")),"")</f>
        <v>24455.7</v>
      </c>
      <c r="H309" s="19" t="n">
        <f aca="false">IFERROR(VALUE(SUBSTITUTE(TRIM('수출입 실적(품목별)'!E313),",","")),"")</f>
        <v>24029</v>
      </c>
      <c r="I309" s="18" t="n">
        <f aca="false">IFERROR(VALUE(SUBSTITUTE(TRIM('수출입 실적(품목별)'!F313),",","")),"")</f>
        <v>260843.7</v>
      </c>
      <c r="J309" s="19" t="n">
        <f aca="false">IFERROR(VALUE(SUBSTITUTE(TRIM('수출입 실적(품목별)'!G313),",","")),"")</f>
        <v>175507</v>
      </c>
      <c r="K309" s="19" t="n">
        <f aca="false">IFERROR(VALUE(SUBSTITUTE(TRIM('수출입 실적(품목별)'!H313),",","")),"")</f>
        <v>-151479</v>
      </c>
    </row>
    <row r="310" customFormat="false" ht="15" hidden="false" customHeight="true" outlineLevel="0" collapsed="false">
      <c r="A310" s="11" t="str">
        <f aca="false">TRIM('수출입 실적(품목별)'!A314)</f>
        <v>2024.04</v>
      </c>
      <c r="B310" s="17" t="n">
        <f aca="false">IFERROR(VALUE(LEFT($A310,4)),"")</f>
        <v>2024</v>
      </c>
      <c r="C310" s="17" t="n">
        <f aca="false">IFERROR(VALUE(RIGHT($A310,2)),"")</f>
        <v>4</v>
      </c>
      <c r="D310" s="17" t="n">
        <f aca="false">IFERROR(ROUNDUP($C310/3,0),"")</f>
        <v>2</v>
      </c>
      <c r="E310" s="11" t="str">
        <f aca="false">TRIM('수출입 실적(품목별)'!B314)</f>
        <v>18</v>
      </c>
      <c r="F310" s="11" t="str">
        <f aca="false">TRIM('수출입 실적(품목별)'!C314)</f>
        <v>코코아와 그 조제품</v>
      </c>
      <c r="G310" s="18" t="n">
        <f aca="false">IFERROR(VALUE(SUBSTITUTE(TRIM('수출입 실적(품목별)'!D314),",","")),"")</f>
        <v>2005.8</v>
      </c>
      <c r="H310" s="19" t="n">
        <f aca="false">IFERROR(VALUE(SUBSTITUTE(TRIM('수출입 실적(품목별)'!E314),",","")),"")</f>
        <v>4681</v>
      </c>
      <c r="I310" s="18" t="n">
        <f aca="false">IFERROR(VALUE(SUBSTITUTE(TRIM('수출입 실적(품목별)'!F314),",","")),"")</f>
        <v>5464.1</v>
      </c>
      <c r="J310" s="19" t="n">
        <f aca="false">IFERROR(VALUE(SUBSTITUTE(TRIM('수출입 실적(품목별)'!G314),",","")),"")</f>
        <v>33888</v>
      </c>
      <c r="K310" s="19" t="n">
        <f aca="false">IFERROR(VALUE(SUBSTITUTE(TRIM('수출입 실적(품목별)'!H314),",","")),"")</f>
        <v>-29207</v>
      </c>
    </row>
    <row r="311" customFormat="false" ht="15" hidden="false" customHeight="true" outlineLevel="0" collapsed="false">
      <c r="A311" s="11" t="str">
        <f aca="false">TRIM('수출입 실적(품목별)'!A315)</f>
        <v>2024.04</v>
      </c>
      <c r="B311" s="17" t="n">
        <f aca="false">IFERROR(VALUE(LEFT($A311,4)),"")</f>
        <v>2024</v>
      </c>
      <c r="C311" s="17" t="n">
        <f aca="false">IFERROR(VALUE(RIGHT($A311,2)),"")</f>
        <v>4</v>
      </c>
      <c r="D311" s="17" t="n">
        <f aca="false">IFERROR(ROUNDUP($C311/3,0),"")</f>
        <v>2</v>
      </c>
      <c r="E311" s="11" t="str">
        <f aca="false">TRIM('수출입 실적(품목별)'!B315)</f>
        <v>19</v>
      </c>
      <c r="F311" s="11" t="str">
        <f aca="false">TRIM('수출입 실적(품목별)'!C315)</f>
        <v>곡물ㆍ고운 가루ㆍ전분ㆍ밀크의 조제품과 베이커리 제품</v>
      </c>
      <c r="G311" s="18" t="n">
        <f aca="false">IFERROR(VALUE(SUBSTITUTE(TRIM('수출입 실적(품목별)'!D315),",","")),"")</f>
        <v>52843.7</v>
      </c>
      <c r="H311" s="19" t="n">
        <f aca="false">IFERROR(VALUE(SUBSTITUTE(TRIM('수출입 실적(품목별)'!E315),",","")),"")</f>
        <v>210518</v>
      </c>
      <c r="I311" s="18" t="n">
        <f aca="false">IFERROR(VALUE(SUBSTITUTE(TRIM('수출입 실적(품목별)'!F315),",","")),"")</f>
        <v>28901.4</v>
      </c>
      <c r="J311" s="19" t="n">
        <f aca="false">IFERROR(VALUE(SUBSTITUTE(TRIM('수출입 실적(품목별)'!G315),",","")),"")</f>
        <v>96866</v>
      </c>
      <c r="K311" s="19" t="n">
        <f aca="false">IFERROR(VALUE(SUBSTITUTE(TRIM('수출입 실적(품목별)'!H315),",","")),"")</f>
        <v>113651</v>
      </c>
    </row>
    <row r="312" customFormat="false" ht="15" hidden="false" customHeight="true" outlineLevel="0" collapsed="false">
      <c r="A312" s="11" t="str">
        <f aca="false">TRIM('수출입 실적(품목별)'!A316)</f>
        <v>2024.04</v>
      </c>
      <c r="B312" s="17" t="n">
        <f aca="false">IFERROR(VALUE(LEFT($A312,4)),"")</f>
        <v>2024</v>
      </c>
      <c r="C312" s="17" t="n">
        <f aca="false">IFERROR(VALUE(RIGHT($A312,2)),"")</f>
        <v>4</v>
      </c>
      <c r="D312" s="17" t="n">
        <f aca="false">IFERROR(ROUNDUP($C312/3,0),"")</f>
        <v>2</v>
      </c>
      <c r="E312" s="11" t="str">
        <f aca="false">TRIM('수출입 실적(품목별)'!B316)</f>
        <v>20</v>
      </c>
      <c r="F312" s="11" t="str">
        <f aca="false">TRIM('수출입 실적(품목별)'!C316)</f>
        <v>채소ㆍ과실ㆍ견과류나 식물의그 밖의 부분의 조제품</v>
      </c>
      <c r="G312" s="18" t="n">
        <f aca="false">IFERROR(VALUE(SUBSTITUTE(TRIM('수출입 실적(품목별)'!D316),",","")),"")</f>
        <v>10073</v>
      </c>
      <c r="H312" s="19" t="n">
        <f aca="false">IFERROR(VALUE(SUBSTITUTE(TRIM('수출입 실적(품목별)'!E316),",","")),"")</f>
        <v>84818</v>
      </c>
      <c r="I312" s="18" t="n">
        <f aca="false">IFERROR(VALUE(SUBSTITUTE(TRIM('수출입 실적(품목별)'!F316),",","")),"")</f>
        <v>99325.2</v>
      </c>
      <c r="J312" s="19" t="n">
        <f aca="false">IFERROR(VALUE(SUBSTITUTE(TRIM('수출입 실적(품목별)'!G316),",","")),"")</f>
        <v>141046</v>
      </c>
      <c r="K312" s="19" t="n">
        <f aca="false">IFERROR(VALUE(SUBSTITUTE(TRIM('수출입 실적(품목별)'!H316),",","")),"")</f>
        <v>-56228</v>
      </c>
    </row>
    <row r="313" customFormat="false" ht="15" hidden="false" customHeight="true" outlineLevel="0" collapsed="false">
      <c r="A313" s="11" t="str">
        <f aca="false">TRIM('수출입 실적(품목별)'!A317)</f>
        <v>2024.04</v>
      </c>
      <c r="B313" s="17" t="n">
        <f aca="false">IFERROR(VALUE(LEFT($A313,4)),"")</f>
        <v>2024</v>
      </c>
      <c r="C313" s="17" t="n">
        <f aca="false">IFERROR(VALUE(RIGHT($A313,2)),"")</f>
        <v>4</v>
      </c>
      <c r="D313" s="17" t="n">
        <f aca="false">IFERROR(ROUNDUP($C313/3,0),"")</f>
        <v>2</v>
      </c>
      <c r="E313" s="11" t="str">
        <f aca="false">TRIM('수출입 실적(품목별)'!B317)</f>
        <v>21</v>
      </c>
      <c r="F313" s="11" t="str">
        <f aca="false">TRIM('수출입 실적(품목별)'!C317)</f>
        <v>각종 조제 식료품</v>
      </c>
      <c r="G313" s="18" t="n">
        <f aca="false">IFERROR(VALUE(SUBSTITUTE(TRIM('수출입 실적(품목별)'!D317),",","")),"")</f>
        <v>39025.7</v>
      </c>
      <c r="H313" s="19" t="n">
        <f aca="false">IFERROR(VALUE(SUBSTITUTE(TRIM('수출입 실적(품목별)'!E317),",","")),"")</f>
        <v>152319</v>
      </c>
      <c r="I313" s="18" t="n">
        <f aca="false">IFERROR(VALUE(SUBSTITUTE(TRIM('수출입 실적(품목별)'!F317),",","")),"")</f>
        <v>34981.7</v>
      </c>
      <c r="J313" s="19" t="n">
        <f aca="false">IFERROR(VALUE(SUBSTITUTE(TRIM('수출입 실적(품목별)'!G317),",","")),"")</f>
        <v>252875</v>
      </c>
      <c r="K313" s="19" t="n">
        <f aca="false">IFERROR(VALUE(SUBSTITUTE(TRIM('수출입 실적(품목별)'!H317),",","")),"")</f>
        <v>-100556</v>
      </c>
    </row>
    <row r="314" customFormat="false" ht="15" hidden="false" customHeight="true" outlineLevel="0" collapsed="false">
      <c r="A314" s="11" t="str">
        <f aca="false">TRIM('수출입 실적(품목별)'!A318)</f>
        <v>2024.04</v>
      </c>
      <c r="B314" s="17" t="n">
        <f aca="false">IFERROR(VALUE(LEFT($A314,4)),"")</f>
        <v>2024</v>
      </c>
      <c r="C314" s="17" t="n">
        <f aca="false">IFERROR(VALUE(RIGHT($A314,2)),"")</f>
        <v>4</v>
      </c>
      <c r="D314" s="17" t="n">
        <f aca="false">IFERROR(ROUNDUP($C314/3,0),"")</f>
        <v>2</v>
      </c>
      <c r="E314" s="11" t="str">
        <f aca="false">TRIM('수출입 실적(품목별)'!B318)</f>
        <v>22</v>
      </c>
      <c r="F314" s="11" t="str">
        <f aca="false">TRIM('수출입 실적(품목별)'!C318)</f>
        <v>음료ㆍ주류ㆍ식초</v>
      </c>
      <c r="G314" s="18" t="n">
        <f aca="false">IFERROR(VALUE(SUBSTITUTE(TRIM('수출입 실적(품목별)'!D318),",","")),"")</f>
        <v>88782.8</v>
      </c>
      <c r="H314" s="19" t="n">
        <f aca="false">IFERROR(VALUE(SUBSTITUTE(TRIM('수출입 실적(품목별)'!E318),",","")),"")</f>
        <v>105799</v>
      </c>
      <c r="I314" s="18" t="n">
        <f aca="false">IFERROR(VALUE(SUBSTITUTE(TRIM('수출입 실적(품목별)'!F318),",","")),"")</f>
        <v>94646.5</v>
      </c>
      <c r="J314" s="19" t="n">
        <f aca="false">IFERROR(VALUE(SUBSTITUTE(TRIM('수출입 실적(품목별)'!G318),",","")),"")</f>
        <v>140971</v>
      </c>
      <c r="K314" s="19" t="n">
        <f aca="false">IFERROR(VALUE(SUBSTITUTE(TRIM('수출입 실적(품목별)'!H318),",","")),"")</f>
        <v>-35172</v>
      </c>
    </row>
    <row r="315" customFormat="false" ht="15" hidden="false" customHeight="true" outlineLevel="0" collapsed="false">
      <c r="A315" s="11" t="str">
        <f aca="false">TRIM('수출입 실적(품목별)'!A319)</f>
        <v>2024.04</v>
      </c>
      <c r="B315" s="17" t="n">
        <f aca="false">IFERROR(VALUE(LEFT($A315,4)),"")</f>
        <v>2024</v>
      </c>
      <c r="C315" s="17" t="n">
        <f aca="false">IFERROR(VALUE(RIGHT($A315,2)),"")</f>
        <v>4</v>
      </c>
      <c r="D315" s="17" t="n">
        <f aca="false">IFERROR(ROUNDUP($C315/3,0),"")</f>
        <v>2</v>
      </c>
      <c r="E315" s="11" t="str">
        <f aca="false">TRIM('수출입 실적(품목별)'!B319)</f>
        <v>23</v>
      </c>
      <c r="F315" s="11" t="str">
        <f aca="false">TRIM('수출입 실적(품목별)'!C319)</f>
        <v>식품 공업에서 생기는 잔재물과 웨이스트(waste), 조제 사료</v>
      </c>
      <c r="G315" s="18" t="n">
        <f aca="false">IFERROR(VALUE(SUBSTITUTE(TRIM('수출입 실적(품목별)'!D319),",","")),"")</f>
        <v>24677</v>
      </c>
      <c r="H315" s="19" t="n">
        <f aca="false">IFERROR(VALUE(SUBSTITUTE(TRIM('수출입 실적(품목별)'!E319),",","")),"")</f>
        <v>28763</v>
      </c>
      <c r="I315" s="18" t="n">
        <f aca="false">IFERROR(VALUE(SUBSTITUTE(TRIM('수출입 실적(품목별)'!F319),",","")),"")</f>
        <v>537797</v>
      </c>
      <c r="J315" s="19" t="n">
        <f aca="false">IFERROR(VALUE(SUBSTITUTE(TRIM('수출입 실적(품목별)'!G319),",","")),"")</f>
        <v>222855</v>
      </c>
      <c r="K315" s="19" t="n">
        <f aca="false">IFERROR(VALUE(SUBSTITUTE(TRIM('수출입 실적(품목별)'!H319),",","")),"")</f>
        <v>-194092</v>
      </c>
    </row>
    <row r="316" customFormat="false" ht="15" hidden="false" customHeight="true" outlineLevel="0" collapsed="false">
      <c r="A316" s="11" t="str">
        <f aca="false">TRIM('수출입 실적(품목별)'!A320)</f>
        <v>2024.04</v>
      </c>
      <c r="B316" s="17" t="n">
        <f aca="false">IFERROR(VALUE(LEFT($A316,4)),"")</f>
        <v>2024</v>
      </c>
      <c r="C316" s="17" t="n">
        <f aca="false">IFERROR(VALUE(RIGHT($A316,2)),"")</f>
        <v>4</v>
      </c>
      <c r="D316" s="17" t="n">
        <f aca="false">IFERROR(ROUNDUP($C316/3,0),"")</f>
        <v>2</v>
      </c>
      <c r="E316" s="11" t="str">
        <f aca="false">TRIM('수출입 실적(품목별)'!B320)</f>
        <v>24</v>
      </c>
      <c r="F316" s="11" t="str">
        <f aca="false">TRIM('수출입 실적(품목별)'!C320)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316" s="18" t="n">
        <f aca="false">IFERROR(VALUE(SUBSTITUTE(TRIM('수출입 실적(품목별)'!D320),",","")),"")</f>
        <v>9291.8</v>
      </c>
      <c r="H316" s="19" t="n">
        <f aca="false">IFERROR(VALUE(SUBSTITUTE(TRIM('수출입 실적(품목별)'!E320),",","")),"")</f>
        <v>106482</v>
      </c>
      <c r="I316" s="18" t="n">
        <f aca="false">IFERROR(VALUE(SUBSTITUTE(TRIM('수출입 실적(품목별)'!F320),",","")),"")</f>
        <v>6771.3</v>
      </c>
      <c r="J316" s="19" t="n">
        <f aca="false">IFERROR(VALUE(SUBSTITUTE(TRIM('수출입 실적(품목별)'!G320),",","")),"")</f>
        <v>54141</v>
      </c>
      <c r="K316" s="19" t="n">
        <f aca="false">IFERROR(VALUE(SUBSTITUTE(TRIM('수출입 실적(품목별)'!H320),",","")),"")</f>
        <v>52341</v>
      </c>
    </row>
    <row r="317" customFormat="false" ht="15" hidden="false" customHeight="true" outlineLevel="0" collapsed="false">
      <c r="A317" s="11" t="str">
        <f aca="false">TRIM('수출입 실적(품목별)'!A321)</f>
        <v>2024.04</v>
      </c>
      <c r="B317" s="17" t="n">
        <f aca="false">IFERROR(VALUE(LEFT($A317,4)),"")</f>
        <v>2024</v>
      </c>
      <c r="C317" s="17" t="n">
        <f aca="false">IFERROR(VALUE(RIGHT($A317,2)),"")</f>
        <v>4</v>
      </c>
      <c r="D317" s="17" t="n">
        <f aca="false">IFERROR(ROUNDUP($C317/3,0),"")</f>
        <v>2</v>
      </c>
      <c r="E317" s="11" t="str">
        <f aca="false">TRIM('수출입 실적(품목별)'!B321)</f>
        <v>25</v>
      </c>
      <c r="F317" s="11" t="str">
        <f aca="false">TRIM('수출입 실적(품목별)'!C321)</f>
        <v>소금, 황, 토석류(土石類), 석고ㆍ석회ㆍ시멘트</v>
      </c>
      <c r="G317" s="18" t="n">
        <f aca="false">IFERROR(VALUE(SUBSTITUTE(TRIM('수출입 실적(품목별)'!D321),",","")),"")</f>
        <v>425509.6</v>
      </c>
      <c r="H317" s="19" t="n">
        <f aca="false">IFERROR(VALUE(SUBSTITUTE(TRIM('수출입 실적(품목별)'!E321),",","")),"")</f>
        <v>23148</v>
      </c>
      <c r="I317" s="18" t="n">
        <f aca="false">IFERROR(VALUE(SUBSTITUTE(TRIM('수출입 실적(품목별)'!F321),",","")),"")</f>
        <v>1188942.3</v>
      </c>
      <c r="J317" s="19" t="n">
        <f aca="false">IFERROR(VALUE(SUBSTITUTE(TRIM('수출입 실적(품목별)'!G321),",","")),"")</f>
        <v>89940</v>
      </c>
      <c r="K317" s="19" t="n">
        <f aca="false">IFERROR(VALUE(SUBSTITUTE(TRIM('수출입 실적(품목별)'!H321),",","")),"")</f>
        <v>-66792</v>
      </c>
    </row>
    <row r="318" customFormat="false" ht="15" hidden="false" customHeight="true" outlineLevel="0" collapsed="false">
      <c r="A318" s="11" t="str">
        <f aca="false">TRIM('수출입 실적(품목별)'!A322)</f>
        <v>2024.04</v>
      </c>
      <c r="B318" s="17" t="n">
        <f aca="false">IFERROR(VALUE(LEFT($A318,4)),"")</f>
        <v>2024</v>
      </c>
      <c r="C318" s="17" t="n">
        <f aca="false">IFERROR(VALUE(RIGHT($A318,2)),"")</f>
        <v>4</v>
      </c>
      <c r="D318" s="17" t="n">
        <f aca="false">IFERROR(ROUNDUP($C318/3,0),"")</f>
        <v>2</v>
      </c>
      <c r="E318" s="11" t="str">
        <f aca="false">TRIM('수출입 실적(품목별)'!B322)</f>
        <v>26</v>
      </c>
      <c r="F318" s="11" t="str">
        <f aca="false">TRIM('수출입 실적(품목별)'!C322)</f>
        <v>광(鑛)ㆍ슬래그(slag)ㆍ회(灰)</v>
      </c>
      <c r="G318" s="18" t="n">
        <f aca="false">IFERROR(VALUE(SUBSTITUTE(TRIM('수출입 실적(품목별)'!D322),",","")),"")</f>
        <v>66863.1</v>
      </c>
      <c r="H318" s="19" t="n">
        <f aca="false">IFERROR(VALUE(SUBSTITUTE(TRIM('수출입 실적(품목별)'!E322),",","")),"")</f>
        <v>61024</v>
      </c>
      <c r="I318" s="18" t="n">
        <f aca="false">IFERROR(VALUE(SUBSTITUTE(TRIM('수출입 실적(품목별)'!F322),",","")),"")</f>
        <v>6518231.4</v>
      </c>
      <c r="J318" s="19" t="n">
        <f aca="false">IFERROR(VALUE(SUBSTITUTE(TRIM('수출입 실적(품목별)'!G322),",","")),"")</f>
        <v>1711251</v>
      </c>
      <c r="K318" s="19" t="n">
        <f aca="false">IFERROR(VALUE(SUBSTITUTE(TRIM('수출입 실적(품목별)'!H322),",","")),"")</f>
        <v>-1650227</v>
      </c>
    </row>
    <row r="319" customFormat="false" ht="15" hidden="false" customHeight="true" outlineLevel="0" collapsed="false">
      <c r="A319" s="11" t="str">
        <f aca="false">TRIM('수출입 실적(품목별)'!A323)</f>
        <v>2024.04</v>
      </c>
      <c r="B319" s="17" t="n">
        <f aca="false">IFERROR(VALUE(LEFT($A319,4)),"")</f>
        <v>2024</v>
      </c>
      <c r="C319" s="17" t="n">
        <f aca="false">IFERROR(VALUE(RIGHT($A319,2)),"")</f>
        <v>4</v>
      </c>
      <c r="D319" s="17" t="n">
        <f aca="false">IFERROR(ROUNDUP($C319/3,0),"")</f>
        <v>2</v>
      </c>
      <c r="E319" s="11" t="str">
        <f aca="false">TRIM('수출입 실적(품목별)'!B323)</f>
        <v>27</v>
      </c>
      <c r="F319" s="11" t="str">
        <f aca="false">TRIM('수출입 실적(품목별)'!C323)</f>
        <v>광물성 연료ㆍ광물유(鑛物油)와 이들의 증류물, 역청(瀝靑)물질, 광물성 왁스</v>
      </c>
      <c r="G319" s="18" t="n">
        <f aca="false">IFERROR(VALUE(SUBSTITUTE(TRIM('수출입 실적(품목별)'!D323),",","")),"")</f>
        <v>5540013.9</v>
      </c>
      <c r="H319" s="19" t="n">
        <f aca="false">IFERROR(VALUE(SUBSTITUTE(TRIM('수출입 실적(품목별)'!E323),",","")),"")</f>
        <v>4524006</v>
      </c>
      <c r="I319" s="18" t="n">
        <f aca="false">IFERROR(VALUE(SUBSTITUTE(TRIM('수출입 실적(품목별)'!F323),",","")),"")</f>
        <v>28649190.1</v>
      </c>
      <c r="J319" s="19" t="n">
        <f aca="false">IFERROR(VALUE(SUBSTITUTE(TRIM('수출입 실적(품목별)'!G323),",","")),"")</f>
        <v>14434720</v>
      </c>
      <c r="K319" s="19" t="n">
        <f aca="false">IFERROR(VALUE(SUBSTITUTE(TRIM('수출입 실적(품목별)'!H323),",","")),"")</f>
        <v>-9910714</v>
      </c>
    </row>
    <row r="320" customFormat="false" ht="15" hidden="false" customHeight="true" outlineLevel="0" collapsed="false">
      <c r="A320" s="11" t="str">
        <f aca="false">TRIM('수출입 실적(품목별)'!A324)</f>
        <v>2024.04</v>
      </c>
      <c r="B320" s="17" t="n">
        <f aca="false">IFERROR(VALUE(LEFT($A320,4)),"")</f>
        <v>2024</v>
      </c>
      <c r="C320" s="17" t="n">
        <f aca="false">IFERROR(VALUE(RIGHT($A320,2)),"")</f>
        <v>4</v>
      </c>
      <c r="D320" s="17" t="n">
        <f aca="false">IFERROR(ROUNDUP($C320/3,0),"")</f>
        <v>2</v>
      </c>
      <c r="E320" s="11" t="str">
        <f aca="false">TRIM('수출입 실적(품목별)'!B324)</f>
        <v>28</v>
      </c>
      <c r="F320" s="11" t="str">
        <f aca="false">TRIM('수출입 실적(품목별)'!C324)</f>
        <v>무기화학품, 귀금속ㆍ희토류(稀土類)금속ㆍ방사성원소ㆍ동위원소의 유기화합물이나 무기화합물</v>
      </c>
      <c r="G320" s="18" t="n">
        <f aca="false">IFERROR(VALUE(SUBSTITUTE(TRIM('수출입 실적(품목별)'!D324),",","")),"")</f>
        <v>525332.9</v>
      </c>
      <c r="H320" s="19" t="n">
        <f aca="false">IFERROR(VALUE(SUBSTITUTE(TRIM('수출입 실적(품목별)'!E324),",","")),"")</f>
        <v>902405</v>
      </c>
      <c r="I320" s="18" t="n">
        <f aca="false">IFERROR(VALUE(SUBSTITUTE(TRIM('수출입 실적(품목별)'!F324),",","")),"")</f>
        <v>393285.4</v>
      </c>
      <c r="J320" s="19" t="n">
        <f aca="false">IFERROR(VALUE(SUBSTITUTE(TRIM('수출입 실적(품목별)'!G324),",","")),"")</f>
        <v>969341</v>
      </c>
      <c r="K320" s="19" t="n">
        <f aca="false">IFERROR(VALUE(SUBSTITUTE(TRIM('수출입 실적(품목별)'!H324),",","")),"")</f>
        <v>-66936</v>
      </c>
    </row>
    <row r="321" customFormat="false" ht="15" hidden="false" customHeight="true" outlineLevel="0" collapsed="false">
      <c r="A321" s="11" t="str">
        <f aca="false">TRIM('수출입 실적(품목별)'!A325)</f>
        <v>2024.04</v>
      </c>
      <c r="B321" s="17" t="n">
        <f aca="false">IFERROR(VALUE(LEFT($A321,4)),"")</f>
        <v>2024</v>
      </c>
      <c r="C321" s="17" t="n">
        <f aca="false">IFERROR(VALUE(RIGHT($A321,2)),"")</f>
        <v>4</v>
      </c>
      <c r="D321" s="17" t="n">
        <f aca="false">IFERROR(ROUNDUP($C321/3,0),"")</f>
        <v>2</v>
      </c>
      <c r="E321" s="11" t="str">
        <f aca="false">TRIM('수출입 실적(품목별)'!B325)</f>
        <v>29</v>
      </c>
      <c r="F321" s="11" t="str">
        <f aca="false">TRIM('수출입 실적(품목별)'!C325)</f>
        <v>유기화학품</v>
      </c>
      <c r="G321" s="18" t="n">
        <f aca="false">IFERROR(VALUE(SUBSTITUTE(TRIM('수출입 실적(품목별)'!D325),",","")),"")</f>
        <v>1728288.6</v>
      </c>
      <c r="H321" s="19" t="n">
        <f aca="false">IFERROR(VALUE(SUBSTITUTE(TRIM('수출입 실적(품목별)'!E325),",","")),"")</f>
        <v>2032844</v>
      </c>
      <c r="I321" s="18" t="n">
        <f aca="false">IFERROR(VALUE(SUBSTITUTE(TRIM('수출입 실적(품목별)'!F325),",","")),"")</f>
        <v>707614.1</v>
      </c>
      <c r="J321" s="19" t="n">
        <f aca="false">IFERROR(VALUE(SUBSTITUTE(TRIM('수출입 실적(품목별)'!G325),",","")),"")</f>
        <v>1259254</v>
      </c>
      <c r="K321" s="19" t="n">
        <f aca="false">IFERROR(VALUE(SUBSTITUTE(TRIM('수출입 실적(품목별)'!H325),",","")),"")</f>
        <v>773590</v>
      </c>
    </row>
    <row r="322" customFormat="false" ht="15" hidden="false" customHeight="true" outlineLevel="0" collapsed="false">
      <c r="A322" s="11" t="str">
        <f aca="false">TRIM('수출입 실적(품목별)'!A326)</f>
        <v>2024.04</v>
      </c>
      <c r="B322" s="17" t="n">
        <f aca="false">IFERROR(VALUE(LEFT($A322,4)),"")</f>
        <v>2024</v>
      </c>
      <c r="C322" s="17" t="n">
        <f aca="false">IFERROR(VALUE(RIGHT($A322,2)),"")</f>
        <v>4</v>
      </c>
      <c r="D322" s="17" t="n">
        <f aca="false">IFERROR(ROUNDUP($C322/3,0),"")</f>
        <v>2</v>
      </c>
      <c r="E322" s="11" t="str">
        <f aca="false">TRIM('수출입 실적(품목별)'!B326)</f>
        <v>30</v>
      </c>
      <c r="F322" s="11" t="str">
        <f aca="false">TRIM('수출입 실적(품목별)'!C326)</f>
        <v>의료용품</v>
      </c>
      <c r="G322" s="18" t="n">
        <f aca="false">IFERROR(VALUE(SUBSTITUTE(TRIM('수출입 실적(품목별)'!D326),",","")),"")</f>
        <v>2639.9</v>
      </c>
      <c r="H322" s="19" t="n">
        <f aca="false">IFERROR(VALUE(SUBSTITUTE(TRIM('수출입 실적(품목별)'!E326),",","")),"")</f>
        <v>660387</v>
      </c>
      <c r="I322" s="18" t="n">
        <f aca="false">IFERROR(VALUE(SUBSTITUTE(TRIM('수출입 실적(품목별)'!F326),",","")),"")</f>
        <v>8498.5</v>
      </c>
      <c r="J322" s="19" t="n">
        <f aca="false">IFERROR(VALUE(SUBSTITUTE(TRIM('수출입 실적(품목별)'!G326),",","")),"")</f>
        <v>811751</v>
      </c>
      <c r="K322" s="19" t="n">
        <f aca="false">IFERROR(VALUE(SUBSTITUTE(TRIM('수출입 실적(품목별)'!H326),",","")),"")</f>
        <v>-151365</v>
      </c>
    </row>
    <row r="323" customFormat="false" ht="15" hidden="false" customHeight="true" outlineLevel="0" collapsed="false">
      <c r="A323" s="11" t="str">
        <f aca="false">TRIM('수출입 실적(품목별)'!A327)</f>
        <v>2024.04</v>
      </c>
      <c r="B323" s="17" t="n">
        <f aca="false">IFERROR(VALUE(LEFT($A323,4)),"")</f>
        <v>2024</v>
      </c>
      <c r="C323" s="17" t="n">
        <f aca="false">IFERROR(VALUE(RIGHT($A323,2)),"")</f>
        <v>4</v>
      </c>
      <c r="D323" s="17" t="n">
        <f aca="false">IFERROR(ROUNDUP($C323/3,0),"")</f>
        <v>2</v>
      </c>
      <c r="E323" s="11" t="str">
        <f aca="false">TRIM('수출입 실적(품목별)'!B327)</f>
        <v>31</v>
      </c>
      <c r="F323" s="11" t="str">
        <f aca="false">TRIM('수출입 실적(품목별)'!C327)</f>
        <v>비료</v>
      </c>
      <c r="G323" s="18" t="n">
        <f aca="false">IFERROR(VALUE(SUBSTITUTE(TRIM('수출입 실적(품목별)'!D327),",","")),"")</f>
        <v>96675.6</v>
      </c>
      <c r="H323" s="19" t="n">
        <f aca="false">IFERROR(VALUE(SUBSTITUTE(TRIM('수출입 실적(품목별)'!E327),",","")),"")</f>
        <v>39094</v>
      </c>
      <c r="I323" s="18" t="n">
        <f aca="false">IFERROR(VALUE(SUBSTITUTE(TRIM('수출입 실적(품목별)'!F327),",","")),"")</f>
        <v>204939.4</v>
      </c>
      <c r="J323" s="19" t="n">
        <f aca="false">IFERROR(VALUE(SUBSTITUTE(TRIM('수출입 실적(품목별)'!G327),",","")),"")</f>
        <v>82375</v>
      </c>
      <c r="K323" s="19" t="n">
        <f aca="false">IFERROR(VALUE(SUBSTITUTE(TRIM('수출입 실적(품목별)'!H327),",","")),"")</f>
        <v>-43281</v>
      </c>
    </row>
    <row r="324" customFormat="false" ht="15" hidden="false" customHeight="true" outlineLevel="0" collapsed="false">
      <c r="A324" s="11" t="str">
        <f aca="false">TRIM('수출입 실적(품목별)'!A328)</f>
        <v>2024.04</v>
      </c>
      <c r="B324" s="17" t="n">
        <f aca="false">IFERROR(VALUE(LEFT($A324,4)),"")</f>
        <v>2024</v>
      </c>
      <c r="C324" s="17" t="n">
        <f aca="false">IFERROR(VALUE(RIGHT($A324,2)),"")</f>
        <v>4</v>
      </c>
      <c r="D324" s="17" t="n">
        <f aca="false">IFERROR(ROUNDUP($C324/3,0),"")</f>
        <v>2</v>
      </c>
      <c r="E324" s="11" t="str">
        <f aca="false">TRIM('수출입 실적(품목별)'!B328)</f>
        <v>32</v>
      </c>
      <c r="F324" s="11" t="str">
        <f aca="false">TRIM('수출입 실적(품목별)'!C328)</f>
        <v>유연용ㆍ염색용 추출물(extract), 탄닌과 이들의 유도체, 염료ㆍ안료와 그 밖의 착색제, 페인트ㆍ바니시(varnish), 퍼티(putty)와 그 밖의 매스틱(mastic), 잉크</v>
      </c>
      <c r="G324" s="18" t="n">
        <f aca="false">IFERROR(VALUE(SUBSTITUTE(TRIM('수출입 실적(품목별)'!D328),",","")),"")</f>
        <v>30531.5</v>
      </c>
      <c r="H324" s="19" t="n">
        <f aca="false">IFERROR(VALUE(SUBSTITUTE(TRIM('수출입 실적(품목별)'!E328),",","")),"")</f>
        <v>242041</v>
      </c>
      <c r="I324" s="18" t="n">
        <f aca="false">IFERROR(VALUE(SUBSTITUTE(TRIM('수출입 실적(품목별)'!F328),",","")),"")</f>
        <v>28619.9</v>
      </c>
      <c r="J324" s="19" t="n">
        <f aca="false">IFERROR(VALUE(SUBSTITUTE(TRIM('수출입 실적(품목별)'!G328),",","")),"")</f>
        <v>231045</v>
      </c>
      <c r="K324" s="19" t="n">
        <f aca="false">IFERROR(VALUE(SUBSTITUTE(TRIM('수출입 실적(품목별)'!H328),",","")),"")</f>
        <v>10996</v>
      </c>
    </row>
    <row r="325" customFormat="false" ht="15" hidden="false" customHeight="true" outlineLevel="0" collapsed="false">
      <c r="A325" s="11" t="str">
        <f aca="false">TRIM('수출입 실적(품목별)'!A329)</f>
        <v>2024.04</v>
      </c>
      <c r="B325" s="17" t="n">
        <f aca="false">IFERROR(VALUE(LEFT($A325,4)),"")</f>
        <v>2024</v>
      </c>
      <c r="C325" s="17" t="n">
        <f aca="false">IFERROR(VALUE(RIGHT($A325,2)),"")</f>
        <v>4</v>
      </c>
      <c r="D325" s="17" t="n">
        <f aca="false">IFERROR(ROUNDUP($C325/3,0),"")</f>
        <v>2</v>
      </c>
      <c r="E325" s="11" t="str">
        <f aca="false">TRIM('수출입 실적(품목별)'!B329)</f>
        <v>33</v>
      </c>
      <c r="F325" s="11" t="str">
        <f aca="false">TRIM('수출입 실적(품목별)'!C329)</f>
        <v>정유(essential oil)와 레지노이드(resinoid), 조제향료와 화장품ㆍ화장용품</v>
      </c>
      <c r="G325" s="18" t="n">
        <f aca="false">IFERROR(VALUE(SUBSTITUTE(TRIM('수출입 실적(품목별)'!D329),",","")),"")</f>
        <v>40201.7</v>
      </c>
      <c r="H325" s="19" t="n">
        <f aca="false">IFERROR(VALUE(SUBSTITUTE(TRIM('수출입 실적(품목별)'!E329),",","")),"")</f>
        <v>824896</v>
      </c>
      <c r="I325" s="18" t="n">
        <f aca="false">IFERROR(VALUE(SUBSTITUTE(TRIM('수출입 실적(품목별)'!F329),",","")),"")</f>
        <v>9690.5</v>
      </c>
      <c r="J325" s="19" t="n">
        <f aca="false">IFERROR(VALUE(SUBSTITUTE(TRIM('수출입 실적(품목별)'!G329),",","")),"")</f>
        <v>181794</v>
      </c>
      <c r="K325" s="19" t="n">
        <f aca="false">IFERROR(VALUE(SUBSTITUTE(TRIM('수출입 실적(품목별)'!H329),",","")),"")</f>
        <v>643102</v>
      </c>
    </row>
    <row r="326" customFormat="false" ht="15" hidden="false" customHeight="true" outlineLevel="0" collapsed="false">
      <c r="A326" s="11" t="str">
        <f aca="false">TRIM('수출입 실적(품목별)'!A330)</f>
        <v>2024.04</v>
      </c>
      <c r="B326" s="17" t="n">
        <f aca="false">IFERROR(VALUE(LEFT($A326,4)),"")</f>
        <v>2024</v>
      </c>
      <c r="C326" s="17" t="n">
        <f aca="false">IFERROR(VALUE(RIGHT($A326,2)),"")</f>
        <v>4</v>
      </c>
      <c r="D326" s="17" t="n">
        <f aca="false">IFERROR(ROUNDUP($C326/3,0),"")</f>
        <v>2</v>
      </c>
      <c r="E326" s="11" t="str">
        <f aca="false">TRIM('수출입 실적(품목별)'!B330)</f>
        <v>34</v>
      </c>
      <c r="F326" s="11" t="str">
        <f aca="false">TRIM('수출입 실적(품목별)'!C330)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326" s="18" t="n">
        <f aca="false">IFERROR(VALUE(SUBSTITUTE(TRIM('수출입 실적(품목별)'!D330),",","")),"")</f>
        <v>67059.2</v>
      </c>
      <c r="H326" s="19" t="n">
        <f aca="false">IFERROR(VALUE(SUBSTITUTE(TRIM('수출입 실적(품목별)'!E330),",","")),"")</f>
        <v>168765</v>
      </c>
      <c r="I326" s="18" t="n">
        <f aca="false">IFERROR(VALUE(SUBSTITUTE(TRIM('수출입 실적(품목별)'!F330),",","")),"")</f>
        <v>24144.2</v>
      </c>
      <c r="J326" s="19" t="n">
        <f aca="false">IFERROR(VALUE(SUBSTITUTE(TRIM('수출입 실적(품목별)'!G330),",","")),"")</f>
        <v>99268</v>
      </c>
      <c r="K326" s="19" t="n">
        <f aca="false">IFERROR(VALUE(SUBSTITUTE(TRIM('수출입 실적(품목별)'!H330),",","")),"")</f>
        <v>69497</v>
      </c>
    </row>
    <row r="327" customFormat="false" ht="15" hidden="false" customHeight="true" outlineLevel="0" collapsed="false">
      <c r="A327" s="11" t="str">
        <f aca="false">TRIM('수출입 실적(품목별)'!A331)</f>
        <v>2024.04</v>
      </c>
      <c r="B327" s="17" t="n">
        <f aca="false">IFERROR(VALUE(LEFT($A327,4)),"")</f>
        <v>2024</v>
      </c>
      <c r="C327" s="17" t="n">
        <f aca="false">IFERROR(VALUE(RIGHT($A327,2)),"")</f>
        <v>4</v>
      </c>
      <c r="D327" s="17" t="n">
        <f aca="false">IFERROR(ROUNDUP($C327/3,0),"")</f>
        <v>2</v>
      </c>
      <c r="E327" s="11" t="str">
        <f aca="false">TRIM('수출입 실적(품목별)'!B331)</f>
        <v>35</v>
      </c>
      <c r="F327" s="11" t="str">
        <f aca="false">TRIM('수출입 실적(품목별)'!C331)</f>
        <v>단백질계 물질, 변성전분, 글루(glue), 효소</v>
      </c>
      <c r="G327" s="18" t="n">
        <f aca="false">IFERROR(VALUE(SUBSTITUTE(TRIM('수출입 실적(품목별)'!D331),",","")),"")</f>
        <v>6604.6</v>
      </c>
      <c r="H327" s="19" t="n">
        <f aca="false">IFERROR(VALUE(SUBSTITUTE(TRIM('수출입 실적(품목별)'!E331),",","")),"")</f>
        <v>82543</v>
      </c>
      <c r="I327" s="18" t="n">
        <f aca="false">IFERROR(VALUE(SUBSTITUTE(TRIM('수출입 실적(품목별)'!F331),",","")),"")</f>
        <v>17735</v>
      </c>
      <c r="J327" s="19" t="n">
        <f aca="false">IFERROR(VALUE(SUBSTITUTE(TRIM('수출입 실적(품목별)'!G331),",","")),"")</f>
        <v>85302</v>
      </c>
      <c r="K327" s="19" t="n">
        <f aca="false">IFERROR(VALUE(SUBSTITUTE(TRIM('수출입 실적(품목별)'!H331),",","")),"")</f>
        <v>-2758</v>
      </c>
    </row>
    <row r="328" customFormat="false" ht="15" hidden="false" customHeight="true" outlineLevel="0" collapsed="false">
      <c r="A328" s="11" t="str">
        <f aca="false">TRIM('수출입 실적(품목별)'!A332)</f>
        <v>2024.04</v>
      </c>
      <c r="B328" s="17" t="n">
        <f aca="false">IFERROR(VALUE(LEFT($A328,4)),"")</f>
        <v>2024</v>
      </c>
      <c r="C328" s="17" t="n">
        <f aca="false">IFERROR(VALUE(RIGHT($A328,2)),"")</f>
        <v>4</v>
      </c>
      <c r="D328" s="17" t="n">
        <f aca="false">IFERROR(ROUNDUP($C328/3,0),"")</f>
        <v>2</v>
      </c>
      <c r="E328" s="11" t="str">
        <f aca="false">TRIM('수출입 실적(품목별)'!B332)</f>
        <v>36</v>
      </c>
      <c r="F328" s="11" t="str">
        <f aca="false">TRIM('수출입 실적(품목별)'!C332)</f>
        <v>화약류, 화공품, 성냥, 발화성 합금, 특정 가연성 조제품</v>
      </c>
      <c r="G328" s="18" t="n">
        <f aca="false">IFERROR(VALUE(SUBSTITUTE(TRIM('수출입 실적(품목별)'!D332),",","")),"")</f>
        <v>352.6</v>
      </c>
      <c r="H328" s="19" t="n">
        <f aca="false">IFERROR(VALUE(SUBSTITUTE(TRIM('수출입 실적(품목별)'!E332),",","")),"")</f>
        <v>8795</v>
      </c>
      <c r="I328" s="18" t="n">
        <f aca="false">IFERROR(VALUE(SUBSTITUTE(TRIM('수출입 실적(품목별)'!F332),",","")),"")</f>
        <v>341.4</v>
      </c>
      <c r="J328" s="19" t="n">
        <f aca="false">IFERROR(VALUE(SUBSTITUTE(TRIM('수출입 실적(품목별)'!G332),",","")),"")</f>
        <v>7535</v>
      </c>
      <c r="K328" s="19" t="n">
        <f aca="false">IFERROR(VALUE(SUBSTITUTE(TRIM('수출입 실적(품목별)'!H332),",","")),"")</f>
        <v>1260</v>
      </c>
    </row>
    <row r="329" customFormat="false" ht="15" hidden="false" customHeight="true" outlineLevel="0" collapsed="false">
      <c r="A329" s="11" t="str">
        <f aca="false">TRIM('수출입 실적(품목별)'!A333)</f>
        <v>2024.04</v>
      </c>
      <c r="B329" s="17" t="n">
        <f aca="false">IFERROR(VALUE(LEFT($A329,4)),"")</f>
        <v>2024</v>
      </c>
      <c r="C329" s="17" t="n">
        <f aca="false">IFERROR(VALUE(RIGHT($A329,2)),"")</f>
        <v>4</v>
      </c>
      <c r="D329" s="17" t="n">
        <f aca="false">IFERROR(ROUNDUP($C329/3,0),"")</f>
        <v>2</v>
      </c>
      <c r="E329" s="11" t="str">
        <f aca="false">TRIM('수출입 실적(품목별)'!B333)</f>
        <v>37</v>
      </c>
      <c r="F329" s="11" t="str">
        <f aca="false">TRIM('수출입 실적(품목별)'!C333)</f>
        <v>사진용이나 영화용 재료</v>
      </c>
      <c r="G329" s="18" t="n">
        <f aca="false">IFERROR(VALUE(SUBSTITUTE(TRIM('수출입 실적(품목별)'!D333),",","")),"")</f>
        <v>2123.7</v>
      </c>
      <c r="H329" s="19" t="n">
        <f aca="false">IFERROR(VALUE(SUBSTITUTE(TRIM('수출입 실적(품목별)'!E333),",","")),"")</f>
        <v>100970</v>
      </c>
      <c r="I329" s="18" t="n">
        <f aca="false">IFERROR(VALUE(SUBSTITUTE(TRIM('수출입 실적(품목별)'!F333),",","")),"")</f>
        <v>3246.8</v>
      </c>
      <c r="J329" s="19" t="n">
        <f aca="false">IFERROR(VALUE(SUBSTITUTE(TRIM('수출입 실적(품목별)'!G333),",","")),"")</f>
        <v>90042</v>
      </c>
      <c r="K329" s="19" t="n">
        <f aca="false">IFERROR(VALUE(SUBSTITUTE(TRIM('수출입 실적(품목별)'!H333),",","")),"")</f>
        <v>10929</v>
      </c>
    </row>
    <row r="330" customFormat="false" ht="15" hidden="false" customHeight="true" outlineLevel="0" collapsed="false">
      <c r="A330" s="11" t="str">
        <f aca="false">TRIM('수출입 실적(품목별)'!A334)</f>
        <v>2024.04</v>
      </c>
      <c r="B330" s="17" t="n">
        <f aca="false">IFERROR(VALUE(LEFT($A330,4)),"")</f>
        <v>2024</v>
      </c>
      <c r="C330" s="17" t="n">
        <f aca="false">IFERROR(VALUE(RIGHT($A330,2)),"")</f>
        <v>4</v>
      </c>
      <c r="D330" s="17" t="n">
        <f aca="false">IFERROR(ROUNDUP($C330/3,0),"")</f>
        <v>2</v>
      </c>
      <c r="E330" s="11" t="str">
        <f aca="false">TRIM('수출입 실적(품목별)'!B334)</f>
        <v>38</v>
      </c>
      <c r="F330" s="11" t="str">
        <f aca="false">TRIM('수출입 실적(품목별)'!C334)</f>
        <v>각종 화학공업 생산품</v>
      </c>
      <c r="G330" s="18" t="n">
        <f aca="false">IFERROR(VALUE(SUBSTITUTE(TRIM('수출입 실적(품목별)'!D334),",","")),"")</f>
        <v>95413</v>
      </c>
      <c r="H330" s="19" t="n">
        <f aca="false">IFERROR(VALUE(SUBSTITUTE(TRIM('수출입 실적(품목별)'!E334),",","")),"")</f>
        <v>603715</v>
      </c>
      <c r="I330" s="18" t="n">
        <f aca="false">IFERROR(VALUE(SUBSTITUTE(TRIM('수출입 실적(품목별)'!F334),",","")),"")</f>
        <v>297378.5</v>
      </c>
      <c r="J330" s="19" t="n">
        <f aca="false">IFERROR(VALUE(SUBSTITUTE(TRIM('수출입 실적(품목별)'!G334),",","")),"")</f>
        <v>735664</v>
      </c>
      <c r="K330" s="19" t="n">
        <f aca="false">IFERROR(VALUE(SUBSTITUTE(TRIM('수출입 실적(품목별)'!H334),",","")),"")</f>
        <v>-131949</v>
      </c>
    </row>
    <row r="331" customFormat="false" ht="15" hidden="false" customHeight="true" outlineLevel="0" collapsed="false">
      <c r="A331" s="11" t="str">
        <f aca="false">TRIM('수출입 실적(품목별)'!A335)</f>
        <v>2024.04</v>
      </c>
      <c r="B331" s="17" t="n">
        <f aca="false">IFERROR(VALUE(LEFT($A331,4)),"")</f>
        <v>2024</v>
      </c>
      <c r="C331" s="17" t="n">
        <f aca="false">IFERROR(VALUE(RIGHT($A331,2)),"")</f>
        <v>4</v>
      </c>
      <c r="D331" s="17" t="n">
        <f aca="false">IFERROR(ROUNDUP($C331/3,0),"")</f>
        <v>2</v>
      </c>
      <c r="E331" s="11" t="str">
        <f aca="false">TRIM('수출입 실적(품목별)'!B335)</f>
        <v>39</v>
      </c>
      <c r="F331" s="11" t="str">
        <f aca="false">TRIM('수출입 실적(품목별)'!C335)</f>
        <v>플라스틱과 그 제품</v>
      </c>
      <c r="G331" s="18" t="n">
        <f aca="false">IFERROR(VALUE(SUBSTITUTE(TRIM('수출입 실적(품목별)'!D335),",","")),"")</f>
        <v>1573216.2</v>
      </c>
      <c r="H331" s="19" t="n">
        <f aca="false">IFERROR(VALUE(SUBSTITUTE(TRIM('수출입 실적(품목별)'!E335),",","")),"")</f>
        <v>3217969</v>
      </c>
      <c r="I331" s="18" t="n">
        <f aca="false">IFERROR(VALUE(SUBSTITUTE(TRIM('수출입 실적(품목별)'!F335),",","")),"")</f>
        <v>289856.7</v>
      </c>
      <c r="J331" s="19" t="n">
        <f aca="false">IFERROR(VALUE(SUBSTITUTE(TRIM('수출입 실적(품목별)'!G335),",","")),"")</f>
        <v>1167751</v>
      </c>
      <c r="K331" s="19" t="n">
        <f aca="false">IFERROR(VALUE(SUBSTITUTE(TRIM('수출입 실적(품목별)'!H335),",","")),"")</f>
        <v>2050219</v>
      </c>
    </row>
    <row r="332" customFormat="false" ht="15" hidden="false" customHeight="true" outlineLevel="0" collapsed="false">
      <c r="A332" s="11" t="str">
        <f aca="false">TRIM('수출입 실적(품목별)'!A336)</f>
        <v>2024.04</v>
      </c>
      <c r="B332" s="17" t="n">
        <f aca="false">IFERROR(VALUE(LEFT($A332,4)),"")</f>
        <v>2024</v>
      </c>
      <c r="C332" s="17" t="n">
        <f aca="false">IFERROR(VALUE(RIGHT($A332,2)),"")</f>
        <v>4</v>
      </c>
      <c r="D332" s="17" t="n">
        <f aca="false">IFERROR(ROUNDUP($C332/3,0),"")</f>
        <v>2</v>
      </c>
      <c r="E332" s="11" t="str">
        <f aca="false">TRIM('수출입 실적(품목별)'!B336)</f>
        <v>40</v>
      </c>
      <c r="F332" s="11" t="str">
        <f aca="false">TRIM('수출입 실적(품목별)'!C336)</f>
        <v>고무와 그 제품</v>
      </c>
      <c r="G332" s="18" t="n">
        <f aca="false">IFERROR(VALUE(SUBSTITUTE(TRIM('수출입 실적(품목별)'!D336),",","")),"")</f>
        <v>258892.2</v>
      </c>
      <c r="H332" s="19" t="n">
        <f aca="false">IFERROR(VALUE(SUBSTITUTE(TRIM('수출입 실적(품목별)'!E336),",","")),"")</f>
        <v>695054</v>
      </c>
      <c r="I332" s="18" t="n">
        <f aca="false">IFERROR(VALUE(SUBSTITUTE(TRIM('수출입 실적(품목별)'!F336),",","")),"")</f>
        <v>75720.9</v>
      </c>
      <c r="J332" s="19" t="n">
        <f aca="false">IFERROR(VALUE(SUBSTITUTE(TRIM('수출입 실적(품목별)'!G336),",","")),"")</f>
        <v>260616</v>
      </c>
      <c r="K332" s="19" t="n">
        <f aca="false">IFERROR(VALUE(SUBSTITUTE(TRIM('수출입 실적(품목별)'!H336),",","")),"")</f>
        <v>434439</v>
      </c>
    </row>
    <row r="333" customFormat="false" ht="15" hidden="false" customHeight="true" outlineLevel="0" collapsed="false">
      <c r="A333" s="11" t="str">
        <f aca="false">TRIM('수출입 실적(품목별)'!A337)</f>
        <v>2024.04</v>
      </c>
      <c r="B333" s="17" t="n">
        <f aca="false">IFERROR(VALUE(LEFT($A333,4)),"")</f>
        <v>2024</v>
      </c>
      <c r="C333" s="17" t="n">
        <f aca="false">IFERROR(VALUE(RIGHT($A333,2)),"")</f>
        <v>4</v>
      </c>
      <c r="D333" s="17" t="n">
        <f aca="false">IFERROR(ROUNDUP($C333/3,0),"")</f>
        <v>2</v>
      </c>
      <c r="E333" s="11" t="str">
        <f aca="false">TRIM('수출입 실적(품목별)'!B337)</f>
        <v>41</v>
      </c>
      <c r="F333" s="11" t="str">
        <f aca="false">TRIM('수출입 실적(품목별)'!C337)</f>
        <v>원피(모피는 제외한다)와 가죽</v>
      </c>
      <c r="G333" s="18" t="n">
        <f aca="false">IFERROR(VALUE(SUBSTITUTE(TRIM('수출입 실적(품목별)'!D337),",","")),"")</f>
        <v>3153.2</v>
      </c>
      <c r="H333" s="19" t="n">
        <f aca="false">IFERROR(VALUE(SUBSTITUTE(TRIM('수출입 실적(품목별)'!E337),",","")),"")</f>
        <v>31407</v>
      </c>
      <c r="I333" s="18" t="n">
        <f aca="false">IFERROR(VALUE(SUBSTITUTE(TRIM('수출입 실적(품목별)'!F337),",","")),"")</f>
        <v>7333.2</v>
      </c>
      <c r="J333" s="19" t="n">
        <f aca="false">IFERROR(VALUE(SUBSTITUTE(TRIM('수출입 실적(품목별)'!G337),",","")),"")</f>
        <v>21502</v>
      </c>
      <c r="K333" s="19" t="n">
        <f aca="false">IFERROR(VALUE(SUBSTITUTE(TRIM('수출입 실적(품목별)'!H337),",","")),"")</f>
        <v>9905</v>
      </c>
    </row>
    <row r="334" customFormat="false" ht="15" hidden="false" customHeight="true" outlineLevel="0" collapsed="false">
      <c r="A334" s="11" t="str">
        <f aca="false">TRIM('수출입 실적(품목별)'!A338)</f>
        <v>2024.04</v>
      </c>
      <c r="B334" s="17" t="n">
        <f aca="false">IFERROR(VALUE(LEFT($A334,4)),"")</f>
        <v>2024</v>
      </c>
      <c r="C334" s="17" t="n">
        <f aca="false">IFERROR(VALUE(RIGHT($A334,2)),"")</f>
        <v>4</v>
      </c>
      <c r="D334" s="17" t="n">
        <f aca="false">IFERROR(ROUNDUP($C334/3,0),"")</f>
        <v>2</v>
      </c>
      <c r="E334" s="11" t="str">
        <f aca="false">TRIM('수출입 실적(품목별)'!B338)</f>
        <v>42</v>
      </c>
      <c r="F334" s="11" t="str">
        <f aca="false">TRIM('수출입 실적(품목별)'!C338)</f>
        <v>가죽제품, 마구, 여행용구ㆍ핸드백과 이와 유사한 용기, 동물 거트(gut)[누에의 거트(gut)는 제외한다]의 제품</v>
      </c>
      <c r="G334" s="18" t="n">
        <f aca="false">IFERROR(VALUE(SUBSTITUTE(TRIM('수출입 실적(품목별)'!D338),",","")),"")</f>
        <v>734.4</v>
      </c>
      <c r="H334" s="19" t="n">
        <f aca="false">IFERROR(VALUE(SUBSTITUTE(TRIM('수출입 실적(품목별)'!E338),",","")),"")</f>
        <v>30676</v>
      </c>
      <c r="I334" s="18" t="n">
        <f aca="false">IFERROR(VALUE(SUBSTITUTE(TRIM('수출입 실적(품목별)'!F338),",","")),"")</f>
        <v>10694.8</v>
      </c>
      <c r="J334" s="19" t="n">
        <f aca="false">IFERROR(VALUE(SUBSTITUTE(TRIM('수출입 실적(품목별)'!G338),",","")),"")</f>
        <v>365537</v>
      </c>
      <c r="K334" s="19" t="n">
        <f aca="false">IFERROR(VALUE(SUBSTITUTE(TRIM('수출입 실적(품목별)'!H338),",","")),"")</f>
        <v>-334860</v>
      </c>
    </row>
    <row r="335" customFormat="false" ht="15" hidden="false" customHeight="true" outlineLevel="0" collapsed="false">
      <c r="A335" s="11" t="str">
        <f aca="false">TRIM('수출입 실적(품목별)'!A339)</f>
        <v>2024.04</v>
      </c>
      <c r="B335" s="17" t="n">
        <f aca="false">IFERROR(VALUE(LEFT($A335,4)),"")</f>
        <v>2024</v>
      </c>
      <c r="C335" s="17" t="n">
        <f aca="false">IFERROR(VALUE(RIGHT($A335,2)),"")</f>
        <v>4</v>
      </c>
      <c r="D335" s="17" t="n">
        <f aca="false">IFERROR(ROUNDUP($C335/3,0),"")</f>
        <v>2</v>
      </c>
      <c r="E335" s="11" t="str">
        <f aca="false">TRIM('수출입 실적(품목별)'!B339)</f>
        <v>43</v>
      </c>
      <c r="F335" s="11" t="str">
        <f aca="false">TRIM('수출입 실적(품목별)'!C339)</f>
        <v>모피ㆍ인조모피와 이들의 제품</v>
      </c>
      <c r="G335" s="18" t="n">
        <f aca="false">IFERROR(VALUE(SUBSTITUTE(TRIM('수출입 실적(품목별)'!D339),",","")),"")</f>
        <v>2.7</v>
      </c>
      <c r="H335" s="19" t="n">
        <f aca="false">IFERROR(VALUE(SUBSTITUTE(TRIM('수출입 실적(품목별)'!E339),",","")),"")</f>
        <v>519</v>
      </c>
      <c r="I335" s="18" t="n">
        <f aca="false">IFERROR(VALUE(SUBSTITUTE(TRIM('수출입 실적(품목별)'!F339),",","")),"")</f>
        <v>44.1</v>
      </c>
      <c r="J335" s="19" t="n">
        <f aca="false">IFERROR(VALUE(SUBSTITUTE(TRIM('수출입 실적(품목별)'!G339),",","")),"")</f>
        <v>9577</v>
      </c>
      <c r="K335" s="19" t="n">
        <f aca="false">IFERROR(VALUE(SUBSTITUTE(TRIM('수출입 실적(품목별)'!H339),",","")),"")</f>
        <v>-9058</v>
      </c>
    </row>
    <row r="336" customFormat="false" ht="15" hidden="false" customHeight="true" outlineLevel="0" collapsed="false">
      <c r="A336" s="11" t="str">
        <f aca="false">TRIM('수출입 실적(품목별)'!A340)</f>
        <v>2024.04</v>
      </c>
      <c r="B336" s="17" t="n">
        <f aca="false">IFERROR(VALUE(LEFT($A336,4)),"")</f>
        <v>2024</v>
      </c>
      <c r="C336" s="17" t="n">
        <f aca="false">IFERROR(VALUE(RIGHT($A336,2)),"")</f>
        <v>4</v>
      </c>
      <c r="D336" s="17" t="n">
        <f aca="false">IFERROR(ROUNDUP($C336/3,0),"")</f>
        <v>2</v>
      </c>
      <c r="E336" s="11" t="str">
        <f aca="false">TRIM('수출입 실적(품목별)'!B340)</f>
        <v>44</v>
      </c>
      <c r="F336" s="11" t="str">
        <f aca="false">TRIM('수출입 실적(품목별)'!C340)</f>
        <v>목재와 그 제품, 목탄</v>
      </c>
      <c r="G336" s="18" t="n">
        <f aca="false">IFERROR(VALUE(SUBSTITUTE(TRIM('수출입 실적(품목별)'!D340),",","")),"")</f>
        <v>4826.2</v>
      </c>
      <c r="H336" s="19" t="n">
        <f aca="false">IFERROR(VALUE(SUBSTITUTE(TRIM('수출입 실적(품목별)'!E340),",","")),"")</f>
        <v>6850</v>
      </c>
      <c r="I336" s="18" t="n">
        <f aca="false">IFERROR(VALUE(SUBSTITUTE(TRIM('수출입 실적(품목별)'!F340),",","")),"")</f>
        <v>840369.6</v>
      </c>
      <c r="J336" s="19" t="n">
        <f aca="false">IFERROR(VALUE(SUBSTITUTE(TRIM('수출입 실적(품목별)'!G340),",","")),"")</f>
        <v>242966</v>
      </c>
      <c r="K336" s="19" t="n">
        <f aca="false">IFERROR(VALUE(SUBSTITUTE(TRIM('수출입 실적(품목별)'!H340),",","")),"")</f>
        <v>-236116</v>
      </c>
    </row>
    <row r="337" customFormat="false" ht="15" hidden="false" customHeight="true" outlineLevel="0" collapsed="false">
      <c r="A337" s="11" t="str">
        <f aca="false">TRIM('수출입 실적(품목별)'!A341)</f>
        <v>2024.04</v>
      </c>
      <c r="B337" s="17" t="n">
        <f aca="false">IFERROR(VALUE(LEFT($A337,4)),"")</f>
        <v>2024</v>
      </c>
      <c r="C337" s="17" t="n">
        <f aca="false">IFERROR(VALUE(RIGHT($A337,2)),"")</f>
        <v>4</v>
      </c>
      <c r="D337" s="17" t="n">
        <f aca="false">IFERROR(ROUNDUP($C337/3,0),"")</f>
        <v>2</v>
      </c>
      <c r="E337" s="11" t="str">
        <f aca="false">TRIM('수출입 실적(품목별)'!B341)</f>
        <v>45</v>
      </c>
      <c r="F337" s="11" t="str">
        <f aca="false">TRIM('수출입 실적(품목별)'!C341)</f>
        <v>코르크(cork)와 그 제품</v>
      </c>
      <c r="G337" s="18" t="n">
        <f aca="false">IFERROR(VALUE(SUBSTITUTE(TRIM('수출입 실적(품목별)'!D341),",","")),"")</f>
        <v>0.7</v>
      </c>
      <c r="H337" s="19" t="n">
        <f aca="false">IFERROR(VALUE(SUBSTITUTE(TRIM('수출입 실적(품목별)'!E341),",","")),"")</f>
        <v>26</v>
      </c>
      <c r="I337" s="18" t="n">
        <f aca="false">IFERROR(VALUE(SUBSTITUTE(TRIM('수출입 실적(품목별)'!F341),",","")),"")</f>
        <v>42.5</v>
      </c>
      <c r="J337" s="19" t="n">
        <f aca="false">IFERROR(VALUE(SUBSTITUTE(TRIM('수출입 실적(품목별)'!G341),",","")),"")</f>
        <v>354</v>
      </c>
      <c r="K337" s="19" t="n">
        <f aca="false">IFERROR(VALUE(SUBSTITUTE(TRIM('수출입 실적(품목별)'!H341),",","")),"")</f>
        <v>-328</v>
      </c>
    </row>
    <row r="338" customFormat="false" ht="15" hidden="false" customHeight="true" outlineLevel="0" collapsed="false">
      <c r="A338" s="11" t="str">
        <f aca="false">TRIM('수출입 실적(품목별)'!A342)</f>
        <v>2024.04</v>
      </c>
      <c r="B338" s="17" t="n">
        <f aca="false">IFERROR(VALUE(LEFT($A338,4)),"")</f>
        <v>2024</v>
      </c>
      <c r="C338" s="17" t="n">
        <f aca="false">IFERROR(VALUE(RIGHT($A338,2)),"")</f>
        <v>4</v>
      </c>
      <c r="D338" s="17" t="n">
        <f aca="false">IFERROR(ROUNDUP($C338/3,0),"")</f>
        <v>2</v>
      </c>
      <c r="E338" s="11" t="str">
        <f aca="false">TRIM('수출입 실적(품목별)'!B342)</f>
        <v>46</v>
      </c>
      <c r="F338" s="11" t="str">
        <f aca="false">TRIM('수출입 실적(품목별)'!C342)</f>
        <v>짚ㆍ에스파르토(esparto)나 그 밖의 조물 재료의 제품, 바구니 세공물(basketware)과 지조세공물(枝條細工物)</v>
      </c>
      <c r="G338" s="18" t="n">
        <f aca="false">IFERROR(VALUE(SUBSTITUTE(TRIM('수출입 실적(품목별)'!D342),",","")),"")</f>
        <v>4.2</v>
      </c>
      <c r="H338" s="19" t="n">
        <f aca="false">IFERROR(VALUE(SUBSTITUTE(TRIM('수출입 실적(품목별)'!E342),",","")),"")</f>
        <v>370</v>
      </c>
      <c r="I338" s="18" t="n">
        <f aca="false">IFERROR(VALUE(SUBSTITUTE(TRIM('수출입 실적(품목별)'!F342),",","")),"")</f>
        <v>761</v>
      </c>
      <c r="J338" s="19" t="n">
        <f aca="false">IFERROR(VALUE(SUBSTITUTE(TRIM('수출입 실적(품목별)'!G342),",","")),"")</f>
        <v>4297</v>
      </c>
      <c r="K338" s="19" t="n">
        <f aca="false">IFERROR(VALUE(SUBSTITUTE(TRIM('수출입 실적(품목별)'!H342),",","")),"")</f>
        <v>-3927</v>
      </c>
    </row>
    <row r="339" customFormat="false" ht="15" hidden="false" customHeight="true" outlineLevel="0" collapsed="false">
      <c r="A339" s="11" t="str">
        <f aca="false">TRIM('수출입 실적(품목별)'!A343)</f>
        <v>2024.04</v>
      </c>
      <c r="B339" s="17" t="n">
        <f aca="false">IFERROR(VALUE(LEFT($A339,4)),"")</f>
        <v>2024</v>
      </c>
      <c r="C339" s="17" t="n">
        <f aca="false">IFERROR(VALUE(RIGHT($A339,2)),"")</f>
        <v>4</v>
      </c>
      <c r="D339" s="17" t="n">
        <f aca="false">IFERROR(ROUNDUP($C339/3,0),"")</f>
        <v>2</v>
      </c>
      <c r="E339" s="11" t="str">
        <f aca="false">TRIM('수출입 실적(품목별)'!B343)</f>
        <v>47</v>
      </c>
      <c r="F339" s="11" t="str">
        <f aca="false">TRIM('수출입 실적(품목별)'!C343)</f>
        <v>목재나 그 밖의 섬유질 셀룰로오스재료의 펄프, 회수한 종이ㆍ판지[웨이스트(waste)와 스크랩(scrap)]</v>
      </c>
      <c r="G339" s="18" t="n">
        <f aca="false">IFERROR(VALUE(SUBSTITUTE(TRIM('수출입 실적(품목별)'!D343),",","")),"")</f>
        <v>66262.5</v>
      </c>
      <c r="H339" s="19" t="n">
        <f aca="false">IFERROR(VALUE(SUBSTITUTE(TRIM('수출입 실적(품목별)'!E343),",","")),"")</f>
        <v>14896</v>
      </c>
      <c r="I339" s="18" t="n">
        <f aca="false">IFERROR(VALUE(SUBSTITUTE(TRIM('수출입 실적(품목별)'!F343),",","")),"")</f>
        <v>269228.5</v>
      </c>
      <c r="J339" s="19" t="n">
        <f aca="false">IFERROR(VALUE(SUBSTITUTE(TRIM('수출입 실적(품목별)'!G343),",","")),"")</f>
        <v>150547</v>
      </c>
      <c r="K339" s="19" t="n">
        <f aca="false">IFERROR(VALUE(SUBSTITUTE(TRIM('수출입 실적(품목별)'!H343),",","")),"")</f>
        <v>-135651</v>
      </c>
    </row>
    <row r="340" customFormat="false" ht="15" hidden="false" customHeight="true" outlineLevel="0" collapsed="false">
      <c r="A340" s="11" t="str">
        <f aca="false">TRIM('수출입 실적(품목별)'!A344)</f>
        <v>2024.04</v>
      </c>
      <c r="B340" s="17" t="n">
        <f aca="false">IFERROR(VALUE(LEFT($A340,4)),"")</f>
        <v>2024</v>
      </c>
      <c r="C340" s="17" t="n">
        <f aca="false">IFERROR(VALUE(RIGHT($A340,2)),"")</f>
        <v>4</v>
      </c>
      <c r="D340" s="17" t="n">
        <f aca="false">IFERROR(ROUNDUP($C340/3,0),"")</f>
        <v>2</v>
      </c>
      <c r="E340" s="11" t="str">
        <f aca="false">TRIM('수출입 실적(품목별)'!B344)</f>
        <v>48</v>
      </c>
      <c r="F340" s="11" t="str">
        <f aca="false">TRIM('수출입 실적(품목별)'!C344)</f>
        <v>종이와 판지, 제지용 펄프ㆍ종이ㆍ판지의 제품</v>
      </c>
      <c r="G340" s="18" t="n">
        <f aca="false">IFERROR(VALUE(SUBSTITUTE(TRIM('수출입 실적(품목별)'!D344),",","")),"")</f>
        <v>250872.3</v>
      </c>
      <c r="H340" s="19" t="n">
        <f aca="false">IFERROR(VALUE(SUBSTITUTE(TRIM('수출입 실적(품목별)'!E344),",","")),"")</f>
        <v>254150</v>
      </c>
      <c r="I340" s="18" t="n">
        <f aca="false">IFERROR(VALUE(SUBSTITUTE(TRIM('수출입 실적(품목별)'!F344),",","")),"")</f>
        <v>124661.7</v>
      </c>
      <c r="J340" s="19" t="n">
        <f aca="false">IFERROR(VALUE(SUBSTITUTE(TRIM('수출입 실적(품목별)'!G344),",","")),"")</f>
        <v>197361</v>
      </c>
      <c r="K340" s="19" t="n">
        <f aca="false">IFERROR(VALUE(SUBSTITUTE(TRIM('수출입 실적(품목별)'!H344),",","")),"")</f>
        <v>56789</v>
      </c>
    </row>
    <row r="341" customFormat="false" ht="15" hidden="false" customHeight="true" outlineLevel="0" collapsed="false">
      <c r="A341" s="11" t="str">
        <f aca="false">TRIM('수출입 실적(품목별)'!A345)</f>
        <v>2024.04</v>
      </c>
      <c r="B341" s="17" t="n">
        <f aca="false">IFERROR(VALUE(LEFT($A341,4)),"")</f>
        <v>2024</v>
      </c>
      <c r="C341" s="17" t="n">
        <f aca="false">IFERROR(VALUE(RIGHT($A341,2)),"")</f>
        <v>4</v>
      </c>
      <c r="D341" s="17" t="n">
        <f aca="false">IFERROR(ROUNDUP($C341/3,0),"")</f>
        <v>2</v>
      </c>
      <c r="E341" s="11" t="str">
        <f aca="false">TRIM('수출입 실적(품목별)'!B345)</f>
        <v>49</v>
      </c>
      <c r="F341" s="11" t="str">
        <f aca="false">TRIM('수출입 실적(품목별)'!C345)</f>
        <v>인쇄서적ㆍ신문ㆍ회화ㆍ그 밖의 인쇄물, 수제(手製)문서ㆍ타자문서ㆍ도면</v>
      </c>
      <c r="G341" s="18" t="n">
        <f aca="false">IFERROR(VALUE(SUBSTITUTE(TRIM('수출입 실적(품목별)'!D345),",","")),"")</f>
        <v>3231.1</v>
      </c>
      <c r="H341" s="19" t="n">
        <f aca="false">IFERROR(VALUE(SUBSTITUTE(TRIM('수출입 실적(품목별)'!E345),",","")),"")</f>
        <v>32209</v>
      </c>
      <c r="I341" s="18" t="n">
        <f aca="false">IFERROR(VALUE(SUBSTITUTE(TRIM('수출입 실적(품목별)'!F345),",","")),"")</f>
        <v>1555.6</v>
      </c>
      <c r="J341" s="19" t="n">
        <f aca="false">IFERROR(VALUE(SUBSTITUTE(TRIM('수출입 실적(품목별)'!G345),",","")),"")</f>
        <v>25284</v>
      </c>
      <c r="K341" s="19" t="n">
        <f aca="false">IFERROR(VALUE(SUBSTITUTE(TRIM('수출입 실적(품목별)'!H345),",","")),"")</f>
        <v>6925</v>
      </c>
    </row>
    <row r="342" customFormat="false" ht="15" hidden="false" customHeight="true" outlineLevel="0" collapsed="false">
      <c r="A342" s="11" t="str">
        <f aca="false">TRIM('수출입 실적(품목별)'!A346)</f>
        <v>2024.04</v>
      </c>
      <c r="B342" s="17" t="n">
        <f aca="false">IFERROR(VALUE(LEFT($A342,4)),"")</f>
        <v>2024</v>
      </c>
      <c r="C342" s="17" t="n">
        <f aca="false">IFERROR(VALUE(RIGHT($A342,2)),"")</f>
        <v>4</v>
      </c>
      <c r="D342" s="17" t="n">
        <f aca="false">IFERROR(ROUNDUP($C342/3,0),"")</f>
        <v>2</v>
      </c>
      <c r="E342" s="11" t="str">
        <f aca="false">TRIM('수출입 실적(품목별)'!B346)</f>
        <v>50</v>
      </c>
      <c r="F342" s="11" t="str">
        <f aca="false">TRIM('수출입 실적(품목별)'!C346)</f>
        <v>견</v>
      </c>
      <c r="G342" s="18" t="n">
        <f aca="false">IFERROR(VALUE(SUBSTITUTE(TRIM('수출입 실적(품목별)'!D346),",","")),"")</f>
        <v>16.7</v>
      </c>
      <c r="H342" s="19" t="n">
        <f aca="false">IFERROR(VALUE(SUBSTITUTE(TRIM('수출입 실적(품목별)'!E346),",","")),"")</f>
        <v>1939</v>
      </c>
      <c r="I342" s="18" t="n">
        <f aca="false">IFERROR(VALUE(SUBSTITUTE(TRIM('수출입 실적(품목별)'!F346),",","")),"")</f>
        <v>41.4</v>
      </c>
      <c r="J342" s="19" t="n">
        <f aca="false">IFERROR(VALUE(SUBSTITUTE(TRIM('수출입 실적(품목별)'!G346),",","")),"")</f>
        <v>2797</v>
      </c>
      <c r="K342" s="19" t="n">
        <f aca="false">IFERROR(VALUE(SUBSTITUTE(TRIM('수출입 실적(품목별)'!H346),",","")),"")</f>
        <v>-858</v>
      </c>
    </row>
    <row r="343" customFormat="false" ht="15" hidden="false" customHeight="true" outlineLevel="0" collapsed="false">
      <c r="A343" s="11" t="str">
        <f aca="false">TRIM('수출입 실적(품목별)'!A347)</f>
        <v>2024.04</v>
      </c>
      <c r="B343" s="17" t="n">
        <f aca="false">IFERROR(VALUE(LEFT($A343,4)),"")</f>
        <v>2024</v>
      </c>
      <c r="C343" s="17" t="n">
        <f aca="false">IFERROR(VALUE(RIGHT($A343,2)),"")</f>
        <v>4</v>
      </c>
      <c r="D343" s="17" t="n">
        <f aca="false">IFERROR(ROUNDUP($C343/3,0),"")</f>
        <v>2</v>
      </c>
      <c r="E343" s="11" t="str">
        <f aca="false">TRIM('수출입 실적(품목별)'!B347)</f>
        <v>51</v>
      </c>
      <c r="F343" s="11" t="str">
        <f aca="false">TRIM('수출입 실적(품목별)'!C347)</f>
        <v>양모ㆍ동물의 부드러운 털이나 거친 털ㆍ말의 털로 만든 실과 직물</v>
      </c>
      <c r="G343" s="18" t="n">
        <f aca="false">IFERROR(VALUE(SUBSTITUTE(TRIM('수출입 실적(품목별)'!D347),",","")),"")</f>
        <v>338.3</v>
      </c>
      <c r="H343" s="19" t="n">
        <f aca="false">IFERROR(VALUE(SUBSTITUTE(TRIM('수출입 실적(품목별)'!E347),",","")),"")</f>
        <v>8422</v>
      </c>
      <c r="I343" s="18" t="n">
        <f aca="false">IFERROR(VALUE(SUBSTITUTE(TRIM('수출입 실적(품목별)'!F347),",","")),"")</f>
        <v>1132.9</v>
      </c>
      <c r="J343" s="19" t="n">
        <f aca="false">IFERROR(VALUE(SUBSTITUTE(TRIM('수출입 실적(품목별)'!G347),",","")),"")</f>
        <v>23613</v>
      </c>
      <c r="K343" s="19" t="n">
        <f aca="false">IFERROR(VALUE(SUBSTITUTE(TRIM('수출입 실적(품목별)'!H347),",","")),"")</f>
        <v>-15191</v>
      </c>
    </row>
    <row r="344" customFormat="false" ht="15" hidden="false" customHeight="true" outlineLevel="0" collapsed="false">
      <c r="A344" s="11" t="str">
        <f aca="false">TRIM('수출입 실적(품목별)'!A348)</f>
        <v>2024.04</v>
      </c>
      <c r="B344" s="17" t="n">
        <f aca="false">IFERROR(VALUE(LEFT($A344,4)),"")</f>
        <v>2024</v>
      </c>
      <c r="C344" s="17" t="n">
        <f aca="false">IFERROR(VALUE(RIGHT($A344,2)),"")</f>
        <v>4</v>
      </c>
      <c r="D344" s="17" t="n">
        <f aca="false">IFERROR(ROUNDUP($C344/3,0),"")</f>
        <v>2</v>
      </c>
      <c r="E344" s="11" t="str">
        <f aca="false">TRIM('수출입 실적(품목별)'!B348)</f>
        <v>52</v>
      </c>
      <c r="F344" s="11" t="str">
        <f aca="false">TRIM('수출입 실적(품목별)'!C348)</f>
        <v>면</v>
      </c>
      <c r="G344" s="18" t="n">
        <f aca="false">IFERROR(VALUE(SUBSTITUTE(TRIM('수출입 실적(품목별)'!D348),",","")),"")</f>
        <v>2943.7</v>
      </c>
      <c r="H344" s="19" t="n">
        <f aca="false">IFERROR(VALUE(SUBSTITUTE(TRIM('수출입 실적(품목별)'!E348),",","")),"")</f>
        <v>26190</v>
      </c>
      <c r="I344" s="18" t="n">
        <f aca="false">IFERROR(VALUE(SUBSTITUTE(TRIM('수출입 실적(품목별)'!F348),",","")),"")</f>
        <v>21861.7</v>
      </c>
      <c r="J344" s="19" t="n">
        <f aca="false">IFERROR(VALUE(SUBSTITUTE(TRIM('수출입 실적(품목별)'!G348),",","")),"")</f>
        <v>77081</v>
      </c>
      <c r="K344" s="19" t="n">
        <f aca="false">IFERROR(VALUE(SUBSTITUTE(TRIM('수출입 실적(품목별)'!H348),",","")),"")</f>
        <v>-50891</v>
      </c>
    </row>
    <row r="345" customFormat="false" ht="15" hidden="false" customHeight="true" outlineLevel="0" collapsed="false">
      <c r="A345" s="11" t="str">
        <f aca="false">TRIM('수출입 실적(품목별)'!A349)</f>
        <v>2024.04</v>
      </c>
      <c r="B345" s="17" t="n">
        <f aca="false">IFERROR(VALUE(LEFT($A345,4)),"")</f>
        <v>2024</v>
      </c>
      <c r="C345" s="17" t="n">
        <f aca="false">IFERROR(VALUE(RIGHT($A345,2)),"")</f>
        <v>4</v>
      </c>
      <c r="D345" s="17" t="n">
        <f aca="false">IFERROR(ROUNDUP($C345/3,0),"")</f>
        <v>2</v>
      </c>
      <c r="E345" s="11" t="str">
        <f aca="false">TRIM('수출입 실적(품목별)'!B349)</f>
        <v>53</v>
      </c>
      <c r="F345" s="11" t="str">
        <f aca="false">TRIM('수출입 실적(품목별)'!C349)</f>
        <v>그 밖의 식물성 방직용 섬유, 종이실(paper yarn)과 종이실로 만든 직물</v>
      </c>
      <c r="G345" s="18" t="n">
        <f aca="false">IFERROR(VALUE(SUBSTITUTE(TRIM('수출입 실적(품목별)'!D349),",","")),"")</f>
        <v>53.9</v>
      </c>
      <c r="H345" s="19" t="n">
        <f aca="false">IFERROR(VALUE(SUBSTITUTE(TRIM('수출입 실적(품목별)'!E349),",","")),"")</f>
        <v>348</v>
      </c>
      <c r="I345" s="18" t="n">
        <f aca="false">IFERROR(VALUE(SUBSTITUTE(TRIM('수출입 실적(품목별)'!F349),",","")),"")</f>
        <v>1061.6</v>
      </c>
      <c r="J345" s="19" t="n">
        <f aca="false">IFERROR(VALUE(SUBSTITUTE(TRIM('수출입 실적(품목별)'!G349),",","")),"")</f>
        <v>4042</v>
      </c>
      <c r="K345" s="19" t="n">
        <f aca="false">IFERROR(VALUE(SUBSTITUTE(TRIM('수출입 실적(품목별)'!H349),",","")),"")</f>
        <v>-3693</v>
      </c>
    </row>
    <row r="346" customFormat="false" ht="15" hidden="false" customHeight="true" outlineLevel="0" collapsed="false">
      <c r="A346" s="11" t="str">
        <f aca="false">TRIM('수출입 실적(품목별)'!A350)</f>
        <v>2024.04</v>
      </c>
      <c r="B346" s="17" t="n">
        <f aca="false">IFERROR(VALUE(LEFT($A346,4)),"")</f>
        <v>2024</v>
      </c>
      <c r="C346" s="17" t="n">
        <f aca="false">IFERROR(VALUE(RIGHT($A346,2)),"")</f>
        <v>4</v>
      </c>
      <c r="D346" s="17" t="n">
        <f aca="false">IFERROR(ROUNDUP($C346/3,0),"")</f>
        <v>2</v>
      </c>
      <c r="E346" s="11" t="str">
        <f aca="false">TRIM('수출입 실적(품목별)'!B350)</f>
        <v>54</v>
      </c>
      <c r="F346" s="11" t="str">
        <f aca="false">TRIM('수출입 실적(품목별)'!C350)</f>
        <v>인조필라멘트, 인조방직용 섬유재료의 스트립(strip)과 이와 유사한 것</v>
      </c>
      <c r="G346" s="18" t="n">
        <f aca="false">IFERROR(VALUE(SUBSTITUTE(TRIM('수출입 실적(품목별)'!D350),",","")),"")</f>
        <v>28563</v>
      </c>
      <c r="H346" s="19" t="n">
        <f aca="false">IFERROR(VALUE(SUBSTITUTE(TRIM('수출입 실적(품목별)'!E350),",","")),"")</f>
        <v>181979</v>
      </c>
      <c r="I346" s="18" t="n">
        <f aca="false">IFERROR(VALUE(SUBSTITUTE(TRIM('수출입 실적(품목별)'!F350),",","")),"")</f>
        <v>43698</v>
      </c>
      <c r="J346" s="19" t="n">
        <f aca="false">IFERROR(VALUE(SUBSTITUTE(TRIM('수출입 실적(품목별)'!G350),",","")),"")</f>
        <v>98368</v>
      </c>
      <c r="K346" s="19" t="n">
        <f aca="false">IFERROR(VALUE(SUBSTITUTE(TRIM('수출입 실적(품목별)'!H350),",","")),"")</f>
        <v>83611</v>
      </c>
    </row>
    <row r="347" customFormat="false" ht="15" hidden="false" customHeight="true" outlineLevel="0" collapsed="false">
      <c r="A347" s="11" t="str">
        <f aca="false">TRIM('수출입 실적(품목별)'!A351)</f>
        <v>2024.04</v>
      </c>
      <c r="B347" s="17" t="n">
        <f aca="false">IFERROR(VALUE(LEFT($A347,4)),"")</f>
        <v>2024</v>
      </c>
      <c r="C347" s="17" t="n">
        <f aca="false">IFERROR(VALUE(RIGHT($A347,2)),"")</f>
        <v>4</v>
      </c>
      <c r="D347" s="17" t="n">
        <f aca="false">IFERROR(ROUNDUP($C347/3,0),"")</f>
        <v>2</v>
      </c>
      <c r="E347" s="11" t="str">
        <f aca="false">TRIM('수출입 실적(품목별)'!B351)</f>
        <v>55</v>
      </c>
      <c r="F347" s="11" t="str">
        <f aca="false">TRIM('수출입 실적(품목별)'!C351)</f>
        <v>인조스테이플섬유</v>
      </c>
      <c r="G347" s="18" t="n">
        <f aca="false">IFERROR(VALUE(SUBSTITUTE(TRIM('수출입 실적(품목별)'!D351),",","")),"")</f>
        <v>65349.1</v>
      </c>
      <c r="H347" s="19" t="n">
        <f aca="false">IFERROR(VALUE(SUBSTITUTE(TRIM('수출입 실적(품목별)'!E351),",","")),"")</f>
        <v>114507</v>
      </c>
      <c r="I347" s="18" t="n">
        <f aca="false">IFERROR(VALUE(SUBSTITUTE(TRIM('수출입 실적(품목별)'!F351),",","")),"")</f>
        <v>14032.2</v>
      </c>
      <c r="J347" s="19" t="n">
        <f aca="false">IFERROR(VALUE(SUBSTITUTE(TRIM('수출입 실적(품목별)'!G351),",","")),"")</f>
        <v>53465</v>
      </c>
      <c r="K347" s="19" t="n">
        <f aca="false">IFERROR(VALUE(SUBSTITUTE(TRIM('수출입 실적(품목별)'!H351),",","")),"")</f>
        <v>61042</v>
      </c>
    </row>
    <row r="348" customFormat="false" ht="15" hidden="false" customHeight="true" outlineLevel="0" collapsed="false">
      <c r="A348" s="11" t="str">
        <f aca="false">TRIM('수출입 실적(품목별)'!A352)</f>
        <v>2024.04</v>
      </c>
      <c r="B348" s="17" t="n">
        <f aca="false">IFERROR(VALUE(LEFT($A348,4)),"")</f>
        <v>2024</v>
      </c>
      <c r="C348" s="17" t="n">
        <f aca="false">IFERROR(VALUE(RIGHT($A348,2)),"")</f>
        <v>4</v>
      </c>
      <c r="D348" s="17" t="n">
        <f aca="false">IFERROR(ROUNDUP($C348/3,0),"")</f>
        <v>2</v>
      </c>
      <c r="E348" s="11" t="str">
        <f aca="false">TRIM('수출입 실적(품목별)'!B352)</f>
        <v>56</v>
      </c>
      <c r="F348" s="11" t="str">
        <f aca="false">TRIM('수출입 실적(품목별)'!C352)</f>
        <v>워딩(wadding)ㆍ펠트(felt)ㆍ부직포, 특수사, 끈ㆍ배의 밧줄(cordage)ㆍ로프ㆍ케이블과 이들의 제품</v>
      </c>
      <c r="G348" s="18" t="n">
        <f aca="false">IFERROR(VALUE(SUBSTITUTE(TRIM('수출입 실적(품목별)'!D352),",","")),"")</f>
        <v>10230.2</v>
      </c>
      <c r="H348" s="19" t="n">
        <f aca="false">IFERROR(VALUE(SUBSTITUTE(TRIM('수출입 실적(품목별)'!E352),",","")),"")</f>
        <v>64786</v>
      </c>
      <c r="I348" s="18" t="n">
        <f aca="false">IFERROR(VALUE(SUBSTITUTE(TRIM('수출입 실적(품목별)'!F352),",","")),"")</f>
        <v>20371.7</v>
      </c>
      <c r="J348" s="19" t="n">
        <f aca="false">IFERROR(VALUE(SUBSTITUTE(TRIM('수출입 실적(품목별)'!G352),",","")),"")</f>
        <v>59908</v>
      </c>
      <c r="K348" s="19" t="n">
        <f aca="false">IFERROR(VALUE(SUBSTITUTE(TRIM('수출입 실적(품목별)'!H352),",","")),"")</f>
        <v>4878</v>
      </c>
    </row>
    <row r="349" customFormat="false" ht="15" hidden="false" customHeight="true" outlineLevel="0" collapsed="false">
      <c r="A349" s="11" t="str">
        <f aca="false">TRIM('수출입 실적(품목별)'!A353)</f>
        <v>2024.04</v>
      </c>
      <c r="B349" s="17" t="n">
        <f aca="false">IFERROR(VALUE(LEFT($A349,4)),"")</f>
        <v>2024</v>
      </c>
      <c r="C349" s="17" t="n">
        <f aca="false">IFERROR(VALUE(RIGHT($A349,2)),"")</f>
        <v>4</v>
      </c>
      <c r="D349" s="17" t="n">
        <f aca="false">IFERROR(ROUNDUP($C349/3,0),"")</f>
        <v>2</v>
      </c>
      <c r="E349" s="11" t="str">
        <f aca="false">TRIM('수출입 실적(품목별)'!B353)</f>
        <v>57</v>
      </c>
      <c r="F349" s="11" t="str">
        <f aca="false">TRIM('수출입 실적(품목별)'!C353)</f>
        <v>양탄자류와 그 밖의 방직용 섬유로 만든 바닥깔개</v>
      </c>
      <c r="G349" s="18" t="n">
        <f aca="false">IFERROR(VALUE(SUBSTITUTE(TRIM('수출입 실적(품목별)'!D353),",","")),"")</f>
        <v>744.9</v>
      </c>
      <c r="H349" s="19" t="n">
        <f aca="false">IFERROR(VALUE(SUBSTITUTE(TRIM('수출입 실적(품목별)'!E353),",","")),"")</f>
        <v>8598</v>
      </c>
      <c r="I349" s="18" t="n">
        <f aca="false">IFERROR(VALUE(SUBSTITUTE(TRIM('수출입 실적(품목별)'!F353),",","")),"")</f>
        <v>7081.5</v>
      </c>
      <c r="J349" s="19" t="n">
        <f aca="false">IFERROR(VALUE(SUBSTITUTE(TRIM('수출입 실적(품목별)'!G353),",","")),"")</f>
        <v>11582</v>
      </c>
      <c r="K349" s="19" t="n">
        <f aca="false">IFERROR(VALUE(SUBSTITUTE(TRIM('수출입 실적(품목별)'!H353),",","")),"")</f>
        <v>-2984</v>
      </c>
    </row>
    <row r="350" customFormat="false" ht="15" hidden="false" customHeight="true" outlineLevel="0" collapsed="false">
      <c r="A350" s="11" t="str">
        <f aca="false">TRIM('수출입 실적(품목별)'!A354)</f>
        <v>2024.04</v>
      </c>
      <c r="B350" s="17" t="n">
        <f aca="false">IFERROR(VALUE(LEFT($A350,4)),"")</f>
        <v>2024</v>
      </c>
      <c r="C350" s="17" t="n">
        <f aca="false">IFERROR(VALUE(RIGHT($A350,2)),"")</f>
        <v>4</v>
      </c>
      <c r="D350" s="17" t="n">
        <f aca="false">IFERROR(ROUNDUP($C350/3,0),"")</f>
        <v>2</v>
      </c>
      <c r="E350" s="11" t="str">
        <f aca="false">TRIM('수출입 실적(품목별)'!B354)</f>
        <v>58</v>
      </c>
      <c r="F350" s="11" t="str">
        <f aca="false">TRIM('수출입 실적(품목별)'!C354)</f>
        <v>특수직물, 터프트(tuft)한 직물, 레이스, 태피스트리(tapestry), 트리밍(trimming), 자수천</v>
      </c>
      <c r="G350" s="18" t="n">
        <f aca="false">IFERROR(VALUE(SUBSTITUTE(TRIM('수출입 실적(품목별)'!D354),",","")),"")</f>
        <v>1388.3</v>
      </c>
      <c r="H350" s="19" t="n">
        <f aca="false">IFERROR(VALUE(SUBSTITUTE(TRIM('수출입 실적(품목별)'!E354),",","")),"")</f>
        <v>17593</v>
      </c>
      <c r="I350" s="18" t="n">
        <f aca="false">IFERROR(VALUE(SUBSTITUTE(TRIM('수출입 실적(품목별)'!F354),",","")),"")</f>
        <v>878</v>
      </c>
      <c r="J350" s="19" t="n">
        <f aca="false">IFERROR(VALUE(SUBSTITUTE(TRIM('수출입 실적(품목별)'!G354),",","")),"")</f>
        <v>7578</v>
      </c>
      <c r="K350" s="19" t="n">
        <f aca="false">IFERROR(VALUE(SUBSTITUTE(TRIM('수출입 실적(품목별)'!H354),",","")),"")</f>
        <v>10015</v>
      </c>
    </row>
    <row r="351" customFormat="false" ht="15" hidden="false" customHeight="true" outlineLevel="0" collapsed="false">
      <c r="A351" s="11" t="str">
        <f aca="false">TRIM('수출입 실적(품목별)'!A355)</f>
        <v>2024.04</v>
      </c>
      <c r="B351" s="17" t="n">
        <f aca="false">IFERROR(VALUE(LEFT($A351,4)),"")</f>
        <v>2024</v>
      </c>
      <c r="C351" s="17" t="n">
        <f aca="false">IFERROR(VALUE(RIGHT($A351,2)),"")</f>
        <v>4</v>
      </c>
      <c r="D351" s="17" t="n">
        <f aca="false">IFERROR(ROUNDUP($C351/3,0),"")</f>
        <v>2</v>
      </c>
      <c r="E351" s="11" t="str">
        <f aca="false">TRIM('수출입 실적(품목별)'!B355)</f>
        <v>59</v>
      </c>
      <c r="F351" s="11" t="str">
        <f aca="false">TRIM('수출입 실적(품목별)'!C355)</f>
        <v>침투ㆍ도포ㆍ피복하거나 적층한 방직용 섬유의 직물, 공업용인 방직용 섬유제품</v>
      </c>
      <c r="G351" s="18" t="n">
        <f aca="false">IFERROR(VALUE(SUBSTITUTE(TRIM('수출입 실적(품목별)'!D355),",","")),"")</f>
        <v>10123.4</v>
      </c>
      <c r="H351" s="19" t="n">
        <f aca="false">IFERROR(VALUE(SUBSTITUTE(TRIM('수출입 실적(품목별)'!E355),",","")),"")</f>
        <v>106157</v>
      </c>
      <c r="I351" s="18" t="n">
        <f aca="false">IFERROR(VALUE(SUBSTITUTE(TRIM('수출입 실적(품목별)'!F355),",","")),"")</f>
        <v>6552.5</v>
      </c>
      <c r="J351" s="19" t="n">
        <f aca="false">IFERROR(VALUE(SUBSTITUTE(TRIM('수출입 실적(품목별)'!G355),",","")),"")</f>
        <v>41573</v>
      </c>
      <c r="K351" s="19" t="n">
        <f aca="false">IFERROR(VALUE(SUBSTITUTE(TRIM('수출입 실적(품목별)'!H355),",","")),"")</f>
        <v>64584</v>
      </c>
    </row>
    <row r="352" customFormat="false" ht="15" hidden="false" customHeight="true" outlineLevel="0" collapsed="false">
      <c r="A352" s="11" t="str">
        <f aca="false">TRIM('수출입 실적(품목별)'!A356)</f>
        <v>2024.04</v>
      </c>
      <c r="B352" s="17" t="n">
        <f aca="false">IFERROR(VALUE(LEFT($A352,4)),"")</f>
        <v>2024</v>
      </c>
      <c r="C352" s="17" t="n">
        <f aca="false">IFERROR(VALUE(RIGHT($A352,2)),"")</f>
        <v>4</v>
      </c>
      <c r="D352" s="17" t="n">
        <f aca="false">IFERROR(ROUNDUP($C352/3,0),"")</f>
        <v>2</v>
      </c>
      <c r="E352" s="11" t="str">
        <f aca="false">TRIM('수출입 실적(품목별)'!B356)</f>
        <v>60</v>
      </c>
      <c r="F352" s="11" t="str">
        <f aca="false">TRIM('수출입 실적(품목별)'!C356)</f>
        <v>메리야스 편물과 뜨개질 편물</v>
      </c>
      <c r="G352" s="18" t="n">
        <f aca="false">IFERROR(VALUE(SUBSTITUTE(TRIM('수출입 실적(품목별)'!D356),",","")),"")</f>
        <v>20408.3</v>
      </c>
      <c r="H352" s="19" t="n">
        <f aca="false">IFERROR(VALUE(SUBSTITUTE(TRIM('수출입 실적(품목별)'!E356),",","")),"")</f>
        <v>161015</v>
      </c>
      <c r="I352" s="18" t="n">
        <f aca="false">IFERROR(VALUE(SUBSTITUTE(TRIM('수출입 실적(품목별)'!F356),",","")),"")</f>
        <v>1883.2</v>
      </c>
      <c r="J352" s="19" t="n">
        <f aca="false">IFERROR(VALUE(SUBSTITUTE(TRIM('수출입 실적(품목별)'!G356),",","")),"")</f>
        <v>10299</v>
      </c>
      <c r="K352" s="19" t="n">
        <f aca="false">IFERROR(VALUE(SUBSTITUTE(TRIM('수출입 실적(품목별)'!H356),",","")),"")</f>
        <v>150716</v>
      </c>
    </row>
    <row r="353" customFormat="false" ht="15" hidden="false" customHeight="true" outlineLevel="0" collapsed="false">
      <c r="A353" s="11" t="str">
        <f aca="false">TRIM('수출입 실적(품목별)'!A357)</f>
        <v>2024.04</v>
      </c>
      <c r="B353" s="17" t="n">
        <f aca="false">IFERROR(VALUE(LEFT($A353,4)),"")</f>
        <v>2024</v>
      </c>
      <c r="C353" s="17" t="n">
        <f aca="false">IFERROR(VALUE(RIGHT($A353,2)),"")</f>
        <v>4</v>
      </c>
      <c r="D353" s="17" t="n">
        <f aca="false">IFERROR(ROUNDUP($C353/3,0),"")</f>
        <v>2</v>
      </c>
      <c r="E353" s="11" t="str">
        <f aca="false">TRIM('수출입 실적(품목별)'!B357)</f>
        <v>61</v>
      </c>
      <c r="F353" s="11" t="str">
        <f aca="false">TRIM('수출입 실적(품목별)'!C357)</f>
        <v>의류와 그 부속품(메리야스 편물이나 뜨개질 편물로 한정한다)</v>
      </c>
      <c r="G353" s="18" t="n">
        <f aca="false">IFERROR(VALUE(SUBSTITUTE(TRIM('수출입 실적(품목별)'!D357),",","")),"")</f>
        <v>2603.7</v>
      </c>
      <c r="H353" s="19" t="n">
        <f aca="false">IFERROR(VALUE(SUBSTITUTE(TRIM('수출입 실적(품목별)'!E357),",","")),"")</f>
        <v>66615</v>
      </c>
      <c r="I353" s="18" t="n">
        <f aca="false">IFERROR(VALUE(SUBSTITUTE(TRIM('수출입 실적(품목별)'!F357),",","")),"")</f>
        <v>21526.1</v>
      </c>
      <c r="J353" s="19" t="n">
        <f aca="false">IFERROR(VALUE(SUBSTITUTE(TRIM('수출입 실적(품목별)'!G357),",","")),"")</f>
        <v>421616</v>
      </c>
      <c r="K353" s="19" t="n">
        <f aca="false">IFERROR(VALUE(SUBSTITUTE(TRIM('수출입 실적(품목별)'!H357),",","")),"")</f>
        <v>-355001</v>
      </c>
    </row>
    <row r="354" customFormat="false" ht="15" hidden="false" customHeight="true" outlineLevel="0" collapsed="false">
      <c r="A354" s="11" t="str">
        <f aca="false">TRIM('수출입 실적(품목별)'!A358)</f>
        <v>2024.04</v>
      </c>
      <c r="B354" s="17" t="n">
        <f aca="false">IFERROR(VALUE(LEFT($A354,4)),"")</f>
        <v>2024</v>
      </c>
      <c r="C354" s="17" t="n">
        <f aca="false">IFERROR(VALUE(RIGHT($A354,2)),"")</f>
        <v>4</v>
      </c>
      <c r="D354" s="17" t="n">
        <f aca="false">IFERROR(ROUNDUP($C354/3,0),"")</f>
        <v>2</v>
      </c>
      <c r="E354" s="11" t="str">
        <f aca="false">TRIM('수출입 실적(품목별)'!B358)</f>
        <v>62</v>
      </c>
      <c r="F354" s="11" t="str">
        <f aca="false">TRIM('수출입 실적(품목별)'!C358)</f>
        <v>의류와 그 부속품(메리야스 편물이나 뜨개질편물은 제외한다)</v>
      </c>
      <c r="G354" s="18" t="n">
        <f aca="false">IFERROR(VALUE(SUBSTITUTE(TRIM('수출입 실적(품목별)'!D358),",","")),"")</f>
        <v>2998.8</v>
      </c>
      <c r="H354" s="19" t="n">
        <f aca="false">IFERROR(VALUE(SUBSTITUTE(TRIM('수출입 실적(품목별)'!E358),",","")),"")</f>
        <v>81874</v>
      </c>
      <c r="I354" s="18" t="n">
        <f aca="false">IFERROR(VALUE(SUBSTITUTE(TRIM('수출입 실적(품목별)'!F358),",","")),"")</f>
        <v>21635.9</v>
      </c>
      <c r="J354" s="19" t="n">
        <f aca="false">IFERROR(VALUE(SUBSTITUTE(TRIM('수출입 실적(품목별)'!G358),",","")),"")</f>
        <v>567696</v>
      </c>
      <c r="K354" s="19" t="n">
        <f aca="false">IFERROR(VALUE(SUBSTITUTE(TRIM('수출입 실적(품목별)'!H358),",","")),"")</f>
        <v>-485822</v>
      </c>
    </row>
    <row r="355" customFormat="false" ht="15" hidden="false" customHeight="true" outlineLevel="0" collapsed="false">
      <c r="A355" s="11" t="str">
        <f aca="false">TRIM('수출입 실적(품목별)'!A359)</f>
        <v>2024.04</v>
      </c>
      <c r="B355" s="17" t="n">
        <f aca="false">IFERROR(VALUE(LEFT($A355,4)),"")</f>
        <v>2024</v>
      </c>
      <c r="C355" s="17" t="n">
        <f aca="false">IFERROR(VALUE(RIGHT($A355,2)),"")</f>
        <v>4</v>
      </c>
      <c r="D355" s="17" t="n">
        <f aca="false">IFERROR(ROUNDUP($C355/3,0),"")</f>
        <v>2</v>
      </c>
      <c r="E355" s="11" t="str">
        <f aca="false">TRIM('수출입 실적(품목별)'!B359)</f>
        <v>63</v>
      </c>
      <c r="F355" s="11" t="str">
        <f aca="false">TRIM('수출입 실적(품목별)'!C359)</f>
        <v>제품으로 된 방직용 섬유의 그 밖의 물품, 세트, 사용하던 의류ㆍ방직용 섬유제품, 넝마</v>
      </c>
      <c r="G355" s="18" t="n">
        <f aca="false">IFERROR(VALUE(SUBSTITUTE(TRIM('수출입 실적(품목별)'!D359),",","")),"")</f>
        <v>31906.2</v>
      </c>
      <c r="H355" s="19" t="n">
        <f aca="false">IFERROR(VALUE(SUBSTITUTE(TRIM('수출입 실적(품목별)'!E359),",","")),"")</f>
        <v>60091</v>
      </c>
      <c r="I355" s="18" t="n">
        <f aca="false">IFERROR(VALUE(SUBSTITUTE(TRIM('수출입 실적(품목별)'!F359),",","")),"")</f>
        <v>27309.2</v>
      </c>
      <c r="J355" s="19" t="n">
        <f aca="false">IFERROR(VALUE(SUBSTITUTE(TRIM('수출입 실적(품목별)'!G359),",","")),"")</f>
        <v>117160</v>
      </c>
      <c r="K355" s="19" t="n">
        <f aca="false">IFERROR(VALUE(SUBSTITUTE(TRIM('수출입 실적(품목별)'!H359),",","")),"")</f>
        <v>-57069</v>
      </c>
    </row>
    <row r="356" customFormat="false" ht="15" hidden="false" customHeight="true" outlineLevel="0" collapsed="false">
      <c r="A356" s="11" t="str">
        <f aca="false">TRIM('수출입 실적(품목별)'!A360)</f>
        <v>2024.04</v>
      </c>
      <c r="B356" s="17" t="n">
        <f aca="false">IFERROR(VALUE(LEFT($A356,4)),"")</f>
        <v>2024</v>
      </c>
      <c r="C356" s="17" t="n">
        <f aca="false">IFERROR(VALUE(RIGHT($A356,2)),"")</f>
        <v>4</v>
      </c>
      <c r="D356" s="17" t="n">
        <f aca="false">IFERROR(ROUNDUP($C356/3,0),"")</f>
        <v>2</v>
      </c>
      <c r="E356" s="11" t="str">
        <f aca="false">TRIM('수출입 실적(품목별)'!B360)</f>
        <v>64</v>
      </c>
      <c r="F356" s="11" t="str">
        <f aca="false">TRIM('수출입 실적(품목별)'!C360)</f>
        <v>신발류ㆍ각반과 이와 유사한 것, 이들의 부분품</v>
      </c>
      <c r="G356" s="18" t="n">
        <f aca="false">IFERROR(VALUE(SUBSTITUTE(TRIM('수출입 실적(품목별)'!D360),",","")),"")</f>
        <v>1299.1</v>
      </c>
      <c r="H356" s="19" t="n">
        <f aca="false">IFERROR(VALUE(SUBSTITUTE(TRIM('수출입 실적(품목별)'!E360),",","")),"")</f>
        <v>27921</v>
      </c>
      <c r="I356" s="18" t="n">
        <f aca="false">IFERROR(VALUE(SUBSTITUTE(TRIM('수출입 실적(품목별)'!F360),",","")),"")</f>
        <v>12146.2</v>
      </c>
      <c r="J356" s="19" t="n">
        <f aca="false">IFERROR(VALUE(SUBSTITUTE(TRIM('수출입 실적(품목별)'!G360),",","")),"")</f>
        <v>275918</v>
      </c>
      <c r="K356" s="19" t="n">
        <f aca="false">IFERROR(VALUE(SUBSTITUTE(TRIM('수출입 실적(품목별)'!H360),",","")),"")</f>
        <v>-247997</v>
      </c>
    </row>
    <row r="357" customFormat="false" ht="15" hidden="false" customHeight="true" outlineLevel="0" collapsed="false">
      <c r="A357" s="11" t="str">
        <f aca="false">TRIM('수출입 실적(품목별)'!A361)</f>
        <v>2024.04</v>
      </c>
      <c r="B357" s="17" t="n">
        <f aca="false">IFERROR(VALUE(LEFT($A357,4)),"")</f>
        <v>2024</v>
      </c>
      <c r="C357" s="17" t="n">
        <f aca="false">IFERROR(VALUE(RIGHT($A357,2)),"")</f>
        <v>4</v>
      </c>
      <c r="D357" s="17" t="n">
        <f aca="false">IFERROR(ROUNDUP($C357/3,0),"")</f>
        <v>2</v>
      </c>
      <c r="E357" s="11" t="str">
        <f aca="false">TRIM('수출입 실적(품목별)'!B361)</f>
        <v>65</v>
      </c>
      <c r="F357" s="11" t="str">
        <f aca="false">TRIM('수출입 실적(품목별)'!C361)</f>
        <v>모자류와 그 부분품</v>
      </c>
      <c r="G357" s="18" t="n">
        <f aca="false">IFERROR(VALUE(SUBSTITUTE(TRIM('수출입 실적(품목별)'!D361),",","")),"")</f>
        <v>252.7</v>
      </c>
      <c r="H357" s="19" t="n">
        <f aca="false">IFERROR(VALUE(SUBSTITUTE(TRIM('수출입 실적(품목별)'!E361),",","")),"")</f>
        <v>7918</v>
      </c>
      <c r="I357" s="18" t="n">
        <f aca="false">IFERROR(VALUE(SUBSTITUTE(TRIM('수출입 실적(품목별)'!F361),",","")),"")</f>
        <v>1130.2</v>
      </c>
      <c r="J357" s="19" t="n">
        <f aca="false">IFERROR(VALUE(SUBSTITUTE(TRIM('수출입 실적(품목별)'!G361),",","")),"")</f>
        <v>29422</v>
      </c>
      <c r="K357" s="19" t="n">
        <f aca="false">IFERROR(VALUE(SUBSTITUTE(TRIM('수출입 실적(품목별)'!H361),",","")),"")</f>
        <v>-21503</v>
      </c>
    </row>
    <row r="358" customFormat="false" ht="15" hidden="false" customHeight="true" outlineLevel="0" collapsed="false">
      <c r="A358" s="11" t="str">
        <f aca="false">TRIM('수출입 실적(품목별)'!A362)</f>
        <v>2024.04</v>
      </c>
      <c r="B358" s="17" t="n">
        <f aca="false">IFERROR(VALUE(LEFT($A358,4)),"")</f>
        <v>2024</v>
      </c>
      <c r="C358" s="17" t="n">
        <f aca="false">IFERROR(VALUE(RIGHT($A358,2)),"")</f>
        <v>4</v>
      </c>
      <c r="D358" s="17" t="n">
        <f aca="false">IFERROR(ROUNDUP($C358/3,0),"")</f>
        <v>2</v>
      </c>
      <c r="E358" s="11" t="str">
        <f aca="false">TRIM('수출입 실적(품목별)'!B362)</f>
        <v>66</v>
      </c>
      <c r="F358" s="11" t="str">
        <f aca="false">TRIM('수출입 실적(품목별)'!C362)</f>
        <v>산류(傘類)ㆍ지팡이ㆍ시트스틱(seat-stick)ㆍ채찍ㆍ승마용 채찍과 이들의 부분품</v>
      </c>
      <c r="G358" s="18" t="n">
        <f aca="false">IFERROR(VALUE(SUBSTITUTE(TRIM('수출입 실적(품목별)'!D362),",","")),"")</f>
        <v>10.7</v>
      </c>
      <c r="H358" s="19" t="n">
        <f aca="false">IFERROR(VALUE(SUBSTITUTE(TRIM('수출입 실적(품목별)'!E362),",","")),"")</f>
        <v>521</v>
      </c>
      <c r="I358" s="18" t="n">
        <f aca="false">IFERROR(VALUE(SUBSTITUTE(TRIM('수출입 실적(품목별)'!F362),",","")),"")</f>
        <v>2658.9</v>
      </c>
      <c r="J358" s="19" t="n">
        <f aca="false">IFERROR(VALUE(SUBSTITUTE(TRIM('수출입 실적(품목별)'!G362),",","")),"")</f>
        <v>17957</v>
      </c>
      <c r="K358" s="19" t="n">
        <f aca="false">IFERROR(VALUE(SUBSTITUTE(TRIM('수출입 실적(품목별)'!H362),",","")),"")</f>
        <v>-17436</v>
      </c>
    </row>
    <row r="359" customFormat="false" ht="15" hidden="false" customHeight="true" outlineLevel="0" collapsed="false">
      <c r="A359" s="11" t="str">
        <f aca="false">TRIM('수출입 실적(품목별)'!A363)</f>
        <v>2024.04</v>
      </c>
      <c r="B359" s="17" t="n">
        <f aca="false">IFERROR(VALUE(LEFT($A359,4)),"")</f>
        <v>2024</v>
      </c>
      <c r="C359" s="17" t="n">
        <f aca="false">IFERROR(VALUE(RIGHT($A359,2)),"")</f>
        <v>4</v>
      </c>
      <c r="D359" s="17" t="n">
        <f aca="false">IFERROR(ROUNDUP($C359/3,0),"")</f>
        <v>2</v>
      </c>
      <c r="E359" s="11" t="str">
        <f aca="false">TRIM('수출입 실적(품목별)'!B363)</f>
        <v>67</v>
      </c>
      <c r="F359" s="11" t="str">
        <f aca="false">TRIM('수출입 실적(품목별)'!C363)</f>
        <v>조제 깃털ㆍ솜털과 그 제품, 조화, 사람 머리카락으로 된 제품</v>
      </c>
      <c r="G359" s="18" t="n">
        <f aca="false">IFERROR(VALUE(SUBSTITUTE(TRIM('수출입 실적(품목별)'!D363),",","")),"")</f>
        <v>36.1</v>
      </c>
      <c r="H359" s="19" t="n">
        <f aca="false">IFERROR(VALUE(SUBSTITUTE(TRIM('수출입 실적(품목별)'!E363),",","")),"")</f>
        <v>1801</v>
      </c>
      <c r="I359" s="18" t="n">
        <f aca="false">IFERROR(VALUE(SUBSTITUTE(TRIM('수출입 실적(품목별)'!F363),",","")),"")</f>
        <v>684</v>
      </c>
      <c r="J359" s="19" t="n">
        <f aca="false">IFERROR(VALUE(SUBSTITUTE(TRIM('수출입 실적(품목별)'!G363),",","")),"")</f>
        <v>8935</v>
      </c>
      <c r="K359" s="19" t="n">
        <f aca="false">IFERROR(VALUE(SUBSTITUTE(TRIM('수출입 실적(품목별)'!H363),",","")),"")</f>
        <v>-7135</v>
      </c>
    </row>
    <row r="360" customFormat="false" ht="15" hidden="false" customHeight="true" outlineLevel="0" collapsed="false">
      <c r="A360" s="11" t="str">
        <f aca="false">TRIM('수출입 실적(품목별)'!A364)</f>
        <v>2024.04</v>
      </c>
      <c r="B360" s="17" t="n">
        <f aca="false">IFERROR(VALUE(LEFT($A360,4)),"")</f>
        <v>2024</v>
      </c>
      <c r="C360" s="17" t="n">
        <f aca="false">IFERROR(VALUE(RIGHT($A360,2)),"")</f>
        <v>4</v>
      </c>
      <c r="D360" s="17" t="n">
        <f aca="false">IFERROR(ROUNDUP($C360/3,0),"")</f>
        <v>2</v>
      </c>
      <c r="E360" s="11" t="str">
        <f aca="false">TRIM('수출입 실적(품목별)'!B364)</f>
        <v>68</v>
      </c>
      <c r="F360" s="11" t="str">
        <f aca="false">TRIM('수출입 실적(품목별)'!C364)</f>
        <v>돌ㆍ플라스터(plaster)ㆍ시멘트ㆍ석면ㆍ운모나 이와 유사한 재료의 제품</v>
      </c>
      <c r="G360" s="18" t="n">
        <f aca="false">IFERROR(VALUE(SUBSTITUTE(TRIM('수출입 실적(품목별)'!D364),",","")),"")</f>
        <v>11479</v>
      </c>
      <c r="H360" s="19" t="n">
        <f aca="false">IFERROR(VALUE(SUBSTITUTE(TRIM('수출입 실적(품목별)'!E364),",","")),"")</f>
        <v>85103</v>
      </c>
      <c r="I360" s="18" t="n">
        <f aca="false">IFERROR(VALUE(SUBSTITUTE(TRIM('수출입 실적(품목별)'!F364),",","")),"")</f>
        <v>265052.6</v>
      </c>
      <c r="J360" s="19" t="n">
        <f aca="false">IFERROR(VALUE(SUBSTITUTE(TRIM('수출입 실적(품목별)'!G364),",","")),"")</f>
        <v>123510</v>
      </c>
      <c r="K360" s="19" t="n">
        <f aca="false">IFERROR(VALUE(SUBSTITUTE(TRIM('수출입 실적(품목별)'!H364),",","")),"")</f>
        <v>-38407</v>
      </c>
    </row>
    <row r="361" customFormat="false" ht="15" hidden="false" customHeight="true" outlineLevel="0" collapsed="false">
      <c r="A361" s="11" t="str">
        <f aca="false">TRIM('수출입 실적(품목별)'!A365)</f>
        <v>2024.04</v>
      </c>
      <c r="B361" s="17" t="n">
        <f aca="false">IFERROR(VALUE(LEFT($A361,4)),"")</f>
        <v>2024</v>
      </c>
      <c r="C361" s="17" t="n">
        <f aca="false">IFERROR(VALUE(RIGHT($A361,2)),"")</f>
        <v>4</v>
      </c>
      <c r="D361" s="17" t="n">
        <f aca="false">IFERROR(ROUNDUP($C361/3,0),"")</f>
        <v>2</v>
      </c>
      <c r="E361" s="11" t="str">
        <f aca="false">TRIM('수출입 실적(품목별)'!B365)</f>
        <v>69</v>
      </c>
      <c r="F361" s="11" t="str">
        <f aca="false">TRIM('수출입 실적(품목별)'!C365)</f>
        <v>도자제품</v>
      </c>
      <c r="G361" s="18" t="n">
        <f aca="false">IFERROR(VALUE(SUBSTITUTE(TRIM('수출입 실적(품목별)'!D365),",","")),"")</f>
        <v>3236.9</v>
      </c>
      <c r="H361" s="19" t="n">
        <f aca="false">IFERROR(VALUE(SUBSTITUTE(TRIM('수출입 실적(품목별)'!E365),",","")),"")</f>
        <v>31780</v>
      </c>
      <c r="I361" s="18" t="n">
        <f aca="false">IFERROR(VALUE(SUBSTITUTE(TRIM('수출입 실적(품목별)'!F365),",","")),"")</f>
        <v>151185.5</v>
      </c>
      <c r="J361" s="19" t="n">
        <f aca="false">IFERROR(VALUE(SUBSTITUTE(TRIM('수출입 실적(품목별)'!G365),",","")),"")</f>
        <v>143405</v>
      </c>
      <c r="K361" s="19" t="n">
        <f aca="false">IFERROR(VALUE(SUBSTITUTE(TRIM('수출입 실적(품목별)'!H365),",","")),"")</f>
        <v>-111625</v>
      </c>
    </row>
    <row r="362" customFormat="false" ht="15" hidden="false" customHeight="true" outlineLevel="0" collapsed="false">
      <c r="A362" s="11" t="str">
        <f aca="false">TRIM('수출입 실적(품목별)'!A366)</f>
        <v>2024.04</v>
      </c>
      <c r="B362" s="17" t="n">
        <f aca="false">IFERROR(VALUE(LEFT($A362,4)),"")</f>
        <v>2024</v>
      </c>
      <c r="C362" s="17" t="n">
        <f aca="false">IFERROR(VALUE(RIGHT($A362,2)),"")</f>
        <v>4</v>
      </c>
      <c r="D362" s="17" t="n">
        <f aca="false">IFERROR(ROUNDUP($C362/3,0),"")</f>
        <v>2</v>
      </c>
      <c r="E362" s="11" t="str">
        <f aca="false">TRIM('수출입 실적(품목별)'!B366)</f>
        <v>70</v>
      </c>
      <c r="F362" s="11" t="str">
        <f aca="false">TRIM('수출입 실적(품목별)'!C366)</f>
        <v>유리와 유리제품</v>
      </c>
      <c r="G362" s="18" t="n">
        <f aca="false">IFERROR(VALUE(SUBSTITUTE(TRIM('수출입 실적(품목별)'!D366),",","")),"")</f>
        <v>35394.1</v>
      </c>
      <c r="H362" s="19" t="n">
        <f aca="false">IFERROR(VALUE(SUBSTITUTE(TRIM('수출입 실적(품목별)'!E366),",","")),"")</f>
        <v>175091</v>
      </c>
      <c r="I362" s="18" t="n">
        <f aca="false">IFERROR(VALUE(SUBSTITUTE(TRIM('수출입 실적(품목별)'!F366),",","")),"")</f>
        <v>109885.9</v>
      </c>
      <c r="J362" s="19" t="n">
        <f aca="false">IFERROR(VALUE(SUBSTITUTE(TRIM('수출입 실적(품목별)'!G366),",","")),"")</f>
        <v>225606</v>
      </c>
      <c r="K362" s="19" t="n">
        <f aca="false">IFERROR(VALUE(SUBSTITUTE(TRIM('수출입 실적(품목별)'!H366),",","")),"")</f>
        <v>-50515</v>
      </c>
    </row>
    <row r="363" customFormat="false" ht="15" hidden="false" customHeight="true" outlineLevel="0" collapsed="false">
      <c r="A363" s="11" t="str">
        <f aca="false">TRIM('수출입 실적(품목별)'!A367)</f>
        <v>2024.04</v>
      </c>
      <c r="B363" s="17" t="n">
        <f aca="false">IFERROR(VALUE(LEFT($A363,4)),"")</f>
        <v>2024</v>
      </c>
      <c r="C363" s="17" t="n">
        <f aca="false">IFERROR(VALUE(RIGHT($A363,2)),"")</f>
        <v>4</v>
      </c>
      <c r="D363" s="17" t="n">
        <f aca="false">IFERROR(ROUNDUP($C363/3,0),"")</f>
        <v>2</v>
      </c>
      <c r="E363" s="11" t="str">
        <f aca="false">TRIM('수출입 실적(품목별)'!B367)</f>
        <v>71</v>
      </c>
      <c r="F363" s="11" t="str">
        <f aca="false">TRIM('수출입 실적(품목별)'!C367)</f>
        <v>천연진주ㆍ양식진주ㆍ귀석ㆍ반귀석ㆍ귀금속ㆍ귀금속을 입힌 금속과 이들의 제품, 모조 신변장식용품, 주화</v>
      </c>
      <c r="G363" s="18" t="n">
        <f aca="false">IFERROR(VALUE(SUBSTITUTE(TRIM('수출입 실적(품목별)'!D367),",","")),"")</f>
        <v>771.1</v>
      </c>
      <c r="H363" s="19" t="n">
        <f aca="false">IFERROR(VALUE(SUBSTITUTE(TRIM('수출입 실적(품목별)'!E367),",","")),"")</f>
        <v>579512</v>
      </c>
      <c r="I363" s="18" t="n">
        <f aca="false">IFERROR(VALUE(SUBSTITUTE(TRIM('수출입 실적(품목별)'!F367),",","")),"")</f>
        <v>1956.3</v>
      </c>
      <c r="J363" s="19" t="n">
        <f aca="false">IFERROR(VALUE(SUBSTITUTE(TRIM('수출입 실적(품목별)'!G367),",","")),"")</f>
        <v>925126</v>
      </c>
      <c r="K363" s="19" t="n">
        <f aca="false">IFERROR(VALUE(SUBSTITUTE(TRIM('수출입 실적(품목별)'!H367),",","")),"")</f>
        <v>-345615</v>
      </c>
    </row>
    <row r="364" customFormat="false" ht="15" hidden="false" customHeight="true" outlineLevel="0" collapsed="false">
      <c r="A364" s="11" t="str">
        <f aca="false">TRIM('수출입 실적(품목별)'!A368)</f>
        <v>2024.04</v>
      </c>
      <c r="B364" s="17" t="n">
        <f aca="false">IFERROR(VALUE(LEFT($A364,4)),"")</f>
        <v>2024</v>
      </c>
      <c r="C364" s="17" t="n">
        <f aca="false">IFERROR(VALUE(RIGHT($A364,2)),"")</f>
        <v>4</v>
      </c>
      <c r="D364" s="17" t="n">
        <f aca="false">IFERROR(ROUNDUP($C364/3,0),"")</f>
        <v>2</v>
      </c>
      <c r="E364" s="11" t="str">
        <f aca="false">TRIM('수출입 실적(품목별)'!B368)</f>
        <v>72</v>
      </c>
      <c r="F364" s="11" t="str">
        <f aca="false">TRIM('수출입 실적(품목별)'!C368)</f>
        <v>철강</v>
      </c>
      <c r="G364" s="18" t="n">
        <f aca="false">IFERROR(VALUE(SUBSTITUTE(TRIM('수출입 실적(품목별)'!D368),",","")),"")</f>
        <v>2021669.7</v>
      </c>
      <c r="H364" s="19" t="n">
        <f aca="false">IFERROR(VALUE(SUBSTITUTE(TRIM('수출입 실적(품목별)'!E368),",","")),"")</f>
        <v>2042103</v>
      </c>
      <c r="I364" s="18" t="n">
        <f aca="false">IFERROR(VALUE(SUBSTITUTE(TRIM('수출입 실적(품목별)'!F368),",","")),"")</f>
        <v>1681592.7</v>
      </c>
      <c r="J364" s="19" t="n">
        <f aca="false">IFERROR(VALUE(SUBSTITUTE(TRIM('수출입 실적(품목별)'!G368),",","")),"")</f>
        <v>1383588</v>
      </c>
      <c r="K364" s="19" t="n">
        <f aca="false">IFERROR(VALUE(SUBSTITUTE(TRIM('수출입 실적(품목별)'!H368),",","")),"")</f>
        <v>658515</v>
      </c>
    </row>
    <row r="365" customFormat="false" ht="15" hidden="false" customHeight="true" outlineLevel="0" collapsed="false">
      <c r="A365" s="11" t="str">
        <f aca="false">TRIM('수출입 실적(품목별)'!A369)</f>
        <v>2024.04</v>
      </c>
      <c r="B365" s="17" t="n">
        <f aca="false">IFERROR(VALUE(LEFT($A365,4)),"")</f>
        <v>2024</v>
      </c>
      <c r="C365" s="17" t="n">
        <f aca="false">IFERROR(VALUE(RIGHT($A365,2)),"")</f>
        <v>4</v>
      </c>
      <c r="D365" s="17" t="n">
        <f aca="false">IFERROR(ROUNDUP($C365/3,0),"")</f>
        <v>2</v>
      </c>
      <c r="E365" s="11" t="str">
        <f aca="false">TRIM('수출입 실적(품목별)'!B369)</f>
        <v>73</v>
      </c>
      <c r="F365" s="11" t="str">
        <f aca="false">TRIM('수출입 실적(품목별)'!C369)</f>
        <v>철강의 제품</v>
      </c>
      <c r="G365" s="18" t="n">
        <f aca="false">IFERROR(VALUE(SUBSTITUTE(TRIM('수출입 실적(품목별)'!D369),",","")),"")</f>
        <v>326992.1</v>
      </c>
      <c r="H365" s="19" t="n">
        <f aca="false">IFERROR(VALUE(SUBSTITUTE(TRIM('수출입 실적(품목별)'!E369),",","")),"")</f>
        <v>897481</v>
      </c>
      <c r="I365" s="18" t="n">
        <f aca="false">IFERROR(VALUE(SUBSTITUTE(TRIM('수출입 실적(품목별)'!F369),",","")),"")</f>
        <v>271474</v>
      </c>
      <c r="J365" s="19" t="n">
        <f aca="false">IFERROR(VALUE(SUBSTITUTE(TRIM('수출입 실적(품목별)'!G369),",","")),"")</f>
        <v>693097</v>
      </c>
      <c r="K365" s="19" t="n">
        <f aca="false">IFERROR(VALUE(SUBSTITUTE(TRIM('수출입 실적(품목별)'!H369),",","")),"")</f>
        <v>204384</v>
      </c>
    </row>
    <row r="366" customFormat="false" ht="15" hidden="false" customHeight="true" outlineLevel="0" collapsed="false">
      <c r="A366" s="11" t="str">
        <f aca="false">TRIM('수출입 실적(품목별)'!A370)</f>
        <v>2024.04</v>
      </c>
      <c r="B366" s="17" t="n">
        <f aca="false">IFERROR(VALUE(LEFT($A366,4)),"")</f>
        <v>2024</v>
      </c>
      <c r="C366" s="17" t="n">
        <f aca="false">IFERROR(VALUE(RIGHT($A366,2)),"")</f>
        <v>4</v>
      </c>
      <c r="D366" s="17" t="n">
        <f aca="false">IFERROR(ROUNDUP($C366/3,0),"")</f>
        <v>2</v>
      </c>
      <c r="E366" s="11" t="str">
        <f aca="false">TRIM('수출입 실적(품목별)'!B370)</f>
        <v>74</v>
      </c>
      <c r="F366" s="11" t="str">
        <f aca="false">TRIM('수출입 실적(품목별)'!C370)</f>
        <v>구리와 그 제품</v>
      </c>
      <c r="G366" s="18" t="n">
        <f aca="false">IFERROR(VALUE(SUBSTITUTE(TRIM('수출입 실적(품목별)'!D370),",","")),"")</f>
        <v>40869.8</v>
      </c>
      <c r="H366" s="19" t="n">
        <f aca="false">IFERROR(VALUE(SUBSTITUTE(TRIM('수출입 실적(품목별)'!E370),",","")),"")</f>
        <v>375869</v>
      </c>
      <c r="I366" s="18" t="n">
        <f aca="false">IFERROR(VALUE(SUBSTITUTE(TRIM('수출입 실적(품목별)'!F370),",","")),"")</f>
        <v>78428.3</v>
      </c>
      <c r="J366" s="19" t="n">
        <f aca="false">IFERROR(VALUE(SUBSTITUTE(TRIM('수출입 실적(품목별)'!G370),",","")),"")</f>
        <v>703073</v>
      </c>
      <c r="K366" s="19" t="n">
        <f aca="false">IFERROR(VALUE(SUBSTITUTE(TRIM('수출입 실적(품목별)'!H370),",","")),"")</f>
        <v>-327204</v>
      </c>
    </row>
    <row r="367" customFormat="false" ht="15" hidden="false" customHeight="true" outlineLevel="0" collapsed="false">
      <c r="A367" s="11" t="str">
        <f aca="false">TRIM('수출입 실적(품목별)'!A371)</f>
        <v>2024.04</v>
      </c>
      <c r="B367" s="17" t="n">
        <f aca="false">IFERROR(VALUE(LEFT($A367,4)),"")</f>
        <v>2024</v>
      </c>
      <c r="C367" s="17" t="n">
        <f aca="false">IFERROR(VALUE(RIGHT($A367,2)),"")</f>
        <v>4</v>
      </c>
      <c r="D367" s="17" t="n">
        <f aca="false">IFERROR(ROUNDUP($C367/3,0),"")</f>
        <v>2</v>
      </c>
      <c r="E367" s="11" t="str">
        <f aca="false">TRIM('수출입 실적(품목별)'!B371)</f>
        <v>75</v>
      </c>
      <c r="F367" s="11" t="str">
        <f aca="false">TRIM('수출입 실적(품목별)'!C371)</f>
        <v>니켈과 그 제품</v>
      </c>
      <c r="G367" s="18" t="n">
        <f aca="false">IFERROR(VALUE(SUBSTITUTE(TRIM('수출입 실적(품목별)'!D371),",","")),"")</f>
        <v>1199</v>
      </c>
      <c r="H367" s="19" t="n">
        <f aca="false">IFERROR(VALUE(SUBSTITUTE(TRIM('수출입 실적(품목별)'!E371),",","")),"")</f>
        <v>17717</v>
      </c>
      <c r="I367" s="18" t="n">
        <f aca="false">IFERROR(VALUE(SUBSTITUTE(TRIM('수출입 실적(품목별)'!F371),",","")),"")</f>
        <v>4140.5</v>
      </c>
      <c r="J367" s="19" t="n">
        <f aca="false">IFERROR(VALUE(SUBSTITUTE(TRIM('수출입 실적(품목별)'!G371),",","")),"")</f>
        <v>90659</v>
      </c>
      <c r="K367" s="19" t="n">
        <f aca="false">IFERROR(VALUE(SUBSTITUTE(TRIM('수출입 실적(품목별)'!H371),",","")),"")</f>
        <v>-72942</v>
      </c>
    </row>
    <row r="368" customFormat="false" ht="15" hidden="false" customHeight="true" outlineLevel="0" collapsed="false">
      <c r="A368" s="11" t="str">
        <f aca="false">TRIM('수출입 실적(품목별)'!A372)</f>
        <v>2024.04</v>
      </c>
      <c r="B368" s="17" t="n">
        <f aca="false">IFERROR(VALUE(LEFT($A368,4)),"")</f>
        <v>2024</v>
      </c>
      <c r="C368" s="17" t="n">
        <f aca="false">IFERROR(VALUE(RIGHT($A368,2)),"")</f>
        <v>4</v>
      </c>
      <c r="D368" s="17" t="n">
        <f aca="false">IFERROR(ROUNDUP($C368/3,0),"")</f>
        <v>2</v>
      </c>
      <c r="E368" s="11" t="str">
        <f aca="false">TRIM('수출입 실적(품목별)'!B372)</f>
        <v>76</v>
      </c>
      <c r="F368" s="11" t="str">
        <f aca="false">TRIM('수출입 실적(품목별)'!C372)</f>
        <v>알루미늄과 그 제품</v>
      </c>
      <c r="G368" s="18" t="n">
        <f aca="false">IFERROR(VALUE(SUBSTITUTE(TRIM('수출입 실적(품목별)'!D372),",","")),"")</f>
        <v>114311.3</v>
      </c>
      <c r="H368" s="19" t="n">
        <f aca="false">IFERROR(VALUE(SUBSTITUTE(TRIM('수출입 실적(품목별)'!E372),",","")),"")</f>
        <v>427343</v>
      </c>
      <c r="I368" s="18" t="n">
        <f aca="false">IFERROR(VALUE(SUBSTITUTE(TRIM('수출입 실적(품목별)'!F372),",","")),"")</f>
        <v>269334.9</v>
      </c>
      <c r="J368" s="19" t="n">
        <f aca="false">IFERROR(VALUE(SUBSTITUTE(TRIM('수출입 실적(품목별)'!G372),",","")),"")</f>
        <v>730762</v>
      </c>
      <c r="K368" s="19" t="n">
        <f aca="false">IFERROR(VALUE(SUBSTITUTE(TRIM('수출입 실적(품목별)'!H372),",","")),"")</f>
        <v>-303419</v>
      </c>
    </row>
    <row r="369" customFormat="false" ht="15" hidden="false" customHeight="true" outlineLevel="0" collapsed="false">
      <c r="A369" s="11" t="str">
        <f aca="false">TRIM('수출입 실적(품목별)'!A373)</f>
        <v>2024.04</v>
      </c>
      <c r="B369" s="17" t="n">
        <f aca="false">IFERROR(VALUE(LEFT($A369,4)),"")</f>
        <v>2024</v>
      </c>
      <c r="C369" s="17" t="n">
        <f aca="false">IFERROR(VALUE(RIGHT($A369,2)),"")</f>
        <v>4</v>
      </c>
      <c r="D369" s="17" t="n">
        <f aca="false">IFERROR(ROUNDUP($C369/3,0),"")</f>
        <v>2</v>
      </c>
      <c r="E369" s="11" t="str">
        <f aca="false">TRIM('수출입 실적(품목별)'!B373)</f>
        <v>78</v>
      </c>
      <c r="F369" s="11" t="str">
        <f aca="false">TRIM('수출입 실적(품목별)'!C373)</f>
        <v>납과 그 제품</v>
      </c>
      <c r="G369" s="18" t="n">
        <f aca="false">IFERROR(VALUE(SUBSTITUTE(TRIM('수출입 실적(품목별)'!D373),",","")),"")</f>
        <v>25631.8</v>
      </c>
      <c r="H369" s="19" t="n">
        <f aca="false">IFERROR(VALUE(SUBSTITUTE(TRIM('수출입 실적(품목별)'!E373),",","")),"")</f>
        <v>58726</v>
      </c>
      <c r="I369" s="18" t="n">
        <f aca="false">IFERROR(VALUE(SUBSTITUTE(TRIM('수출입 실적(품목별)'!F373),",","")),"")</f>
        <v>13725.1</v>
      </c>
      <c r="J369" s="19" t="n">
        <f aca="false">IFERROR(VALUE(SUBSTITUTE(TRIM('수출입 실적(품목별)'!G373),",","")),"")</f>
        <v>30879</v>
      </c>
      <c r="K369" s="19" t="n">
        <f aca="false">IFERROR(VALUE(SUBSTITUTE(TRIM('수출입 실적(품목별)'!H373),",","")),"")</f>
        <v>27847</v>
      </c>
    </row>
    <row r="370" customFormat="false" ht="15" hidden="false" customHeight="true" outlineLevel="0" collapsed="false">
      <c r="A370" s="11" t="str">
        <f aca="false">TRIM('수출입 실적(품목별)'!A374)</f>
        <v>2024.04</v>
      </c>
      <c r="B370" s="17" t="n">
        <f aca="false">IFERROR(VALUE(LEFT($A370,4)),"")</f>
        <v>2024</v>
      </c>
      <c r="C370" s="17" t="n">
        <f aca="false">IFERROR(VALUE(RIGHT($A370,2)),"")</f>
        <v>4</v>
      </c>
      <c r="D370" s="17" t="n">
        <f aca="false">IFERROR(ROUNDUP($C370/3,0),"")</f>
        <v>2</v>
      </c>
      <c r="E370" s="11" t="str">
        <f aca="false">TRIM('수출입 실적(품목별)'!B374)</f>
        <v>79</v>
      </c>
      <c r="F370" s="11" t="str">
        <f aca="false">TRIM('수출입 실적(품목별)'!C374)</f>
        <v>아연과 그 제품</v>
      </c>
      <c r="G370" s="18" t="n">
        <f aca="false">IFERROR(VALUE(SUBSTITUTE(TRIM('수출입 실적(품목별)'!D374),",","")),"")</f>
        <v>40619</v>
      </c>
      <c r="H370" s="19" t="n">
        <f aca="false">IFERROR(VALUE(SUBSTITUTE(TRIM('수출입 실적(품목별)'!E374),",","")),"")</f>
        <v>111423</v>
      </c>
      <c r="I370" s="18" t="n">
        <f aca="false">IFERROR(VALUE(SUBSTITUTE(TRIM('수출입 실적(품목별)'!F374),",","")),"")</f>
        <v>5259.9</v>
      </c>
      <c r="J370" s="19" t="n">
        <f aca="false">IFERROR(VALUE(SUBSTITUTE(TRIM('수출입 실적(품목별)'!G374),",","")),"")</f>
        <v>15201</v>
      </c>
      <c r="K370" s="19" t="n">
        <f aca="false">IFERROR(VALUE(SUBSTITUTE(TRIM('수출입 실적(품목별)'!H374),",","")),"")</f>
        <v>96223</v>
      </c>
    </row>
    <row r="371" customFormat="false" ht="15" hidden="false" customHeight="true" outlineLevel="0" collapsed="false">
      <c r="A371" s="11" t="str">
        <f aca="false">TRIM('수출입 실적(품목별)'!A375)</f>
        <v>2024.04</v>
      </c>
      <c r="B371" s="17" t="n">
        <f aca="false">IFERROR(VALUE(LEFT($A371,4)),"")</f>
        <v>2024</v>
      </c>
      <c r="C371" s="17" t="n">
        <f aca="false">IFERROR(VALUE(RIGHT($A371,2)),"")</f>
        <v>4</v>
      </c>
      <c r="D371" s="17" t="n">
        <f aca="false">IFERROR(ROUNDUP($C371/3,0),"")</f>
        <v>2</v>
      </c>
      <c r="E371" s="11" t="str">
        <f aca="false">TRIM('수출입 실적(품목별)'!B375)</f>
        <v>80</v>
      </c>
      <c r="F371" s="11" t="str">
        <f aca="false">TRIM('수출입 실적(품목별)'!C375)</f>
        <v>주석과 그 제품</v>
      </c>
      <c r="G371" s="18" t="n">
        <f aca="false">IFERROR(VALUE(SUBSTITUTE(TRIM('수출입 실적(품목별)'!D375),",","")),"")</f>
        <v>147.9</v>
      </c>
      <c r="H371" s="19" t="n">
        <f aca="false">IFERROR(VALUE(SUBSTITUTE(TRIM('수출입 실적(품목별)'!E375),",","")),"")</f>
        <v>5660</v>
      </c>
      <c r="I371" s="18" t="n">
        <f aca="false">IFERROR(VALUE(SUBSTITUTE(TRIM('수출입 실적(품목별)'!F375),",","")),"")</f>
        <v>1175.9</v>
      </c>
      <c r="J371" s="19" t="n">
        <f aca="false">IFERROR(VALUE(SUBSTITUTE(TRIM('수출입 실적(품목별)'!G375),",","")),"")</f>
        <v>34846</v>
      </c>
      <c r="K371" s="19" t="n">
        <f aca="false">IFERROR(VALUE(SUBSTITUTE(TRIM('수출입 실적(품목별)'!H375),",","")),"")</f>
        <v>-29186</v>
      </c>
    </row>
    <row r="372" customFormat="false" ht="15" hidden="false" customHeight="true" outlineLevel="0" collapsed="false">
      <c r="A372" s="11" t="str">
        <f aca="false">TRIM('수출입 실적(품목별)'!A376)</f>
        <v>2024.04</v>
      </c>
      <c r="B372" s="17" t="n">
        <f aca="false">IFERROR(VALUE(LEFT($A372,4)),"")</f>
        <v>2024</v>
      </c>
      <c r="C372" s="17" t="n">
        <f aca="false">IFERROR(VALUE(RIGHT($A372,2)),"")</f>
        <v>4</v>
      </c>
      <c r="D372" s="17" t="n">
        <f aca="false">IFERROR(ROUNDUP($C372/3,0),"")</f>
        <v>2</v>
      </c>
      <c r="E372" s="11" t="str">
        <f aca="false">TRIM('수출입 실적(품목별)'!B376)</f>
        <v>81</v>
      </c>
      <c r="F372" s="11" t="str">
        <f aca="false">TRIM('수출입 실적(품목별)'!C376)</f>
        <v>그 밖의 비금속(卑金屬), 서멧(cermet), 이들의 제품</v>
      </c>
      <c r="G372" s="18" t="n">
        <f aca="false">IFERROR(VALUE(SUBSTITUTE(TRIM('수출입 실적(품목별)'!D376),",","")),"")</f>
        <v>2254.2</v>
      </c>
      <c r="H372" s="19" t="n">
        <f aca="false">IFERROR(VALUE(SUBSTITUTE(TRIM('수출입 실적(품목별)'!E376),",","")),"")</f>
        <v>27999</v>
      </c>
      <c r="I372" s="18" t="n">
        <f aca="false">IFERROR(VALUE(SUBSTITUTE(TRIM('수출입 실적(품목별)'!F376),",","")),"")</f>
        <v>15248.1</v>
      </c>
      <c r="J372" s="19" t="n">
        <f aca="false">IFERROR(VALUE(SUBSTITUTE(TRIM('수출입 실적(품목별)'!G376),",","")),"")</f>
        <v>116239</v>
      </c>
      <c r="K372" s="19" t="n">
        <f aca="false">IFERROR(VALUE(SUBSTITUTE(TRIM('수출입 실적(품목별)'!H376),",","")),"")</f>
        <v>-88240</v>
      </c>
    </row>
    <row r="373" customFormat="false" ht="15" hidden="false" customHeight="true" outlineLevel="0" collapsed="false">
      <c r="A373" s="11" t="str">
        <f aca="false">TRIM('수출입 실적(품목별)'!A377)</f>
        <v>2024.04</v>
      </c>
      <c r="B373" s="17" t="n">
        <f aca="false">IFERROR(VALUE(LEFT($A373,4)),"")</f>
        <v>2024</v>
      </c>
      <c r="C373" s="17" t="n">
        <f aca="false">IFERROR(VALUE(RIGHT($A373,2)),"")</f>
        <v>4</v>
      </c>
      <c r="D373" s="17" t="n">
        <f aca="false">IFERROR(ROUNDUP($C373/3,0),"")</f>
        <v>2</v>
      </c>
      <c r="E373" s="11" t="str">
        <f aca="false">TRIM('수출입 실적(품목별)'!B377)</f>
        <v>82</v>
      </c>
      <c r="F373" s="11" t="str">
        <f aca="false">TRIM('수출입 실적(품목별)'!C377)</f>
        <v>비금속(卑金屬)으로 만든 공구ㆍ도구ㆍ칼붙이ㆍ스푼ㆍ포크, 이들의 부분품</v>
      </c>
      <c r="G373" s="18" t="n">
        <f aca="false">IFERROR(VALUE(SUBSTITUTE(TRIM('수출입 실적(품목별)'!D377),",","")),"")</f>
        <v>7036.3</v>
      </c>
      <c r="H373" s="19" t="n">
        <f aca="false">IFERROR(VALUE(SUBSTITUTE(TRIM('수출입 실적(품목별)'!E377),",","")),"")</f>
        <v>158891</v>
      </c>
      <c r="I373" s="18" t="n">
        <f aca="false">IFERROR(VALUE(SUBSTITUTE(TRIM('수출입 실적(품목별)'!F377),",","")),"")</f>
        <v>6100.4</v>
      </c>
      <c r="J373" s="19" t="n">
        <f aca="false">IFERROR(VALUE(SUBSTITUTE(TRIM('수출입 실적(품목별)'!G377),",","")),"")</f>
        <v>97249</v>
      </c>
      <c r="K373" s="19" t="n">
        <f aca="false">IFERROR(VALUE(SUBSTITUTE(TRIM('수출입 실적(품목별)'!H377),",","")),"")</f>
        <v>61642</v>
      </c>
    </row>
    <row r="374" customFormat="false" ht="15" hidden="false" customHeight="true" outlineLevel="0" collapsed="false">
      <c r="A374" s="11" t="str">
        <f aca="false">TRIM('수출입 실적(품목별)'!A378)</f>
        <v>2024.04</v>
      </c>
      <c r="B374" s="17" t="n">
        <f aca="false">IFERROR(VALUE(LEFT($A374,4)),"")</f>
        <v>2024</v>
      </c>
      <c r="C374" s="17" t="n">
        <f aca="false">IFERROR(VALUE(RIGHT($A374,2)),"")</f>
        <v>4</v>
      </c>
      <c r="D374" s="17" t="n">
        <f aca="false">IFERROR(ROUNDUP($C374/3,0),"")</f>
        <v>2</v>
      </c>
      <c r="E374" s="11" t="str">
        <f aca="false">TRIM('수출입 실적(품목별)'!B378)</f>
        <v>83</v>
      </c>
      <c r="F374" s="11" t="str">
        <f aca="false">TRIM('수출입 실적(품목별)'!C378)</f>
        <v>비금속(卑金屬)으로 만든 각종 제품</v>
      </c>
      <c r="G374" s="18" t="n">
        <f aca="false">IFERROR(VALUE(SUBSTITUTE(TRIM('수출입 실적(품목별)'!D378),",","")),"")</f>
        <v>26588.6</v>
      </c>
      <c r="H374" s="19" t="n">
        <f aca="false">IFERROR(VALUE(SUBSTITUTE(TRIM('수출입 실적(품목별)'!E378),",","")),"")</f>
        <v>146142</v>
      </c>
      <c r="I374" s="18" t="n">
        <f aca="false">IFERROR(VALUE(SUBSTITUTE(TRIM('수출입 실적(품목별)'!F378),",","")),"")</f>
        <v>13394.7</v>
      </c>
      <c r="J374" s="19" t="n">
        <f aca="false">IFERROR(VALUE(SUBSTITUTE(TRIM('수출입 실적(품목별)'!G378),",","")),"")</f>
        <v>87328</v>
      </c>
      <c r="K374" s="19" t="n">
        <f aca="false">IFERROR(VALUE(SUBSTITUTE(TRIM('수출입 실적(품목별)'!H378),",","")),"")</f>
        <v>58814</v>
      </c>
    </row>
    <row r="375" customFormat="false" ht="15" hidden="false" customHeight="true" outlineLevel="0" collapsed="false">
      <c r="A375" s="11" t="str">
        <f aca="false">TRIM('수출입 실적(품목별)'!A379)</f>
        <v>2024.04</v>
      </c>
      <c r="B375" s="17" t="n">
        <f aca="false">IFERROR(VALUE(LEFT($A375,4)),"")</f>
        <v>2024</v>
      </c>
      <c r="C375" s="17" t="n">
        <f aca="false">IFERROR(VALUE(RIGHT($A375,2)),"")</f>
        <v>4</v>
      </c>
      <c r="D375" s="17" t="n">
        <f aca="false">IFERROR(ROUNDUP($C375/3,0),"")</f>
        <v>2</v>
      </c>
      <c r="E375" s="11" t="str">
        <f aca="false">TRIM('수출입 실적(품목별)'!B379)</f>
        <v>84</v>
      </c>
      <c r="F375" s="11" t="str">
        <f aca="false">TRIM('수출입 실적(품목별)'!C379)</f>
        <v>원자로ㆍ보일러ㆍ기계류와 이들의 부분품</v>
      </c>
      <c r="G375" s="18" t="n">
        <f aca="false">IFERROR(VALUE(SUBSTITUTE(TRIM('수출입 실적(품목별)'!D379),",","")),"")</f>
        <v>413774.9</v>
      </c>
      <c r="H375" s="19" t="n">
        <f aca="false">IFERROR(VALUE(SUBSTITUTE(TRIM('수출입 실적(품목별)'!E379),",","")),"")</f>
        <v>6609237</v>
      </c>
      <c r="I375" s="18" t="n">
        <f aca="false">IFERROR(VALUE(SUBSTITUTE(TRIM('수출입 실적(품목별)'!F379),",","")),"")</f>
        <v>230558.8</v>
      </c>
      <c r="J375" s="19" t="n">
        <f aca="false">IFERROR(VALUE(SUBSTITUTE(TRIM('수출입 실적(품목별)'!G379),",","")),"")</f>
        <v>5450490</v>
      </c>
      <c r="K375" s="19" t="n">
        <f aca="false">IFERROR(VALUE(SUBSTITUTE(TRIM('수출입 실적(품목별)'!H379),",","")),"")</f>
        <v>1158747</v>
      </c>
    </row>
    <row r="376" customFormat="false" ht="15" hidden="false" customHeight="true" outlineLevel="0" collapsed="false">
      <c r="A376" s="11" t="str">
        <f aca="false">TRIM('수출입 실적(품목별)'!A380)</f>
        <v>2024.04</v>
      </c>
      <c r="B376" s="17" t="n">
        <f aca="false">IFERROR(VALUE(LEFT($A376,4)),"")</f>
        <v>2024</v>
      </c>
      <c r="C376" s="17" t="n">
        <f aca="false">IFERROR(VALUE(RIGHT($A376,2)),"")</f>
        <v>4</v>
      </c>
      <c r="D376" s="17" t="n">
        <f aca="false">IFERROR(ROUNDUP($C376/3,0),"")</f>
        <v>2</v>
      </c>
      <c r="E376" s="11" t="str">
        <f aca="false">TRIM('수출입 실적(품목별)'!B380)</f>
        <v>85</v>
      </c>
      <c r="F376" s="11" t="str">
        <f aca="false">TRIM('수출입 실적(품목별)'!C380)</f>
        <v>전기기기와 그 부분품, 녹음기ㆍ음성 재생기ㆍ텔레비전의 영상과 음성의 기록기ㆍ재생기와 이들의 부분품ㆍ부속품</v>
      </c>
      <c r="G376" s="18" t="n">
        <f aca="false">IFERROR(VALUE(SUBSTITUTE(TRIM('수출입 실적(품목별)'!D380),",","")),"")</f>
        <v>219956.2</v>
      </c>
      <c r="H376" s="19" t="n">
        <f aca="false">IFERROR(VALUE(SUBSTITUTE(TRIM('수출입 실적(품목별)'!E380),",","")),"")</f>
        <v>15588503</v>
      </c>
      <c r="I376" s="18" t="n">
        <f aca="false">IFERROR(VALUE(SUBSTITUTE(TRIM('수출입 실적(품목별)'!F380),",","")),"")</f>
        <v>192500.1</v>
      </c>
      <c r="J376" s="19" t="n">
        <f aca="false">IFERROR(VALUE(SUBSTITUTE(TRIM('수출입 실적(품목별)'!G380),",","")),"")</f>
        <v>10064430</v>
      </c>
      <c r="K376" s="19" t="n">
        <f aca="false">IFERROR(VALUE(SUBSTITUTE(TRIM('수출입 실적(품목별)'!H380),",","")),"")</f>
        <v>5524073</v>
      </c>
    </row>
    <row r="377" customFormat="false" ht="15" hidden="false" customHeight="true" outlineLevel="0" collapsed="false">
      <c r="A377" s="11" t="str">
        <f aca="false">TRIM('수출입 실적(품목별)'!A381)</f>
        <v>2024.04</v>
      </c>
      <c r="B377" s="17" t="n">
        <f aca="false">IFERROR(VALUE(LEFT($A377,4)),"")</f>
        <v>2024</v>
      </c>
      <c r="C377" s="17" t="n">
        <f aca="false">IFERROR(VALUE(RIGHT($A377,2)),"")</f>
        <v>4</v>
      </c>
      <c r="D377" s="17" t="n">
        <f aca="false">IFERROR(ROUNDUP($C377/3,0),"")</f>
        <v>2</v>
      </c>
      <c r="E377" s="11" t="str">
        <f aca="false">TRIM('수출입 실적(품목별)'!B381)</f>
        <v>86</v>
      </c>
      <c r="F377" s="11" t="str">
        <f aca="false">TRIM('수출입 실적(품목별)'!C381)</f>
        <v>철도용이나 궤도용 기관차ㆍ차량과 이들의 부분품, 철도용이나 궤도용 장비품과 그 부분품, 기계식(전기기계식을 포함한다) 각종 교통신호용 기기</v>
      </c>
      <c r="G377" s="18" t="n">
        <f aca="false">IFERROR(VALUE(SUBSTITUTE(TRIM('수출입 실적(품목별)'!D381),",","")),"")</f>
        <v>13205.6</v>
      </c>
      <c r="H377" s="19" t="n">
        <f aca="false">IFERROR(VALUE(SUBSTITUTE(TRIM('수출입 실적(품목별)'!E381),",","")),"")</f>
        <v>42926</v>
      </c>
      <c r="I377" s="18" t="n">
        <f aca="false">IFERROR(VALUE(SUBSTITUTE(TRIM('수출입 실적(품목별)'!F381),",","")),"")</f>
        <v>11548.2</v>
      </c>
      <c r="J377" s="19" t="n">
        <f aca="false">IFERROR(VALUE(SUBSTITUTE(TRIM('수출입 실적(품목별)'!G381),",","")),"")</f>
        <v>30898</v>
      </c>
      <c r="K377" s="19" t="n">
        <f aca="false">IFERROR(VALUE(SUBSTITUTE(TRIM('수출입 실적(품목별)'!H381),",","")),"")</f>
        <v>12028</v>
      </c>
    </row>
    <row r="378" customFormat="false" ht="15" hidden="false" customHeight="true" outlineLevel="0" collapsed="false">
      <c r="A378" s="11" t="str">
        <f aca="false">TRIM('수출입 실적(품목별)'!A382)</f>
        <v>2024.04</v>
      </c>
      <c r="B378" s="17" t="n">
        <f aca="false">IFERROR(VALUE(LEFT($A378,4)),"")</f>
        <v>2024</v>
      </c>
      <c r="C378" s="17" t="n">
        <f aca="false">IFERROR(VALUE(RIGHT($A378,2)),"")</f>
        <v>4</v>
      </c>
      <c r="D378" s="17" t="n">
        <f aca="false">IFERROR(ROUNDUP($C378/3,0),"")</f>
        <v>2</v>
      </c>
      <c r="E378" s="11" t="str">
        <f aca="false">TRIM('수출입 실적(품목별)'!B382)</f>
        <v>87</v>
      </c>
      <c r="F378" s="11" t="str">
        <f aca="false">TRIM('수출입 실적(품목별)'!C382)</f>
        <v>철도용이나 궤도용 외의 차량과 그 부분품ㆍ부속품</v>
      </c>
      <c r="G378" s="18" t="n">
        <f aca="false">IFERROR(VALUE(SUBSTITUTE(TRIM('수출입 실적(품목별)'!D382),",","")),"")</f>
        <v>765044.2</v>
      </c>
      <c r="H378" s="19" t="n">
        <f aca="false">IFERROR(VALUE(SUBSTITUTE(TRIM('수출입 실적(품목별)'!E382),",","")),"")</f>
        <v>8537047</v>
      </c>
      <c r="I378" s="18" t="n">
        <f aca="false">IFERROR(VALUE(SUBSTITUTE(TRIM('수출입 실적(품목별)'!F382),",","")),"")</f>
        <v>115573.2</v>
      </c>
      <c r="J378" s="19" t="n">
        <f aca="false">IFERROR(VALUE(SUBSTITUTE(TRIM('수출입 실적(품목별)'!G382),",","")),"")</f>
        <v>1885258</v>
      </c>
      <c r="K378" s="19" t="n">
        <f aca="false">IFERROR(VALUE(SUBSTITUTE(TRIM('수출입 실적(품목별)'!H382),",","")),"")</f>
        <v>6651789</v>
      </c>
    </row>
    <row r="379" customFormat="false" ht="15" hidden="false" customHeight="true" outlineLevel="0" collapsed="false">
      <c r="A379" s="11" t="str">
        <f aca="false">TRIM('수출입 실적(품목별)'!A383)</f>
        <v>2024.04</v>
      </c>
      <c r="B379" s="17" t="n">
        <f aca="false">IFERROR(VALUE(LEFT($A379,4)),"")</f>
        <v>2024</v>
      </c>
      <c r="C379" s="17" t="n">
        <f aca="false">IFERROR(VALUE(RIGHT($A379,2)),"")</f>
        <v>4</v>
      </c>
      <c r="D379" s="17" t="n">
        <f aca="false">IFERROR(ROUNDUP($C379/3,0),"")</f>
        <v>2</v>
      </c>
      <c r="E379" s="11" t="str">
        <f aca="false">TRIM('수출입 실적(품목별)'!B383)</f>
        <v>88</v>
      </c>
      <c r="F379" s="11" t="str">
        <f aca="false">TRIM('수출입 실적(품목별)'!C383)</f>
        <v>항공기와 우주선, 이들의 부분품</v>
      </c>
      <c r="G379" s="18" t="n">
        <f aca="false">IFERROR(VALUE(SUBSTITUTE(TRIM('수출입 실적(품목별)'!D383),",","")),"")</f>
        <v>383.9</v>
      </c>
      <c r="H379" s="19" t="n">
        <f aca="false">IFERROR(VALUE(SUBSTITUTE(TRIM('수출입 실적(품목별)'!E383),",","")),"")</f>
        <v>115245</v>
      </c>
      <c r="I379" s="18" t="n">
        <f aca="false">IFERROR(VALUE(SUBSTITUTE(TRIM('수출입 실적(품목별)'!F383),",","")),"")</f>
        <v>283.6</v>
      </c>
      <c r="J379" s="19" t="n">
        <f aca="false">IFERROR(VALUE(SUBSTITUTE(TRIM('수출입 실적(품목별)'!G383),",","")),"")</f>
        <v>145018</v>
      </c>
      <c r="K379" s="19" t="n">
        <f aca="false">IFERROR(VALUE(SUBSTITUTE(TRIM('수출입 실적(품목별)'!H383),",","")),"")</f>
        <v>-29773</v>
      </c>
    </row>
    <row r="380" customFormat="false" ht="15" hidden="false" customHeight="true" outlineLevel="0" collapsed="false">
      <c r="A380" s="11" t="str">
        <f aca="false">TRIM('수출입 실적(품목별)'!A384)</f>
        <v>2024.04</v>
      </c>
      <c r="B380" s="17" t="n">
        <f aca="false">IFERROR(VALUE(LEFT($A380,4)),"")</f>
        <v>2024</v>
      </c>
      <c r="C380" s="17" t="n">
        <f aca="false">IFERROR(VALUE(RIGHT($A380,2)),"")</f>
        <v>4</v>
      </c>
      <c r="D380" s="17" t="n">
        <f aca="false">IFERROR(ROUNDUP($C380/3,0),"")</f>
        <v>2</v>
      </c>
      <c r="E380" s="11" t="str">
        <f aca="false">TRIM('수출입 실적(품목별)'!B384)</f>
        <v>89</v>
      </c>
      <c r="F380" s="11" t="str">
        <f aca="false">TRIM('수출입 실적(품목별)'!C384)</f>
        <v>선박과 수상 구조물</v>
      </c>
      <c r="G380" s="18" t="n">
        <f aca="false">IFERROR(VALUE(SUBSTITUTE(TRIM('수출입 실적(품목별)'!D384),",","")),"")</f>
        <v>999306</v>
      </c>
      <c r="H380" s="19" t="n">
        <f aca="false">IFERROR(VALUE(SUBSTITUTE(TRIM('수출입 실적(품목별)'!E384),",","")),"")</f>
        <v>1558389</v>
      </c>
      <c r="I380" s="18" t="n">
        <f aca="false">IFERROR(VALUE(SUBSTITUTE(TRIM('수출입 실적(품목별)'!F384),",","")),"")</f>
        <v>477034.6</v>
      </c>
      <c r="J380" s="19" t="n">
        <f aca="false">IFERROR(VALUE(SUBSTITUTE(TRIM('수출입 실적(품목별)'!G384),",","")),"")</f>
        <v>329415</v>
      </c>
      <c r="K380" s="19" t="n">
        <f aca="false">IFERROR(VALUE(SUBSTITUTE(TRIM('수출입 실적(품목별)'!H384),",","")),"")</f>
        <v>1228973</v>
      </c>
    </row>
    <row r="381" customFormat="false" ht="15" hidden="false" customHeight="true" outlineLevel="0" collapsed="false">
      <c r="A381" s="11" t="str">
        <f aca="false">TRIM('수출입 실적(품목별)'!A385)</f>
        <v>2024.04</v>
      </c>
      <c r="B381" s="17" t="n">
        <f aca="false">IFERROR(VALUE(LEFT($A381,4)),"")</f>
        <v>2024</v>
      </c>
      <c r="C381" s="17" t="n">
        <f aca="false">IFERROR(VALUE(RIGHT($A381,2)),"")</f>
        <v>4</v>
      </c>
      <c r="D381" s="17" t="n">
        <f aca="false">IFERROR(ROUNDUP($C381/3,0),"")</f>
        <v>2</v>
      </c>
      <c r="E381" s="11" t="str">
        <f aca="false">TRIM('수출입 실적(품목별)'!B385)</f>
        <v>90</v>
      </c>
      <c r="F381" s="11" t="str">
        <f aca="false">TRIM('수출입 실적(품목별)'!C385)</f>
        <v>광학기기ㆍ사진용 기기ㆍ영화용 기기ㆍ측정기기ㆍ검사기기ㆍ정밀기기ㆍ의료용 기기, 이들의 부분품과 부속품</v>
      </c>
      <c r="G381" s="18" t="n">
        <f aca="false">IFERROR(VALUE(SUBSTITUTE(TRIM('수출입 실적(품목별)'!D385),",","")),"")</f>
        <v>17906.8</v>
      </c>
      <c r="H381" s="19" t="n">
        <f aca="false">IFERROR(VALUE(SUBSTITUTE(TRIM('수출입 실적(품목별)'!E385),",","")),"")</f>
        <v>1422212</v>
      </c>
      <c r="I381" s="18" t="n">
        <f aca="false">IFERROR(VALUE(SUBSTITUTE(TRIM('수출입 실적(품목별)'!F385),",","")),"")</f>
        <v>18451.9</v>
      </c>
      <c r="J381" s="19" t="n">
        <f aca="false">IFERROR(VALUE(SUBSTITUTE(TRIM('수출입 실적(품목별)'!G385),",","")),"")</f>
        <v>1848418</v>
      </c>
      <c r="K381" s="19" t="n">
        <f aca="false">IFERROR(VALUE(SUBSTITUTE(TRIM('수출입 실적(품목별)'!H385),",","")),"")</f>
        <v>-426206</v>
      </c>
    </row>
    <row r="382" customFormat="false" ht="15" hidden="false" customHeight="true" outlineLevel="0" collapsed="false">
      <c r="A382" s="11" t="str">
        <f aca="false">TRIM('수출입 실적(품목별)'!A386)</f>
        <v>2024.04</v>
      </c>
      <c r="B382" s="17" t="n">
        <f aca="false">IFERROR(VALUE(LEFT($A382,4)),"")</f>
        <v>2024</v>
      </c>
      <c r="C382" s="17" t="n">
        <f aca="false">IFERROR(VALUE(RIGHT($A382,2)),"")</f>
        <v>4</v>
      </c>
      <c r="D382" s="17" t="n">
        <f aca="false">IFERROR(ROUNDUP($C382/3,0),"")</f>
        <v>2</v>
      </c>
      <c r="E382" s="11" t="str">
        <f aca="false">TRIM('수출입 실적(품목별)'!B386)</f>
        <v>91</v>
      </c>
      <c r="F382" s="11" t="str">
        <f aca="false">TRIM('수출입 실적(품목별)'!C386)</f>
        <v>시계와 그 부분품</v>
      </c>
      <c r="G382" s="18" t="n">
        <f aca="false">IFERROR(VALUE(SUBSTITUTE(TRIM('수출입 실적(품목별)'!D386),",","")),"")</f>
        <v>21</v>
      </c>
      <c r="H382" s="19" t="n">
        <f aca="false">IFERROR(VALUE(SUBSTITUTE(TRIM('수출입 실적(품목별)'!E386),",","")),"")</f>
        <v>12950</v>
      </c>
      <c r="I382" s="18" t="n">
        <f aca="false">IFERROR(VALUE(SUBSTITUTE(TRIM('수출입 실적(품목별)'!F386),",","")),"")</f>
        <v>379.1</v>
      </c>
      <c r="J382" s="19" t="n">
        <f aca="false">IFERROR(VALUE(SUBSTITUTE(TRIM('수출입 실적(품목별)'!G386),",","")),"")</f>
        <v>86487</v>
      </c>
      <c r="K382" s="19" t="n">
        <f aca="false">IFERROR(VALUE(SUBSTITUTE(TRIM('수출입 실적(품목별)'!H386),",","")),"")</f>
        <v>-73538</v>
      </c>
    </row>
    <row r="383" customFormat="false" ht="15" hidden="false" customHeight="true" outlineLevel="0" collapsed="false">
      <c r="A383" s="11" t="str">
        <f aca="false">TRIM('수출입 실적(품목별)'!A387)</f>
        <v>2024.04</v>
      </c>
      <c r="B383" s="17" t="n">
        <f aca="false">IFERROR(VALUE(LEFT($A383,4)),"")</f>
        <v>2024</v>
      </c>
      <c r="C383" s="17" t="n">
        <f aca="false">IFERROR(VALUE(RIGHT($A383,2)),"")</f>
        <v>4</v>
      </c>
      <c r="D383" s="17" t="n">
        <f aca="false">IFERROR(ROUNDUP($C383/3,0),"")</f>
        <v>2</v>
      </c>
      <c r="E383" s="11" t="str">
        <f aca="false">TRIM('수출입 실적(품목별)'!B387)</f>
        <v>92</v>
      </c>
      <c r="F383" s="11" t="str">
        <f aca="false">TRIM('수출입 실적(품목별)'!C387)</f>
        <v>악기와 그 부분품과 부속품</v>
      </c>
      <c r="G383" s="18" t="n">
        <f aca="false">IFERROR(VALUE(SUBSTITUTE(TRIM('수출입 실적(품목별)'!D387),",","")),"")</f>
        <v>629.6</v>
      </c>
      <c r="H383" s="19" t="n">
        <f aca="false">IFERROR(VALUE(SUBSTITUTE(TRIM('수출입 실적(품목별)'!E387),",","")),"")</f>
        <v>9806</v>
      </c>
      <c r="I383" s="18" t="n">
        <f aca="false">IFERROR(VALUE(SUBSTITUTE(TRIM('수출입 실적(품목별)'!F387),",","")),"")</f>
        <v>712.7</v>
      </c>
      <c r="J383" s="19" t="n">
        <f aca="false">IFERROR(VALUE(SUBSTITUTE(TRIM('수출입 실적(품목별)'!G387),",","")),"")</f>
        <v>16347</v>
      </c>
      <c r="K383" s="19" t="n">
        <f aca="false">IFERROR(VALUE(SUBSTITUTE(TRIM('수출입 실적(품목별)'!H387),",","")),"")</f>
        <v>-6541</v>
      </c>
    </row>
    <row r="384" customFormat="false" ht="15" hidden="false" customHeight="true" outlineLevel="0" collapsed="false">
      <c r="A384" s="11" t="str">
        <f aca="false">TRIM('수출입 실적(품목별)'!A388)</f>
        <v>2024.04</v>
      </c>
      <c r="B384" s="17" t="n">
        <f aca="false">IFERROR(VALUE(LEFT($A384,4)),"")</f>
        <v>2024</v>
      </c>
      <c r="C384" s="17" t="n">
        <f aca="false">IFERROR(VALUE(RIGHT($A384,2)),"")</f>
        <v>4</v>
      </c>
      <c r="D384" s="17" t="n">
        <f aca="false">IFERROR(ROUNDUP($C384/3,0),"")</f>
        <v>2</v>
      </c>
      <c r="E384" s="11" t="str">
        <f aca="false">TRIM('수출입 실적(품목별)'!B388)</f>
        <v>93</v>
      </c>
      <c r="F384" s="11" t="str">
        <f aca="false">TRIM('수출입 실적(품목별)'!C388)</f>
        <v>무기ㆍ총포탄과 이들의 부분품과 부속품</v>
      </c>
      <c r="G384" s="18" t="n">
        <f aca="false">IFERROR(VALUE(SUBSTITUTE(TRIM('수출입 실적(품목별)'!D388),",","")),"")</f>
        <v>2785</v>
      </c>
      <c r="H384" s="19" t="n">
        <f aca="false">IFERROR(VALUE(SUBSTITUTE(TRIM('수출입 실적(품목별)'!E388),",","")),"")</f>
        <v>279485</v>
      </c>
      <c r="I384" s="18" t="n">
        <f aca="false">IFERROR(VALUE(SUBSTITUTE(TRIM('수출입 실적(품목별)'!F388),",","")),"")</f>
        <v>51.6</v>
      </c>
      <c r="J384" s="19" t="n">
        <f aca="false">IFERROR(VALUE(SUBSTITUTE(TRIM('수출입 실적(품목별)'!G388),",","")),"")</f>
        <v>20975</v>
      </c>
      <c r="K384" s="19" t="n">
        <f aca="false">IFERROR(VALUE(SUBSTITUTE(TRIM('수출입 실적(품목별)'!H388),",","")),"")</f>
        <v>258510</v>
      </c>
    </row>
    <row r="385" customFormat="false" ht="15" hidden="false" customHeight="true" outlineLevel="0" collapsed="false">
      <c r="A385" s="11" t="str">
        <f aca="false">TRIM('수출입 실적(품목별)'!A389)</f>
        <v>2024.04</v>
      </c>
      <c r="B385" s="17" t="n">
        <f aca="false">IFERROR(VALUE(LEFT($A385,4)),"")</f>
        <v>2024</v>
      </c>
      <c r="C385" s="17" t="n">
        <f aca="false">IFERROR(VALUE(RIGHT($A385,2)),"")</f>
        <v>4</v>
      </c>
      <c r="D385" s="17" t="n">
        <f aca="false">IFERROR(ROUNDUP($C385/3,0),"")</f>
        <v>2</v>
      </c>
      <c r="E385" s="11" t="str">
        <f aca="false">TRIM('수출입 실적(품목별)'!B389)</f>
        <v>94</v>
      </c>
      <c r="F385" s="11" t="str">
        <f aca="false">TRIM('수출입 실적(품목별)'!C389)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385" s="18" t="n">
        <f aca="false">IFERROR(VALUE(SUBSTITUTE(TRIM('수출입 실적(품목별)'!D389),",","")),"")</f>
        <v>14706.8</v>
      </c>
      <c r="H385" s="19" t="n">
        <f aca="false">IFERROR(VALUE(SUBSTITUTE(TRIM('수출입 실적(품목별)'!E389),",","")),"")</f>
        <v>112188</v>
      </c>
      <c r="I385" s="18" t="n">
        <f aca="false">IFERROR(VALUE(SUBSTITUTE(TRIM('수출입 실적(품목별)'!F389),",","")),"")</f>
        <v>77832.1</v>
      </c>
      <c r="J385" s="19" t="n">
        <f aca="false">IFERROR(VALUE(SUBSTITUTE(TRIM('수출입 실적(품목별)'!G389),",","")),"")</f>
        <v>344539</v>
      </c>
      <c r="K385" s="19" t="n">
        <f aca="false">IFERROR(VALUE(SUBSTITUTE(TRIM('수출입 실적(품목별)'!H389),",","")),"")</f>
        <v>-232350</v>
      </c>
    </row>
    <row r="386" customFormat="false" ht="15" hidden="false" customHeight="true" outlineLevel="0" collapsed="false">
      <c r="A386" s="11" t="str">
        <f aca="false">TRIM('수출입 실적(품목별)'!A390)</f>
        <v>2024.04</v>
      </c>
      <c r="B386" s="17" t="n">
        <f aca="false">IFERROR(VALUE(LEFT($A386,4)),"")</f>
        <v>2024</v>
      </c>
      <c r="C386" s="17" t="n">
        <f aca="false">IFERROR(VALUE(RIGHT($A386,2)),"")</f>
        <v>4</v>
      </c>
      <c r="D386" s="17" t="n">
        <f aca="false">IFERROR(ROUNDUP($C386/3,0),"")</f>
        <v>2</v>
      </c>
      <c r="E386" s="11" t="str">
        <f aca="false">TRIM('수출입 실적(품목별)'!B390)</f>
        <v>95</v>
      </c>
      <c r="F386" s="11" t="str">
        <f aca="false">TRIM('수출입 실적(품목별)'!C390)</f>
        <v>완구ㆍ게임용구ㆍ운동용구와 이들의 부분품과 부속품</v>
      </c>
      <c r="G386" s="18" t="n">
        <f aca="false">IFERROR(VALUE(SUBSTITUTE(TRIM('수출입 실적(품목별)'!D390),",","")),"")</f>
        <v>1809.7</v>
      </c>
      <c r="H386" s="19" t="n">
        <f aca="false">IFERROR(VALUE(SUBSTITUTE(TRIM('수출입 실적(품목별)'!E390),",","")),"")</f>
        <v>44524</v>
      </c>
      <c r="I386" s="18" t="n">
        <f aca="false">IFERROR(VALUE(SUBSTITUTE(TRIM('수출입 실적(품목별)'!F390),",","")),"")</f>
        <v>17626.8</v>
      </c>
      <c r="J386" s="19" t="n">
        <f aca="false">IFERROR(VALUE(SUBSTITUTE(TRIM('수출입 실적(품목별)'!G390),",","")),"")</f>
        <v>229352</v>
      </c>
      <c r="K386" s="19" t="n">
        <f aca="false">IFERROR(VALUE(SUBSTITUTE(TRIM('수출입 실적(품목별)'!H390),",","")),"")</f>
        <v>-184828</v>
      </c>
    </row>
    <row r="387" customFormat="false" ht="15" hidden="false" customHeight="true" outlineLevel="0" collapsed="false">
      <c r="A387" s="11" t="str">
        <f aca="false">TRIM('수출입 실적(품목별)'!A391)</f>
        <v>2024.04</v>
      </c>
      <c r="B387" s="17" t="n">
        <f aca="false">IFERROR(VALUE(LEFT($A387,4)),"")</f>
        <v>2024</v>
      </c>
      <c r="C387" s="17" t="n">
        <f aca="false">IFERROR(VALUE(RIGHT($A387,2)),"")</f>
        <v>4</v>
      </c>
      <c r="D387" s="17" t="n">
        <f aca="false">IFERROR(ROUNDUP($C387/3,0),"")</f>
        <v>2</v>
      </c>
      <c r="E387" s="11" t="str">
        <f aca="false">TRIM('수출입 실적(품목별)'!B391)</f>
        <v>96</v>
      </c>
      <c r="F387" s="11" t="str">
        <f aca="false">TRIM('수출입 실적(품목별)'!C391)</f>
        <v>잡품</v>
      </c>
      <c r="G387" s="18" t="n">
        <f aca="false">IFERROR(VALUE(SUBSTITUTE(TRIM('수출입 실적(품목별)'!D391),",","")),"")</f>
        <v>2567</v>
      </c>
      <c r="H387" s="19" t="n">
        <f aca="false">IFERROR(VALUE(SUBSTITUTE(TRIM('수출입 실적(품목별)'!E391),",","")),"")</f>
        <v>45218</v>
      </c>
      <c r="I387" s="18" t="n">
        <f aca="false">IFERROR(VALUE(SUBSTITUTE(TRIM('수출입 실적(품목별)'!F391),",","")),"")</f>
        <v>11559.6</v>
      </c>
      <c r="J387" s="19" t="n">
        <f aca="false">IFERROR(VALUE(SUBSTITUTE(TRIM('수출입 실적(품목별)'!G391),",","")),"")</f>
        <v>105746</v>
      </c>
      <c r="K387" s="19" t="n">
        <f aca="false">IFERROR(VALUE(SUBSTITUTE(TRIM('수출입 실적(품목별)'!H391),",","")),"")</f>
        <v>-60527</v>
      </c>
    </row>
    <row r="388" customFormat="false" ht="15" hidden="false" customHeight="true" outlineLevel="0" collapsed="false">
      <c r="A388" s="11" t="str">
        <f aca="false">TRIM('수출입 실적(품목별)'!A392)</f>
        <v>2024.04</v>
      </c>
      <c r="B388" s="17" t="n">
        <f aca="false">IFERROR(VALUE(LEFT($A388,4)),"")</f>
        <v>2024</v>
      </c>
      <c r="C388" s="17" t="n">
        <f aca="false">IFERROR(VALUE(RIGHT($A388,2)),"")</f>
        <v>4</v>
      </c>
      <c r="D388" s="17" t="n">
        <f aca="false">IFERROR(ROUNDUP($C388/3,0),"")</f>
        <v>2</v>
      </c>
      <c r="E388" s="11" t="str">
        <f aca="false">TRIM('수출입 실적(품목별)'!B392)</f>
        <v>97</v>
      </c>
      <c r="F388" s="11" t="str">
        <f aca="false">TRIM('수출입 실적(품목별)'!C392)</f>
        <v>예술품ㆍ수집품ㆍ골동품</v>
      </c>
      <c r="G388" s="18" t="n">
        <f aca="false">IFERROR(VALUE(SUBSTITUTE(TRIM('수출입 실적(품목별)'!D392),",","")),"")</f>
        <v>18.8</v>
      </c>
      <c r="H388" s="19" t="n">
        <f aca="false">IFERROR(VALUE(SUBSTITUTE(TRIM('수출입 실적(품목별)'!E392),",","")),"")</f>
        <v>45739</v>
      </c>
      <c r="I388" s="18" t="n">
        <f aca="false">IFERROR(VALUE(SUBSTITUTE(TRIM('수출입 실적(품목별)'!F392),",","")),"")</f>
        <v>36.9</v>
      </c>
      <c r="J388" s="19" t="n">
        <f aca="false">IFERROR(VALUE(SUBSTITUTE(TRIM('수출입 실적(품목별)'!G392),",","")),"")</f>
        <v>43974</v>
      </c>
      <c r="K388" s="19" t="n">
        <f aca="false">IFERROR(VALUE(SUBSTITUTE(TRIM('수출입 실적(품목별)'!H392),",","")),"")</f>
        <v>1765</v>
      </c>
    </row>
    <row r="389" customFormat="false" ht="15" hidden="false" customHeight="true" outlineLevel="0" collapsed="false">
      <c r="A389" s="11" t="str">
        <f aca="false">TRIM('수출입 실적(품목별)'!A393)</f>
        <v>2024.04</v>
      </c>
      <c r="B389" s="17" t="n">
        <f aca="false">IFERROR(VALUE(LEFT($A389,4)),"")</f>
        <v>2024</v>
      </c>
      <c r="C389" s="17" t="n">
        <f aca="false">IFERROR(VALUE(RIGHT($A389,2)),"")</f>
        <v>4</v>
      </c>
      <c r="D389" s="17" t="n">
        <f aca="false">IFERROR(ROUNDUP($C389/3,0),"")</f>
        <v>2</v>
      </c>
      <c r="E389" s="11" t="str">
        <f aca="false">TRIM('수출입 실적(품목별)'!B393)</f>
        <v>99</v>
      </c>
      <c r="F389" s="11" t="str">
        <f aca="false">TRIM('수출입 실적(품목별)'!C393)</f>
        <v>일시적 입법 ; 설치된 간이 수정에 따른 입법을 트레이드한다 ; 추가적 수입제한농업인 것의 제 22 부에 따른 확립된 것 조정 행위, 수정된 것처럼</v>
      </c>
      <c r="G389" s="18" t="n">
        <f aca="false">IFERROR(VALUE(SUBSTITUTE(TRIM('수출입 실적(품목별)'!D393),",","")),"")</f>
        <v>0</v>
      </c>
      <c r="H389" s="19" t="n">
        <f aca="false">IFERROR(VALUE(SUBSTITUTE(TRIM('수출입 실적(품목별)'!E393),",","")),"")</f>
        <v>0</v>
      </c>
      <c r="I389" s="18" t="n">
        <f aca="false">IFERROR(VALUE(SUBSTITUTE(TRIM('수출입 실적(품목별)'!F393),",","")),"")</f>
        <v>0</v>
      </c>
      <c r="J389" s="19" t="n">
        <f aca="false">IFERROR(VALUE(SUBSTITUTE(TRIM('수출입 실적(품목별)'!G393),",","")),"")</f>
        <v>0</v>
      </c>
      <c r="K389" s="19" t="n">
        <f aca="false">IFERROR(VALUE(SUBSTITUTE(TRIM('수출입 실적(품목별)'!H393),",","")),"")</f>
        <v>0</v>
      </c>
    </row>
    <row r="390" customFormat="false" ht="15" hidden="false" customHeight="true" outlineLevel="0" collapsed="false">
      <c r="A390" s="11" t="str">
        <f aca="false">TRIM('수출입 실적(품목별)'!A394)</f>
        <v>2024.05</v>
      </c>
      <c r="B390" s="17" t="n">
        <f aca="false">IFERROR(VALUE(LEFT($A390,4)),"")</f>
        <v>2024</v>
      </c>
      <c r="C390" s="17" t="n">
        <f aca="false">IFERROR(VALUE(RIGHT($A390,2)),"")</f>
        <v>5</v>
      </c>
      <c r="D390" s="17" t="n">
        <f aca="false">IFERROR(ROUNDUP($C390/3,0),"")</f>
        <v>2</v>
      </c>
      <c r="E390" s="11" t="str">
        <f aca="false">TRIM('수출입 실적(품목별)'!B394)</f>
        <v>01</v>
      </c>
      <c r="F390" s="11" t="str">
        <f aca="false">TRIM('수출입 실적(품목별)'!C394)</f>
        <v>살아 있는 동물</v>
      </c>
      <c r="G390" s="18" t="n">
        <f aca="false">IFERROR(VALUE(SUBSTITUTE(TRIM('수출입 실적(품목별)'!D394),",","")),"")</f>
        <v>3.7</v>
      </c>
      <c r="H390" s="19" t="n">
        <f aca="false">IFERROR(VALUE(SUBSTITUTE(TRIM('수출입 실적(품목별)'!E394),",","")),"")</f>
        <v>789</v>
      </c>
      <c r="I390" s="18" t="n">
        <f aca="false">IFERROR(VALUE(SUBSTITUTE(TRIM('수출입 실적(품목별)'!F394),",","")),"")</f>
        <v>116.9</v>
      </c>
      <c r="J390" s="19" t="n">
        <f aca="false">IFERROR(VALUE(SUBSTITUTE(TRIM('수출입 실적(품목별)'!G394),",","")),"")</f>
        <v>9747</v>
      </c>
      <c r="K390" s="19" t="n">
        <f aca="false">IFERROR(VALUE(SUBSTITUTE(TRIM('수출입 실적(품목별)'!H394),",","")),"")</f>
        <v>-8958</v>
      </c>
    </row>
    <row r="391" customFormat="false" ht="15" hidden="false" customHeight="true" outlineLevel="0" collapsed="false">
      <c r="A391" s="11" t="str">
        <f aca="false">TRIM('수출입 실적(품목별)'!A395)</f>
        <v>2024.05</v>
      </c>
      <c r="B391" s="17" t="n">
        <f aca="false">IFERROR(VALUE(LEFT($A391,4)),"")</f>
        <v>2024</v>
      </c>
      <c r="C391" s="17" t="n">
        <f aca="false">IFERROR(VALUE(RIGHT($A391,2)),"")</f>
        <v>5</v>
      </c>
      <c r="D391" s="17" t="n">
        <f aca="false">IFERROR(ROUNDUP($C391/3,0),"")</f>
        <v>2</v>
      </c>
      <c r="E391" s="11" t="str">
        <f aca="false">TRIM('수출입 실적(품목별)'!B395)</f>
        <v>02</v>
      </c>
      <c r="F391" s="11" t="str">
        <f aca="false">TRIM('수출입 실적(품목별)'!C395)</f>
        <v>육과 식용 설육(屑肉)</v>
      </c>
      <c r="G391" s="18" t="n">
        <f aca="false">IFERROR(VALUE(SUBSTITUTE(TRIM('수출입 실적(품목별)'!D395),",","")),"")</f>
        <v>4639</v>
      </c>
      <c r="H391" s="19" t="n">
        <f aca="false">IFERROR(VALUE(SUBSTITUTE(TRIM('수출입 실적(품목별)'!E395),",","")),"")</f>
        <v>6317</v>
      </c>
      <c r="I391" s="18" t="n">
        <f aca="false">IFERROR(VALUE(SUBSTITUTE(TRIM('수출입 실적(품목별)'!F395),",","")),"")</f>
        <v>122466.1</v>
      </c>
      <c r="J391" s="19" t="n">
        <f aca="false">IFERROR(VALUE(SUBSTITUTE(TRIM('수출입 실적(품목별)'!G395),",","")),"")</f>
        <v>594069</v>
      </c>
      <c r="K391" s="19" t="n">
        <f aca="false">IFERROR(VALUE(SUBSTITUTE(TRIM('수출입 실적(품목별)'!H395),",","")),"")</f>
        <v>-587752</v>
      </c>
    </row>
    <row r="392" customFormat="false" ht="15" hidden="false" customHeight="true" outlineLevel="0" collapsed="false">
      <c r="A392" s="11" t="str">
        <f aca="false">TRIM('수출입 실적(품목별)'!A396)</f>
        <v>2024.05</v>
      </c>
      <c r="B392" s="17" t="n">
        <f aca="false">IFERROR(VALUE(LEFT($A392,4)),"")</f>
        <v>2024</v>
      </c>
      <c r="C392" s="17" t="n">
        <f aca="false">IFERROR(VALUE(RIGHT($A392,2)),"")</f>
        <v>5</v>
      </c>
      <c r="D392" s="17" t="n">
        <f aca="false">IFERROR(ROUNDUP($C392/3,0),"")</f>
        <v>2</v>
      </c>
      <c r="E392" s="11" t="str">
        <f aca="false">TRIM('수출입 실적(품목별)'!B396)</f>
        <v>03</v>
      </c>
      <c r="F392" s="11" t="str">
        <f aca="false">TRIM('수출입 실적(품목별)'!C396)</f>
        <v>어류ㆍ갑각류ㆍ연체동물과 그 밖의 수생(水生) 무척추동물</v>
      </c>
      <c r="G392" s="18" t="n">
        <f aca="false">IFERROR(VALUE(SUBSTITUTE(TRIM('수출입 실적(품목별)'!D396),",","")),"")</f>
        <v>32837.8</v>
      </c>
      <c r="H392" s="19" t="n">
        <f aca="false">IFERROR(VALUE(SUBSTITUTE(TRIM('수출입 실적(품목별)'!E396),",","")),"")</f>
        <v>109814</v>
      </c>
      <c r="I392" s="18" t="n">
        <f aca="false">IFERROR(VALUE(SUBSTITUTE(TRIM('수출입 실적(품목별)'!F396),",","")),"")</f>
        <v>89623.3</v>
      </c>
      <c r="J392" s="19" t="n">
        <f aca="false">IFERROR(VALUE(SUBSTITUTE(TRIM('수출입 실적(품목별)'!G396),",","")),"")</f>
        <v>378286</v>
      </c>
      <c r="K392" s="19" t="n">
        <f aca="false">IFERROR(VALUE(SUBSTITUTE(TRIM('수출입 실적(품목별)'!H396),",","")),"")</f>
        <v>-268472</v>
      </c>
    </row>
    <row r="393" customFormat="false" ht="15" hidden="false" customHeight="true" outlineLevel="0" collapsed="false">
      <c r="A393" s="11" t="str">
        <f aca="false">TRIM('수출입 실적(품목별)'!A397)</f>
        <v>2024.05</v>
      </c>
      <c r="B393" s="17" t="n">
        <f aca="false">IFERROR(VALUE(LEFT($A393,4)),"")</f>
        <v>2024</v>
      </c>
      <c r="C393" s="17" t="n">
        <f aca="false">IFERROR(VALUE(RIGHT($A393,2)),"")</f>
        <v>5</v>
      </c>
      <c r="D393" s="17" t="n">
        <f aca="false">IFERROR(ROUNDUP($C393/3,0),"")</f>
        <v>2</v>
      </c>
      <c r="E393" s="11" t="str">
        <f aca="false">TRIM('수출입 실적(품목별)'!B397)</f>
        <v>04</v>
      </c>
      <c r="F393" s="11" t="str">
        <f aca="false">TRIM('수출입 실적(품목별)'!C397)</f>
        <v>낙농품, 새의 알, 천연꿀, 다른 류로 분류되지 않은 식용인 동물성 생산품</v>
      </c>
      <c r="G393" s="18" t="n">
        <f aca="false">IFERROR(VALUE(SUBSTITUTE(TRIM('수출입 실적(품목별)'!D397),",","")),"")</f>
        <v>2770.4</v>
      </c>
      <c r="H393" s="19" t="n">
        <f aca="false">IFERROR(VALUE(SUBSTITUTE(TRIM('수출입 실적(품목별)'!E397),",","")),"")</f>
        <v>6793</v>
      </c>
      <c r="I393" s="18" t="n">
        <f aca="false">IFERROR(VALUE(SUBSTITUTE(TRIM('수출입 실적(품목별)'!F397),",","")),"")</f>
        <v>32428.6</v>
      </c>
      <c r="J393" s="19" t="n">
        <f aca="false">IFERROR(VALUE(SUBSTITUTE(TRIM('수출입 실적(품목별)'!G397),",","")),"")</f>
        <v>117723</v>
      </c>
      <c r="K393" s="19" t="n">
        <f aca="false">IFERROR(VALUE(SUBSTITUTE(TRIM('수출입 실적(품목별)'!H397),",","")),"")</f>
        <v>-110930</v>
      </c>
    </row>
    <row r="394" customFormat="false" ht="15" hidden="false" customHeight="true" outlineLevel="0" collapsed="false">
      <c r="A394" s="11" t="str">
        <f aca="false">TRIM('수출입 실적(품목별)'!A398)</f>
        <v>2024.05</v>
      </c>
      <c r="B394" s="17" t="n">
        <f aca="false">IFERROR(VALUE(LEFT($A394,4)),"")</f>
        <v>2024</v>
      </c>
      <c r="C394" s="17" t="n">
        <f aca="false">IFERROR(VALUE(RIGHT($A394,2)),"")</f>
        <v>5</v>
      </c>
      <c r="D394" s="17" t="n">
        <f aca="false">IFERROR(ROUNDUP($C394/3,0),"")</f>
        <v>2</v>
      </c>
      <c r="E394" s="11" t="str">
        <f aca="false">TRIM('수출입 실적(품목별)'!B398)</f>
        <v>05</v>
      </c>
      <c r="F394" s="11" t="str">
        <f aca="false">TRIM('수출입 실적(품목별)'!C398)</f>
        <v>다른 류로 분류되지 않은 동물성 생산품</v>
      </c>
      <c r="G394" s="18" t="n">
        <f aca="false">IFERROR(VALUE(SUBSTITUTE(TRIM('수출입 실적(품목별)'!D398),",","")),"")</f>
        <v>3500.2</v>
      </c>
      <c r="H394" s="19" t="n">
        <f aca="false">IFERROR(VALUE(SUBSTITUTE(TRIM('수출입 실적(품목별)'!E398),",","")),"")</f>
        <v>7375</v>
      </c>
      <c r="I394" s="18" t="n">
        <f aca="false">IFERROR(VALUE(SUBSTITUTE(TRIM('수출입 실적(품목별)'!F398),",","")),"")</f>
        <v>3659.5</v>
      </c>
      <c r="J394" s="19" t="n">
        <f aca="false">IFERROR(VALUE(SUBSTITUTE(TRIM('수출입 실적(품목별)'!G398),",","")),"")</f>
        <v>24801</v>
      </c>
      <c r="K394" s="19" t="n">
        <f aca="false">IFERROR(VALUE(SUBSTITUTE(TRIM('수출입 실적(품목별)'!H398),",","")),"")</f>
        <v>-17426</v>
      </c>
    </row>
    <row r="395" customFormat="false" ht="15" hidden="false" customHeight="true" outlineLevel="0" collapsed="false">
      <c r="A395" s="11" t="str">
        <f aca="false">TRIM('수출입 실적(품목별)'!A399)</f>
        <v>2024.05</v>
      </c>
      <c r="B395" s="17" t="n">
        <f aca="false">IFERROR(VALUE(LEFT($A395,4)),"")</f>
        <v>2024</v>
      </c>
      <c r="C395" s="17" t="n">
        <f aca="false">IFERROR(VALUE(RIGHT($A395,2)),"")</f>
        <v>5</v>
      </c>
      <c r="D395" s="17" t="n">
        <f aca="false">IFERROR(ROUNDUP($C395/3,0),"")</f>
        <v>2</v>
      </c>
      <c r="E395" s="11" t="str">
        <f aca="false">TRIM('수출입 실적(품목별)'!B399)</f>
        <v>06</v>
      </c>
      <c r="F395" s="11" t="str">
        <f aca="false">TRIM('수출입 실적(품목별)'!C399)</f>
        <v>살아 있는 수목과 그 밖의 식물, 인경(鱗莖)ㆍ뿌리와 이와 유사한 물품, 절화(切花)와 장식용 잎</v>
      </c>
      <c r="G395" s="18" t="n">
        <f aca="false">IFERROR(VALUE(SUBSTITUTE(TRIM('수출입 실적(품목별)'!D399),",","")),"")</f>
        <v>46.7</v>
      </c>
      <c r="H395" s="19" t="n">
        <f aca="false">IFERROR(VALUE(SUBSTITUTE(TRIM('수출입 실적(품목별)'!E399),",","")),"")</f>
        <v>487</v>
      </c>
      <c r="I395" s="18" t="n">
        <f aca="false">IFERROR(VALUE(SUBSTITUTE(TRIM('수출입 실적(품목별)'!F399),",","")),"")</f>
        <v>6713.9</v>
      </c>
      <c r="J395" s="19" t="n">
        <f aca="false">IFERROR(VALUE(SUBSTITUTE(TRIM('수출입 실적(품목별)'!G399),",","")),"")</f>
        <v>12711</v>
      </c>
      <c r="K395" s="19" t="n">
        <f aca="false">IFERROR(VALUE(SUBSTITUTE(TRIM('수출입 실적(품목별)'!H399),",","")),"")</f>
        <v>-12223</v>
      </c>
    </row>
    <row r="396" customFormat="false" ht="15" hidden="false" customHeight="true" outlineLevel="0" collapsed="false">
      <c r="A396" s="11" t="str">
        <f aca="false">TRIM('수출입 실적(품목별)'!A400)</f>
        <v>2024.05</v>
      </c>
      <c r="B396" s="17" t="n">
        <f aca="false">IFERROR(VALUE(LEFT($A396,4)),"")</f>
        <v>2024</v>
      </c>
      <c r="C396" s="17" t="n">
        <f aca="false">IFERROR(VALUE(RIGHT($A396,2)),"")</f>
        <v>5</v>
      </c>
      <c r="D396" s="17" t="n">
        <f aca="false">IFERROR(ROUNDUP($C396/3,0),"")</f>
        <v>2</v>
      </c>
      <c r="E396" s="11" t="str">
        <f aca="false">TRIM('수출입 실적(품목별)'!B400)</f>
        <v>07</v>
      </c>
      <c r="F396" s="11" t="str">
        <f aca="false">TRIM('수출입 실적(품목별)'!C400)</f>
        <v>식용의 채소ㆍ뿌리ㆍ괴경(塊莖)</v>
      </c>
      <c r="G396" s="18" t="n">
        <f aca="false">IFERROR(VALUE(SUBSTITUTE(TRIM('수출입 실적(품목별)'!D400),",","")),"")</f>
        <v>4499.5</v>
      </c>
      <c r="H396" s="19" t="n">
        <f aca="false">IFERROR(VALUE(SUBSTITUTE(TRIM('수출입 실적(품목별)'!E400),",","")),"")</f>
        <v>10021</v>
      </c>
      <c r="I396" s="18" t="n">
        <f aca="false">IFERROR(VALUE(SUBSTITUTE(TRIM('수출입 실적(품목별)'!F400),",","")),"")</f>
        <v>95801.6</v>
      </c>
      <c r="J396" s="19" t="n">
        <f aca="false">IFERROR(VALUE(SUBSTITUTE(TRIM('수출입 실적(품목별)'!G400),",","")),"")</f>
        <v>72023</v>
      </c>
      <c r="K396" s="19" t="n">
        <f aca="false">IFERROR(VALUE(SUBSTITUTE(TRIM('수출입 실적(품목별)'!H400),",","")),"")</f>
        <v>-62002</v>
      </c>
    </row>
    <row r="397" customFormat="false" ht="15" hidden="false" customHeight="true" outlineLevel="0" collapsed="false">
      <c r="A397" s="11" t="str">
        <f aca="false">TRIM('수출입 실적(품목별)'!A401)</f>
        <v>2024.05</v>
      </c>
      <c r="B397" s="17" t="n">
        <f aca="false">IFERROR(VALUE(LEFT($A397,4)),"")</f>
        <v>2024</v>
      </c>
      <c r="C397" s="17" t="n">
        <f aca="false">IFERROR(VALUE(RIGHT($A397,2)),"")</f>
        <v>5</v>
      </c>
      <c r="D397" s="17" t="n">
        <f aca="false">IFERROR(ROUNDUP($C397/3,0),"")</f>
        <v>2</v>
      </c>
      <c r="E397" s="11" t="str">
        <f aca="false">TRIM('수출입 실적(품목별)'!B401)</f>
        <v>08</v>
      </c>
      <c r="F397" s="11" t="str">
        <f aca="false">TRIM('수출입 실적(품목별)'!C401)</f>
        <v>식용의 과실과 견과류, 감귤류ㆍ멜론의 껍질</v>
      </c>
      <c r="G397" s="18" t="n">
        <f aca="false">IFERROR(VALUE(SUBSTITUTE(TRIM('수출입 실적(품목별)'!D401),",","")),"")</f>
        <v>504.8</v>
      </c>
      <c r="H397" s="19" t="n">
        <f aca="false">IFERROR(VALUE(SUBSTITUTE(TRIM('수출입 실적(품목별)'!E401),",","")),"")</f>
        <v>4065</v>
      </c>
      <c r="I397" s="18" t="n">
        <f aca="false">IFERROR(VALUE(SUBSTITUTE(TRIM('수출입 실적(품목별)'!F401),",","")),"")</f>
        <v>104250.3</v>
      </c>
      <c r="J397" s="19" t="n">
        <f aca="false">IFERROR(VALUE(SUBSTITUTE(TRIM('수출입 실적(품목별)'!G401),",","")),"")</f>
        <v>243291</v>
      </c>
      <c r="K397" s="19" t="n">
        <f aca="false">IFERROR(VALUE(SUBSTITUTE(TRIM('수출입 실적(품목별)'!H401),",","")),"")</f>
        <v>-239226</v>
      </c>
    </row>
    <row r="398" customFormat="false" ht="15" hidden="false" customHeight="true" outlineLevel="0" collapsed="false">
      <c r="A398" s="11" t="str">
        <f aca="false">TRIM('수출입 실적(품목별)'!A402)</f>
        <v>2024.05</v>
      </c>
      <c r="B398" s="17" t="n">
        <f aca="false">IFERROR(VALUE(LEFT($A398,4)),"")</f>
        <v>2024</v>
      </c>
      <c r="C398" s="17" t="n">
        <f aca="false">IFERROR(VALUE(RIGHT($A398,2)),"")</f>
        <v>5</v>
      </c>
      <c r="D398" s="17" t="n">
        <f aca="false">IFERROR(ROUNDUP($C398/3,0),"")</f>
        <v>2</v>
      </c>
      <c r="E398" s="11" t="str">
        <f aca="false">TRIM('수출입 실적(품목별)'!B402)</f>
        <v>09</v>
      </c>
      <c r="F398" s="11" t="str">
        <f aca="false">TRIM('수출입 실적(품목별)'!C402)</f>
        <v>커피ㆍ차ㆍ마테(maté)ㆍ향신료</v>
      </c>
      <c r="G398" s="18" t="n">
        <f aca="false">IFERROR(VALUE(SUBSTITUTE(TRIM('수출입 실적(품목별)'!D402),",","")),"")</f>
        <v>385.1</v>
      </c>
      <c r="H398" s="19" t="n">
        <f aca="false">IFERROR(VALUE(SUBSTITUTE(TRIM('수출입 실적(품목별)'!E402),",","")),"")</f>
        <v>2522</v>
      </c>
      <c r="I398" s="18" t="n">
        <f aca="false">IFERROR(VALUE(SUBSTITUTE(TRIM('수출입 실적(품목별)'!F402),",","")),"")</f>
        <v>18493.4</v>
      </c>
      <c r="J398" s="19" t="n">
        <f aca="false">IFERROR(VALUE(SUBSTITUTE(TRIM('수출입 실적(품목별)'!G402),",","")),"")</f>
        <v>107827</v>
      </c>
      <c r="K398" s="19" t="n">
        <f aca="false">IFERROR(VALUE(SUBSTITUTE(TRIM('수출입 실적(품목별)'!H402),",","")),"")</f>
        <v>-105305</v>
      </c>
    </row>
    <row r="399" customFormat="false" ht="15" hidden="false" customHeight="true" outlineLevel="0" collapsed="false">
      <c r="A399" s="11" t="str">
        <f aca="false">TRIM('수출입 실적(품목별)'!A403)</f>
        <v>2024.05</v>
      </c>
      <c r="B399" s="17" t="n">
        <f aca="false">IFERROR(VALUE(LEFT($A399,4)),"")</f>
        <v>2024</v>
      </c>
      <c r="C399" s="17" t="n">
        <f aca="false">IFERROR(VALUE(RIGHT($A399,2)),"")</f>
        <v>5</v>
      </c>
      <c r="D399" s="17" t="n">
        <f aca="false">IFERROR(ROUNDUP($C399/3,0),"")</f>
        <v>2</v>
      </c>
      <c r="E399" s="11" t="str">
        <f aca="false">TRIM('수출입 실적(품목별)'!B403)</f>
        <v>10</v>
      </c>
      <c r="F399" s="11" t="str">
        <f aca="false">TRIM('수출입 실적(품목별)'!C403)</f>
        <v>곡물</v>
      </c>
      <c r="G399" s="18" t="n">
        <f aca="false">IFERROR(VALUE(SUBSTITUTE(TRIM('수출입 실적(품목별)'!D403),",","")),"")</f>
        <v>57633.5</v>
      </c>
      <c r="H399" s="19" t="n">
        <f aca="false">IFERROR(VALUE(SUBSTITUTE(TRIM('수출입 실적(품목별)'!E403),",","")),"")</f>
        <v>16818</v>
      </c>
      <c r="I399" s="18" t="n">
        <f aca="false">IFERROR(VALUE(SUBSTITUTE(TRIM('수출입 실적(품목별)'!F403),",","")),"")</f>
        <v>1259682.7</v>
      </c>
      <c r="J399" s="19" t="n">
        <f aca="false">IFERROR(VALUE(SUBSTITUTE(TRIM('수출입 실적(품목별)'!G403),",","")),"")</f>
        <v>353032</v>
      </c>
      <c r="K399" s="19" t="n">
        <f aca="false">IFERROR(VALUE(SUBSTITUTE(TRIM('수출입 실적(품목별)'!H403),",","")),"")</f>
        <v>-336214</v>
      </c>
    </row>
    <row r="400" customFormat="false" ht="15" hidden="false" customHeight="true" outlineLevel="0" collapsed="false">
      <c r="A400" s="11" t="str">
        <f aca="false">TRIM('수출입 실적(품목별)'!A404)</f>
        <v>2024.05</v>
      </c>
      <c r="B400" s="17" t="n">
        <f aca="false">IFERROR(VALUE(LEFT($A400,4)),"")</f>
        <v>2024</v>
      </c>
      <c r="C400" s="17" t="n">
        <f aca="false">IFERROR(VALUE(RIGHT($A400,2)),"")</f>
        <v>5</v>
      </c>
      <c r="D400" s="17" t="n">
        <f aca="false">IFERROR(ROUNDUP($C400/3,0),"")</f>
        <v>2</v>
      </c>
      <c r="E400" s="11" t="str">
        <f aca="false">TRIM('수출입 실적(품목별)'!B404)</f>
        <v>11</v>
      </c>
      <c r="F400" s="11" t="str">
        <f aca="false">TRIM('수출입 실적(품목별)'!C404)</f>
        <v>제분공업의 생산품과 맥아, 전분, 이눌린(inulin), 밀의 글루텐(gluten)</v>
      </c>
      <c r="G400" s="18" t="n">
        <f aca="false">IFERROR(VALUE(SUBSTITUTE(TRIM('수출입 실적(품목별)'!D404),",","")),"")</f>
        <v>6051.9</v>
      </c>
      <c r="H400" s="19" t="n">
        <f aca="false">IFERROR(VALUE(SUBSTITUTE(TRIM('수출입 실적(품목별)'!E404),",","")),"")</f>
        <v>4495</v>
      </c>
      <c r="I400" s="18" t="n">
        <f aca="false">IFERROR(VALUE(SUBSTITUTE(TRIM('수출입 실적(품목별)'!F404),",","")),"")</f>
        <v>37356.4</v>
      </c>
      <c r="J400" s="19" t="n">
        <f aca="false">IFERROR(VALUE(SUBSTITUTE(TRIM('수출입 실적(품목별)'!G404),",","")),"")</f>
        <v>32972</v>
      </c>
      <c r="K400" s="19" t="n">
        <f aca="false">IFERROR(VALUE(SUBSTITUTE(TRIM('수출입 실적(품목별)'!H404),",","")),"")</f>
        <v>-28477</v>
      </c>
    </row>
    <row r="401" customFormat="false" ht="15" hidden="false" customHeight="true" outlineLevel="0" collapsed="false">
      <c r="A401" s="11" t="str">
        <f aca="false">TRIM('수출입 실적(품목별)'!A405)</f>
        <v>2024.05</v>
      </c>
      <c r="B401" s="17" t="n">
        <f aca="false">IFERROR(VALUE(LEFT($A401,4)),"")</f>
        <v>2024</v>
      </c>
      <c r="C401" s="17" t="n">
        <f aca="false">IFERROR(VALUE(RIGHT($A401,2)),"")</f>
        <v>5</v>
      </c>
      <c r="D401" s="17" t="n">
        <f aca="false">IFERROR(ROUNDUP($C401/3,0),"")</f>
        <v>2</v>
      </c>
      <c r="E401" s="11" t="str">
        <f aca="false">TRIM('수출입 실적(품목별)'!B405)</f>
        <v>12</v>
      </c>
      <c r="F401" s="11" t="str">
        <f aca="false">TRIM('수출입 실적(품목별)'!C405)</f>
        <v>채유(採油)에 적합한 종자와 과실, 각종 종자와 과실, 공업용ㆍ의약용 식물, 짚과 사료용 식물</v>
      </c>
      <c r="G401" s="18" t="n">
        <f aca="false">IFERROR(VALUE(SUBSTITUTE(TRIM('수출입 실적(품목별)'!D405),",","")),"")</f>
        <v>2841.9</v>
      </c>
      <c r="H401" s="19" t="n">
        <f aca="false">IFERROR(VALUE(SUBSTITUTE(TRIM('수출입 실적(품목별)'!E405),",","")),"")</f>
        <v>65553</v>
      </c>
      <c r="I401" s="18" t="n">
        <f aca="false">IFERROR(VALUE(SUBSTITUTE(TRIM('수출입 실적(품목별)'!F405),",","")),"")</f>
        <v>365131.6</v>
      </c>
      <c r="J401" s="19" t="n">
        <f aca="false">IFERROR(VALUE(SUBSTITUTE(TRIM('수출입 실적(품목별)'!G405),",","")),"")</f>
        <v>220248</v>
      </c>
      <c r="K401" s="19" t="n">
        <f aca="false">IFERROR(VALUE(SUBSTITUTE(TRIM('수출입 실적(품목별)'!H405),",","")),"")</f>
        <v>-154694</v>
      </c>
    </row>
    <row r="402" customFormat="false" ht="15" hidden="false" customHeight="true" outlineLevel="0" collapsed="false">
      <c r="A402" s="11" t="str">
        <f aca="false">TRIM('수출입 실적(품목별)'!A406)</f>
        <v>2024.05</v>
      </c>
      <c r="B402" s="17" t="n">
        <f aca="false">IFERROR(VALUE(LEFT($A402,4)),"")</f>
        <v>2024</v>
      </c>
      <c r="C402" s="17" t="n">
        <f aca="false">IFERROR(VALUE(RIGHT($A402,2)),"")</f>
        <v>5</v>
      </c>
      <c r="D402" s="17" t="n">
        <f aca="false">IFERROR(ROUNDUP($C402/3,0),"")</f>
        <v>2</v>
      </c>
      <c r="E402" s="11" t="str">
        <f aca="false">TRIM('수출입 실적(품목별)'!B406)</f>
        <v>13</v>
      </c>
      <c r="F402" s="11" t="str">
        <f aca="false">TRIM('수출입 실적(품목별)'!C406)</f>
        <v>락(lac), 검ㆍ수지ㆍ그 밖의 식물성 수액과 추출물(extract)</v>
      </c>
      <c r="G402" s="18" t="n">
        <f aca="false">IFERROR(VALUE(SUBSTITUTE(TRIM('수출입 실적(품목별)'!D406),",","")),"")</f>
        <v>246.9</v>
      </c>
      <c r="H402" s="19" t="n">
        <f aca="false">IFERROR(VALUE(SUBSTITUTE(TRIM('수출입 실적(품목별)'!E406),",","")),"")</f>
        <v>6798</v>
      </c>
      <c r="I402" s="18" t="n">
        <f aca="false">IFERROR(VALUE(SUBSTITUTE(TRIM('수출입 실적(품목별)'!F406),",","")),"")</f>
        <v>8504.4</v>
      </c>
      <c r="J402" s="19" t="n">
        <f aca="false">IFERROR(VALUE(SUBSTITUTE(TRIM('수출입 실적(품목별)'!G406),",","")),"")</f>
        <v>30229</v>
      </c>
      <c r="K402" s="19" t="n">
        <f aca="false">IFERROR(VALUE(SUBSTITUTE(TRIM('수출입 실적(품목별)'!H406),",","")),"")</f>
        <v>-23431</v>
      </c>
    </row>
    <row r="403" customFormat="false" ht="15" hidden="false" customHeight="true" outlineLevel="0" collapsed="false">
      <c r="A403" s="11" t="str">
        <f aca="false">TRIM('수출입 실적(품목별)'!A407)</f>
        <v>2024.05</v>
      </c>
      <c r="B403" s="17" t="n">
        <f aca="false">IFERROR(VALUE(LEFT($A403,4)),"")</f>
        <v>2024</v>
      </c>
      <c r="C403" s="17" t="n">
        <f aca="false">IFERROR(VALUE(RIGHT($A403,2)),"")</f>
        <v>5</v>
      </c>
      <c r="D403" s="17" t="n">
        <f aca="false">IFERROR(ROUNDUP($C403/3,0),"")</f>
        <v>2</v>
      </c>
      <c r="E403" s="11" t="str">
        <f aca="false">TRIM('수출입 실적(품목별)'!B407)</f>
        <v>14</v>
      </c>
      <c r="F403" s="11" t="str">
        <f aca="false">TRIM('수출입 실적(품목별)'!C407)</f>
        <v>식물성 편조물(編組物)용 재료와 다른 류로 분류되지 않은 식물성 생산품</v>
      </c>
      <c r="G403" s="18" t="n">
        <f aca="false">IFERROR(VALUE(SUBSTITUTE(TRIM('수출입 실적(품목별)'!D407),",","")),"")</f>
        <v>9.9</v>
      </c>
      <c r="H403" s="19" t="n">
        <f aca="false">IFERROR(VALUE(SUBSTITUTE(TRIM('수출입 실적(품목별)'!E407),",","")),"")</f>
        <v>22</v>
      </c>
      <c r="I403" s="18" t="n">
        <f aca="false">IFERROR(VALUE(SUBSTITUTE(TRIM('수출입 실적(품목별)'!F407),",","")),"")</f>
        <v>18480.1</v>
      </c>
      <c r="J403" s="19" t="n">
        <f aca="false">IFERROR(VALUE(SUBSTITUTE(TRIM('수출입 실적(품목별)'!G407),",","")),"")</f>
        <v>4576</v>
      </c>
      <c r="K403" s="19" t="n">
        <f aca="false">IFERROR(VALUE(SUBSTITUTE(TRIM('수출입 실적(품목별)'!H407),",","")),"")</f>
        <v>-4554</v>
      </c>
    </row>
    <row r="404" customFormat="false" ht="15" hidden="false" customHeight="true" outlineLevel="0" collapsed="false">
      <c r="A404" s="11" t="str">
        <f aca="false">TRIM('수출입 실적(품목별)'!A408)</f>
        <v>2024.05</v>
      </c>
      <c r="B404" s="17" t="n">
        <f aca="false">IFERROR(VALUE(LEFT($A404,4)),"")</f>
        <v>2024</v>
      </c>
      <c r="C404" s="17" t="n">
        <f aca="false">IFERROR(VALUE(RIGHT($A404,2)),"")</f>
        <v>5</v>
      </c>
      <c r="D404" s="17" t="n">
        <f aca="false">IFERROR(ROUNDUP($C404/3,0),"")</f>
        <v>2</v>
      </c>
      <c r="E404" s="11" t="str">
        <f aca="false">TRIM('수출입 실적(품목별)'!B408)</f>
        <v>15</v>
      </c>
      <c r="F404" s="11" t="str">
        <f aca="false">TRIM('수출입 실적(품목별)'!C408)</f>
        <v>동물성ㆍ식물성ㆍ미생물성 지방과 기름 및이들의 분해생산물, 조제한 식용 지방과 동물성ㆍ식물성 왁스</v>
      </c>
      <c r="G404" s="18" t="n">
        <f aca="false">IFERROR(VALUE(SUBSTITUTE(TRIM('수출입 실적(품목별)'!D408),",","")),"")</f>
        <v>16200.6</v>
      </c>
      <c r="H404" s="19" t="n">
        <f aca="false">IFERROR(VALUE(SUBSTITUTE(TRIM('수출입 실적(품목별)'!E408),",","")),"")</f>
        <v>16929</v>
      </c>
      <c r="I404" s="18" t="n">
        <f aca="false">IFERROR(VALUE(SUBSTITUTE(TRIM('수출입 실적(품목별)'!F408),",","")),"")</f>
        <v>130590.7</v>
      </c>
      <c r="J404" s="19" t="n">
        <f aca="false">IFERROR(VALUE(SUBSTITUTE(TRIM('수출입 실적(품목별)'!G408),",","")),"")</f>
        <v>174417</v>
      </c>
      <c r="K404" s="19" t="n">
        <f aca="false">IFERROR(VALUE(SUBSTITUTE(TRIM('수출입 실적(품목별)'!H408),",","")),"")</f>
        <v>-157488</v>
      </c>
    </row>
    <row r="405" customFormat="false" ht="15" hidden="false" customHeight="true" outlineLevel="0" collapsed="false">
      <c r="A405" s="11" t="str">
        <f aca="false">TRIM('수출입 실적(품목별)'!A409)</f>
        <v>2024.05</v>
      </c>
      <c r="B405" s="17" t="n">
        <f aca="false">IFERROR(VALUE(LEFT($A405,4)),"")</f>
        <v>2024</v>
      </c>
      <c r="C405" s="17" t="n">
        <f aca="false">IFERROR(VALUE(RIGHT($A405,2)),"")</f>
        <v>5</v>
      </c>
      <c r="D405" s="17" t="n">
        <f aca="false">IFERROR(ROUNDUP($C405/3,0),"")</f>
        <v>2</v>
      </c>
      <c r="E405" s="11" t="str">
        <f aca="false">TRIM('수출입 실적(품목별)'!B409)</f>
        <v>16</v>
      </c>
      <c r="F405" s="11" t="str">
        <f aca="false">TRIM('수출입 실적(품목별)'!C409)</f>
        <v>육류ㆍ어류ㆍ갑각류ㆍ연체동물이나 그 밖의 수생(水生) 무척추동물 또는 곤충의 조제품</v>
      </c>
      <c r="G405" s="18" t="n">
        <f aca="false">IFERROR(VALUE(SUBSTITUTE(TRIM('수출입 실적(품목별)'!D409),",","")),"")</f>
        <v>5050.3</v>
      </c>
      <c r="H405" s="19" t="n">
        <f aca="false">IFERROR(VALUE(SUBSTITUTE(TRIM('수출입 실적(품목별)'!E409),",","")),"")</f>
        <v>35932</v>
      </c>
      <c r="I405" s="18" t="n">
        <f aca="false">IFERROR(VALUE(SUBSTITUTE(TRIM('수출입 실적(품목별)'!F409),",","")),"")</f>
        <v>16079.5</v>
      </c>
      <c r="J405" s="19" t="n">
        <f aca="false">IFERROR(VALUE(SUBSTITUTE(TRIM('수출입 실적(품목별)'!G409),",","")),"")</f>
        <v>88593</v>
      </c>
      <c r="K405" s="19" t="n">
        <f aca="false">IFERROR(VALUE(SUBSTITUTE(TRIM('수출입 실적(품목별)'!H409),",","")),"")</f>
        <v>-52660</v>
      </c>
    </row>
    <row r="406" customFormat="false" ht="15" hidden="false" customHeight="true" outlineLevel="0" collapsed="false">
      <c r="A406" s="11" t="str">
        <f aca="false">TRIM('수출입 실적(품목별)'!A410)</f>
        <v>2024.05</v>
      </c>
      <c r="B406" s="17" t="n">
        <f aca="false">IFERROR(VALUE(LEFT($A406,4)),"")</f>
        <v>2024</v>
      </c>
      <c r="C406" s="17" t="n">
        <f aca="false">IFERROR(VALUE(RIGHT($A406,2)),"")</f>
        <v>5</v>
      </c>
      <c r="D406" s="17" t="n">
        <f aca="false">IFERROR(ROUNDUP($C406/3,0),"")</f>
        <v>2</v>
      </c>
      <c r="E406" s="11" t="str">
        <f aca="false">TRIM('수출입 실적(품목별)'!B410)</f>
        <v>17</v>
      </c>
      <c r="F406" s="11" t="str">
        <f aca="false">TRIM('수출입 실적(품목별)'!C410)</f>
        <v>당류(糖類)와 설탕과자</v>
      </c>
      <c r="G406" s="18" t="n">
        <f aca="false">IFERROR(VALUE(SUBSTITUTE(TRIM('수출입 실적(품목별)'!D410),",","")),"")</f>
        <v>28654.5</v>
      </c>
      <c r="H406" s="19" t="n">
        <f aca="false">IFERROR(VALUE(SUBSTITUTE(TRIM('수출입 실적(품목별)'!E410),",","")),"")</f>
        <v>26921</v>
      </c>
      <c r="I406" s="18" t="n">
        <f aca="false">IFERROR(VALUE(SUBSTITUTE(TRIM('수출입 실적(품목별)'!F410),",","")),"")</f>
        <v>190494.2</v>
      </c>
      <c r="J406" s="19" t="n">
        <f aca="false">IFERROR(VALUE(SUBSTITUTE(TRIM('수출입 실적(품목별)'!G410),",","")),"")</f>
        <v>127859</v>
      </c>
      <c r="K406" s="19" t="n">
        <f aca="false">IFERROR(VALUE(SUBSTITUTE(TRIM('수출입 실적(품목별)'!H410),",","")),"")</f>
        <v>-100939</v>
      </c>
    </row>
    <row r="407" customFormat="false" ht="15" hidden="false" customHeight="true" outlineLevel="0" collapsed="false">
      <c r="A407" s="11" t="str">
        <f aca="false">TRIM('수출입 실적(품목별)'!A411)</f>
        <v>2024.05</v>
      </c>
      <c r="B407" s="17" t="n">
        <f aca="false">IFERROR(VALUE(LEFT($A407,4)),"")</f>
        <v>2024</v>
      </c>
      <c r="C407" s="17" t="n">
        <f aca="false">IFERROR(VALUE(RIGHT($A407,2)),"")</f>
        <v>5</v>
      </c>
      <c r="D407" s="17" t="n">
        <f aca="false">IFERROR(ROUNDUP($C407/3,0),"")</f>
        <v>2</v>
      </c>
      <c r="E407" s="11" t="str">
        <f aca="false">TRIM('수출입 실적(품목별)'!B411)</f>
        <v>18</v>
      </c>
      <c r="F407" s="11" t="str">
        <f aca="false">TRIM('수출입 실적(품목별)'!C411)</f>
        <v>코코아와 그 조제품</v>
      </c>
      <c r="G407" s="18" t="n">
        <f aca="false">IFERROR(VALUE(SUBSTITUTE(TRIM('수출입 실적(품목별)'!D411),",","")),"")</f>
        <v>2272.4</v>
      </c>
      <c r="H407" s="19" t="n">
        <f aca="false">IFERROR(VALUE(SUBSTITUTE(TRIM('수출입 실적(품목별)'!E411),",","")),"")</f>
        <v>6067</v>
      </c>
      <c r="I407" s="18" t="n">
        <f aca="false">IFERROR(VALUE(SUBSTITUTE(TRIM('수출입 실적(품목별)'!F411),",","")),"")</f>
        <v>5157.5</v>
      </c>
      <c r="J407" s="19" t="n">
        <f aca="false">IFERROR(VALUE(SUBSTITUTE(TRIM('수출입 실적(품목별)'!G411),",","")),"")</f>
        <v>32361</v>
      </c>
      <c r="K407" s="19" t="n">
        <f aca="false">IFERROR(VALUE(SUBSTITUTE(TRIM('수출입 실적(품목별)'!H411),",","")),"")</f>
        <v>-26295</v>
      </c>
    </row>
    <row r="408" customFormat="false" ht="15" hidden="false" customHeight="true" outlineLevel="0" collapsed="false">
      <c r="A408" s="11" t="str">
        <f aca="false">TRIM('수출입 실적(품목별)'!A412)</f>
        <v>2024.05</v>
      </c>
      <c r="B408" s="17" t="n">
        <f aca="false">IFERROR(VALUE(LEFT($A408,4)),"")</f>
        <v>2024</v>
      </c>
      <c r="C408" s="17" t="n">
        <f aca="false">IFERROR(VALUE(RIGHT($A408,2)),"")</f>
        <v>5</v>
      </c>
      <c r="D408" s="17" t="n">
        <f aca="false">IFERROR(ROUNDUP($C408/3,0),"")</f>
        <v>2</v>
      </c>
      <c r="E408" s="11" t="str">
        <f aca="false">TRIM('수출입 실적(품목별)'!B412)</f>
        <v>19</v>
      </c>
      <c r="F408" s="11" t="str">
        <f aca="false">TRIM('수출입 실적(품목별)'!C412)</f>
        <v>곡물ㆍ고운 가루ㆍ전분ㆍ밀크의 조제품과 베이커리 제품</v>
      </c>
      <c r="G408" s="18" t="n">
        <f aca="false">IFERROR(VALUE(SUBSTITUTE(TRIM('수출입 실적(품목별)'!D412),",","")),"")</f>
        <v>52123.1</v>
      </c>
      <c r="H408" s="19" t="n">
        <f aca="false">IFERROR(VALUE(SUBSTITUTE(TRIM('수출입 실적(품목별)'!E412),",","")),"")</f>
        <v>207843</v>
      </c>
      <c r="I408" s="18" t="n">
        <f aca="false">IFERROR(VALUE(SUBSTITUTE(TRIM('수출입 실적(품목별)'!F412),",","")),"")</f>
        <v>30026.8</v>
      </c>
      <c r="J408" s="19" t="n">
        <f aca="false">IFERROR(VALUE(SUBSTITUTE(TRIM('수출입 실적(품목별)'!G412),",","")),"")</f>
        <v>96845</v>
      </c>
      <c r="K408" s="19" t="n">
        <f aca="false">IFERROR(VALUE(SUBSTITUTE(TRIM('수출입 실적(품목별)'!H412),",","")),"")</f>
        <v>110998</v>
      </c>
    </row>
    <row r="409" customFormat="false" ht="15" hidden="false" customHeight="true" outlineLevel="0" collapsed="false">
      <c r="A409" s="11" t="str">
        <f aca="false">TRIM('수출입 실적(품목별)'!A413)</f>
        <v>2024.05</v>
      </c>
      <c r="B409" s="17" t="n">
        <f aca="false">IFERROR(VALUE(LEFT($A409,4)),"")</f>
        <v>2024</v>
      </c>
      <c r="C409" s="17" t="n">
        <f aca="false">IFERROR(VALUE(RIGHT($A409,2)),"")</f>
        <v>5</v>
      </c>
      <c r="D409" s="17" t="n">
        <f aca="false">IFERROR(ROUNDUP($C409/3,0),"")</f>
        <v>2</v>
      </c>
      <c r="E409" s="11" t="str">
        <f aca="false">TRIM('수출입 실적(품목별)'!B413)</f>
        <v>20</v>
      </c>
      <c r="F409" s="11" t="str">
        <f aca="false">TRIM('수출입 실적(품목별)'!C413)</f>
        <v>채소ㆍ과실ㆍ견과류나 식물의그 밖의 부분의 조제품</v>
      </c>
      <c r="G409" s="18" t="n">
        <f aca="false">IFERROR(VALUE(SUBSTITUTE(TRIM('수출입 실적(품목별)'!D413),",","")),"")</f>
        <v>9848.4</v>
      </c>
      <c r="H409" s="19" t="n">
        <f aca="false">IFERROR(VALUE(SUBSTITUTE(TRIM('수출입 실적(품목별)'!E413),",","")),"")</f>
        <v>82002</v>
      </c>
      <c r="I409" s="18" t="n">
        <f aca="false">IFERROR(VALUE(SUBSTITUTE(TRIM('수출입 실적(품목별)'!F413),",","")),"")</f>
        <v>101176.9</v>
      </c>
      <c r="J409" s="19" t="n">
        <f aca="false">IFERROR(VALUE(SUBSTITUTE(TRIM('수출입 실적(품목별)'!G413),",","")),"")</f>
        <v>147492</v>
      </c>
      <c r="K409" s="19" t="n">
        <f aca="false">IFERROR(VALUE(SUBSTITUTE(TRIM('수출입 실적(품목별)'!H413),",","")),"")</f>
        <v>-65491</v>
      </c>
    </row>
    <row r="410" customFormat="false" ht="15" hidden="false" customHeight="true" outlineLevel="0" collapsed="false">
      <c r="A410" s="11" t="str">
        <f aca="false">TRIM('수출입 실적(품목별)'!A414)</f>
        <v>2024.05</v>
      </c>
      <c r="B410" s="17" t="n">
        <f aca="false">IFERROR(VALUE(LEFT($A410,4)),"")</f>
        <v>2024</v>
      </c>
      <c r="C410" s="17" t="n">
        <f aca="false">IFERROR(VALUE(RIGHT($A410,2)),"")</f>
        <v>5</v>
      </c>
      <c r="D410" s="17" t="n">
        <f aca="false">IFERROR(ROUNDUP($C410/3,0),"")</f>
        <v>2</v>
      </c>
      <c r="E410" s="11" t="str">
        <f aca="false">TRIM('수출입 실적(품목별)'!B414)</f>
        <v>21</v>
      </c>
      <c r="F410" s="11" t="str">
        <f aca="false">TRIM('수출입 실적(품목별)'!C414)</f>
        <v>각종 조제 식료품</v>
      </c>
      <c r="G410" s="18" t="n">
        <f aca="false">IFERROR(VALUE(SUBSTITUTE(TRIM('수출입 실적(품목별)'!D414),",","")),"")</f>
        <v>36880.7</v>
      </c>
      <c r="H410" s="19" t="n">
        <f aca="false">IFERROR(VALUE(SUBSTITUTE(TRIM('수출입 실적(품목별)'!E414),",","")),"")</f>
        <v>159133</v>
      </c>
      <c r="I410" s="18" t="n">
        <f aca="false">IFERROR(VALUE(SUBSTITUTE(TRIM('수출입 실적(품목별)'!F414),",","")),"")</f>
        <v>33626.6</v>
      </c>
      <c r="J410" s="19" t="n">
        <f aca="false">IFERROR(VALUE(SUBSTITUTE(TRIM('수출입 실적(품목별)'!G414),",","")),"")</f>
        <v>253692</v>
      </c>
      <c r="K410" s="19" t="n">
        <f aca="false">IFERROR(VALUE(SUBSTITUTE(TRIM('수출입 실적(품목별)'!H414),",","")),"")</f>
        <v>-94559</v>
      </c>
    </row>
    <row r="411" customFormat="false" ht="15" hidden="false" customHeight="true" outlineLevel="0" collapsed="false">
      <c r="A411" s="11" t="str">
        <f aca="false">TRIM('수출입 실적(품목별)'!A415)</f>
        <v>2024.05</v>
      </c>
      <c r="B411" s="17" t="n">
        <f aca="false">IFERROR(VALUE(LEFT($A411,4)),"")</f>
        <v>2024</v>
      </c>
      <c r="C411" s="17" t="n">
        <f aca="false">IFERROR(VALUE(RIGHT($A411,2)),"")</f>
        <v>5</v>
      </c>
      <c r="D411" s="17" t="n">
        <f aca="false">IFERROR(ROUNDUP($C411/3,0),"")</f>
        <v>2</v>
      </c>
      <c r="E411" s="11" t="str">
        <f aca="false">TRIM('수출입 실적(품목별)'!B415)</f>
        <v>22</v>
      </c>
      <c r="F411" s="11" t="str">
        <f aca="false">TRIM('수출입 실적(품목별)'!C415)</f>
        <v>음료ㆍ주류ㆍ식초</v>
      </c>
      <c r="G411" s="18" t="n">
        <f aca="false">IFERROR(VALUE(SUBSTITUTE(TRIM('수출입 실적(품목별)'!D415),",","")),"")</f>
        <v>86012.8</v>
      </c>
      <c r="H411" s="19" t="n">
        <f aca="false">IFERROR(VALUE(SUBSTITUTE(TRIM('수출입 실적(품목별)'!E415),",","")),"")</f>
        <v>101023</v>
      </c>
      <c r="I411" s="18" t="n">
        <f aca="false">IFERROR(VALUE(SUBSTITUTE(TRIM('수출입 실적(품목별)'!F415),",","")),"")</f>
        <v>97755.7</v>
      </c>
      <c r="J411" s="19" t="n">
        <f aca="false">IFERROR(VALUE(SUBSTITUTE(TRIM('수출입 실적(품목별)'!G415),",","")),"")</f>
        <v>143365</v>
      </c>
      <c r="K411" s="19" t="n">
        <f aca="false">IFERROR(VALUE(SUBSTITUTE(TRIM('수출입 실적(품목별)'!H415),",","")),"")</f>
        <v>-42342</v>
      </c>
    </row>
    <row r="412" customFormat="false" ht="15" hidden="false" customHeight="true" outlineLevel="0" collapsed="false">
      <c r="A412" s="11" t="str">
        <f aca="false">TRIM('수출입 실적(품목별)'!A416)</f>
        <v>2024.05</v>
      </c>
      <c r="B412" s="17" t="n">
        <f aca="false">IFERROR(VALUE(LEFT($A412,4)),"")</f>
        <v>2024</v>
      </c>
      <c r="C412" s="17" t="n">
        <f aca="false">IFERROR(VALUE(RIGHT($A412,2)),"")</f>
        <v>5</v>
      </c>
      <c r="D412" s="17" t="n">
        <f aca="false">IFERROR(ROUNDUP($C412/3,0),"")</f>
        <v>2</v>
      </c>
      <c r="E412" s="11" t="str">
        <f aca="false">TRIM('수출입 실적(품목별)'!B416)</f>
        <v>23</v>
      </c>
      <c r="F412" s="11" t="str">
        <f aca="false">TRIM('수출입 실적(품목별)'!C416)</f>
        <v>식품 공업에서 생기는 잔재물과 웨이스트(waste), 조제 사료</v>
      </c>
      <c r="G412" s="18" t="n">
        <f aca="false">IFERROR(VALUE(SUBSTITUTE(TRIM('수출입 실적(품목별)'!D416),",","")),"")</f>
        <v>23781.2</v>
      </c>
      <c r="H412" s="19" t="n">
        <f aca="false">IFERROR(VALUE(SUBSTITUTE(TRIM('수출입 실적(품목별)'!E416),",","")),"")</f>
        <v>26803</v>
      </c>
      <c r="I412" s="18" t="n">
        <f aca="false">IFERROR(VALUE(SUBSTITUTE(TRIM('수출입 실적(품목별)'!F416),",","")),"")</f>
        <v>673278.7</v>
      </c>
      <c r="J412" s="19" t="n">
        <f aca="false">IFERROR(VALUE(SUBSTITUTE(TRIM('수출입 실적(품목별)'!G416),",","")),"")</f>
        <v>265277</v>
      </c>
      <c r="K412" s="19" t="n">
        <f aca="false">IFERROR(VALUE(SUBSTITUTE(TRIM('수출입 실적(품목별)'!H416),",","")),"")</f>
        <v>-238474</v>
      </c>
    </row>
    <row r="413" customFormat="false" ht="15" hidden="false" customHeight="true" outlineLevel="0" collapsed="false">
      <c r="A413" s="11" t="str">
        <f aca="false">TRIM('수출입 실적(품목별)'!A417)</f>
        <v>2024.05</v>
      </c>
      <c r="B413" s="17" t="n">
        <f aca="false">IFERROR(VALUE(LEFT($A413,4)),"")</f>
        <v>2024</v>
      </c>
      <c r="C413" s="17" t="n">
        <f aca="false">IFERROR(VALUE(RIGHT($A413,2)),"")</f>
        <v>5</v>
      </c>
      <c r="D413" s="17" t="n">
        <f aca="false">IFERROR(ROUNDUP($C413/3,0),"")</f>
        <v>2</v>
      </c>
      <c r="E413" s="11" t="str">
        <f aca="false">TRIM('수출입 실적(품목별)'!B417)</f>
        <v>24</v>
      </c>
      <c r="F413" s="11" t="str">
        <f aca="false">TRIM('수출입 실적(품목별)'!C417)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413" s="18" t="n">
        <f aca="false">IFERROR(VALUE(SUBSTITUTE(TRIM('수출입 실적(품목별)'!D417),",","")),"")</f>
        <v>9219</v>
      </c>
      <c r="H413" s="19" t="n">
        <f aca="false">IFERROR(VALUE(SUBSTITUTE(TRIM('수출입 실적(품목별)'!E417),",","")),"")</f>
        <v>89639</v>
      </c>
      <c r="I413" s="18" t="n">
        <f aca="false">IFERROR(VALUE(SUBSTITUTE(TRIM('수출입 실적(품목별)'!F417),",","")),"")</f>
        <v>5039.1</v>
      </c>
      <c r="J413" s="19" t="n">
        <f aca="false">IFERROR(VALUE(SUBSTITUTE(TRIM('수출입 실적(품목별)'!G417),",","")),"")</f>
        <v>47461</v>
      </c>
      <c r="K413" s="19" t="n">
        <f aca="false">IFERROR(VALUE(SUBSTITUTE(TRIM('수출입 실적(품목별)'!H417),",","")),"")</f>
        <v>42178</v>
      </c>
    </row>
    <row r="414" customFormat="false" ht="15" hidden="false" customHeight="true" outlineLevel="0" collapsed="false">
      <c r="A414" s="11" t="str">
        <f aca="false">TRIM('수출입 실적(품목별)'!A418)</f>
        <v>2024.05</v>
      </c>
      <c r="B414" s="17" t="n">
        <f aca="false">IFERROR(VALUE(LEFT($A414,4)),"")</f>
        <v>2024</v>
      </c>
      <c r="C414" s="17" t="n">
        <f aca="false">IFERROR(VALUE(RIGHT($A414,2)),"")</f>
        <v>5</v>
      </c>
      <c r="D414" s="17" t="n">
        <f aca="false">IFERROR(ROUNDUP($C414/3,0),"")</f>
        <v>2</v>
      </c>
      <c r="E414" s="11" t="str">
        <f aca="false">TRIM('수출입 실적(품목별)'!B418)</f>
        <v>25</v>
      </c>
      <c r="F414" s="11" t="str">
        <f aca="false">TRIM('수출입 실적(품목별)'!C418)</f>
        <v>소금, 황, 토석류(土石類), 석고ㆍ석회ㆍ시멘트</v>
      </c>
      <c r="G414" s="18" t="n">
        <f aca="false">IFERROR(VALUE(SUBSTITUTE(TRIM('수출입 실적(품목별)'!D418),",","")),"")</f>
        <v>474436.6</v>
      </c>
      <c r="H414" s="19" t="n">
        <f aca="false">IFERROR(VALUE(SUBSTITUTE(TRIM('수출입 실적(품목별)'!E418),",","")),"")</f>
        <v>28452</v>
      </c>
      <c r="I414" s="18" t="n">
        <f aca="false">IFERROR(VALUE(SUBSTITUTE(TRIM('수출입 실적(품목별)'!F418),",","")),"")</f>
        <v>942503.3</v>
      </c>
      <c r="J414" s="19" t="n">
        <f aca="false">IFERROR(VALUE(SUBSTITUTE(TRIM('수출입 실적(품목별)'!G418),",","")),"")</f>
        <v>89068</v>
      </c>
      <c r="K414" s="19" t="n">
        <f aca="false">IFERROR(VALUE(SUBSTITUTE(TRIM('수출입 실적(품목별)'!H418),",","")),"")</f>
        <v>-60616</v>
      </c>
    </row>
    <row r="415" customFormat="false" ht="15" hidden="false" customHeight="true" outlineLevel="0" collapsed="false">
      <c r="A415" s="11" t="str">
        <f aca="false">TRIM('수출입 실적(품목별)'!A419)</f>
        <v>2024.05</v>
      </c>
      <c r="B415" s="17" t="n">
        <f aca="false">IFERROR(VALUE(LEFT($A415,4)),"")</f>
        <v>2024</v>
      </c>
      <c r="C415" s="17" t="n">
        <f aca="false">IFERROR(VALUE(RIGHT($A415,2)),"")</f>
        <v>5</v>
      </c>
      <c r="D415" s="17" t="n">
        <f aca="false">IFERROR(ROUNDUP($C415/3,0),"")</f>
        <v>2</v>
      </c>
      <c r="E415" s="11" t="str">
        <f aca="false">TRIM('수출입 실적(품목별)'!B419)</f>
        <v>26</v>
      </c>
      <c r="F415" s="11" t="str">
        <f aca="false">TRIM('수출입 실적(품목별)'!C419)</f>
        <v>광(鑛)ㆍ슬래그(slag)ㆍ회(灰)</v>
      </c>
      <c r="G415" s="18" t="n">
        <f aca="false">IFERROR(VALUE(SUBSTITUTE(TRIM('수출입 실적(품목별)'!D419),",","")),"")</f>
        <v>61992.7</v>
      </c>
      <c r="H415" s="19" t="n">
        <f aca="false">IFERROR(VALUE(SUBSTITUTE(TRIM('수출입 실적(품목별)'!E419),",","")),"")</f>
        <v>78337</v>
      </c>
      <c r="I415" s="18" t="n">
        <f aca="false">IFERROR(VALUE(SUBSTITUTE(TRIM('수출입 실적(품목별)'!F419),",","")),"")</f>
        <v>5852513.9</v>
      </c>
      <c r="J415" s="19" t="n">
        <f aca="false">IFERROR(VALUE(SUBSTITUTE(TRIM('수출입 실적(품목별)'!G419),",","")),"")</f>
        <v>1791021</v>
      </c>
      <c r="K415" s="19" t="n">
        <f aca="false">IFERROR(VALUE(SUBSTITUTE(TRIM('수출입 실적(품목별)'!H419),",","")),"")</f>
        <v>-1712684</v>
      </c>
    </row>
    <row r="416" customFormat="false" ht="15" hidden="false" customHeight="true" outlineLevel="0" collapsed="false">
      <c r="A416" s="11" t="str">
        <f aca="false">TRIM('수출입 실적(품목별)'!A420)</f>
        <v>2024.05</v>
      </c>
      <c r="B416" s="17" t="n">
        <f aca="false">IFERROR(VALUE(LEFT($A416,4)),"")</f>
        <v>2024</v>
      </c>
      <c r="C416" s="17" t="n">
        <f aca="false">IFERROR(VALUE(RIGHT($A416,2)),"")</f>
        <v>5</v>
      </c>
      <c r="D416" s="17" t="n">
        <f aca="false">IFERROR(ROUNDUP($C416/3,0),"")</f>
        <v>2</v>
      </c>
      <c r="E416" s="11" t="str">
        <f aca="false">TRIM('수출입 실적(품목별)'!B420)</f>
        <v>27</v>
      </c>
      <c r="F416" s="11" t="str">
        <f aca="false">TRIM('수출입 실적(품목별)'!C420)</f>
        <v>광물성 연료ㆍ광물유(鑛物油)와 이들의 증류물, 역청(瀝靑)물질, 광물성 왁스</v>
      </c>
      <c r="G416" s="18" t="n">
        <f aca="false">IFERROR(VALUE(SUBSTITUTE(TRIM('수출입 실적(품목별)'!D420),",","")),"")</f>
        <v>6113882.1</v>
      </c>
      <c r="H416" s="19" t="n">
        <f aca="false">IFERROR(VALUE(SUBSTITUTE(TRIM('수출입 실적(품목별)'!E420),",","")),"")</f>
        <v>4762891</v>
      </c>
      <c r="I416" s="18" t="n">
        <f aca="false">IFERROR(VALUE(SUBSTITUTE(TRIM('수출입 실적(품목별)'!F420),",","")),"")</f>
        <v>28312338.3</v>
      </c>
      <c r="J416" s="19" t="n">
        <f aca="false">IFERROR(VALUE(SUBSTITUTE(TRIM('수출입 실적(품목별)'!G420),",","")),"")</f>
        <v>13844143</v>
      </c>
      <c r="K416" s="19" t="n">
        <f aca="false">IFERROR(VALUE(SUBSTITUTE(TRIM('수출입 실적(품목별)'!H420),",","")),"")</f>
        <v>-9081252</v>
      </c>
    </row>
    <row r="417" customFormat="false" ht="15" hidden="false" customHeight="true" outlineLevel="0" collapsed="false">
      <c r="A417" s="11" t="str">
        <f aca="false">TRIM('수출입 실적(품목별)'!A421)</f>
        <v>2024.05</v>
      </c>
      <c r="B417" s="17" t="n">
        <f aca="false">IFERROR(VALUE(LEFT($A417,4)),"")</f>
        <v>2024</v>
      </c>
      <c r="C417" s="17" t="n">
        <f aca="false">IFERROR(VALUE(RIGHT($A417,2)),"")</f>
        <v>5</v>
      </c>
      <c r="D417" s="17" t="n">
        <f aca="false">IFERROR(ROUNDUP($C417/3,0),"")</f>
        <v>2</v>
      </c>
      <c r="E417" s="11" t="str">
        <f aca="false">TRIM('수출입 실적(품목별)'!B421)</f>
        <v>28</v>
      </c>
      <c r="F417" s="11" t="str">
        <f aca="false">TRIM('수출입 실적(품목별)'!C421)</f>
        <v>무기화학품, 귀금속ㆍ희토류(稀土類)금속ㆍ방사성원소ㆍ동위원소의 유기화합물이나 무기화합물</v>
      </c>
      <c r="G417" s="18" t="n">
        <f aca="false">IFERROR(VALUE(SUBSTITUTE(TRIM('수출입 실적(품목별)'!D421),",","")),"")</f>
        <v>385315.1</v>
      </c>
      <c r="H417" s="19" t="n">
        <f aca="false">IFERROR(VALUE(SUBSTITUTE(TRIM('수출입 실적(품목별)'!E421),",","")),"")</f>
        <v>813607</v>
      </c>
      <c r="I417" s="18" t="n">
        <f aca="false">IFERROR(VALUE(SUBSTITUTE(TRIM('수출입 실적(품목별)'!F421),",","")),"")</f>
        <v>392369.8</v>
      </c>
      <c r="J417" s="19" t="n">
        <f aca="false">IFERROR(VALUE(SUBSTITUTE(TRIM('수출입 실적(품목별)'!G421),",","")),"")</f>
        <v>1345655</v>
      </c>
      <c r="K417" s="19" t="n">
        <f aca="false">IFERROR(VALUE(SUBSTITUTE(TRIM('수출입 실적(품목별)'!H421),",","")),"")</f>
        <v>-532048</v>
      </c>
    </row>
    <row r="418" customFormat="false" ht="15" hidden="false" customHeight="true" outlineLevel="0" collapsed="false">
      <c r="A418" s="11" t="str">
        <f aca="false">TRIM('수출입 실적(품목별)'!A422)</f>
        <v>2024.05</v>
      </c>
      <c r="B418" s="17" t="n">
        <f aca="false">IFERROR(VALUE(LEFT($A418,4)),"")</f>
        <v>2024</v>
      </c>
      <c r="C418" s="17" t="n">
        <f aca="false">IFERROR(VALUE(RIGHT($A418,2)),"")</f>
        <v>5</v>
      </c>
      <c r="D418" s="17" t="n">
        <f aca="false">IFERROR(ROUNDUP($C418/3,0),"")</f>
        <v>2</v>
      </c>
      <c r="E418" s="11" t="str">
        <f aca="false">TRIM('수출입 실적(품목별)'!B422)</f>
        <v>29</v>
      </c>
      <c r="F418" s="11" t="str">
        <f aca="false">TRIM('수출입 실적(품목별)'!C422)</f>
        <v>유기화학품</v>
      </c>
      <c r="G418" s="18" t="n">
        <f aca="false">IFERROR(VALUE(SUBSTITUTE(TRIM('수출입 실적(품목별)'!D422),",","")),"")</f>
        <v>1536433.6</v>
      </c>
      <c r="H418" s="19" t="n">
        <f aca="false">IFERROR(VALUE(SUBSTITUTE(TRIM('수출입 실적(품목별)'!E422),",","")),"")</f>
        <v>1826035</v>
      </c>
      <c r="I418" s="18" t="n">
        <f aca="false">IFERROR(VALUE(SUBSTITUTE(TRIM('수출입 실적(품목별)'!F422),",","")),"")</f>
        <v>765485.8</v>
      </c>
      <c r="J418" s="19" t="n">
        <f aca="false">IFERROR(VALUE(SUBSTITUTE(TRIM('수출입 실적(품목별)'!G422),",","")),"")</f>
        <v>1262850</v>
      </c>
      <c r="K418" s="19" t="n">
        <f aca="false">IFERROR(VALUE(SUBSTITUTE(TRIM('수출입 실적(품목별)'!H422),",","")),"")</f>
        <v>563185</v>
      </c>
    </row>
    <row r="419" customFormat="false" ht="15" hidden="false" customHeight="true" outlineLevel="0" collapsed="false">
      <c r="A419" s="11" t="str">
        <f aca="false">TRIM('수출입 실적(품목별)'!A423)</f>
        <v>2024.05</v>
      </c>
      <c r="B419" s="17" t="n">
        <f aca="false">IFERROR(VALUE(LEFT($A419,4)),"")</f>
        <v>2024</v>
      </c>
      <c r="C419" s="17" t="n">
        <f aca="false">IFERROR(VALUE(RIGHT($A419,2)),"")</f>
        <v>5</v>
      </c>
      <c r="D419" s="17" t="n">
        <f aca="false">IFERROR(ROUNDUP($C419/3,0),"")</f>
        <v>2</v>
      </c>
      <c r="E419" s="11" t="str">
        <f aca="false">TRIM('수출입 실적(품목별)'!B423)</f>
        <v>30</v>
      </c>
      <c r="F419" s="11" t="str">
        <f aca="false">TRIM('수출입 실적(품목별)'!C423)</f>
        <v>의료용품</v>
      </c>
      <c r="G419" s="18" t="n">
        <f aca="false">IFERROR(VALUE(SUBSTITUTE(TRIM('수출입 실적(품목별)'!D423),",","")),"")</f>
        <v>2619.2</v>
      </c>
      <c r="H419" s="19" t="n">
        <f aca="false">IFERROR(VALUE(SUBSTITUTE(TRIM('수출입 실적(품목별)'!E423),",","")),"")</f>
        <v>678232</v>
      </c>
      <c r="I419" s="18" t="n">
        <f aca="false">IFERROR(VALUE(SUBSTITUTE(TRIM('수출입 실적(품목별)'!F423),",","")),"")</f>
        <v>6900.4</v>
      </c>
      <c r="J419" s="19" t="n">
        <f aca="false">IFERROR(VALUE(SUBSTITUTE(TRIM('수출입 실적(품목별)'!G423),",","")),"")</f>
        <v>778622</v>
      </c>
      <c r="K419" s="19" t="n">
        <f aca="false">IFERROR(VALUE(SUBSTITUTE(TRIM('수출입 실적(품목별)'!H423),",","")),"")</f>
        <v>-100390</v>
      </c>
    </row>
    <row r="420" customFormat="false" ht="15" hidden="false" customHeight="true" outlineLevel="0" collapsed="false">
      <c r="A420" s="11" t="str">
        <f aca="false">TRIM('수출입 실적(품목별)'!A424)</f>
        <v>2024.05</v>
      </c>
      <c r="B420" s="17" t="n">
        <f aca="false">IFERROR(VALUE(LEFT($A420,4)),"")</f>
        <v>2024</v>
      </c>
      <c r="C420" s="17" t="n">
        <f aca="false">IFERROR(VALUE(RIGHT($A420,2)),"")</f>
        <v>5</v>
      </c>
      <c r="D420" s="17" t="n">
        <f aca="false">IFERROR(ROUNDUP($C420/3,0),"")</f>
        <v>2</v>
      </c>
      <c r="E420" s="11" t="str">
        <f aca="false">TRIM('수출입 실적(품목별)'!B424)</f>
        <v>31</v>
      </c>
      <c r="F420" s="11" t="str">
        <f aca="false">TRIM('수출입 실적(품목별)'!C424)</f>
        <v>비료</v>
      </c>
      <c r="G420" s="18" t="n">
        <f aca="false">IFERROR(VALUE(SUBSTITUTE(TRIM('수출입 실적(품목별)'!D424),",","")),"")</f>
        <v>105628.2</v>
      </c>
      <c r="H420" s="19" t="n">
        <f aca="false">IFERROR(VALUE(SUBSTITUTE(TRIM('수출입 실적(품목별)'!E424),",","")),"")</f>
        <v>35617</v>
      </c>
      <c r="I420" s="18" t="n">
        <f aca="false">IFERROR(VALUE(SUBSTITUTE(TRIM('수출입 실적(품목별)'!F424),",","")),"")</f>
        <v>79406.3</v>
      </c>
      <c r="J420" s="19" t="n">
        <f aca="false">IFERROR(VALUE(SUBSTITUTE(TRIM('수출입 실적(품목별)'!G424),",","")),"")</f>
        <v>34908</v>
      </c>
      <c r="K420" s="19" t="n">
        <f aca="false">IFERROR(VALUE(SUBSTITUTE(TRIM('수출입 실적(품목별)'!H424),",","")),"")</f>
        <v>709</v>
      </c>
    </row>
    <row r="421" customFormat="false" ht="15" hidden="false" customHeight="true" outlineLevel="0" collapsed="false">
      <c r="A421" s="11" t="str">
        <f aca="false">TRIM('수출입 실적(품목별)'!A425)</f>
        <v>2024.05</v>
      </c>
      <c r="B421" s="17" t="n">
        <f aca="false">IFERROR(VALUE(LEFT($A421,4)),"")</f>
        <v>2024</v>
      </c>
      <c r="C421" s="17" t="n">
        <f aca="false">IFERROR(VALUE(RIGHT($A421,2)),"")</f>
        <v>5</v>
      </c>
      <c r="D421" s="17" t="n">
        <f aca="false">IFERROR(ROUNDUP($C421/3,0),"")</f>
        <v>2</v>
      </c>
      <c r="E421" s="11" t="str">
        <f aca="false">TRIM('수출입 실적(품목별)'!B425)</f>
        <v>32</v>
      </c>
      <c r="F421" s="11" t="str">
        <f aca="false">TRIM('수출입 실적(품목별)'!C425)</f>
        <v>유연용ㆍ염색용 추출물(extract), 탄닌과 이들의 유도체, 염료ㆍ안료와 그 밖의 착색제, 페인트ㆍ바니시(varnish), 퍼티(putty)와 그 밖의 매스틱(mastic), 잉크</v>
      </c>
      <c r="G421" s="18" t="n">
        <f aca="false">IFERROR(VALUE(SUBSTITUTE(TRIM('수출입 실적(품목별)'!D425),",","")),"")</f>
        <v>30042.4</v>
      </c>
      <c r="H421" s="19" t="n">
        <f aca="false">IFERROR(VALUE(SUBSTITUTE(TRIM('수출입 실적(품목별)'!E425),",","")),"")</f>
        <v>238498</v>
      </c>
      <c r="I421" s="18" t="n">
        <f aca="false">IFERROR(VALUE(SUBSTITUTE(TRIM('수출입 실적(품목별)'!F425),",","")),"")</f>
        <v>28169.4</v>
      </c>
      <c r="J421" s="19" t="n">
        <f aca="false">IFERROR(VALUE(SUBSTITUTE(TRIM('수출입 실적(품목별)'!G425),",","")),"")</f>
        <v>212532</v>
      </c>
      <c r="K421" s="19" t="n">
        <f aca="false">IFERROR(VALUE(SUBSTITUTE(TRIM('수출입 실적(품목별)'!H425),",","")),"")</f>
        <v>25966</v>
      </c>
    </row>
    <row r="422" customFormat="false" ht="15" hidden="false" customHeight="true" outlineLevel="0" collapsed="false">
      <c r="A422" s="11" t="str">
        <f aca="false">TRIM('수출입 실적(품목별)'!A426)</f>
        <v>2024.05</v>
      </c>
      <c r="B422" s="17" t="n">
        <f aca="false">IFERROR(VALUE(LEFT($A422,4)),"")</f>
        <v>2024</v>
      </c>
      <c r="C422" s="17" t="n">
        <f aca="false">IFERROR(VALUE(RIGHT($A422,2)),"")</f>
        <v>5</v>
      </c>
      <c r="D422" s="17" t="n">
        <f aca="false">IFERROR(ROUNDUP($C422/3,0),"")</f>
        <v>2</v>
      </c>
      <c r="E422" s="11" t="str">
        <f aca="false">TRIM('수출입 실적(품목별)'!B426)</f>
        <v>33</v>
      </c>
      <c r="F422" s="11" t="str">
        <f aca="false">TRIM('수출입 실적(품목별)'!C426)</f>
        <v>정유(essential oil)와 레지노이드(resinoid), 조제향료와 화장품ㆍ화장용품</v>
      </c>
      <c r="G422" s="18" t="n">
        <f aca="false">IFERROR(VALUE(SUBSTITUTE(TRIM('수출입 실적(품목별)'!D426),",","")),"")</f>
        <v>39421.7</v>
      </c>
      <c r="H422" s="19" t="n">
        <f aca="false">IFERROR(VALUE(SUBSTITUTE(TRIM('수출입 실적(품목별)'!E426),",","")),"")</f>
        <v>850048</v>
      </c>
      <c r="I422" s="18" t="n">
        <f aca="false">IFERROR(VALUE(SUBSTITUTE(TRIM('수출입 실적(품목별)'!F426),",","")),"")</f>
        <v>9083.4</v>
      </c>
      <c r="J422" s="19" t="n">
        <f aca="false">IFERROR(VALUE(SUBSTITUTE(TRIM('수출입 실적(품목별)'!G426),",","")),"")</f>
        <v>173555</v>
      </c>
      <c r="K422" s="19" t="n">
        <f aca="false">IFERROR(VALUE(SUBSTITUTE(TRIM('수출입 실적(품목별)'!H426),",","")),"")</f>
        <v>676493</v>
      </c>
    </row>
    <row r="423" customFormat="false" ht="15" hidden="false" customHeight="true" outlineLevel="0" collapsed="false">
      <c r="A423" s="11" t="str">
        <f aca="false">TRIM('수출입 실적(품목별)'!A427)</f>
        <v>2024.05</v>
      </c>
      <c r="B423" s="17" t="n">
        <f aca="false">IFERROR(VALUE(LEFT($A423,4)),"")</f>
        <v>2024</v>
      </c>
      <c r="C423" s="17" t="n">
        <f aca="false">IFERROR(VALUE(RIGHT($A423,2)),"")</f>
        <v>5</v>
      </c>
      <c r="D423" s="17" t="n">
        <f aca="false">IFERROR(ROUNDUP($C423/3,0),"")</f>
        <v>2</v>
      </c>
      <c r="E423" s="11" t="str">
        <f aca="false">TRIM('수출입 실적(품목별)'!B427)</f>
        <v>34</v>
      </c>
      <c r="F423" s="11" t="str">
        <f aca="false">TRIM('수출입 실적(품목별)'!C427)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423" s="18" t="n">
        <f aca="false">IFERROR(VALUE(SUBSTITUTE(TRIM('수출입 실적(품목별)'!D427),",","")),"")</f>
        <v>61275.7</v>
      </c>
      <c r="H423" s="19" t="n">
        <f aca="false">IFERROR(VALUE(SUBSTITUTE(TRIM('수출입 실적(품목별)'!E427),",","")),"")</f>
        <v>164214</v>
      </c>
      <c r="I423" s="18" t="n">
        <f aca="false">IFERROR(VALUE(SUBSTITUTE(TRIM('수출입 실적(품목별)'!F427),",","")),"")</f>
        <v>26042.7</v>
      </c>
      <c r="J423" s="19" t="n">
        <f aca="false">IFERROR(VALUE(SUBSTITUTE(TRIM('수출입 실적(품목별)'!G427),",","")),"")</f>
        <v>99919</v>
      </c>
      <c r="K423" s="19" t="n">
        <f aca="false">IFERROR(VALUE(SUBSTITUTE(TRIM('수출입 실적(품목별)'!H427),",","")),"")</f>
        <v>64295</v>
      </c>
    </row>
    <row r="424" customFormat="false" ht="15" hidden="false" customHeight="true" outlineLevel="0" collapsed="false">
      <c r="A424" s="11" t="str">
        <f aca="false">TRIM('수출입 실적(품목별)'!A428)</f>
        <v>2024.05</v>
      </c>
      <c r="B424" s="17" t="n">
        <f aca="false">IFERROR(VALUE(LEFT($A424,4)),"")</f>
        <v>2024</v>
      </c>
      <c r="C424" s="17" t="n">
        <f aca="false">IFERROR(VALUE(RIGHT($A424,2)),"")</f>
        <v>5</v>
      </c>
      <c r="D424" s="17" t="n">
        <f aca="false">IFERROR(ROUNDUP($C424/3,0),"")</f>
        <v>2</v>
      </c>
      <c r="E424" s="11" t="str">
        <f aca="false">TRIM('수출입 실적(품목별)'!B428)</f>
        <v>35</v>
      </c>
      <c r="F424" s="11" t="str">
        <f aca="false">TRIM('수출입 실적(품목별)'!C428)</f>
        <v>단백질계 물질, 변성전분, 글루(glue), 효소</v>
      </c>
      <c r="G424" s="18" t="n">
        <f aca="false">IFERROR(VALUE(SUBSTITUTE(TRIM('수출입 실적(품목별)'!D428),",","")),"")</f>
        <v>6841.8</v>
      </c>
      <c r="H424" s="19" t="n">
        <f aca="false">IFERROR(VALUE(SUBSTITUTE(TRIM('수출입 실적(품목별)'!E428),",","")),"")</f>
        <v>83370</v>
      </c>
      <c r="I424" s="18" t="n">
        <f aca="false">IFERROR(VALUE(SUBSTITUTE(TRIM('수출입 실적(품목별)'!F428),",","")),"")</f>
        <v>17086.1</v>
      </c>
      <c r="J424" s="19" t="n">
        <f aca="false">IFERROR(VALUE(SUBSTITUTE(TRIM('수출입 실적(품목별)'!G428),",","")),"")</f>
        <v>81185</v>
      </c>
      <c r="K424" s="19" t="n">
        <f aca="false">IFERROR(VALUE(SUBSTITUTE(TRIM('수출입 실적(품목별)'!H428),",","")),"")</f>
        <v>2185</v>
      </c>
    </row>
    <row r="425" customFormat="false" ht="15" hidden="false" customHeight="true" outlineLevel="0" collapsed="false">
      <c r="A425" s="11" t="str">
        <f aca="false">TRIM('수출입 실적(품목별)'!A429)</f>
        <v>2024.05</v>
      </c>
      <c r="B425" s="17" t="n">
        <f aca="false">IFERROR(VALUE(LEFT($A425,4)),"")</f>
        <v>2024</v>
      </c>
      <c r="C425" s="17" t="n">
        <f aca="false">IFERROR(VALUE(RIGHT($A425,2)),"")</f>
        <v>5</v>
      </c>
      <c r="D425" s="17" t="n">
        <f aca="false">IFERROR(ROUNDUP($C425/3,0),"")</f>
        <v>2</v>
      </c>
      <c r="E425" s="11" t="str">
        <f aca="false">TRIM('수출입 실적(품목별)'!B429)</f>
        <v>36</v>
      </c>
      <c r="F425" s="11" t="str">
        <f aca="false">TRIM('수출입 실적(품목별)'!C429)</f>
        <v>화약류, 화공품, 성냥, 발화성 합금, 특정 가연성 조제품</v>
      </c>
      <c r="G425" s="18" t="n">
        <f aca="false">IFERROR(VALUE(SUBSTITUTE(TRIM('수출입 실적(품목별)'!D429),",","")),"")</f>
        <v>124.1</v>
      </c>
      <c r="H425" s="19" t="n">
        <f aca="false">IFERROR(VALUE(SUBSTITUTE(TRIM('수출입 실적(품목별)'!E429),",","")),"")</f>
        <v>6737</v>
      </c>
      <c r="I425" s="18" t="n">
        <f aca="false">IFERROR(VALUE(SUBSTITUTE(TRIM('수출입 실적(품목별)'!F429),",","")),"")</f>
        <v>329.4</v>
      </c>
      <c r="J425" s="19" t="n">
        <f aca="false">IFERROR(VALUE(SUBSTITUTE(TRIM('수출입 실적(품목별)'!G429),",","")),"")</f>
        <v>4482</v>
      </c>
      <c r="K425" s="19" t="n">
        <f aca="false">IFERROR(VALUE(SUBSTITUTE(TRIM('수출입 실적(품목별)'!H429),",","")),"")</f>
        <v>2254</v>
      </c>
    </row>
    <row r="426" customFormat="false" ht="15" hidden="false" customHeight="true" outlineLevel="0" collapsed="false">
      <c r="A426" s="11" t="str">
        <f aca="false">TRIM('수출입 실적(품목별)'!A430)</f>
        <v>2024.05</v>
      </c>
      <c r="B426" s="17" t="n">
        <f aca="false">IFERROR(VALUE(LEFT($A426,4)),"")</f>
        <v>2024</v>
      </c>
      <c r="C426" s="17" t="n">
        <f aca="false">IFERROR(VALUE(RIGHT($A426,2)),"")</f>
        <v>5</v>
      </c>
      <c r="D426" s="17" t="n">
        <f aca="false">IFERROR(ROUNDUP($C426/3,0),"")</f>
        <v>2</v>
      </c>
      <c r="E426" s="11" t="str">
        <f aca="false">TRIM('수출입 실적(품목별)'!B430)</f>
        <v>37</v>
      </c>
      <c r="F426" s="11" t="str">
        <f aca="false">TRIM('수출입 실적(품목별)'!C430)</f>
        <v>사진용이나 영화용 재료</v>
      </c>
      <c r="G426" s="18" t="n">
        <f aca="false">IFERROR(VALUE(SUBSTITUTE(TRIM('수출입 실적(품목별)'!D430),",","")),"")</f>
        <v>1899.4</v>
      </c>
      <c r="H426" s="19" t="n">
        <f aca="false">IFERROR(VALUE(SUBSTITUTE(TRIM('수출입 실적(품목별)'!E430),",","")),"")</f>
        <v>91428</v>
      </c>
      <c r="I426" s="18" t="n">
        <f aca="false">IFERROR(VALUE(SUBSTITUTE(TRIM('수출입 실적(품목별)'!F430),",","")),"")</f>
        <v>3145.6</v>
      </c>
      <c r="J426" s="19" t="n">
        <f aca="false">IFERROR(VALUE(SUBSTITUTE(TRIM('수출입 실적(품목별)'!G430),",","")),"")</f>
        <v>90120</v>
      </c>
      <c r="K426" s="19" t="n">
        <f aca="false">IFERROR(VALUE(SUBSTITUTE(TRIM('수출입 실적(품목별)'!H430),",","")),"")</f>
        <v>1308</v>
      </c>
    </row>
    <row r="427" customFormat="false" ht="15" hidden="false" customHeight="true" outlineLevel="0" collapsed="false">
      <c r="A427" s="11" t="str">
        <f aca="false">TRIM('수출입 실적(품목별)'!A431)</f>
        <v>2024.05</v>
      </c>
      <c r="B427" s="17" t="n">
        <f aca="false">IFERROR(VALUE(LEFT($A427,4)),"")</f>
        <v>2024</v>
      </c>
      <c r="C427" s="17" t="n">
        <f aca="false">IFERROR(VALUE(RIGHT($A427,2)),"")</f>
        <v>5</v>
      </c>
      <c r="D427" s="17" t="n">
        <f aca="false">IFERROR(ROUNDUP($C427/3,0),"")</f>
        <v>2</v>
      </c>
      <c r="E427" s="11" t="str">
        <f aca="false">TRIM('수출입 실적(품목별)'!B431)</f>
        <v>38</v>
      </c>
      <c r="F427" s="11" t="str">
        <f aca="false">TRIM('수출입 실적(품목별)'!C431)</f>
        <v>각종 화학공업 생산품</v>
      </c>
      <c r="G427" s="18" t="n">
        <f aca="false">IFERROR(VALUE(SUBSTITUTE(TRIM('수출입 실적(품목별)'!D431),",","")),"")</f>
        <v>114777.7</v>
      </c>
      <c r="H427" s="19" t="n">
        <f aca="false">IFERROR(VALUE(SUBSTITUTE(TRIM('수출입 실적(품목별)'!E431),",","")),"")</f>
        <v>592052</v>
      </c>
      <c r="I427" s="18" t="n">
        <f aca="false">IFERROR(VALUE(SUBSTITUTE(TRIM('수출입 실적(품목별)'!F431),",","")),"")</f>
        <v>290375.4</v>
      </c>
      <c r="J427" s="19" t="n">
        <f aca="false">IFERROR(VALUE(SUBSTITUTE(TRIM('수출입 실적(품목별)'!G431),",","")),"")</f>
        <v>660986</v>
      </c>
      <c r="K427" s="19" t="n">
        <f aca="false">IFERROR(VALUE(SUBSTITUTE(TRIM('수출입 실적(품목별)'!H431),",","")),"")</f>
        <v>-68933</v>
      </c>
    </row>
    <row r="428" customFormat="false" ht="15" hidden="false" customHeight="true" outlineLevel="0" collapsed="false">
      <c r="A428" s="11" t="str">
        <f aca="false">TRIM('수출입 실적(품목별)'!A432)</f>
        <v>2024.05</v>
      </c>
      <c r="B428" s="17" t="n">
        <f aca="false">IFERROR(VALUE(LEFT($A428,4)),"")</f>
        <v>2024</v>
      </c>
      <c r="C428" s="17" t="n">
        <f aca="false">IFERROR(VALUE(RIGHT($A428,2)),"")</f>
        <v>5</v>
      </c>
      <c r="D428" s="17" t="n">
        <f aca="false">IFERROR(ROUNDUP($C428/3,0),"")</f>
        <v>2</v>
      </c>
      <c r="E428" s="11" t="str">
        <f aca="false">TRIM('수출입 실적(품목별)'!B432)</f>
        <v>39</v>
      </c>
      <c r="F428" s="11" t="str">
        <f aca="false">TRIM('수출입 실적(품목별)'!C432)</f>
        <v>플라스틱과 그 제품</v>
      </c>
      <c r="G428" s="18" t="n">
        <f aca="false">IFERROR(VALUE(SUBSTITUTE(TRIM('수출입 실적(품목별)'!D432),",","")),"")</f>
        <v>1544715.7</v>
      </c>
      <c r="H428" s="19" t="n">
        <f aca="false">IFERROR(VALUE(SUBSTITUTE(TRIM('수출입 실적(품목별)'!E432),",","")),"")</f>
        <v>3178756</v>
      </c>
      <c r="I428" s="18" t="n">
        <f aca="false">IFERROR(VALUE(SUBSTITUTE(TRIM('수출입 실적(품목별)'!F432),",","")),"")</f>
        <v>287065.9</v>
      </c>
      <c r="J428" s="19" t="n">
        <f aca="false">IFERROR(VALUE(SUBSTITUTE(TRIM('수출입 실적(품목별)'!G432),",","")),"")</f>
        <v>1117096</v>
      </c>
      <c r="K428" s="19" t="n">
        <f aca="false">IFERROR(VALUE(SUBSTITUTE(TRIM('수출입 실적(품목별)'!H432),",","")),"")</f>
        <v>2061660</v>
      </c>
    </row>
    <row r="429" customFormat="false" ht="15" hidden="false" customHeight="true" outlineLevel="0" collapsed="false">
      <c r="A429" s="11" t="str">
        <f aca="false">TRIM('수출입 실적(품목별)'!A433)</f>
        <v>2024.05</v>
      </c>
      <c r="B429" s="17" t="n">
        <f aca="false">IFERROR(VALUE(LEFT($A429,4)),"")</f>
        <v>2024</v>
      </c>
      <c r="C429" s="17" t="n">
        <f aca="false">IFERROR(VALUE(RIGHT($A429,2)),"")</f>
        <v>5</v>
      </c>
      <c r="D429" s="17" t="n">
        <f aca="false">IFERROR(ROUNDUP($C429/3,0),"")</f>
        <v>2</v>
      </c>
      <c r="E429" s="11" t="str">
        <f aca="false">TRIM('수출입 실적(품목별)'!B433)</f>
        <v>40</v>
      </c>
      <c r="F429" s="11" t="str">
        <f aca="false">TRIM('수출입 실적(품목별)'!C433)</f>
        <v>고무와 그 제품</v>
      </c>
      <c r="G429" s="18" t="n">
        <f aca="false">IFERROR(VALUE(SUBSTITUTE(TRIM('수출입 실적(품목별)'!D433),",","")),"")</f>
        <v>237242.8</v>
      </c>
      <c r="H429" s="19" t="n">
        <f aca="false">IFERROR(VALUE(SUBSTITUTE(TRIM('수출입 실적(품목별)'!E433),",","")),"")</f>
        <v>698143</v>
      </c>
      <c r="I429" s="18" t="n">
        <f aca="false">IFERROR(VALUE(SUBSTITUTE(TRIM('수출입 실적(품목별)'!F433),",","")),"")</f>
        <v>72765.5</v>
      </c>
      <c r="J429" s="19" t="n">
        <f aca="false">IFERROR(VALUE(SUBSTITUTE(TRIM('수출입 실적(품목별)'!G433),",","")),"")</f>
        <v>236699</v>
      </c>
      <c r="K429" s="19" t="n">
        <f aca="false">IFERROR(VALUE(SUBSTITUTE(TRIM('수출입 실적(품목별)'!H433),",","")),"")</f>
        <v>461444</v>
      </c>
    </row>
    <row r="430" customFormat="false" ht="15" hidden="false" customHeight="true" outlineLevel="0" collapsed="false">
      <c r="A430" s="11" t="str">
        <f aca="false">TRIM('수출입 실적(품목별)'!A434)</f>
        <v>2024.05</v>
      </c>
      <c r="B430" s="17" t="n">
        <f aca="false">IFERROR(VALUE(LEFT($A430,4)),"")</f>
        <v>2024</v>
      </c>
      <c r="C430" s="17" t="n">
        <f aca="false">IFERROR(VALUE(RIGHT($A430,2)),"")</f>
        <v>5</v>
      </c>
      <c r="D430" s="17" t="n">
        <f aca="false">IFERROR(ROUNDUP($C430/3,0),"")</f>
        <v>2</v>
      </c>
      <c r="E430" s="11" t="str">
        <f aca="false">TRIM('수출입 실적(품목별)'!B434)</f>
        <v>41</v>
      </c>
      <c r="F430" s="11" t="str">
        <f aca="false">TRIM('수출입 실적(품목별)'!C434)</f>
        <v>원피(모피는 제외한다)와 가죽</v>
      </c>
      <c r="G430" s="18" t="n">
        <f aca="false">IFERROR(VALUE(SUBSTITUTE(TRIM('수출입 실적(품목별)'!D434),",","")),"")</f>
        <v>2768.6</v>
      </c>
      <c r="H430" s="19" t="n">
        <f aca="false">IFERROR(VALUE(SUBSTITUTE(TRIM('수출입 실적(품목별)'!E434),",","")),"")</f>
        <v>26933</v>
      </c>
      <c r="I430" s="18" t="n">
        <f aca="false">IFERROR(VALUE(SUBSTITUTE(TRIM('수출입 실적(품목별)'!F434),",","")),"")</f>
        <v>7905.7</v>
      </c>
      <c r="J430" s="19" t="n">
        <f aca="false">IFERROR(VALUE(SUBSTITUTE(TRIM('수출입 실적(품목별)'!G434),",","")),"")</f>
        <v>19593</v>
      </c>
      <c r="K430" s="19" t="n">
        <f aca="false">IFERROR(VALUE(SUBSTITUTE(TRIM('수출입 실적(품목별)'!H434),",","")),"")</f>
        <v>7340</v>
      </c>
    </row>
    <row r="431" customFormat="false" ht="15" hidden="false" customHeight="true" outlineLevel="0" collapsed="false">
      <c r="A431" s="11" t="str">
        <f aca="false">TRIM('수출입 실적(품목별)'!A435)</f>
        <v>2024.05</v>
      </c>
      <c r="B431" s="17" t="n">
        <f aca="false">IFERROR(VALUE(LEFT($A431,4)),"")</f>
        <v>2024</v>
      </c>
      <c r="C431" s="17" t="n">
        <f aca="false">IFERROR(VALUE(RIGHT($A431,2)),"")</f>
        <v>5</v>
      </c>
      <c r="D431" s="17" t="n">
        <f aca="false">IFERROR(ROUNDUP($C431/3,0),"")</f>
        <v>2</v>
      </c>
      <c r="E431" s="11" t="str">
        <f aca="false">TRIM('수출입 실적(품목별)'!B435)</f>
        <v>42</v>
      </c>
      <c r="F431" s="11" t="str">
        <f aca="false">TRIM('수출입 실적(품목별)'!C435)</f>
        <v>가죽제품, 마구, 여행용구ㆍ핸드백과 이와 유사한 용기, 동물 거트(gut)[누에의 거트(gut)는 제외한다]의 제품</v>
      </c>
      <c r="G431" s="18" t="n">
        <f aca="false">IFERROR(VALUE(SUBSTITUTE(TRIM('수출입 실적(품목별)'!D435),",","")),"")</f>
        <v>818.4</v>
      </c>
      <c r="H431" s="19" t="n">
        <f aca="false">IFERROR(VALUE(SUBSTITUTE(TRIM('수출입 실적(품목별)'!E435),",","")),"")</f>
        <v>36424</v>
      </c>
      <c r="I431" s="18" t="n">
        <f aca="false">IFERROR(VALUE(SUBSTITUTE(TRIM('수출입 실적(품목별)'!F435),",","")),"")</f>
        <v>10234.2</v>
      </c>
      <c r="J431" s="19" t="n">
        <f aca="false">IFERROR(VALUE(SUBSTITUTE(TRIM('수출입 실적(품목별)'!G435),",","")),"")</f>
        <v>331989</v>
      </c>
      <c r="K431" s="19" t="n">
        <f aca="false">IFERROR(VALUE(SUBSTITUTE(TRIM('수출입 실적(품목별)'!H435),",","")),"")</f>
        <v>-295565</v>
      </c>
    </row>
    <row r="432" customFormat="false" ht="15" hidden="false" customHeight="true" outlineLevel="0" collapsed="false">
      <c r="A432" s="11" t="str">
        <f aca="false">TRIM('수출입 실적(품목별)'!A436)</f>
        <v>2024.05</v>
      </c>
      <c r="B432" s="17" t="n">
        <f aca="false">IFERROR(VALUE(LEFT($A432,4)),"")</f>
        <v>2024</v>
      </c>
      <c r="C432" s="17" t="n">
        <f aca="false">IFERROR(VALUE(RIGHT($A432,2)),"")</f>
        <v>5</v>
      </c>
      <c r="D432" s="17" t="n">
        <f aca="false">IFERROR(ROUNDUP($C432/3,0),"")</f>
        <v>2</v>
      </c>
      <c r="E432" s="11" t="str">
        <f aca="false">TRIM('수출입 실적(품목별)'!B436)</f>
        <v>43</v>
      </c>
      <c r="F432" s="11" t="str">
        <f aca="false">TRIM('수출입 실적(품목별)'!C436)</f>
        <v>모피ㆍ인조모피와 이들의 제품</v>
      </c>
      <c r="G432" s="18" t="n">
        <f aca="false">IFERROR(VALUE(SUBSTITUTE(TRIM('수출입 실적(품목별)'!D436),",","")),"")</f>
        <v>14.3</v>
      </c>
      <c r="H432" s="19" t="n">
        <f aca="false">IFERROR(VALUE(SUBSTITUTE(TRIM('수출입 실적(품목별)'!E436),",","")),"")</f>
        <v>541</v>
      </c>
      <c r="I432" s="18" t="n">
        <f aca="false">IFERROR(VALUE(SUBSTITUTE(TRIM('수출입 실적(품목별)'!F436),",","")),"")</f>
        <v>46.6</v>
      </c>
      <c r="J432" s="19" t="n">
        <f aca="false">IFERROR(VALUE(SUBSTITUTE(TRIM('수출입 실적(품목별)'!G436),",","")),"")</f>
        <v>7355</v>
      </c>
      <c r="K432" s="19" t="n">
        <f aca="false">IFERROR(VALUE(SUBSTITUTE(TRIM('수출입 실적(품목별)'!H436),",","")),"")</f>
        <v>-6814</v>
      </c>
    </row>
    <row r="433" customFormat="false" ht="15" hidden="false" customHeight="true" outlineLevel="0" collapsed="false">
      <c r="A433" s="11" t="str">
        <f aca="false">TRIM('수출입 실적(품목별)'!A437)</f>
        <v>2024.05</v>
      </c>
      <c r="B433" s="17" t="n">
        <f aca="false">IFERROR(VALUE(LEFT($A433,4)),"")</f>
        <v>2024</v>
      </c>
      <c r="C433" s="17" t="n">
        <f aca="false">IFERROR(VALUE(RIGHT($A433,2)),"")</f>
        <v>5</v>
      </c>
      <c r="D433" s="17" t="n">
        <f aca="false">IFERROR(ROUNDUP($C433/3,0),"")</f>
        <v>2</v>
      </c>
      <c r="E433" s="11" t="str">
        <f aca="false">TRIM('수출입 실적(품목별)'!B437)</f>
        <v>44</v>
      </c>
      <c r="F433" s="11" t="str">
        <f aca="false">TRIM('수출입 실적(품목별)'!C437)</f>
        <v>목재와 그 제품, 목탄</v>
      </c>
      <c r="G433" s="18" t="n">
        <f aca="false">IFERROR(VALUE(SUBSTITUTE(TRIM('수출입 실적(품목별)'!D437),",","")),"")</f>
        <v>4720.1</v>
      </c>
      <c r="H433" s="19" t="n">
        <f aca="false">IFERROR(VALUE(SUBSTITUTE(TRIM('수출입 실적(품목별)'!E437),",","")),"")</f>
        <v>6588</v>
      </c>
      <c r="I433" s="18" t="n">
        <f aca="false">IFERROR(VALUE(SUBSTITUTE(TRIM('수출입 실적(품목별)'!F437),",","")),"")</f>
        <v>973494.4</v>
      </c>
      <c r="J433" s="19" t="n">
        <f aca="false">IFERROR(VALUE(SUBSTITUTE(TRIM('수출입 실적(품목별)'!G437),",","")),"")</f>
        <v>277003</v>
      </c>
      <c r="K433" s="19" t="n">
        <f aca="false">IFERROR(VALUE(SUBSTITUTE(TRIM('수출입 실적(품목별)'!H437),",","")),"")</f>
        <v>-270415</v>
      </c>
    </row>
    <row r="434" customFormat="false" ht="15" hidden="false" customHeight="true" outlineLevel="0" collapsed="false">
      <c r="A434" s="11" t="str">
        <f aca="false">TRIM('수출입 실적(품목별)'!A438)</f>
        <v>2024.05</v>
      </c>
      <c r="B434" s="17" t="n">
        <f aca="false">IFERROR(VALUE(LEFT($A434,4)),"")</f>
        <v>2024</v>
      </c>
      <c r="C434" s="17" t="n">
        <f aca="false">IFERROR(VALUE(RIGHT($A434,2)),"")</f>
        <v>5</v>
      </c>
      <c r="D434" s="17" t="n">
        <f aca="false">IFERROR(ROUNDUP($C434/3,0),"")</f>
        <v>2</v>
      </c>
      <c r="E434" s="11" t="str">
        <f aca="false">TRIM('수출입 실적(품목별)'!B438)</f>
        <v>45</v>
      </c>
      <c r="F434" s="11" t="str">
        <f aca="false">TRIM('수출입 실적(품목별)'!C438)</f>
        <v>코르크(cork)와 그 제품</v>
      </c>
      <c r="G434" s="18" t="n">
        <f aca="false">IFERROR(VALUE(SUBSTITUTE(TRIM('수출입 실적(품목별)'!D438),",","")),"")</f>
        <v>1.1</v>
      </c>
      <c r="H434" s="19" t="n">
        <f aca="false">IFERROR(VALUE(SUBSTITUTE(TRIM('수출입 실적(품목별)'!E438),",","")),"")</f>
        <v>24</v>
      </c>
      <c r="I434" s="18" t="n">
        <f aca="false">IFERROR(VALUE(SUBSTITUTE(TRIM('수출입 실적(품목별)'!F438),",","")),"")</f>
        <v>32.5</v>
      </c>
      <c r="J434" s="19" t="n">
        <f aca="false">IFERROR(VALUE(SUBSTITUTE(TRIM('수출입 실적(품목별)'!G438),",","")),"")</f>
        <v>205</v>
      </c>
      <c r="K434" s="19" t="n">
        <f aca="false">IFERROR(VALUE(SUBSTITUTE(TRIM('수출입 실적(품목별)'!H438),",","")),"")</f>
        <v>-182</v>
      </c>
    </row>
    <row r="435" customFormat="false" ht="15" hidden="false" customHeight="true" outlineLevel="0" collapsed="false">
      <c r="A435" s="11" t="str">
        <f aca="false">TRIM('수출입 실적(품목별)'!A439)</f>
        <v>2024.05</v>
      </c>
      <c r="B435" s="17" t="n">
        <f aca="false">IFERROR(VALUE(LEFT($A435,4)),"")</f>
        <v>2024</v>
      </c>
      <c r="C435" s="17" t="n">
        <f aca="false">IFERROR(VALUE(RIGHT($A435,2)),"")</f>
        <v>5</v>
      </c>
      <c r="D435" s="17" t="n">
        <f aca="false">IFERROR(ROUNDUP($C435/3,0),"")</f>
        <v>2</v>
      </c>
      <c r="E435" s="11" t="str">
        <f aca="false">TRIM('수출입 실적(품목별)'!B439)</f>
        <v>46</v>
      </c>
      <c r="F435" s="11" t="str">
        <f aca="false">TRIM('수출입 실적(품목별)'!C439)</f>
        <v>짚ㆍ에스파르토(esparto)나 그 밖의 조물 재료의 제품, 바구니 세공물(basketware)과 지조세공물(枝條細工物)</v>
      </c>
      <c r="G435" s="18" t="n">
        <f aca="false">IFERROR(VALUE(SUBSTITUTE(TRIM('수출입 실적(품목별)'!D439),",","")),"")</f>
        <v>5.7</v>
      </c>
      <c r="H435" s="19" t="n">
        <f aca="false">IFERROR(VALUE(SUBSTITUTE(TRIM('수출입 실적(품목별)'!E439),",","")),"")</f>
        <v>135</v>
      </c>
      <c r="I435" s="18" t="n">
        <f aca="false">IFERROR(VALUE(SUBSTITUTE(TRIM('수출입 실적(품목별)'!F439),",","")),"")</f>
        <v>816.3</v>
      </c>
      <c r="J435" s="19" t="n">
        <f aca="false">IFERROR(VALUE(SUBSTITUTE(TRIM('수출입 실적(품목별)'!G439),",","")),"")</f>
        <v>3955</v>
      </c>
      <c r="K435" s="19" t="n">
        <f aca="false">IFERROR(VALUE(SUBSTITUTE(TRIM('수출입 실적(품목별)'!H439),",","")),"")</f>
        <v>-3820</v>
      </c>
    </row>
    <row r="436" customFormat="false" ht="15" hidden="false" customHeight="true" outlineLevel="0" collapsed="false">
      <c r="A436" s="11" t="str">
        <f aca="false">TRIM('수출입 실적(품목별)'!A440)</f>
        <v>2024.05</v>
      </c>
      <c r="B436" s="17" t="n">
        <f aca="false">IFERROR(VALUE(LEFT($A436,4)),"")</f>
        <v>2024</v>
      </c>
      <c r="C436" s="17" t="n">
        <f aca="false">IFERROR(VALUE(RIGHT($A436,2)),"")</f>
        <v>5</v>
      </c>
      <c r="D436" s="17" t="n">
        <f aca="false">IFERROR(ROUNDUP($C436/3,0),"")</f>
        <v>2</v>
      </c>
      <c r="E436" s="11" t="str">
        <f aca="false">TRIM('수출입 실적(품목별)'!B440)</f>
        <v>47</v>
      </c>
      <c r="F436" s="11" t="str">
        <f aca="false">TRIM('수출입 실적(품목별)'!C440)</f>
        <v>목재나 그 밖의 섬유질 셀룰로오스재료의 펄프, 회수한 종이ㆍ판지[웨이스트(waste)와 스크랩(scrap)]</v>
      </c>
      <c r="G436" s="18" t="n">
        <f aca="false">IFERROR(VALUE(SUBSTITUTE(TRIM('수출입 실적(품목별)'!D440),",","")),"")</f>
        <v>69708</v>
      </c>
      <c r="H436" s="19" t="n">
        <f aca="false">IFERROR(VALUE(SUBSTITUTE(TRIM('수출입 실적(품목별)'!E440),",","")),"")</f>
        <v>16717</v>
      </c>
      <c r="I436" s="18" t="n">
        <f aca="false">IFERROR(VALUE(SUBSTITUTE(TRIM('수출입 실적(품목별)'!F440),",","")),"")</f>
        <v>239266.4</v>
      </c>
      <c r="J436" s="19" t="n">
        <f aca="false">IFERROR(VALUE(SUBSTITUTE(TRIM('수출입 실적(품목별)'!G440),",","")),"")</f>
        <v>134286</v>
      </c>
      <c r="K436" s="19" t="n">
        <f aca="false">IFERROR(VALUE(SUBSTITUTE(TRIM('수출입 실적(품목별)'!H440),",","")),"")</f>
        <v>-117570</v>
      </c>
    </row>
    <row r="437" customFormat="false" ht="15" hidden="false" customHeight="true" outlineLevel="0" collapsed="false">
      <c r="A437" s="11" t="str">
        <f aca="false">TRIM('수출입 실적(품목별)'!A441)</f>
        <v>2024.05</v>
      </c>
      <c r="B437" s="17" t="n">
        <f aca="false">IFERROR(VALUE(LEFT($A437,4)),"")</f>
        <v>2024</v>
      </c>
      <c r="C437" s="17" t="n">
        <f aca="false">IFERROR(VALUE(RIGHT($A437,2)),"")</f>
        <v>5</v>
      </c>
      <c r="D437" s="17" t="n">
        <f aca="false">IFERROR(ROUNDUP($C437/3,0),"")</f>
        <v>2</v>
      </c>
      <c r="E437" s="11" t="str">
        <f aca="false">TRIM('수출입 실적(품목별)'!B441)</f>
        <v>48</v>
      </c>
      <c r="F437" s="11" t="str">
        <f aca="false">TRIM('수출입 실적(품목별)'!C441)</f>
        <v>종이와 판지, 제지용 펄프ㆍ종이ㆍ판지의 제품</v>
      </c>
      <c r="G437" s="18" t="n">
        <f aca="false">IFERROR(VALUE(SUBSTITUTE(TRIM('수출입 실적(품목별)'!D441),",","")),"")</f>
        <v>242870.7</v>
      </c>
      <c r="H437" s="19" t="n">
        <f aca="false">IFERROR(VALUE(SUBSTITUTE(TRIM('수출입 실적(품목별)'!E441),",","")),"")</f>
        <v>243014</v>
      </c>
      <c r="I437" s="18" t="n">
        <f aca="false">IFERROR(VALUE(SUBSTITUTE(TRIM('수출입 실적(품목별)'!F441),",","")),"")</f>
        <v>122643.4</v>
      </c>
      <c r="J437" s="19" t="n">
        <f aca="false">IFERROR(VALUE(SUBSTITUTE(TRIM('수출입 실적(품목별)'!G441),",","")),"")</f>
        <v>191411</v>
      </c>
      <c r="K437" s="19" t="n">
        <f aca="false">IFERROR(VALUE(SUBSTITUTE(TRIM('수출입 실적(품목별)'!H441),",","")),"")</f>
        <v>51603</v>
      </c>
    </row>
    <row r="438" customFormat="false" ht="15" hidden="false" customHeight="true" outlineLevel="0" collapsed="false">
      <c r="A438" s="11" t="str">
        <f aca="false">TRIM('수출입 실적(품목별)'!A442)</f>
        <v>2024.05</v>
      </c>
      <c r="B438" s="17" t="n">
        <f aca="false">IFERROR(VALUE(LEFT($A438,4)),"")</f>
        <v>2024</v>
      </c>
      <c r="C438" s="17" t="n">
        <f aca="false">IFERROR(VALUE(RIGHT($A438,2)),"")</f>
        <v>5</v>
      </c>
      <c r="D438" s="17" t="n">
        <f aca="false">IFERROR(ROUNDUP($C438/3,0),"")</f>
        <v>2</v>
      </c>
      <c r="E438" s="11" t="str">
        <f aca="false">TRIM('수출입 실적(품목별)'!B442)</f>
        <v>49</v>
      </c>
      <c r="F438" s="11" t="str">
        <f aca="false">TRIM('수출입 실적(품목별)'!C442)</f>
        <v>인쇄서적ㆍ신문ㆍ회화ㆍ그 밖의 인쇄물, 수제(手製)문서ㆍ타자문서ㆍ도면</v>
      </c>
      <c r="G438" s="18" t="n">
        <f aca="false">IFERROR(VALUE(SUBSTITUTE(TRIM('수출입 실적(품목별)'!D442),",","")),"")</f>
        <v>3389.7</v>
      </c>
      <c r="H438" s="19" t="n">
        <f aca="false">IFERROR(VALUE(SUBSTITUTE(TRIM('수출입 실적(품목별)'!E442),",","")),"")</f>
        <v>28556</v>
      </c>
      <c r="I438" s="18" t="n">
        <f aca="false">IFERROR(VALUE(SUBSTITUTE(TRIM('수출입 실적(품목별)'!F442),",","")),"")</f>
        <v>1292.6</v>
      </c>
      <c r="J438" s="19" t="n">
        <f aca="false">IFERROR(VALUE(SUBSTITUTE(TRIM('수출입 실적(품목별)'!G442),",","")),"")</f>
        <v>20920</v>
      </c>
      <c r="K438" s="19" t="n">
        <f aca="false">IFERROR(VALUE(SUBSTITUTE(TRIM('수출입 실적(품목별)'!H442),",","")),"")</f>
        <v>7636</v>
      </c>
    </row>
    <row r="439" customFormat="false" ht="15" hidden="false" customHeight="true" outlineLevel="0" collapsed="false">
      <c r="A439" s="11" t="str">
        <f aca="false">TRIM('수출입 실적(품목별)'!A443)</f>
        <v>2024.05</v>
      </c>
      <c r="B439" s="17" t="n">
        <f aca="false">IFERROR(VALUE(LEFT($A439,4)),"")</f>
        <v>2024</v>
      </c>
      <c r="C439" s="17" t="n">
        <f aca="false">IFERROR(VALUE(RIGHT($A439,2)),"")</f>
        <v>5</v>
      </c>
      <c r="D439" s="17" t="n">
        <f aca="false">IFERROR(ROUNDUP($C439/3,0),"")</f>
        <v>2</v>
      </c>
      <c r="E439" s="11" t="str">
        <f aca="false">TRIM('수출입 실적(품목별)'!B443)</f>
        <v>50</v>
      </c>
      <c r="F439" s="11" t="str">
        <f aca="false">TRIM('수출입 실적(품목별)'!C443)</f>
        <v>견</v>
      </c>
      <c r="G439" s="18" t="n">
        <f aca="false">IFERROR(VALUE(SUBSTITUTE(TRIM('수출입 실적(품목별)'!D443),",","")),"")</f>
        <v>11.1</v>
      </c>
      <c r="H439" s="19" t="n">
        <f aca="false">IFERROR(VALUE(SUBSTITUTE(TRIM('수출입 실적(품목별)'!E443),",","")),"")</f>
        <v>1232</v>
      </c>
      <c r="I439" s="18" t="n">
        <f aca="false">IFERROR(VALUE(SUBSTITUTE(TRIM('수출입 실적(품목별)'!F443),",","")),"")</f>
        <v>16.4</v>
      </c>
      <c r="J439" s="19" t="n">
        <f aca="false">IFERROR(VALUE(SUBSTITUTE(TRIM('수출입 실적(품목별)'!G443),",","")),"")</f>
        <v>1638</v>
      </c>
      <c r="K439" s="19" t="n">
        <f aca="false">IFERROR(VALUE(SUBSTITUTE(TRIM('수출입 실적(품목별)'!H443),",","")),"")</f>
        <v>-407</v>
      </c>
    </row>
    <row r="440" customFormat="false" ht="15" hidden="false" customHeight="true" outlineLevel="0" collapsed="false">
      <c r="A440" s="11" t="str">
        <f aca="false">TRIM('수출입 실적(품목별)'!A444)</f>
        <v>2024.05</v>
      </c>
      <c r="B440" s="17" t="n">
        <f aca="false">IFERROR(VALUE(LEFT($A440,4)),"")</f>
        <v>2024</v>
      </c>
      <c r="C440" s="17" t="n">
        <f aca="false">IFERROR(VALUE(RIGHT($A440,2)),"")</f>
        <v>5</v>
      </c>
      <c r="D440" s="17" t="n">
        <f aca="false">IFERROR(ROUNDUP($C440/3,0),"")</f>
        <v>2</v>
      </c>
      <c r="E440" s="11" t="str">
        <f aca="false">TRIM('수출입 실적(품목별)'!B444)</f>
        <v>51</v>
      </c>
      <c r="F440" s="11" t="str">
        <f aca="false">TRIM('수출입 실적(품목별)'!C444)</f>
        <v>양모ㆍ동물의 부드러운 털이나 거친 털ㆍ말의 털로 만든 실과 직물</v>
      </c>
      <c r="G440" s="18" t="n">
        <f aca="false">IFERROR(VALUE(SUBSTITUTE(TRIM('수출입 실적(품목별)'!D444),",","")),"")</f>
        <v>401.1</v>
      </c>
      <c r="H440" s="19" t="n">
        <f aca="false">IFERROR(VALUE(SUBSTITUTE(TRIM('수출입 실적(품목별)'!E444),",","")),"")</f>
        <v>9649</v>
      </c>
      <c r="I440" s="18" t="n">
        <f aca="false">IFERROR(VALUE(SUBSTITUTE(TRIM('수출입 실적(품목별)'!F444),",","")),"")</f>
        <v>1140.9</v>
      </c>
      <c r="J440" s="19" t="n">
        <f aca="false">IFERROR(VALUE(SUBSTITUTE(TRIM('수출입 실적(품목별)'!G444),",","")),"")</f>
        <v>23475</v>
      </c>
      <c r="K440" s="19" t="n">
        <f aca="false">IFERROR(VALUE(SUBSTITUTE(TRIM('수출입 실적(품목별)'!H444),",","")),"")</f>
        <v>-13826</v>
      </c>
    </row>
    <row r="441" customFormat="false" ht="15" hidden="false" customHeight="true" outlineLevel="0" collapsed="false">
      <c r="A441" s="11" t="str">
        <f aca="false">TRIM('수출입 실적(품목별)'!A445)</f>
        <v>2024.05</v>
      </c>
      <c r="B441" s="17" t="n">
        <f aca="false">IFERROR(VALUE(LEFT($A441,4)),"")</f>
        <v>2024</v>
      </c>
      <c r="C441" s="17" t="n">
        <f aca="false">IFERROR(VALUE(RIGHT($A441,2)),"")</f>
        <v>5</v>
      </c>
      <c r="D441" s="17" t="n">
        <f aca="false">IFERROR(ROUNDUP($C441/3,0),"")</f>
        <v>2</v>
      </c>
      <c r="E441" s="11" t="str">
        <f aca="false">TRIM('수출입 실적(품목별)'!B445)</f>
        <v>52</v>
      </c>
      <c r="F441" s="11" t="str">
        <f aca="false">TRIM('수출입 실적(품목별)'!C445)</f>
        <v>면</v>
      </c>
      <c r="G441" s="18" t="n">
        <f aca="false">IFERROR(VALUE(SUBSTITUTE(TRIM('수출입 실적(품목별)'!D445),",","")),"")</f>
        <v>3378.7</v>
      </c>
      <c r="H441" s="19" t="n">
        <f aca="false">IFERROR(VALUE(SUBSTITUTE(TRIM('수출입 실적(품목별)'!E445),",","")),"")</f>
        <v>28686</v>
      </c>
      <c r="I441" s="18" t="n">
        <f aca="false">IFERROR(VALUE(SUBSTITUTE(TRIM('수출입 실적(품목별)'!F445),",","")),"")</f>
        <v>21476.5</v>
      </c>
      <c r="J441" s="19" t="n">
        <f aca="false">IFERROR(VALUE(SUBSTITUTE(TRIM('수출입 실적(품목별)'!G445),",","")),"")</f>
        <v>73795</v>
      </c>
      <c r="K441" s="19" t="n">
        <f aca="false">IFERROR(VALUE(SUBSTITUTE(TRIM('수출입 실적(품목별)'!H445),",","")),"")</f>
        <v>-45109</v>
      </c>
    </row>
    <row r="442" customFormat="false" ht="15" hidden="false" customHeight="true" outlineLevel="0" collapsed="false">
      <c r="A442" s="11" t="str">
        <f aca="false">TRIM('수출입 실적(품목별)'!A446)</f>
        <v>2024.05</v>
      </c>
      <c r="B442" s="17" t="n">
        <f aca="false">IFERROR(VALUE(LEFT($A442,4)),"")</f>
        <v>2024</v>
      </c>
      <c r="C442" s="17" t="n">
        <f aca="false">IFERROR(VALUE(RIGHT($A442,2)),"")</f>
        <v>5</v>
      </c>
      <c r="D442" s="17" t="n">
        <f aca="false">IFERROR(ROUNDUP($C442/3,0),"")</f>
        <v>2</v>
      </c>
      <c r="E442" s="11" t="str">
        <f aca="false">TRIM('수출입 실적(품목별)'!B446)</f>
        <v>53</v>
      </c>
      <c r="F442" s="11" t="str">
        <f aca="false">TRIM('수출입 실적(품목별)'!C446)</f>
        <v>그 밖의 식물성 방직용 섬유, 종이실(paper yarn)과 종이실로 만든 직물</v>
      </c>
      <c r="G442" s="18" t="n">
        <f aca="false">IFERROR(VALUE(SUBSTITUTE(TRIM('수출입 실적(품목별)'!D446),",","")),"")</f>
        <v>67.8</v>
      </c>
      <c r="H442" s="19" t="n">
        <f aca="false">IFERROR(VALUE(SUBSTITUTE(TRIM('수출입 실적(품목별)'!E446),",","")),"")</f>
        <v>429</v>
      </c>
      <c r="I442" s="18" t="n">
        <f aca="false">IFERROR(VALUE(SUBSTITUTE(TRIM('수출입 실적(품목별)'!F446),",","")),"")</f>
        <v>1335.4</v>
      </c>
      <c r="J442" s="19" t="n">
        <f aca="false">IFERROR(VALUE(SUBSTITUTE(TRIM('수출입 실적(품목별)'!G446),",","")),"")</f>
        <v>4162</v>
      </c>
      <c r="K442" s="19" t="n">
        <f aca="false">IFERROR(VALUE(SUBSTITUTE(TRIM('수출입 실적(품목별)'!H446),",","")),"")</f>
        <v>-3733</v>
      </c>
    </row>
    <row r="443" customFormat="false" ht="15" hidden="false" customHeight="true" outlineLevel="0" collapsed="false">
      <c r="A443" s="11" t="str">
        <f aca="false">TRIM('수출입 실적(품목별)'!A447)</f>
        <v>2024.05</v>
      </c>
      <c r="B443" s="17" t="n">
        <f aca="false">IFERROR(VALUE(LEFT($A443,4)),"")</f>
        <v>2024</v>
      </c>
      <c r="C443" s="17" t="n">
        <f aca="false">IFERROR(VALUE(RIGHT($A443,2)),"")</f>
        <v>5</v>
      </c>
      <c r="D443" s="17" t="n">
        <f aca="false">IFERROR(ROUNDUP($C443/3,0),"")</f>
        <v>2</v>
      </c>
      <c r="E443" s="11" t="str">
        <f aca="false">TRIM('수출입 실적(품목별)'!B447)</f>
        <v>54</v>
      </c>
      <c r="F443" s="11" t="str">
        <f aca="false">TRIM('수출입 실적(품목별)'!C447)</f>
        <v>인조필라멘트, 인조방직용 섬유재료의 스트립(strip)과 이와 유사한 것</v>
      </c>
      <c r="G443" s="18" t="n">
        <f aca="false">IFERROR(VALUE(SUBSTITUTE(TRIM('수출입 실적(품목별)'!D447),",","")),"")</f>
        <v>27849.4</v>
      </c>
      <c r="H443" s="19" t="n">
        <f aca="false">IFERROR(VALUE(SUBSTITUTE(TRIM('수출입 실적(품목별)'!E447),",","")),"")</f>
        <v>184661</v>
      </c>
      <c r="I443" s="18" t="n">
        <f aca="false">IFERROR(VALUE(SUBSTITUTE(TRIM('수출입 실적(품목별)'!F447),",","")),"")</f>
        <v>44181.9</v>
      </c>
      <c r="J443" s="19" t="n">
        <f aca="false">IFERROR(VALUE(SUBSTITUTE(TRIM('수출입 실적(품목별)'!G447),",","")),"")</f>
        <v>101671</v>
      </c>
      <c r="K443" s="19" t="n">
        <f aca="false">IFERROR(VALUE(SUBSTITUTE(TRIM('수출입 실적(품목별)'!H447),",","")),"")</f>
        <v>82989</v>
      </c>
    </row>
    <row r="444" customFormat="false" ht="15" hidden="false" customHeight="true" outlineLevel="0" collapsed="false">
      <c r="A444" s="11" t="str">
        <f aca="false">TRIM('수출입 실적(품목별)'!A448)</f>
        <v>2024.05</v>
      </c>
      <c r="B444" s="17" t="n">
        <f aca="false">IFERROR(VALUE(LEFT($A444,4)),"")</f>
        <v>2024</v>
      </c>
      <c r="C444" s="17" t="n">
        <f aca="false">IFERROR(VALUE(RIGHT($A444,2)),"")</f>
        <v>5</v>
      </c>
      <c r="D444" s="17" t="n">
        <f aca="false">IFERROR(ROUNDUP($C444/3,0),"")</f>
        <v>2</v>
      </c>
      <c r="E444" s="11" t="str">
        <f aca="false">TRIM('수출입 실적(품목별)'!B448)</f>
        <v>55</v>
      </c>
      <c r="F444" s="11" t="str">
        <f aca="false">TRIM('수출입 실적(품목별)'!C448)</f>
        <v>인조스테이플섬유</v>
      </c>
      <c r="G444" s="18" t="n">
        <f aca="false">IFERROR(VALUE(SUBSTITUTE(TRIM('수출입 실적(품목별)'!D448),",","")),"")</f>
        <v>62978.8</v>
      </c>
      <c r="H444" s="19" t="n">
        <f aca="false">IFERROR(VALUE(SUBSTITUTE(TRIM('수출입 실적(품목별)'!E448),",","")),"")</f>
        <v>116090</v>
      </c>
      <c r="I444" s="18" t="n">
        <f aca="false">IFERROR(VALUE(SUBSTITUTE(TRIM('수출입 실적(품목별)'!F448),",","")),"")</f>
        <v>12596.3</v>
      </c>
      <c r="J444" s="19" t="n">
        <f aca="false">IFERROR(VALUE(SUBSTITUTE(TRIM('수출입 실적(품목별)'!G448),",","")),"")</f>
        <v>51056</v>
      </c>
      <c r="K444" s="19" t="n">
        <f aca="false">IFERROR(VALUE(SUBSTITUTE(TRIM('수출입 실적(품목별)'!H448),",","")),"")</f>
        <v>65033</v>
      </c>
    </row>
    <row r="445" customFormat="false" ht="15" hidden="false" customHeight="true" outlineLevel="0" collapsed="false">
      <c r="A445" s="11" t="str">
        <f aca="false">TRIM('수출입 실적(품목별)'!A449)</f>
        <v>2024.05</v>
      </c>
      <c r="B445" s="17" t="n">
        <f aca="false">IFERROR(VALUE(LEFT($A445,4)),"")</f>
        <v>2024</v>
      </c>
      <c r="C445" s="17" t="n">
        <f aca="false">IFERROR(VALUE(RIGHT($A445,2)),"")</f>
        <v>5</v>
      </c>
      <c r="D445" s="17" t="n">
        <f aca="false">IFERROR(ROUNDUP($C445/3,0),"")</f>
        <v>2</v>
      </c>
      <c r="E445" s="11" t="str">
        <f aca="false">TRIM('수출입 실적(품목별)'!B449)</f>
        <v>56</v>
      </c>
      <c r="F445" s="11" t="str">
        <f aca="false">TRIM('수출입 실적(품목별)'!C449)</f>
        <v>워딩(wadding)ㆍ펠트(felt)ㆍ부직포, 특수사, 끈ㆍ배의 밧줄(cordage)ㆍ로프ㆍ케이블과 이들의 제품</v>
      </c>
      <c r="G445" s="18" t="n">
        <f aca="false">IFERROR(VALUE(SUBSTITUTE(TRIM('수출입 실적(품목별)'!D449),",","")),"")</f>
        <v>9867.9</v>
      </c>
      <c r="H445" s="19" t="n">
        <f aca="false">IFERROR(VALUE(SUBSTITUTE(TRIM('수출입 실적(품목별)'!E449),",","")),"")</f>
        <v>65471</v>
      </c>
      <c r="I445" s="18" t="n">
        <f aca="false">IFERROR(VALUE(SUBSTITUTE(TRIM('수출입 실적(품목별)'!F449),",","")),"")</f>
        <v>19645.6</v>
      </c>
      <c r="J445" s="19" t="n">
        <f aca="false">IFERROR(VALUE(SUBSTITUTE(TRIM('수출입 실적(품목별)'!G449),",","")),"")</f>
        <v>60396</v>
      </c>
      <c r="K445" s="19" t="n">
        <f aca="false">IFERROR(VALUE(SUBSTITUTE(TRIM('수출입 실적(품목별)'!H449),",","")),"")</f>
        <v>5075</v>
      </c>
    </row>
    <row r="446" customFormat="false" ht="15" hidden="false" customHeight="true" outlineLevel="0" collapsed="false">
      <c r="A446" s="11" t="str">
        <f aca="false">TRIM('수출입 실적(품목별)'!A450)</f>
        <v>2024.05</v>
      </c>
      <c r="B446" s="17" t="n">
        <f aca="false">IFERROR(VALUE(LEFT($A446,4)),"")</f>
        <v>2024</v>
      </c>
      <c r="C446" s="17" t="n">
        <f aca="false">IFERROR(VALUE(RIGHT($A446,2)),"")</f>
        <v>5</v>
      </c>
      <c r="D446" s="17" t="n">
        <f aca="false">IFERROR(ROUNDUP($C446/3,0),"")</f>
        <v>2</v>
      </c>
      <c r="E446" s="11" t="str">
        <f aca="false">TRIM('수출입 실적(품목별)'!B450)</f>
        <v>57</v>
      </c>
      <c r="F446" s="11" t="str">
        <f aca="false">TRIM('수출입 실적(품목별)'!C450)</f>
        <v>양탄자류와 그 밖의 방직용 섬유로 만든 바닥깔개</v>
      </c>
      <c r="G446" s="18" t="n">
        <f aca="false">IFERROR(VALUE(SUBSTITUTE(TRIM('수출입 실적(품목별)'!D450),",","")),"")</f>
        <v>636.6</v>
      </c>
      <c r="H446" s="19" t="n">
        <f aca="false">IFERROR(VALUE(SUBSTITUTE(TRIM('수출입 실적(품목별)'!E450),",","")),"")</f>
        <v>5556</v>
      </c>
      <c r="I446" s="18" t="n">
        <f aca="false">IFERROR(VALUE(SUBSTITUTE(TRIM('수출입 실적(품목별)'!F450),",","")),"")</f>
        <v>6448.4</v>
      </c>
      <c r="J446" s="19" t="n">
        <f aca="false">IFERROR(VALUE(SUBSTITUTE(TRIM('수출입 실적(품목별)'!G450),",","")),"")</f>
        <v>10606</v>
      </c>
      <c r="K446" s="19" t="n">
        <f aca="false">IFERROR(VALUE(SUBSTITUTE(TRIM('수출입 실적(품목별)'!H450),",","")),"")</f>
        <v>-5051</v>
      </c>
    </row>
    <row r="447" customFormat="false" ht="15" hidden="false" customHeight="true" outlineLevel="0" collapsed="false">
      <c r="A447" s="11" t="str">
        <f aca="false">TRIM('수출입 실적(품목별)'!A451)</f>
        <v>2024.05</v>
      </c>
      <c r="B447" s="17" t="n">
        <f aca="false">IFERROR(VALUE(LEFT($A447,4)),"")</f>
        <v>2024</v>
      </c>
      <c r="C447" s="17" t="n">
        <f aca="false">IFERROR(VALUE(RIGHT($A447,2)),"")</f>
        <v>5</v>
      </c>
      <c r="D447" s="17" t="n">
        <f aca="false">IFERROR(ROUNDUP($C447/3,0),"")</f>
        <v>2</v>
      </c>
      <c r="E447" s="11" t="str">
        <f aca="false">TRIM('수출입 실적(품목별)'!B451)</f>
        <v>58</v>
      </c>
      <c r="F447" s="11" t="str">
        <f aca="false">TRIM('수출입 실적(품목별)'!C451)</f>
        <v>특수직물, 터프트(tuft)한 직물, 레이스, 태피스트리(tapestry), 트리밍(trimming), 자수천</v>
      </c>
      <c r="G447" s="18" t="n">
        <f aca="false">IFERROR(VALUE(SUBSTITUTE(TRIM('수출입 실적(품목별)'!D451),",","")),"")</f>
        <v>1551.1</v>
      </c>
      <c r="H447" s="19" t="n">
        <f aca="false">IFERROR(VALUE(SUBSTITUTE(TRIM('수출입 실적(품목별)'!E451),",","")),"")</f>
        <v>18487</v>
      </c>
      <c r="I447" s="18" t="n">
        <f aca="false">IFERROR(VALUE(SUBSTITUTE(TRIM('수출입 실적(품목별)'!F451),",","")),"")</f>
        <v>1040.4</v>
      </c>
      <c r="J447" s="19" t="n">
        <f aca="false">IFERROR(VALUE(SUBSTITUTE(TRIM('수출입 실적(품목별)'!G451),",","")),"")</f>
        <v>8233</v>
      </c>
      <c r="K447" s="19" t="n">
        <f aca="false">IFERROR(VALUE(SUBSTITUTE(TRIM('수출입 실적(품목별)'!H451),",","")),"")</f>
        <v>10255</v>
      </c>
    </row>
    <row r="448" customFormat="false" ht="15" hidden="false" customHeight="true" outlineLevel="0" collapsed="false">
      <c r="A448" s="11" t="str">
        <f aca="false">TRIM('수출입 실적(품목별)'!A452)</f>
        <v>2024.05</v>
      </c>
      <c r="B448" s="17" t="n">
        <f aca="false">IFERROR(VALUE(LEFT($A448,4)),"")</f>
        <v>2024</v>
      </c>
      <c r="C448" s="17" t="n">
        <f aca="false">IFERROR(VALUE(RIGHT($A448,2)),"")</f>
        <v>5</v>
      </c>
      <c r="D448" s="17" t="n">
        <f aca="false">IFERROR(ROUNDUP($C448/3,0),"")</f>
        <v>2</v>
      </c>
      <c r="E448" s="11" t="str">
        <f aca="false">TRIM('수출입 실적(품목별)'!B452)</f>
        <v>59</v>
      </c>
      <c r="F448" s="11" t="str">
        <f aca="false">TRIM('수출입 실적(품목별)'!C452)</f>
        <v>침투ㆍ도포ㆍ피복하거나 적층한 방직용 섬유의 직물, 공업용인 방직용 섬유제품</v>
      </c>
      <c r="G448" s="18" t="n">
        <f aca="false">IFERROR(VALUE(SUBSTITUTE(TRIM('수출입 실적(품목별)'!D452),",","")),"")</f>
        <v>9037.8</v>
      </c>
      <c r="H448" s="19" t="n">
        <f aca="false">IFERROR(VALUE(SUBSTITUTE(TRIM('수출입 실적(품목별)'!E452),",","")),"")</f>
        <v>96065</v>
      </c>
      <c r="I448" s="18" t="n">
        <f aca="false">IFERROR(VALUE(SUBSTITUTE(TRIM('수출입 실적(품목별)'!F452),",","")),"")</f>
        <v>6803.7</v>
      </c>
      <c r="J448" s="19" t="n">
        <f aca="false">IFERROR(VALUE(SUBSTITUTE(TRIM('수출입 실적(품목별)'!G452),",","")),"")</f>
        <v>40608</v>
      </c>
      <c r="K448" s="19" t="n">
        <f aca="false">IFERROR(VALUE(SUBSTITUTE(TRIM('수출입 실적(품목별)'!H452),",","")),"")</f>
        <v>55457</v>
      </c>
    </row>
    <row r="449" customFormat="false" ht="15" hidden="false" customHeight="true" outlineLevel="0" collapsed="false">
      <c r="A449" s="11" t="str">
        <f aca="false">TRIM('수출입 실적(품목별)'!A453)</f>
        <v>2024.05</v>
      </c>
      <c r="B449" s="17" t="n">
        <f aca="false">IFERROR(VALUE(LEFT($A449,4)),"")</f>
        <v>2024</v>
      </c>
      <c r="C449" s="17" t="n">
        <f aca="false">IFERROR(VALUE(RIGHT($A449,2)),"")</f>
        <v>5</v>
      </c>
      <c r="D449" s="17" t="n">
        <f aca="false">IFERROR(ROUNDUP($C449/3,0),"")</f>
        <v>2</v>
      </c>
      <c r="E449" s="11" t="str">
        <f aca="false">TRIM('수출입 실적(품목별)'!B453)</f>
        <v>60</v>
      </c>
      <c r="F449" s="11" t="str">
        <f aca="false">TRIM('수출입 실적(품목별)'!C453)</f>
        <v>메리야스 편물과 뜨개질 편물</v>
      </c>
      <c r="G449" s="18" t="n">
        <f aca="false">IFERROR(VALUE(SUBSTITUTE(TRIM('수출입 실적(품목별)'!D453),",","")),"")</f>
        <v>20926.6</v>
      </c>
      <c r="H449" s="19" t="n">
        <f aca="false">IFERROR(VALUE(SUBSTITUTE(TRIM('수출입 실적(품목별)'!E453),",","")),"")</f>
        <v>171356</v>
      </c>
      <c r="I449" s="18" t="n">
        <f aca="false">IFERROR(VALUE(SUBSTITUTE(TRIM('수출입 실적(품목별)'!F453),",","")),"")</f>
        <v>1634.9</v>
      </c>
      <c r="J449" s="19" t="n">
        <f aca="false">IFERROR(VALUE(SUBSTITUTE(TRIM('수출입 실적(품목별)'!G453),",","")),"")</f>
        <v>9250</v>
      </c>
      <c r="K449" s="19" t="n">
        <f aca="false">IFERROR(VALUE(SUBSTITUTE(TRIM('수출입 실적(품목별)'!H453),",","")),"")</f>
        <v>162105</v>
      </c>
    </row>
    <row r="450" customFormat="false" ht="15" hidden="false" customHeight="true" outlineLevel="0" collapsed="false">
      <c r="A450" s="11" t="str">
        <f aca="false">TRIM('수출입 실적(품목별)'!A454)</f>
        <v>2024.05</v>
      </c>
      <c r="B450" s="17" t="n">
        <f aca="false">IFERROR(VALUE(LEFT($A450,4)),"")</f>
        <v>2024</v>
      </c>
      <c r="C450" s="17" t="n">
        <f aca="false">IFERROR(VALUE(RIGHT($A450,2)),"")</f>
        <v>5</v>
      </c>
      <c r="D450" s="17" t="n">
        <f aca="false">IFERROR(ROUNDUP($C450/3,0),"")</f>
        <v>2</v>
      </c>
      <c r="E450" s="11" t="str">
        <f aca="false">TRIM('수출입 실적(품목별)'!B454)</f>
        <v>61</v>
      </c>
      <c r="F450" s="11" t="str">
        <f aca="false">TRIM('수출입 실적(품목별)'!C454)</f>
        <v>의류와 그 부속품(메리야스 편물이나 뜨개질 편물로 한정한다)</v>
      </c>
      <c r="G450" s="18" t="n">
        <f aca="false">IFERROR(VALUE(SUBSTITUTE(TRIM('수출입 실적(품목별)'!D454),",","")),"")</f>
        <v>2538.9</v>
      </c>
      <c r="H450" s="19" t="n">
        <f aca="false">IFERROR(VALUE(SUBSTITUTE(TRIM('수출입 실적(품목별)'!E454),",","")),"")</f>
        <v>68010</v>
      </c>
      <c r="I450" s="18" t="n">
        <f aca="false">IFERROR(VALUE(SUBSTITUTE(TRIM('수출입 실적(품목별)'!F454),",","")),"")</f>
        <v>16697</v>
      </c>
      <c r="J450" s="19" t="n">
        <f aca="false">IFERROR(VALUE(SUBSTITUTE(TRIM('수출입 실적(품목별)'!G454),",","")),"")</f>
        <v>327431</v>
      </c>
      <c r="K450" s="19" t="n">
        <f aca="false">IFERROR(VALUE(SUBSTITUTE(TRIM('수출입 실적(품목별)'!H454),",","")),"")</f>
        <v>-259422</v>
      </c>
    </row>
    <row r="451" customFormat="false" ht="15" hidden="false" customHeight="true" outlineLevel="0" collapsed="false">
      <c r="A451" s="11" t="str">
        <f aca="false">TRIM('수출입 실적(품목별)'!A455)</f>
        <v>2024.05</v>
      </c>
      <c r="B451" s="17" t="n">
        <f aca="false">IFERROR(VALUE(LEFT($A451,4)),"")</f>
        <v>2024</v>
      </c>
      <c r="C451" s="17" t="n">
        <f aca="false">IFERROR(VALUE(RIGHT($A451,2)),"")</f>
        <v>5</v>
      </c>
      <c r="D451" s="17" t="n">
        <f aca="false">IFERROR(ROUNDUP($C451/3,0),"")</f>
        <v>2</v>
      </c>
      <c r="E451" s="11" t="str">
        <f aca="false">TRIM('수출입 실적(품목별)'!B455)</f>
        <v>62</v>
      </c>
      <c r="F451" s="11" t="str">
        <f aca="false">TRIM('수출입 실적(품목별)'!C455)</f>
        <v>의류와 그 부속품(메리야스 편물이나 뜨개질편물은 제외한다)</v>
      </c>
      <c r="G451" s="18" t="n">
        <f aca="false">IFERROR(VALUE(SUBSTITUTE(TRIM('수출입 실적(품목별)'!D455),",","")),"")</f>
        <v>3741</v>
      </c>
      <c r="H451" s="19" t="n">
        <f aca="false">IFERROR(VALUE(SUBSTITUTE(TRIM('수출입 실적(품목별)'!E455),",","")),"")</f>
        <v>92802</v>
      </c>
      <c r="I451" s="18" t="n">
        <f aca="false">IFERROR(VALUE(SUBSTITUTE(TRIM('수출입 실적(품목별)'!F455),",","")),"")</f>
        <v>15989.6</v>
      </c>
      <c r="J451" s="19" t="n">
        <f aca="false">IFERROR(VALUE(SUBSTITUTE(TRIM('수출입 실적(품목별)'!G455),",","")),"")</f>
        <v>429519</v>
      </c>
      <c r="K451" s="19" t="n">
        <f aca="false">IFERROR(VALUE(SUBSTITUTE(TRIM('수출입 실적(품목별)'!H455),",","")),"")</f>
        <v>-336717</v>
      </c>
    </row>
    <row r="452" customFormat="false" ht="15" hidden="false" customHeight="true" outlineLevel="0" collapsed="false">
      <c r="A452" s="11" t="str">
        <f aca="false">TRIM('수출입 실적(품목별)'!A456)</f>
        <v>2024.05</v>
      </c>
      <c r="B452" s="17" t="n">
        <f aca="false">IFERROR(VALUE(LEFT($A452,4)),"")</f>
        <v>2024</v>
      </c>
      <c r="C452" s="17" t="n">
        <f aca="false">IFERROR(VALUE(RIGHT($A452,2)),"")</f>
        <v>5</v>
      </c>
      <c r="D452" s="17" t="n">
        <f aca="false">IFERROR(ROUNDUP($C452/3,0),"")</f>
        <v>2</v>
      </c>
      <c r="E452" s="11" t="str">
        <f aca="false">TRIM('수출입 실적(품목별)'!B456)</f>
        <v>63</v>
      </c>
      <c r="F452" s="11" t="str">
        <f aca="false">TRIM('수출입 실적(품목별)'!C456)</f>
        <v>제품으로 된 방직용 섬유의 그 밖의 물품, 세트, 사용하던 의류ㆍ방직용 섬유제품, 넝마</v>
      </c>
      <c r="G452" s="18" t="n">
        <f aca="false">IFERROR(VALUE(SUBSTITUTE(TRIM('수출입 실적(품목별)'!D456),",","")),"")</f>
        <v>30862.8</v>
      </c>
      <c r="H452" s="19" t="n">
        <f aca="false">IFERROR(VALUE(SUBSTITUTE(TRIM('수출입 실적(품목별)'!E456),",","")),"")</f>
        <v>59666</v>
      </c>
      <c r="I452" s="18" t="n">
        <f aca="false">IFERROR(VALUE(SUBSTITUTE(TRIM('수출입 실적(품목별)'!F456),",","")),"")</f>
        <v>27523</v>
      </c>
      <c r="J452" s="19" t="n">
        <f aca="false">IFERROR(VALUE(SUBSTITUTE(TRIM('수출입 실적(품목별)'!G456),",","")),"")</f>
        <v>118099</v>
      </c>
      <c r="K452" s="19" t="n">
        <f aca="false">IFERROR(VALUE(SUBSTITUTE(TRIM('수출입 실적(품목별)'!H456),",","")),"")</f>
        <v>-58434</v>
      </c>
    </row>
    <row r="453" customFormat="false" ht="15" hidden="false" customHeight="true" outlineLevel="0" collapsed="false">
      <c r="A453" s="11" t="str">
        <f aca="false">TRIM('수출입 실적(품목별)'!A457)</f>
        <v>2024.05</v>
      </c>
      <c r="B453" s="17" t="n">
        <f aca="false">IFERROR(VALUE(LEFT($A453,4)),"")</f>
        <v>2024</v>
      </c>
      <c r="C453" s="17" t="n">
        <f aca="false">IFERROR(VALUE(RIGHT($A453,2)),"")</f>
        <v>5</v>
      </c>
      <c r="D453" s="17" t="n">
        <f aca="false">IFERROR(ROUNDUP($C453/3,0),"")</f>
        <v>2</v>
      </c>
      <c r="E453" s="11" t="str">
        <f aca="false">TRIM('수출입 실적(품목별)'!B457)</f>
        <v>64</v>
      </c>
      <c r="F453" s="11" t="str">
        <f aca="false">TRIM('수출입 실적(품목별)'!C457)</f>
        <v>신발류ㆍ각반과 이와 유사한 것, 이들의 부분품</v>
      </c>
      <c r="G453" s="18" t="n">
        <f aca="false">IFERROR(VALUE(SUBSTITUTE(TRIM('수출입 실적(품목별)'!D457),",","")),"")</f>
        <v>1333.1</v>
      </c>
      <c r="H453" s="19" t="n">
        <f aca="false">IFERROR(VALUE(SUBSTITUTE(TRIM('수출입 실적(품목별)'!E457),",","")),"")</f>
        <v>31906</v>
      </c>
      <c r="I453" s="18" t="n">
        <f aca="false">IFERROR(VALUE(SUBSTITUTE(TRIM('수출입 실적(품목별)'!F457),",","")),"")</f>
        <v>14289.4</v>
      </c>
      <c r="J453" s="19" t="n">
        <f aca="false">IFERROR(VALUE(SUBSTITUTE(TRIM('수출입 실적(품목별)'!G457),",","")),"")</f>
        <v>297687</v>
      </c>
      <c r="K453" s="19" t="n">
        <f aca="false">IFERROR(VALUE(SUBSTITUTE(TRIM('수출입 실적(품목별)'!H457),",","")),"")</f>
        <v>-265781</v>
      </c>
    </row>
    <row r="454" customFormat="false" ht="15" hidden="false" customHeight="true" outlineLevel="0" collapsed="false">
      <c r="A454" s="11" t="str">
        <f aca="false">TRIM('수출입 실적(품목별)'!A458)</f>
        <v>2024.05</v>
      </c>
      <c r="B454" s="17" t="n">
        <f aca="false">IFERROR(VALUE(LEFT($A454,4)),"")</f>
        <v>2024</v>
      </c>
      <c r="C454" s="17" t="n">
        <f aca="false">IFERROR(VALUE(RIGHT($A454,2)),"")</f>
        <v>5</v>
      </c>
      <c r="D454" s="17" t="n">
        <f aca="false">IFERROR(ROUNDUP($C454/3,0),"")</f>
        <v>2</v>
      </c>
      <c r="E454" s="11" t="str">
        <f aca="false">TRIM('수출입 실적(품목별)'!B458)</f>
        <v>65</v>
      </c>
      <c r="F454" s="11" t="str">
        <f aca="false">TRIM('수출입 실적(품목별)'!C458)</f>
        <v>모자류와 그 부분품</v>
      </c>
      <c r="G454" s="18" t="n">
        <f aca="false">IFERROR(VALUE(SUBSTITUTE(TRIM('수출입 실적(품목별)'!D458),",","")),"")</f>
        <v>249.4</v>
      </c>
      <c r="H454" s="19" t="n">
        <f aca="false">IFERROR(VALUE(SUBSTITUTE(TRIM('수출입 실적(품목별)'!E458),",","")),"")</f>
        <v>8463</v>
      </c>
      <c r="I454" s="18" t="n">
        <f aca="false">IFERROR(VALUE(SUBSTITUTE(TRIM('수출입 실적(품목별)'!F458),",","")),"")</f>
        <v>1022.4</v>
      </c>
      <c r="J454" s="19" t="n">
        <f aca="false">IFERROR(VALUE(SUBSTITUTE(TRIM('수출입 실적(품목별)'!G458),",","")),"")</f>
        <v>26590</v>
      </c>
      <c r="K454" s="19" t="n">
        <f aca="false">IFERROR(VALUE(SUBSTITUTE(TRIM('수출입 실적(품목별)'!H458),",","")),"")</f>
        <v>-18127</v>
      </c>
    </row>
    <row r="455" customFormat="false" ht="15" hidden="false" customHeight="true" outlineLevel="0" collapsed="false">
      <c r="A455" s="11" t="str">
        <f aca="false">TRIM('수출입 실적(품목별)'!A459)</f>
        <v>2024.05</v>
      </c>
      <c r="B455" s="17" t="n">
        <f aca="false">IFERROR(VALUE(LEFT($A455,4)),"")</f>
        <v>2024</v>
      </c>
      <c r="C455" s="17" t="n">
        <f aca="false">IFERROR(VALUE(RIGHT($A455,2)),"")</f>
        <v>5</v>
      </c>
      <c r="D455" s="17" t="n">
        <f aca="false">IFERROR(ROUNDUP($C455/3,0),"")</f>
        <v>2</v>
      </c>
      <c r="E455" s="11" t="str">
        <f aca="false">TRIM('수출입 실적(품목별)'!B459)</f>
        <v>66</v>
      </c>
      <c r="F455" s="11" t="str">
        <f aca="false">TRIM('수출입 실적(품목별)'!C459)</f>
        <v>산류(傘類)ㆍ지팡이ㆍ시트스틱(seat-stick)ㆍ채찍ㆍ승마용 채찍과 이들의 부분품</v>
      </c>
      <c r="G455" s="18" t="n">
        <f aca="false">IFERROR(VALUE(SUBSTITUTE(TRIM('수출입 실적(품목별)'!D459),",","")),"")</f>
        <v>16.3</v>
      </c>
      <c r="H455" s="19" t="n">
        <f aca="false">IFERROR(VALUE(SUBSTITUTE(TRIM('수출입 실적(품목별)'!E459),",","")),"")</f>
        <v>239</v>
      </c>
      <c r="I455" s="18" t="n">
        <f aca="false">IFERROR(VALUE(SUBSTITUTE(TRIM('수출입 실적(품목별)'!F459),",","")),"")</f>
        <v>3593.6</v>
      </c>
      <c r="J455" s="19" t="n">
        <f aca="false">IFERROR(VALUE(SUBSTITUTE(TRIM('수출입 실적(품목별)'!G459),",","")),"")</f>
        <v>22525</v>
      </c>
      <c r="K455" s="19" t="n">
        <f aca="false">IFERROR(VALUE(SUBSTITUTE(TRIM('수출입 실적(품목별)'!H459),",","")),"")</f>
        <v>-22286</v>
      </c>
    </row>
    <row r="456" customFormat="false" ht="15" hidden="false" customHeight="true" outlineLevel="0" collapsed="false">
      <c r="A456" s="11" t="str">
        <f aca="false">TRIM('수출입 실적(품목별)'!A460)</f>
        <v>2024.05</v>
      </c>
      <c r="B456" s="17" t="n">
        <f aca="false">IFERROR(VALUE(LEFT($A456,4)),"")</f>
        <v>2024</v>
      </c>
      <c r="C456" s="17" t="n">
        <f aca="false">IFERROR(VALUE(RIGHT($A456,2)),"")</f>
        <v>5</v>
      </c>
      <c r="D456" s="17" t="n">
        <f aca="false">IFERROR(ROUNDUP($C456/3,0),"")</f>
        <v>2</v>
      </c>
      <c r="E456" s="11" t="str">
        <f aca="false">TRIM('수출입 실적(품목별)'!B460)</f>
        <v>67</v>
      </c>
      <c r="F456" s="11" t="str">
        <f aca="false">TRIM('수출입 실적(품목별)'!C460)</f>
        <v>조제 깃털ㆍ솜털과 그 제품, 조화, 사람 머리카락으로 된 제품</v>
      </c>
      <c r="G456" s="18" t="n">
        <f aca="false">IFERROR(VALUE(SUBSTITUTE(TRIM('수출입 실적(품목별)'!D460),",","")),"")</f>
        <v>47.8</v>
      </c>
      <c r="H456" s="19" t="n">
        <f aca="false">IFERROR(VALUE(SUBSTITUTE(TRIM('수출입 실적(품목별)'!E460),",","")),"")</f>
        <v>2240</v>
      </c>
      <c r="I456" s="18" t="n">
        <f aca="false">IFERROR(VALUE(SUBSTITUTE(TRIM('수출입 실적(품목별)'!F460),",","")),"")</f>
        <v>503.6</v>
      </c>
      <c r="J456" s="19" t="n">
        <f aca="false">IFERROR(VALUE(SUBSTITUTE(TRIM('수출입 실적(품목별)'!G460),",","")),"")</f>
        <v>7727</v>
      </c>
      <c r="K456" s="19" t="n">
        <f aca="false">IFERROR(VALUE(SUBSTITUTE(TRIM('수출입 실적(품목별)'!H460),",","")),"")</f>
        <v>-5487</v>
      </c>
    </row>
    <row r="457" customFormat="false" ht="15" hidden="false" customHeight="true" outlineLevel="0" collapsed="false">
      <c r="A457" s="11" t="str">
        <f aca="false">TRIM('수출입 실적(품목별)'!A461)</f>
        <v>2024.05</v>
      </c>
      <c r="B457" s="17" t="n">
        <f aca="false">IFERROR(VALUE(LEFT($A457,4)),"")</f>
        <v>2024</v>
      </c>
      <c r="C457" s="17" t="n">
        <f aca="false">IFERROR(VALUE(RIGHT($A457,2)),"")</f>
        <v>5</v>
      </c>
      <c r="D457" s="17" t="n">
        <f aca="false">IFERROR(ROUNDUP($C457/3,0),"")</f>
        <v>2</v>
      </c>
      <c r="E457" s="11" t="str">
        <f aca="false">TRIM('수출입 실적(품목별)'!B461)</f>
        <v>68</v>
      </c>
      <c r="F457" s="11" t="str">
        <f aca="false">TRIM('수출입 실적(품목별)'!C461)</f>
        <v>돌ㆍ플라스터(plaster)ㆍ시멘트ㆍ석면ㆍ운모나 이와 유사한 재료의 제품</v>
      </c>
      <c r="G457" s="18" t="n">
        <f aca="false">IFERROR(VALUE(SUBSTITUTE(TRIM('수출입 실적(품목별)'!D461),",","")),"")</f>
        <v>12439.6</v>
      </c>
      <c r="H457" s="19" t="n">
        <f aca="false">IFERROR(VALUE(SUBSTITUTE(TRIM('수출입 실적(품목별)'!E461),",","")),"")</f>
        <v>85016</v>
      </c>
      <c r="I457" s="18" t="n">
        <f aca="false">IFERROR(VALUE(SUBSTITUTE(TRIM('수출입 실적(품목별)'!F461),",","")),"")</f>
        <v>264832.2</v>
      </c>
      <c r="J457" s="19" t="n">
        <f aca="false">IFERROR(VALUE(SUBSTITUTE(TRIM('수출입 실적(품목별)'!G461),",","")),"")</f>
        <v>126060</v>
      </c>
      <c r="K457" s="19" t="n">
        <f aca="false">IFERROR(VALUE(SUBSTITUTE(TRIM('수출입 실적(품목별)'!H461),",","")),"")</f>
        <v>-41044</v>
      </c>
    </row>
    <row r="458" customFormat="false" ht="15" hidden="false" customHeight="true" outlineLevel="0" collapsed="false">
      <c r="A458" s="11" t="str">
        <f aca="false">TRIM('수출입 실적(품목별)'!A462)</f>
        <v>2024.05</v>
      </c>
      <c r="B458" s="17" t="n">
        <f aca="false">IFERROR(VALUE(LEFT($A458,4)),"")</f>
        <v>2024</v>
      </c>
      <c r="C458" s="17" t="n">
        <f aca="false">IFERROR(VALUE(RIGHT($A458,2)),"")</f>
        <v>5</v>
      </c>
      <c r="D458" s="17" t="n">
        <f aca="false">IFERROR(ROUNDUP($C458/3,0),"")</f>
        <v>2</v>
      </c>
      <c r="E458" s="11" t="str">
        <f aca="false">TRIM('수출입 실적(품목별)'!B462)</f>
        <v>69</v>
      </c>
      <c r="F458" s="11" t="str">
        <f aca="false">TRIM('수출입 실적(품목별)'!C462)</f>
        <v>도자제품</v>
      </c>
      <c r="G458" s="18" t="n">
        <f aca="false">IFERROR(VALUE(SUBSTITUTE(TRIM('수출입 실적(품목별)'!D462),",","")),"")</f>
        <v>2418.9</v>
      </c>
      <c r="H458" s="19" t="n">
        <f aca="false">IFERROR(VALUE(SUBSTITUTE(TRIM('수출입 실적(품목별)'!E462),",","")),"")</f>
        <v>31899</v>
      </c>
      <c r="I458" s="18" t="n">
        <f aca="false">IFERROR(VALUE(SUBSTITUTE(TRIM('수출입 실적(품목별)'!F462),",","")),"")</f>
        <v>156756</v>
      </c>
      <c r="J458" s="19" t="n">
        <f aca="false">IFERROR(VALUE(SUBSTITUTE(TRIM('수출입 실적(품목별)'!G462),",","")),"")</f>
        <v>131721</v>
      </c>
      <c r="K458" s="19" t="n">
        <f aca="false">IFERROR(VALUE(SUBSTITUTE(TRIM('수출입 실적(품목별)'!H462),",","")),"")</f>
        <v>-99822</v>
      </c>
    </row>
    <row r="459" customFormat="false" ht="15" hidden="false" customHeight="true" outlineLevel="0" collapsed="false">
      <c r="A459" s="11" t="str">
        <f aca="false">TRIM('수출입 실적(품목별)'!A463)</f>
        <v>2024.05</v>
      </c>
      <c r="B459" s="17" t="n">
        <f aca="false">IFERROR(VALUE(LEFT($A459,4)),"")</f>
        <v>2024</v>
      </c>
      <c r="C459" s="17" t="n">
        <f aca="false">IFERROR(VALUE(RIGHT($A459,2)),"")</f>
        <v>5</v>
      </c>
      <c r="D459" s="17" t="n">
        <f aca="false">IFERROR(ROUNDUP($C459/3,0),"")</f>
        <v>2</v>
      </c>
      <c r="E459" s="11" t="str">
        <f aca="false">TRIM('수출입 실적(품목별)'!B463)</f>
        <v>70</v>
      </c>
      <c r="F459" s="11" t="str">
        <f aca="false">TRIM('수출입 실적(품목별)'!C463)</f>
        <v>유리와 유리제품</v>
      </c>
      <c r="G459" s="18" t="n">
        <f aca="false">IFERROR(VALUE(SUBSTITUTE(TRIM('수출입 실적(품목별)'!D463),",","")),"")</f>
        <v>32308.8</v>
      </c>
      <c r="H459" s="19" t="n">
        <f aca="false">IFERROR(VALUE(SUBSTITUTE(TRIM('수출입 실적(품목별)'!E463),",","")),"")</f>
        <v>178984</v>
      </c>
      <c r="I459" s="18" t="n">
        <f aca="false">IFERROR(VALUE(SUBSTITUTE(TRIM('수출입 실적(품목별)'!F463),",","")),"")</f>
        <v>104857.7</v>
      </c>
      <c r="J459" s="19" t="n">
        <f aca="false">IFERROR(VALUE(SUBSTITUTE(TRIM('수출입 실적(품목별)'!G463),",","")),"")</f>
        <v>229052</v>
      </c>
      <c r="K459" s="19" t="n">
        <f aca="false">IFERROR(VALUE(SUBSTITUTE(TRIM('수출입 실적(품목별)'!H463),",","")),"")</f>
        <v>-50067</v>
      </c>
    </row>
    <row r="460" customFormat="false" ht="15" hidden="false" customHeight="true" outlineLevel="0" collapsed="false">
      <c r="A460" s="11" t="str">
        <f aca="false">TRIM('수출입 실적(품목별)'!A464)</f>
        <v>2024.05</v>
      </c>
      <c r="B460" s="17" t="n">
        <f aca="false">IFERROR(VALUE(LEFT($A460,4)),"")</f>
        <v>2024</v>
      </c>
      <c r="C460" s="17" t="n">
        <f aca="false">IFERROR(VALUE(RIGHT($A460,2)),"")</f>
        <v>5</v>
      </c>
      <c r="D460" s="17" t="n">
        <f aca="false">IFERROR(ROUNDUP($C460/3,0),"")</f>
        <v>2</v>
      </c>
      <c r="E460" s="11" t="str">
        <f aca="false">TRIM('수출입 실적(품목별)'!B464)</f>
        <v>71</v>
      </c>
      <c r="F460" s="11" t="str">
        <f aca="false">TRIM('수출입 실적(품목별)'!C464)</f>
        <v>천연진주ㆍ양식진주ㆍ귀석ㆍ반귀석ㆍ귀금속ㆍ귀금속을 입힌 금속과 이들의 제품, 모조 신변장식용품, 주화</v>
      </c>
      <c r="G460" s="18" t="n">
        <f aca="false">IFERROR(VALUE(SUBSTITUTE(TRIM('수출입 실적(품목별)'!D464),",","")),"")</f>
        <v>1037.2</v>
      </c>
      <c r="H460" s="19" t="n">
        <f aca="false">IFERROR(VALUE(SUBSTITUTE(TRIM('수출입 실적(품목별)'!E464),",","")),"")</f>
        <v>536353</v>
      </c>
      <c r="I460" s="18" t="n">
        <f aca="false">IFERROR(VALUE(SUBSTITUTE(TRIM('수출입 실적(품목별)'!F464),",","")),"")</f>
        <v>1469</v>
      </c>
      <c r="J460" s="19" t="n">
        <f aca="false">IFERROR(VALUE(SUBSTITUTE(TRIM('수출입 실적(품목별)'!G464),",","")),"")</f>
        <v>546545</v>
      </c>
      <c r="K460" s="19" t="n">
        <f aca="false">IFERROR(VALUE(SUBSTITUTE(TRIM('수출입 실적(품목별)'!H464),",","")),"")</f>
        <v>-10192</v>
      </c>
    </row>
    <row r="461" customFormat="false" ht="15" hidden="false" customHeight="true" outlineLevel="0" collapsed="false">
      <c r="A461" s="11" t="str">
        <f aca="false">TRIM('수출입 실적(품목별)'!A465)</f>
        <v>2024.05</v>
      </c>
      <c r="B461" s="17" t="n">
        <f aca="false">IFERROR(VALUE(LEFT($A461,4)),"")</f>
        <v>2024</v>
      </c>
      <c r="C461" s="17" t="n">
        <f aca="false">IFERROR(VALUE(RIGHT($A461,2)),"")</f>
        <v>5</v>
      </c>
      <c r="D461" s="17" t="n">
        <f aca="false">IFERROR(ROUNDUP($C461/3,0),"")</f>
        <v>2</v>
      </c>
      <c r="E461" s="11" t="str">
        <f aca="false">TRIM('수출입 실적(품목별)'!B465)</f>
        <v>72</v>
      </c>
      <c r="F461" s="11" t="str">
        <f aca="false">TRIM('수출입 실적(품목별)'!C465)</f>
        <v>철강</v>
      </c>
      <c r="G461" s="18" t="n">
        <f aca="false">IFERROR(VALUE(SUBSTITUTE(TRIM('수출입 실적(품목별)'!D465),",","")),"")</f>
        <v>2186142.5</v>
      </c>
      <c r="H461" s="19" t="n">
        <f aca="false">IFERROR(VALUE(SUBSTITUTE(TRIM('수출입 실적(품목별)'!E465),",","")),"")</f>
        <v>2137844</v>
      </c>
      <c r="I461" s="18" t="n">
        <f aca="false">IFERROR(VALUE(SUBSTITUTE(TRIM('수출입 실적(품목별)'!F465),",","")),"")</f>
        <v>1559357</v>
      </c>
      <c r="J461" s="19" t="n">
        <f aca="false">IFERROR(VALUE(SUBSTITUTE(TRIM('수출입 실적(품목별)'!G465),",","")),"")</f>
        <v>1279082</v>
      </c>
      <c r="K461" s="19" t="n">
        <f aca="false">IFERROR(VALUE(SUBSTITUTE(TRIM('수출입 실적(품목별)'!H465),",","")),"")</f>
        <v>858762</v>
      </c>
    </row>
    <row r="462" customFormat="false" ht="15" hidden="false" customHeight="true" outlineLevel="0" collapsed="false">
      <c r="A462" s="11" t="str">
        <f aca="false">TRIM('수출입 실적(품목별)'!A466)</f>
        <v>2024.05</v>
      </c>
      <c r="B462" s="17" t="n">
        <f aca="false">IFERROR(VALUE(LEFT($A462,4)),"")</f>
        <v>2024</v>
      </c>
      <c r="C462" s="17" t="n">
        <f aca="false">IFERROR(VALUE(RIGHT($A462,2)),"")</f>
        <v>5</v>
      </c>
      <c r="D462" s="17" t="n">
        <f aca="false">IFERROR(ROUNDUP($C462/3,0),"")</f>
        <v>2</v>
      </c>
      <c r="E462" s="11" t="str">
        <f aca="false">TRIM('수출입 실적(품목별)'!B466)</f>
        <v>73</v>
      </c>
      <c r="F462" s="11" t="str">
        <f aca="false">TRIM('수출입 실적(품목별)'!C466)</f>
        <v>철강의 제품</v>
      </c>
      <c r="G462" s="18" t="n">
        <f aca="false">IFERROR(VALUE(SUBSTITUTE(TRIM('수출입 실적(품목별)'!D466),",","")),"")</f>
        <v>329334.8</v>
      </c>
      <c r="H462" s="19" t="n">
        <f aca="false">IFERROR(VALUE(SUBSTITUTE(TRIM('수출입 실적(품목별)'!E466),",","")),"")</f>
        <v>898803</v>
      </c>
      <c r="I462" s="18" t="n">
        <f aca="false">IFERROR(VALUE(SUBSTITUTE(TRIM('수출입 실적(품목별)'!F466),",","")),"")</f>
        <v>302797.8</v>
      </c>
      <c r="J462" s="19" t="n">
        <f aca="false">IFERROR(VALUE(SUBSTITUTE(TRIM('수출입 실적(품목별)'!G466),",","")),"")</f>
        <v>731647</v>
      </c>
      <c r="K462" s="19" t="n">
        <f aca="false">IFERROR(VALUE(SUBSTITUTE(TRIM('수출입 실적(품목별)'!H466),",","")),"")</f>
        <v>167155</v>
      </c>
    </row>
    <row r="463" customFormat="false" ht="15" hidden="false" customHeight="true" outlineLevel="0" collapsed="false">
      <c r="A463" s="11" t="str">
        <f aca="false">TRIM('수출입 실적(품목별)'!A467)</f>
        <v>2024.05</v>
      </c>
      <c r="B463" s="17" t="n">
        <f aca="false">IFERROR(VALUE(LEFT($A463,4)),"")</f>
        <v>2024</v>
      </c>
      <c r="C463" s="17" t="n">
        <f aca="false">IFERROR(VALUE(RIGHT($A463,2)),"")</f>
        <v>5</v>
      </c>
      <c r="D463" s="17" t="n">
        <f aca="false">IFERROR(ROUNDUP($C463/3,0),"")</f>
        <v>2</v>
      </c>
      <c r="E463" s="11" t="str">
        <f aca="false">TRIM('수출입 실적(품목별)'!B467)</f>
        <v>74</v>
      </c>
      <c r="F463" s="11" t="str">
        <f aca="false">TRIM('수출입 실적(품목별)'!C467)</f>
        <v>구리와 그 제품</v>
      </c>
      <c r="G463" s="18" t="n">
        <f aca="false">IFERROR(VALUE(SUBSTITUTE(TRIM('수출입 실적(품목별)'!D467),",","")),"")</f>
        <v>55081.9</v>
      </c>
      <c r="H463" s="19" t="n">
        <f aca="false">IFERROR(VALUE(SUBSTITUTE(TRIM('수출입 실적(품목별)'!E467),",","")),"")</f>
        <v>535906</v>
      </c>
      <c r="I463" s="18" t="n">
        <f aca="false">IFERROR(VALUE(SUBSTITUTE(TRIM('수출입 실적(품목별)'!F467),",","")),"")</f>
        <v>78095.7</v>
      </c>
      <c r="J463" s="19" t="n">
        <f aca="false">IFERROR(VALUE(SUBSTITUTE(TRIM('수출입 실적(품목별)'!G467),",","")),"")</f>
        <v>711104</v>
      </c>
      <c r="K463" s="19" t="n">
        <f aca="false">IFERROR(VALUE(SUBSTITUTE(TRIM('수출입 실적(품목별)'!H467),",","")),"")</f>
        <v>-175198</v>
      </c>
    </row>
    <row r="464" customFormat="false" ht="15" hidden="false" customHeight="true" outlineLevel="0" collapsed="false">
      <c r="A464" s="11" t="str">
        <f aca="false">TRIM('수출입 실적(품목별)'!A468)</f>
        <v>2024.05</v>
      </c>
      <c r="B464" s="17" t="n">
        <f aca="false">IFERROR(VALUE(LEFT($A464,4)),"")</f>
        <v>2024</v>
      </c>
      <c r="C464" s="17" t="n">
        <f aca="false">IFERROR(VALUE(RIGHT($A464,2)),"")</f>
        <v>5</v>
      </c>
      <c r="D464" s="17" t="n">
        <f aca="false">IFERROR(ROUNDUP($C464/3,0),"")</f>
        <v>2</v>
      </c>
      <c r="E464" s="11" t="str">
        <f aca="false">TRIM('수출입 실적(품목별)'!B468)</f>
        <v>75</v>
      </c>
      <c r="F464" s="11" t="str">
        <f aca="false">TRIM('수출입 실적(품목별)'!C468)</f>
        <v>니켈과 그 제품</v>
      </c>
      <c r="G464" s="18" t="n">
        <f aca="false">IFERROR(VALUE(SUBSTITUTE(TRIM('수출입 실적(품목별)'!D468),",","")),"")</f>
        <v>1877.4</v>
      </c>
      <c r="H464" s="19" t="n">
        <f aca="false">IFERROR(VALUE(SUBSTITUTE(TRIM('수출입 실적(품목별)'!E468),",","")),"")</f>
        <v>34698</v>
      </c>
      <c r="I464" s="18" t="n">
        <f aca="false">IFERROR(VALUE(SUBSTITUTE(TRIM('수출입 실적(품목별)'!F468),",","")),"")</f>
        <v>5454.6</v>
      </c>
      <c r="J464" s="19" t="n">
        <f aca="false">IFERROR(VALUE(SUBSTITUTE(TRIM('수출입 실적(품목별)'!G468),",","")),"")</f>
        <v>107449</v>
      </c>
      <c r="K464" s="19" t="n">
        <f aca="false">IFERROR(VALUE(SUBSTITUTE(TRIM('수출입 실적(품목별)'!H468),",","")),"")</f>
        <v>-72751</v>
      </c>
    </row>
    <row r="465" customFormat="false" ht="15" hidden="false" customHeight="true" outlineLevel="0" collapsed="false">
      <c r="A465" s="11" t="str">
        <f aca="false">TRIM('수출입 실적(품목별)'!A469)</f>
        <v>2024.05</v>
      </c>
      <c r="B465" s="17" t="n">
        <f aca="false">IFERROR(VALUE(LEFT($A465,4)),"")</f>
        <v>2024</v>
      </c>
      <c r="C465" s="17" t="n">
        <f aca="false">IFERROR(VALUE(RIGHT($A465,2)),"")</f>
        <v>5</v>
      </c>
      <c r="D465" s="17" t="n">
        <f aca="false">IFERROR(ROUNDUP($C465/3,0),"")</f>
        <v>2</v>
      </c>
      <c r="E465" s="11" t="str">
        <f aca="false">TRIM('수출입 실적(품목별)'!B469)</f>
        <v>76</v>
      </c>
      <c r="F465" s="11" t="str">
        <f aca="false">TRIM('수출입 실적(품목별)'!C469)</f>
        <v>알루미늄과 그 제품</v>
      </c>
      <c r="G465" s="18" t="n">
        <f aca="false">IFERROR(VALUE(SUBSTITUTE(TRIM('수출입 실적(품목별)'!D469),",","")),"")</f>
        <v>109866.7</v>
      </c>
      <c r="H465" s="19" t="n">
        <f aca="false">IFERROR(VALUE(SUBSTITUTE(TRIM('수출입 실적(품목별)'!E469),",","")),"")</f>
        <v>422382</v>
      </c>
      <c r="I465" s="18" t="n">
        <f aca="false">IFERROR(VALUE(SUBSTITUTE(TRIM('수출입 실적(품목별)'!F469),",","")),"")</f>
        <v>272554.4</v>
      </c>
      <c r="J465" s="19" t="n">
        <f aca="false">IFERROR(VALUE(SUBSTITUTE(TRIM('수출입 실적(품목별)'!G469),",","")),"")</f>
        <v>777239</v>
      </c>
      <c r="K465" s="19" t="n">
        <f aca="false">IFERROR(VALUE(SUBSTITUTE(TRIM('수출입 실적(품목별)'!H469),",","")),"")</f>
        <v>-354856</v>
      </c>
    </row>
    <row r="466" customFormat="false" ht="15" hidden="false" customHeight="true" outlineLevel="0" collapsed="false">
      <c r="A466" s="11" t="str">
        <f aca="false">TRIM('수출입 실적(품목별)'!A470)</f>
        <v>2024.05</v>
      </c>
      <c r="B466" s="17" t="n">
        <f aca="false">IFERROR(VALUE(LEFT($A466,4)),"")</f>
        <v>2024</v>
      </c>
      <c r="C466" s="17" t="n">
        <f aca="false">IFERROR(VALUE(RIGHT($A466,2)),"")</f>
        <v>5</v>
      </c>
      <c r="D466" s="17" t="n">
        <f aca="false">IFERROR(ROUNDUP($C466/3,0),"")</f>
        <v>2</v>
      </c>
      <c r="E466" s="11" t="str">
        <f aca="false">TRIM('수출입 실적(품목별)'!B470)</f>
        <v>78</v>
      </c>
      <c r="F466" s="11" t="str">
        <f aca="false">TRIM('수출입 실적(품목별)'!C470)</f>
        <v>납과 그 제품</v>
      </c>
      <c r="G466" s="18" t="n">
        <f aca="false">IFERROR(VALUE(SUBSTITUTE(TRIM('수출입 실적(품목별)'!D470),",","")),"")</f>
        <v>33680.2</v>
      </c>
      <c r="H466" s="19" t="n">
        <f aca="false">IFERROR(VALUE(SUBSTITUTE(TRIM('수출입 실적(품목별)'!E470),",","")),"")</f>
        <v>78396</v>
      </c>
      <c r="I466" s="18" t="n">
        <f aca="false">IFERROR(VALUE(SUBSTITUTE(TRIM('수출입 실적(품목별)'!F470),",","")),"")</f>
        <v>14236.4</v>
      </c>
      <c r="J466" s="19" t="n">
        <f aca="false">IFERROR(VALUE(SUBSTITUTE(TRIM('수출입 실적(품목별)'!G470),",","")),"")</f>
        <v>31240</v>
      </c>
      <c r="K466" s="19" t="n">
        <f aca="false">IFERROR(VALUE(SUBSTITUTE(TRIM('수출입 실적(품목별)'!H470),",","")),"")</f>
        <v>47156</v>
      </c>
    </row>
    <row r="467" customFormat="false" ht="15" hidden="false" customHeight="true" outlineLevel="0" collapsed="false">
      <c r="A467" s="11" t="str">
        <f aca="false">TRIM('수출입 실적(품목별)'!A471)</f>
        <v>2024.05</v>
      </c>
      <c r="B467" s="17" t="n">
        <f aca="false">IFERROR(VALUE(LEFT($A467,4)),"")</f>
        <v>2024</v>
      </c>
      <c r="C467" s="17" t="n">
        <f aca="false">IFERROR(VALUE(RIGHT($A467,2)),"")</f>
        <v>5</v>
      </c>
      <c r="D467" s="17" t="n">
        <f aca="false">IFERROR(ROUNDUP($C467/3,0),"")</f>
        <v>2</v>
      </c>
      <c r="E467" s="11" t="str">
        <f aca="false">TRIM('수출입 실적(품목별)'!B471)</f>
        <v>79</v>
      </c>
      <c r="F467" s="11" t="str">
        <f aca="false">TRIM('수출입 실적(품목별)'!C471)</f>
        <v>아연과 그 제품</v>
      </c>
      <c r="G467" s="18" t="n">
        <f aca="false">IFERROR(VALUE(SUBSTITUTE(TRIM('수출입 실적(품목별)'!D471),",","")),"")</f>
        <v>40960.8</v>
      </c>
      <c r="H467" s="19" t="n">
        <f aca="false">IFERROR(VALUE(SUBSTITUTE(TRIM('수출입 실적(품목별)'!E471),",","")),"")</f>
        <v>119773</v>
      </c>
      <c r="I467" s="18" t="n">
        <f aca="false">IFERROR(VALUE(SUBSTITUTE(TRIM('수출입 실적(품목별)'!F471),",","")),"")</f>
        <v>2997.9</v>
      </c>
      <c r="J467" s="19" t="n">
        <f aca="false">IFERROR(VALUE(SUBSTITUTE(TRIM('수출입 실적(품목별)'!G471),",","")),"")</f>
        <v>9290</v>
      </c>
      <c r="K467" s="19" t="n">
        <f aca="false">IFERROR(VALUE(SUBSTITUTE(TRIM('수출입 실적(품목별)'!H471),",","")),"")</f>
        <v>110484</v>
      </c>
    </row>
    <row r="468" customFormat="false" ht="15" hidden="false" customHeight="true" outlineLevel="0" collapsed="false">
      <c r="A468" s="11" t="str">
        <f aca="false">TRIM('수출입 실적(품목별)'!A472)</f>
        <v>2024.05</v>
      </c>
      <c r="B468" s="17" t="n">
        <f aca="false">IFERROR(VALUE(LEFT($A468,4)),"")</f>
        <v>2024</v>
      </c>
      <c r="C468" s="17" t="n">
        <f aca="false">IFERROR(VALUE(RIGHT($A468,2)),"")</f>
        <v>5</v>
      </c>
      <c r="D468" s="17" t="n">
        <f aca="false">IFERROR(ROUNDUP($C468/3,0),"")</f>
        <v>2</v>
      </c>
      <c r="E468" s="11" t="str">
        <f aca="false">TRIM('수출입 실적(품목별)'!B472)</f>
        <v>80</v>
      </c>
      <c r="F468" s="11" t="str">
        <f aca="false">TRIM('수출입 실적(품목별)'!C472)</f>
        <v>주석과 그 제품</v>
      </c>
      <c r="G468" s="18" t="n">
        <f aca="false">IFERROR(VALUE(SUBSTITUTE(TRIM('수출입 실적(품목별)'!D472),",","")),"")</f>
        <v>187.2</v>
      </c>
      <c r="H468" s="19" t="n">
        <f aca="false">IFERROR(VALUE(SUBSTITUTE(TRIM('수출입 실적(품목별)'!E472),",","")),"")</f>
        <v>4991</v>
      </c>
      <c r="I468" s="18" t="n">
        <f aca="false">IFERROR(VALUE(SUBSTITUTE(TRIM('수출입 실적(품목별)'!F472),",","")),"")</f>
        <v>1397.6</v>
      </c>
      <c r="J468" s="19" t="n">
        <f aca="false">IFERROR(VALUE(SUBSTITUTE(TRIM('수출입 실적(품목별)'!G472),",","")),"")</f>
        <v>42722</v>
      </c>
      <c r="K468" s="19" t="n">
        <f aca="false">IFERROR(VALUE(SUBSTITUTE(TRIM('수출입 실적(품목별)'!H472),",","")),"")</f>
        <v>-37730</v>
      </c>
    </row>
    <row r="469" customFormat="false" ht="15" hidden="false" customHeight="true" outlineLevel="0" collapsed="false">
      <c r="A469" s="11" t="str">
        <f aca="false">TRIM('수출입 실적(품목별)'!A473)</f>
        <v>2024.05</v>
      </c>
      <c r="B469" s="17" t="n">
        <f aca="false">IFERROR(VALUE(LEFT($A469,4)),"")</f>
        <v>2024</v>
      </c>
      <c r="C469" s="17" t="n">
        <f aca="false">IFERROR(VALUE(RIGHT($A469,2)),"")</f>
        <v>5</v>
      </c>
      <c r="D469" s="17" t="n">
        <f aca="false">IFERROR(ROUNDUP($C469/3,0),"")</f>
        <v>2</v>
      </c>
      <c r="E469" s="11" t="str">
        <f aca="false">TRIM('수출입 실적(품목별)'!B473)</f>
        <v>81</v>
      </c>
      <c r="F469" s="11" t="str">
        <f aca="false">TRIM('수출입 실적(품목별)'!C473)</f>
        <v>그 밖의 비금속(卑金屬), 서멧(cermet), 이들의 제품</v>
      </c>
      <c r="G469" s="18" t="n">
        <f aca="false">IFERROR(VALUE(SUBSTITUTE(TRIM('수출입 실적(품목별)'!D473),",","")),"")</f>
        <v>2197.1</v>
      </c>
      <c r="H469" s="19" t="n">
        <f aca="false">IFERROR(VALUE(SUBSTITUTE(TRIM('수출입 실적(품목별)'!E473),",","")),"")</f>
        <v>30374</v>
      </c>
      <c r="I469" s="18" t="n">
        <f aca="false">IFERROR(VALUE(SUBSTITUTE(TRIM('수출입 실적(품목별)'!F473),",","")),"")</f>
        <v>16608.6</v>
      </c>
      <c r="J469" s="19" t="n">
        <f aca="false">IFERROR(VALUE(SUBSTITUTE(TRIM('수출입 실적(품목별)'!G473),",","")),"")</f>
        <v>116467</v>
      </c>
      <c r="K469" s="19" t="n">
        <f aca="false">IFERROR(VALUE(SUBSTITUTE(TRIM('수출입 실적(품목별)'!H473),",","")),"")</f>
        <v>-86093</v>
      </c>
    </row>
    <row r="470" customFormat="false" ht="15" hidden="false" customHeight="true" outlineLevel="0" collapsed="false">
      <c r="A470" s="11" t="str">
        <f aca="false">TRIM('수출입 실적(품목별)'!A474)</f>
        <v>2024.05</v>
      </c>
      <c r="B470" s="17" t="n">
        <f aca="false">IFERROR(VALUE(LEFT($A470,4)),"")</f>
        <v>2024</v>
      </c>
      <c r="C470" s="17" t="n">
        <f aca="false">IFERROR(VALUE(RIGHT($A470,2)),"")</f>
        <v>5</v>
      </c>
      <c r="D470" s="17" t="n">
        <f aca="false">IFERROR(ROUNDUP($C470/3,0),"")</f>
        <v>2</v>
      </c>
      <c r="E470" s="11" t="str">
        <f aca="false">TRIM('수출입 실적(품목별)'!B474)</f>
        <v>82</v>
      </c>
      <c r="F470" s="11" t="str">
        <f aca="false">TRIM('수출입 실적(품목별)'!C474)</f>
        <v>비금속(卑金屬)으로 만든 공구ㆍ도구ㆍ칼붙이ㆍ스푼ㆍ포크, 이들의 부분품</v>
      </c>
      <c r="G470" s="18" t="n">
        <f aca="false">IFERROR(VALUE(SUBSTITUTE(TRIM('수출입 실적(품목별)'!D474),",","")),"")</f>
        <v>6812.7</v>
      </c>
      <c r="H470" s="19" t="n">
        <f aca="false">IFERROR(VALUE(SUBSTITUTE(TRIM('수출입 실적(품목별)'!E474),",","")),"")</f>
        <v>154756</v>
      </c>
      <c r="I470" s="18" t="n">
        <f aca="false">IFERROR(VALUE(SUBSTITUTE(TRIM('수출입 실적(품목별)'!F474),",","")),"")</f>
        <v>5519.1</v>
      </c>
      <c r="J470" s="19" t="n">
        <f aca="false">IFERROR(VALUE(SUBSTITUTE(TRIM('수출입 실적(품목별)'!G474),",","")),"")</f>
        <v>85789</v>
      </c>
      <c r="K470" s="19" t="n">
        <f aca="false">IFERROR(VALUE(SUBSTITUTE(TRIM('수출입 실적(품목별)'!H474),",","")),"")</f>
        <v>68967</v>
      </c>
    </row>
    <row r="471" customFormat="false" ht="15" hidden="false" customHeight="true" outlineLevel="0" collapsed="false">
      <c r="A471" s="11" t="str">
        <f aca="false">TRIM('수출입 실적(품목별)'!A475)</f>
        <v>2024.05</v>
      </c>
      <c r="B471" s="17" t="n">
        <f aca="false">IFERROR(VALUE(LEFT($A471,4)),"")</f>
        <v>2024</v>
      </c>
      <c r="C471" s="17" t="n">
        <f aca="false">IFERROR(VALUE(RIGHT($A471,2)),"")</f>
        <v>5</v>
      </c>
      <c r="D471" s="17" t="n">
        <f aca="false">IFERROR(ROUNDUP($C471/3,0),"")</f>
        <v>2</v>
      </c>
      <c r="E471" s="11" t="str">
        <f aca="false">TRIM('수출입 실적(품목별)'!B475)</f>
        <v>83</v>
      </c>
      <c r="F471" s="11" t="str">
        <f aca="false">TRIM('수출입 실적(품목별)'!C475)</f>
        <v>비금속(卑金屬)으로 만든 각종 제품</v>
      </c>
      <c r="G471" s="18" t="n">
        <f aca="false">IFERROR(VALUE(SUBSTITUTE(TRIM('수출입 실적(품목별)'!D475),",","")),"")</f>
        <v>26055.9</v>
      </c>
      <c r="H471" s="19" t="n">
        <f aca="false">IFERROR(VALUE(SUBSTITUTE(TRIM('수출입 실적(품목별)'!E475),",","")),"")</f>
        <v>142832</v>
      </c>
      <c r="I471" s="18" t="n">
        <f aca="false">IFERROR(VALUE(SUBSTITUTE(TRIM('수출입 실적(품목별)'!F475),",","")),"")</f>
        <v>12810.7</v>
      </c>
      <c r="J471" s="19" t="n">
        <f aca="false">IFERROR(VALUE(SUBSTITUTE(TRIM('수출입 실적(품목별)'!G475),",","")),"")</f>
        <v>80612</v>
      </c>
      <c r="K471" s="19" t="n">
        <f aca="false">IFERROR(VALUE(SUBSTITUTE(TRIM('수출입 실적(품목별)'!H475),",","")),"")</f>
        <v>62220</v>
      </c>
    </row>
    <row r="472" customFormat="false" ht="15" hidden="false" customHeight="true" outlineLevel="0" collapsed="false">
      <c r="A472" s="11" t="str">
        <f aca="false">TRIM('수출입 실적(품목별)'!A476)</f>
        <v>2024.05</v>
      </c>
      <c r="B472" s="17" t="n">
        <f aca="false">IFERROR(VALUE(LEFT($A472,4)),"")</f>
        <v>2024</v>
      </c>
      <c r="C472" s="17" t="n">
        <f aca="false">IFERROR(VALUE(RIGHT($A472,2)),"")</f>
        <v>5</v>
      </c>
      <c r="D472" s="17" t="n">
        <f aca="false">IFERROR(ROUNDUP($C472/3,0),"")</f>
        <v>2</v>
      </c>
      <c r="E472" s="11" t="str">
        <f aca="false">TRIM('수출입 실적(품목별)'!B476)</f>
        <v>84</v>
      </c>
      <c r="F472" s="11" t="str">
        <f aca="false">TRIM('수출입 실적(품목별)'!C476)</f>
        <v>원자로ㆍ보일러ㆍ기계류와 이들의 부분품</v>
      </c>
      <c r="G472" s="18" t="n">
        <f aca="false">IFERROR(VALUE(SUBSTITUTE(TRIM('수출입 실적(품목별)'!D476),",","")),"")</f>
        <v>401539.3</v>
      </c>
      <c r="H472" s="19" t="n">
        <f aca="false">IFERROR(VALUE(SUBSTITUTE(TRIM('수출입 실적(품목별)'!E476),",","")),"")</f>
        <v>6647432</v>
      </c>
      <c r="I472" s="18" t="n">
        <f aca="false">IFERROR(VALUE(SUBSTITUTE(TRIM('수출입 실적(품목별)'!F476),",","")),"")</f>
        <v>236963.5</v>
      </c>
      <c r="J472" s="19" t="n">
        <f aca="false">IFERROR(VALUE(SUBSTITUTE(TRIM('수출입 실적(품목별)'!G476),",","")),"")</f>
        <v>5209342</v>
      </c>
      <c r="K472" s="19" t="n">
        <f aca="false">IFERROR(VALUE(SUBSTITUTE(TRIM('수출입 실적(품목별)'!H476),",","")),"")</f>
        <v>1438090</v>
      </c>
    </row>
    <row r="473" customFormat="false" ht="15" hidden="false" customHeight="true" outlineLevel="0" collapsed="false">
      <c r="A473" s="11" t="str">
        <f aca="false">TRIM('수출입 실적(품목별)'!A477)</f>
        <v>2024.05</v>
      </c>
      <c r="B473" s="17" t="n">
        <f aca="false">IFERROR(VALUE(LEFT($A473,4)),"")</f>
        <v>2024</v>
      </c>
      <c r="C473" s="17" t="n">
        <f aca="false">IFERROR(VALUE(RIGHT($A473,2)),"")</f>
        <v>5</v>
      </c>
      <c r="D473" s="17" t="n">
        <f aca="false">IFERROR(ROUNDUP($C473/3,0),"")</f>
        <v>2</v>
      </c>
      <c r="E473" s="11" t="str">
        <f aca="false">TRIM('수출입 실적(품목별)'!B477)</f>
        <v>85</v>
      </c>
      <c r="F473" s="11" t="str">
        <f aca="false">TRIM('수출입 실적(품목별)'!C477)</f>
        <v>전기기기와 그 부분품, 녹음기ㆍ음성 재생기ㆍ텔레비전의 영상과 음성의 기록기ㆍ재생기와 이들의 부분품ㆍ부속품</v>
      </c>
      <c r="G473" s="18" t="n">
        <f aca="false">IFERROR(VALUE(SUBSTITUTE(TRIM('수출입 실적(품목별)'!D477),",","")),"")</f>
        <v>222480.8</v>
      </c>
      <c r="H473" s="19" t="n">
        <f aca="false">IFERROR(VALUE(SUBSTITUTE(TRIM('수출입 실적(품목별)'!E477),",","")),"")</f>
        <v>17412613</v>
      </c>
      <c r="I473" s="18" t="n">
        <f aca="false">IFERROR(VALUE(SUBSTITUTE(TRIM('수출입 실적(품목별)'!F477),",","")),"")</f>
        <v>208047</v>
      </c>
      <c r="J473" s="19" t="n">
        <f aca="false">IFERROR(VALUE(SUBSTITUTE(TRIM('수출입 실적(품목별)'!G477),",","")),"")</f>
        <v>10180914</v>
      </c>
      <c r="K473" s="19" t="n">
        <f aca="false">IFERROR(VALUE(SUBSTITUTE(TRIM('수출입 실적(품목별)'!H477),",","")),"")</f>
        <v>7231699</v>
      </c>
    </row>
    <row r="474" customFormat="false" ht="15" hidden="false" customHeight="true" outlineLevel="0" collapsed="false">
      <c r="A474" s="11" t="str">
        <f aca="false">TRIM('수출입 실적(품목별)'!A478)</f>
        <v>2024.05</v>
      </c>
      <c r="B474" s="17" t="n">
        <f aca="false">IFERROR(VALUE(LEFT($A474,4)),"")</f>
        <v>2024</v>
      </c>
      <c r="C474" s="17" t="n">
        <f aca="false">IFERROR(VALUE(RIGHT($A474,2)),"")</f>
        <v>5</v>
      </c>
      <c r="D474" s="17" t="n">
        <f aca="false">IFERROR(ROUNDUP($C474/3,0),"")</f>
        <v>2</v>
      </c>
      <c r="E474" s="11" t="str">
        <f aca="false">TRIM('수출입 실적(품목별)'!B478)</f>
        <v>86</v>
      </c>
      <c r="F474" s="11" t="str">
        <f aca="false">TRIM('수출입 실적(품목별)'!C478)</f>
        <v>철도용이나 궤도용 기관차ㆍ차량과 이들의 부분품, 철도용이나 궤도용 장비품과 그 부분품, 기계식(전기기계식을 포함한다) 각종 교통신호용 기기</v>
      </c>
      <c r="G474" s="18" t="n">
        <f aca="false">IFERROR(VALUE(SUBSTITUTE(TRIM('수출입 실적(품목별)'!D478),",","")),"")</f>
        <v>12542.8</v>
      </c>
      <c r="H474" s="19" t="n">
        <f aca="false">IFERROR(VALUE(SUBSTITUTE(TRIM('수출입 실적(품목별)'!E478),",","")),"")</f>
        <v>110033</v>
      </c>
      <c r="I474" s="18" t="n">
        <f aca="false">IFERROR(VALUE(SUBSTITUTE(TRIM('수출입 실적(품목별)'!F478),",","")),"")</f>
        <v>10846.2</v>
      </c>
      <c r="J474" s="19" t="n">
        <f aca="false">IFERROR(VALUE(SUBSTITUTE(TRIM('수출입 실적(품목별)'!G478),",","")),"")</f>
        <v>32278</v>
      </c>
      <c r="K474" s="19" t="n">
        <f aca="false">IFERROR(VALUE(SUBSTITUTE(TRIM('수출입 실적(품목별)'!H478),",","")),"")</f>
        <v>77755</v>
      </c>
    </row>
    <row r="475" customFormat="false" ht="15" hidden="false" customHeight="true" outlineLevel="0" collapsed="false">
      <c r="A475" s="11" t="str">
        <f aca="false">TRIM('수출입 실적(품목별)'!A479)</f>
        <v>2024.05</v>
      </c>
      <c r="B475" s="17" t="n">
        <f aca="false">IFERROR(VALUE(LEFT($A475,4)),"")</f>
        <v>2024</v>
      </c>
      <c r="C475" s="17" t="n">
        <f aca="false">IFERROR(VALUE(RIGHT($A475,2)),"")</f>
        <v>5</v>
      </c>
      <c r="D475" s="17" t="n">
        <f aca="false">IFERROR(ROUNDUP($C475/3,0),"")</f>
        <v>2</v>
      </c>
      <c r="E475" s="11" t="str">
        <f aca="false">TRIM('수출입 실적(품목별)'!B479)</f>
        <v>87</v>
      </c>
      <c r="F475" s="11" t="str">
        <f aca="false">TRIM('수출입 실적(품목별)'!C479)</f>
        <v>철도용이나 궤도용 외의 차량과 그 부분품ㆍ부속품</v>
      </c>
      <c r="G475" s="18" t="n">
        <f aca="false">IFERROR(VALUE(SUBSTITUTE(TRIM('수출입 실적(품목별)'!D479),",","")),"")</f>
        <v>727464.6</v>
      </c>
      <c r="H475" s="19" t="n">
        <f aca="false">IFERROR(VALUE(SUBSTITUTE(TRIM('수출입 실적(품목별)'!E479),",","")),"")</f>
        <v>8086139</v>
      </c>
      <c r="I475" s="18" t="n">
        <f aca="false">IFERROR(VALUE(SUBSTITUTE(TRIM('수출입 실적(품목별)'!F479),",","")),"")</f>
        <v>116088.9</v>
      </c>
      <c r="J475" s="19" t="n">
        <f aca="false">IFERROR(VALUE(SUBSTITUTE(TRIM('수출입 실적(품목별)'!G479),",","")),"")</f>
        <v>1869512</v>
      </c>
      <c r="K475" s="19" t="n">
        <f aca="false">IFERROR(VALUE(SUBSTITUTE(TRIM('수출입 실적(품목별)'!H479),",","")),"")</f>
        <v>6216628</v>
      </c>
    </row>
    <row r="476" customFormat="false" ht="15" hidden="false" customHeight="true" outlineLevel="0" collapsed="false">
      <c r="A476" s="11" t="str">
        <f aca="false">TRIM('수출입 실적(품목별)'!A480)</f>
        <v>2024.05</v>
      </c>
      <c r="B476" s="17" t="n">
        <f aca="false">IFERROR(VALUE(LEFT($A476,4)),"")</f>
        <v>2024</v>
      </c>
      <c r="C476" s="17" t="n">
        <f aca="false">IFERROR(VALUE(RIGHT($A476,2)),"")</f>
        <v>5</v>
      </c>
      <c r="D476" s="17" t="n">
        <f aca="false">IFERROR(ROUNDUP($C476/3,0),"")</f>
        <v>2</v>
      </c>
      <c r="E476" s="11" t="str">
        <f aca="false">TRIM('수출입 실적(품목별)'!B480)</f>
        <v>88</v>
      </c>
      <c r="F476" s="11" t="str">
        <f aca="false">TRIM('수출입 실적(품목별)'!C480)</f>
        <v>항공기와 우주선, 이들의 부분품</v>
      </c>
      <c r="G476" s="18" t="n">
        <f aca="false">IFERROR(VALUE(SUBSTITUTE(TRIM('수출입 실적(품목별)'!D480),",","")),"")</f>
        <v>407</v>
      </c>
      <c r="H476" s="19" t="n">
        <f aca="false">IFERROR(VALUE(SUBSTITUTE(TRIM('수출입 실적(품목별)'!E480),",","")),"")</f>
        <v>124142</v>
      </c>
      <c r="I476" s="18" t="n">
        <f aca="false">IFERROR(VALUE(SUBSTITUTE(TRIM('수출입 실적(품목별)'!F480),",","")),"")</f>
        <v>177.5</v>
      </c>
      <c r="J476" s="19" t="n">
        <f aca="false">IFERROR(VALUE(SUBSTITUTE(TRIM('수출입 실적(품목별)'!G480),",","")),"")</f>
        <v>79613</v>
      </c>
      <c r="K476" s="19" t="n">
        <f aca="false">IFERROR(VALUE(SUBSTITUTE(TRIM('수출입 실적(품목별)'!H480),",","")),"")</f>
        <v>44529</v>
      </c>
    </row>
    <row r="477" customFormat="false" ht="15" hidden="false" customHeight="true" outlineLevel="0" collapsed="false">
      <c r="A477" s="11" t="str">
        <f aca="false">TRIM('수출입 실적(품목별)'!A481)</f>
        <v>2024.05</v>
      </c>
      <c r="B477" s="17" t="n">
        <f aca="false">IFERROR(VALUE(LEFT($A477,4)),"")</f>
        <v>2024</v>
      </c>
      <c r="C477" s="17" t="n">
        <f aca="false">IFERROR(VALUE(RIGHT($A477,2)),"")</f>
        <v>5</v>
      </c>
      <c r="D477" s="17" t="n">
        <f aca="false">IFERROR(ROUNDUP($C477/3,0),"")</f>
        <v>2</v>
      </c>
      <c r="E477" s="11" t="str">
        <f aca="false">TRIM('수출입 실적(품목별)'!B481)</f>
        <v>89</v>
      </c>
      <c r="F477" s="11" t="str">
        <f aca="false">TRIM('수출입 실적(품목별)'!C481)</f>
        <v>선박과 수상 구조물</v>
      </c>
      <c r="G477" s="18" t="n">
        <f aca="false">IFERROR(VALUE(SUBSTITUTE(TRIM('수출입 실적(품목별)'!D481),",","")),"")</f>
        <v>921936.8</v>
      </c>
      <c r="H477" s="19" t="n">
        <f aca="false">IFERROR(VALUE(SUBSTITUTE(TRIM('수출입 실적(품목별)'!E481),",","")),"")</f>
        <v>2005371</v>
      </c>
      <c r="I477" s="18" t="n">
        <f aca="false">IFERROR(VALUE(SUBSTITUTE(TRIM('수출입 실적(품목별)'!F481),",","")),"")</f>
        <v>244841.8</v>
      </c>
      <c r="J477" s="19" t="n">
        <f aca="false">IFERROR(VALUE(SUBSTITUTE(TRIM('수출입 실적(품목별)'!G481),",","")),"")</f>
        <v>166039</v>
      </c>
      <c r="K477" s="19" t="n">
        <f aca="false">IFERROR(VALUE(SUBSTITUTE(TRIM('수출입 실적(품목별)'!H481),",","")),"")</f>
        <v>1839332</v>
      </c>
    </row>
    <row r="478" customFormat="false" ht="15" hidden="false" customHeight="true" outlineLevel="0" collapsed="false">
      <c r="A478" s="11" t="str">
        <f aca="false">TRIM('수출입 실적(품목별)'!A482)</f>
        <v>2024.05</v>
      </c>
      <c r="B478" s="17" t="n">
        <f aca="false">IFERROR(VALUE(LEFT($A478,4)),"")</f>
        <v>2024</v>
      </c>
      <c r="C478" s="17" t="n">
        <f aca="false">IFERROR(VALUE(RIGHT($A478,2)),"")</f>
        <v>5</v>
      </c>
      <c r="D478" s="17" t="n">
        <f aca="false">IFERROR(ROUNDUP($C478/3,0),"")</f>
        <v>2</v>
      </c>
      <c r="E478" s="11" t="str">
        <f aca="false">TRIM('수출입 실적(품목별)'!B482)</f>
        <v>90</v>
      </c>
      <c r="F478" s="11" t="str">
        <f aca="false">TRIM('수출입 실적(품목별)'!C482)</f>
        <v>광학기기ㆍ사진용 기기ㆍ영화용 기기ㆍ측정기기ㆍ검사기기ㆍ정밀기기ㆍ의료용 기기, 이들의 부분품과 부속품</v>
      </c>
      <c r="G478" s="18" t="n">
        <f aca="false">IFERROR(VALUE(SUBSTITUTE(TRIM('수출입 실적(품목별)'!D482),",","")),"")</f>
        <v>17163.1</v>
      </c>
      <c r="H478" s="19" t="n">
        <f aca="false">IFERROR(VALUE(SUBSTITUTE(TRIM('수출입 실적(품목별)'!E482),",","")),"")</f>
        <v>1451675</v>
      </c>
      <c r="I478" s="18" t="n">
        <f aca="false">IFERROR(VALUE(SUBSTITUTE(TRIM('수출입 실적(품목별)'!F482),",","")),"")</f>
        <v>17512.6</v>
      </c>
      <c r="J478" s="19" t="n">
        <f aca="false">IFERROR(VALUE(SUBSTITUTE(TRIM('수출입 실적(품목별)'!G482),",","")),"")</f>
        <v>1752133</v>
      </c>
      <c r="K478" s="19" t="n">
        <f aca="false">IFERROR(VALUE(SUBSTITUTE(TRIM('수출입 실적(품목별)'!H482),",","")),"")</f>
        <v>-300459</v>
      </c>
    </row>
    <row r="479" customFormat="false" ht="15" hidden="false" customHeight="true" outlineLevel="0" collapsed="false">
      <c r="A479" s="11" t="str">
        <f aca="false">TRIM('수출입 실적(품목별)'!A483)</f>
        <v>2024.05</v>
      </c>
      <c r="B479" s="17" t="n">
        <f aca="false">IFERROR(VALUE(LEFT($A479,4)),"")</f>
        <v>2024</v>
      </c>
      <c r="C479" s="17" t="n">
        <f aca="false">IFERROR(VALUE(RIGHT($A479,2)),"")</f>
        <v>5</v>
      </c>
      <c r="D479" s="17" t="n">
        <f aca="false">IFERROR(ROUNDUP($C479/3,0),"")</f>
        <v>2</v>
      </c>
      <c r="E479" s="11" t="str">
        <f aca="false">TRIM('수출입 실적(품목별)'!B483)</f>
        <v>91</v>
      </c>
      <c r="F479" s="11" t="str">
        <f aca="false">TRIM('수출입 실적(품목별)'!C483)</f>
        <v>시계와 그 부분품</v>
      </c>
      <c r="G479" s="18" t="n">
        <f aca="false">IFERROR(VALUE(SUBSTITUTE(TRIM('수출입 실적(품목별)'!D483),",","")),"")</f>
        <v>18.4</v>
      </c>
      <c r="H479" s="19" t="n">
        <f aca="false">IFERROR(VALUE(SUBSTITUTE(TRIM('수출입 실적(품목별)'!E483),",","")),"")</f>
        <v>11363</v>
      </c>
      <c r="I479" s="18" t="n">
        <f aca="false">IFERROR(VALUE(SUBSTITUTE(TRIM('수출입 실적(품목별)'!F483),",","")),"")</f>
        <v>297.7</v>
      </c>
      <c r="J479" s="19" t="n">
        <f aca="false">IFERROR(VALUE(SUBSTITUTE(TRIM('수출입 실적(품목별)'!G483),",","")),"")</f>
        <v>84545</v>
      </c>
      <c r="K479" s="19" t="n">
        <f aca="false">IFERROR(VALUE(SUBSTITUTE(TRIM('수출입 실적(품목별)'!H483),",","")),"")</f>
        <v>-73182</v>
      </c>
    </row>
    <row r="480" customFormat="false" ht="15" hidden="false" customHeight="true" outlineLevel="0" collapsed="false">
      <c r="A480" s="11" t="str">
        <f aca="false">TRIM('수출입 실적(품목별)'!A484)</f>
        <v>2024.05</v>
      </c>
      <c r="B480" s="17" t="n">
        <f aca="false">IFERROR(VALUE(LEFT($A480,4)),"")</f>
        <v>2024</v>
      </c>
      <c r="C480" s="17" t="n">
        <f aca="false">IFERROR(VALUE(RIGHT($A480,2)),"")</f>
        <v>5</v>
      </c>
      <c r="D480" s="17" t="n">
        <f aca="false">IFERROR(ROUNDUP($C480/3,0),"")</f>
        <v>2</v>
      </c>
      <c r="E480" s="11" t="str">
        <f aca="false">TRIM('수출입 실적(품목별)'!B484)</f>
        <v>92</v>
      </c>
      <c r="F480" s="11" t="str">
        <f aca="false">TRIM('수출입 실적(품목별)'!C484)</f>
        <v>악기와 그 부분품과 부속품</v>
      </c>
      <c r="G480" s="18" t="n">
        <f aca="false">IFERROR(VALUE(SUBSTITUTE(TRIM('수출입 실적(품목별)'!D484),",","")),"")</f>
        <v>583.5</v>
      </c>
      <c r="H480" s="19" t="n">
        <f aca="false">IFERROR(VALUE(SUBSTITUTE(TRIM('수출입 실적(품목별)'!E484),",","")),"")</f>
        <v>9911</v>
      </c>
      <c r="I480" s="18" t="n">
        <f aca="false">IFERROR(VALUE(SUBSTITUTE(TRIM('수출입 실적(품목별)'!F484),",","")),"")</f>
        <v>743.2</v>
      </c>
      <c r="J480" s="19" t="n">
        <f aca="false">IFERROR(VALUE(SUBSTITUTE(TRIM('수출입 실적(품목별)'!G484),",","")),"")</f>
        <v>17025</v>
      </c>
      <c r="K480" s="19" t="n">
        <f aca="false">IFERROR(VALUE(SUBSTITUTE(TRIM('수출입 실적(품목별)'!H484),",","")),"")</f>
        <v>-7114</v>
      </c>
    </row>
    <row r="481" customFormat="false" ht="15" hidden="false" customHeight="true" outlineLevel="0" collapsed="false">
      <c r="A481" s="11" t="str">
        <f aca="false">TRIM('수출입 실적(품목별)'!A485)</f>
        <v>2024.05</v>
      </c>
      <c r="B481" s="17" t="n">
        <f aca="false">IFERROR(VALUE(LEFT($A481,4)),"")</f>
        <v>2024</v>
      </c>
      <c r="C481" s="17" t="n">
        <f aca="false">IFERROR(VALUE(RIGHT($A481,2)),"")</f>
        <v>5</v>
      </c>
      <c r="D481" s="17" t="n">
        <f aca="false">IFERROR(ROUNDUP($C481/3,0),"")</f>
        <v>2</v>
      </c>
      <c r="E481" s="11" t="str">
        <f aca="false">TRIM('수출입 실적(품목별)'!B485)</f>
        <v>93</v>
      </c>
      <c r="F481" s="11" t="str">
        <f aca="false">TRIM('수출입 실적(품목별)'!C485)</f>
        <v>무기ㆍ총포탄과 이들의 부분품과 부속품</v>
      </c>
      <c r="G481" s="18" t="n">
        <f aca="false">IFERROR(VALUE(SUBSTITUTE(TRIM('수출입 실적(품목별)'!D485),",","")),"")</f>
        <v>1627.5</v>
      </c>
      <c r="H481" s="19" t="n">
        <f aca="false">IFERROR(VALUE(SUBSTITUTE(TRIM('수출입 실적(품목별)'!E485),",","")),"")</f>
        <v>75139</v>
      </c>
      <c r="I481" s="18" t="n">
        <f aca="false">IFERROR(VALUE(SUBSTITUTE(TRIM('수출입 실적(품목별)'!F485),",","")),"")</f>
        <v>69.4</v>
      </c>
      <c r="J481" s="19" t="n">
        <f aca="false">IFERROR(VALUE(SUBSTITUTE(TRIM('수출입 실적(품목별)'!G485),",","")),"")</f>
        <v>19270</v>
      </c>
      <c r="K481" s="19" t="n">
        <f aca="false">IFERROR(VALUE(SUBSTITUTE(TRIM('수출입 실적(품목별)'!H485),",","")),"")</f>
        <v>55869</v>
      </c>
    </row>
    <row r="482" customFormat="false" ht="15" hidden="false" customHeight="true" outlineLevel="0" collapsed="false">
      <c r="A482" s="11" t="str">
        <f aca="false">TRIM('수출입 실적(품목별)'!A486)</f>
        <v>2024.05</v>
      </c>
      <c r="B482" s="17" t="n">
        <f aca="false">IFERROR(VALUE(LEFT($A482,4)),"")</f>
        <v>2024</v>
      </c>
      <c r="C482" s="17" t="n">
        <f aca="false">IFERROR(VALUE(RIGHT($A482,2)),"")</f>
        <v>5</v>
      </c>
      <c r="D482" s="17" t="n">
        <f aca="false">IFERROR(ROUNDUP($C482/3,0),"")</f>
        <v>2</v>
      </c>
      <c r="E482" s="11" t="str">
        <f aca="false">TRIM('수출입 실적(품목별)'!B486)</f>
        <v>94</v>
      </c>
      <c r="F482" s="11" t="str">
        <f aca="false">TRIM('수출입 실적(품목별)'!C486)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482" s="18" t="n">
        <f aca="false">IFERROR(VALUE(SUBSTITUTE(TRIM('수출입 실적(품목별)'!D486),",","")),"")</f>
        <v>16087.2</v>
      </c>
      <c r="H482" s="19" t="n">
        <f aca="false">IFERROR(VALUE(SUBSTITUTE(TRIM('수출입 실적(품목별)'!E486),",","")),"")</f>
        <v>117835</v>
      </c>
      <c r="I482" s="18" t="n">
        <f aca="false">IFERROR(VALUE(SUBSTITUTE(TRIM('수출입 실적(품목별)'!F486),",","")),"")</f>
        <v>77316.3</v>
      </c>
      <c r="J482" s="19" t="n">
        <f aca="false">IFERROR(VALUE(SUBSTITUTE(TRIM('수출입 실적(품목별)'!G486),",","")),"")</f>
        <v>336105</v>
      </c>
      <c r="K482" s="19" t="n">
        <f aca="false">IFERROR(VALUE(SUBSTITUTE(TRIM('수출입 실적(품목별)'!H486),",","")),"")</f>
        <v>-218271</v>
      </c>
    </row>
    <row r="483" customFormat="false" ht="15" hidden="false" customHeight="true" outlineLevel="0" collapsed="false">
      <c r="A483" s="11" t="str">
        <f aca="false">TRIM('수출입 실적(품목별)'!A487)</f>
        <v>2024.05</v>
      </c>
      <c r="B483" s="17" t="n">
        <f aca="false">IFERROR(VALUE(LEFT($A483,4)),"")</f>
        <v>2024</v>
      </c>
      <c r="C483" s="17" t="n">
        <f aca="false">IFERROR(VALUE(RIGHT($A483,2)),"")</f>
        <v>5</v>
      </c>
      <c r="D483" s="17" t="n">
        <f aca="false">IFERROR(ROUNDUP($C483/3,0),"")</f>
        <v>2</v>
      </c>
      <c r="E483" s="11" t="str">
        <f aca="false">TRIM('수출입 실적(품목별)'!B487)</f>
        <v>95</v>
      </c>
      <c r="F483" s="11" t="str">
        <f aca="false">TRIM('수출입 실적(품목별)'!C487)</f>
        <v>완구ㆍ게임용구ㆍ운동용구와 이들의 부분품과 부속품</v>
      </c>
      <c r="G483" s="18" t="n">
        <f aca="false">IFERROR(VALUE(SUBSTITUTE(TRIM('수출입 실적(품목별)'!D487),",","")),"")</f>
        <v>1869.5</v>
      </c>
      <c r="H483" s="19" t="n">
        <f aca="false">IFERROR(VALUE(SUBSTITUTE(TRIM('수출입 실적(품목별)'!E487),",","")),"")</f>
        <v>44213</v>
      </c>
      <c r="I483" s="18" t="n">
        <f aca="false">IFERROR(VALUE(SUBSTITUTE(TRIM('수출입 실적(품목별)'!F487),",","")),"")</f>
        <v>15638.5</v>
      </c>
      <c r="J483" s="19" t="n">
        <f aca="false">IFERROR(VALUE(SUBSTITUTE(TRIM('수출입 실적(품목별)'!G487),",","")),"")</f>
        <v>204079</v>
      </c>
      <c r="K483" s="19" t="n">
        <f aca="false">IFERROR(VALUE(SUBSTITUTE(TRIM('수출입 실적(품목별)'!H487),",","")),"")</f>
        <v>-159866</v>
      </c>
    </row>
    <row r="484" customFormat="false" ht="15" hidden="false" customHeight="true" outlineLevel="0" collapsed="false">
      <c r="A484" s="11" t="str">
        <f aca="false">TRIM('수출입 실적(품목별)'!A488)</f>
        <v>2024.05</v>
      </c>
      <c r="B484" s="17" t="n">
        <f aca="false">IFERROR(VALUE(LEFT($A484,4)),"")</f>
        <v>2024</v>
      </c>
      <c r="C484" s="17" t="n">
        <f aca="false">IFERROR(VALUE(RIGHT($A484,2)),"")</f>
        <v>5</v>
      </c>
      <c r="D484" s="17" t="n">
        <f aca="false">IFERROR(ROUNDUP($C484/3,0),"")</f>
        <v>2</v>
      </c>
      <c r="E484" s="11" t="str">
        <f aca="false">TRIM('수출입 실적(품목별)'!B488)</f>
        <v>96</v>
      </c>
      <c r="F484" s="11" t="str">
        <f aca="false">TRIM('수출입 실적(품목별)'!C488)</f>
        <v>잡품</v>
      </c>
      <c r="G484" s="18" t="n">
        <f aca="false">IFERROR(VALUE(SUBSTITUTE(TRIM('수출입 실적(품목별)'!D488),",","")),"")</f>
        <v>2633.3</v>
      </c>
      <c r="H484" s="19" t="n">
        <f aca="false">IFERROR(VALUE(SUBSTITUTE(TRIM('수출입 실적(품목별)'!E488),",","")),"")</f>
        <v>46518</v>
      </c>
      <c r="I484" s="18" t="n">
        <f aca="false">IFERROR(VALUE(SUBSTITUTE(TRIM('수출입 실적(품목별)'!F488),",","")),"")</f>
        <v>11392.7</v>
      </c>
      <c r="J484" s="19" t="n">
        <f aca="false">IFERROR(VALUE(SUBSTITUTE(TRIM('수출입 실적(품목별)'!G488),",","")),"")</f>
        <v>100757</v>
      </c>
      <c r="K484" s="19" t="n">
        <f aca="false">IFERROR(VALUE(SUBSTITUTE(TRIM('수출입 실적(품목별)'!H488),",","")),"")</f>
        <v>-54239</v>
      </c>
    </row>
    <row r="485" customFormat="false" ht="15" hidden="false" customHeight="true" outlineLevel="0" collapsed="false">
      <c r="A485" s="11" t="str">
        <f aca="false">TRIM('수출입 실적(품목별)'!A489)</f>
        <v>2024.05</v>
      </c>
      <c r="B485" s="17" t="n">
        <f aca="false">IFERROR(VALUE(LEFT($A485,4)),"")</f>
        <v>2024</v>
      </c>
      <c r="C485" s="17" t="n">
        <f aca="false">IFERROR(VALUE(RIGHT($A485,2)),"")</f>
        <v>5</v>
      </c>
      <c r="D485" s="17" t="n">
        <f aca="false">IFERROR(ROUNDUP($C485/3,0),"")</f>
        <v>2</v>
      </c>
      <c r="E485" s="11" t="str">
        <f aca="false">TRIM('수출입 실적(품목별)'!B489)</f>
        <v>97</v>
      </c>
      <c r="F485" s="11" t="str">
        <f aca="false">TRIM('수출입 실적(품목별)'!C489)</f>
        <v>예술품ㆍ수집품ㆍ골동품</v>
      </c>
      <c r="G485" s="18" t="n">
        <f aca="false">IFERROR(VALUE(SUBSTITUTE(TRIM('수출입 실적(품목별)'!D489),",","")),"")</f>
        <v>9.1</v>
      </c>
      <c r="H485" s="19" t="n">
        <f aca="false">IFERROR(VALUE(SUBSTITUTE(TRIM('수출입 실적(품목별)'!E489),",","")),"")</f>
        <v>17073</v>
      </c>
      <c r="I485" s="18" t="n">
        <f aca="false">IFERROR(VALUE(SUBSTITUTE(TRIM('수출입 실적(품목별)'!F489),",","")),"")</f>
        <v>96.4</v>
      </c>
      <c r="J485" s="19" t="n">
        <f aca="false">IFERROR(VALUE(SUBSTITUTE(TRIM('수출입 실적(품목별)'!G489),",","")),"")</f>
        <v>45200</v>
      </c>
      <c r="K485" s="19" t="n">
        <f aca="false">IFERROR(VALUE(SUBSTITUTE(TRIM('수출입 실적(품목별)'!H489),",","")),"")</f>
        <v>-28127</v>
      </c>
    </row>
    <row r="486" customFormat="false" ht="15" hidden="false" customHeight="true" outlineLevel="0" collapsed="false">
      <c r="A486" s="11" t="str">
        <f aca="false">TRIM('수출입 실적(품목별)'!A490)</f>
        <v>2024.06</v>
      </c>
      <c r="B486" s="17" t="n">
        <f aca="false">IFERROR(VALUE(LEFT($A486,4)),"")</f>
        <v>2024</v>
      </c>
      <c r="C486" s="17" t="n">
        <f aca="false">IFERROR(VALUE(RIGHT($A486,2)),"")</f>
        <v>6</v>
      </c>
      <c r="D486" s="17" t="n">
        <f aca="false">IFERROR(ROUNDUP($C486/3,0),"")</f>
        <v>2</v>
      </c>
      <c r="E486" s="11" t="str">
        <f aca="false">TRIM('수출입 실적(품목별)'!B490)</f>
        <v>01</v>
      </c>
      <c r="F486" s="11" t="str">
        <f aca="false">TRIM('수출입 실적(품목별)'!C490)</f>
        <v>살아 있는 동물</v>
      </c>
      <c r="G486" s="18" t="n">
        <f aca="false">IFERROR(VALUE(SUBSTITUTE(TRIM('수출입 실적(품목별)'!D490),",","")),"")</f>
        <v>1.5</v>
      </c>
      <c r="H486" s="19" t="n">
        <f aca="false">IFERROR(VALUE(SUBSTITUTE(TRIM('수출입 실적(품목별)'!E490),",","")),"")</f>
        <v>562</v>
      </c>
      <c r="I486" s="18" t="n">
        <f aca="false">IFERROR(VALUE(SUBSTITUTE(TRIM('수출입 실적(품목별)'!F490),",","")),"")</f>
        <v>145.1</v>
      </c>
      <c r="J486" s="19" t="n">
        <f aca="false">IFERROR(VALUE(SUBSTITUTE(TRIM('수출입 실적(품목별)'!G490),",","")),"")</f>
        <v>6103</v>
      </c>
      <c r="K486" s="19" t="n">
        <f aca="false">IFERROR(VALUE(SUBSTITUTE(TRIM('수출입 실적(품목별)'!H490),",","")),"")</f>
        <v>-5540</v>
      </c>
    </row>
    <row r="487" customFormat="false" ht="15" hidden="false" customHeight="true" outlineLevel="0" collapsed="false">
      <c r="A487" s="11" t="str">
        <f aca="false">TRIM('수출입 실적(품목별)'!A491)</f>
        <v>2024.06</v>
      </c>
      <c r="B487" s="17" t="n">
        <f aca="false">IFERROR(VALUE(LEFT($A487,4)),"")</f>
        <v>2024</v>
      </c>
      <c r="C487" s="17" t="n">
        <f aca="false">IFERROR(VALUE(RIGHT($A487,2)),"")</f>
        <v>6</v>
      </c>
      <c r="D487" s="17" t="n">
        <f aca="false">IFERROR(ROUNDUP($C487/3,0),"")</f>
        <v>2</v>
      </c>
      <c r="E487" s="11" t="str">
        <f aca="false">TRIM('수출입 실적(품목별)'!B491)</f>
        <v>02</v>
      </c>
      <c r="F487" s="11" t="str">
        <f aca="false">TRIM('수출입 실적(품목별)'!C491)</f>
        <v>육과 식용 설육(屑肉)</v>
      </c>
      <c r="G487" s="18" t="n">
        <f aca="false">IFERROR(VALUE(SUBSTITUTE(TRIM('수출입 실적(품목별)'!D491),",","")),"")</f>
        <v>2525.4</v>
      </c>
      <c r="H487" s="19" t="n">
        <f aca="false">IFERROR(VALUE(SUBSTITUTE(TRIM('수출입 실적(품목별)'!E491),",","")),"")</f>
        <v>3686</v>
      </c>
      <c r="I487" s="18" t="n">
        <f aca="false">IFERROR(VALUE(SUBSTITUTE(TRIM('수출입 실적(품목별)'!F491),",","")),"")</f>
        <v>108671.2</v>
      </c>
      <c r="J487" s="19" t="n">
        <f aca="false">IFERROR(VALUE(SUBSTITUTE(TRIM('수출입 실적(품목별)'!G491),",","")),"")</f>
        <v>532554</v>
      </c>
      <c r="K487" s="19" t="n">
        <f aca="false">IFERROR(VALUE(SUBSTITUTE(TRIM('수출입 실적(품목별)'!H491),",","")),"")</f>
        <v>-528868</v>
      </c>
    </row>
    <row r="488" customFormat="false" ht="15" hidden="false" customHeight="true" outlineLevel="0" collapsed="false">
      <c r="A488" s="11" t="str">
        <f aca="false">TRIM('수출입 실적(품목별)'!A492)</f>
        <v>2024.06</v>
      </c>
      <c r="B488" s="17" t="n">
        <f aca="false">IFERROR(VALUE(LEFT($A488,4)),"")</f>
        <v>2024</v>
      </c>
      <c r="C488" s="17" t="n">
        <f aca="false">IFERROR(VALUE(RIGHT($A488,2)),"")</f>
        <v>6</v>
      </c>
      <c r="D488" s="17" t="n">
        <f aca="false">IFERROR(ROUNDUP($C488/3,0),"")</f>
        <v>2</v>
      </c>
      <c r="E488" s="11" t="str">
        <f aca="false">TRIM('수출입 실적(품목별)'!B492)</f>
        <v>03</v>
      </c>
      <c r="F488" s="11" t="str">
        <f aca="false">TRIM('수출입 실적(품목별)'!C492)</f>
        <v>어류ㆍ갑각류ㆍ연체동물과 그 밖의 수생(水生) 무척추동물</v>
      </c>
      <c r="G488" s="18" t="n">
        <f aca="false">IFERROR(VALUE(SUBSTITUTE(TRIM('수출입 실적(품목별)'!D492),",","")),"")</f>
        <v>35689.3</v>
      </c>
      <c r="H488" s="19" t="n">
        <f aca="false">IFERROR(VALUE(SUBSTITUTE(TRIM('수출입 실적(품목별)'!E492),",","")),"")</f>
        <v>108994</v>
      </c>
      <c r="I488" s="18" t="n">
        <f aca="false">IFERROR(VALUE(SUBSTITUTE(TRIM('수출입 실적(품목별)'!F492),",","")),"")</f>
        <v>81165.3</v>
      </c>
      <c r="J488" s="19" t="n">
        <f aca="false">IFERROR(VALUE(SUBSTITUTE(TRIM('수출입 실적(품목별)'!G492),",","")),"")</f>
        <v>332565</v>
      </c>
      <c r="K488" s="19" t="n">
        <f aca="false">IFERROR(VALUE(SUBSTITUTE(TRIM('수출입 실적(품목별)'!H492),",","")),"")</f>
        <v>-223571</v>
      </c>
    </row>
    <row r="489" customFormat="false" ht="15" hidden="false" customHeight="true" outlineLevel="0" collapsed="false">
      <c r="A489" s="11" t="str">
        <f aca="false">TRIM('수출입 실적(품목별)'!A493)</f>
        <v>2024.06</v>
      </c>
      <c r="B489" s="17" t="n">
        <f aca="false">IFERROR(VALUE(LEFT($A489,4)),"")</f>
        <v>2024</v>
      </c>
      <c r="C489" s="17" t="n">
        <f aca="false">IFERROR(VALUE(RIGHT($A489,2)),"")</f>
        <v>6</v>
      </c>
      <c r="D489" s="17" t="n">
        <f aca="false">IFERROR(ROUNDUP($C489/3,0),"")</f>
        <v>2</v>
      </c>
      <c r="E489" s="11" t="str">
        <f aca="false">TRIM('수출입 실적(품목별)'!B493)</f>
        <v>04</v>
      </c>
      <c r="F489" s="11" t="str">
        <f aca="false">TRIM('수출입 실적(품목별)'!C493)</f>
        <v>낙농품, 새의 알, 천연꿀, 다른 류로 분류되지 않은 식용인 동물성 생산품</v>
      </c>
      <c r="G489" s="18" t="n">
        <f aca="false">IFERROR(VALUE(SUBSTITUTE(TRIM('수출입 실적(품목별)'!D493),",","")),"")</f>
        <v>2638.5</v>
      </c>
      <c r="H489" s="19" t="n">
        <f aca="false">IFERROR(VALUE(SUBSTITUTE(TRIM('수출입 실적(품목별)'!E493),",","")),"")</f>
        <v>6961</v>
      </c>
      <c r="I489" s="18" t="n">
        <f aca="false">IFERROR(VALUE(SUBSTITUTE(TRIM('수출입 실적(품목별)'!F493),",","")),"")</f>
        <v>29164.5</v>
      </c>
      <c r="J489" s="19" t="n">
        <f aca="false">IFERROR(VALUE(SUBSTITUTE(TRIM('수출입 실적(품목별)'!G493),",","")),"")</f>
        <v>106915</v>
      </c>
      <c r="K489" s="19" t="n">
        <f aca="false">IFERROR(VALUE(SUBSTITUTE(TRIM('수출입 실적(품목별)'!H493),",","")),"")</f>
        <v>-99955</v>
      </c>
    </row>
    <row r="490" customFormat="false" ht="15" hidden="false" customHeight="true" outlineLevel="0" collapsed="false">
      <c r="A490" s="11" t="str">
        <f aca="false">TRIM('수출입 실적(품목별)'!A494)</f>
        <v>2024.06</v>
      </c>
      <c r="B490" s="17" t="n">
        <f aca="false">IFERROR(VALUE(LEFT($A490,4)),"")</f>
        <v>2024</v>
      </c>
      <c r="C490" s="17" t="n">
        <f aca="false">IFERROR(VALUE(RIGHT($A490,2)),"")</f>
        <v>6</v>
      </c>
      <c r="D490" s="17" t="n">
        <f aca="false">IFERROR(ROUNDUP($C490/3,0),"")</f>
        <v>2</v>
      </c>
      <c r="E490" s="11" t="str">
        <f aca="false">TRIM('수출입 실적(품목별)'!B494)</f>
        <v>05</v>
      </c>
      <c r="F490" s="11" t="str">
        <f aca="false">TRIM('수출입 실적(품목별)'!C494)</f>
        <v>다른 류로 분류되지 않은 동물성 생산품</v>
      </c>
      <c r="G490" s="18" t="n">
        <f aca="false">IFERROR(VALUE(SUBSTITUTE(TRIM('수출입 실적(품목별)'!D494),",","")),"")</f>
        <v>1464</v>
      </c>
      <c r="H490" s="19" t="n">
        <f aca="false">IFERROR(VALUE(SUBSTITUTE(TRIM('수출입 실적(품목별)'!E494),",","")),"")</f>
        <v>7008</v>
      </c>
      <c r="I490" s="18" t="n">
        <f aca="false">IFERROR(VALUE(SUBSTITUTE(TRIM('수출입 실적(품목별)'!F494),",","")),"")</f>
        <v>4061.6</v>
      </c>
      <c r="J490" s="19" t="n">
        <f aca="false">IFERROR(VALUE(SUBSTITUTE(TRIM('수출입 실적(품목별)'!G494),",","")),"")</f>
        <v>24953</v>
      </c>
      <c r="K490" s="19" t="n">
        <f aca="false">IFERROR(VALUE(SUBSTITUTE(TRIM('수출입 실적(품목별)'!H494),",","")),"")</f>
        <v>-17945</v>
      </c>
    </row>
    <row r="491" customFormat="false" ht="15" hidden="false" customHeight="true" outlineLevel="0" collapsed="false">
      <c r="A491" s="11" t="str">
        <f aca="false">TRIM('수출입 실적(품목별)'!A495)</f>
        <v>2024.06</v>
      </c>
      <c r="B491" s="17" t="n">
        <f aca="false">IFERROR(VALUE(LEFT($A491,4)),"")</f>
        <v>2024</v>
      </c>
      <c r="C491" s="17" t="n">
        <f aca="false">IFERROR(VALUE(RIGHT($A491,2)),"")</f>
        <v>6</v>
      </c>
      <c r="D491" s="17" t="n">
        <f aca="false">IFERROR(ROUNDUP($C491/3,0),"")</f>
        <v>2</v>
      </c>
      <c r="E491" s="11" t="str">
        <f aca="false">TRIM('수출입 실적(품목별)'!B495)</f>
        <v>06</v>
      </c>
      <c r="F491" s="11" t="str">
        <f aca="false">TRIM('수출입 실적(품목별)'!C495)</f>
        <v>살아 있는 수목과 그 밖의 식물, 인경(鱗莖)ㆍ뿌리와 이와 유사한 물품, 절화(切花)와 장식용 잎</v>
      </c>
      <c r="G491" s="18" t="n">
        <f aca="false">IFERROR(VALUE(SUBSTITUTE(TRIM('수출입 실적(품목별)'!D495),",","")),"")</f>
        <v>53.8</v>
      </c>
      <c r="H491" s="19" t="n">
        <f aca="false">IFERROR(VALUE(SUBSTITUTE(TRIM('수출입 실적(품목별)'!E495),",","")),"")</f>
        <v>651</v>
      </c>
      <c r="I491" s="18" t="n">
        <f aca="false">IFERROR(VALUE(SUBSTITUTE(TRIM('수출입 실적(품목별)'!F495),",","")),"")</f>
        <v>5854.8</v>
      </c>
      <c r="J491" s="19" t="n">
        <f aca="false">IFERROR(VALUE(SUBSTITUTE(TRIM('수출입 실적(품목별)'!G495),",","")),"")</f>
        <v>9310</v>
      </c>
      <c r="K491" s="19" t="n">
        <f aca="false">IFERROR(VALUE(SUBSTITUTE(TRIM('수출입 실적(품목별)'!H495),",","")),"")</f>
        <v>-8659</v>
      </c>
    </row>
    <row r="492" customFormat="false" ht="15" hidden="false" customHeight="true" outlineLevel="0" collapsed="false">
      <c r="A492" s="11" t="str">
        <f aca="false">TRIM('수출입 실적(품목별)'!A496)</f>
        <v>2024.06</v>
      </c>
      <c r="B492" s="17" t="n">
        <f aca="false">IFERROR(VALUE(LEFT($A492,4)),"")</f>
        <v>2024</v>
      </c>
      <c r="C492" s="17" t="n">
        <f aca="false">IFERROR(VALUE(RIGHT($A492,2)),"")</f>
        <v>6</v>
      </c>
      <c r="D492" s="17" t="n">
        <f aca="false">IFERROR(ROUNDUP($C492/3,0),"")</f>
        <v>2</v>
      </c>
      <c r="E492" s="11" t="str">
        <f aca="false">TRIM('수출입 실적(품목별)'!B496)</f>
        <v>07</v>
      </c>
      <c r="F492" s="11" t="str">
        <f aca="false">TRIM('수출입 실적(품목별)'!C496)</f>
        <v>식용의 채소ㆍ뿌리ㆍ괴경(塊莖)</v>
      </c>
      <c r="G492" s="18" t="n">
        <f aca="false">IFERROR(VALUE(SUBSTITUTE(TRIM('수출입 실적(품목별)'!D496),",","")),"")</f>
        <v>5361.9</v>
      </c>
      <c r="H492" s="19" t="n">
        <f aca="false">IFERROR(VALUE(SUBSTITUTE(TRIM('수출입 실적(품목별)'!E496),",","")),"")</f>
        <v>10136</v>
      </c>
      <c r="I492" s="18" t="n">
        <f aca="false">IFERROR(VALUE(SUBSTITUTE(TRIM('수출입 실적(품목별)'!F496),",","")),"")</f>
        <v>95605.3</v>
      </c>
      <c r="J492" s="19" t="n">
        <f aca="false">IFERROR(VALUE(SUBSTITUTE(TRIM('수출입 실적(품목별)'!G496),",","")),"")</f>
        <v>69536</v>
      </c>
      <c r="K492" s="19" t="n">
        <f aca="false">IFERROR(VALUE(SUBSTITUTE(TRIM('수출입 실적(품목별)'!H496),",","")),"")</f>
        <v>-59400</v>
      </c>
    </row>
    <row r="493" customFormat="false" ht="15" hidden="false" customHeight="true" outlineLevel="0" collapsed="false">
      <c r="A493" s="11" t="str">
        <f aca="false">TRIM('수출입 실적(품목별)'!A497)</f>
        <v>2024.06</v>
      </c>
      <c r="B493" s="17" t="n">
        <f aca="false">IFERROR(VALUE(LEFT($A493,4)),"")</f>
        <v>2024</v>
      </c>
      <c r="C493" s="17" t="n">
        <f aca="false">IFERROR(VALUE(RIGHT($A493,2)),"")</f>
        <v>6</v>
      </c>
      <c r="D493" s="17" t="n">
        <f aca="false">IFERROR(ROUNDUP($C493/3,0),"")</f>
        <v>2</v>
      </c>
      <c r="E493" s="11" t="str">
        <f aca="false">TRIM('수출입 실적(품목별)'!B497)</f>
        <v>08</v>
      </c>
      <c r="F493" s="11" t="str">
        <f aca="false">TRIM('수출입 실적(품목별)'!C497)</f>
        <v>식용의 과실과 견과류, 감귤류ㆍ멜론의 껍질</v>
      </c>
      <c r="G493" s="18" t="n">
        <f aca="false">IFERROR(VALUE(SUBSTITUTE(TRIM('수출입 실적(품목별)'!D497),",","")),"")</f>
        <v>321.5</v>
      </c>
      <c r="H493" s="19" t="n">
        <f aca="false">IFERROR(VALUE(SUBSTITUTE(TRIM('수출입 실적(품목별)'!E497),",","")),"")</f>
        <v>1876</v>
      </c>
      <c r="I493" s="18" t="n">
        <f aca="false">IFERROR(VALUE(SUBSTITUTE(TRIM('수출입 실적(품목별)'!F497),",","")),"")</f>
        <v>80257.6</v>
      </c>
      <c r="J493" s="19" t="n">
        <f aca="false">IFERROR(VALUE(SUBSTITUTE(TRIM('수출입 실적(품목별)'!G497),",","")),"")</f>
        <v>194215</v>
      </c>
      <c r="K493" s="19" t="n">
        <f aca="false">IFERROR(VALUE(SUBSTITUTE(TRIM('수출입 실적(품목별)'!H497),",","")),"")</f>
        <v>-192338</v>
      </c>
    </row>
    <row r="494" customFormat="false" ht="15" hidden="false" customHeight="true" outlineLevel="0" collapsed="false">
      <c r="A494" s="11" t="str">
        <f aca="false">TRIM('수출입 실적(품목별)'!A498)</f>
        <v>2024.06</v>
      </c>
      <c r="B494" s="17" t="n">
        <f aca="false">IFERROR(VALUE(LEFT($A494,4)),"")</f>
        <v>2024</v>
      </c>
      <c r="C494" s="17" t="n">
        <f aca="false">IFERROR(VALUE(RIGHT($A494,2)),"")</f>
        <v>6</v>
      </c>
      <c r="D494" s="17" t="n">
        <f aca="false">IFERROR(ROUNDUP($C494/3,0),"")</f>
        <v>2</v>
      </c>
      <c r="E494" s="11" t="str">
        <f aca="false">TRIM('수출입 실적(품목별)'!B498)</f>
        <v>09</v>
      </c>
      <c r="F494" s="11" t="str">
        <f aca="false">TRIM('수출입 실적(품목별)'!C498)</f>
        <v>커피ㆍ차ㆍ마테(maté)ㆍ향신료</v>
      </c>
      <c r="G494" s="18" t="n">
        <f aca="false">IFERROR(VALUE(SUBSTITUTE(TRIM('수출입 실적(품목별)'!D498),",","")),"")</f>
        <v>383.8</v>
      </c>
      <c r="H494" s="19" t="n">
        <f aca="false">IFERROR(VALUE(SUBSTITUTE(TRIM('수출입 실적(품목별)'!E498),",","")),"")</f>
        <v>3364</v>
      </c>
      <c r="I494" s="18" t="n">
        <f aca="false">IFERROR(VALUE(SUBSTITUTE(TRIM('수출입 실적(품목별)'!F498),",","")),"")</f>
        <v>19010.6</v>
      </c>
      <c r="J494" s="19" t="n">
        <f aca="false">IFERROR(VALUE(SUBSTITUTE(TRIM('수출입 실적(품목별)'!G498),",","")),"")</f>
        <v>109996</v>
      </c>
      <c r="K494" s="19" t="n">
        <f aca="false">IFERROR(VALUE(SUBSTITUTE(TRIM('수출입 실적(품목별)'!H498),",","")),"")</f>
        <v>-106633</v>
      </c>
    </row>
    <row r="495" customFormat="false" ht="15" hidden="false" customHeight="true" outlineLevel="0" collapsed="false">
      <c r="A495" s="11" t="str">
        <f aca="false">TRIM('수출입 실적(품목별)'!A499)</f>
        <v>2024.06</v>
      </c>
      <c r="B495" s="17" t="n">
        <f aca="false">IFERROR(VALUE(LEFT($A495,4)),"")</f>
        <v>2024</v>
      </c>
      <c r="C495" s="17" t="n">
        <f aca="false">IFERROR(VALUE(RIGHT($A495,2)),"")</f>
        <v>6</v>
      </c>
      <c r="D495" s="17" t="n">
        <f aca="false">IFERROR(ROUNDUP($C495/3,0),"")</f>
        <v>2</v>
      </c>
      <c r="E495" s="11" t="str">
        <f aca="false">TRIM('수출입 실적(품목별)'!B499)</f>
        <v>10</v>
      </c>
      <c r="F495" s="11" t="str">
        <f aca="false">TRIM('수출입 실적(품목별)'!C499)</f>
        <v>곡물</v>
      </c>
      <c r="G495" s="18" t="n">
        <f aca="false">IFERROR(VALUE(SUBSTITUTE(TRIM('수출입 실적(품목별)'!D499),",","")),"")</f>
        <v>319.9</v>
      </c>
      <c r="H495" s="19" t="n">
        <f aca="false">IFERROR(VALUE(SUBSTITUTE(TRIM('수출입 실적(품목별)'!E499),",","")),"")</f>
        <v>678</v>
      </c>
      <c r="I495" s="18" t="n">
        <f aca="false">IFERROR(VALUE(SUBSTITUTE(TRIM('수출입 실적(품목별)'!F499),",","")),"")</f>
        <v>1269428</v>
      </c>
      <c r="J495" s="19" t="n">
        <f aca="false">IFERROR(VALUE(SUBSTITUTE(TRIM('수출입 실적(품목별)'!G499),",","")),"")</f>
        <v>370702</v>
      </c>
      <c r="K495" s="19" t="n">
        <f aca="false">IFERROR(VALUE(SUBSTITUTE(TRIM('수출입 실적(품목별)'!H499),",","")),"")</f>
        <v>-370024</v>
      </c>
    </row>
    <row r="496" customFormat="false" ht="15" hidden="false" customHeight="true" outlineLevel="0" collapsed="false">
      <c r="A496" s="11" t="str">
        <f aca="false">TRIM('수출입 실적(품목별)'!A500)</f>
        <v>2024.06</v>
      </c>
      <c r="B496" s="17" t="n">
        <f aca="false">IFERROR(VALUE(LEFT($A496,4)),"")</f>
        <v>2024</v>
      </c>
      <c r="C496" s="17" t="n">
        <f aca="false">IFERROR(VALUE(RIGHT($A496,2)),"")</f>
        <v>6</v>
      </c>
      <c r="D496" s="17" t="n">
        <f aca="false">IFERROR(ROUNDUP($C496/3,0),"")</f>
        <v>2</v>
      </c>
      <c r="E496" s="11" t="str">
        <f aca="false">TRIM('수출입 실적(품목별)'!B500)</f>
        <v>11</v>
      </c>
      <c r="F496" s="11" t="str">
        <f aca="false">TRIM('수출입 실적(품목별)'!C500)</f>
        <v>제분공업의 생산품과 맥아, 전분, 이눌린(inulin), 밀의 글루텐(gluten)</v>
      </c>
      <c r="G496" s="18" t="n">
        <f aca="false">IFERROR(VALUE(SUBSTITUTE(TRIM('수출입 실적(품목별)'!D500),",","")),"")</f>
        <v>5071.4</v>
      </c>
      <c r="H496" s="19" t="n">
        <f aca="false">IFERROR(VALUE(SUBSTITUTE(TRIM('수출입 실적(품목별)'!E500),",","")),"")</f>
        <v>3892</v>
      </c>
      <c r="I496" s="18" t="n">
        <f aca="false">IFERROR(VALUE(SUBSTITUTE(TRIM('수출입 실적(품목별)'!F500),",","")),"")</f>
        <v>34177.2</v>
      </c>
      <c r="J496" s="19" t="n">
        <f aca="false">IFERROR(VALUE(SUBSTITUTE(TRIM('수출입 실적(품목별)'!G500),",","")),"")</f>
        <v>30947</v>
      </c>
      <c r="K496" s="19" t="n">
        <f aca="false">IFERROR(VALUE(SUBSTITUTE(TRIM('수출입 실적(품목별)'!H500),",","")),"")</f>
        <v>-27055</v>
      </c>
    </row>
    <row r="497" customFormat="false" ht="15" hidden="false" customHeight="true" outlineLevel="0" collapsed="false">
      <c r="A497" s="11" t="str">
        <f aca="false">TRIM('수출입 실적(품목별)'!A501)</f>
        <v>2024.06</v>
      </c>
      <c r="B497" s="17" t="n">
        <f aca="false">IFERROR(VALUE(LEFT($A497,4)),"")</f>
        <v>2024</v>
      </c>
      <c r="C497" s="17" t="n">
        <f aca="false">IFERROR(VALUE(RIGHT($A497,2)),"")</f>
        <v>6</v>
      </c>
      <c r="D497" s="17" t="n">
        <f aca="false">IFERROR(ROUNDUP($C497/3,0),"")</f>
        <v>2</v>
      </c>
      <c r="E497" s="11" t="str">
        <f aca="false">TRIM('수출입 실적(품목별)'!B501)</f>
        <v>12</v>
      </c>
      <c r="F497" s="11" t="str">
        <f aca="false">TRIM('수출입 실적(품목별)'!C501)</f>
        <v>채유(採油)에 적합한 종자와 과실, 각종 종자와 과실, 공업용ㆍ의약용 식물, 짚과 사료용 식물</v>
      </c>
      <c r="G497" s="18" t="n">
        <f aca="false">IFERROR(VALUE(SUBSTITUTE(TRIM('수출입 실적(품목별)'!D501),",","")),"")</f>
        <v>2472.1</v>
      </c>
      <c r="H497" s="19" t="n">
        <f aca="false">IFERROR(VALUE(SUBSTITUTE(TRIM('수출입 실적(품목별)'!E501),",","")),"")</f>
        <v>76729</v>
      </c>
      <c r="I497" s="18" t="n">
        <f aca="false">IFERROR(VALUE(SUBSTITUTE(TRIM('수출입 실적(품목별)'!F501),",","")),"")</f>
        <v>239636</v>
      </c>
      <c r="J497" s="19" t="n">
        <f aca="false">IFERROR(VALUE(SUBSTITUTE(TRIM('수출입 실적(품목별)'!G501),",","")),"")</f>
        <v>158981</v>
      </c>
      <c r="K497" s="19" t="n">
        <f aca="false">IFERROR(VALUE(SUBSTITUTE(TRIM('수출입 실적(품목별)'!H501),",","")),"")</f>
        <v>-82252</v>
      </c>
    </row>
    <row r="498" customFormat="false" ht="15" hidden="false" customHeight="true" outlineLevel="0" collapsed="false">
      <c r="A498" s="11" t="str">
        <f aca="false">TRIM('수출입 실적(품목별)'!A502)</f>
        <v>2024.06</v>
      </c>
      <c r="B498" s="17" t="n">
        <f aca="false">IFERROR(VALUE(LEFT($A498,4)),"")</f>
        <v>2024</v>
      </c>
      <c r="C498" s="17" t="n">
        <f aca="false">IFERROR(VALUE(RIGHT($A498,2)),"")</f>
        <v>6</v>
      </c>
      <c r="D498" s="17" t="n">
        <f aca="false">IFERROR(ROUNDUP($C498/3,0),"")</f>
        <v>2</v>
      </c>
      <c r="E498" s="11" t="str">
        <f aca="false">TRIM('수출입 실적(품목별)'!B502)</f>
        <v>13</v>
      </c>
      <c r="F498" s="11" t="str">
        <f aca="false">TRIM('수출입 실적(품목별)'!C502)</f>
        <v>락(lac), 검ㆍ수지ㆍ그 밖의 식물성 수액과 추출물(extract)</v>
      </c>
      <c r="G498" s="18" t="n">
        <f aca="false">IFERROR(VALUE(SUBSTITUTE(TRIM('수출입 실적(품목별)'!D502),",","")),"")</f>
        <v>295.3</v>
      </c>
      <c r="H498" s="19" t="n">
        <f aca="false">IFERROR(VALUE(SUBSTITUTE(TRIM('수출입 실적(품목별)'!E502),",","")),"")</f>
        <v>7385</v>
      </c>
      <c r="I498" s="18" t="n">
        <f aca="false">IFERROR(VALUE(SUBSTITUTE(TRIM('수출입 실적(품목별)'!F502),",","")),"")</f>
        <v>5262.3</v>
      </c>
      <c r="J498" s="19" t="n">
        <f aca="false">IFERROR(VALUE(SUBSTITUTE(TRIM('수출입 실적(품목별)'!G502),",","")),"")</f>
        <v>22385</v>
      </c>
      <c r="K498" s="19" t="n">
        <f aca="false">IFERROR(VALUE(SUBSTITUTE(TRIM('수출입 실적(품목별)'!H502),",","")),"")</f>
        <v>-15001</v>
      </c>
    </row>
    <row r="499" customFormat="false" ht="15" hidden="false" customHeight="true" outlineLevel="0" collapsed="false">
      <c r="A499" s="11" t="str">
        <f aca="false">TRIM('수출입 실적(품목별)'!A503)</f>
        <v>2024.06</v>
      </c>
      <c r="B499" s="17" t="n">
        <f aca="false">IFERROR(VALUE(LEFT($A499,4)),"")</f>
        <v>2024</v>
      </c>
      <c r="C499" s="17" t="n">
        <f aca="false">IFERROR(VALUE(RIGHT($A499,2)),"")</f>
        <v>6</v>
      </c>
      <c r="D499" s="17" t="n">
        <f aca="false">IFERROR(ROUNDUP($C499/3,0),"")</f>
        <v>2</v>
      </c>
      <c r="E499" s="11" t="str">
        <f aca="false">TRIM('수출입 실적(품목별)'!B503)</f>
        <v>14</v>
      </c>
      <c r="F499" s="11" t="str">
        <f aca="false">TRIM('수출입 실적(품목별)'!C503)</f>
        <v>식물성 편조물(編組物)용 재료와 다른 류로 분류되지 않은 식물성 생산품</v>
      </c>
      <c r="G499" s="18" t="n">
        <f aca="false">IFERROR(VALUE(SUBSTITUTE(TRIM('수출입 실적(품목별)'!D503),",","")),"")</f>
        <v>16</v>
      </c>
      <c r="H499" s="19" t="n">
        <f aca="false">IFERROR(VALUE(SUBSTITUTE(TRIM('수출입 실적(품목별)'!E503),",","")),"")</f>
        <v>35</v>
      </c>
      <c r="I499" s="18" t="n">
        <f aca="false">IFERROR(VALUE(SUBSTITUTE(TRIM('수출입 실적(품목별)'!F503),",","")),"")</f>
        <v>24851.1</v>
      </c>
      <c r="J499" s="19" t="n">
        <f aca="false">IFERROR(VALUE(SUBSTITUTE(TRIM('수출입 실적(품목별)'!G503),",","")),"")</f>
        <v>4877</v>
      </c>
      <c r="K499" s="19" t="n">
        <f aca="false">IFERROR(VALUE(SUBSTITUTE(TRIM('수출입 실적(품목별)'!H503),",","")),"")</f>
        <v>-4842</v>
      </c>
    </row>
    <row r="500" customFormat="false" ht="15" hidden="false" customHeight="true" outlineLevel="0" collapsed="false">
      <c r="A500" s="11" t="str">
        <f aca="false">TRIM('수출입 실적(품목별)'!A504)</f>
        <v>2024.06</v>
      </c>
      <c r="B500" s="17" t="n">
        <f aca="false">IFERROR(VALUE(LEFT($A500,4)),"")</f>
        <v>2024</v>
      </c>
      <c r="C500" s="17" t="n">
        <f aca="false">IFERROR(VALUE(RIGHT($A500,2)),"")</f>
        <v>6</v>
      </c>
      <c r="D500" s="17" t="n">
        <f aca="false">IFERROR(ROUNDUP($C500/3,0),"")</f>
        <v>2</v>
      </c>
      <c r="E500" s="11" t="str">
        <f aca="false">TRIM('수출입 실적(품목별)'!B504)</f>
        <v>15</v>
      </c>
      <c r="F500" s="11" t="str">
        <f aca="false">TRIM('수출입 실적(품목별)'!C504)</f>
        <v>동물성ㆍ식물성ㆍ미생물성 지방과 기름 및이들의 분해생산물, 조제한 식용 지방과 동물성ㆍ식물성 왁스</v>
      </c>
      <c r="G500" s="18" t="n">
        <f aca="false">IFERROR(VALUE(SUBSTITUTE(TRIM('수출입 실적(품목별)'!D504),",","")),"")</f>
        <v>19386.8</v>
      </c>
      <c r="H500" s="19" t="n">
        <f aca="false">IFERROR(VALUE(SUBSTITUTE(TRIM('수출입 실적(품목별)'!E504),",","")),"")</f>
        <v>21574</v>
      </c>
      <c r="I500" s="18" t="n">
        <f aca="false">IFERROR(VALUE(SUBSTITUTE(TRIM('수출입 실적(품목별)'!F504),",","")),"")</f>
        <v>128627.2</v>
      </c>
      <c r="J500" s="19" t="n">
        <f aca="false">IFERROR(VALUE(SUBSTITUTE(TRIM('수출입 실적(품목별)'!G504),",","")),"")</f>
        <v>163578</v>
      </c>
      <c r="K500" s="19" t="n">
        <f aca="false">IFERROR(VALUE(SUBSTITUTE(TRIM('수출입 실적(품목별)'!H504),",","")),"")</f>
        <v>-142004</v>
      </c>
    </row>
    <row r="501" customFormat="false" ht="15" hidden="false" customHeight="true" outlineLevel="0" collapsed="false">
      <c r="A501" s="11" t="str">
        <f aca="false">TRIM('수출입 실적(품목별)'!A505)</f>
        <v>2024.06</v>
      </c>
      <c r="B501" s="17" t="n">
        <f aca="false">IFERROR(VALUE(LEFT($A501,4)),"")</f>
        <v>2024</v>
      </c>
      <c r="C501" s="17" t="n">
        <f aca="false">IFERROR(VALUE(RIGHT($A501,2)),"")</f>
        <v>6</v>
      </c>
      <c r="D501" s="17" t="n">
        <f aca="false">IFERROR(ROUNDUP($C501/3,0),"")</f>
        <v>2</v>
      </c>
      <c r="E501" s="11" t="str">
        <f aca="false">TRIM('수출입 실적(품목별)'!B505)</f>
        <v>16</v>
      </c>
      <c r="F501" s="11" t="str">
        <f aca="false">TRIM('수출입 실적(품목별)'!C505)</f>
        <v>육류ㆍ어류ㆍ갑각류ㆍ연체동물이나 그 밖의 수생(水生) 무척추동물 또는 곤충의 조제품</v>
      </c>
      <c r="G501" s="18" t="n">
        <f aca="false">IFERROR(VALUE(SUBSTITUTE(TRIM('수출입 실적(품목별)'!D505),",","")),"")</f>
        <v>3964.3</v>
      </c>
      <c r="H501" s="19" t="n">
        <f aca="false">IFERROR(VALUE(SUBSTITUTE(TRIM('수출입 실적(품목별)'!E505),",","")),"")</f>
        <v>27850</v>
      </c>
      <c r="I501" s="18" t="n">
        <f aca="false">IFERROR(VALUE(SUBSTITUTE(TRIM('수출입 실적(품목별)'!F505),",","")),"")</f>
        <v>15087.3</v>
      </c>
      <c r="J501" s="19" t="n">
        <f aca="false">IFERROR(VALUE(SUBSTITUTE(TRIM('수출입 실적(품목별)'!G505),",","")),"")</f>
        <v>85232</v>
      </c>
      <c r="K501" s="19" t="n">
        <f aca="false">IFERROR(VALUE(SUBSTITUTE(TRIM('수출입 실적(품목별)'!H505),",","")),"")</f>
        <v>-57382</v>
      </c>
    </row>
    <row r="502" customFormat="false" ht="15" hidden="false" customHeight="true" outlineLevel="0" collapsed="false">
      <c r="A502" s="11" t="str">
        <f aca="false">TRIM('수출입 실적(품목별)'!A506)</f>
        <v>2024.06</v>
      </c>
      <c r="B502" s="17" t="n">
        <f aca="false">IFERROR(VALUE(LEFT($A502,4)),"")</f>
        <v>2024</v>
      </c>
      <c r="C502" s="17" t="n">
        <f aca="false">IFERROR(VALUE(RIGHT($A502,2)),"")</f>
        <v>6</v>
      </c>
      <c r="D502" s="17" t="n">
        <f aca="false">IFERROR(ROUNDUP($C502/3,0),"")</f>
        <v>2</v>
      </c>
      <c r="E502" s="11" t="str">
        <f aca="false">TRIM('수출입 실적(품목별)'!B506)</f>
        <v>17</v>
      </c>
      <c r="F502" s="11" t="str">
        <f aca="false">TRIM('수출입 실적(품목별)'!C506)</f>
        <v>당류(糖類)와 설탕과자</v>
      </c>
      <c r="G502" s="18" t="n">
        <f aca="false">IFERROR(VALUE(SUBSTITUTE(TRIM('수출입 실적(품목별)'!D506),",","")),"")</f>
        <v>29969.1</v>
      </c>
      <c r="H502" s="19" t="n">
        <f aca="false">IFERROR(VALUE(SUBSTITUTE(TRIM('수출입 실적(품목별)'!E506),",","")),"")</f>
        <v>27142</v>
      </c>
      <c r="I502" s="18" t="n">
        <f aca="false">IFERROR(VALUE(SUBSTITUTE(TRIM('수출입 실적(품목별)'!F506),",","")),"")</f>
        <v>212587.5</v>
      </c>
      <c r="J502" s="19" t="n">
        <f aca="false">IFERROR(VALUE(SUBSTITUTE(TRIM('수출입 실적(품목별)'!G506),",","")),"")</f>
        <v>139664</v>
      </c>
      <c r="K502" s="19" t="n">
        <f aca="false">IFERROR(VALUE(SUBSTITUTE(TRIM('수출입 실적(품목별)'!H506),",","")),"")</f>
        <v>-112522</v>
      </c>
    </row>
    <row r="503" customFormat="false" ht="15" hidden="false" customHeight="true" outlineLevel="0" collapsed="false">
      <c r="A503" s="11" t="str">
        <f aca="false">TRIM('수출입 실적(품목별)'!A507)</f>
        <v>2024.06</v>
      </c>
      <c r="B503" s="17" t="n">
        <f aca="false">IFERROR(VALUE(LEFT($A503,4)),"")</f>
        <v>2024</v>
      </c>
      <c r="C503" s="17" t="n">
        <f aca="false">IFERROR(VALUE(RIGHT($A503,2)),"")</f>
        <v>6</v>
      </c>
      <c r="D503" s="17" t="n">
        <f aca="false">IFERROR(ROUNDUP($C503/3,0),"")</f>
        <v>2</v>
      </c>
      <c r="E503" s="11" t="str">
        <f aca="false">TRIM('수출입 실적(품목별)'!B507)</f>
        <v>18</v>
      </c>
      <c r="F503" s="11" t="str">
        <f aca="false">TRIM('수출입 실적(품목별)'!C507)</f>
        <v>코코아와 그 조제품</v>
      </c>
      <c r="G503" s="18" t="n">
        <f aca="false">IFERROR(VALUE(SUBSTITUTE(TRIM('수출입 실적(품목별)'!D507),",","")),"")</f>
        <v>2088.4</v>
      </c>
      <c r="H503" s="19" t="n">
        <f aca="false">IFERROR(VALUE(SUBSTITUTE(TRIM('수출입 실적(품목별)'!E507),",","")),"")</f>
        <v>5247</v>
      </c>
      <c r="I503" s="18" t="n">
        <f aca="false">IFERROR(VALUE(SUBSTITUTE(TRIM('수출입 실적(품목별)'!F507),",","")),"")</f>
        <v>6181.8</v>
      </c>
      <c r="J503" s="19" t="n">
        <f aca="false">IFERROR(VALUE(SUBSTITUTE(TRIM('수출입 실적(품목별)'!G507),",","")),"")</f>
        <v>39761</v>
      </c>
      <c r="K503" s="19" t="n">
        <f aca="false">IFERROR(VALUE(SUBSTITUTE(TRIM('수출입 실적(품목별)'!H507),",","")),"")</f>
        <v>-34514</v>
      </c>
    </row>
    <row r="504" customFormat="false" ht="15" hidden="false" customHeight="true" outlineLevel="0" collapsed="false">
      <c r="A504" s="11" t="str">
        <f aca="false">TRIM('수출입 실적(품목별)'!A508)</f>
        <v>2024.06</v>
      </c>
      <c r="B504" s="17" t="n">
        <f aca="false">IFERROR(VALUE(LEFT($A504,4)),"")</f>
        <v>2024</v>
      </c>
      <c r="C504" s="17" t="n">
        <f aca="false">IFERROR(VALUE(RIGHT($A504,2)),"")</f>
        <v>6</v>
      </c>
      <c r="D504" s="17" t="n">
        <f aca="false">IFERROR(ROUNDUP($C504/3,0),"")</f>
        <v>2</v>
      </c>
      <c r="E504" s="11" t="str">
        <f aca="false">TRIM('수출입 실적(품목별)'!B508)</f>
        <v>19</v>
      </c>
      <c r="F504" s="11" t="str">
        <f aca="false">TRIM('수출입 실적(품목별)'!C508)</f>
        <v>곡물ㆍ고운 가루ㆍ전분ㆍ밀크의 조제품과 베이커리 제품</v>
      </c>
      <c r="G504" s="18" t="n">
        <f aca="false">IFERROR(VALUE(SUBSTITUTE(TRIM('수출입 실적(품목별)'!D508),",","")),"")</f>
        <v>48535.1</v>
      </c>
      <c r="H504" s="19" t="n">
        <f aca="false">IFERROR(VALUE(SUBSTITUTE(TRIM('수출입 실적(품목별)'!E508),",","")),"")</f>
        <v>198857</v>
      </c>
      <c r="I504" s="18" t="n">
        <f aca="false">IFERROR(VALUE(SUBSTITUTE(TRIM('수출입 실적(품목별)'!F508),",","")),"")</f>
        <v>27665</v>
      </c>
      <c r="J504" s="19" t="n">
        <f aca="false">IFERROR(VALUE(SUBSTITUTE(TRIM('수출입 실적(품목별)'!G508),",","")),"")</f>
        <v>91557</v>
      </c>
      <c r="K504" s="19" t="n">
        <f aca="false">IFERROR(VALUE(SUBSTITUTE(TRIM('수출입 실적(품목별)'!H508),",","")),"")</f>
        <v>107300</v>
      </c>
    </row>
    <row r="505" customFormat="false" ht="15" hidden="false" customHeight="true" outlineLevel="0" collapsed="false">
      <c r="A505" s="11" t="str">
        <f aca="false">TRIM('수출입 실적(품목별)'!A509)</f>
        <v>2024.06</v>
      </c>
      <c r="B505" s="17" t="n">
        <f aca="false">IFERROR(VALUE(LEFT($A505,4)),"")</f>
        <v>2024</v>
      </c>
      <c r="C505" s="17" t="n">
        <f aca="false">IFERROR(VALUE(RIGHT($A505,2)),"")</f>
        <v>6</v>
      </c>
      <c r="D505" s="17" t="n">
        <f aca="false">IFERROR(ROUNDUP($C505/3,0),"")</f>
        <v>2</v>
      </c>
      <c r="E505" s="11" t="str">
        <f aca="false">TRIM('수출입 실적(품목별)'!B509)</f>
        <v>20</v>
      </c>
      <c r="F505" s="11" t="str">
        <f aca="false">TRIM('수출입 실적(품목별)'!C509)</f>
        <v>채소ㆍ과실ㆍ견과류나 식물의그 밖의 부분의 조제품</v>
      </c>
      <c r="G505" s="18" t="n">
        <f aca="false">IFERROR(VALUE(SUBSTITUTE(TRIM('수출입 실적(품목별)'!D509),",","")),"")</f>
        <v>9202.8</v>
      </c>
      <c r="H505" s="19" t="n">
        <f aca="false">IFERROR(VALUE(SUBSTITUTE(TRIM('수출입 실적(품목별)'!E509),",","")),"")</f>
        <v>79718</v>
      </c>
      <c r="I505" s="18" t="n">
        <f aca="false">IFERROR(VALUE(SUBSTITUTE(TRIM('수출입 실적(품목별)'!F509),",","")),"")</f>
        <v>92293</v>
      </c>
      <c r="J505" s="19" t="n">
        <f aca="false">IFERROR(VALUE(SUBSTITUTE(TRIM('수출입 실적(품목별)'!G509),",","")),"")</f>
        <v>140563</v>
      </c>
      <c r="K505" s="19" t="n">
        <f aca="false">IFERROR(VALUE(SUBSTITUTE(TRIM('수출입 실적(품목별)'!H509),",","")),"")</f>
        <v>-60844</v>
      </c>
    </row>
    <row r="506" customFormat="false" ht="15" hidden="false" customHeight="true" outlineLevel="0" collapsed="false">
      <c r="A506" s="11" t="str">
        <f aca="false">TRIM('수출입 실적(품목별)'!A510)</f>
        <v>2024.06</v>
      </c>
      <c r="B506" s="17" t="n">
        <f aca="false">IFERROR(VALUE(LEFT($A506,4)),"")</f>
        <v>2024</v>
      </c>
      <c r="C506" s="17" t="n">
        <f aca="false">IFERROR(VALUE(RIGHT($A506,2)),"")</f>
        <v>6</v>
      </c>
      <c r="D506" s="17" t="n">
        <f aca="false">IFERROR(ROUNDUP($C506/3,0),"")</f>
        <v>2</v>
      </c>
      <c r="E506" s="11" t="str">
        <f aca="false">TRIM('수출입 실적(품목별)'!B510)</f>
        <v>21</v>
      </c>
      <c r="F506" s="11" t="str">
        <f aca="false">TRIM('수출입 실적(품목별)'!C510)</f>
        <v>각종 조제 식료품</v>
      </c>
      <c r="G506" s="18" t="n">
        <f aca="false">IFERROR(VALUE(SUBSTITUTE(TRIM('수출입 실적(품목별)'!D510),",","")),"")</f>
        <v>35056.9</v>
      </c>
      <c r="H506" s="19" t="n">
        <f aca="false">IFERROR(VALUE(SUBSTITUTE(TRIM('수출입 실적(품목별)'!E510),",","")),"")</f>
        <v>135582</v>
      </c>
      <c r="I506" s="18" t="n">
        <f aca="false">IFERROR(VALUE(SUBSTITUTE(TRIM('수출입 실적(품목별)'!F510),",","")),"")</f>
        <v>31620.9</v>
      </c>
      <c r="J506" s="19" t="n">
        <f aca="false">IFERROR(VALUE(SUBSTITUTE(TRIM('수출입 실적(품목별)'!G510),",","")),"")</f>
        <v>229071</v>
      </c>
      <c r="K506" s="19" t="n">
        <f aca="false">IFERROR(VALUE(SUBSTITUTE(TRIM('수출입 실적(품목별)'!H510),",","")),"")</f>
        <v>-93489</v>
      </c>
    </row>
    <row r="507" customFormat="false" ht="15" hidden="false" customHeight="true" outlineLevel="0" collapsed="false">
      <c r="A507" s="11" t="str">
        <f aca="false">TRIM('수출입 실적(품목별)'!A511)</f>
        <v>2024.06</v>
      </c>
      <c r="B507" s="17" t="n">
        <f aca="false">IFERROR(VALUE(LEFT($A507,4)),"")</f>
        <v>2024</v>
      </c>
      <c r="C507" s="17" t="n">
        <f aca="false">IFERROR(VALUE(RIGHT($A507,2)),"")</f>
        <v>6</v>
      </c>
      <c r="D507" s="17" t="n">
        <f aca="false">IFERROR(ROUNDUP($C507/3,0),"")</f>
        <v>2</v>
      </c>
      <c r="E507" s="11" t="str">
        <f aca="false">TRIM('수출입 실적(품목별)'!B511)</f>
        <v>22</v>
      </c>
      <c r="F507" s="11" t="str">
        <f aca="false">TRIM('수출입 실적(품목별)'!C511)</f>
        <v>음료ㆍ주류ㆍ식초</v>
      </c>
      <c r="G507" s="18" t="n">
        <f aca="false">IFERROR(VALUE(SUBSTITUTE(TRIM('수출입 실적(품목별)'!D511),",","")),"")</f>
        <v>82270.2</v>
      </c>
      <c r="H507" s="19" t="n">
        <f aca="false">IFERROR(VALUE(SUBSTITUTE(TRIM('수출입 실적(품목별)'!E511),",","")),"")</f>
        <v>102152</v>
      </c>
      <c r="I507" s="18" t="n">
        <f aca="false">IFERROR(VALUE(SUBSTITUTE(TRIM('수출입 실적(품목별)'!F511),",","")),"")</f>
        <v>94567.3</v>
      </c>
      <c r="J507" s="19" t="n">
        <f aca="false">IFERROR(VALUE(SUBSTITUTE(TRIM('수출입 실적(품목별)'!G511),",","")),"")</f>
        <v>131657</v>
      </c>
      <c r="K507" s="19" t="n">
        <f aca="false">IFERROR(VALUE(SUBSTITUTE(TRIM('수출입 실적(품목별)'!H511),",","")),"")</f>
        <v>-29505</v>
      </c>
    </row>
    <row r="508" customFormat="false" ht="15" hidden="false" customHeight="true" outlineLevel="0" collapsed="false">
      <c r="A508" s="11" t="str">
        <f aca="false">TRIM('수출입 실적(품목별)'!A512)</f>
        <v>2024.06</v>
      </c>
      <c r="B508" s="17" t="n">
        <f aca="false">IFERROR(VALUE(LEFT($A508,4)),"")</f>
        <v>2024</v>
      </c>
      <c r="C508" s="17" t="n">
        <f aca="false">IFERROR(VALUE(RIGHT($A508,2)),"")</f>
        <v>6</v>
      </c>
      <c r="D508" s="17" t="n">
        <f aca="false">IFERROR(ROUNDUP($C508/3,0),"")</f>
        <v>2</v>
      </c>
      <c r="E508" s="11" t="str">
        <f aca="false">TRIM('수출입 실적(품목별)'!B512)</f>
        <v>23</v>
      </c>
      <c r="F508" s="11" t="str">
        <f aca="false">TRIM('수출입 실적(품목별)'!C512)</f>
        <v>식품 공업에서 생기는 잔재물과 웨이스트(waste), 조제 사료</v>
      </c>
      <c r="G508" s="18" t="n">
        <f aca="false">IFERROR(VALUE(SUBSTITUTE(TRIM('수출입 실적(품목별)'!D512),",","")),"")</f>
        <v>31508.6</v>
      </c>
      <c r="H508" s="19" t="n">
        <f aca="false">IFERROR(VALUE(SUBSTITUTE(TRIM('수출입 실적(품목별)'!E512),",","")),"")</f>
        <v>29586</v>
      </c>
      <c r="I508" s="18" t="n">
        <f aca="false">IFERROR(VALUE(SUBSTITUTE(TRIM('수출입 실적(품목별)'!F512),",","")),"")</f>
        <v>543229.1</v>
      </c>
      <c r="J508" s="19" t="n">
        <f aca="false">IFERROR(VALUE(SUBSTITUTE(TRIM('수출입 실적(품목별)'!G512),",","")),"")</f>
        <v>203915</v>
      </c>
      <c r="K508" s="19" t="n">
        <f aca="false">IFERROR(VALUE(SUBSTITUTE(TRIM('수출입 실적(품목별)'!H512),",","")),"")</f>
        <v>-174329</v>
      </c>
    </row>
    <row r="509" customFormat="false" ht="15" hidden="false" customHeight="true" outlineLevel="0" collapsed="false">
      <c r="A509" s="11" t="str">
        <f aca="false">TRIM('수출입 실적(품목별)'!A513)</f>
        <v>2024.06</v>
      </c>
      <c r="B509" s="17" t="n">
        <f aca="false">IFERROR(VALUE(LEFT($A509,4)),"")</f>
        <v>2024</v>
      </c>
      <c r="C509" s="17" t="n">
        <f aca="false">IFERROR(VALUE(RIGHT($A509,2)),"")</f>
        <v>6</v>
      </c>
      <c r="D509" s="17" t="n">
        <f aca="false">IFERROR(ROUNDUP($C509/3,0),"")</f>
        <v>2</v>
      </c>
      <c r="E509" s="11" t="str">
        <f aca="false">TRIM('수출입 실적(품목별)'!B513)</f>
        <v>24</v>
      </c>
      <c r="F509" s="11" t="str">
        <f aca="false">TRIM('수출입 실적(품목별)'!C513)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509" s="18" t="n">
        <f aca="false">IFERROR(VALUE(SUBSTITUTE(TRIM('수출입 실적(품목별)'!D513),",","")),"")</f>
        <v>10868.3</v>
      </c>
      <c r="H509" s="19" t="n">
        <f aca="false">IFERROR(VALUE(SUBSTITUTE(TRIM('수출입 실적(품목별)'!E513),",","")),"")</f>
        <v>107586</v>
      </c>
      <c r="I509" s="18" t="n">
        <f aca="false">IFERROR(VALUE(SUBSTITUTE(TRIM('수출입 실적(품목별)'!F513),",","")),"")</f>
        <v>3832.6</v>
      </c>
      <c r="J509" s="19" t="n">
        <f aca="false">IFERROR(VALUE(SUBSTITUTE(TRIM('수출입 실적(품목별)'!G513),",","")),"")</f>
        <v>36207</v>
      </c>
      <c r="K509" s="19" t="n">
        <f aca="false">IFERROR(VALUE(SUBSTITUTE(TRIM('수출입 실적(품목별)'!H513),",","")),"")</f>
        <v>71379</v>
      </c>
    </row>
    <row r="510" customFormat="false" ht="15" hidden="false" customHeight="true" outlineLevel="0" collapsed="false">
      <c r="A510" s="11" t="str">
        <f aca="false">TRIM('수출입 실적(품목별)'!A514)</f>
        <v>2024.06</v>
      </c>
      <c r="B510" s="17" t="n">
        <f aca="false">IFERROR(VALUE(LEFT($A510,4)),"")</f>
        <v>2024</v>
      </c>
      <c r="C510" s="17" t="n">
        <f aca="false">IFERROR(VALUE(RIGHT($A510,2)),"")</f>
        <v>6</v>
      </c>
      <c r="D510" s="17" t="n">
        <f aca="false">IFERROR(ROUNDUP($C510/3,0),"")</f>
        <v>2</v>
      </c>
      <c r="E510" s="11" t="str">
        <f aca="false">TRIM('수출입 실적(품목별)'!B514)</f>
        <v>25</v>
      </c>
      <c r="F510" s="11" t="str">
        <f aca="false">TRIM('수출입 실적(품목별)'!C514)</f>
        <v>소금, 황, 토석류(土石類), 석고ㆍ석회ㆍ시멘트</v>
      </c>
      <c r="G510" s="18" t="n">
        <f aca="false">IFERROR(VALUE(SUBSTITUTE(TRIM('수출입 실적(품목별)'!D514),",","")),"")</f>
        <v>284165.6</v>
      </c>
      <c r="H510" s="19" t="n">
        <f aca="false">IFERROR(VALUE(SUBSTITUTE(TRIM('수출입 실적(품목별)'!E514),",","")),"")</f>
        <v>21856</v>
      </c>
      <c r="I510" s="18" t="n">
        <f aca="false">IFERROR(VALUE(SUBSTITUTE(TRIM('수출입 실적(품목별)'!F514),",","")),"")</f>
        <v>763374</v>
      </c>
      <c r="J510" s="19" t="n">
        <f aca="false">IFERROR(VALUE(SUBSTITUTE(TRIM('수출입 실적(품목별)'!G514),",","")),"")</f>
        <v>78015</v>
      </c>
      <c r="K510" s="19" t="n">
        <f aca="false">IFERROR(VALUE(SUBSTITUTE(TRIM('수출입 실적(품목별)'!H514),",","")),"")</f>
        <v>-56160</v>
      </c>
    </row>
    <row r="511" customFormat="false" ht="15" hidden="false" customHeight="true" outlineLevel="0" collapsed="false">
      <c r="A511" s="11" t="str">
        <f aca="false">TRIM('수출입 실적(품목별)'!A515)</f>
        <v>2024.06</v>
      </c>
      <c r="B511" s="17" t="n">
        <f aca="false">IFERROR(VALUE(LEFT($A511,4)),"")</f>
        <v>2024</v>
      </c>
      <c r="C511" s="17" t="n">
        <f aca="false">IFERROR(VALUE(RIGHT($A511,2)),"")</f>
        <v>6</v>
      </c>
      <c r="D511" s="17" t="n">
        <f aca="false">IFERROR(ROUNDUP($C511/3,0),"")</f>
        <v>2</v>
      </c>
      <c r="E511" s="11" t="str">
        <f aca="false">TRIM('수출입 실적(품목별)'!B515)</f>
        <v>26</v>
      </c>
      <c r="F511" s="11" t="str">
        <f aca="false">TRIM('수출입 실적(품목별)'!C515)</f>
        <v>광(鑛)ㆍ슬래그(slag)ㆍ회(灰)</v>
      </c>
      <c r="G511" s="18" t="n">
        <f aca="false">IFERROR(VALUE(SUBSTITUTE(TRIM('수출입 실적(품목별)'!D515),",","")),"")</f>
        <v>119258.1</v>
      </c>
      <c r="H511" s="19" t="n">
        <f aca="false">IFERROR(VALUE(SUBSTITUTE(TRIM('수출입 실적(품목별)'!E515),",","")),"")</f>
        <v>71183</v>
      </c>
      <c r="I511" s="18" t="n">
        <f aca="false">IFERROR(VALUE(SUBSTITUTE(TRIM('수출입 실적(품목별)'!F515),",","")),"")</f>
        <v>6794322.6</v>
      </c>
      <c r="J511" s="19" t="n">
        <f aca="false">IFERROR(VALUE(SUBSTITUTE(TRIM('수출입 실적(품목별)'!G515),",","")),"")</f>
        <v>1578509</v>
      </c>
      <c r="K511" s="19" t="n">
        <f aca="false">IFERROR(VALUE(SUBSTITUTE(TRIM('수출입 실적(품목별)'!H515),",","")),"")</f>
        <v>-1507326</v>
      </c>
    </row>
    <row r="512" customFormat="false" ht="15" hidden="false" customHeight="true" outlineLevel="0" collapsed="false">
      <c r="A512" s="11" t="str">
        <f aca="false">TRIM('수출입 실적(품목별)'!A516)</f>
        <v>2024.06</v>
      </c>
      <c r="B512" s="17" t="n">
        <f aca="false">IFERROR(VALUE(LEFT($A512,4)),"")</f>
        <v>2024</v>
      </c>
      <c r="C512" s="17" t="n">
        <f aca="false">IFERROR(VALUE(RIGHT($A512,2)),"")</f>
        <v>6</v>
      </c>
      <c r="D512" s="17" t="n">
        <f aca="false">IFERROR(ROUNDUP($C512/3,0),"")</f>
        <v>2</v>
      </c>
      <c r="E512" s="11" t="str">
        <f aca="false">TRIM('수출입 실적(품목별)'!B516)</f>
        <v>27</v>
      </c>
      <c r="F512" s="11" t="str">
        <f aca="false">TRIM('수출입 실적(품목별)'!C516)</f>
        <v>광물성 연료ㆍ광물유(鑛物油)와 이들의 증류물, 역청(瀝靑)물질, 광물성 왁스</v>
      </c>
      <c r="G512" s="18" t="n">
        <f aca="false">IFERROR(VALUE(SUBSTITUTE(TRIM('수출입 실적(품목별)'!D516),",","")),"")</f>
        <v>4996713.6</v>
      </c>
      <c r="H512" s="19" t="n">
        <f aca="false">IFERROR(VALUE(SUBSTITUTE(TRIM('수출입 실적(품목별)'!E516),",","")),"")</f>
        <v>3866671</v>
      </c>
      <c r="I512" s="18" t="n">
        <f aca="false">IFERROR(VALUE(SUBSTITUTE(TRIM('수출입 실적(품목별)'!F516),",","")),"")</f>
        <v>25601852.7</v>
      </c>
      <c r="J512" s="19" t="n">
        <f aca="false">IFERROR(VALUE(SUBSTITUTE(TRIM('수출입 실적(품목별)'!G516),",","")),"")</f>
        <v>12258921</v>
      </c>
      <c r="K512" s="19" t="n">
        <f aca="false">IFERROR(VALUE(SUBSTITUTE(TRIM('수출입 실적(품목별)'!H516),",","")),"")</f>
        <v>-8392251</v>
      </c>
    </row>
    <row r="513" customFormat="false" ht="15" hidden="false" customHeight="true" outlineLevel="0" collapsed="false">
      <c r="A513" s="11" t="str">
        <f aca="false">TRIM('수출입 실적(품목별)'!A517)</f>
        <v>2024.06</v>
      </c>
      <c r="B513" s="17" t="n">
        <f aca="false">IFERROR(VALUE(LEFT($A513,4)),"")</f>
        <v>2024</v>
      </c>
      <c r="C513" s="17" t="n">
        <f aca="false">IFERROR(VALUE(RIGHT($A513,2)),"")</f>
        <v>6</v>
      </c>
      <c r="D513" s="17" t="n">
        <f aca="false">IFERROR(ROUNDUP($C513/3,0),"")</f>
        <v>2</v>
      </c>
      <c r="E513" s="11" t="str">
        <f aca="false">TRIM('수출입 실적(품목별)'!B517)</f>
        <v>28</v>
      </c>
      <c r="F513" s="11" t="str">
        <f aca="false">TRIM('수출입 실적(품목별)'!C517)</f>
        <v>무기화학품, 귀금속ㆍ희토류(稀土類)금속ㆍ방사성원소ㆍ동위원소의 유기화합물이나 무기화합물</v>
      </c>
      <c r="G513" s="18" t="n">
        <f aca="false">IFERROR(VALUE(SUBSTITUTE(TRIM('수출입 실적(품목별)'!D517),",","")),"")</f>
        <v>420794</v>
      </c>
      <c r="H513" s="19" t="n">
        <f aca="false">IFERROR(VALUE(SUBSTITUTE(TRIM('수출입 실적(품목별)'!E517),",","")),"")</f>
        <v>836459</v>
      </c>
      <c r="I513" s="18" t="n">
        <f aca="false">IFERROR(VALUE(SUBSTITUTE(TRIM('수출입 실적(품목별)'!F517),",","")),"")</f>
        <v>361928.8</v>
      </c>
      <c r="J513" s="19" t="n">
        <f aca="false">IFERROR(VALUE(SUBSTITUTE(TRIM('수출입 실적(품목별)'!G517),",","")),"")</f>
        <v>1002900</v>
      </c>
      <c r="K513" s="19" t="n">
        <f aca="false">IFERROR(VALUE(SUBSTITUTE(TRIM('수출입 실적(품목별)'!H517),",","")),"")</f>
        <v>-166442</v>
      </c>
    </row>
    <row r="514" customFormat="false" ht="15" hidden="false" customHeight="true" outlineLevel="0" collapsed="false">
      <c r="A514" s="11" t="str">
        <f aca="false">TRIM('수출입 실적(품목별)'!A518)</f>
        <v>2024.06</v>
      </c>
      <c r="B514" s="17" t="n">
        <f aca="false">IFERROR(VALUE(LEFT($A514,4)),"")</f>
        <v>2024</v>
      </c>
      <c r="C514" s="17" t="n">
        <f aca="false">IFERROR(VALUE(RIGHT($A514,2)),"")</f>
        <v>6</v>
      </c>
      <c r="D514" s="17" t="n">
        <f aca="false">IFERROR(ROUNDUP($C514/3,0),"")</f>
        <v>2</v>
      </c>
      <c r="E514" s="11" t="str">
        <f aca="false">TRIM('수출입 실적(품목별)'!B518)</f>
        <v>29</v>
      </c>
      <c r="F514" s="11" t="str">
        <f aca="false">TRIM('수출입 실적(품목별)'!C518)</f>
        <v>유기화학품</v>
      </c>
      <c r="G514" s="18" t="n">
        <f aca="false">IFERROR(VALUE(SUBSTITUTE(TRIM('수출입 실적(품목별)'!D518),",","")),"")</f>
        <v>1375383.5</v>
      </c>
      <c r="H514" s="19" t="n">
        <f aca="false">IFERROR(VALUE(SUBSTITUTE(TRIM('수출입 실적(품목별)'!E518),",","")),"")</f>
        <v>1635601</v>
      </c>
      <c r="I514" s="18" t="n">
        <f aca="false">IFERROR(VALUE(SUBSTITUTE(TRIM('수출입 실적(품목별)'!F518),",","")),"")</f>
        <v>666749.1</v>
      </c>
      <c r="J514" s="19" t="n">
        <f aca="false">IFERROR(VALUE(SUBSTITUTE(TRIM('수출입 실적(품목별)'!G518),",","")),"")</f>
        <v>1091461</v>
      </c>
      <c r="K514" s="19" t="n">
        <f aca="false">IFERROR(VALUE(SUBSTITUTE(TRIM('수출입 실적(품목별)'!H518),",","")),"")</f>
        <v>544141</v>
      </c>
    </row>
    <row r="515" customFormat="false" ht="15" hidden="false" customHeight="true" outlineLevel="0" collapsed="false">
      <c r="A515" s="11" t="str">
        <f aca="false">TRIM('수출입 실적(품목별)'!A519)</f>
        <v>2024.06</v>
      </c>
      <c r="B515" s="17" t="n">
        <f aca="false">IFERROR(VALUE(LEFT($A515,4)),"")</f>
        <v>2024</v>
      </c>
      <c r="C515" s="17" t="n">
        <f aca="false">IFERROR(VALUE(RIGHT($A515,2)),"")</f>
        <v>6</v>
      </c>
      <c r="D515" s="17" t="n">
        <f aca="false">IFERROR(ROUNDUP($C515/3,0),"")</f>
        <v>2</v>
      </c>
      <c r="E515" s="11" t="str">
        <f aca="false">TRIM('수출입 실적(품목별)'!B519)</f>
        <v>30</v>
      </c>
      <c r="F515" s="11" t="str">
        <f aca="false">TRIM('수출입 실적(품목별)'!C519)</f>
        <v>의료용품</v>
      </c>
      <c r="G515" s="18" t="n">
        <f aca="false">IFERROR(VALUE(SUBSTITUTE(TRIM('수출입 실적(품목별)'!D519),",","")),"")</f>
        <v>2613.9</v>
      </c>
      <c r="H515" s="19" t="n">
        <f aca="false">IFERROR(VALUE(SUBSTITUTE(TRIM('수출입 실적(품목별)'!E519),",","")),"")</f>
        <v>631623</v>
      </c>
      <c r="I515" s="18" t="n">
        <f aca="false">IFERROR(VALUE(SUBSTITUTE(TRIM('수출입 실적(품목별)'!F519),",","")),"")</f>
        <v>7561.8</v>
      </c>
      <c r="J515" s="19" t="n">
        <f aca="false">IFERROR(VALUE(SUBSTITUTE(TRIM('수출입 실적(품목별)'!G519),",","")),"")</f>
        <v>723973</v>
      </c>
      <c r="K515" s="19" t="n">
        <f aca="false">IFERROR(VALUE(SUBSTITUTE(TRIM('수출입 실적(품목별)'!H519),",","")),"")</f>
        <v>-92350</v>
      </c>
    </row>
    <row r="516" customFormat="false" ht="15" hidden="false" customHeight="true" outlineLevel="0" collapsed="false">
      <c r="A516" s="11" t="str">
        <f aca="false">TRIM('수출입 실적(품목별)'!A520)</f>
        <v>2024.06</v>
      </c>
      <c r="B516" s="17" t="n">
        <f aca="false">IFERROR(VALUE(LEFT($A516,4)),"")</f>
        <v>2024</v>
      </c>
      <c r="C516" s="17" t="n">
        <f aca="false">IFERROR(VALUE(RIGHT($A516,2)),"")</f>
        <v>6</v>
      </c>
      <c r="D516" s="17" t="n">
        <f aca="false">IFERROR(ROUNDUP($C516/3,0),"")</f>
        <v>2</v>
      </c>
      <c r="E516" s="11" t="str">
        <f aca="false">TRIM('수출입 실적(품목별)'!B520)</f>
        <v>31</v>
      </c>
      <c r="F516" s="11" t="str">
        <f aca="false">TRIM('수출입 실적(품목별)'!C520)</f>
        <v>비료</v>
      </c>
      <c r="G516" s="18" t="n">
        <f aca="false">IFERROR(VALUE(SUBSTITUTE(TRIM('수출입 실적(품목별)'!D520),",","")),"")</f>
        <v>97490.9</v>
      </c>
      <c r="H516" s="19" t="n">
        <f aca="false">IFERROR(VALUE(SUBSTITUTE(TRIM('수출입 실적(품목별)'!E520),",","")),"")</f>
        <v>33186</v>
      </c>
      <c r="I516" s="18" t="n">
        <f aca="false">IFERROR(VALUE(SUBSTITUTE(TRIM('수출입 실적(품목별)'!F520),",","")),"")</f>
        <v>176025.1</v>
      </c>
      <c r="J516" s="19" t="n">
        <f aca="false">IFERROR(VALUE(SUBSTITUTE(TRIM('수출입 실적(품목별)'!G520),",","")),"")</f>
        <v>62461</v>
      </c>
      <c r="K516" s="19" t="n">
        <f aca="false">IFERROR(VALUE(SUBSTITUTE(TRIM('수출입 실적(품목별)'!H520),",","")),"")</f>
        <v>-29275</v>
      </c>
    </row>
    <row r="517" customFormat="false" ht="15" hidden="false" customHeight="true" outlineLevel="0" collapsed="false">
      <c r="A517" s="11" t="str">
        <f aca="false">TRIM('수출입 실적(품목별)'!A521)</f>
        <v>2024.06</v>
      </c>
      <c r="B517" s="17" t="n">
        <f aca="false">IFERROR(VALUE(LEFT($A517,4)),"")</f>
        <v>2024</v>
      </c>
      <c r="C517" s="17" t="n">
        <f aca="false">IFERROR(VALUE(RIGHT($A517,2)),"")</f>
        <v>6</v>
      </c>
      <c r="D517" s="17" t="n">
        <f aca="false">IFERROR(ROUNDUP($C517/3,0),"")</f>
        <v>2</v>
      </c>
      <c r="E517" s="11" t="str">
        <f aca="false">TRIM('수출입 실적(품목별)'!B521)</f>
        <v>32</v>
      </c>
      <c r="F517" s="11" t="str">
        <f aca="false">TRIM('수출입 실적(품목별)'!C521)</f>
        <v>유연용ㆍ염색용 추출물(extract), 탄닌과 이들의 유도체, 염료ㆍ안료와 그 밖의 착색제, 페인트ㆍ바니시(varnish), 퍼티(putty)와 그 밖의 매스틱(mastic), 잉크</v>
      </c>
      <c r="G517" s="18" t="n">
        <f aca="false">IFERROR(VALUE(SUBSTITUTE(TRIM('수출입 실적(품목별)'!D521),",","")),"")</f>
        <v>28991</v>
      </c>
      <c r="H517" s="19" t="n">
        <f aca="false">IFERROR(VALUE(SUBSTITUTE(TRIM('수출입 실적(품목별)'!E521),",","")),"")</f>
        <v>216542</v>
      </c>
      <c r="I517" s="18" t="n">
        <f aca="false">IFERROR(VALUE(SUBSTITUTE(TRIM('수출입 실적(품목별)'!F521),",","")),"")</f>
        <v>27872.1</v>
      </c>
      <c r="J517" s="19" t="n">
        <f aca="false">IFERROR(VALUE(SUBSTITUTE(TRIM('수출입 실적(품목별)'!G521),",","")),"")</f>
        <v>190569</v>
      </c>
      <c r="K517" s="19" t="n">
        <f aca="false">IFERROR(VALUE(SUBSTITUTE(TRIM('수출입 실적(품목별)'!H521),",","")),"")</f>
        <v>25973</v>
      </c>
    </row>
    <row r="518" customFormat="false" ht="15" hidden="false" customHeight="true" outlineLevel="0" collapsed="false">
      <c r="A518" s="11" t="str">
        <f aca="false">TRIM('수출입 실적(품목별)'!A522)</f>
        <v>2024.06</v>
      </c>
      <c r="B518" s="17" t="n">
        <f aca="false">IFERROR(VALUE(LEFT($A518,4)),"")</f>
        <v>2024</v>
      </c>
      <c r="C518" s="17" t="n">
        <f aca="false">IFERROR(VALUE(RIGHT($A518,2)),"")</f>
        <v>6</v>
      </c>
      <c r="D518" s="17" t="n">
        <f aca="false">IFERROR(ROUNDUP($C518/3,0),"")</f>
        <v>2</v>
      </c>
      <c r="E518" s="11" t="str">
        <f aca="false">TRIM('수출입 실적(품목별)'!B522)</f>
        <v>33</v>
      </c>
      <c r="F518" s="11" t="str">
        <f aca="false">TRIM('수출입 실적(품목별)'!C522)</f>
        <v>정유(essential oil)와 레지노이드(resinoid), 조제향료와 화장품ㆍ화장용품</v>
      </c>
      <c r="G518" s="18" t="n">
        <f aca="false">IFERROR(VALUE(SUBSTITUTE(TRIM('수출입 실적(품목별)'!D522),",","")),"")</f>
        <v>32685.7</v>
      </c>
      <c r="H518" s="19" t="n">
        <f aca="false">IFERROR(VALUE(SUBSTITUTE(TRIM('수출입 실적(품목별)'!E522),",","")),"")</f>
        <v>749670</v>
      </c>
      <c r="I518" s="18" t="n">
        <f aca="false">IFERROR(VALUE(SUBSTITUTE(TRIM('수출입 실적(품목별)'!F522),",","")),"")</f>
        <v>8364.5</v>
      </c>
      <c r="J518" s="19" t="n">
        <f aca="false">IFERROR(VALUE(SUBSTITUTE(TRIM('수출입 실적(품목별)'!G522),",","")),"")</f>
        <v>159245</v>
      </c>
      <c r="K518" s="19" t="n">
        <f aca="false">IFERROR(VALUE(SUBSTITUTE(TRIM('수출입 실적(품목별)'!H522),",","")),"")</f>
        <v>590425</v>
      </c>
    </row>
    <row r="519" customFormat="false" ht="15" hidden="false" customHeight="true" outlineLevel="0" collapsed="false">
      <c r="A519" s="11" t="str">
        <f aca="false">TRIM('수출입 실적(품목별)'!A523)</f>
        <v>2024.06</v>
      </c>
      <c r="B519" s="17" t="n">
        <f aca="false">IFERROR(VALUE(LEFT($A519,4)),"")</f>
        <v>2024</v>
      </c>
      <c r="C519" s="17" t="n">
        <f aca="false">IFERROR(VALUE(RIGHT($A519,2)),"")</f>
        <v>6</v>
      </c>
      <c r="D519" s="17" t="n">
        <f aca="false">IFERROR(ROUNDUP($C519/3,0),"")</f>
        <v>2</v>
      </c>
      <c r="E519" s="11" t="str">
        <f aca="false">TRIM('수출입 실적(품목별)'!B523)</f>
        <v>34</v>
      </c>
      <c r="F519" s="11" t="str">
        <f aca="false">TRIM('수출입 실적(품목별)'!C523)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519" s="18" t="n">
        <f aca="false">IFERROR(VALUE(SUBSTITUTE(TRIM('수출입 실적(품목별)'!D523),",","")),"")</f>
        <v>55928.3</v>
      </c>
      <c r="H519" s="19" t="n">
        <f aca="false">IFERROR(VALUE(SUBSTITUTE(TRIM('수출입 실적(품목별)'!E523),",","")),"")</f>
        <v>155134</v>
      </c>
      <c r="I519" s="18" t="n">
        <f aca="false">IFERROR(VALUE(SUBSTITUTE(TRIM('수출입 실적(품목별)'!F523),",","")),"")</f>
        <v>23013.3</v>
      </c>
      <c r="J519" s="19" t="n">
        <f aca="false">IFERROR(VALUE(SUBSTITUTE(TRIM('수출입 실적(품목별)'!G523),",","")),"")</f>
        <v>95231</v>
      </c>
      <c r="K519" s="19" t="n">
        <f aca="false">IFERROR(VALUE(SUBSTITUTE(TRIM('수출입 실적(품목별)'!H523),",","")),"")</f>
        <v>59903</v>
      </c>
    </row>
    <row r="520" customFormat="false" ht="15" hidden="false" customHeight="true" outlineLevel="0" collapsed="false">
      <c r="A520" s="11" t="str">
        <f aca="false">TRIM('수출입 실적(품목별)'!A524)</f>
        <v>2024.06</v>
      </c>
      <c r="B520" s="17" t="n">
        <f aca="false">IFERROR(VALUE(LEFT($A520,4)),"")</f>
        <v>2024</v>
      </c>
      <c r="C520" s="17" t="n">
        <f aca="false">IFERROR(VALUE(RIGHT($A520,2)),"")</f>
        <v>6</v>
      </c>
      <c r="D520" s="17" t="n">
        <f aca="false">IFERROR(ROUNDUP($C520/3,0),"")</f>
        <v>2</v>
      </c>
      <c r="E520" s="11" t="str">
        <f aca="false">TRIM('수출입 실적(품목별)'!B524)</f>
        <v>35</v>
      </c>
      <c r="F520" s="11" t="str">
        <f aca="false">TRIM('수출입 실적(품목별)'!C524)</f>
        <v>단백질계 물질, 변성전분, 글루(glue), 효소</v>
      </c>
      <c r="G520" s="18" t="n">
        <f aca="false">IFERROR(VALUE(SUBSTITUTE(TRIM('수출입 실적(품목별)'!D524),",","")),"")</f>
        <v>5830.8</v>
      </c>
      <c r="H520" s="19" t="n">
        <f aca="false">IFERROR(VALUE(SUBSTITUTE(TRIM('수출입 실적(품목별)'!E524),",","")),"")</f>
        <v>78556</v>
      </c>
      <c r="I520" s="18" t="n">
        <f aca="false">IFERROR(VALUE(SUBSTITUTE(TRIM('수출입 실적(품목별)'!F524),",","")),"")</f>
        <v>17782.7</v>
      </c>
      <c r="J520" s="19" t="n">
        <f aca="false">IFERROR(VALUE(SUBSTITUTE(TRIM('수출입 실적(품목별)'!G524),",","")),"")</f>
        <v>78032</v>
      </c>
      <c r="K520" s="19" t="n">
        <f aca="false">IFERROR(VALUE(SUBSTITUTE(TRIM('수출입 실적(품목별)'!H524),",","")),"")</f>
        <v>524</v>
      </c>
    </row>
    <row r="521" customFormat="false" ht="15" hidden="false" customHeight="true" outlineLevel="0" collapsed="false">
      <c r="A521" s="11" t="str">
        <f aca="false">TRIM('수출입 실적(품목별)'!A525)</f>
        <v>2024.06</v>
      </c>
      <c r="B521" s="17" t="n">
        <f aca="false">IFERROR(VALUE(LEFT($A521,4)),"")</f>
        <v>2024</v>
      </c>
      <c r="C521" s="17" t="n">
        <f aca="false">IFERROR(VALUE(RIGHT($A521,2)),"")</f>
        <v>6</v>
      </c>
      <c r="D521" s="17" t="n">
        <f aca="false">IFERROR(ROUNDUP($C521/3,0),"")</f>
        <v>2</v>
      </c>
      <c r="E521" s="11" t="str">
        <f aca="false">TRIM('수출입 실적(품목별)'!B525)</f>
        <v>36</v>
      </c>
      <c r="F521" s="11" t="str">
        <f aca="false">TRIM('수출입 실적(품목별)'!C525)</f>
        <v>화약류, 화공품, 성냥, 발화성 합금, 특정 가연성 조제품</v>
      </c>
      <c r="G521" s="18" t="n">
        <f aca="false">IFERROR(VALUE(SUBSTITUTE(TRIM('수출입 실적(품목별)'!D525),",","")),"")</f>
        <v>106.9</v>
      </c>
      <c r="H521" s="19" t="n">
        <f aca="false">IFERROR(VALUE(SUBSTITUTE(TRIM('수출입 실적(품목별)'!E525),",","")),"")</f>
        <v>1111</v>
      </c>
      <c r="I521" s="18" t="n">
        <f aca="false">IFERROR(VALUE(SUBSTITUTE(TRIM('수출입 실적(품목별)'!F525),",","")),"")</f>
        <v>369</v>
      </c>
      <c r="J521" s="19" t="n">
        <f aca="false">IFERROR(VALUE(SUBSTITUTE(TRIM('수출입 실적(품목별)'!G525),",","")),"")</f>
        <v>4424</v>
      </c>
      <c r="K521" s="19" t="n">
        <f aca="false">IFERROR(VALUE(SUBSTITUTE(TRIM('수출입 실적(품목별)'!H525),",","")),"")</f>
        <v>-3314</v>
      </c>
    </row>
    <row r="522" customFormat="false" ht="15" hidden="false" customHeight="true" outlineLevel="0" collapsed="false">
      <c r="A522" s="11" t="str">
        <f aca="false">TRIM('수출입 실적(품목별)'!A526)</f>
        <v>2024.06</v>
      </c>
      <c r="B522" s="17" t="n">
        <f aca="false">IFERROR(VALUE(LEFT($A522,4)),"")</f>
        <v>2024</v>
      </c>
      <c r="C522" s="17" t="n">
        <f aca="false">IFERROR(VALUE(RIGHT($A522,2)),"")</f>
        <v>6</v>
      </c>
      <c r="D522" s="17" t="n">
        <f aca="false">IFERROR(ROUNDUP($C522/3,0),"")</f>
        <v>2</v>
      </c>
      <c r="E522" s="11" t="str">
        <f aca="false">TRIM('수출입 실적(품목별)'!B526)</f>
        <v>37</v>
      </c>
      <c r="F522" s="11" t="str">
        <f aca="false">TRIM('수출입 실적(품목별)'!C526)</f>
        <v>사진용이나 영화용 재료</v>
      </c>
      <c r="G522" s="18" t="n">
        <f aca="false">IFERROR(VALUE(SUBSTITUTE(TRIM('수출입 실적(품목별)'!D526),",","")),"")</f>
        <v>1930.1</v>
      </c>
      <c r="H522" s="19" t="n">
        <f aca="false">IFERROR(VALUE(SUBSTITUTE(TRIM('수출입 실적(품목별)'!E526),",","")),"")</f>
        <v>82845</v>
      </c>
      <c r="I522" s="18" t="n">
        <f aca="false">IFERROR(VALUE(SUBSTITUTE(TRIM('수출입 실적(품목별)'!F526),",","")),"")</f>
        <v>2728.5</v>
      </c>
      <c r="J522" s="19" t="n">
        <f aca="false">IFERROR(VALUE(SUBSTITUTE(TRIM('수출입 실적(품목별)'!G526),",","")),"")</f>
        <v>80690</v>
      </c>
      <c r="K522" s="19" t="n">
        <f aca="false">IFERROR(VALUE(SUBSTITUTE(TRIM('수출입 실적(품목별)'!H526),",","")),"")</f>
        <v>2155</v>
      </c>
    </row>
    <row r="523" customFormat="false" ht="15" hidden="false" customHeight="true" outlineLevel="0" collapsed="false">
      <c r="A523" s="11" t="str">
        <f aca="false">TRIM('수출입 실적(품목별)'!A527)</f>
        <v>2024.06</v>
      </c>
      <c r="B523" s="17" t="n">
        <f aca="false">IFERROR(VALUE(LEFT($A523,4)),"")</f>
        <v>2024</v>
      </c>
      <c r="C523" s="17" t="n">
        <f aca="false">IFERROR(VALUE(RIGHT($A523,2)),"")</f>
        <v>6</v>
      </c>
      <c r="D523" s="17" t="n">
        <f aca="false">IFERROR(ROUNDUP($C523/3,0),"")</f>
        <v>2</v>
      </c>
      <c r="E523" s="11" t="str">
        <f aca="false">TRIM('수출입 실적(품목별)'!B527)</f>
        <v>38</v>
      </c>
      <c r="F523" s="11" t="str">
        <f aca="false">TRIM('수출입 실적(품목별)'!C527)</f>
        <v>각종 화학공업 생산품</v>
      </c>
      <c r="G523" s="18" t="n">
        <f aca="false">IFERROR(VALUE(SUBSTITUTE(TRIM('수출입 실적(품목별)'!D527),",","")),"")</f>
        <v>85618.8</v>
      </c>
      <c r="H523" s="19" t="n">
        <f aca="false">IFERROR(VALUE(SUBSTITUTE(TRIM('수출입 실적(품목별)'!E527),",","")),"")</f>
        <v>560796</v>
      </c>
      <c r="I523" s="18" t="n">
        <f aca="false">IFERROR(VALUE(SUBSTITUTE(TRIM('수출입 실적(품목별)'!F527),",","")),"")</f>
        <v>230154.3</v>
      </c>
      <c r="J523" s="19" t="n">
        <f aca="false">IFERROR(VALUE(SUBSTITUTE(TRIM('수출입 실적(품목별)'!G527),",","")),"")</f>
        <v>665847</v>
      </c>
      <c r="K523" s="19" t="n">
        <f aca="false">IFERROR(VALUE(SUBSTITUTE(TRIM('수출입 실적(품목별)'!H527),",","")),"")</f>
        <v>-105051</v>
      </c>
    </row>
    <row r="524" customFormat="false" ht="15" hidden="false" customHeight="true" outlineLevel="0" collapsed="false">
      <c r="A524" s="11" t="str">
        <f aca="false">TRIM('수출입 실적(품목별)'!A528)</f>
        <v>2024.06</v>
      </c>
      <c r="B524" s="17" t="n">
        <f aca="false">IFERROR(VALUE(LEFT($A524,4)),"")</f>
        <v>2024</v>
      </c>
      <c r="C524" s="17" t="n">
        <f aca="false">IFERROR(VALUE(RIGHT($A524,2)),"")</f>
        <v>6</v>
      </c>
      <c r="D524" s="17" t="n">
        <f aca="false">IFERROR(ROUNDUP($C524/3,0),"")</f>
        <v>2</v>
      </c>
      <c r="E524" s="11" t="str">
        <f aca="false">TRIM('수출입 실적(품목별)'!B528)</f>
        <v>39</v>
      </c>
      <c r="F524" s="11" t="str">
        <f aca="false">TRIM('수출입 실적(품목별)'!C528)</f>
        <v>플라스틱과 그 제품</v>
      </c>
      <c r="G524" s="18" t="n">
        <f aca="false">IFERROR(VALUE(SUBSTITUTE(TRIM('수출입 실적(품목별)'!D528),",","")),"")</f>
        <v>1425357.6</v>
      </c>
      <c r="H524" s="19" t="n">
        <f aca="false">IFERROR(VALUE(SUBSTITUTE(TRIM('수출입 실적(품목별)'!E528),",","")),"")</f>
        <v>3151097</v>
      </c>
      <c r="I524" s="18" t="n">
        <f aca="false">IFERROR(VALUE(SUBSTITUTE(TRIM('수출입 실적(품목별)'!F528),",","")),"")</f>
        <v>266628.6</v>
      </c>
      <c r="J524" s="19" t="n">
        <f aca="false">IFERROR(VALUE(SUBSTITUTE(TRIM('수출입 실적(품목별)'!G528),",","")),"")</f>
        <v>1076731</v>
      </c>
      <c r="K524" s="19" t="n">
        <f aca="false">IFERROR(VALUE(SUBSTITUTE(TRIM('수출입 실적(품목별)'!H528),",","")),"")</f>
        <v>2074366</v>
      </c>
    </row>
    <row r="525" customFormat="false" ht="15" hidden="false" customHeight="true" outlineLevel="0" collapsed="false">
      <c r="A525" s="11" t="str">
        <f aca="false">TRIM('수출입 실적(품목별)'!A529)</f>
        <v>2024.06</v>
      </c>
      <c r="B525" s="17" t="n">
        <f aca="false">IFERROR(VALUE(LEFT($A525,4)),"")</f>
        <v>2024</v>
      </c>
      <c r="C525" s="17" t="n">
        <f aca="false">IFERROR(VALUE(RIGHT($A525,2)),"")</f>
        <v>6</v>
      </c>
      <c r="D525" s="17" t="n">
        <f aca="false">IFERROR(ROUNDUP($C525/3,0),"")</f>
        <v>2</v>
      </c>
      <c r="E525" s="11" t="str">
        <f aca="false">TRIM('수출입 실적(품목별)'!B529)</f>
        <v>40</v>
      </c>
      <c r="F525" s="11" t="str">
        <f aca="false">TRIM('수출입 실적(품목별)'!C529)</f>
        <v>고무와 그 제품</v>
      </c>
      <c r="G525" s="18" t="n">
        <f aca="false">IFERROR(VALUE(SUBSTITUTE(TRIM('수출입 실적(품목별)'!D529),",","")),"")</f>
        <v>245298</v>
      </c>
      <c r="H525" s="19" t="n">
        <f aca="false">IFERROR(VALUE(SUBSTITUTE(TRIM('수출입 실적(품목별)'!E529),",","")),"")</f>
        <v>669250</v>
      </c>
      <c r="I525" s="18" t="n">
        <f aca="false">IFERROR(VALUE(SUBSTITUTE(TRIM('수출입 실적(품목별)'!F529),",","")),"")</f>
        <v>72505.2</v>
      </c>
      <c r="J525" s="19" t="n">
        <f aca="false">IFERROR(VALUE(SUBSTITUTE(TRIM('수출입 실적(품목별)'!G529),",","")),"")</f>
        <v>234846</v>
      </c>
      <c r="K525" s="19" t="n">
        <f aca="false">IFERROR(VALUE(SUBSTITUTE(TRIM('수출입 실적(품목별)'!H529),",","")),"")</f>
        <v>434405</v>
      </c>
    </row>
    <row r="526" customFormat="false" ht="15" hidden="false" customHeight="true" outlineLevel="0" collapsed="false">
      <c r="A526" s="11" t="str">
        <f aca="false">TRIM('수출입 실적(품목별)'!A530)</f>
        <v>2024.06</v>
      </c>
      <c r="B526" s="17" t="n">
        <f aca="false">IFERROR(VALUE(LEFT($A526,4)),"")</f>
        <v>2024</v>
      </c>
      <c r="C526" s="17" t="n">
        <f aca="false">IFERROR(VALUE(RIGHT($A526,2)),"")</f>
        <v>6</v>
      </c>
      <c r="D526" s="17" t="n">
        <f aca="false">IFERROR(ROUNDUP($C526/3,0),"")</f>
        <v>2</v>
      </c>
      <c r="E526" s="11" t="str">
        <f aca="false">TRIM('수출입 실적(품목별)'!B530)</f>
        <v>41</v>
      </c>
      <c r="F526" s="11" t="str">
        <f aca="false">TRIM('수출입 실적(품목별)'!C530)</f>
        <v>원피(모피는 제외한다)와 가죽</v>
      </c>
      <c r="G526" s="18" t="n">
        <f aca="false">IFERROR(VALUE(SUBSTITUTE(TRIM('수출입 실적(품목별)'!D530),",","")),"")</f>
        <v>3056.2</v>
      </c>
      <c r="H526" s="19" t="n">
        <f aca="false">IFERROR(VALUE(SUBSTITUTE(TRIM('수출입 실적(품목별)'!E530),",","")),"")</f>
        <v>26209</v>
      </c>
      <c r="I526" s="18" t="n">
        <f aca="false">IFERROR(VALUE(SUBSTITUTE(TRIM('수출입 실적(품목별)'!F530),",","")),"")</f>
        <v>6541.5</v>
      </c>
      <c r="J526" s="19" t="n">
        <f aca="false">IFERROR(VALUE(SUBSTITUTE(TRIM('수출입 실적(품목별)'!G530),",","")),"")</f>
        <v>22050</v>
      </c>
      <c r="K526" s="19" t="n">
        <f aca="false">IFERROR(VALUE(SUBSTITUTE(TRIM('수출입 실적(품목별)'!H530),",","")),"")</f>
        <v>4159</v>
      </c>
    </row>
    <row r="527" customFormat="false" ht="15" hidden="false" customHeight="true" outlineLevel="0" collapsed="false">
      <c r="A527" s="11" t="str">
        <f aca="false">TRIM('수출입 실적(품목별)'!A531)</f>
        <v>2024.06</v>
      </c>
      <c r="B527" s="17" t="n">
        <f aca="false">IFERROR(VALUE(LEFT($A527,4)),"")</f>
        <v>2024</v>
      </c>
      <c r="C527" s="17" t="n">
        <f aca="false">IFERROR(VALUE(RIGHT($A527,2)),"")</f>
        <v>6</v>
      </c>
      <c r="D527" s="17" t="n">
        <f aca="false">IFERROR(ROUNDUP($C527/3,0),"")</f>
        <v>2</v>
      </c>
      <c r="E527" s="11" t="str">
        <f aca="false">TRIM('수출입 실적(품목별)'!B531)</f>
        <v>42</v>
      </c>
      <c r="F527" s="11" t="str">
        <f aca="false">TRIM('수출입 실적(품목별)'!C531)</f>
        <v>가죽제품, 마구, 여행용구ㆍ핸드백과 이와 유사한 용기, 동물 거트(gut)[누에의 거트(gut)는 제외한다]의 제품</v>
      </c>
      <c r="G527" s="18" t="n">
        <f aca="false">IFERROR(VALUE(SUBSTITUTE(TRIM('수출입 실적(품목별)'!D531),",","")),"")</f>
        <v>839.1</v>
      </c>
      <c r="H527" s="19" t="n">
        <f aca="false">IFERROR(VALUE(SUBSTITUTE(TRIM('수출입 실적(품목별)'!E531),",","")),"")</f>
        <v>33019</v>
      </c>
      <c r="I527" s="18" t="n">
        <f aca="false">IFERROR(VALUE(SUBSTITUTE(TRIM('수출입 실적(품목별)'!F531),",","")),"")</f>
        <v>8820.2</v>
      </c>
      <c r="J527" s="19" t="n">
        <f aca="false">IFERROR(VALUE(SUBSTITUTE(TRIM('수출입 실적(품목별)'!G531),",","")),"")</f>
        <v>308035</v>
      </c>
      <c r="K527" s="19" t="n">
        <f aca="false">IFERROR(VALUE(SUBSTITUTE(TRIM('수출입 실적(품목별)'!H531),",","")),"")</f>
        <v>-275017</v>
      </c>
    </row>
    <row r="528" customFormat="false" ht="15" hidden="false" customHeight="true" outlineLevel="0" collapsed="false">
      <c r="A528" s="11" t="str">
        <f aca="false">TRIM('수출입 실적(품목별)'!A532)</f>
        <v>2024.06</v>
      </c>
      <c r="B528" s="17" t="n">
        <f aca="false">IFERROR(VALUE(LEFT($A528,4)),"")</f>
        <v>2024</v>
      </c>
      <c r="C528" s="17" t="n">
        <f aca="false">IFERROR(VALUE(RIGHT($A528,2)),"")</f>
        <v>6</v>
      </c>
      <c r="D528" s="17" t="n">
        <f aca="false">IFERROR(ROUNDUP($C528/3,0),"")</f>
        <v>2</v>
      </c>
      <c r="E528" s="11" t="str">
        <f aca="false">TRIM('수출입 실적(품목별)'!B532)</f>
        <v>43</v>
      </c>
      <c r="F528" s="11" t="str">
        <f aca="false">TRIM('수출입 실적(품목별)'!C532)</f>
        <v>모피ㆍ인조모피와 이들의 제품</v>
      </c>
      <c r="G528" s="18" t="n">
        <f aca="false">IFERROR(VALUE(SUBSTITUTE(TRIM('수출입 실적(품목별)'!D532),",","")),"")</f>
        <v>7.4</v>
      </c>
      <c r="H528" s="19" t="n">
        <f aca="false">IFERROR(VALUE(SUBSTITUTE(TRIM('수출입 실적(품목별)'!E532),",","")),"")</f>
        <v>586</v>
      </c>
      <c r="I528" s="18" t="n">
        <f aca="false">IFERROR(VALUE(SUBSTITUTE(TRIM('수출입 실적(품목별)'!F532),",","")),"")</f>
        <v>81.4</v>
      </c>
      <c r="J528" s="19" t="n">
        <f aca="false">IFERROR(VALUE(SUBSTITUTE(TRIM('수출입 실적(품목별)'!G532),",","")),"")</f>
        <v>18775</v>
      </c>
      <c r="K528" s="19" t="n">
        <f aca="false">IFERROR(VALUE(SUBSTITUTE(TRIM('수출입 실적(품목별)'!H532),",","")),"")</f>
        <v>-18188</v>
      </c>
    </row>
    <row r="529" customFormat="false" ht="15" hidden="false" customHeight="true" outlineLevel="0" collapsed="false">
      <c r="A529" s="11" t="str">
        <f aca="false">TRIM('수출입 실적(품목별)'!A533)</f>
        <v>2024.06</v>
      </c>
      <c r="B529" s="17" t="n">
        <f aca="false">IFERROR(VALUE(LEFT($A529,4)),"")</f>
        <v>2024</v>
      </c>
      <c r="C529" s="17" t="n">
        <f aca="false">IFERROR(VALUE(RIGHT($A529,2)),"")</f>
        <v>6</v>
      </c>
      <c r="D529" s="17" t="n">
        <f aca="false">IFERROR(ROUNDUP($C529/3,0),"")</f>
        <v>2</v>
      </c>
      <c r="E529" s="11" t="str">
        <f aca="false">TRIM('수출입 실적(품목별)'!B533)</f>
        <v>44</v>
      </c>
      <c r="F529" s="11" t="str">
        <f aca="false">TRIM('수출입 실적(품목별)'!C533)</f>
        <v>목재와 그 제품, 목탄</v>
      </c>
      <c r="G529" s="18" t="n">
        <f aca="false">IFERROR(VALUE(SUBSTITUTE(TRIM('수출입 실적(품목별)'!D533),",","")),"")</f>
        <v>4222.2</v>
      </c>
      <c r="H529" s="19" t="n">
        <f aca="false">IFERROR(VALUE(SUBSTITUTE(TRIM('수출입 실적(품목별)'!E533),",","")),"")</f>
        <v>4986</v>
      </c>
      <c r="I529" s="18" t="n">
        <f aca="false">IFERROR(VALUE(SUBSTITUTE(TRIM('수출입 실적(품목별)'!F533),",","")),"")</f>
        <v>823216.2</v>
      </c>
      <c r="J529" s="19" t="n">
        <f aca="false">IFERROR(VALUE(SUBSTITUTE(TRIM('수출입 실적(품목별)'!G533),",","")),"")</f>
        <v>244057</v>
      </c>
      <c r="K529" s="19" t="n">
        <f aca="false">IFERROR(VALUE(SUBSTITUTE(TRIM('수출입 실적(품목별)'!H533),",","")),"")</f>
        <v>-239071</v>
      </c>
    </row>
    <row r="530" customFormat="false" ht="15" hidden="false" customHeight="true" outlineLevel="0" collapsed="false">
      <c r="A530" s="11" t="str">
        <f aca="false">TRIM('수출입 실적(품목별)'!A534)</f>
        <v>2024.06</v>
      </c>
      <c r="B530" s="17" t="n">
        <f aca="false">IFERROR(VALUE(LEFT($A530,4)),"")</f>
        <v>2024</v>
      </c>
      <c r="C530" s="17" t="n">
        <f aca="false">IFERROR(VALUE(RIGHT($A530,2)),"")</f>
        <v>6</v>
      </c>
      <c r="D530" s="17" t="n">
        <f aca="false">IFERROR(ROUNDUP($C530/3,0),"")</f>
        <v>2</v>
      </c>
      <c r="E530" s="11" t="str">
        <f aca="false">TRIM('수출입 실적(품목별)'!B534)</f>
        <v>45</v>
      </c>
      <c r="F530" s="11" t="str">
        <f aca="false">TRIM('수출입 실적(품목별)'!C534)</f>
        <v>코르크(cork)와 그 제품</v>
      </c>
      <c r="G530" s="18" t="n">
        <f aca="false">IFERROR(VALUE(SUBSTITUTE(TRIM('수출입 실적(품목별)'!D534),",","")),"")</f>
        <v>1</v>
      </c>
      <c r="H530" s="19" t="n">
        <f aca="false">IFERROR(VALUE(SUBSTITUTE(TRIM('수출입 실적(품목별)'!E534),",","")),"")</f>
        <v>26</v>
      </c>
      <c r="I530" s="18" t="n">
        <f aca="false">IFERROR(VALUE(SUBSTITUTE(TRIM('수출입 실적(품목별)'!F534),",","")),"")</f>
        <v>63.8</v>
      </c>
      <c r="J530" s="19" t="n">
        <f aca="false">IFERROR(VALUE(SUBSTITUTE(TRIM('수출입 실적(품목별)'!G534),",","")),"")</f>
        <v>296</v>
      </c>
      <c r="K530" s="19" t="n">
        <f aca="false">IFERROR(VALUE(SUBSTITUTE(TRIM('수출입 실적(품목별)'!H534),",","")),"")</f>
        <v>-270</v>
      </c>
    </row>
    <row r="531" customFormat="false" ht="15" hidden="false" customHeight="true" outlineLevel="0" collapsed="false">
      <c r="A531" s="11" t="str">
        <f aca="false">TRIM('수출입 실적(품목별)'!A535)</f>
        <v>2024.06</v>
      </c>
      <c r="B531" s="17" t="n">
        <f aca="false">IFERROR(VALUE(LEFT($A531,4)),"")</f>
        <v>2024</v>
      </c>
      <c r="C531" s="17" t="n">
        <f aca="false">IFERROR(VALUE(RIGHT($A531,2)),"")</f>
        <v>6</v>
      </c>
      <c r="D531" s="17" t="n">
        <f aca="false">IFERROR(ROUNDUP($C531/3,0),"")</f>
        <v>2</v>
      </c>
      <c r="E531" s="11" t="str">
        <f aca="false">TRIM('수출입 실적(품목별)'!B535)</f>
        <v>46</v>
      </c>
      <c r="F531" s="11" t="str">
        <f aca="false">TRIM('수출입 실적(품목별)'!C535)</f>
        <v>짚ㆍ에스파르토(esparto)나 그 밖의 조물 재료의 제품, 바구니 세공물(basketware)과 지조세공물(枝條細工物)</v>
      </c>
      <c r="G531" s="18" t="n">
        <f aca="false">IFERROR(VALUE(SUBSTITUTE(TRIM('수출입 실적(품목별)'!D535),",","")),"")</f>
        <v>0.7</v>
      </c>
      <c r="H531" s="19" t="n">
        <f aca="false">IFERROR(VALUE(SUBSTITUTE(TRIM('수출입 실적(품목별)'!E535),",","")),"")</f>
        <v>41</v>
      </c>
      <c r="I531" s="18" t="n">
        <f aca="false">IFERROR(VALUE(SUBSTITUTE(TRIM('수출입 실적(품목별)'!F535),",","")),"")</f>
        <v>453</v>
      </c>
      <c r="J531" s="19" t="n">
        <f aca="false">IFERROR(VALUE(SUBSTITUTE(TRIM('수출입 실적(품목별)'!G535),",","")),"")</f>
        <v>3083</v>
      </c>
      <c r="K531" s="19" t="n">
        <f aca="false">IFERROR(VALUE(SUBSTITUTE(TRIM('수출입 실적(품목별)'!H535),",","")),"")</f>
        <v>-3043</v>
      </c>
    </row>
    <row r="532" customFormat="false" ht="15" hidden="false" customHeight="true" outlineLevel="0" collapsed="false">
      <c r="A532" s="11" t="str">
        <f aca="false">TRIM('수출입 실적(품목별)'!A536)</f>
        <v>2024.06</v>
      </c>
      <c r="B532" s="17" t="n">
        <f aca="false">IFERROR(VALUE(LEFT($A532,4)),"")</f>
        <v>2024</v>
      </c>
      <c r="C532" s="17" t="n">
        <f aca="false">IFERROR(VALUE(RIGHT($A532,2)),"")</f>
        <v>6</v>
      </c>
      <c r="D532" s="17" t="n">
        <f aca="false">IFERROR(ROUNDUP($C532/3,0),"")</f>
        <v>2</v>
      </c>
      <c r="E532" s="11" t="str">
        <f aca="false">TRIM('수출입 실적(품목별)'!B536)</f>
        <v>47</v>
      </c>
      <c r="F532" s="11" t="str">
        <f aca="false">TRIM('수출입 실적(품목별)'!C536)</f>
        <v>목재나 그 밖의 섬유질 셀룰로오스재료의 펄프, 회수한 종이ㆍ판지[웨이스트(waste)와 스크랩(scrap)]</v>
      </c>
      <c r="G532" s="18" t="n">
        <f aca="false">IFERROR(VALUE(SUBSTITUTE(TRIM('수출입 실적(품목별)'!D536),",","")),"")</f>
        <v>46924.5</v>
      </c>
      <c r="H532" s="19" t="n">
        <f aca="false">IFERROR(VALUE(SUBSTITUTE(TRIM('수출입 실적(품목별)'!E536),",","")),"")</f>
        <v>10492</v>
      </c>
      <c r="I532" s="18" t="n">
        <f aca="false">IFERROR(VALUE(SUBSTITUTE(TRIM('수출입 실적(품목별)'!F536),",","")),"")</f>
        <v>230978.3</v>
      </c>
      <c r="J532" s="19" t="n">
        <f aca="false">IFERROR(VALUE(SUBSTITUTE(TRIM('수출입 실적(품목별)'!G536),",","")),"")</f>
        <v>137595</v>
      </c>
      <c r="K532" s="19" t="n">
        <f aca="false">IFERROR(VALUE(SUBSTITUTE(TRIM('수출입 실적(품목별)'!H536),",","")),"")</f>
        <v>-127103</v>
      </c>
    </row>
    <row r="533" customFormat="false" ht="15" hidden="false" customHeight="true" outlineLevel="0" collapsed="false">
      <c r="A533" s="11" t="str">
        <f aca="false">TRIM('수출입 실적(품목별)'!A537)</f>
        <v>2024.06</v>
      </c>
      <c r="B533" s="17" t="n">
        <f aca="false">IFERROR(VALUE(LEFT($A533,4)),"")</f>
        <v>2024</v>
      </c>
      <c r="C533" s="17" t="n">
        <f aca="false">IFERROR(VALUE(RIGHT($A533,2)),"")</f>
        <v>6</v>
      </c>
      <c r="D533" s="17" t="n">
        <f aca="false">IFERROR(ROUNDUP($C533/3,0),"")</f>
        <v>2</v>
      </c>
      <c r="E533" s="11" t="str">
        <f aca="false">TRIM('수출입 실적(품목별)'!B537)</f>
        <v>48</v>
      </c>
      <c r="F533" s="11" t="str">
        <f aca="false">TRIM('수출입 실적(품목별)'!C537)</f>
        <v>종이와 판지, 제지용 펄프ㆍ종이ㆍ판지의 제품</v>
      </c>
      <c r="G533" s="18" t="n">
        <f aca="false">IFERROR(VALUE(SUBSTITUTE(TRIM('수출입 실적(품목별)'!D537),",","")),"")</f>
        <v>221784</v>
      </c>
      <c r="H533" s="19" t="n">
        <f aca="false">IFERROR(VALUE(SUBSTITUTE(TRIM('수출입 실적(품목별)'!E537),",","")),"")</f>
        <v>225036</v>
      </c>
      <c r="I533" s="18" t="n">
        <f aca="false">IFERROR(VALUE(SUBSTITUTE(TRIM('수출입 실적(품목별)'!F537),",","")),"")</f>
        <v>124791.5</v>
      </c>
      <c r="J533" s="19" t="n">
        <f aca="false">IFERROR(VALUE(SUBSTITUTE(TRIM('수출입 실적(품목별)'!G537),",","")),"")</f>
        <v>186562</v>
      </c>
      <c r="K533" s="19" t="n">
        <f aca="false">IFERROR(VALUE(SUBSTITUTE(TRIM('수출입 실적(품목별)'!H537),",","")),"")</f>
        <v>38473</v>
      </c>
    </row>
    <row r="534" customFormat="false" ht="15" hidden="false" customHeight="true" outlineLevel="0" collapsed="false">
      <c r="A534" s="11" t="str">
        <f aca="false">TRIM('수출입 실적(품목별)'!A538)</f>
        <v>2024.06</v>
      </c>
      <c r="B534" s="17" t="n">
        <f aca="false">IFERROR(VALUE(LEFT($A534,4)),"")</f>
        <v>2024</v>
      </c>
      <c r="C534" s="17" t="n">
        <f aca="false">IFERROR(VALUE(RIGHT($A534,2)),"")</f>
        <v>6</v>
      </c>
      <c r="D534" s="17" t="n">
        <f aca="false">IFERROR(ROUNDUP($C534/3,0),"")</f>
        <v>2</v>
      </c>
      <c r="E534" s="11" t="str">
        <f aca="false">TRIM('수출입 실적(품목별)'!B538)</f>
        <v>49</v>
      </c>
      <c r="F534" s="11" t="str">
        <f aca="false">TRIM('수출입 실적(품목별)'!C538)</f>
        <v>인쇄서적ㆍ신문ㆍ회화ㆍ그 밖의 인쇄물, 수제(手製)문서ㆍ타자문서ㆍ도면</v>
      </c>
      <c r="G534" s="18" t="n">
        <f aca="false">IFERROR(VALUE(SUBSTITUTE(TRIM('수출입 실적(품목별)'!D538),",","")),"")</f>
        <v>5128.3</v>
      </c>
      <c r="H534" s="19" t="n">
        <f aca="false">IFERROR(VALUE(SUBSTITUTE(TRIM('수출입 실적(품목별)'!E538),",","")),"")</f>
        <v>47839</v>
      </c>
      <c r="I534" s="18" t="n">
        <f aca="false">IFERROR(VALUE(SUBSTITUTE(TRIM('수출입 실적(품목별)'!F538),",","")),"")</f>
        <v>1043.9</v>
      </c>
      <c r="J534" s="19" t="n">
        <f aca="false">IFERROR(VALUE(SUBSTITUTE(TRIM('수출입 실적(품목별)'!G538),",","")),"")</f>
        <v>19283</v>
      </c>
      <c r="K534" s="19" t="n">
        <f aca="false">IFERROR(VALUE(SUBSTITUTE(TRIM('수출입 실적(품목별)'!H538),",","")),"")</f>
        <v>28556</v>
      </c>
    </row>
    <row r="535" customFormat="false" ht="15" hidden="false" customHeight="true" outlineLevel="0" collapsed="false">
      <c r="A535" s="11" t="str">
        <f aca="false">TRIM('수출입 실적(품목별)'!A539)</f>
        <v>2024.06</v>
      </c>
      <c r="B535" s="17" t="n">
        <f aca="false">IFERROR(VALUE(LEFT($A535,4)),"")</f>
        <v>2024</v>
      </c>
      <c r="C535" s="17" t="n">
        <f aca="false">IFERROR(VALUE(RIGHT($A535,2)),"")</f>
        <v>6</v>
      </c>
      <c r="D535" s="17" t="n">
        <f aca="false">IFERROR(ROUNDUP($C535/3,0),"")</f>
        <v>2</v>
      </c>
      <c r="E535" s="11" t="str">
        <f aca="false">TRIM('수출입 실적(품목별)'!B539)</f>
        <v>50</v>
      </c>
      <c r="F535" s="11" t="str">
        <f aca="false">TRIM('수출입 실적(품목별)'!C539)</f>
        <v>견</v>
      </c>
      <c r="G535" s="18" t="n">
        <f aca="false">IFERROR(VALUE(SUBSTITUTE(TRIM('수출입 실적(품목별)'!D539),",","")),"")</f>
        <v>12.2</v>
      </c>
      <c r="H535" s="19" t="n">
        <f aca="false">IFERROR(VALUE(SUBSTITUTE(TRIM('수출입 실적(품목별)'!E539),",","")),"")</f>
        <v>1451</v>
      </c>
      <c r="I535" s="18" t="n">
        <f aca="false">IFERROR(VALUE(SUBSTITUTE(TRIM('수출입 실적(품목별)'!F539),",","")),"")</f>
        <v>24.2</v>
      </c>
      <c r="J535" s="19" t="n">
        <f aca="false">IFERROR(VALUE(SUBSTITUTE(TRIM('수출입 실적(품목별)'!G539),",","")),"")</f>
        <v>2258</v>
      </c>
      <c r="K535" s="19" t="n">
        <f aca="false">IFERROR(VALUE(SUBSTITUTE(TRIM('수출입 실적(품목별)'!H539),",","")),"")</f>
        <v>-807</v>
      </c>
    </row>
    <row r="536" customFormat="false" ht="15" hidden="false" customHeight="true" outlineLevel="0" collapsed="false">
      <c r="A536" s="11" t="str">
        <f aca="false">TRIM('수출입 실적(품목별)'!A540)</f>
        <v>2024.06</v>
      </c>
      <c r="B536" s="17" t="n">
        <f aca="false">IFERROR(VALUE(LEFT($A536,4)),"")</f>
        <v>2024</v>
      </c>
      <c r="C536" s="17" t="n">
        <f aca="false">IFERROR(VALUE(RIGHT($A536,2)),"")</f>
        <v>6</v>
      </c>
      <c r="D536" s="17" t="n">
        <f aca="false">IFERROR(ROUNDUP($C536/3,0),"")</f>
        <v>2</v>
      </c>
      <c r="E536" s="11" t="str">
        <f aca="false">TRIM('수출입 실적(품목별)'!B540)</f>
        <v>51</v>
      </c>
      <c r="F536" s="11" t="str">
        <f aca="false">TRIM('수출입 실적(품목별)'!C540)</f>
        <v>양모ㆍ동물의 부드러운 털이나 거친 털ㆍ말의 털로 만든 실과 직물</v>
      </c>
      <c r="G536" s="18" t="n">
        <f aca="false">IFERROR(VALUE(SUBSTITUTE(TRIM('수출입 실적(품목별)'!D540),",","")),"")</f>
        <v>433.2</v>
      </c>
      <c r="H536" s="19" t="n">
        <f aca="false">IFERROR(VALUE(SUBSTITUTE(TRIM('수출입 실적(품목별)'!E540),",","")),"")</f>
        <v>7949</v>
      </c>
      <c r="I536" s="18" t="n">
        <f aca="false">IFERROR(VALUE(SUBSTITUTE(TRIM('수출입 실적(품목별)'!F540),",","")),"")</f>
        <v>982</v>
      </c>
      <c r="J536" s="19" t="n">
        <f aca="false">IFERROR(VALUE(SUBSTITUTE(TRIM('수출입 실적(품목별)'!G540),",","")),"")</f>
        <v>24812</v>
      </c>
      <c r="K536" s="19" t="n">
        <f aca="false">IFERROR(VALUE(SUBSTITUTE(TRIM('수출입 실적(품목별)'!H540),",","")),"")</f>
        <v>-16862</v>
      </c>
    </row>
    <row r="537" customFormat="false" ht="15" hidden="false" customHeight="true" outlineLevel="0" collapsed="false">
      <c r="A537" s="11" t="str">
        <f aca="false">TRIM('수출입 실적(품목별)'!A541)</f>
        <v>2024.06</v>
      </c>
      <c r="B537" s="17" t="n">
        <f aca="false">IFERROR(VALUE(LEFT($A537,4)),"")</f>
        <v>2024</v>
      </c>
      <c r="C537" s="17" t="n">
        <f aca="false">IFERROR(VALUE(RIGHT($A537,2)),"")</f>
        <v>6</v>
      </c>
      <c r="D537" s="17" t="n">
        <f aca="false">IFERROR(ROUNDUP($C537/3,0),"")</f>
        <v>2</v>
      </c>
      <c r="E537" s="11" t="str">
        <f aca="false">TRIM('수출입 실적(품목별)'!B541)</f>
        <v>52</v>
      </c>
      <c r="F537" s="11" t="str">
        <f aca="false">TRIM('수출입 실적(품목별)'!C541)</f>
        <v>면</v>
      </c>
      <c r="G537" s="18" t="n">
        <f aca="false">IFERROR(VALUE(SUBSTITUTE(TRIM('수출입 실적(품목별)'!D541),",","")),"")</f>
        <v>2960.5</v>
      </c>
      <c r="H537" s="19" t="n">
        <f aca="false">IFERROR(VALUE(SUBSTITUTE(TRIM('수출입 실적(품목별)'!E541),",","")),"")</f>
        <v>25519</v>
      </c>
      <c r="I537" s="18" t="n">
        <f aca="false">IFERROR(VALUE(SUBSTITUTE(TRIM('수출입 실적(품목별)'!F541),",","")),"")</f>
        <v>19848.8</v>
      </c>
      <c r="J537" s="19" t="n">
        <f aca="false">IFERROR(VALUE(SUBSTITUTE(TRIM('수출입 실적(품목별)'!G541),",","")),"")</f>
        <v>64110</v>
      </c>
      <c r="K537" s="19" t="n">
        <f aca="false">IFERROR(VALUE(SUBSTITUTE(TRIM('수출입 실적(품목별)'!H541),",","")),"")</f>
        <v>-38591</v>
      </c>
    </row>
    <row r="538" customFormat="false" ht="15" hidden="false" customHeight="true" outlineLevel="0" collapsed="false">
      <c r="A538" s="11" t="str">
        <f aca="false">TRIM('수출입 실적(품목별)'!A542)</f>
        <v>2024.06</v>
      </c>
      <c r="B538" s="17" t="n">
        <f aca="false">IFERROR(VALUE(LEFT($A538,4)),"")</f>
        <v>2024</v>
      </c>
      <c r="C538" s="17" t="n">
        <f aca="false">IFERROR(VALUE(RIGHT($A538,2)),"")</f>
        <v>6</v>
      </c>
      <c r="D538" s="17" t="n">
        <f aca="false">IFERROR(ROUNDUP($C538/3,0),"")</f>
        <v>2</v>
      </c>
      <c r="E538" s="11" t="str">
        <f aca="false">TRIM('수출입 실적(품목별)'!B542)</f>
        <v>53</v>
      </c>
      <c r="F538" s="11" t="str">
        <f aca="false">TRIM('수출입 실적(품목별)'!C542)</f>
        <v>그 밖의 식물성 방직용 섬유, 종이실(paper yarn)과 종이실로 만든 직물</v>
      </c>
      <c r="G538" s="18" t="n">
        <f aca="false">IFERROR(VALUE(SUBSTITUTE(TRIM('수출입 실적(품목별)'!D542),",","")),"")</f>
        <v>19.7</v>
      </c>
      <c r="H538" s="19" t="n">
        <f aca="false">IFERROR(VALUE(SUBSTITUTE(TRIM('수출입 실적(품목별)'!E542),",","")),"")</f>
        <v>162</v>
      </c>
      <c r="I538" s="18" t="n">
        <f aca="false">IFERROR(VALUE(SUBSTITUTE(TRIM('수출입 실적(품목별)'!F542),",","")),"")</f>
        <v>1233.3</v>
      </c>
      <c r="J538" s="19" t="n">
        <f aca="false">IFERROR(VALUE(SUBSTITUTE(TRIM('수출입 실적(품목별)'!G542),",","")),"")</f>
        <v>3879</v>
      </c>
      <c r="K538" s="19" t="n">
        <f aca="false">IFERROR(VALUE(SUBSTITUTE(TRIM('수출입 실적(품목별)'!H542),",","")),"")</f>
        <v>-3718</v>
      </c>
    </row>
    <row r="539" customFormat="false" ht="15" hidden="false" customHeight="true" outlineLevel="0" collapsed="false">
      <c r="A539" s="11" t="str">
        <f aca="false">TRIM('수출입 실적(품목별)'!A543)</f>
        <v>2024.06</v>
      </c>
      <c r="B539" s="17" t="n">
        <f aca="false">IFERROR(VALUE(LEFT($A539,4)),"")</f>
        <v>2024</v>
      </c>
      <c r="C539" s="17" t="n">
        <f aca="false">IFERROR(VALUE(RIGHT($A539,2)),"")</f>
        <v>6</v>
      </c>
      <c r="D539" s="17" t="n">
        <f aca="false">IFERROR(ROUNDUP($C539/3,0),"")</f>
        <v>2</v>
      </c>
      <c r="E539" s="11" t="str">
        <f aca="false">TRIM('수출입 실적(품목별)'!B543)</f>
        <v>54</v>
      </c>
      <c r="F539" s="11" t="str">
        <f aca="false">TRIM('수출입 실적(품목별)'!C543)</f>
        <v>인조필라멘트, 인조방직용 섬유재료의 스트립(strip)과 이와 유사한 것</v>
      </c>
      <c r="G539" s="18" t="n">
        <f aca="false">IFERROR(VALUE(SUBSTITUTE(TRIM('수출입 실적(품목별)'!D543),",","")),"")</f>
        <v>25072.8</v>
      </c>
      <c r="H539" s="19" t="n">
        <f aca="false">IFERROR(VALUE(SUBSTITUTE(TRIM('수출입 실적(품목별)'!E543),",","")),"")</f>
        <v>166103</v>
      </c>
      <c r="I539" s="18" t="n">
        <f aca="false">IFERROR(VALUE(SUBSTITUTE(TRIM('수출입 실적(품목별)'!F543),",","")),"")</f>
        <v>38436.6</v>
      </c>
      <c r="J539" s="19" t="n">
        <f aca="false">IFERROR(VALUE(SUBSTITUTE(TRIM('수출입 실적(품목별)'!G543),",","")),"")</f>
        <v>87362</v>
      </c>
      <c r="K539" s="19" t="n">
        <f aca="false">IFERROR(VALUE(SUBSTITUTE(TRIM('수출입 실적(품목별)'!H543),",","")),"")</f>
        <v>78741</v>
      </c>
    </row>
    <row r="540" customFormat="false" ht="15" hidden="false" customHeight="true" outlineLevel="0" collapsed="false">
      <c r="A540" s="11" t="str">
        <f aca="false">TRIM('수출입 실적(품목별)'!A544)</f>
        <v>2024.06</v>
      </c>
      <c r="B540" s="17" t="n">
        <f aca="false">IFERROR(VALUE(LEFT($A540,4)),"")</f>
        <v>2024</v>
      </c>
      <c r="C540" s="17" t="n">
        <f aca="false">IFERROR(VALUE(RIGHT($A540,2)),"")</f>
        <v>6</v>
      </c>
      <c r="D540" s="17" t="n">
        <f aca="false">IFERROR(ROUNDUP($C540/3,0),"")</f>
        <v>2</v>
      </c>
      <c r="E540" s="11" t="str">
        <f aca="false">TRIM('수출입 실적(품목별)'!B544)</f>
        <v>55</v>
      </c>
      <c r="F540" s="11" t="str">
        <f aca="false">TRIM('수출입 실적(품목별)'!C544)</f>
        <v>인조스테이플섬유</v>
      </c>
      <c r="G540" s="18" t="n">
        <f aca="false">IFERROR(VALUE(SUBSTITUTE(TRIM('수출입 실적(품목별)'!D544),",","")),"")</f>
        <v>57900.7</v>
      </c>
      <c r="H540" s="19" t="n">
        <f aca="false">IFERROR(VALUE(SUBSTITUTE(TRIM('수출입 실적(품목별)'!E544),",","")),"")</f>
        <v>106905</v>
      </c>
      <c r="I540" s="18" t="n">
        <f aca="false">IFERROR(VALUE(SUBSTITUTE(TRIM('수출입 실적(품목별)'!F544),",","")),"")</f>
        <v>11890.3</v>
      </c>
      <c r="J540" s="19" t="n">
        <f aca="false">IFERROR(VALUE(SUBSTITUTE(TRIM('수출입 실적(품목별)'!G544),",","")),"")</f>
        <v>45393</v>
      </c>
      <c r="K540" s="19" t="n">
        <f aca="false">IFERROR(VALUE(SUBSTITUTE(TRIM('수출입 실적(품목별)'!H544),",","")),"")</f>
        <v>61512</v>
      </c>
    </row>
    <row r="541" customFormat="false" ht="15" hidden="false" customHeight="true" outlineLevel="0" collapsed="false">
      <c r="A541" s="11" t="str">
        <f aca="false">TRIM('수출입 실적(품목별)'!A545)</f>
        <v>2024.06</v>
      </c>
      <c r="B541" s="17" t="n">
        <f aca="false">IFERROR(VALUE(LEFT($A541,4)),"")</f>
        <v>2024</v>
      </c>
      <c r="C541" s="17" t="n">
        <f aca="false">IFERROR(VALUE(RIGHT($A541,2)),"")</f>
        <v>6</v>
      </c>
      <c r="D541" s="17" t="n">
        <f aca="false">IFERROR(ROUNDUP($C541/3,0),"")</f>
        <v>2</v>
      </c>
      <c r="E541" s="11" t="str">
        <f aca="false">TRIM('수출입 실적(품목별)'!B545)</f>
        <v>56</v>
      </c>
      <c r="F541" s="11" t="str">
        <f aca="false">TRIM('수출입 실적(품목별)'!C545)</f>
        <v>워딩(wadding)ㆍ펠트(felt)ㆍ부직포, 특수사, 끈ㆍ배의 밧줄(cordage)ㆍ로프ㆍ케이블과 이들의 제품</v>
      </c>
      <c r="G541" s="18" t="n">
        <f aca="false">IFERROR(VALUE(SUBSTITUTE(TRIM('수출입 실적(품목별)'!D545),",","")),"")</f>
        <v>9759.3</v>
      </c>
      <c r="H541" s="19" t="n">
        <f aca="false">IFERROR(VALUE(SUBSTITUTE(TRIM('수출입 실적(품목별)'!E545),",","")),"")</f>
        <v>61067</v>
      </c>
      <c r="I541" s="18" t="n">
        <f aca="false">IFERROR(VALUE(SUBSTITUTE(TRIM('수출입 실적(품목별)'!F545),",","")),"")</f>
        <v>17033.1</v>
      </c>
      <c r="J541" s="19" t="n">
        <f aca="false">IFERROR(VALUE(SUBSTITUTE(TRIM('수출입 실적(품목별)'!G545),",","")),"")</f>
        <v>53409</v>
      </c>
      <c r="K541" s="19" t="n">
        <f aca="false">IFERROR(VALUE(SUBSTITUTE(TRIM('수출입 실적(품목별)'!H545),",","")),"")</f>
        <v>7657</v>
      </c>
    </row>
    <row r="542" customFormat="false" ht="15" hidden="false" customHeight="true" outlineLevel="0" collapsed="false">
      <c r="A542" s="11" t="str">
        <f aca="false">TRIM('수출입 실적(품목별)'!A546)</f>
        <v>2024.06</v>
      </c>
      <c r="B542" s="17" t="n">
        <f aca="false">IFERROR(VALUE(LEFT($A542,4)),"")</f>
        <v>2024</v>
      </c>
      <c r="C542" s="17" t="n">
        <f aca="false">IFERROR(VALUE(RIGHT($A542,2)),"")</f>
        <v>6</v>
      </c>
      <c r="D542" s="17" t="n">
        <f aca="false">IFERROR(ROUNDUP($C542/3,0),"")</f>
        <v>2</v>
      </c>
      <c r="E542" s="11" t="str">
        <f aca="false">TRIM('수출입 실적(품목별)'!B546)</f>
        <v>57</v>
      </c>
      <c r="F542" s="11" t="str">
        <f aca="false">TRIM('수출입 실적(품목별)'!C546)</f>
        <v>양탄자류와 그 밖의 방직용 섬유로 만든 바닥깔개</v>
      </c>
      <c r="G542" s="18" t="n">
        <f aca="false">IFERROR(VALUE(SUBSTITUTE(TRIM('수출입 실적(품목별)'!D546),",","")),"")</f>
        <v>646.6</v>
      </c>
      <c r="H542" s="19" t="n">
        <f aca="false">IFERROR(VALUE(SUBSTITUTE(TRIM('수출입 실적(품목별)'!E546),",","")),"")</f>
        <v>6948</v>
      </c>
      <c r="I542" s="18" t="n">
        <f aca="false">IFERROR(VALUE(SUBSTITUTE(TRIM('수출입 실적(품목별)'!F546),",","")),"")</f>
        <v>6235.9</v>
      </c>
      <c r="J542" s="19" t="n">
        <f aca="false">IFERROR(VALUE(SUBSTITUTE(TRIM('수출입 실적(품목별)'!G546),",","")),"")</f>
        <v>10507</v>
      </c>
      <c r="K542" s="19" t="n">
        <f aca="false">IFERROR(VALUE(SUBSTITUTE(TRIM('수출입 실적(품목별)'!H546),",","")),"")</f>
        <v>-3559</v>
      </c>
    </row>
    <row r="543" customFormat="false" ht="15" hidden="false" customHeight="true" outlineLevel="0" collapsed="false">
      <c r="A543" s="11" t="str">
        <f aca="false">TRIM('수출입 실적(품목별)'!A547)</f>
        <v>2024.06</v>
      </c>
      <c r="B543" s="17" t="n">
        <f aca="false">IFERROR(VALUE(LEFT($A543,4)),"")</f>
        <v>2024</v>
      </c>
      <c r="C543" s="17" t="n">
        <f aca="false">IFERROR(VALUE(RIGHT($A543,2)),"")</f>
        <v>6</v>
      </c>
      <c r="D543" s="17" t="n">
        <f aca="false">IFERROR(ROUNDUP($C543/3,0),"")</f>
        <v>2</v>
      </c>
      <c r="E543" s="11" t="str">
        <f aca="false">TRIM('수출입 실적(품목별)'!B547)</f>
        <v>58</v>
      </c>
      <c r="F543" s="11" t="str">
        <f aca="false">TRIM('수출입 실적(품목별)'!C547)</f>
        <v>특수직물, 터프트(tuft)한 직물, 레이스, 태피스트리(tapestry), 트리밍(trimming), 자수천</v>
      </c>
      <c r="G543" s="18" t="n">
        <f aca="false">IFERROR(VALUE(SUBSTITUTE(TRIM('수출입 실적(품목별)'!D547),",","")),"")</f>
        <v>1335.5</v>
      </c>
      <c r="H543" s="19" t="n">
        <f aca="false">IFERROR(VALUE(SUBSTITUTE(TRIM('수출입 실적(품목별)'!E547),",","")),"")</f>
        <v>15623</v>
      </c>
      <c r="I543" s="18" t="n">
        <f aca="false">IFERROR(VALUE(SUBSTITUTE(TRIM('수출입 실적(품목별)'!F547),",","")),"")</f>
        <v>904.7</v>
      </c>
      <c r="J543" s="19" t="n">
        <f aca="false">IFERROR(VALUE(SUBSTITUTE(TRIM('수출입 실적(품목별)'!G547),",","")),"")</f>
        <v>7167</v>
      </c>
      <c r="K543" s="19" t="n">
        <f aca="false">IFERROR(VALUE(SUBSTITUTE(TRIM('수출입 실적(품목별)'!H547),",","")),"")</f>
        <v>8455</v>
      </c>
    </row>
    <row r="544" customFormat="false" ht="15" hidden="false" customHeight="true" outlineLevel="0" collapsed="false">
      <c r="A544" s="11" t="str">
        <f aca="false">TRIM('수출입 실적(품목별)'!A548)</f>
        <v>2024.06</v>
      </c>
      <c r="B544" s="17" t="n">
        <f aca="false">IFERROR(VALUE(LEFT($A544,4)),"")</f>
        <v>2024</v>
      </c>
      <c r="C544" s="17" t="n">
        <f aca="false">IFERROR(VALUE(RIGHT($A544,2)),"")</f>
        <v>6</v>
      </c>
      <c r="D544" s="17" t="n">
        <f aca="false">IFERROR(ROUNDUP($C544/3,0),"")</f>
        <v>2</v>
      </c>
      <c r="E544" s="11" t="str">
        <f aca="false">TRIM('수출입 실적(품목별)'!B548)</f>
        <v>59</v>
      </c>
      <c r="F544" s="11" t="str">
        <f aca="false">TRIM('수출입 실적(품목별)'!C548)</f>
        <v>침투ㆍ도포ㆍ피복하거나 적층한 방직용 섬유의 직물, 공업용인 방직용 섬유제품</v>
      </c>
      <c r="G544" s="18" t="n">
        <f aca="false">IFERROR(VALUE(SUBSTITUTE(TRIM('수출입 실적(품목별)'!D548),",","")),"")</f>
        <v>9315.7</v>
      </c>
      <c r="H544" s="19" t="n">
        <f aca="false">IFERROR(VALUE(SUBSTITUTE(TRIM('수출입 실적(품목별)'!E548),",","")),"")</f>
        <v>88637</v>
      </c>
      <c r="I544" s="18" t="n">
        <f aca="false">IFERROR(VALUE(SUBSTITUTE(TRIM('수출입 실적(품목별)'!F548),",","")),"")</f>
        <v>5371.8</v>
      </c>
      <c r="J544" s="19" t="n">
        <f aca="false">IFERROR(VALUE(SUBSTITUTE(TRIM('수출입 실적(품목별)'!G548),",","")),"")</f>
        <v>38125</v>
      </c>
      <c r="K544" s="19" t="n">
        <f aca="false">IFERROR(VALUE(SUBSTITUTE(TRIM('수출입 실적(품목별)'!H548),",","")),"")</f>
        <v>50513</v>
      </c>
    </row>
    <row r="545" customFormat="false" ht="15" hidden="false" customHeight="true" outlineLevel="0" collapsed="false">
      <c r="A545" s="11" t="str">
        <f aca="false">TRIM('수출입 실적(품목별)'!A549)</f>
        <v>2024.06</v>
      </c>
      <c r="B545" s="17" t="n">
        <f aca="false">IFERROR(VALUE(LEFT($A545,4)),"")</f>
        <v>2024</v>
      </c>
      <c r="C545" s="17" t="n">
        <f aca="false">IFERROR(VALUE(RIGHT($A545,2)),"")</f>
        <v>6</v>
      </c>
      <c r="D545" s="17" t="n">
        <f aca="false">IFERROR(ROUNDUP($C545/3,0),"")</f>
        <v>2</v>
      </c>
      <c r="E545" s="11" t="str">
        <f aca="false">TRIM('수출입 실적(품목별)'!B549)</f>
        <v>60</v>
      </c>
      <c r="F545" s="11" t="str">
        <f aca="false">TRIM('수출입 실적(품목별)'!C549)</f>
        <v>메리야스 편물과 뜨개질 편물</v>
      </c>
      <c r="G545" s="18" t="n">
        <f aca="false">IFERROR(VALUE(SUBSTITUTE(TRIM('수출입 실적(품목별)'!D549),",","")),"")</f>
        <v>18750.4</v>
      </c>
      <c r="H545" s="19" t="n">
        <f aca="false">IFERROR(VALUE(SUBSTITUTE(TRIM('수출입 실적(품목별)'!E549),",","")),"")</f>
        <v>147754</v>
      </c>
      <c r="I545" s="18" t="n">
        <f aca="false">IFERROR(VALUE(SUBSTITUTE(TRIM('수출입 실적(품목별)'!F549),",","")),"")</f>
        <v>1569.1</v>
      </c>
      <c r="J545" s="19" t="n">
        <f aca="false">IFERROR(VALUE(SUBSTITUTE(TRIM('수출입 실적(품목별)'!G549),",","")),"")</f>
        <v>8960</v>
      </c>
      <c r="K545" s="19" t="n">
        <f aca="false">IFERROR(VALUE(SUBSTITUTE(TRIM('수출입 실적(품목별)'!H549),",","")),"")</f>
        <v>138794</v>
      </c>
    </row>
    <row r="546" customFormat="false" ht="15" hidden="false" customHeight="true" outlineLevel="0" collapsed="false">
      <c r="A546" s="11" t="str">
        <f aca="false">TRIM('수출입 실적(품목별)'!A550)</f>
        <v>2024.06</v>
      </c>
      <c r="B546" s="17" t="n">
        <f aca="false">IFERROR(VALUE(LEFT($A546,4)),"")</f>
        <v>2024</v>
      </c>
      <c r="C546" s="17" t="n">
        <f aca="false">IFERROR(VALUE(RIGHT($A546,2)),"")</f>
        <v>6</v>
      </c>
      <c r="D546" s="17" t="n">
        <f aca="false">IFERROR(ROUNDUP($C546/3,0),"")</f>
        <v>2</v>
      </c>
      <c r="E546" s="11" t="str">
        <f aca="false">TRIM('수출입 실적(품목별)'!B550)</f>
        <v>61</v>
      </c>
      <c r="F546" s="11" t="str">
        <f aca="false">TRIM('수출입 실적(품목별)'!C550)</f>
        <v>의류와 그 부속품(메리야스 편물이나 뜨개질 편물로 한정한다)</v>
      </c>
      <c r="G546" s="18" t="n">
        <f aca="false">IFERROR(VALUE(SUBSTITUTE(TRIM('수출입 실적(품목별)'!D550),",","")),"")</f>
        <v>2322.7</v>
      </c>
      <c r="H546" s="19" t="n">
        <f aca="false">IFERROR(VALUE(SUBSTITUTE(TRIM('수출입 실적(품목별)'!E550),",","")),"")</f>
        <v>65552</v>
      </c>
      <c r="I546" s="18" t="n">
        <f aca="false">IFERROR(VALUE(SUBSTITUTE(TRIM('수출입 실적(품목별)'!F550),",","")),"")</f>
        <v>14864.7</v>
      </c>
      <c r="J546" s="19" t="n">
        <f aca="false">IFERROR(VALUE(SUBSTITUTE(TRIM('수출입 실적(품목별)'!G550),",","")),"")</f>
        <v>304732</v>
      </c>
      <c r="K546" s="19" t="n">
        <f aca="false">IFERROR(VALUE(SUBSTITUTE(TRIM('수출입 실적(품목별)'!H550),",","")),"")</f>
        <v>-239181</v>
      </c>
    </row>
    <row r="547" customFormat="false" ht="15" hidden="false" customHeight="true" outlineLevel="0" collapsed="false">
      <c r="A547" s="11" t="str">
        <f aca="false">TRIM('수출입 실적(품목별)'!A551)</f>
        <v>2024.06</v>
      </c>
      <c r="B547" s="17" t="n">
        <f aca="false">IFERROR(VALUE(LEFT($A547,4)),"")</f>
        <v>2024</v>
      </c>
      <c r="C547" s="17" t="n">
        <f aca="false">IFERROR(VALUE(RIGHT($A547,2)),"")</f>
        <v>6</v>
      </c>
      <c r="D547" s="17" t="n">
        <f aca="false">IFERROR(ROUNDUP($C547/3,0),"")</f>
        <v>2</v>
      </c>
      <c r="E547" s="11" t="str">
        <f aca="false">TRIM('수출입 실적(품목별)'!B551)</f>
        <v>62</v>
      </c>
      <c r="F547" s="11" t="str">
        <f aca="false">TRIM('수출입 실적(품목별)'!C551)</f>
        <v>의류와 그 부속품(메리야스 편물이나 뜨개질편물은 제외한다)</v>
      </c>
      <c r="G547" s="18" t="n">
        <f aca="false">IFERROR(VALUE(SUBSTITUTE(TRIM('수출입 실적(품목별)'!D551),",","")),"")</f>
        <v>3198.4</v>
      </c>
      <c r="H547" s="19" t="n">
        <f aca="false">IFERROR(VALUE(SUBSTITUTE(TRIM('수출입 실적(품목별)'!E551),",","")),"")</f>
        <v>82344</v>
      </c>
      <c r="I547" s="18" t="n">
        <f aca="false">IFERROR(VALUE(SUBSTITUTE(TRIM('수출입 실적(품목별)'!F551),",","")),"")</f>
        <v>14649.1</v>
      </c>
      <c r="J547" s="19" t="n">
        <f aca="false">IFERROR(VALUE(SUBSTITUTE(TRIM('수출입 실적(품목별)'!G551),",","")),"")</f>
        <v>432552</v>
      </c>
      <c r="K547" s="19" t="n">
        <f aca="false">IFERROR(VALUE(SUBSTITUTE(TRIM('수출입 실적(품목별)'!H551),",","")),"")</f>
        <v>-350208</v>
      </c>
    </row>
    <row r="548" customFormat="false" ht="15" hidden="false" customHeight="true" outlineLevel="0" collapsed="false">
      <c r="A548" s="11" t="str">
        <f aca="false">TRIM('수출입 실적(품목별)'!A552)</f>
        <v>2024.06</v>
      </c>
      <c r="B548" s="17" t="n">
        <f aca="false">IFERROR(VALUE(LEFT($A548,4)),"")</f>
        <v>2024</v>
      </c>
      <c r="C548" s="17" t="n">
        <f aca="false">IFERROR(VALUE(RIGHT($A548,2)),"")</f>
        <v>6</v>
      </c>
      <c r="D548" s="17" t="n">
        <f aca="false">IFERROR(ROUNDUP($C548/3,0),"")</f>
        <v>2</v>
      </c>
      <c r="E548" s="11" t="str">
        <f aca="false">TRIM('수출입 실적(품목별)'!B552)</f>
        <v>63</v>
      </c>
      <c r="F548" s="11" t="str">
        <f aca="false">TRIM('수출입 실적(품목별)'!C552)</f>
        <v>제품으로 된 방직용 섬유의 그 밖의 물품, 세트, 사용하던 의류ㆍ방직용 섬유제품, 넝마</v>
      </c>
      <c r="G548" s="18" t="n">
        <f aca="false">IFERROR(VALUE(SUBSTITUTE(TRIM('수출입 실적(품목별)'!D552),",","")),"")</f>
        <v>28967.4</v>
      </c>
      <c r="H548" s="19" t="n">
        <f aca="false">IFERROR(VALUE(SUBSTITUTE(TRIM('수출입 실적(품목별)'!E552),",","")),"")</f>
        <v>55232</v>
      </c>
      <c r="I548" s="18" t="n">
        <f aca="false">IFERROR(VALUE(SUBSTITUTE(TRIM('수출입 실적(품목별)'!F552),",","")),"")</f>
        <v>25990.1</v>
      </c>
      <c r="J548" s="19" t="n">
        <f aca="false">IFERROR(VALUE(SUBSTITUTE(TRIM('수출입 실적(품목별)'!G552),",","")),"")</f>
        <v>107549</v>
      </c>
      <c r="K548" s="19" t="n">
        <f aca="false">IFERROR(VALUE(SUBSTITUTE(TRIM('수출입 실적(품목별)'!H552),",","")),"")</f>
        <v>-52317</v>
      </c>
    </row>
    <row r="549" customFormat="false" ht="15" hidden="false" customHeight="true" outlineLevel="0" collapsed="false">
      <c r="A549" s="11" t="str">
        <f aca="false">TRIM('수출입 실적(품목별)'!A553)</f>
        <v>2024.06</v>
      </c>
      <c r="B549" s="17" t="n">
        <f aca="false">IFERROR(VALUE(LEFT($A549,4)),"")</f>
        <v>2024</v>
      </c>
      <c r="C549" s="17" t="n">
        <f aca="false">IFERROR(VALUE(RIGHT($A549,2)),"")</f>
        <v>6</v>
      </c>
      <c r="D549" s="17" t="n">
        <f aca="false">IFERROR(ROUNDUP($C549/3,0),"")</f>
        <v>2</v>
      </c>
      <c r="E549" s="11" t="str">
        <f aca="false">TRIM('수출입 실적(품목별)'!B553)</f>
        <v>64</v>
      </c>
      <c r="F549" s="11" t="str">
        <f aca="false">TRIM('수출입 실적(품목별)'!C553)</f>
        <v>신발류ㆍ각반과 이와 유사한 것, 이들의 부분품</v>
      </c>
      <c r="G549" s="18" t="n">
        <f aca="false">IFERROR(VALUE(SUBSTITUTE(TRIM('수출입 실적(품목별)'!D553),",","")),"")</f>
        <v>1346.5</v>
      </c>
      <c r="H549" s="19" t="n">
        <f aca="false">IFERROR(VALUE(SUBSTITUTE(TRIM('수출입 실적(품목별)'!E553),",","")),"")</f>
        <v>35241</v>
      </c>
      <c r="I549" s="18" t="n">
        <f aca="false">IFERROR(VALUE(SUBSTITUTE(TRIM('수출입 실적(품목별)'!F553),",","")),"")</f>
        <v>11425</v>
      </c>
      <c r="J549" s="19" t="n">
        <f aca="false">IFERROR(VALUE(SUBSTITUTE(TRIM('수출입 실적(품목별)'!G553),",","")),"")</f>
        <v>317457</v>
      </c>
      <c r="K549" s="19" t="n">
        <f aca="false">IFERROR(VALUE(SUBSTITUTE(TRIM('수출입 실적(품목별)'!H553),",","")),"")</f>
        <v>-282216</v>
      </c>
    </row>
    <row r="550" customFormat="false" ht="15" hidden="false" customHeight="true" outlineLevel="0" collapsed="false">
      <c r="A550" s="11" t="str">
        <f aca="false">TRIM('수출입 실적(품목별)'!A554)</f>
        <v>2024.06</v>
      </c>
      <c r="B550" s="17" t="n">
        <f aca="false">IFERROR(VALUE(LEFT($A550,4)),"")</f>
        <v>2024</v>
      </c>
      <c r="C550" s="17" t="n">
        <f aca="false">IFERROR(VALUE(RIGHT($A550,2)),"")</f>
        <v>6</v>
      </c>
      <c r="D550" s="17" t="n">
        <f aca="false">IFERROR(ROUNDUP($C550/3,0),"")</f>
        <v>2</v>
      </c>
      <c r="E550" s="11" t="str">
        <f aca="false">TRIM('수출입 실적(품목별)'!B554)</f>
        <v>65</v>
      </c>
      <c r="F550" s="11" t="str">
        <f aca="false">TRIM('수출입 실적(품목별)'!C554)</f>
        <v>모자류와 그 부분품</v>
      </c>
      <c r="G550" s="18" t="n">
        <f aca="false">IFERROR(VALUE(SUBSTITUTE(TRIM('수출입 실적(품목별)'!D554),",","")),"")</f>
        <v>281.3</v>
      </c>
      <c r="H550" s="19" t="n">
        <f aca="false">IFERROR(VALUE(SUBSTITUTE(TRIM('수출입 실적(품목별)'!E554),",","")),"")</f>
        <v>9168</v>
      </c>
      <c r="I550" s="18" t="n">
        <f aca="false">IFERROR(VALUE(SUBSTITUTE(TRIM('수출입 실적(품목별)'!F554),",","")),"")</f>
        <v>873.3</v>
      </c>
      <c r="J550" s="19" t="n">
        <f aca="false">IFERROR(VALUE(SUBSTITUTE(TRIM('수출입 실적(품목별)'!G554),",","")),"")</f>
        <v>25279</v>
      </c>
      <c r="K550" s="19" t="n">
        <f aca="false">IFERROR(VALUE(SUBSTITUTE(TRIM('수출입 실적(품목별)'!H554),",","")),"")</f>
        <v>-16111</v>
      </c>
    </row>
    <row r="551" customFormat="false" ht="15" hidden="false" customHeight="true" outlineLevel="0" collapsed="false">
      <c r="A551" s="11" t="str">
        <f aca="false">TRIM('수출입 실적(품목별)'!A555)</f>
        <v>2024.06</v>
      </c>
      <c r="B551" s="17" t="n">
        <f aca="false">IFERROR(VALUE(LEFT($A551,4)),"")</f>
        <v>2024</v>
      </c>
      <c r="C551" s="17" t="n">
        <f aca="false">IFERROR(VALUE(RIGHT($A551,2)),"")</f>
        <v>6</v>
      </c>
      <c r="D551" s="17" t="n">
        <f aca="false">IFERROR(ROUNDUP($C551/3,0),"")</f>
        <v>2</v>
      </c>
      <c r="E551" s="11" t="str">
        <f aca="false">TRIM('수출입 실적(품목별)'!B555)</f>
        <v>66</v>
      </c>
      <c r="F551" s="11" t="str">
        <f aca="false">TRIM('수출입 실적(품목별)'!C555)</f>
        <v>산류(傘類)ㆍ지팡이ㆍ시트스틱(seat-stick)ㆍ채찍ㆍ승마용 채찍과 이들의 부분품</v>
      </c>
      <c r="G551" s="18" t="n">
        <f aca="false">IFERROR(VALUE(SUBSTITUTE(TRIM('수출입 실적(품목별)'!D555),",","")),"")</f>
        <v>8.2</v>
      </c>
      <c r="H551" s="19" t="n">
        <f aca="false">IFERROR(VALUE(SUBSTITUTE(TRIM('수출입 실적(품목별)'!E555),",","")),"")</f>
        <v>207</v>
      </c>
      <c r="I551" s="18" t="n">
        <f aca="false">IFERROR(VALUE(SUBSTITUTE(TRIM('수출입 실적(품목별)'!F555),",","")),"")</f>
        <v>2994.2</v>
      </c>
      <c r="J551" s="19" t="n">
        <f aca="false">IFERROR(VALUE(SUBSTITUTE(TRIM('수출입 실적(품목별)'!G555),",","")),"")</f>
        <v>18833</v>
      </c>
      <c r="K551" s="19" t="n">
        <f aca="false">IFERROR(VALUE(SUBSTITUTE(TRIM('수출입 실적(품목별)'!H555),",","")),"")</f>
        <v>-18626</v>
      </c>
    </row>
    <row r="552" customFormat="false" ht="15" hidden="false" customHeight="true" outlineLevel="0" collapsed="false">
      <c r="A552" s="11" t="str">
        <f aca="false">TRIM('수출입 실적(품목별)'!A556)</f>
        <v>2024.06</v>
      </c>
      <c r="B552" s="17" t="n">
        <f aca="false">IFERROR(VALUE(LEFT($A552,4)),"")</f>
        <v>2024</v>
      </c>
      <c r="C552" s="17" t="n">
        <f aca="false">IFERROR(VALUE(RIGHT($A552,2)),"")</f>
        <v>6</v>
      </c>
      <c r="D552" s="17" t="n">
        <f aca="false">IFERROR(ROUNDUP($C552/3,0),"")</f>
        <v>2</v>
      </c>
      <c r="E552" s="11" t="str">
        <f aca="false">TRIM('수출입 실적(품목별)'!B556)</f>
        <v>67</v>
      </c>
      <c r="F552" s="11" t="str">
        <f aca="false">TRIM('수출입 실적(품목별)'!C556)</f>
        <v>조제 깃털ㆍ솜털과 그 제품, 조화, 사람 머리카락으로 된 제품</v>
      </c>
      <c r="G552" s="18" t="n">
        <f aca="false">IFERROR(VALUE(SUBSTITUTE(TRIM('수출입 실적(품목별)'!D556),",","")),"")</f>
        <v>22.4</v>
      </c>
      <c r="H552" s="19" t="n">
        <f aca="false">IFERROR(VALUE(SUBSTITUTE(TRIM('수출입 실적(품목별)'!E556),",","")),"")</f>
        <v>1727</v>
      </c>
      <c r="I552" s="18" t="n">
        <f aca="false">IFERROR(VALUE(SUBSTITUTE(TRIM('수출입 실적(품목별)'!F556),",","")),"")</f>
        <v>359</v>
      </c>
      <c r="J552" s="19" t="n">
        <f aca="false">IFERROR(VALUE(SUBSTITUTE(TRIM('수출입 실적(품목별)'!G556),",","")),"")</f>
        <v>7014</v>
      </c>
      <c r="K552" s="19" t="n">
        <f aca="false">IFERROR(VALUE(SUBSTITUTE(TRIM('수출입 실적(품목별)'!H556),",","")),"")</f>
        <v>-5288</v>
      </c>
    </row>
    <row r="553" customFormat="false" ht="15" hidden="false" customHeight="true" outlineLevel="0" collapsed="false">
      <c r="A553" s="11" t="str">
        <f aca="false">TRIM('수출입 실적(품목별)'!A557)</f>
        <v>2024.06</v>
      </c>
      <c r="B553" s="17" t="n">
        <f aca="false">IFERROR(VALUE(LEFT($A553,4)),"")</f>
        <v>2024</v>
      </c>
      <c r="C553" s="17" t="n">
        <f aca="false">IFERROR(VALUE(RIGHT($A553,2)),"")</f>
        <v>6</v>
      </c>
      <c r="D553" s="17" t="n">
        <f aca="false">IFERROR(ROUNDUP($C553/3,0),"")</f>
        <v>2</v>
      </c>
      <c r="E553" s="11" t="str">
        <f aca="false">TRIM('수출입 실적(품목별)'!B557)</f>
        <v>68</v>
      </c>
      <c r="F553" s="11" t="str">
        <f aca="false">TRIM('수출입 실적(품목별)'!C557)</f>
        <v>돌ㆍ플라스터(plaster)ㆍ시멘트ㆍ석면ㆍ운모나 이와 유사한 재료의 제품</v>
      </c>
      <c r="G553" s="18" t="n">
        <f aca="false">IFERROR(VALUE(SUBSTITUTE(TRIM('수출입 실적(품목별)'!D557),",","")),"")</f>
        <v>10808.9</v>
      </c>
      <c r="H553" s="19" t="n">
        <f aca="false">IFERROR(VALUE(SUBSTITUTE(TRIM('수출입 실적(품목별)'!E557),",","")),"")</f>
        <v>87558</v>
      </c>
      <c r="I553" s="18" t="n">
        <f aca="false">IFERROR(VALUE(SUBSTITUTE(TRIM('수출입 실적(품목별)'!F557),",","")),"")</f>
        <v>225224.8</v>
      </c>
      <c r="J553" s="19" t="n">
        <f aca="false">IFERROR(VALUE(SUBSTITUTE(TRIM('수출입 실적(품목별)'!G557),",","")),"")</f>
        <v>117385</v>
      </c>
      <c r="K553" s="19" t="n">
        <f aca="false">IFERROR(VALUE(SUBSTITUTE(TRIM('수출입 실적(품목별)'!H557),",","")),"")</f>
        <v>-29826</v>
      </c>
    </row>
    <row r="554" customFormat="false" ht="15" hidden="false" customHeight="true" outlineLevel="0" collapsed="false">
      <c r="A554" s="11" t="str">
        <f aca="false">TRIM('수출입 실적(품목별)'!A558)</f>
        <v>2024.06</v>
      </c>
      <c r="B554" s="17" t="n">
        <f aca="false">IFERROR(VALUE(LEFT($A554,4)),"")</f>
        <v>2024</v>
      </c>
      <c r="C554" s="17" t="n">
        <f aca="false">IFERROR(VALUE(RIGHT($A554,2)),"")</f>
        <v>6</v>
      </c>
      <c r="D554" s="17" t="n">
        <f aca="false">IFERROR(ROUNDUP($C554/3,0),"")</f>
        <v>2</v>
      </c>
      <c r="E554" s="11" t="str">
        <f aca="false">TRIM('수출입 실적(품목별)'!B558)</f>
        <v>69</v>
      </c>
      <c r="F554" s="11" t="str">
        <f aca="false">TRIM('수출입 실적(품목별)'!C558)</f>
        <v>도자제품</v>
      </c>
      <c r="G554" s="18" t="n">
        <f aca="false">IFERROR(VALUE(SUBSTITUTE(TRIM('수출입 실적(품목별)'!D558),",","")),"")</f>
        <v>3071.3</v>
      </c>
      <c r="H554" s="19" t="n">
        <f aca="false">IFERROR(VALUE(SUBSTITUTE(TRIM('수출입 실적(품목별)'!E558),",","")),"")</f>
        <v>33461</v>
      </c>
      <c r="I554" s="18" t="n">
        <f aca="false">IFERROR(VALUE(SUBSTITUTE(TRIM('수출입 실적(품목별)'!F558),",","")),"")</f>
        <v>142952.3</v>
      </c>
      <c r="J554" s="19" t="n">
        <f aca="false">IFERROR(VALUE(SUBSTITUTE(TRIM('수출입 실적(품목별)'!G558),",","")),"")</f>
        <v>129439</v>
      </c>
      <c r="K554" s="19" t="n">
        <f aca="false">IFERROR(VALUE(SUBSTITUTE(TRIM('수출입 실적(품목별)'!H558),",","")),"")</f>
        <v>-95977</v>
      </c>
    </row>
    <row r="555" customFormat="false" ht="15" hidden="false" customHeight="true" outlineLevel="0" collapsed="false">
      <c r="A555" s="11" t="str">
        <f aca="false">TRIM('수출입 실적(품목별)'!A559)</f>
        <v>2024.06</v>
      </c>
      <c r="B555" s="17" t="n">
        <f aca="false">IFERROR(VALUE(LEFT($A555,4)),"")</f>
        <v>2024</v>
      </c>
      <c r="C555" s="17" t="n">
        <f aca="false">IFERROR(VALUE(RIGHT($A555,2)),"")</f>
        <v>6</v>
      </c>
      <c r="D555" s="17" t="n">
        <f aca="false">IFERROR(ROUNDUP($C555/3,0),"")</f>
        <v>2</v>
      </c>
      <c r="E555" s="11" t="str">
        <f aca="false">TRIM('수출입 실적(품목별)'!B559)</f>
        <v>70</v>
      </c>
      <c r="F555" s="11" t="str">
        <f aca="false">TRIM('수출입 실적(품목별)'!C559)</f>
        <v>유리와 유리제품</v>
      </c>
      <c r="G555" s="18" t="n">
        <f aca="false">IFERROR(VALUE(SUBSTITUTE(TRIM('수출입 실적(품목별)'!D559),",","")),"")</f>
        <v>31372.3</v>
      </c>
      <c r="H555" s="19" t="n">
        <f aca="false">IFERROR(VALUE(SUBSTITUTE(TRIM('수출입 실적(품목별)'!E559),",","")),"")</f>
        <v>171715</v>
      </c>
      <c r="I555" s="18" t="n">
        <f aca="false">IFERROR(VALUE(SUBSTITUTE(TRIM('수출입 실적(품목별)'!F559),",","")),"")</f>
        <v>103825.7</v>
      </c>
      <c r="J555" s="19" t="n">
        <f aca="false">IFERROR(VALUE(SUBSTITUTE(TRIM('수출입 실적(품목별)'!G559),",","")),"")</f>
        <v>204655</v>
      </c>
      <c r="K555" s="19" t="n">
        <f aca="false">IFERROR(VALUE(SUBSTITUTE(TRIM('수출입 실적(품목별)'!H559),",","")),"")</f>
        <v>-32940</v>
      </c>
    </row>
    <row r="556" customFormat="false" ht="15" hidden="false" customHeight="true" outlineLevel="0" collapsed="false">
      <c r="A556" s="11" t="str">
        <f aca="false">TRIM('수출입 실적(품목별)'!A560)</f>
        <v>2024.06</v>
      </c>
      <c r="B556" s="17" t="n">
        <f aca="false">IFERROR(VALUE(LEFT($A556,4)),"")</f>
        <v>2024</v>
      </c>
      <c r="C556" s="17" t="n">
        <f aca="false">IFERROR(VALUE(RIGHT($A556,2)),"")</f>
        <v>6</v>
      </c>
      <c r="D556" s="17" t="n">
        <f aca="false">IFERROR(ROUNDUP($C556/3,0),"")</f>
        <v>2</v>
      </c>
      <c r="E556" s="11" t="str">
        <f aca="false">TRIM('수출입 실적(품목별)'!B560)</f>
        <v>71</v>
      </c>
      <c r="F556" s="11" t="str">
        <f aca="false">TRIM('수출입 실적(품목별)'!C560)</f>
        <v>천연진주ㆍ양식진주ㆍ귀석ㆍ반귀석ㆍ귀금속ㆍ귀금속을 입힌 금속과 이들의 제품, 모조 신변장식용품, 주화</v>
      </c>
      <c r="G556" s="18" t="n">
        <f aca="false">IFERROR(VALUE(SUBSTITUTE(TRIM('수출입 실적(품목별)'!D560),",","")),"")</f>
        <v>616.4</v>
      </c>
      <c r="H556" s="19" t="n">
        <f aca="false">IFERROR(VALUE(SUBSTITUTE(TRIM('수출입 실적(품목별)'!E560),",","")),"")</f>
        <v>408069</v>
      </c>
      <c r="I556" s="18" t="n">
        <f aca="false">IFERROR(VALUE(SUBSTITUTE(TRIM('수출입 실적(품목별)'!F560),",","")),"")</f>
        <v>1729.4</v>
      </c>
      <c r="J556" s="19" t="n">
        <f aca="false">IFERROR(VALUE(SUBSTITUTE(TRIM('수출입 실적(품목별)'!G560),",","")),"")</f>
        <v>380179</v>
      </c>
      <c r="K556" s="19" t="n">
        <f aca="false">IFERROR(VALUE(SUBSTITUTE(TRIM('수출입 실적(품목별)'!H560),",","")),"")</f>
        <v>27891</v>
      </c>
    </row>
    <row r="557" customFormat="false" ht="15" hidden="false" customHeight="true" outlineLevel="0" collapsed="false">
      <c r="A557" s="11" t="str">
        <f aca="false">TRIM('수출입 실적(품목별)'!A561)</f>
        <v>2024.06</v>
      </c>
      <c r="B557" s="17" t="n">
        <f aca="false">IFERROR(VALUE(LEFT($A557,4)),"")</f>
        <v>2024</v>
      </c>
      <c r="C557" s="17" t="n">
        <f aca="false">IFERROR(VALUE(RIGHT($A557,2)),"")</f>
        <v>6</v>
      </c>
      <c r="D557" s="17" t="n">
        <f aca="false">IFERROR(ROUNDUP($C557/3,0),"")</f>
        <v>2</v>
      </c>
      <c r="E557" s="11" t="str">
        <f aca="false">TRIM('수출입 실적(품목별)'!B561)</f>
        <v>72</v>
      </c>
      <c r="F557" s="11" t="str">
        <f aca="false">TRIM('수출입 실적(품목별)'!C561)</f>
        <v>철강</v>
      </c>
      <c r="G557" s="18" t="n">
        <f aca="false">IFERROR(VALUE(SUBSTITUTE(TRIM('수출입 실적(품목별)'!D561),",","")),"")</f>
        <v>1957348</v>
      </c>
      <c r="H557" s="19" t="n">
        <f aca="false">IFERROR(VALUE(SUBSTITUTE(TRIM('수출입 실적(품목별)'!E561),",","")),"")</f>
        <v>1856670</v>
      </c>
      <c r="I557" s="18" t="n">
        <f aca="false">IFERROR(VALUE(SUBSTITUTE(TRIM('수출입 실적(품목별)'!F561),",","")),"")</f>
        <v>1230389.6</v>
      </c>
      <c r="J557" s="19" t="n">
        <f aca="false">IFERROR(VALUE(SUBSTITUTE(TRIM('수출입 실적(품목별)'!G561),",","")),"")</f>
        <v>1069643</v>
      </c>
      <c r="K557" s="19" t="n">
        <f aca="false">IFERROR(VALUE(SUBSTITUTE(TRIM('수출입 실적(품목별)'!H561),",","")),"")</f>
        <v>787027</v>
      </c>
    </row>
    <row r="558" customFormat="false" ht="15" hidden="false" customHeight="true" outlineLevel="0" collapsed="false">
      <c r="A558" s="11" t="str">
        <f aca="false">TRIM('수출입 실적(품목별)'!A562)</f>
        <v>2024.06</v>
      </c>
      <c r="B558" s="17" t="n">
        <f aca="false">IFERROR(VALUE(LEFT($A558,4)),"")</f>
        <v>2024</v>
      </c>
      <c r="C558" s="17" t="n">
        <f aca="false">IFERROR(VALUE(RIGHT($A558,2)),"")</f>
        <v>6</v>
      </c>
      <c r="D558" s="17" t="n">
        <f aca="false">IFERROR(ROUNDUP($C558/3,0),"")</f>
        <v>2</v>
      </c>
      <c r="E558" s="11" t="str">
        <f aca="false">TRIM('수출입 실적(품목별)'!B562)</f>
        <v>73</v>
      </c>
      <c r="F558" s="11" t="str">
        <f aca="false">TRIM('수출입 실적(품목별)'!C562)</f>
        <v>철강의 제품</v>
      </c>
      <c r="G558" s="18" t="n">
        <f aca="false">IFERROR(VALUE(SUBSTITUTE(TRIM('수출입 실적(품목별)'!D562),",","")),"")</f>
        <v>307066</v>
      </c>
      <c r="H558" s="19" t="n">
        <f aca="false">IFERROR(VALUE(SUBSTITUTE(TRIM('수출입 실적(품목별)'!E562),",","")),"")</f>
        <v>814872</v>
      </c>
      <c r="I558" s="18" t="n">
        <f aca="false">IFERROR(VALUE(SUBSTITUTE(TRIM('수출입 실적(품목별)'!F562),",","")),"")</f>
        <v>247262.3</v>
      </c>
      <c r="J558" s="19" t="n">
        <f aca="false">IFERROR(VALUE(SUBSTITUTE(TRIM('수출입 실적(품목별)'!G562),",","")),"")</f>
        <v>619453</v>
      </c>
      <c r="K558" s="19" t="n">
        <f aca="false">IFERROR(VALUE(SUBSTITUTE(TRIM('수출입 실적(품목별)'!H562),",","")),"")</f>
        <v>195419</v>
      </c>
    </row>
    <row r="559" customFormat="false" ht="15" hidden="false" customHeight="true" outlineLevel="0" collapsed="false">
      <c r="A559" s="11" t="str">
        <f aca="false">TRIM('수출입 실적(품목별)'!A563)</f>
        <v>2024.06</v>
      </c>
      <c r="B559" s="17" t="n">
        <f aca="false">IFERROR(VALUE(LEFT($A559,4)),"")</f>
        <v>2024</v>
      </c>
      <c r="C559" s="17" t="n">
        <f aca="false">IFERROR(VALUE(RIGHT($A559,2)),"")</f>
        <v>6</v>
      </c>
      <c r="D559" s="17" t="n">
        <f aca="false">IFERROR(ROUNDUP($C559/3,0),"")</f>
        <v>2</v>
      </c>
      <c r="E559" s="11" t="str">
        <f aca="false">TRIM('수출입 실적(품목별)'!B563)</f>
        <v>74</v>
      </c>
      <c r="F559" s="11" t="str">
        <f aca="false">TRIM('수출입 실적(품목별)'!C563)</f>
        <v>구리와 그 제품</v>
      </c>
      <c r="G559" s="18" t="n">
        <f aca="false">IFERROR(VALUE(SUBSTITUTE(TRIM('수출입 실적(품목별)'!D563),",","")),"")</f>
        <v>59944.1</v>
      </c>
      <c r="H559" s="19" t="n">
        <f aca="false">IFERROR(VALUE(SUBSTITUTE(TRIM('수출입 실적(품목별)'!E563),",","")),"")</f>
        <v>560287</v>
      </c>
      <c r="I559" s="18" t="n">
        <f aca="false">IFERROR(VALUE(SUBSTITUTE(TRIM('수출입 실적(품목별)'!F563),",","")),"")</f>
        <v>70452.7</v>
      </c>
      <c r="J559" s="19" t="n">
        <f aca="false">IFERROR(VALUE(SUBSTITUTE(TRIM('수출입 실적(품목별)'!G563),",","")),"")</f>
        <v>672972</v>
      </c>
      <c r="K559" s="19" t="n">
        <f aca="false">IFERROR(VALUE(SUBSTITUTE(TRIM('수출입 실적(품목별)'!H563),",","")),"")</f>
        <v>-112686</v>
      </c>
    </row>
    <row r="560" customFormat="false" ht="15" hidden="false" customHeight="true" outlineLevel="0" collapsed="false">
      <c r="A560" s="11" t="str">
        <f aca="false">TRIM('수출입 실적(품목별)'!A564)</f>
        <v>2024.06</v>
      </c>
      <c r="B560" s="17" t="n">
        <f aca="false">IFERROR(VALUE(LEFT($A560,4)),"")</f>
        <v>2024</v>
      </c>
      <c r="C560" s="17" t="n">
        <f aca="false">IFERROR(VALUE(RIGHT($A560,2)),"")</f>
        <v>6</v>
      </c>
      <c r="D560" s="17" t="n">
        <f aca="false">IFERROR(ROUNDUP($C560/3,0),"")</f>
        <v>2</v>
      </c>
      <c r="E560" s="11" t="str">
        <f aca="false">TRIM('수출입 실적(품목별)'!B564)</f>
        <v>75</v>
      </c>
      <c r="F560" s="11" t="str">
        <f aca="false">TRIM('수출입 실적(품목별)'!C564)</f>
        <v>니켈과 그 제품</v>
      </c>
      <c r="G560" s="18" t="n">
        <f aca="false">IFERROR(VALUE(SUBSTITUTE(TRIM('수출입 실적(품목별)'!D564),",","")),"")</f>
        <v>895.2</v>
      </c>
      <c r="H560" s="19" t="n">
        <f aca="false">IFERROR(VALUE(SUBSTITUTE(TRIM('수출입 실적(품목별)'!E564),",","")),"")</f>
        <v>14364</v>
      </c>
      <c r="I560" s="18" t="n">
        <f aca="false">IFERROR(VALUE(SUBSTITUTE(TRIM('수출입 실적(품목별)'!F564),",","")),"")</f>
        <v>5491.4</v>
      </c>
      <c r="J560" s="19" t="n">
        <f aca="false">IFERROR(VALUE(SUBSTITUTE(TRIM('수출입 실적(품목별)'!G564),",","")),"")</f>
        <v>98557</v>
      </c>
      <c r="K560" s="19" t="n">
        <f aca="false">IFERROR(VALUE(SUBSTITUTE(TRIM('수출입 실적(품목별)'!H564),",","")),"")</f>
        <v>-84193</v>
      </c>
    </row>
    <row r="561" customFormat="false" ht="15" hidden="false" customHeight="true" outlineLevel="0" collapsed="false">
      <c r="A561" s="11" t="str">
        <f aca="false">TRIM('수출입 실적(품목별)'!A565)</f>
        <v>2024.06</v>
      </c>
      <c r="B561" s="17" t="n">
        <f aca="false">IFERROR(VALUE(LEFT($A561,4)),"")</f>
        <v>2024</v>
      </c>
      <c r="C561" s="17" t="n">
        <f aca="false">IFERROR(VALUE(RIGHT($A561,2)),"")</f>
        <v>6</v>
      </c>
      <c r="D561" s="17" t="n">
        <f aca="false">IFERROR(ROUNDUP($C561/3,0),"")</f>
        <v>2</v>
      </c>
      <c r="E561" s="11" t="str">
        <f aca="false">TRIM('수출입 실적(품목별)'!B565)</f>
        <v>76</v>
      </c>
      <c r="F561" s="11" t="str">
        <f aca="false">TRIM('수출입 실적(품목별)'!C565)</f>
        <v>알루미늄과 그 제품</v>
      </c>
      <c r="G561" s="18" t="n">
        <f aca="false">IFERROR(VALUE(SUBSTITUTE(TRIM('수출입 실적(품목별)'!D565),",","")),"")</f>
        <v>113111.2</v>
      </c>
      <c r="H561" s="19" t="n">
        <f aca="false">IFERROR(VALUE(SUBSTITUTE(TRIM('수출입 실적(품목별)'!E565),",","")),"")</f>
        <v>435455</v>
      </c>
      <c r="I561" s="18" t="n">
        <f aca="false">IFERROR(VALUE(SUBSTITUTE(TRIM('수출입 실적(품목별)'!F565),",","")),"")</f>
        <v>257463.7</v>
      </c>
      <c r="J561" s="19" t="n">
        <f aca="false">IFERROR(VALUE(SUBSTITUTE(TRIM('수출입 실적(품목별)'!G565),",","")),"")</f>
        <v>735059</v>
      </c>
      <c r="K561" s="19" t="n">
        <f aca="false">IFERROR(VALUE(SUBSTITUTE(TRIM('수출입 실적(품목별)'!H565),",","")),"")</f>
        <v>-299604</v>
      </c>
    </row>
    <row r="562" customFormat="false" ht="15" hidden="false" customHeight="true" outlineLevel="0" collapsed="false">
      <c r="A562" s="11" t="str">
        <f aca="false">TRIM('수출입 실적(품목별)'!A566)</f>
        <v>2024.06</v>
      </c>
      <c r="B562" s="17" t="n">
        <f aca="false">IFERROR(VALUE(LEFT($A562,4)),"")</f>
        <v>2024</v>
      </c>
      <c r="C562" s="17" t="n">
        <f aca="false">IFERROR(VALUE(RIGHT($A562,2)),"")</f>
        <v>6</v>
      </c>
      <c r="D562" s="17" t="n">
        <f aca="false">IFERROR(ROUNDUP($C562/3,0),"")</f>
        <v>2</v>
      </c>
      <c r="E562" s="11" t="str">
        <f aca="false">TRIM('수출입 실적(품목별)'!B566)</f>
        <v>78</v>
      </c>
      <c r="F562" s="11" t="str">
        <f aca="false">TRIM('수출입 실적(품목별)'!C566)</f>
        <v>납과 그 제품</v>
      </c>
      <c r="G562" s="18" t="n">
        <f aca="false">IFERROR(VALUE(SUBSTITUTE(TRIM('수출입 실적(품목별)'!D566),",","")),"")</f>
        <v>15654.9</v>
      </c>
      <c r="H562" s="19" t="n">
        <f aca="false">IFERROR(VALUE(SUBSTITUTE(TRIM('수출입 실적(품목별)'!E566),",","")),"")</f>
        <v>38552</v>
      </c>
      <c r="I562" s="18" t="n">
        <f aca="false">IFERROR(VALUE(SUBSTITUTE(TRIM('수출입 실적(품목별)'!F566),",","")),"")</f>
        <v>13123.2</v>
      </c>
      <c r="J562" s="19" t="n">
        <f aca="false">IFERROR(VALUE(SUBSTITUTE(TRIM('수출입 실적(품목별)'!G566),",","")),"")</f>
        <v>29461</v>
      </c>
      <c r="K562" s="19" t="n">
        <f aca="false">IFERROR(VALUE(SUBSTITUTE(TRIM('수출입 실적(품목별)'!H566),",","")),"")</f>
        <v>9091</v>
      </c>
    </row>
    <row r="563" customFormat="false" ht="15" hidden="false" customHeight="true" outlineLevel="0" collapsed="false">
      <c r="A563" s="11" t="str">
        <f aca="false">TRIM('수출입 실적(품목별)'!A567)</f>
        <v>2024.06</v>
      </c>
      <c r="B563" s="17" t="n">
        <f aca="false">IFERROR(VALUE(LEFT($A563,4)),"")</f>
        <v>2024</v>
      </c>
      <c r="C563" s="17" t="n">
        <f aca="false">IFERROR(VALUE(RIGHT($A563,2)),"")</f>
        <v>6</v>
      </c>
      <c r="D563" s="17" t="n">
        <f aca="false">IFERROR(ROUNDUP($C563/3,0),"")</f>
        <v>2</v>
      </c>
      <c r="E563" s="11" t="str">
        <f aca="false">TRIM('수출입 실적(품목별)'!B567)</f>
        <v>79</v>
      </c>
      <c r="F563" s="11" t="str">
        <f aca="false">TRIM('수출입 실적(품목별)'!C567)</f>
        <v>아연과 그 제품</v>
      </c>
      <c r="G563" s="18" t="n">
        <f aca="false">IFERROR(VALUE(SUBSTITUTE(TRIM('수출입 실적(품목별)'!D567),",","")),"")</f>
        <v>32254</v>
      </c>
      <c r="H563" s="19" t="n">
        <f aca="false">IFERROR(VALUE(SUBSTITUTE(TRIM('수출입 실적(품목별)'!E567),",","")),"")</f>
        <v>98370</v>
      </c>
      <c r="I563" s="18" t="n">
        <f aca="false">IFERROR(VALUE(SUBSTITUTE(TRIM('수출입 실적(품목별)'!F567),",","")),"")</f>
        <v>4923.4</v>
      </c>
      <c r="J563" s="19" t="n">
        <f aca="false">IFERROR(VALUE(SUBSTITUTE(TRIM('수출입 실적(품목별)'!G567),",","")),"")</f>
        <v>15544</v>
      </c>
      <c r="K563" s="19" t="n">
        <f aca="false">IFERROR(VALUE(SUBSTITUTE(TRIM('수출입 실적(품목별)'!H567),",","")),"")</f>
        <v>82826</v>
      </c>
    </row>
    <row r="564" customFormat="false" ht="15" hidden="false" customHeight="true" outlineLevel="0" collapsed="false">
      <c r="A564" s="11" t="str">
        <f aca="false">TRIM('수출입 실적(품목별)'!A568)</f>
        <v>2024.06</v>
      </c>
      <c r="B564" s="17" t="n">
        <f aca="false">IFERROR(VALUE(LEFT($A564,4)),"")</f>
        <v>2024</v>
      </c>
      <c r="C564" s="17" t="n">
        <f aca="false">IFERROR(VALUE(RIGHT($A564,2)),"")</f>
        <v>6</v>
      </c>
      <c r="D564" s="17" t="n">
        <f aca="false">IFERROR(ROUNDUP($C564/3,0),"")</f>
        <v>2</v>
      </c>
      <c r="E564" s="11" t="str">
        <f aca="false">TRIM('수출입 실적(품목별)'!B568)</f>
        <v>80</v>
      </c>
      <c r="F564" s="11" t="str">
        <f aca="false">TRIM('수출입 실적(품목별)'!C568)</f>
        <v>주석과 그 제품</v>
      </c>
      <c r="G564" s="18" t="n">
        <f aca="false">IFERROR(VALUE(SUBSTITUTE(TRIM('수출입 실적(품목별)'!D568),",","")),"")</f>
        <v>216.5</v>
      </c>
      <c r="H564" s="19" t="n">
        <f aca="false">IFERROR(VALUE(SUBSTITUTE(TRIM('수출입 실적(품목별)'!E568),",","")),"")</f>
        <v>10610</v>
      </c>
      <c r="I564" s="18" t="n">
        <f aca="false">IFERROR(VALUE(SUBSTITUTE(TRIM('수출입 실적(품목별)'!F568),",","")),"")</f>
        <v>1339.2</v>
      </c>
      <c r="J564" s="19" t="n">
        <f aca="false">IFERROR(VALUE(SUBSTITUTE(TRIM('수출입 실적(품목별)'!G568),",","")),"")</f>
        <v>48217</v>
      </c>
      <c r="K564" s="19" t="n">
        <f aca="false">IFERROR(VALUE(SUBSTITUTE(TRIM('수출입 실적(품목별)'!H568),",","")),"")</f>
        <v>-37606</v>
      </c>
    </row>
    <row r="565" customFormat="false" ht="15" hidden="false" customHeight="true" outlineLevel="0" collapsed="false">
      <c r="A565" s="11" t="str">
        <f aca="false">TRIM('수출입 실적(품목별)'!A569)</f>
        <v>2024.06</v>
      </c>
      <c r="B565" s="17" t="n">
        <f aca="false">IFERROR(VALUE(LEFT($A565,4)),"")</f>
        <v>2024</v>
      </c>
      <c r="C565" s="17" t="n">
        <f aca="false">IFERROR(VALUE(RIGHT($A565,2)),"")</f>
        <v>6</v>
      </c>
      <c r="D565" s="17" t="n">
        <f aca="false">IFERROR(ROUNDUP($C565/3,0),"")</f>
        <v>2</v>
      </c>
      <c r="E565" s="11" t="str">
        <f aca="false">TRIM('수출입 실적(품목별)'!B569)</f>
        <v>81</v>
      </c>
      <c r="F565" s="11" t="str">
        <f aca="false">TRIM('수출입 실적(품목별)'!C569)</f>
        <v>그 밖의 비금속(卑金屬), 서멧(cermet), 이들의 제품</v>
      </c>
      <c r="G565" s="18" t="n">
        <f aca="false">IFERROR(VALUE(SUBSTITUTE(TRIM('수출입 실적(품목별)'!D569),",","")),"")</f>
        <v>2427.8</v>
      </c>
      <c r="H565" s="19" t="n">
        <f aca="false">IFERROR(VALUE(SUBSTITUTE(TRIM('수출입 실적(품목별)'!E569),",","")),"")</f>
        <v>35516</v>
      </c>
      <c r="I565" s="18" t="n">
        <f aca="false">IFERROR(VALUE(SUBSTITUTE(TRIM('수출입 실적(품목별)'!F569),",","")),"")</f>
        <v>11958.6</v>
      </c>
      <c r="J565" s="19" t="n">
        <f aca="false">IFERROR(VALUE(SUBSTITUTE(TRIM('수출입 실적(품목별)'!G569),",","")),"")</f>
        <v>107284</v>
      </c>
      <c r="K565" s="19" t="n">
        <f aca="false">IFERROR(VALUE(SUBSTITUTE(TRIM('수출입 실적(품목별)'!H569),",","")),"")</f>
        <v>-71768</v>
      </c>
    </row>
    <row r="566" customFormat="false" ht="15" hidden="false" customHeight="true" outlineLevel="0" collapsed="false">
      <c r="A566" s="11" t="str">
        <f aca="false">TRIM('수출입 실적(품목별)'!A570)</f>
        <v>2024.06</v>
      </c>
      <c r="B566" s="17" t="n">
        <f aca="false">IFERROR(VALUE(LEFT($A566,4)),"")</f>
        <v>2024</v>
      </c>
      <c r="C566" s="17" t="n">
        <f aca="false">IFERROR(VALUE(RIGHT($A566,2)),"")</f>
        <v>6</v>
      </c>
      <c r="D566" s="17" t="n">
        <f aca="false">IFERROR(ROUNDUP($C566/3,0),"")</f>
        <v>2</v>
      </c>
      <c r="E566" s="11" t="str">
        <f aca="false">TRIM('수출입 실적(품목별)'!B570)</f>
        <v>82</v>
      </c>
      <c r="F566" s="11" t="str">
        <f aca="false">TRIM('수출입 실적(품목별)'!C570)</f>
        <v>비금속(卑金屬)으로 만든 공구ㆍ도구ㆍ칼붙이ㆍ스푼ㆍ포크, 이들의 부분품</v>
      </c>
      <c r="G566" s="18" t="n">
        <f aca="false">IFERROR(VALUE(SUBSTITUTE(TRIM('수출입 실적(품목별)'!D570),",","")),"")</f>
        <v>8997.4</v>
      </c>
      <c r="H566" s="19" t="n">
        <f aca="false">IFERROR(VALUE(SUBSTITUTE(TRIM('수출입 실적(품목별)'!E570),",","")),"")</f>
        <v>176518</v>
      </c>
      <c r="I566" s="18" t="n">
        <f aca="false">IFERROR(VALUE(SUBSTITUTE(TRIM('수출입 실적(품목별)'!F570),",","")),"")</f>
        <v>4837</v>
      </c>
      <c r="J566" s="19" t="n">
        <f aca="false">IFERROR(VALUE(SUBSTITUTE(TRIM('수출입 실적(품목별)'!G570),",","")),"")</f>
        <v>80964</v>
      </c>
      <c r="K566" s="19" t="n">
        <f aca="false">IFERROR(VALUE(SUBSTITUTE(TRIM('수출입 실적(품목별)'!H570),",","")),"")</f>
        <v>95554</v>
      </c>
    </row>
    <row r="567" customFormat="false" ht="15" hidden="false" customHeight="true" outlineLevel="0" collapsed="false">
      <c r="A567" s="11" t="str">
        <f aca="false">TRIM('수출입 실적(품목별)'!A571)</f>
        <v>2024.06</v>
      </c>
      <c r="B567" s="17" t="n">
        <f aca="false">IFERROR(VALUE(LEFT($A567,4)),"")</f>
        <v>2024</v>
      </c>
      <c r="C567" s="17" t="n">
        <f aca="false">IFERROR(VALUE(RIGHT($A567,2)),"")</f>
        <v>6</v>
      </c>
      <c r="D567" s="17" t="n">
        <f aca="false">IFERROR(ROUNDUP($C567/3,0),"")</f>
        <v>2</v>
      </c>
      <c r="E567" s="11" t="str">
        <f aca="false">TRIM('수출입 실적(품목별)'!B571)</f>
        <v>83</v>
      </c>
      <c r="F567" s="11" t="str">
        <f aca="false">TRIM('수출입 실적(품목별)'!C571)</f>
        <v>비금속(卑金屬)으로 만든 각종 제품</v>
      </c>
      <c r="G567" s="18" t="n">
        <f aca="false">IFERROR(VALUE(SUBSTITUTE(TRIM('수출입 실적(품목별)'!D571),",","")),"")</f>
        <v>23757.5</v>
      </c>
      <c r="H567" s="19" t="n">
        <f aca="false">IFERROR(VALUE(SUBSTITUTE(TRIM('수출입 실적(품목별)'!E571),",","")),"")</f>
        <v>131441</v>
      </c>
      <c r="I567" s="18" t="n">
        <f aca="false">IFERROR(VALUE(SUBSTITUTE(TRIM('수출입 실적(품목별)'!F571),",","")),"")</f>
        <v>11642.5</v>
      </c>
      <c r="J567" s="19" t="n">
        <f aca="false">IFERROR(VALUE(SUBSTITUTE(TRIM('수출입 실적(품목별)'!G571),",","")),"")</f>
        <v>75638</v>
      </c>
      <c r="K567" s="19" t="n">
        <f aca="false">IFERROR(VALUE(SUBSTITUTE(TRIM('수출입 실적(품목별)'!H571),",","")),"")</f>
        <v>55803</v>
      </c>
    </row>
    <row r="568" customFormat="false" ht="15" hidden="false" customHeight="true" outlineLevel="0" collapsed="false">
      <c r="A568" s="11" t="str">
        <f aca="false">TRIM('수출입 실적(품목별)'!A572)</f>
        <v>2024.06</v>
      </c>
      <c r="B568" s="17" t="n">
        <f aca="false">IFERROR(VALUE(LEFT($A568,4)),"")</f>
        <v>2024</v>
      </c>
      <c r="C568" s="17" t="n">
        <f aca="false">IFERROR(VALUE(RIGHT($A568,2)),"")</f>
        <v>6</v>
      </c>
      <c r="D568" s="17" t="n">
        <f aca="false">IFERROR(ROUNDUP($C568/3,0),"")</f>
        <v>2</v>
      </c>
      <c r="E568" s="11" t="str">
        <f aca="false">TRIM('수출입 실적(품목별)'!B572)</f>
        <v>84</v>
      </c>
      <c r="F568" s="11" t="str">
        <f aca="false">TRIM('수출입 실적(품목별)'!C572)</f>
        <v>원자로ㆍ보일러ㆍ기계류와 이들의 부분품</v>
      </c>
      <c r="G568" s="18" t="n">
        <f aca="false">IFERROR(VALUE(SUBSTITUTE(TRIM('수출입 실적(품목별)'!D572),",","")),"")</f>
        <v>371661.1</v>
      </c>
      <c r="H568" s="19" t="n">
        <f aca="false">IFERROR(VALUE(SUBSTITUTE(TRIM('수출입 실적(품목별)'!E572),",","")),"")</f>
        <v>7171890</v>
      </c>
      <c r="I568" s="18" t="n">
        <f aca="false">IFERROR(VALUE(SUBSTITUTE(TRIM('수출입 실적(품목별)'!F572),",","")),"")</f>
        <v>213974.3</v>
      </c>
      <c r="J568" s="19" t="n">
        <f aca="false">IFERROR(VALUE(SUBSTITUTE(TRIM('수출입 실적(품목별)'!G572),",","")),"")</f>
        <v>5571650</v>
      </c>
      <c r="K568" s="19" t="n">
        <f aca="false">IFERROR(VALUE(SUBSTITUTE(TRIM('수출입 실적(품목별)'!H572),",","")),"")</f>
        <v>1600240</v>
      </c>
    </row>
    <row r="569" customFormat="false" ht="15" hidden="false" customHeight="true" outlineLevel="0" collapsed="false">
      <c r="A569" s="11" t="str">
        <f aca="false">TRIM('수출입 실적(품목별)'!A573)</f>
        <v>2024.06</v>
      </c>
      <c r="B569" s="17" t="n">
        <f aca="false">IFERROR(VALUE(LEFT($A569,4)),"")</f>
        <v>2024</v>
      </c>
      <c r="C569" s="17" t="n">
        <f aca="false">IFERROR(VALUE(RIGHT($A569,2)),"")</f>
        <v>6</v>
      </c>
      <c r="D569" s="17" t="n">
        <f aca="false">IFERROR(ROUNDUP($C569/3,0),"")</f>
        <v>2</v>
      </c>
      <c r="E569" s="11" t="str">
        <f aca="false">TRIM('수출입 실적(품목별)'!B573)</f>
        <v>85</v>
      </c>
      <c r="F569" s="11" t="str">
        <f aca="false">TRIM('수출입 실적(품목별)'!C573)</f>
        <v>전기기기와 그 부분품, 녹음기ㆍ음성 재생기ㆍ텔레비전의 영상과 음성의 기록기ㆍ재생기와 이들의 부분품ㆍ부속품</v>
      </c>
      <c r="G569" s="18" t="n">
        <f aca="false">IFERROR(VALUE(SUBSTITUTE(TRIM('수출입 실적(품목별)'!D573),",","")),"")</f>
        <v>225539.8</v>
      </c>
      <c r="H569" s="19" t="n">
        <f aca="false">IFERROR(VALUE(SUBSTITUTE(TRIM('수출입 실적(품목별)'!E573),",","")),"")</f>
        <v>18947322</v>
      </c>
      <c r="I569" s="18" t="n">
        <f aca="false">IFERROR(VALUE(SUBSTITUTE(TRIM('수출입 실적(품목별)'!F573),",","")),"")</f>
        <v>180158.5</v>
      </c>
      <c r="J569" s="19" t="n">
        <f aca="false">IFERROR(VALUE(SUBSTITUTE(TRIM('수출입 실적(품목별)'!G573),",","")),"")</f>
        <v>9303066</v>
      </c>
      <c r="K569" s="19" t="n">
        <f aca="false">IFERROR(VALUE(SUBSTITUTE(TRIM('수출입 실적(품목별)'!H573),",","")),"")</f>
        <v>9644256</v>
      </c>
    </row>
    <row r="570" customFormat="false" ht="15" hidden="false" customHeight="true" outlineLevel="0" collapsed="false">
      <c r="A570" s="11" t="str">
        <f aca="false">TRIM('수출입 실적(품목별)'!A574)</f>
        <v>2024.06</v>
      </c>
      <c r="B570" s="17" t="n">
        <f aca="false">IFERROR(VALUE(LEFT($A570,4)),"")</f>
        <v>2024</v>
      </c>
      <c r="C570" s="17" t="n">
        <f aca="false">IFERROR(VALUE(RIGHT($A570,2)),"")</f>
        <v>6</v>
      </c>
      <c r="D570" s="17" t="n">
        <f aca="false">IFERROR(ROUNDUP($C570/3,0),"")</f>
        <v>2</v>
      </c>
      <c r="E570" s="11" t="str">
        <f aca="false">TRIM('수출입 실적(품목별)'!B574)</f>
        <v>86</v>
      </c>
      <c r="F570" s="11" t="str">
        <f aca="false">TRIM('수출입 실적(품목별)'!C574)</f>
        <v>철도용이나 궤도용 기관차ㆍ차량과 이들의 부분품, 철도용이나 궤도용 장비품과 그 부분품, 기계식(전기기계식을 포함한다) 각종 교통신호용 기기</v>
      </c>
      <c r="G570" s="18" t="n">
        <f aca="false">IFERROR(VALUE(SUBSTITUTE(TRIM('수출입 실적(품목별)'!D574),",","")),"")</f>
        <v>10200.7</v>
      </c>
      <c r="H570" s="19" t="n">
        <f aca="false">IFERROR(VALUE(SUBSTITUTE(TRIM('수출입 실적(품목별)'!E574),",","")),"")</f>
        <v>28637</v>
      </c>
      <c r="I570" s="18" t="n">
        <f aca="false">IFERROR(VALUE(SUBSTITUTE(TRIM('수출입 실적(품목별)'!F574),",","")),"")</f>
        <v>10557.7</v>
      </c>
      <c r="J570" s="19" t="n">
        <f aca="false">IFERROR(VALUE(SUBSTITUTE(TRIM('수출입 실적(품목별)'!G574),",","")),"")</f>
        <v>46822</v>
      </c>
      <c r="K570" s="19" t="n">
        <f aca="false">IFERROR(VALUE(SUBSTITUTE(TRIM('수출입 실적(품목별)'!H574),",","")),"")</f>
        <v>-18185</v>
      </c>
    </row>
    <row r="571" customFormat="false" ht="15" hidden="false" customHeight="true" outlineLevel="0" collapsed="false">
      <c r="A571" s="11" t="str">
        <f aca="false">TRIM('수출입 실적(품목별)'!A575)</f>
        <v>2024.06</v>
      </c>
      <c r="B571" s="17" t="n">
        <f aca="false">IFERROR(VALUE(LEFT($A571,4)),"")</f>
        <v>2024</v>
      </c>
      <c r="C571" s="17" t="n">
        <f aca="false">IFERROR(VALUE(RIGHT($A571,2)),"")</f>
        <v>6</v>
      </c>
      <c r="D571" s="17" t="n">
        <f aca="false">IFERROR(ROUNDUP($C571/3,0),"")</f>
        <v>2</v>
      </c>
      <c r="E571" s="11" t="str">
        <f aca="false">TRIM('수출입 실적(품목별)'!B575)</f>
        <v>87</v>
      </c>
      <c r="F571" s="11" t="str">
        <f aca="false">TRIM('수출입 실적(품목별)'!C575)</f>
        <v>철도용이나 궤도용 외의 차량과 그 부분품ㆍ부속품</v>
      </c>
      <c r="G571" s="18" t="n">
        <f aca="false">IFERROR(VALUE(SUBSTITUTE(TRIM('수출입 실적(품목별)'!D575),",","")),"")</f>
        <v>684420.4</v>
      </c>
      <c r="H571" s="19" t="n">
        <f aca="false">IFERROR(VALUE(SUBSTITUTE(TRIM('수출입 실적(품목별)'!E575),",","")),"")</f>
        <v>7771785</v>
      </c>
      <c r="I571" s="18" t="n">
        <f aca="false">IFERROR(VALUE(SUBSTITUTE(TRIM('수출입 실적(품목별)'!F575),",","")),"")</f>
        <v>110184.7</v>
      </c>
      <c r="J571" s="19" t="n">
        <f aca="false">IFERROR(VALUE(SUBSTITUTE(TRIM('수출입 실적(품목별)'!G575),",","")),"")</f>
        <v>1724724</v>
      </c>
      <c r="K571" s="19" t="n">
        <f aca="false">IFERROR(VALUE(SUBSTITUTE(TRIM('수출입 실적(품목별)'!H575),",","")),"")</f>
        <v>6047061</v>
      </c>
    </row>
    <row r="572" customFormat="false" ht="15" hidden="false" customHeight="true" outlineLevel="0" collapsed="false">
      <c r="A572" s="11" t="str">
        <f aca="false">TRIM('수출입 실적(품목별)'!A576)</f>
        <v>2024.06</v>
      </c>
      <c r="B572" s="17" t="n">
        <f aca="false">IFERROR(VALUE(LEFT($A572,4)),"")</f>
        <v>2024</v>
      </c>
      <c r="C572" s="17" t="n">
        <f aca="false">IFERROR(VALUE(RIGHT($A572,2)),"")</f>
        <v>6</v>
      </c>
      <c r="D572" s="17" t="n">
        <f aca="false">IFERROR(ROUNDUP($C572/3,0),"")</f>
        <v>2</v>
      </c>
      <c r="E572" s="11" t="str">
        <f aca="false">TRIM('수출입 실적(품목별)'!B576)</f>
        <v>88</v>
      </c>
      <c r="F572" s="11" t="str">
        <f aca="false">TRIM('수출입 실적(품목별)'!C576)</f>
        <v>항공기와 우주선, 이들의 부분품</v>
      </c>
      <c r="G572" s="18" t="n">
        <f aca="false">IFERROR(VALUE(SUBSTITUTE(TRIM('수출입 실적(품목별)'!D576),",","")),"")</f>
        <v>748</v>
      </c>
      <c r="H572" s="19" t="n">
        <f aca="false">IFERROR(VALUE(SUBSTITUTE(TRIM('수출입 실적(품목별)'!E576),",","")),"")</f>
        <v>265274</v>
      </c>
      <c r="I572" s="18" t="n">
        <f aca="false">IFERROR(VALUE(SUBSTITUTE(TRIM('수출입 실적(품목별)'!F576),",","")),"")</f>
        <v>385.9</v>
      </c>
      <c r="J572" s="19" t="n">
        <f aca="false">IFERROR(VALUE(SUBSTITUTE(TRIM('수출입 실적(품목별)'!G576),",","")),"")</f>
        <v>307898</v>
      </c>
      <c r="K572" s="19" t="n">
        <f aca="false">IFERROR(VALUE(SUBSTITUTE(TRIM('수출입 실적(품목별)'!H576),",","")),"")</f>
        <v>-42624</v>
      </c>
    </row>
    <row r="573" customFormat="false" ht="15" hidden="false" customHeight="true" outlineLevel="0" collapsed="false">
      <c r="A573" s="11" t="str">
        <f aca="false">TRIM('수출입 실적(품목별)'!A577)</f>
        <v>2024.06</v>
      </c>
      <c r="B573" s="17" t="n">
        <f aca="false">IFERROR(VALUE(LEFT($A573,4)),"")</f>
        <v>2024</v>
      </c>
      <c r="C573" s="17" t="n">
        <f aca="false">IFERROR(VALUE(RIGHT($A573,2)),"")</f>
        <v>6</v>
      </c>
      <c r="D573" s="17" t="n">
        <f aca="false">IFERROR(ROUNDUP($C573/3,0),"")</f>
        <v>2</v>
      </c>
      <c r="E573" s="11" t="str">
        <f aca="false">TRIM('수출입 실적(품목별)'!B577)</f>
        <v>89</v>
      </c>
      <c r="F573" s="11" t="str">
        <f aca="false">TRIM('수출입 실적(품목별)'!C577)</f>
        <v>선박과 수상 구조물</v>
      </c>
      <c r="G573" s="18" t="n">
        <f aca="false">IFERROR(VALUE(SUBSTITUTE(TRIM('수출입 실적(품목별)'!D577),",","")),"")</f>
        <v>760183.8</v>
      </c>
      <c r="H573" s="19" t="n">
        <f aca="false">IFERROR(VALUE(SUBSTITUTE(TRIM('수출입 실적(품목별)'!E577),",","")),"")</f>
        <v>1379609</v>
      </c>
      <c r="I573" s="18" t="n">
        <f aca="false">IFERROR(VALUE(SUBSTITUTE(TRIM('수출입 실적(품목별)'!F577),",","")),"")</f>
        <v>200873</v>
      </c>
      <c r="J573" s="19" t="n">
        <f aca="false">IFERROR(VALUE(SUBSTITUTE(TRIM('수출입 실적(품목별)'!G577),",","")),"")</f>
        <v>204667</v>
      </c>
      <c r="K573" s="19" t="n">
        <f aca="false">IFERROR(VALUE(SUBSTITUTE(TRIM('수출입 실적(품목별)'!H577),",","")),"")</f>
        <v>1174942</v>
      </c>
    </row>
    <row r="574" customFormat="false" ht="15" hidden="false" customHeight="true" outlineLevel="0" collapsed="false">
      <c r="A574" s="11" t="str">
        <f aca="false">TRIM('수출입 실적(품목별)'!A578)</f>
        <v>2024.06</v>
      </c>
      <c r="B574" s="17" t="n">
        <f aca="false">IFERROR(VALUE(LEFT($A574,4)),"")</f>
        <v>2024</v>
      </c>
      <c r="C574" s="17" t="n">
        <f aca="false">IFERROR(VALUE(RIGHT($A574,2)),"")</f>
        <v>6</v>
      </c>
      <c r="D574" s="17" t="n">
        <f aca="false">IFERROR(ROUNDUP($C574/3,0),"")</f>
        <v>2</v>
      </c>
      <c r="E574" s="11" t="str">
        <f aca="false">TRIM('수출입 실적(품목별)'!B578)</f>
        <v>90</v>
      </c>
      <c r="F574" s="11" t="str">
        <f aca="false">TRIM('수출입 실적(품목별)'!C578)</f>
        <v>광학기기ㆍ사진용 기기ㆍ영화용 기기ㆍ측정기기ㆍ검사기기ㆍ정밀기기ㆍ의료용 기기, 이들의 부분품과 부속품</v>
      </c>
      <c r="G574" s="18" t="n">
        <f aca="false">IFERROR(VALUE(SUBSTITUTE(TRIM('수출입 실적(품목별)'!D578),",","")),"")</f>
        <v>15977.7</v>
      </c>
      <c r="H574" s="19" t="n">
        <f aca="false">IFERROR(VALUE(SUBSTITUTE(TRIM('수출입 실적(품목별)'!E578),",","")),"")</f>
        <v>1321890</v>
      </c>
      <c r="I574" s="18" t="n">
        <f aca="false">IFERROR(VALUE(SUBSTITUTE(TRIM('수출입 실적(품목별)'!F578),",","")),"")</f>
        <v>15534</v>
      </c>
      <c r="J574" s="19" t="n">
        <f aca="false">IFERROR(VALUE(SUBSTITUTE(TRIM('수출입 실적(품목별)'!G578),",","")),"")</f>
        <v>1702184</v>
      </c>
      <c r="K574" s="19" t="n">
        <f aca="false">IFERROR(VALUE(SUBSTITUTE(TRIM('수출입 실적(품목별)'!H578),",","")),"")</f>
        <v>-380294</v>
      </c>
    </row>
    <row r="575" customFormat="false" ht="15" hidden="false" customHeight="true" outlineLevel="0" collapsed="false">
      <c r="A575" s="11" t="str">
        <f aca="false">TRIM('수출입 실적(품목별)'!A579)</f>
        <v>2024.06</v>
      </c>
      <c r="B575" s="17" t="n">
        <f aca="false">IFERROR(VALUE(LEFT($A575,4)),"")</f>
        <v>2024</v>
      </c>
      <c r="C575" s="17" t="n">
        <f aca="false">IFERROR(VALUE(RIGHT($A575,2)),"")</f>
        <v>6</v>
      </c>
      <c r="D575" s="17" t="n">
        <f aca="false">IFERROR(ROUNDUP($C575/3,0),"")</f>
        <v>2</v>
      </c>
      <c r="E575" s="11" t="str">
        <f aca="false">TRIM('수출입 실적(품목별)'!B579)</f>
        <v>91</v>
      </c>
      <c r="F575" s="11" t="str">
        <f aca="false">TRIM('수출입 실적(품목별)'!C579)</f>
        <v>시계와 그 부분품</v>
      </c>
      <c r="G575" s="18" t="n">
        <f aca="false">IFERROR(VALUE(SUBSTITUTE(TRIM('수출입 실적(품목별)'!D579),",","")),"")</f>
        <v>17.2</v>
      </c>
      <c r="H575" s="19" t="n">
        <f aca="false">IFERROR(VALUE(SUBSTITUTE(TRIM('수출입 실적(품목별)'!E579),",","")),"")</f>
        <v>12170</v>
      </c>
      <c r="I575" s="18" t="n">
        <f aca="false">IFERROR(VALUE(SUBSTITUTE(TRIM('수출입 실적(품목별)'!F579),",","")),"")</f>
        <v>242.4</v>
      </c>
      <c r="J575" s="19" t="n">
        <f aca="false">IFERROR(VALUE(SUBSTITUTE(TRIM('수출입 실적(품목별)'!G579),",","")),"")</f>
        <v>86366</v>
      </c>
      <c r="K575" s="19" t="n">
        <f aca="false">IFERROR(VALUE(SUBSTITUTE(TRIM('수출입 실적(품목별)'!H579),",","")),"")</f>
        <v>-74196</v>
      </c>
    </row>
    <row r="576" customFormat="false" ht="15" hidden="false" customHeight="true" outlineLevel="0" collapsed="false">
      <c r="A576" s="11" t="str">
        <f aca="false">TRIM('수출입 실적(품목별)'!A580)</f>
        <v>2024.06</v>
      </c>
      <c r="B576" s="17" t="n">
        <f aca="false">IFERROR(VALUE(LEFT($A576,4)),"")</f>
        <v>2024</v>
      </c>
      <c r="C576" s="17" t="n">
        <f aca="false">IFERROR(VALUE(RIGHT($A576,2)),"")</f>
        <v>6</v>
      </c>
      <c r="D576" s="17" t="n">
        <f aca="false">IFERROR(ROUNDUP($C576/3,0),"")</f>
        <v>2</v>
      </c>
      <c r="E576" s="11" t="str">
        <f aca="false">TRIM('수출입 실적(품목별)'!B580)</f>
        <v>92</v>
      </c>
      <c r="F576" s="11" t="str">
        <f aca="false">TRIM('수출입 실적(품목별)'!C580)</f>
        <v>악기와 그 부분품과 부속품</v>
      </c>
      <c r="G576" s="18" t="n">
        <f aca="false">IFERROR(VALUE(SUBSTITUTE(TRIM('수출입 실적(품목별)'!D580),",","")),"")</f>
        <v>500.8</v>
      </c>
      <c r="H576" s="19" t="n">
        <f aca="false">IFERROR(VALUE(SUBSTITUTE(TRIM('수출입 실적(품목별)'!E580),",","")),"")</f>
        <v>9756</v>
      </c>
      <c r="I576" s="18" t="n">
        <f aca="false">IFERROR(VALUE(SUBSTITUTE(TRIM('수출입 실적(품목별)'!F580),",","")),"")</f>
        <v>655.9</v>
      </c>
      <c r="J576" s="19" t="n">
        <f aca="false">IFERROR(VALUE(SUBSTITUTE(TRIM('수출입 실적(품목별)'!G580),",","")),"")</f>
        <v>18240</v>
      </c>
      <c r="K576" s="19" t="n">
        <f aca="false">IFERROR(VALUE(SUBSTITUTE(TRIM('수출입 실적(품목별)'!H580),",","")),"")</f>
        <v>-8484</v>
      </c>
    </row>
    <row r="577" customFormat="false" ht="15" hidden="false" customHeight="true" outlineLevel="0" collapsed="false">
      <c r="A577" s="11" t="str">
        <f aca="false">TRIM('수출입 실적(품목별)'!A581)</f>
        <v>2024.06</v>
      </c>
      <c r="B577" s="17" t="n">
        <f aca="false">IFERROR(VALUE(LEFT($A577,4)),"")</f>
        <v>2024</v>
      </c>
      <c r="C577" s="17" t="n">
        <f aca="false">IFERROR(VALUE(RIGHT($A577,2)),"")</f>
        <v>6</v>
      </c>
      <c r="D577" s="17" t="n">
        <f aca="false">IFERROR(ROUNDUP($C577/3,0),"")</f>
        <v>2</v>
      </c>
      <c r="E577" s="11" t="str">
        <f aca="false">TRIM('수출입 실적(품목별)'!B581)</f>
        <v>93</v>
      </c>
      <c r="F577" s="11" t="str">
        <f aca="false">TRIM('수출입 실적(품목별)'!C581)</f>
        <v>무기ㆍ총포탄과 이들의 부분품과 부속품</v>
      </c>
      <c r="G577" s="18" t="n">
        <f aca="false">IFERROR(VALUE(SUBSTITUTE(TRIM('수출입 실적(품목별)'!D581),",","")),"")</f>
        <v>4977.9</v>
      </c>
      <c r="H577" s="19" t="n">
        <f aca="false">IFERROR(VALUE(SUBSTITUTE(TRIM('수출입 실적(품목별)'!E581),",","")),"")</f>
        <v>368308</v>
      </c>
      <c r="I577" s="18" t="n">
        <f aca="false">IFERROR(VALUE(SUBSTITUTE(TRIM('수출입 실적(품목별)'!F581),",","")),"")</f>
        <v>50.5</v>
      </c>
      <c r="J577" s="19" t="n">
        <f aca="false">IFERROR(VALUE(SUBSTITUTE(TRIM('수출입 실적(품목별)'!G581),",","")),"")</f>
        <v>12453</v>
      </c>
      <c r="K577" s="19" t="n">
        <f aca="false">IFERROR(VALUE(SUBSTITUTE(TRIM('수출입 실적(품목별)'!H581),",","")),"")</f>
        <v>355855</v>
      </c>
    </row>
    <row r="578" customFormat="false" ht="15" hidden="false" customHeight="true" outlineLevel="0" collapsed="false">
      <c r="A578" s="11" t="str">
        <f aca="false">TRIM('수출입 실적(품목별)'!A582)</f>
        <v>2024.06</v>
      </c>
      <c r="B578" s="17" t="n">
        <f aca="false">IFERROR(VALUE(LEFT($A578,4)),"")</f>
        <v>2024</v>
      </c>
      <c r="C578" s="17" t="n">
        <f aca="false">IFERROR(VALUE(RIGHT($A578,2)),"")</f>
        <v>6</v>
      </c>
      <c r="D578" s="17" t="n">
        <f aca="false">IFERROR(ROUNDUP($C578/3,0),"")</f>
        <v>2</v>
      </c>
      <c r="E578" s="11" t="str">
        <f aca="false">TRIM('수출입 실적(품목별)'!B582)</f>
        <v>94</v>
      </c>
      <c r="F578" s="11" t="str">
        <f aca="false">TRIM('수출입 실적(품목별)'!C582)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578" s="18" t="n">
        <f aca="false">IFERROR(VALUE(SUBSTITUTE(TRIM('수출입 실적(품목별)'!D582),",","")),"")</f>
        <v>14483.3</v>
      </c>
      <c r="H578" s="19" t="n">
        <f aca="false">IFERROR(VALUE(SUBSTITUTE(TRIM('수출입 실적(품목별)'!E582),",","")),"")</f>
        <v>104061</v>
      </c>
      <c r="I578" s="18" t="n">
        <f aca="false">IFERROR(VALUE(SUBSTITUTE(TRIM('수출입 실적(품목별)'!F582),",","")),"")</f>
        <v>67334</v>
      </c>
      <c r="J578" s="19" t="n">
        <f aca="false">IFERROR(VALUE(SUBSTITUTE(TRIM('수출입 실적(품목별)'!G582),",","")),"")</f>
        <v>307107</v>
      </c>
      <c r="K578" s="19" t="n">
        <f aca="false">IFERROR(VALUE(SUBSTITUTE(TRIM('수출입 실적(품목별)'!H582),",","")),"")</f>
        <v>-203046</v>
      </c>
    </row>
    <row r="579" customFormat="false" ht="15" hidden="false" customHeight="true" outlineLevel="0" collapsed="false">
      <c r="A579" s="11" t="str">
        <f aca="false">TRIM('수출입 실적(품목별)'!A583)</f>
        <v>2024.06</v>
      </c>
      <c r="B579" s="17" t="n">
        <f aca="false">IFERROR(VALUE(LEFT($A579,4)),"")</f>
        <v>2024</v>
      </c>
      <c r="C579" s="17" t="n">
        <f aca="false">IFERROR(VALUE(RIGHT($A579,2)),"")</f>
        <v>6</v>
      </c>
      <c r="D579" s="17" t="n">
        <f aca="false">IFERROR(ROUNDUP($C579/3,0),"")</f>
        <v>2</v>
      </c>
      <c r="E579" s="11" t="str">
        <f aca="false">TRIM('수출입 실적(품목별)'!B583)</f>
        <v>95</v>
      </c>
      <c r="F579" s="11" t="str">
        <f aca="false">TRIM('수출입 실적(품목별)'!C583)</f>
        <v>완구ㆍ게임용구ㆍ운동용구와 이들의 부분품과 부속품</v>
      </c>
      <c r="G579" s="18" t="n">
        <f aca="false">IFERROR(VALUE(SUBSTITUTE(TRIM('수출입 실적(품목별)'!D583),",","")),"")</f>
        <v>2137</v>
      </c>
      <c r="H579" s="19" t="n">
        <f aca="false">IFERROR(VALUE(SUBSTITUTE(TRIM('수출입 실적(품목별)'!E583),",","")),"")</f>
        <v>47684</v>
      </c>
      <c r="I579" s="18" t="n">
        <f aca="false">IFERROR(VALUE(SUBSTITUTE(TRIM('수출입 실적(품목별)'!F583),",","")),"")</f>
        <v>12928</v>
      </c>
      <c r="J579" s="19" t="n">
        <f aca="false">IFERROR(VALUE(SUBSTITUTE(TRIM('수출입 실적(품목별)'!G583),",","")),"")</f>
        <v>170347</v>
      </c>
      <c r="K579" s="19" t="n">
        <f aca="false">IFERROR(VALUE(SUBSTITUTE(TRIM('수출입 실적(품목별)'!H583),",","")),"")</f>
        <v>-122663</v>
      </c>
    </row>
    <row r="580" customFormat="false" ht="15" hidden="false" customHeight="true" outlineLevel="0" collapsed="false">
      <c r="A580" s="11" t="str">
        <f aca="false">TRIM('수출입 실적(품목별)'!A584)</f>
        <v>2024.06</v>
      </c>
      <c r="B580" s="17" t="n">
        <f aca="false">IFERROR(VALUE(LEFT($A580,4)),"")</f>
        <v>2024</v>
      </c>
      <c r="C580" s="17" t="n">
        <f aca="false">IFERROR(VALUE(RIGHT($A580,2)),"")</f>
        <v>6</v>
      </c>
      <c r="D580" s="17" t="n">
        <f aca="false">IFERROR(ROUNDUP($C580/3,0),"")</f>
        <v>2</v>
      </c>
      <c r="E580" s="11" t="str">
        <f aca="false">TRIM('수출입 실적(품목별)'!B584)</f>
        <v>96</v>
      </c>
      <c r="F580" s="11" t="str">
        <f aca="false">TRIM('수출입 실적(품목별)'!C584)</f>
        <v>잡품</v>
      </c>
      <c r="G580" s="18" t="n">
        <f aca="false">IFERROR(VALUE(SUBSTITUTE(TRIM('수출입 실적(품목별)'!D584),",","")),"")</f>
        <v>2358.5</v>
      </c>
      <c r="H580" s="19" t="n">
        <f aca="false">IFERROR(VALUE(SUBSTITUTE(TRIM('수출입 실적(품목별)'!E584),",","")),"")</f>
        <v>39801</v>
      </c>
      <c r="I580" s="18" t="n">
        <f aca="false">IFERROR(VALUE(SUBSTITUTE(TRIM('수출입 실적(품목별)'!F584),",","")),"")</f>
        <v>10411</v>
      </c>
      <c r="J580" s="19" t="n">
        <f aca="false">IFERROR(VALUE(SUBSTITUTE(TRIM('수출입 실적(품목별)'!G584),",","")),"")</f>
        <v>92300</v>
      </c>
      <c r="K580" s="19" t="n">
        <f aca="false">IFERROR(VALUE(SUBSTITUTE(TRIM('수출입 실적(품목별)'!H584),",","")),"")</f>
        <v>-52499</v>
      </c>
    </row>
    <row r="581" customFormat="false" ht="15" hidden="false" customHeight="true" outlineLevel="0" collapsed="false">
      <c r="A581" s="11" t="str">
        <f aca="false">TRIM('수출입 실적(품목별)'!A585)</f>
        <v>2024.06</v>
      </c>
      <c r="B581" s="17" t="n">
        <f aca="false">IFERROR(VALUE(LEFT($A581,4)),"")</f>
        <v>2024</v>
      </c>
      <c r="C581" s="17" t="n">
        <f aca="false">IFERROR(VALUE(RIGHT($A581,2)),"")</f>
        <v>6</v>
      </c>
      <c r="D581" s="17" t="n">
        <f aca="false">IFERROR(ROUNDUP($C581/3,0),"")</f>
        <v>2</v>
      </c>
      <c r="E581" s="11" t="str">
        <f aca="false">TRIM('수출입 실적(품목별)'!B585)</f>
        <v>97</v>
      </c>
      <c r="F581" s="11" t="str">
        <f aca="false">TRIM('수출입 실적(품목별)'!C585)</f>
        <v>예술품ㆍ수집품ㆍ골동품</v>
      </c>
      <c r="G581" s="18" t="n">
        <f aca="false">IFERROR(VALUE(SUBSTITUTE(TRIM('수출입 실적(품목별)'!D585),",","")),"")</f>
        <v>12.3</v>
      </c>
      <c r="H581" s="19" t="n">
        <f aca="false">IFERROR(VALUE(SUBSTITUTE(TRIM('수출입 실적(품목별)'!E585),",","")),"")</f>
        <v>13778</v>
      </c>
      <c r="I581" s="18" t="n">
        <f aca="false">IFERROR(VALUE(SUBSTITUTE(TRIM('수출입 실적(품목별)'!F585),",","")),"")</f>
        <v>181.1</v>
      </c>
      <c r="J581" s="19" t="n">
        <f aca="false">IFERROR(VALUE(SUBSTITUTE(TRIM('수출입 실적(품목별)'!G585),",","")),"")</f>
        <v>36447</v>
      </c>
      <c r="K581" s="19" t="n">
        <f aca="false">IFERROR(VALUE(SUBSTITUTE(TRIM('수출입 실적(품목별)'!H585),",","")),"")</f>
        <v>-22669</v>
      </c>
    </row>
    <row r="582" customFormat="false" ht="15" hidden="false" customHeight="true" outlineLevel="0" collapsed="false">
      <c r="A582" s="11" t="str">
        <f aca="false">TRIM('수출입 실적(품목별)'!A586)</f>
        <v>2024.07</v>
      </c>
      <c r="B582" s="17" t="n">
        <f aca="false">IFERROR(VALUE(LEFT($A582,4)),"")</f>
        <v>2024</v>
      </c>
      <c r="C582" s="17" t="n">
        <f aca="false">IFERROR(VALUE(RIGHT($A582,2)),"")</f>
        <v>7</v>
      </c>
      <c r="D582" s="17" t="n">
        <f aca="false">IFERROR(ROUNDUP($C582/3,0),"")</f>
        <v>3</v>
      </c>
      <c r="E582" s="11" t="str">
        <f aca="false">TRIM('수출입 실적(품목별)'!B586)</f>
        <v>01</v>
      </c>
      <c r="F582" s="11" t="str">
        <f aca="false">TRIM('수출입 실적(품목별)'!C586)</f>
        <v>살아 있는 동물</v>
      </c>
      <c r="G582" s="18" t="n">
        <f aca="false">IFERROR(VALUE(SUBSTITUTE(TRIM('수출입 실적(품목별)'!D586),",","")),"")</f>
        <v>1.6</v>
      </c>
      <c r="H582" s="19" t="n">
        <f aca="false">IFERROR(VALUE(SUBSTITUTE(TRIM('수출입 실적(품목별)'!E586),",","")),"")</f>
        <v>642</v>
      </c>
      <c r="I582" s="18" t="n">
        <f aca="false">IFERROR(VALUE(SUBSTITUTE(TRIM('수출입 실적(품목별)'!F586),",","")),"")</f>
        <v>76.7</v>
      </c>
      <c r="J582" s="19" t="n">
        <f aca="false">IFERROR(VALUE(SUBSTITUTE(TRIM('수출입 실적(품목별)'!G586),",","")),"")</f>
        <v>7023</v>
      </c>
      <c r="K582" s="19" t="n">
        <f aca="false">IFERROR(VALUE(SUBSTITUTE(TRIM('수출입 실적(품목별)'!H586),",","")),"")</f>
        <v>-6381</v>
      </c>
    </row>
    <row r="583" customFormat="false" ht="15" hidden="false" customHeight="true" outlineLevel="0" collapsed="false">
      <c r="A583" s="11" t="str">
        <f aca="false">TRIM('수출입 실적(품목별)'!A587)</f>
        <v>2024.07</v>
      </c>
      <c r="B583" s="17" t="n">
        <f aca="false">IFERROR(VALUE(LEFT($A583,4)),"")</f>
        <v>2024</v>
      </c>
      <c r="C583" s="17" t="n">
        <f aca="false">IFERROR(VALUE(RIGHT($A583,2)),"")</f>
        <v>7</v>
      </c>
      <c r="D583" s="17" t="n">
        <f aca="false">IFERROR(ROUNDUP($C583/3,0),"")</f>
        <v>3</v>
      </c>
      <c r="E583" s="11" t="str">
        <f aca="false">TRIM('수출입 실적(품목별)'!B587)</f>
        <v>02</v>
      </c>
      <c r="F583" s="11" t="str">
        <f aca="false">TRIM('수출입 실적(품목별)'!C587)</f>
        <v>육과 식용 설육(屑肉)</v>
      </c>
      <c r="G583" s="18" t="n">
        <f aca="false">IFERROR(VALUE(SUBSTITUTE(TRIM('수출입 실적(품목별)'!D587),",","")),"")</f>
        <v>4817.3</v>
      </c>
      <c r="H583" s="19" t="n">
        <f aca="false">IFERROR(VALUE(SUBSTITUTE(TRIM('수출입 실적(품목별)'!E587),",","")),"")</f>
        <v>6364</v>
      </c>
      <c r="I583" s="18" t="n">
        <f aca="false">IFERROR(VALUE(SUBSTITUTE(TRIM('수출입 실적(품목별)'!F587),",","")),"")</f>
        <v>118627.6</v>
      </c>
      <c r="J583" s="19" t="n">
        <f aca="false">IFERROR(VALUE(SUBSTITUTE(TRIM('수출입 실적(품목별)'!G587),",","")),"")</f>
        <v>606597</v>
      </c>
      <c r="K583" s="19" t="n">
        <f aca="false">IFERROR(VALUE(SUBSTITUTE(TRIM('수출입 실적(품목별)'!H587),",","")),"")</f>
        <v>-600233</v>
      </c>
    </row>
    <row r="584" customFormat="false" ht="15" hidden="false" customHeight="true" outlineLevel="0" collapsed="false">
      <c r="A584" s="11" t="str">
        <f aca="false">TRIM('수출입 실적(품목별)'!A588)</f>
        <v>2024.07</v>
      </c>
      <c r="B584" s="17" t="n">
        <f aca="false">IFERROR(VALUE(LEFT($A584,4)),"")</f>
        <v>2024</v>
      </c>
      <c r="C584" s="17" t="n">
        <f aca="false">IFERROR(VALUE(RIGHT($A584,2)),"")</f>
        <v>7</v>
      </c>
      <c r="D584" s="17" t="n">
        <f aca="false">IFERROR(ROUNDUP($C584/3,0),"")</f>
        <v>3</v>
      </c>
      <c r="E584" s="11" t="str">
        <f aca="false">TRIM('수출입 실적(품목별)'!B588)</f>
        <v>03</v>
      </c>
      <c r="F584" s="11" t="str">
        <f aca="false">TRIM('수출입 실적(품목별)'!C588)</f>
        <v>어류ㆍ갑각류ㆍ연체동물과 그 밖의 수생(水生) 무척추동물</v>
      </c>
      <c r="G584" s="18" t="n">
        <f aca="false">IFERROR(VALUE(SUBSTITUTE(TRIM('수출입 실적(품목별)'!D588),",","")),"")</f>
        <v>43391.3</v>
      </c>
      <c r="H584" s="19" t="n">
        <f aca="false">IFERROR(VALUE(SUBSTITUTE(TRIM('수출입 실적(품목별)'!E588),",","")),"")</f>
        <v>125808</v>
      </c>
      <c r="I584" s="18" t="n">
        <f aca="false">IFERROR(VALUE(SUBSTITUTE(TRIM('수출입 실적(품목별)'!F588),",","")),"")</f>
        <v>84915</v>
      </c>
      <c r="J584" s="19" t="n">
        <f aca="false">IFERROR(VALUE(SUBSTITUTE(TRIM('수출입 실적(품목별)'!G588),",","")),"")</f>
        <v>347056</v>
      </c>
      <c r="K584" s="19" t="n">
        <f aca="false">IFERROR(VALUE(SUBSTITUTE(TRIM('수출입 실적(품목별)'!H588),",","")),"")</f>
        <v>-221248</v>
      </c>
    </row>
    <row r="585" customFormat="false" ht="15" hidden="false" customHeight="true" outlineLevel="0" collapsed="false">
      <c r="A585" s="11" t="str">
        <f aca="false">TRIM('수출입 실적(품목별)'!A589)</f>
        <v>2024.07</v>
      </c>
      <c r="B585" s="17" t="n">
        <f aca="false">IFERROR(VALUE(LEFT($A585,4)),"")</f>
        <v>2024</v>
      </c>
      <c r="C585" s="17" t="n">
        <f aca="false">IFERROR(VALUE(RIGHT($A585,2)),"")</f>
        <v>7</v>
      </c>
      <c r="D585" s="17" t="n">
        <f aca="false">IFERROR(ROUNDUP($C585/3,0),"")</f>
        <v>3</v>
      </c>
      <c r="E585" s="11" t="str">
        <f aca="false">TRIM('수출입 실적(품목별)'!B589)</f>
        <v>04</v>
      </c>
      <c r="F585" s="11" t="str">
        <f aca="false">TRIM('수출입 실적(품목별)'!C589)</f>
        <v>낙농품, 새의 알, 천연꿀, 다른 류로 분류되지 않은 식용인 동물성 생산품</v>
      </c>
      <c r="G585" s="18" t="n">
        <f aca="false">IFERROR(VALUE(SUBSTITUTE(TRIM('수출입 실적(품목별)'!D589),",","")),"")</f>
        <v>2301.3</v>
      </c>
      <c r="H585" s="19" t="n">
        <f aca="false">IFERROR(VALUE(SUBSTITUTE(TRIM('수출입 실적(품목별)'!E589),",","")),"")</f>
        <v>5162</v>
      </c>
      <c r="I585" s="18" t="n">
        <f aca="false">IFERROR(VALUE(SUBSTITUTE(TRIM('수출입 실적(품목별)'!F589),",","")),"")</f>
        <v>38303.6</v>
      </c>
      <c r="J585" s="19" t="n">
        <f aca="false">IFERROR(VALUE(SUBSTITUTE(TRIM('수출입 실적(품목별)'!G589),",","")),"")</f>
        <v>141897</v>
      </c>
      <c r="K585" s="19" t="n">
        <f aca="false">IFERROR(VALUE(SUBSTITUTE(TRIM('수출입 실적(품목별)'!H589),",","")),"")</f>
        <v>-136734</v>
      </c>
    </row>
    <row r="586" customFormat="false" ht="15" hidden="false" customHeight="true" outlineLevel="0" collapsed="false">
      <c r="A586" s="11" t="str">
        <f aca="false">TRIM('수출입 실적(품목별)'!A590)</f>
        <v>2024.07</v>
      </c>
      <c r="B586" s="17" t="n">
        <f aca="false">IFERROR(VALUE(LEFT($A586,4)),"")</f>
        <v>2024</v>
      </c>
      <c r="C586" s="17" t="n">
        <f aca="false">IFERROR(VALUE(RIGHT($A586,2)),"")</f>
        <v>7</v>
      </c>
      <c r="D586" s="17" t="n">
        <f aca="false">IFERROR(ROUNDUP($C586/3,0),"")</f>
        <v>3</v>
      </c>
      <c r="E586" s="11" t="str">
        <f aca="false">TRIM('수출입 실적(품목별)'!B590)</f>
        <v>05</v>
      </c>
      <c r="F586" s="11" t="str">
        <f aca="false">TRIM('수출입 실적(품목별)'!C590)</f>
        <v>다른 류로 분류되지 않은 동물성 생산품</v>
      </c>
      <c r="G586" s="18" t="n">
        <f aca="false">IFERROR(VALUE(SUBSTITUTE(TRIM('수출입 실적(품목별)'!D590),",","")),"")</f>
        <v>3073.2</v>
      </c>
      <c r="H586" s="19" t="n">
        <f aca="false">IFERROR(VALUE(SUBSTITUTE(TRIM('수출입 실적(품목별)'!E590),",","")),"")</f>
        <v>11091</v>
      </c>
      <c r="I586" s="18" t="n">
        <f aca="false">IFERROR(VALUE(SUBSTITUTE(TRIM('수출입 실적(품목별)'!F590),",","")),"")</f>
        <v>4445.1</v>
      </c>
      <c r="J586" s="19" t="n">
        <f aca="false">IFERROR(VALUE(SUBSTITUTE(TRIM('수출입 실적(품목별)'!G590),",","")),"")</f>
        <v>26985</v>
      </c>
      <c r="K586" s="19" t="n">
        <f aca="false">IFERROR(VALUE(SUBSTITUTE(TRIM('수출입 실적(품목별)'!H590),",","")),"")</f>
        <v>-15894</v>
      </c>
    </row>
    <row r="587" customFormat="false" ht="15" hidden="false" customHeight="true" outlineLevel="0" collapsed="false">
      <c r="A587" s="11" t="str">
        <f aca="false">TRIM('수출입 실적(품목별)'!A591)</f>
        <v>2024.07</v>
      </c>
      <c r="B587" s="17" t="n">
        <f aca="false">IFERROR(VALUE(LEFT($A587,4)),"")</f>
        <v>2024</v>
      </c>
      <c r="C587" s="17" t="n">
        <f aca="false">IFERROR(VALUE(RIGHT($A587,2)),"")</f>
        <v>7</v>
      </c>
      <c r="D587" s="17" t="n">
        <f aca="false">IFERROR(ROUNDUP($C587/3,0),"")</f>
        <v>3</v>
      </c>
      <c r="E587" s="11" t="str">
        <f aca="false">TRIM('수출입 실적(품목별)'!B591)</f>
        <v>06</v>
      </c>
      <c r="F587" s="11" t="str">
        <f aca="false">TRIM('수출입 실적(품목별)'!C591)</f>
        <v>살아 있는 수목과 그 밖의 식물, 인경(鱗莖)ㆍ뿌리와 이와 유사한 물품, 절화(切花)와 장식용 잎</v>
      </c>
      <c r="G587" s="18" t="n">
        <f aca="false">IFERROR(VALUE(SUBSTITUTE(TRIM('수출입 실적(품목별)'!D591),",","")),"")</f>
        <v>37</v>
      </c>
      <c r="H587" s="19" t="n">
        <f aca="false">IFERROR(VALUE(SUBSTITUTE(TRIM('수출입 실적(품목별)'!E591),",","")),"")</f>
        <v>445</v>
      </c>
      <c r="I587" s="18" t="n">
        <f aca="false">IFERROR(VALUE(SUBSTITUTE(TRIM('수출입 실적(품목별)'!F591),",","")),"")</f>
        <v>5343.5</v>
      </c>
      <c r="J587" s="19" t="n">
        <f aca="false">IFERROR(VALUE(SUBSTITUTE(TRIM('수출입 실적(품목별)'!G591),",","")),"")</f>
        <v>7592</v>
      </c>
      <c r="K587" s="19" t="n">
        <f aca="false">IFERROR(VALUE(SUBSTITUTE(TRIM('수출입 실적(품목별)'!H591),",","")),"")</f>
        <v>-7147</v>
      </c>
    </row>
    <row r="588" customFormat="false" ht="15" hidden="false" customHeight="true" outlineLevel="0" collapsed="false">
      <c r="A588" s="11" t="str">
        <f aca="false">TRIM('수출입 실적(품목별)'!A592)</f>
        <v>2024.07</v>
      </c>
      <c r="B588" s="17" t="n">
        <f aca="false">IFERROR(VALUE(LEFT($A588,4)),"")</f>
        <v>2024</v>
      </c>
      <c r="C588" s="17" t="n">
        <f aca="false">IFERROR(VALUE(RIGHT($A588,2)),"")</f>
        <v>7</v>
      </c>
      <c r="D588" s="17" t="n">
        <f aca="false">IFERROR(ROUNDUP($C588/3,0),"")</f>
        <v>3</v>
      </c>
      <c r="E588" s="11" t="str">
        <f aca="false">TRIM('수출입 실적(품목별)'!B592)</f>
        <v>07</v>
      </c>
      <c r="F588" s="11" t="str">
        <f aca="false">TRIM('수출입 실적(품목별)'!C592)</f>
        <v>식용의 채소ㆍ뿌리ㆍ괴경(塊莖)</v>
      </c>
      <c r="G588" s="18" t="n">
        <f aca="false">IFERROR(VALUE(SUBSTITUTE(TRIM('수출입 실적(품목별)'!D592),",","")),"")</f>
        <v>4804.9</v>
      </c>
      <c r="H588" s="19" t="n">
        <f aca="false">IFERROR(VALUE(SUBSTITUTE(TRIM('수출입 실적(품목별)'!E592),",","")),"")</f>
        <v>9842</v>
      </c>
      <c r="I588" s="18" t="n">
        <f aca="false">IFERROR(VALUE(SUBSTITUTE(TRIM('수출입 실적(품목별)'!F592),",","")),"")</f>
        <v>69332</v>
      </c>
      <c r="J588" s="19" t="n">
        <f aca="false">IFERROR(VALUE(SUBSTITUTE(TRIM('수출입 실적(품목별)'!G592),",","")),"")</f>
        <v>64554</v>
      </c>
      <c r="K588" s="19" t="n">
        <f aca="false">IFERROR(VALUE(SUBSTITUTE(TRIM('수출입 실적(품목별)'!H592),",","")),"")</f>
        <v>-54711</v>
      </c>
    </row>
    <row r="589" customFormat="false" ht="15" hidden="false" customHeight="true" outlineLevel="0" collapsed="false">
      <c r="A589" s="11" t="str">
        <f aca="false">TRIM('수출입 실적(품목별)'!A593)</f>
        <v>2024.07</v>
      </c>
      <c r="B589" s="17" t="n">
        <f aca="false">IFERROR(VALUE(LEFT($A589,4)),"")</f>
        <v>2024</v>
      </c>
      <c r="C589" s="17" t="n">
        <f aca="false">IFERROR(VALUE(RIGHT($A589,2)),"")</f>
        <v>7</v>
      </c>
      <c r="D589" s="17" t="n">
        <f aca="false">IFERROR(ROUNDUP($C589/3,0),"")</f>
        <v>3</v>
      </c>
      <c r="E589" s="11" t="str">
        <f aca="false">TRIM('수출입 실적(품목별)'!B593)</f>
        <v>08</v>
      </c>
      <c r="F589" s="11" t="str">
        <f aca="false">TRIM('수출입 실적(품목별)'!C593)</f>
        <v>식용의 과실과 견과류, 감귤류ㆍ멜론의 껍질</v>
      </c>
      <c r="G589" s="18" t="n">
        <f aca="false">IFERROR(VALUE(SUBSTITUTE(TRIM('수출입 실적(품목별)'!D593),",","")),"")</f>
        <v>465.3</v>
      </c>
      <c r="H589" s="19" t="n">
        <f aca="false">IFERROR(VALUE(SUBSTITUTE(TRIM('수출입 실적(품목별)'!E593),",","")),"")</f>
        <v>3771</v>
      </c>
      <c r="I589" s="18" t="n">
        <f aca="false">IFERROR(VALUE(SUBSTITUTE(TRIM('수출입 실적(품목별)'!F593),",","")),"")</f>
        <v>76386</v>
      </c>
      <c r="J589" s="19" t="n">
        <f aca="false">IFERROR(VALUE(SUBSTITUTE(TRIM('수출입 실적(품목별)'!G593),",","")),"")</f>
        <v>155367</v>
      </c>
      <c r="K589" s="19" t="n">
        <f aca="false">IFERROR(VALUE(SUBSTITUTE(TRIM('수출입 실적(품목별)'!H593),",","")),"")</f>
        <v>-151596</v>
      </c>
    </row>
    <row r="590" customFormat="false" ht="15" hidden="false" customHeight="true" outlineLevel="0" collapsed="false">
      <c r="A590" s="11" t="str">
        <f aca="false">TRIM('수출입 실적(품목별)'!A594)</f>
        <v>2024.07</v>
      </c>
      <c r="B590" s="17" t="n">
        <f aca="false">IFERROR(VALUE(LEFT($A590,4)),"")</f>
        <v>2024</v>
      </c>
      <c r="C590" s="17" t="n">
        <f aca="false">IFERROR(VALUE(RIGHT($A590,2)),"")</f>
        <v>7</v>
      </c>
      <c r="D590" s="17" t="n">
        <f aca="false">IFERROR(ROUNDUP($C590/3,0),"")</f>
        <v>3</v>
      </c>
      <c r="E590" s="11" t="str">
        <f aca="false">TRIM('수출입 실적(품목별)'!B594)</f>
        <v>09</v>
      </c>
      <c r="F590" s="11" t="str">
        <f aca="false">TRIM('수출입 실적(품목별)'!C594)</f>
        <v>커피ㆍ차ㆍ마테(maté)ㆍ향신료</v>
      </c>
      <c r="G590" s="18" t="n">
        <f aca="false">IFERROR(VALUE(SUBSTITUTE(TRIM('수출입 실적(품목별)'!D594),",","")),"")</f>
        <v>346.1</v>
      </c>
      <c r="H590" s="19" t="n">
        <f aca="false">IFERROR(VALUE(SUBSTITUTE(TRIM('수출입 실적(품목별)'!E594),",","")),"")</f>
        <v>2967</v>
      </c>
      <c r="I590" s="18" t="n">
        <f aca="false">IFERROR(VALUE(SUBSTITUTE(TRIM('수출입 실적(품목별)'!F594),",","")),"")</f>
        <v>21025.1</v>
      </c>
      <c r="J590" s="19" t="n">
        <f aca="false">IFERROR(VALUE(SUBSTITUTE(TRIM('수출입 실적(품목별)'!G594),",","")),"")</f>
        <v>133807</v>
      </c>
      <c r="K590" s="19" t="n">
        <f aca="false">IFERROR(VALUE(SUBSTITUTE(TRIM('수출입 실적(품목별)'!H594),",","")),"")</f>
        <v>-130840</v>
      </c>
    </row>
    <row r="591" customFormat="false" ht="15" hidden="false" customHeight="true" outlineLevel="0" collapsed="false">
      <c r="A591" s="11" t="str">
        <f aca="false">TRIM('수출입 실적(품목별)'!A595)</f>
        <v>2024.07</v>
      </c>
      <c r="B591" s="17" t="n">
        <f aca="false">IFERROR(VALUE(LEFT($A591,4)),"")</f>
        <v>2024</v>
      </c>
      <c r="C591" s="17" t="n">
        <f aca="false">IFERROR(VALUE(RIGHT($A591,2)),"")</f>
        <v>7</v>
      </c>
      <c r="D591" s="17" t="n">
        <f aca="false">IFERROR(ROUNDUP($C591/3,0),"")</f>
        <v>3</v>
      </c>
      <c r="E591" s="11" t="str">
        <f aca="false">TRIM('수출입 실적(품목별)'!B595)</f>
        <v>10</v>
      </c>
      <c r="F591" s="11" t="str">
        <f aca="false">TRIM('수출입 실적(품목별)'!C595)</f>
        <v>곡물</v>
      </c>
      <c r="G591" s="18" t="n">
        <f aca="false">IFERROR(VALUE(SUBSTITUTE(TRIM('수출입 실적(품목별)'!D595),",","")),"")</f>
        <v>555</v>
      </c>
      <c r="H591" s="19" t="n">
        <f aca="false">IFERROR(VALUE(SUBSTITUTE(TRIM('수출입 실적(품목별)'!E595),",","")),"")</f>
        <v>785</v>
      </c>
      <c r="I591" s="18" t="n">
        <f aca="false">IFERROR(VALUE(SUBSTITUTE(TRIM('수출입 실적(품목별)'!F595),",","")),"")</f>
        <v>1462029.6</v>
      </c>
      <c r="J591" s="19" t="n">
        <f aca="false">IFERROR(VALUE(SUBSTITUTE(TRIM('수출입 실적(품목별)'!G595),",","")),"")</f>
        <v>415877</v>
      </c>
      <c r="K591" s="19" t="n">
        <f aca="false">IFERROR(VALUE(SUBSTITUTE(TRIM('수출입 실적(품목별)'!H595),",","")),"")</f>
        <v>-415092</v>
      </c>
    </row>
    <row r="592" customFormat="false" ht="15" hidden="false" customHeight="true" outlineLevel="0" collapsed="false">
      <c r="A592" s="11" t="str">
        <f aca="false">TRIM('수출입 실적(품목별)'!A596)</f>
        <v>2024.07</v>
      </c>
      <c r="B592" s="17" t="n">
        <f aca="false">IFERROR(VALUE(LEFT($A592,4)),"")</f>
        <v>2024</v>
      </c>
      <c r="C592" s="17" t="n">
        <f aca="false">IFERROR(VALUE(RIGHT($A592,2)),"")</f>
        <v>7</v>
      </c>
      <c r="D592" s="17" t="n">
        <f aca="false">IFERROR(ROUNDUP($C592/3,0),"")</f>
        <v>3</v>
      </c>
      <c r="E592" s="11" t="str">
        <f aca="false">TRIM('수출입 실적(품목별)'!B596)</f>
        <v>11</v>
      </c>
      <c r="F592" s="11" t="str">
        <f aca="false">TRIM('수출입 실적(품목별)'!C596)</f>
        <v>제분공업의 생산품과 맥아, 전분, 이눌린(inulin), 밀의 글루텐(gluten)</v>
      </c>
      <c r="G592" s="18" t="n">
        <f aca="false">IFERROR(VALUE(SUBSTITUTE(TRIM('수출입 실적(품목별)'!D596),",","")),"")</f>
        <v>5746.7</v>
      </c>
      <c r="H592" s="19" t="n">
        <f aca="false">IFERROR(VALUE(SUBSTITUTE(TRIM('수출입 실적(품목별)'!E596),",","")),"")</f>
        <v>7128</v>
      </c>
      <c r="I592" s="18" t="n">
        <f aca="false">IFERROR(VALUE(SUBSTITUTE(TRIM('수출입 실적(품목별)'!F596),",","")),"")</f>
        <v>30738.3</v>
      </c>
      <c r="J592" s="19" t="n">
        <f aca="false">IFERROR(VALUE(SUBSTITUTE(TRIM('수출입 실적(품목별)'!G596),",","")),"")</f>
        <v>28571</v>
      </c>
      <c r="K592" s="19" t="n">
        <f aca="false">IFERROR(VALUE(SUBSTITUTE(TRIM('수출입 실적(품목별)'!H596),",","")),"")</f>
        <v>-21443</v>
      </c>
    </row>
    <row r="593" customFormat="false" ht="15" hidden="false" customHeight="true" outlineLevel="0" collapsed="false">
      <c r="A593" s="11" t="str">
        <f aca="false">TRIM('수출입 실적(품목별)'!A597)</f>
        <v>2024.07</v>
      </c>
      <c r="B593" s="17" t="n">
        <f aca="false">IFERROR(VALUE(LEFT($A593,4)),"")</f>
        <v>2024</v>
      </c>
      <c r="C593" s="17" t="n">
        <f aca="false">IFERROR(VALUE(RIGHT($A593,2)),"")</f>
        <v>7</v>
      </c>
      <c r="D593" s="17" t="n">
        <f aca="false">IFERROR(ROUNDUP($C593/3,0),"")</f>
        <v>3</v>
      </c>
      <c r="E593" s="11" t="str">
        <f aca="false">TRIM('수출입 실적(품목별)'!B597)</f>
        <v>12</v>
      </c>
      <c r="F593" s="11" t="str">
        <f aca="false">TRIM('수출입 실적(품목별)'!C597)</f>
        <v>채유(採油)에 적합한 종자와 과실, 각종 종자와 과실, 공업용ㆍ의약용 식물, 짚과 사료용 식물</v>
      </c>
      <c r="G593" s="18" t="n">
        <f aca="false">IFERROR(VALUE(SUBSTITUTE(TRIM('수출입 실적(품목별)'!D597),",","")),"")</f>
        <v>2599.6</v>
      </c>
      <c r="H593" s="19" t="n">
        <f aca="false">IFERROR(VALUE(SUBSTITUTE(TRIM('수출입 실적(품목별)'!E597),",","")),"")</f>
        <v>65994</v>
      </c>
      <c r="I593" s="18" t="n">
        <f aca="false">IFERROR(VALUE(SUBSTITUTE(TRIM('수출입 실적(품목별)'!F597),",","")),"")</f>
        <v>202460.4</v>
      </c>
      <c r="J593" s="19" t="n">
        <f aca="false">IFERROR(VALUE(SUBSTITUTE(TRIM('수출입 실적(품목별)'!G597),",","")),"")</f>
        <v>133168</v>
      </c>
      <c r="K593" s="19" t="n">
        <f aca="false">IFERROR(VALUE(SUBSTITUTE(TRIM('수출입 실적(품목별)'!H597),",","")),"")</f>
        <v>-67174</v>
      </c>
    </row>
    <row r="594" customFormat="false" ht="15" hidden="false" customHeight="true" outlineLevel="0" collapsed="false">
      <c r="A594" s="11" t="str">
        <f aca="false">TRIM('수출입 실적(품목별)'!A598)</f>
        <v>2024.07</v>
      </c>
      <c r="B594" s="17" t="n">
        <f aca="false">IFERROR(VALUE(LEFT($A594,4)),"")</f>
        <v>2024</v>
      </c>
      <c r="C594" s="17" t="n">
        <f aca="false">IFERROR(VALUE(RIGHT($A594,2)),"")</f>
        <v>7</v>
      </c>
      <c r="D594" s="17" t="n">
        <f aca="false">IFERROR(ROUNDUP($C594/3,0),"")</f>
        <v>3</v>
      </c>
      <c r="E594" s="11" t="str">
        <f aca="false">TRIM('수출입 실적(품목별)'!B598)</f>
        <v>13</v>
      </c>
      <c r="F594" s="11" t="str">
        <f aca="false">TRIM('수출입 실적(품목별)'!C598)</f>
        <v>락(lac), 검ㆍ수지ㆍ그 밖의 식물성 수액과 추출물(extract)</v>
      </c>
      <c r="G594" s="18" t="n">
        <f aca="false">IFERROR(VALUE(SUBSTITUTE(TRIM('수출입 실적(품목별)'!D598),",","")),"")</f>
        <v>378.9</v>
      </c>
      <c r="H594" s="19" t="n">
        <f aca="false">IFERROR(VALUE(SUBSTITUTE(TRIM('수출입 실적(품목별)'!E598),",","")),"")</f>
        <v>8785</v>
      </c>
      <c r="I594" s="18" t="n">
        <f aca="false">IFERROR(VALUE(SUBSTITUTE(TRIM('수출입 실적(품목별)'!F598),",","")),"")</f>
        <v>6461.5</v>
      </c>
      <c r="J594" s="19" t="n">
        <f aca="false">IFERROR(VALUE(SUBSTITUTE(TRIM('수출입 실적(품목별)'!G598),",","")),"")</f>
        <v>32439</v>
      </c>
      <c r="K594" s="19" t="n">
        <f aca="false">IFERROR(VALUE(SUBSTITUTE(TRIM('수출입 실적(품목별)'!H598),",","")),"")</f>
        <v>-23653</v>
      </c>
    </row>
    <row r="595" customFormat="false" ht="15" hidden="false" customHeight="true" outlineLevel="0" collapsed="false">
      <c r="A595" s="11" t="str">
        <f aca="false">TRIM('수출입 실적(품목별)'!A599)</f>
        <v>2024.07</v>
      </c>
      <c r="B595" s="17" t="n">
        <f aca="false">IFERROR(VALUE(LEFT($A595,4)),"")</f>
        <v>2024</v>
      </c>
      <c r="C595" s="17" t="n">
        <f aca="false">IFERROR(VALUE(RIGHT($A595,2)),"")</f>
        <v>7</v>
      </c>
      <c r="D595" s="17" t="n">
        <f aca="false">IFERROR(ROUNDUP($C595/3,0),"")</f>
        <v>3</v>
      </c>
      <c r="E595" s="11" t="str">
        <f aca="false">TRIM('수출입 실적(품목별)'!B599)</f>
        <v>14</v>
      </c>
      <c r="F595" s="11" t="str">
        <f aca="false">TRIM('수출입 실적(품목별)'!C599)</f>
        <v>식물성 편조물(編組物)용 재료와 다른 류로 분류되지 않은 식물성 생산품</v>
      </c>
      <c r="G595" s="18" t="n">
        <f aca="false">IFERROR(VALUE(SUBSTITUTE(TRIM('수출입 실적(품목별)'!D599),",","")),"")</f>
        <v>16</v>
      </c>
      <c r="H595" s="19" t="n">
        <f aca="false">IFERROR(VALUE(SUBSTITUTE(TRIM('수출입 실적(품목별)'!E599),",","")),"")</f>
        <v>80</v>
      </c>
      <c r="I595" s="18" t="n">
        <f aca="false">IFERROR(VALUE(SUBSTITUTE(TRIM('수출입 실적(품목별)'!F599),",","")),"")</f>
        <v>13379.9</v>
      </c>
      <c r="J595" s="19" t="n">
        <f aca="false">IFERROR(VALUE(SUBSTITUTE(TRIM('수출입 실적(품목별)'!G599),",","")),"")</f>
        <v>3720</v>
      </c>
      <c r="K595" s="19" t="n">
        <f aca="false">IFERROR(VALUE(SUBSTITUTE(TRIM('수출입 실적(품목별)'!H599),",","")),"")</f>
        <v>-3641</v>
      </c>
    </row>
    <row r="596" customFormat="false" ht="15" hidden="false" customHeight="true" outlineLevel="0" collapsed="false">
      <c r="A596" s="11" t="str">
        <f aca="false">TRIM('수출입 실적(품목별)'!A600)</f>
        <v>2024.07</v>
      </c>
      <c r="B596" s="17" t="n">
        <f aca="false">IFERROR(VALUE(LEFT($A596,4)),"")</f>
        <v>2024</v>
      </c>
      <c r="C596" s="17" t="n">
        <f aca="false">IFERROR(VALUE(RIGHT($A596,2)),"")</f>
        <v>7</v>
      </c>
      <c r="D596" s="17" t="n">
        <f aca="false">IFERROR(ROUNDUP($C596/3,0),"")</f>
        <v>3</v>
      </c>
      <c r="E596" s="11" t="str">
        <f aca="false">TRIM('수출입 실적(품목별)'!B600)</f>
        <v>15</v>
      </c>
      <c r="F596" s="11" t="str">
        <f aca="false">TRIM('수출입 실적(품목별)'!C600)</f>
        <v>동물성ㆍ식물성ㆍ미생물성 지방과 기름 및이들의 분해생산물, 조제한 식용 지방과 동물성ㆍ식물성 왁스</v>
      </c>
      <c r="G596" s="18" t="n">
        <f aca="false">IFERROR(VALUE(SUBSTITUTE(TRIM('수출입 실적(품목별)'!D600),",","")),"")</f>
        <v>32538.8</v>
      </c>
      <c r="H596" s="19" t="n">
        <f aca="false">IFERROR(VALUE(SUBSTITUTE(TRIM('수출입 실적(품목별)'!E600),",","")),"")</f>
        <v>32853</v>
      </c>
      <c r="I596" s="18" t="n">
        <f aca="false">IFERROR(VALUE(SUBSTITUTE(TRIM('수출입 실적(품목별)'!F600),",","")),"")</f>
        <v>125066.2</v>
      </c>
      <c r="J596" s="19" t="n">
        <f aca="false">IFERROR(VALUE(SUBSTITUTE(TRIM('수출입 실적(품목별)'!G600),",","")),"")</f>
        <v>168834</v>
      </c>
      <c r="K596" s="19" t="n">
        <f aca="false">IFERROR(VALUE(SUBSTITUTE(TRIM('수출입 실적(품목별)'!H600),",","")),"")</f>
        <v>-135982</v>
      </c>
    </row>
    <row r="597" customFormat="false" ht="15" hidden="false" customHeight="true" outlineLevel="0" collapsed="false">
      <c r="A597" s="11" t="str">
        <f aca="false">TRIM('수출입 실적(품목별)'!A601)</f>
        <v>2024.07</v>
      </c>
      <c r="B597" s="17" t="n">
        <f aca="false">IFERROR(VALUE(LEFT($A597,4)),"")</f>
        <v>2024</v>
      </c>
      <c r="C597" s="17" t="n">
        <f aca="false">IFERROR(VALUE(RIGHT($A597,2)),"")</f>
        <v>7</v>
      </c>
      <c r="D597" s="17" t="n">
        <f aca="false">IFERROR(ROUNDUP($C597/3,0),"")</f>
        <v>3</v>
      </c>
      <c r="E597" s="11" t="str">
        <f aca="false">TRIM('수출입 실적(품목별)'!B601)</f>
        <v>16</v>
      </c>
      <c r="F597" s="11" t="str">
        <f aca="false">TRIM('수출입 실적(품목별)'!C601)</f>
        <v>육류ㆍ어류ㆍ갑각류ㆍ연체동물이나 그 밖의 수생(水生) 무척추동물 또는 곤충의 조제품</v>
      </c>
      <c r="G597" s="18" t="n">
        <f aca="false">IFERROR(VALUE(SUBSTITUTE(TRIM('수출입 실적(품목별)'!D601),",","")),"")</f>
        <v>4570.4</v>
      </c>
      <c r="H597" s="19" t="n">
        <f aca="false">IFERROR(VALUE(SUBSTITUTE(TRIM('수출입 실적(품목별)'!E601),",","")),"")</f>
        <v>26468</v>
      </c>
      <c r="I597" s="18" t="n">
        <f aca="false">IFERROR(VALUE(SUBSTITUTE(TRIM('수출입 실적(품목별)'!F601),",","")),"")</f>
        <v>17142.8</v>
      </c>
      <c r="J597" s="19" t="n">
        <f aca="false">IFERROR(VALUE(SUBSTITUTE(TRIM('수출입 실적(품목별)'!G601),",","")),"")</f>
        <v>94676</v>
      </c>
      <c r="K597" s="19" t="n">
        <f aca="false">IFERROR(VALUE(SUBSTITUTE(TRIM('수출입 실적(품목별)'!H601),",","")),"")</f>
        <v>-68207</v>
      </c>
    </row>
    <row r="598" customFormat="false" ht="15" hidden="false" customHeight="true" outlineLevel="0" collapsed="false">
      <c r="A598" s="11" t="str">
        <f aca="false">TRIM('수출입 실적(품목별)'!A602)</f>
        <v>2024.07</v>
      </c>
      <c r="B598" s="17" t="n">
        <f aca="false">IFERROR(VALUE(LEFT($A598,4)),"")</f>
        <v>2024</v>
      </c>
      <c r="C598" s="17" t="n">
        <f aca="false">IFERROR(VALUE(RIGHT($A598,2)),"")</f>
        <v>7</v>
      </c>
      <c r="D598" s="17" t="n">
        <f aca="false">IFERROR(ROUNDUP($C598/3,0),"")</f>
        <v>3</v>
      </c>
      <c r="E598" s="11" t="str">
        <f aca="false">TRIM('수출입 실적(품목별)'!B602)</f>
        <v>17</v>
      </c>
      <c r="F598" s="11" t="str">
        <f aca="false">TRIM('수출입 실적(품목별)'!C602)</f>
        <v>당류(糖類)와 설탕과자</v>
      </c>
      <c r="G598" s="18" t="n">
        <f aca="false">IFERROR(VALUE(SUBSTITUTE(TRIM('수출입 실적(품목별)'!D602),",","")),"")</f>
        <v>38347.7</v>
      </c>
      <c r="H598" s="19" t="n">
        <f aca="false">IFERROR(VALUE(SUBSTITUTE(TRIM('수출입 실적(품목별)'!E602),",","")),"")</f>
        <v>32829</v>
      </c>
      <c r="I598" s="18" t="n">
        <f aca="false">IFERROR(VALUE(SUBSTITUTE(TRIM('수출입 실적(품목별)'!F602),",","")),"")</f>
        <v>145879.3</v>
      </c>
      <c r="J598" s="19" t="n">
        <f aca="false">IFERROR(VALUE(SUBSTITUTE(TRIM('수출입 실적(품목별)'!G602),",","")),"")</f>
        <v>109689</v>
      </c>
      <c r="K598" s="19" t="n">
        <f aca="false">IFERROR(VALUE(SUBSTITUTE(TRIM('수출입 실적(품목별)'!H602),",","")),"")</f>
        <v>-76859</v>
      </c>
    </row>
    <row r="599" customFormat="false" ht="15" hidden="false" customHeight="true" outlineLevel="0" collapsed="false">
      <c r="A599" s="11" t="str">
        <f aca="false">TRIM('수출입 실적(품목별)'!A603)</f>
        <v>2024.07</v>
      </c>
      <c r="B599" s="17" t="n">
        <f aca="false">IFERROR(VALUE(LEFT($A599,4)),"")</f>
        <v>2024</v>
      </c>
      <c r="C599" s="17" t="n">
        <f aca="false">IFERROR(VALUE(RIGHT($A599,2)),"")</f>
        <v>7</v>
      </c>
      <c r="D599" s="17" t="n">
        <f aca="false">IFERROR(ROUNDUP($C599/3,0),"")</f>
        <v>3</v>
      </c>
      <c r="E599" s="11" t="str">
        <f aca="false">TRIM('수출입 실적(품목별)'!B603)</f>
        <v>18</v>
      </c>
      <c r="F599" s="11" t="str">
        <f aca="false">TRIM('수출입 실적(품목별)'!C603)</f>
        <v>코코아와 그 조제품</v>
      </c>
      <c r="G599" s="18" t="n">
        <f aca="false">IFERROR(VALUE(SUBSTITUTE(TRIM('수출입 실적(품목별)'!D603),",","")),"")</f>
        <v>2268.5</v>
      </c>
      <c r="H599" s="19" t="n">
        <f aca="false">IFERROR(VALUE(SUBSTITUTE(TRIM('수출입 실적(품목별)'!E603),",","")),"")</f>
        <v>5444</v>
      </c>
      <c r="I599" s="18" t="n">
        <f aca="false">IFERROR(VALUE(SUBSTITUTE(TRIM('수출입 실적(품목별)'!F603),",","")),"")</f>
        <v>6656.2</v>
      </c>
      <c r="J599" s="19" t="n">
        <f aca="false">IFERROR(VALUE(SUBSTITUTE(TRIM('수출입 실적(품목별)'!G603),",","")),"")</f>
        <v>45247</v>
      </c>
      <c r="K599" s="19" t="n">
        <f aca="false">IFERROR(VALUE(SUBSTITUTE(TRIM('수출입 실적(품목별)'!H603),",","")),"")</f>
        <v>-39804</v>
      </c>
    </row>
    <row r="600" customFormat="false" ht="15" hidden="false" customHeight="true" outlineLevel="0" collapsed="false">
      <c r="A600" s="11" t="str">
        <f aca="false">TRIM('수출입 실적(품목별)'!A604)</f>
        <v>2024.07</v>
      </c>
      <c r="B600" s="17" t="n">
        <f aca="false">IFERROR(VALUE(LEFT($A600,4)),"")</f>
        <v>2024</v>
      </c>
      <c r="C600" s="17" t="n">
        <f aca="false">IFERROR(VALUE(RIGHT($A600,2)),"")</f>
        <v>7</v>
      </c>
      <c r="D600" s="17" t="n">
        <f aca="false">IFERROR(ROUNDUP($C600/3,0),"")</f>
        <v>3</v>
      </c>
      <c r="E600" s="11" t="str">
        <f aca="false">TRIM('수출입 실적(품목별)'!B604)</f>
        <v>19</v>
      </c>
      <c r="F600" s="11" t="str">
        <f aca="false">TRIM('수출입 실적(품목별)'!C604)</f>
        <v>곡물ㆍ고운 가루ㆍ전분ㆍ밀크의 조제품과 베이커리 제품</v>
      </c>
      <c r="G600" s="18" t="n">
        <f aca="false">IFERROR(VALUE(SUBSTITUTE(TRIM('수출입 실적(품목별)'!D604),",","")),"")</f>
        <v>52729.5</v>
      </c>
      <c r="H600" s="19" t="n">
        <f aca="false">IFERROR(VALUE(SUBSTITUTE(TRIM('수출입 실적(품목별)'!E604),",","")),"")</f>
        <v>216009</v>
      </c>
      <c r="I600" s="18" t="n">
        <f aca="false">IFERROR(VALUE(SUBSTITUTE(TRIM('수출입 실적(품목별)'!F604),",","")),"")</f>
        <v>31717</v>
      </c>
      <c r="J600" s="19" t="n">
        <f aca="false">IFERROR(VALUE(SUBSTITUTE(TRIM('수출입 실적(품목별)'!G604),",","")),"")</f>
        <v>104677</v>
      </c>
      <c r="K600" s="19" t="n">
        <f aca="false">IFERROR(VALUE(SUBSTITUTE(TRIM('수출입 실적(품목별)'!H604),",","")),"")</f>
        <v>111333</v>
      </c>
    </row>
    <row r="601" customFormat="false" ht="15" hidden="false" customHeight="true" outlineLevel="0" collapsed="false">
      <c r="A601" s="11" t="str">
        <f aca="false">TRIM('수출입 실적(품목별)'!A605)</f>
        <v>2024.07</v>
      </c>
      <c r="B601" s="17" t="n">
        <f aca="false">IFERROR(VALUE(LEFT($A601,4)),"")</f>
        <v>2024</v>
      </c>
      <c r="C601" s="17" t="n">
        <f aca="false">IFERROR(VALUE(RIGHT($A601,2)),"")</f>
        <v>7</v>
      </c>
      <c r="D601" s="17" t="n">
        <f aca="false">IFERROR(ROUNDUP($C601/3,0),"")</f>
        <v>3</v>
      </c>
      <c r="E601" s="11" t="str">
        <f aca="false">TRIM('수출입 실적(품목별)'!B605)</f>
        <v>20</v>
      </c>
      <c r="F601" s="11" t="str">
        <f aca="false">TRIM('수출입 실적(품목별)'!C605)</f>
        <v>채소ㆍ과실ㆍ견과류나 식물의그 밖의 부분의 조제품</v>
      </c>
      <c r="G601" s="18" t="n">
        <f aca="false">IFERROR(VALUE(SUBSTITUTE(TRIM('수출입 실적(품목별)'!D605),",","")),"")</f>
        <v>9678.6</v>
      </c>
      <c r="H601" s="19" t="n">
        <f aca="false">IFERROR(VALUE(SUBSTITUTE(TRIM('수출입 실적(품목별)'!E605),",","")),"")</f>
        <v>82809</v>
      </c>
      <c r="I601" s="18" t="n">
        <f aca="false">IFERROR(VALUE(SUBSTITUTE(TRIM('수출입 실적(품목별)'!F605),",","")),"")</f>
        <v>98357.1</v>
      </c>
      <c r="J601" s="19" t="n">
        <f aca="false">IFERROR(VALUE(SUBSTITUTE(TRIM('수출입 실적(품목별)'!G605),",","")),"")</f>
        <v>155113</v>
      </c>
      <c r="K601" s="19" t="n">
        <f aca="false">IFERROR(VALUE(SUBSTITUTE(TRIM('수출입 실적(품목별)'!H605),",","")),"")</f>
        <v>-72304</v>
      </c>
    </row>
    <row r="602" customFormat="false" ht="15" hidden="false" customHeight="true" outlineLevel="0" collapsed="false">
      <c r="A602" s="11" t="str">
        <f aca="false">TRIM('수출입 실적(품목별)'!A606)</f>
        <v>2024.07</v>
      </c>
      <c r="B602" s="17" t="n">
        <f aca="false">IFERROR(VALUE(LEFT($A602,4)),"")</f>
        <v>2024</v>
      </c>
      <c r="C602" s="17" t="n">
        <f aca="false">IFERROR(VALUE(RIGHT($A602,2)),"")</f>
        <v>7</v>
      </c>
      <c r="D602" s="17" t="n">
        <f aca="false">IFERROR(ROUNDUP($C602/3,0),"")</f>
        <v>3</v>
      </c>
      <c r="E602" s="11" t="str">
        <f aca="false">TRIM('수출입 실적(품목별)'!B606)</f>
        <v>21</v>
      </c>
      <c r="F602" s="11" t="str">
        <f aca="false">TRIM('수출입 실적(품목별)'!C606)</f>
        <v>각종 조제 식료품</v>
      </c>
      <c r="G602" s="18" t="n">
        <f aca="false">IFERROR(VALUE(SUBSTITUTE(TRIM('수출입 실적(품목별)'!D606),",","")),"")</f>
        <v>36707.4</v>
      </c>
      <c r="H602" s="19" t="n">
        <f aca="false">IFERROR(VALUE(SUBSTITUTE(TRIM('수출입 실적(품목별)'!E606),",","")),"")</f>
        <v>150948</v>
      </c>
      <c r="I602" s="18" t="n">
        <f aca="false">IFERROR(VALUE(SUBSTITUTE(TRIM('수출입 실적(품목별)'!F606),",","")),"")</f>
        <v>34357.4</v>
      </c>
      <c r="J602" s="19" t="n">
        <f aca="false">IFERROR(VALUE(SUBSTITUTE(TRIM('수출입 실적(품목별)'!G606),",","")),"")</f>
        <v>256480</v>
      </c>
      <c r="K602" s="19" t="n">
        <f aca="false">IFERROR(VALUE(SUBSTITUTE(TRIM('수출입 실적(품목별)'!H606),",","")),"")</f>
        <v>-105532</v>
      </c>
    </row>
    <row r="603" customFormat="false" ht="15" hidden="false" customHeight="true" outlineLevel="0" collapsed="false">
      <c r="A603" s="11" t="str">
        <f aca="false">TRIM('수출입 실적(품목별)'!A607)</f>
        <v>2024.07</v>
      </c>
      <c r="B603" s="17" t="n">
        <f aca="false">IFERROR(VALUE(LEFT($A603,4)),"")</f>
        <v>2024</v>
      </c>
      <c r="C603" s="17" t="n">
        <f aca="false">IFERROR(VALUE(RIGHT($A603,2)),"")</f>
        <v>7</v>
      </c>
      <c r="D603" s="17" t="n">
        <f aca="false">IFERROR(ROUNDUP($C603/3,0),"")</f>
        <v>3</v>
      </c>
      <c r="E603" s="11" t="str">
        <f aca="false">TRIM('수출입 실적(품목별)'!B607)</f>
        <v>22</v>
      </c>
      <c r="F603" s="11" t="str">
        <f aca="false">TRIM('수출입 실적(품목별)'!C607)</f>
        <v>음료ㆍ주류ㆍ식초</v>
      </c>
      <c r="G603" s="18" t="n">
        <f aca="false">IFERROR(VALUE(SUBSTITUTE(TRIM('수출입 실적(품목별)'!D607),",","")),"")</f>
        <v>91095.7</v>
      </c>
      <c r="H603" s="19" t="n">
        <f aca="false">IFERROR(VALUE(SUBSTITUTE(TRIM('수출입 실적(품목별)'!E607),",","")),"")</f>
        <v>108979</v>
      </c>
      <c r="I603" s="18" t="n">
        <f aca="false">IFERROR(VALUE(SUBSTITUTE(TRIM('수출입 실적(품목별)'!F607),",","")),"")</f>
        <v>89964.2</v>
      </c>
      <c r="J603" s="19" t="n">
        <f aca="false">IFERROR(VALUE(SUBSTITUTE(TRIM('수출입 실적(품목별)'!G607),",","")),"")</f>
        <v>141943</v>
      </c>
      <c r="K603" s="19" t="n">
        <f aca="false">IFERROR(VALUE(SUBSTITUTE(TRIM('수출입 실적(품목별)'!H607),",","")),"")</f>
        <v>-32964</v>
      </c>
    </row>
    <row r="604" customFormat="false" ht="15" hidden="false" customHeight="true" outlineLevel="0" collapsed="false">
      <c r="A604" s="11" t="str">
        <f aca="false">TRIM('수출입 실적(품목별)'!A608)</f>
        <v>2024.07</v>
      </c>
      <c r="B604" s="17" t="n">
        <f aca="false">IFERROR(VALUE(LEFT($A604,4)),"")</f>
        <v>2024</v>
      </c>
      <c r="C604" s="17" t="n">
        <f aca="false">IFERROR(VALUE(RIGHT($A604,2)),"")</f>
        <v>7</v>
      </c>
      <c r="D604" s="17" t="n">
        <f aca="false">IFERROR(ROUNDUP($C604/3,0),"")</f>
        <v>3</v>
      </c>
      <c r="E604" s="11" t="str">
        <f aca="false">TRIM('수출입 실적(품목별)'!B608)</f>
        <v>23</v>
      </c>
      <c r="F604" s="11" t="str">
        <f aca="false">TRIM('수출입 실적(품목별)'!C608)</f>
        <v>식품 공업에서 생기는 잔재물과 웨이스트(waste), 조제 사료</v>
      </c>
      <c r="G604" s="18" t="n">
        <f aca="false">IFERROR(VALUE(SUBSTITUTE(TRIM('수출입 실적(품목별)'!D608),",","")),"")</f>
        <v>33009.8</v>
      </c>
      <c r="H604" s="19" t="n">
        <f aca="false">IFERROR(VALUE(SUBSTITUTE(TRIM('수출입 실적(품목별)'!E608),",","")),"")</f>
        <v>33240</v>
      </c>
      <c r="I604" s="18" t="n">
        <f aca="false">IFERROR(VALUE(SUBSTITUTE(TRIM('수출입 실적(품목별)'!F608),",","")),"")</f>
        <v>602655</v>
      </c>
      <c r="J604" s="19" t="n">
        <f aca="false">IFERROR(VALUE(SUBSTITUTE(TRIM('수출입 실적(품목별)'!G608),",","")),"")</f>
        <v>231028</v>
      </c>
      <c r="K604" s="19" t="n">
        <f aca="false">IFERROR(VALUE(SUBSTITUTE(TRIM('수출입 실적(품목별)'!H608),",","")),"")</f>
        <v>-197788</v>
      </c>
    </row>
    <row r="605" customFormat="false" ht="15" hidden="false" customHeight="true" outlineLevel="0" collapsed="false">
      <c r="A605" s="11" t="str">
        <f aca="false">TRIM('수출입 실적(품목별)'!A609)</f>
        <v>2024.07</v>
      </c>
      <c r="B605" s="17" t="n">
        <f aca="false">IFERROR(VALUE(LEFT($A605,4)),"")</f>
        <v>2024</v>
      </c>
      <c r="C605" s="17" t="n">
        <f aca="false">IFERROR(VALUE(RIGHT($A605,2)),"")</f>
        <v>7</v>
      </c>
      <c r="D605" s="17" t="n">
        <f aca="false">IFERROR(ROUNDUP($C605/3,0),"")</f>
        <v>3</v>
      </c>
      <c r="E605" s="11" t="str">
        <f aca="false">TRIM('수출입 실적(품목별)'!B609)</f>
        <v>24</v>
      </c>
      <c r="F605" s="11" t="str">
        <f aca="false">TRIM('수출입 실적(품목별)'!C609)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605" s="18" t="n">
        <f aca="false">IFERROR(VALUE(SUBSTITUTE(TRIM('수출입 실적(품목별)'!D609),",","")),"")</f>
        <v>12105.9</v>
      </c>
      <c r="H605" s="19" t="n">
        <f aca="false">IFERROR(VALUE(SUBSTITUTE(TRIM('수출입 실적(품목별)'!E609),",","")),"")</f>
        <v>117865</v>
      </c>
      <c r="I605" s="18" t="n">
        <f aca="false">IFERROR(VALUE(SUBSTITUTE(TRIM('수출입 실적(품목별)'!F609),",","")),"")</f>
        <v>4280.9</v>
      </c>
      <c r="J605" s="19" t="n">
        <f aca="false">IFERROR(VALUE(SUBSTITUTE(TRIM('수출입 실적(품목별)'!G609),",","")),"")</f>
        <v>40509</v>
      </c>
      <c r="K605" s="19" t="n">
        <f aca="false">IFERROR(VALUE(SUBSTITUTE(TRIM('수출입 실적(품목별)'!H609),",","")),"")</f>
        <v>77355</v>
      </c>
    </row>
    <row r="606" customFormat="false" ht="15" hidden="false" customHeight="true" outlineLevel="0" collapsed="false">
      <c r="A606" s="11" t="str">
        <f aca="false">TRIM('수출입 실적(품목별)'!A610)</f>
        <v>2024.07</v>
      </c>
      <c r="B606" s="17" t="n">
        <f aca="false">IFERROR(VALUE(LEFT($A606,4)),"")</f>
        <v>2024</v>
      </c>
      <c r="C606" s="17" t="n">
        <f aca="false">IFERROR(VALUE(RIGHT($A606,2)),"")</f>
        <v>7</v>
      </c>
      <c r="D606" s="17" t="n">
        <f aca="false">IFERROR(ROUNDUP($C606/3,0),"")</f>
        <v>3</v>
      </c>
      <c r="E606" s="11" t="str">
        <f aca="false">TRIM('수출입 실적(품목별)'!B610)</f>
        <v>25</v>
      </c>
      <c r="F606" s="11" t="str">
        <f aca="false">TRIM('수출입 실적(품목별)'!C610)</f>
        <v>소금, 황, 토석류(土石類), 석고ㆍ석회ㆍ시멘트</v>
      </c>
      <c r="G606" s="18" t="n">
        <f aca="false">IFERROR(VALUE(SUBSTITUTE(TRIM('수출입 실적(품목별)'!D610),",","")),"")</f>
        <v>542761.8</v>
      </c>
      <c r="H606" s="19" t="n">
        <f aca="false">IFERROR(VALUE(SUBSTITUTE(TRIM('수출입 실적(품목별)'!E610),",","")),"")</f>
        <v>28906</v>
      </c>
      <c r="I606" s="18" t="n">
        <f aca="false">IFERROR(VALUE(SUBSTITUTE(TRIM('수출입 실적(품목별)'!F610),",","")),"")</f>
        <v>957149.9</v>
      </c>
      <c r="J606" s="19" t="n">
        <f aca="false">IFERROR(VALUE(SUBSTITUTE(TRIM('수출입 실적(품목별)'!G610),",","")),"")</f>
        <v>86656</v>
      </c>
      <c r="K606" s="19" t="n">
        <f aca="false">IFERROR(VALUE(SUBSTITUTE(TRIM('수출입 실적(품목별)'!H610),",","")),"")</f>
        <v>-57750</v>
      </c>
    </row>
    <row r="607" customFormat="false" ht="15" hidden="false" customHeight="true" outlineLevel="0" collapsed="false">
      <c r="A607" s="11" t="str">
        <f aca="false">TRIM('수출입 실적(품목별)'!A611)</f>
        <v>2024.07</v>
      </c>
      <c r="B607" s="17" t="n">
        <f aca="false">IFERROR(VALUE(LEFT($A607,4)),"")</f>
        <v>2024</v>
      </c>
      <c r="C607" s="17" t="n">
        <f aca="false">IFERROR(VALUE(RIGHT($A607,2)),"")</f>
        <v>7</v>
      </c>
      <c r="D607" s="17" t="n">
        <f aca="false">IFERROR(ROUNDUP($C607/3,0),"")</f>
        <v>3</v>
      </c>
      <c r="E607" s="11" t="str">
        <f aca="false">TRIM('수출입 실적(품목별)'!B611)</f>
        <v>26</v>
      </c>
      <c r="F607" s="11" t="str">
        <f aca="false">TRIM('수출입 실적(품목별)'!C611)</f>
        <v>광(鑛)ㆍ슬래그(slag)ㆍ회(灰)</v>
      </c>
      <c r="G607" s="18" t="n">
        <f aca="false">IFERROR(VALUE(SUBSTITUTE(TRIM('수출입 실적(품목별)'!D611),",","")),"")</f>
        <v>49268.4</v>
      </c>
      <c r="H607" s="19" t="n">
        <f aca="false">IFERROR(VALUE(SUBSTITUTE(TRIM('수출입 실적(품목별)'!E611),",","")),"")</f>
        <v>57092</v>
      </c>
      <c r="I607" s="18" t="n">
        <f aca="false">IFERROR(VALUE(SUBSTITUTE(TRIM('수출입 실적(품목별)'!F611),",","")),"")</f>
        <v>6067743.8</v>
      </c>
      <c r="J607" s="19" t="n">
        <f aca="false">IFERROR(VALUE(SUBSTITUTE(TRIM('수출입 실적(품목별)'!G611),",","")),"")</f>
        <v>1784561</v>
      </c>
      <c r="K607" s="19" t="n">
        <f aca="false">IFERROR(VALUE(SUBSTITUTE(TRIM('수출입 실적(품목별)'!H611),",","")),"")</f>
        <v>-1727469</v>
      </c>
    </row>
    <row r="608" customFormat="false" ht="15" hidden="false" customHeight="true" outlineLevel="0" collapsed="false">
      <c r="A608" s="11" t="str">
        <f aca="false">TRIM('수출입 실적(품목별)'!A612)</f>
        <v>2024.07</v>
      </c>
      <c r="B608" s="17" t="n">
        <f aca="false">IFERROR(VALUE(LEFT($A608,4)),"")</f>
        <v>2024</v>
      </c>
      <c r="C608" s="17" t="n">
        <f aca="false">IFERROR(VALUE(RIGHT($A608,2)),"")</f>
        <v>7</v>
      </c>
      <c r="D608" s="17" t="n">
        <f aca="false">IFERROR(ROUNDUP($C608/3,0),"")</f>
        <v>3</v>
      </c>
      <c r="E608" s="11" t="str">
        <f aca="false">TRIM('수출입 실적(품목별)'!B612)</f>
        <v>27</v>
      </c>
      <c r="F608" s="11" t="str">
        <f aca="false">TRIM('수출입 실적(품목별)'!C612)</f>
        <v>광물성 연료ㆍ광물유(鑛物油)와 이들의 증류물, 역청(瀝靑)물질, 광물성 왁스</v>
      </c>
      <c r="G608" s="18" t="n">
        <f aca="false">IFERROR(VALUE(SUBSTITUTE(TRIM('수출입 실적(품목별)'!D612),",","")),"")</f>
        <v>6062988.7</v>
      </c>
      <c r="H608" s="19" t="n">
        <f aca="false">IFERROR(VALUE(SUBSTITUTE(TRIM('수출입 실적(품목별)'!E612),",","")),"")</f>
        <v>4683150</v>
      </c>
      <c r="I608" s="18" t="n">
        <f aca="false">IFERROR(VALUE(SUBSTITUTE(TRIM('수출입 실적(품목별)'!F612),",","")),"")</f>
        <v>28342458</v>
      </c>
      <c r="J608" s="19" t="n">
        <f aca="false">IFERROR(VALUE(SUBSTITUTE(TRIM('수출입 실적(품목별)'!G612),",","")),"")</f>
        <v>13037849</v>
      </c>
      <c r="K608" s="19" t="n">
        <f aca="false">IFERROR(VALUE(SUBSTITUTE(TRIM('수출입 실적(품목별)'!H612),",","")),"")</f>
        <v>-8354698</v>
      </c>
    </row>
    <row r="609" customFormat="false" ht="15" hidden="false" customHeight="true" outlineLevel="0" collapsed="false">
      <c r="A609" s="11" t="str">
        <f aca="false">TRIM('수출입 실적(품목별)'!A613)</f>
        <v>2024.07</v>
      </c>
      <c r="B609" s="17" t="n">
        <f aca="false">IFERROR(VALUE(LEFT($A609,4)),"")</f>
        <v>2024</v>
      </c>
      <c r="C609" s="17" t="n">
        <f aca="false">IFERROR(VALUE(RIGHT($A609,2)),"")</f>
        <v>7</v>
      </c>
      <c r="D609" s="17" t="n">
        <f aca="false">IFERROR(ROUNDUP($C609/3,0),"")</f>
        <v>3</v>
      </c>
      <c r="E609" s="11" t="str">
        <f aca="false">TRIM('수출입 실적(품목별)'!B613)</f>
        <v>28</v>
      </c>
      <c r="F609" s="11" t="str">
        <f aca="false">TRIM('수출입 실적(품목별)'!C613)</f>
        <v>무기화학품, 귀금속ㆍ희토류(稀土類)금속ㆍ방사성원소ㆍ동위원소의 유기화합물이나 무기화합물</v>
      </c>
      <c r="G609" s="18" t="n">
        <f aca="false">IFERROR(VALUE(SUBSTITUTE(TRIM('수출입 실적(품목별)'!D613),",","")),"")</f>
        <v>553422.1</v>
      </c>
      <c r="H609" s="19" t="n">
        <f aca="false">IFERROR(VALUE(SUBSTITUTE(TRIM('수출입 실적(품목별)'!E613),",","")),"")</f>
        <v>735420</v>
      </c>
      <c r="I609" s="18" t="n">
        <f aca="false">IFERROR(VALUE(SUBSTITUTE(TRIM('수출입 실적(품목별)'!F613),",","")),"")</f>
        <v>371771.6</v>
      </c>
      <c r="J609" s="19" t="n">
        <f aca="false">IFERROR(VALUE(SUBSTITUTE(TRIM('수출입 실적(품목별)'!G613),",","")),"")</f>
        <v>981888</v>
      </c>
      <c r="K609" s="19" t="n">
        <f aca="false">IFERROR(VALUE(SUBSTITUTE(TRIM('수출입 실적(품목별)'!H613),",","")),"")</f>
        <v>-246468</v>
      </c>
    </row>
    <row r="610" customFormat="false" ht="15" hidden="false" customHeight="true" outlineLevel="0" collapsed="false">
      <c r="A610" s="11" t="str">
        <f aca="false">TRIM('수출입 실적(품목별)'!A614)</f>
        <v>2024.07</v>
      </c>
      <c r="B610" s="17" t="n">
        <f aca="false">IFERROR(VALUE(LEFT($A610,4)),"")</f>
        <v>2024</v>
      </c>
      <c r="C610" s="17" t="n">
        <f aca="false">IFERROR(VALUE(RIGHT($A610,2)),"")</f>
        <v>7</v>
      </c>
      <c r="D610" s="17" t="n">
        <f aca="false">IFERROR(ROUNDUP($C610/3,0),"")</f>
        <v>3</v>
      </c>
      <c r="E610" s="11" t="str">
        <f aca="false">TRIM('수출입 실적(품목별)'!B614)</f>
        <v>29</v>
      </c>
      <c r="F610" s="11" t="str">
        <f aca="false">TRIM('수출입 실적(품목별)'!C614)</f>
        <v>유기화학품</v>
      </c>
      <c r="G610" s="18" t="n">
        <f aca="false">IFERROR(VALUE(SUBSTITUTE(TRIM('수출입 실적(품목별)'!D614),",","")),"")</f>
        <v>1684516.2</v>
      </c>
      <c r="H610" s="19" t="n">
        <f aca="false">IFERROR(VALUE(SUBSTITUTE(TRIM('수출입 실적(품목별)'!E614),",","")),"")</f>
        <v>1922804</v>
      </c>
      <c r="I610" s="18" t="n">
        <f aca="false">IFERROR(VALUE(SUBSTITUTE(TRIM('수출입 실적(품목별)'!F614),",","")),"")</f>
        <v>781180</v>
      </c>
      <c r="J610" s="19" t="n">
        <f aca="false">IFERROR(VALUE(SUBSTITUTE(TRIM('수출입 실적(품목별)'!G614),",","")),"")</f>
        <v>1314718</v>
      </c>
      <c r="K610" s="19" t="n">
        <f aca="false">IFERROR(VALUE(SUBSTITUTE(TRIM('수출입 실적(품목별)'!H614),",","")),"")</f>
        <v>608086</v>
      </c>
    </row>
    <row r="611" customFormat="false" ht="15" hidden="false" customHeight="true" outlineLevel="0" collapsed="false">
      <c r="A611" s="11" t="str">
        <f aca="false">TRIM('수출입 실적(품목별)'!A615)</f>
        <v>2024.07</v>
      </c>
      <c r="B611" s="17" t="n">
        <f aca="false">IFERROR(VALUE(LEFT($A611,4)),"")</f>
        <v>2024</v>
      </c>
      <c r="C611" s="17" t="n">
        <f aca="false">IFERROR(VALUE(RIGHT($A611,2)),"")</f>
        <v>7</v>
      </c>
      <c r="D611" s="17" t="n">
        <f aca="false">IFERROR(ROUNDUP($C611/3,0),"")</f>
        <v>3</v>
      </c>
      <c r="E611" s="11" t="str">
        <f aca="false">TRIM('수출입 실적(품목별)'!B615)</f>
        <v>30</v>
      </c>
      <c r="F611" s="11" t="str">
        <f aca="false">TRIM('수출입 실적(품목별)'!C615)</f>
        <v>의료용품</v>
      </c>
      <c r="G611" s="18" t="n">
        <f aca="false">IFERROR(VALUE(SUBSTITUTE(TRIM('수출입 실적(품목별)'!D615),",","")),"")</f>
        <v>2950</v>
      </c>
      <c r="H611" s="19" t="n">
        <f aca="false">IFERROR(VALUE(SUBSTITUTE(TRIM('수출입 실적(품목별)'!E615),",","")),"")</f>
        <v>649181</v>
      </c>
      <c r="I611" s="18" t="n">
        <f aca="false">IFERROR(VALUE(SUBSTITUTE(TRIM('수출입 실적(품목별)'!F615),",","")),"")</f>
        <v>7284.2</v>
      </c>
      <c r="J611" s="19" t="n">
        <f aca="false">IFERROR(VALUE(SUBSTITUTE(TRIM('수출입 실적(품목별)'!G615),",","")),"")</f>
        <v>781223</v>
      </c>
      <c r="K611" s="19" t="n">
        <f aca="false">IFERROR(VALUE(SUBSTITUTE(TRIM('수출입 실적(품목별)'!H615),",","")),"")</f>
        <v>-132042</v>
      </c>
    </row>
    <row r="612" customFormat="false" ht="15" hidden="false" customHeight="true" outlineLevel="0" collapsed="false">
      <c r="A612" s="11" t="str">
        <f aca="false">TRIM('수출입 실적(품목별)'!A616)</f>
        <v>2024.07</v>
      </c>
      <c r="B612" s="17" t="n">
        <f aca="false">IFERROR(VALUE(LEFT($A612,4)),"")</f>
        <v>2024</v>
      </c>
      <c r="C612" s="17" t="n">
        <f aca="false">IFERROR(VALUE(RIGHT($A612,2)),"")</f>
        <v>7</v>
      </c>
      <c r="D612" s="17" t="n">
        <f aca="false">IFERROR(ROUNDUP($C612/3,0),"")</f>
        <v>3</v>
      </c>
      <c r="E612" s="11" t="str">
        <f aca="false">TRIM('수출입 실적(품목별)'!B616)</f>
        <v>31</v>
      </c>
      <c r="F612" s="11" t="str">
        <f aca="false">TRIM('수출입 실적(품목별)'!C616)</f>
        <v>비료</v>
      </c>
      <c r="G612" s="18" t="n">
        <f aca="false">IFERROR(VALUE(SUBSTITUTE(TRIM('수출입 실적(품목별)'!D616),",","")),"")</f>
        <v>93295.1</v>
      </c>
      <c r="H612" s="19" t="n">
        <f aca="false">IFERROR(VALUE(SUBSTITUTE(TRIM('수출입 실적(품목별)'!E616),",","")),"")</f>
        <v>31060</v>
      </c>
      <c r="I612" s="18" t="n">
        <f aca="false">IFERROR(VALUE(SUBSTITUTE(TRIM('수출입 실적(품목별)'!F616),",","")),"")</f>
        <v>127988.6</v>
      </c>
      <c r="J612" s="19" t="n">
        <f aca="false">IFERROR(VALUE(SUBSTITUTE(TRIM('수출입 실적(품목별)'!G616),",","")),"")</f>
        <v>50132</v>
      </c>
      <c r="K612" s="19" t="n">
        <f aca="false">IFERROR(VALUE(SUBSTITUTE(TRIM('수출입 실적(품목별)'!H616),",","")),"")</f>
        <v>-19072</v>
      </c>
    </row>
    <row r="613" customFormat="false" ht="15" hidden="false" customHeight="true" outlineLevel="0" collapsed="false">
      <c r="A613" s="11" t="str">
        <f aca="false">TRIM('수출입 실적(품목별)'!A617)</f>
        <v>2024.07</v>
      </c>
      <c r="B613" s="17" t="n">
        <f aca="false">IFERROR(VALUE(LEFT($A613,4)),"")</f>
        <v>2024</v>
      </c>
      <c r="C613" s="17" t="n">
        <f aca="false">IFERROR(VALUE(RIGHT($A613,2)),"")</f>
        <v>7</v>
      </c>
      <c r="D613" s="17" t="n">
        <f aca="false">IFERROR(ROUNDUP($C613/3,0),"")</f>
        <v>3</v>
      </c>
      <c r="E613" s="11" t="str">
        <f aca="false">TRIM('수출입 실적(품목별)'!B617)</f>
        <v>32</v>
      </c>
      <c r="F613" s="11" t="str">
        <f aca="false">TRIM('수출입 실적(품목별)'!C617)</f>
        <v>유연용ㆍ염색용 추출물(extract), 탄닌과 이들의 유도체, 염료ㆍ안료와 그 밖의 착색제, 페인트ㆍ바니시(varnish), 퍼티(putty)와 그 밖의 매스틱(mastic), 잉크</v>
      </c>
      <c r="G613" s="18" t="n">
        <f aca="false">IFERROR(VALUE(SUBSTITUTE(TRIM('수출입 실적(품목별)'!D617),",","")),"")</f>
        <v>31860.3</v>
      </c>
      <c r="H613" s="19" t="n">
        <f aca="false">IFERROR(VALUE(SUBSTITUTE(TRIM('수출입 실적(품목별)'!E617),",","")),"")</f>
        <v>237748</v>
      </c>
      <c r="I613" s="18" t="n">
        <f aca="false">IFERROR(VALUE(SUBSTITUTE(TRIM('수출입 실적(품목별)'!F617),",","")),"")</f>
        <v>29114.9</v>
      </c>
      <c r="J613" s="19" t="n">
        <f aca="false">IFERROR(VALUE(SUBSTITUTE(TRIM('수출입 실적(품목별)'!G617),",","")),"")</f>
        <v>238512</v>
      </c>
      <c r="K613" s="19" t="n">
        <f aca="false">IFERROR(VALUE(SUBSTITUTE(TRIM('수출입 실적(품목별)'!H617),",","")),"")</f>
        <v>-764</v>
      </c>
    </row>
    <row r="614" customFormat="false" ht="15" hidden="false" customHeight="true" outlineLevel="0" collapsed="false">
      <c r="A614" s="11" t="str">
        <f aca="false">TRIM('수출입 실적(품목별)'!A618)</f>
        <v>2024.07</v>
      </c>
      <c r="B614" s="17" t="n">
        <f aca="false">IFERROR(VALUE(LEFT($A614,4)),"")</f>
        <v>2024</v>
      </c>
      <c r="C614" s="17" t="n">
        <f aca="false">IFERROR(VALUE(RIGHT($A614,2)),"")</f>
        <v>7</v>
      </c>
      <c r="D614" s="17" t="n">
        <f aca="false">IFERROR(ROUNDUP($C614/3,0),"")</f>
        <v>3</v>
      </c>
      <c r="E614" s="11" t="str">
        <f aca="false">TRIM('수출입 실적(품목별)'!B618)</f>
        <v>33</v>
      </c>
      <c r="F614" s="11" t="str">
        <f aca="false">TRIM('수출입 실적(품목별)'!C618)</f>
        <v>정유(essential oil)와 레지노이드(resinoid), 조제향료와 화장품ㆍ화장용품</v>
      </c>
      <c r="G614" s="18" t="n">
        <f aca="false">IFERROR(VALUE(SUBSTITUTE(TRIM('수출입 실적(품목별)'!D618),",","")),"")</f>
        <v>39875.4</v>
      </c>
      <c r="H614" s="19" t="n">
        <f aca="false">IFERROR(VALUE(SUBSTITUTE(TRIM('수출입 실적(품목별)'!E618),",","")),"")</f>
        <v>806681</v>
      </c>
      <c r="I614" s="18" t="n">
        <f aca="false">IFERROR(VALUE(SUBSTITUTE(TRIM('수출입 실적(품목별)'!F618),",","")),"")</f>
        <v>9530.2</v>
      </c>
      <c r="J614" s="19" t="n">
        <f aca="false">IFERROR(VALUE(SUBSTITUTE(TRIM('수출입 실적(품목별)'!G618),",","")),"")</f>
        <v>185708</v>
      </c>
      <c r="K614" s="19" t="n">
        <f aca="false">IFERROR(VALUE(SUBSTITUTE(TRIM('수출입 실적(품목별)'!H618),",","")),"")</f>
        <v>620973</v>
      </c>
    </row>
    <row r="615" customFormat="false" ht="15" hidden="false" customHeight="true" outlineLevel="0" collapsed="false">
      <c r="A615" s="11" t="str">
        <f aca="false">TRIM('수출입 실적(품목별)'!A619)</f>
        <v>2024.07</v>
      </c>
      <c r="B615" s="17" t="n">
        <f aca="false">IFERROR(VALUE(LEFT($A615,4)),"")</f>
        <v>2024</v>
      </c>
      <c r="C615" s="17" t="n">
        <f aca="false">IFERROR(VALUE(RIGHT($A615,2)),"")</f>
        <v>7</v>
      </c>
      <c r="D615" s="17" t="n">
        <f aca="false">IFERROR(ROUNDUP($C615/3,0),"")</f>
        <v>3</v>
      </c>
      <c r="E615" s="11" t="str">
        <f aca="false">TRIM('수출입 실적(품목별)'!B619)</f>
        <v>34</v>
      </c>
      <c r="F615" s="11" t="str">
        <f aca="false">TRIM('수출입 실적(품목별)'!C619)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615" s="18" t="n">
        <f aca="false">IFERROR(VALUE(SUBSTITUTE(TRIM('수출입 실적(품목별)'!D619),",","")),"")</f>
        <v>62213.1</v>
      </c>
      <c r="H615" s="19" t="n">
        <f aca="false">IFERROR(VALUE(SUBSTITUTE(TRIM('수출입 실적(품목별)'!E619),",","")),"")</f>
        <v>162162</v>
      </c>
      <c r="I615" s="18" t="n">
        <f aca="false">IFERROR(VALUE(SUBSTITUTE(TRIM('수출입 실적(품목별)'!F619),",","")),"")</f>
        <v>25584.9</v>
      </c>
      <c r="J615" s="19" t="n">
        <f aca="false">IFERROR(VALUE(SUBSTITUTE(TRIM('수출입 실적(품목별)'!G619),",","")),"")</f>
        <v>95757</v>
      </c>
      <c r="K615" s="19" t="n">
        <f aca="false">IFERROR(VALUE(SUBSTITUTE(TRIM('수출입 실적(품목별)'!H619),",","")),"")</f>
        <v>66405</v>
      </c>
    </row>
    <row r="616" customFormat="false" ht="15" hidden="false" customHeight="true" outlineLevel="0" collapsed="false">
      <c r="A616" s="11" t="str">
        <f aca="false">TRIM('수출입 실적(품목별)'!A620)</f>
        <v>2024.07</v>
      </c>
      <c r="B616" s="17" t="n">
        <f aca="false">IFERROR(VALUE(LEFT($A616,4)),"")</f>
        <v>2024</v>
      </c>
      <c r="C616" s="17" t="n">
        <f aca="false">IFERROR(VALUE(RIGHT($A616,2)),"")</f>
        <v>7</v>
      </c>
      <c r="D616" s="17" t="n">
        <f aca="false">IFERROR(ROUNDUP($C616/3,0),"")</f>
        <v>3</v>
      </c>
      <c r="E616" s="11" t="str">
        <f aca="false">TRIM('수출입 실적(품목별)'!B620)</f>
        <v>35</v>
      </c>
      <c r="F616" s="11" t="str">
        <f aca="false">TRIM('수출입 실적(품목별)'!C620)</f>
        <v>단백질계 물질, 변성전분, 글루(glue), 효소</v>
      </c>
      <c r="G616" s="18" t="n">
        <f aca="false">IFERROR(VALUE(SUBSTITUTE(TRIM('수출입 실적(품목별)'!D620),",","")),"")</f>
        <v>6577.9</v>
      </c>
      <c r="H616" s="19" t="n">
        <f aca="false">IFERROR(VALUE(SUBSTITUTE(TRIM('수출입 실적(품목별)'!E620),",","")),"")</f>
        <v>89964</v>
      </c>
      <c r="I616" s="18" t="n">
        <f aca="false">IFERROR(VALUE(SUBSTITUTE(TRIM('수출입 실적(품목별)'!F620),",","")),"")</f>
        <v>18871.6</v>
      </c>
      <c r="J616" s="19" t="n">
        <f aca="false">IFERROR(VALUE(SUBSTITUTE(TRIM('수출입 실적(품목별)'!G620),",","")),"")</f>
        <v>88878</v>
      </c>
      <c r="K616" s="19" t="n">
        <f aca="false">IFERROR(VALUE(SUBSTITUTE(TRIM('수출입 실적(품목별)'!H620),",","")),"")</f>
        <v>1086</v>
      </c>
    </row>
    <row r="617" customFormat="false" ht="15" hidden="false" customHeight="true" outlineLevel="0" collapsed="false">
      <c r="A617" s="11" t="str">
        <f aca="false">TRIM('수출입 실적(품목별)'!A621)</f>
        <v>2024.07</v>
      </c>
      <c r="B617" s="17" t="n">
        <f aca="false">IFERROR(VALUE(LEFT($A617,4)),"")</f>
        <v>2024</v>
      </c>
      <c r="C617" s="17" t="n">
        <f aca="false">IFERROR(VALUE(RIGHT($A617,2)),"")</f>
        <v>7</v>
      </c>
      <c r="D617" s="17" t="n">
        <f aca="false">IFERROR(ROUNDUP($C617/3,0),"")</f>
        <v>3</v>
      </c>
      <c r="E617" s="11" t="str">
        <f aca="false">TRIM('수출입 실적(품목별)'!B621)</f>
        <v>36</v>
      </c>
      <c r="F617" s="11" t="str">
        <f aca="false">TRIM('수출입 실적(품목별)'!C621)</f>
        <v>화약류, 화공품, 성냥, 발화성 합금, 특정 가연성 조제품</v>
      </c>
      <c r="G617" s="18" t="n">
        <f aca="false">IFERROR(VALUE(SUBSTITUTE(TRIM('수출입 실적(품목별)'!D621),",","")),"")</f>
        <v>245</v>
      </c>
      <c r="H617" s="19" t="n">
        <f aca="false">IFERROR(VALUE(SUBSTITUTE(TRIM('수출입 실적(품목별)'!E621),",","")),"")</f>
        <v>4940</v>
      </c>
      <c r="I617" s="18" t="n">
        <f aca="false">IFERROR(VALUE(SUBSTITUTE(TRIM('수출입 실적(품목별)'!F621),",","")),"")</f>
        <v>360.7</v>
      </c>
      <c r="J617" s="19" t="n">
        <f aca="false">IFERROR(VALUE(SUBSTITUTE(TRIM('수출입 실적(품목별)'!G621),",","")),"")</f>
        <v>4981</v>
      </c>
      <c r="K617" s="19" t="n">
        <f aca="false">IFERROR(VALUE(SUBSTITUTE(TRIM('수출입 실적(품목별)'!H621),",","")),"")</f>
        <v>-41</v>
      </c>
    </row>
    <row r="618" customFormat="false" ht="15" hidden="false" customHeight="true" outlineLevel="0" collapsed="false">
      <c r="A618" s="11" t="str">
        <f aca="false">TRIM('수출입 실적(품목별)'!A622)</f>
        <v>2024.07</v>
      </c>
      <c r="B618" s="17" t="n">
        <f aca="false">IFERROR(VALUE(LEFT($A618,4)),"")</f>
        <v>2024</v>
      </c>
      <c r="C618" s="17" t="n">
        <f aca="false">IFERROR(VALUE(RIGHT($A618,2)),"")</f>
        <v>7</v>
      </c>
      <c r="D618" s="17" t="n">
        <f aca="false">IFERROR(ROUNDUP($C618/3,0),"")</f>
        <v>3</v>
      </c>
      <c r="E618" s="11" t="str">
        <f aca="false">TRIM('수출입 실적(품목별)'!B622)</f>
        <v>37</v>
      </c>
      <c r="F618" s="11" t="str">
        <f aca="false">TRIM('수출입 실적(품목별)'!C622)</f>
        <v>사진용이나 영화용 재료</v>
      </c>
      <c r="G618" s="18" t="n">
        <f aca="false">IFERROR(VALUE(SUBSTITUTE(TRIM('수출입 실적(품목별)'!D622),",","")),"")</f>
        <v>2125.5</v>
      </c>
      <c r="H618" s="19" t="n">
        <f aca="false">IFERROR(VALUE(SUBSTITUTE(TRIM('수출입 실적(품목별)'!E622),",","")),"")</f>
        <v>94031</v>
      </c>
      <c r="I618" s="18" t="n">
        <f aca="false">IFERROR(VALUE(SUBSTITUTE(TRIM('수출입 실적(품목별)'!F622),",","")),"")</f>
        <v>3045.6</v>
      </c>
      <c r="J618" s="19" t="n">
        <f aca="false">IFERROR(VALUE(SUBSTITUTE(TRIM('수출입 실적(품목별)'!G622),",","")),"")</f>
        <v>92493</v>
      </c>
      <c r="K618" s="19" t="n">
        <f aca="false">IFERROR(VALUE(SUBSTITUTE(TRIM('수출입 실적(품목별)'!H622),",","")),"")</f>
        <v>1538</v>
      </c>
    </row>
    <row r="619" customFormat="false" ht="15" hidden="false" customHeight="true" outlineLevel="0" collapsed="false">
      <c r="A619" s="11" t="str">
        <f aca="false">TRIM('수출입 실적(품목별)'!A623)</f>
        <v>2024.07</v>
      </c>
      <c r="B619" s="17" t="n">
        <f aca="false">IFERROR(VALUE(LEFT($A619,4)),"")</f>
        <v>2024</v>
      </c>
      <c r="C619" s="17" t="n">
        <f aca="false">IFERROR(VALUE(RIGHT($A619,2)),"")</f>
        <v>7</v>
      </c>
      <c r="D619" s="17" t="n">
        <f aca="false">IFERROR(ROUNDUP($C619/3,0),"")</f>
        <v>3</v>
      </c>
      <c r="E619" s="11" t="str">
        <f aca="false">TRIM('수출입 실적(품목별)'!B623)</f>
        <v>38</v>
      </c>
      <c r="F619" s="11" t="str">
        <f aca="false">TRIM('수출입 실적(품목별)'!C623)</f>
        <v>각종 화학공업 생산품</v>
      </c>
      <c r="G619" s="18" t="n">
        <f aca="false">IFERROR(VALUE(SUBSTITUTE(TRIM('수출입 실적(품목별)'!D623),",","")),"")</f>
        <v>126280.9</v>
      </c>
      <c r="H619" s="19" t="n">
        <f aca="false">IFERROR(VALUE(SUBSTITUTE(TRIM('수출입 실적(품목별)'!E623),",","")),"")</f>
        <v>627355</v>
      </c>
      <c r="I619" s="18" t="n">
        <f aca="false">IFERROR(VALUE(SUBSTITUTE(TRIM('수출입 실적(품목별)'!F623),",","")),"")</f>
        <v>201062.4</v>
      </c>
      <c r="J619" s="19" t="n">
        <f aca="false">IFERROR(VALUE(SUBSTITUTE(TRIM('수출입 실적(품목별)'!G623),",","")),"")</f>
        <v>752250</v>
      </c>
      <c r="K619" s="19" t="n">
        <f aca="false">IFERROR(VALUE(SUBSTITUTE(TRIM('수출입 실적(품목별)'!H623),",","")),"")</f>
        <v>-124895</v>
      </c>
    </row>
    <row r="620" customFormat="false" ht="15" hidden="false" customHeight="true" outlineLevel="0" collapsed="false">
      <c r="A620" s="11" t="str">
        <f aca="false">TRIM('수출입 실적(품목별)'!A624)</f>
        <v>2024.07</v>
      </c>
      <c r="B620" s="17" t="n">
        <f aca="false">IFERROR(VALUE(LEFT($A620,4)),"")</f>
        <v>2024</v>
      </c>
      <c r="C620" s="17" t="n">
        <f aca="false">IFERROR(VALUE(RIGHT($A620,2)),"")</f>
        <v>7</v>
      </c>
      <c r="D620" s="17" t="n">
        <f aca="false">IFERROR(ROUNDUP($C620/3,0),"")</f>
        <v>3</v>
      </c>
      <c r="E620" s="11" t="str">
        <f aca="false">TRIM('수출입 실적(품목별)'!B624)</f>
        <v>39</v>
      </c>
      <c r="F620" s="11" t="str">
        <f aca="false">TRIM('수출입 실적(품목별)'!C624)</f>
        <v>플라스틱과 그 제품</v>
      </c>
      <c r="G620" s="18" t="n">
        <f aca="false">IFERROR(VALUE(SUBSTITUTE(TRIM('수출입 실적(품목별)'!D624),",","")),"")</f>
        <v>1534752</v>
      </c>
      <c r="H620" s="19" t="n">
        <f aca="false">IFERROR(VALUE(SUBSTITUTE(TRIM('수출입 실적(품목별)'!E624),",","")),"")</f>
        <v>3174667</v>
      </c>
      <c r="I620" s="18" t="n">
        <f aca="false">IFERROR(VALUE(SUBSTITUTE(TRIM('수출입 실적(품목별)'!F624),",","")),"")</f>
        <v>278146.4</v>
      </c>
      <c r="J620" s="19" t="n">
        <f aca="false">IFERROR(VALUE(SUBSTITUTE(TRIM('수출입 실적(품목별)'!G624),",","")),"")</f>
        <v>1148504</v>
      </c>
      <c r="K620" s="19" t="n">
        <f aca="false">IFERROR(VALUE(SUBSTITUTE(TRIM('수출입 실적(품목별)'!H624),",","")),"")</f>
        <v>2026164</v>
      </c>
    </row>
    <row r="621" customFormat="false" ht="15" hidden="false" customHeight="true" outlineLevel="0" collapsed="false">
      <c r="A621" s="11" t="str">
        <f aca="false">TRIM('수출입 실적(품목별)'!A625)</f>
        <v>2024.07</v>
      </c>
      <c r="B621" s="17" t="n">
        <f aca="false">IFERROR(VALUE(LEFT($A621,4)),"")</f>
        <v>2024</v>
      </c>
      <c r="C621" s="17" t="n">
        <f aca="false">IFERROR(VALUE(RIGHT($A621,2)),"")</f>
        <v>7</v>
      </c>
      <c r="D621" s="17" t="n">
        <f aca="false">IFERROR(ROUNDUP($C621/3,0),"")</f>
        <v>3</v>
      </c>
      <c r="E621" s="11" t="str">
        <f aca="false">TRIM('수출입 실적(품목별)'!B625)</f>
        <v>40</v>
      </c>
      <c r="F621" s="11" t="str">
        <f aca="false">TRIM('수출입 실적(품목별)'!C625)</f>
        <v>고무와 그 제품</v>
      </c>
      <c r="G621" s="18" t="n">
        <f aca="false">IFERROR(VALUE(SUBSTITUTE(TRIM('수출입 실적(품목별)'!D625),",","")),"")</f>
        <v>265000.7</v>
      </c>
      <c r="H621" s="19" t="n">
        <f aca="false">IFERROR(VALUE(SUBSTITUTE(TRIM('수출입 실적(품목별)'!E625),",","")),"")</f>
        <v>746841</v>
      </c>
      <c r="I621" s="18" t="n">
        <f aca="false">IFERROR(VALUE(SUBSTITUTE(TRIM('수출입 실적(품목별)'!F625),",","")),"")</f>
        <v>82413.9</v>
      </c>
      <c r="J621" s="19" t="n">
        <f aca="false">IFERROR(VALUE(SUBSTITUTE(TRIM('수출입 실적(품목별)'!G625),",","")),"")</f>
        <v>271593</v>
      </c>
      <c r="K621" s="19" t="n">
        <f aca="false">IFERROR(VALUE(SUBSTITUTE(TRIM('수출입 실적(품목별)'!H625),",","")),"")</f>
        <v>475248</v>
      </c>
    </row>
    <row r="622" customFormat="false" ht="15" hidden="false" customHeight="true" outlineLevel="0" collapsed="false">
      <c r="A622" s="11" t="str">
        <f aca="false">TRIM('수출입 실적(품목별)'!A626)</f>
        <v>2024.07</v>
      </c>
      <c r="B622" s="17" t="n">
        <f aca="false">IFERROR(VALUE(LEFT($A622,4)),"")</f>
        <v>2024</v>
      </c>
      <c r="C622" s="17" t="n">
        <f aca="false">IFERROR(VALUE(RIGHT($A622,2)),"")</f>
        <v>7</v>
      </c>
      <c r="D622" s="17" t="n">
        <f aca="false">IFERROR(ROUNDUP($C622/3,0),"")</f>
        <v>3</v>
      </c>
      <c r="E622" s="11" t="str">
        <f aca="false">TRIM('수출입 실적(품목별)'!B626)</f>
        <v>41</v>
      </c>
      <c r="F622" s="11" t="str">
        <f aca="false">TRIM('수출입 실적(품목별)'!C626)</f>
        <v>원피(모피는 제외한다)와 가죽</v>
      </c>
      <c r="G622" s="18" t="n">
        <f aca="false">IFERROR(VALUE(SUBSTITUTE(TRIM('수출입 실적(품목별)'!D626),",","")),"")</f>
        <v>2914</v>
      </c>
      <c r="H622" s="19" t="n">
        <f aca="false">IFERROR(VALUE(SUBSTITUTE(TRIM('수출입 실적(품목별)'!E626),",","")),"")</f>
        <v>28039</v>
      </c>
      <c r="I622" s="18" t="n">
        <f aca="false">IFERROR(VALUE(SUBSTITUTE(TRIM('수출입 실적(품목별)'!F626),",","")),"")</f>
        <v>7743.6</v>
      </c>
      <c r="J622" s="19" t="n">
        <f aca="false">IFERROR(VALUE(SUBSTITUTE(TRIM('수출입 실적(품목별)'!G626),",","")),"")</f>
        <v>23256</v>
      </c>
      <c r="K622" s="19" t="n">
        <f aca="false">IFERROR(VALUE(SUBSTITUTE(TRIM('수출입 실적(품목별)'!H626),",","")),"")</f>
        <v>4782</v>
      </c>
    </row>
    <row r="623" customFormat="false" ht="15" hidden="false" customHeight="true" outlineLevel="0" collapsed="false">
      <c r="A623" s="11" t="str">
        <f aca="false">TRIM('수출입 실적(품목별)'!A627)</f>
        <v>2024.07</v>
      </c>
      <c r="B623" s="17" t="n">
        <f aca="false">IFERROR(VALUE(LEFT($A623,4)),"")</f>
        <v>2024</v>
      </c>
      <c r="C623" s="17" t="n">
        <f aca="false">IFERROR(VALUE(RIGHT($A623,2)),"")</f>
        <v>7</v>
      </c>
      <c r="D623" s="17" t="n">
        <f aca="false">IFERROR(ROUNDUP($C623/3,0),"")</f>
        <v>3</v>
      </c>
      <c r="E623" s="11" t="str">
        <f aca="false">TRIM('수출입 실적(품목별)'!B627)</f>
        <v>42</v>
      </c>
      <c r="F623" s="11" t="str">
        <f aca="false">TRIM('수출입 실적(품목별)'!C627)</f>
        <v>가죽제품, 마구, 여행용구ㆍ핸드백과 이와 유사한 용기, 동물 거트(gut)[누에의 거트(gut)는 제외한다]의 제품</v>
      </c>
      <c r="G623" s="18" t="n">
        <f aca="false">IFERROR(VALUE(SUBSTITUTE(TRIM('수출입 실적(품목별)'!D627),",","")),"")</f>
        <v>868.7</v>
      </c>
      <c r="H623" s="19" t="n">
        <f aca="false">IFERROR(VALUE(SUBSTITUTE(TRIM('수출입 실적(품목별)'!E627),",","")),"")</f>
        <v>33219</v>
      </c>
      <c r="I623" s="18" t="n">
        <f aca="false">IFERROR(VALUE(SUBSTITUTE(TRIM('수출입 실적(품목별)'!F627),",","")),"")</f>
        <v>10230.8</v>
      </c>
      <c r="J623" s="19" t="n">
        <f aca="false">IFERROR(VALUE(SUBSTITUTE(TRIM('수출입 실적(품목별)'!G627),",","")),"")</f>
        <v>335700</v>
      </c>
      <c r="K623" s="19" t="n">
        <f aca="false">IFERROR(VALUE(SUBSTITUTE(TRIM('수출입 실적(품목별)'!H627),",","")),"")</f>
        <v>-302481</v>
      </c>
    </row>
    <row r="624" customFormat="false" ht="15" hidden="false" customHeight="true" outlineLevel="0" collapsed="false">
      <c r="A624" s="11" t="str">
        <f aca="false">TRIM('수출입 실적(품목별)'!A628)</f>
        <v>2024.07</v>
      </c>
      <c r="B624" s="17" t="n">
        <f aca="false">IFERROR(VALUE(LEFT($A624,4)),"")</f>
        <v>2024</v>
      </c>
      <c r="C624" s="17" t="n">
        <f aca="false">IFERROR(VALUE(RIGHT($A624,2)),"")</f>
        <v>7</v>
      </c>
      <c r="D624" s="17" t="n">
        <f aca="false">IFERROR(ROUNDUP($C624/3,0),"")</f>
        <v>3</v>
      </c>
      <c r="E624" s="11" t="str">
        <f aca="false">TRIM('수출입 실적(품목별)'!B628)</f>
        <v>43</v>
      </c>
      <c r="F624" s="11" t="str">
        <f aca="false">TRIM('수출입 실적(품목별)'!C628)</f>
        <v>모피ㆍ인조모피와 이들의 제품</v>
      </c>
      <c r="G624" s="18" t="n">
        <f aca="false">IFERROR(VALUE(SUBSTITUTE(TRIM('수출입 실적(품목별)'!D628),",","")),"")</f>
        <v>17.8</v>
      </c>
      <c r="H624" s="19" t="n">
        <f aca="false">IFERROR(VALUE(SUBSTITUTE(TRIM('수출입 실적(품목별)'!E628),",","")),"")</f>
        <v>858</v>
      </c>
      <c r="I624" s="18" t="n">
        <f aca="false">IFERROR(VALUE(SUBSTITUTE(TRIM('수출입 실적(품목별)'!F628),",","")),"")</f>
        <v>80.8</v>
      </c>
      <c r="J624" s="19" t="n">
        <f aca="false">IFERROR(VALUE(SUBSTITUTE(TRIM('수출입 실적(품목별)'!G628),",","")),"")</f>
        <v>13540</v>
      </c>
      <c r="K624" s="19" t="n">
        <f aca="false">IFERROR(VALUE(SUBSTITUTE(TRIM('수출입 실적(품목별)'!H628),",","")),"")</f>
        <v>-12682</v>
      </c>
    </row>
    <row r="625" customFormat="false" ht="15" hidden="false" customHeight="true" outlineLevel="0" collapsed="false">
      <c r="A625" s="11" t="str">
        <f aca="false">TRIM('수출입 실적(품목별)'!A629)</f>
        <v>2024.07</v>
      </c>
      <c r="B625" s="17" t="n">
        <f aca="false">IFERROR(VALUE(LEFT($A625,4)),"")</f>
        <v>2024</v>
      </c>
      <c r="C625" s="17" t="n">
        <f aca="false">IFERROR(VALUE(RIGHT($A625,2)),"")</f>
        <v>7</v>
      </c>
      <c r="D625" s="17" t="n">
        <f aca="false">IFERROR(ROUNDUP($C625/3,0),"")</f>
        <v>3</v>
      </c>
      <c r="E625" s="11" t="str">
        <f aca="false">TRIM('수출입 실적(품목별)'!B629)</f>
        <v>44</v>
      </c>
      <c r="F625" s="11" t="str">
        <f aca="false">TRIM('수출입 실적(품목별)'!C629)</f>
        <v>목재와 그 제품, 목탄</v>
      </c>
      <c r="G625" s="18" t="n">
        <f aca="false">IFERROR(VALUE(SUBSTITUTE(TRIM('수출입 실적(품목별)'!D629),",","")),"")</f>
        <v>3722.4</v>
      </c>
      <c r="H625" s="19" t="n">
        <f aca="false">IFERROR(VALUE(SUBSTITUTE(TRIM('수출입 실적(품목별)'!E629),",","")),"")</f>
        <v>5387</v>
      </c>
      <c r="I625" s="18" t="n">
        <f aca="false">IFERROR(VALUE(SUBSTITUTE(TRIM('수출입 실적(품목별)'!F629),",","")),"")</f>
        <v>892806.4</v>
      </c>
      <c r="J625" s="19" t="n">
        <f aca="false">IFERROR(VALUE(SUBSTITUTE(TRIM('수출입 실적(품목별)'!G629),",","")),"")</f>
        <v>257494</v>
      </c>
      <c r="K625" s="19" t="n">
        <f aca="false">IFERROR(VALUE(SUBSTITUTE(TRIM('수출입 실적(품목별)'!H629),",","")),"")</f>
        <v>-252108</v>
      </c>
    </row>
    <row r="626" customFormat="false" ht="15" hidden="false" customHeight="true" outlineLevel="0" collapsed="false">
      <c r="A626" s="11" t="str">
        <f aca="false">TRIM('수출입 실적(품목별)'!A630)</f>
        <v>2024.07</v>
      </c>
      <c r="B626" s="17" t="n">
        <f aca="false">IFERROR(VALUE(LEFT($A626,4)),"")</f>
        <v>2024</v>
      </c>
      <c r="C626" s="17" t="n">
        <f aca="false">IFERROR(VALUE(RIGHT($A626,2)),"")</f>
        <v>7</v>
      </c>
      <c r="D626" s="17" t="n">
        <f aca="false">IFERROR(ROUNDUP($C626/3,0),"")</f>
        <v>3</v>
      </c>
      <c r="E626" s="11" t="str">
        <f aca="false">TRIM('수출입 실적(품목별)'!B630)</f>
        <v>45</v>
      </c>
      <c r="F626" s="11" t="str">
        <f aca="false">TRIM('수출입 실적(품목별)'!C630)</f>
        <v>코르크(cork)와 그 제품</v>
      </c>
      <c r="G626" s="18" t="n">
        <f aca="false">IFERROR(VALUE(SUBSTITUTE(TRIM('수출입 실적(품목별)'!D630),",","")),"")</f>
        <v>0.8</v>
      </c>
      <c r="H626" s="19" t="n">
        <f aca="false">IFERROR(VALUE(SUBSTITUTE(TRIM('수출입 실적(품목별)'!E630),",","")),"")</f>
        <v>24</v>
      </c>
      <c r="I626" s="18" t="n">
        <f aca="false">IFERROR(VALUE(SUBSTITUTE(TRIM('수출입 실적(품목별)'!F630),",","")),"")</f>
        <v>78.5</v>
      </c>
      <c r="J626" s="19" t="n">
        <f aca="false">IFERROR(VALUE(SUBSTITUTE(TRIM('수출입 실적(품목별)'!G630),",","")),"")</f>
        <v>432</v>
      </c>
      <c r="K626" s="19" t="n">
        <f aca="false">IFERROR(VALUE(SUBSTITUTE(TRIM('수출입 실적(품목별)'!H630),",","")),"")</f>
        <v>-408</v>
      </c>
    </row>
    <row r="627" customFormat="false" ht="15" hidden="false" customHeight="true" outlineLevel="0" collapsed="false">
      <c r="A627" s="11" t="str">
        <f aca="false">TRIM('수출입 실적(품목별)'!A631)</f>
        <v>2024.07</v>
      </c>
      <c r="B627" s="17" t="n">
        <f aca="false">IFERROR(VALUE(LEFT($A627,4)),"")</f>
        <v>2024</v>
      </c>
      <c r="C627" s="17" t="n">
        <f aca="false">IFERROR(VALUE(RIGHT($A627,2)),"")</f>
        <v>7</v>
      </c>
      <c r="D627" s="17" t="n">
        <f aca="false">IFERROR(ROUNDUP($C627/3,0),"")</f>
        <v>3</v>
      </c>
      <c r="E627" s="11" t="str">
        <f aca="false">TRIM('수출입 실적(품목별)'!B631)</f>
        <v>46</v>
      </c>
      <c r="F627" s="11" t="str">
        <f aca="false">TRIM('수출입 실적(품목별)'!C631)</f>
        <v>짚ㆍ에스파르토(esparto)나 그 밖의 조물 재료의 제품, 바구니 세공물(basketware)과 지조세공물(枝條細工物)</v>
      </c>
      <c r="G627" s="18" t="n">
        <f aca="false">IFERROR(VALUE(SUBSTITUTE(TRIM('수출입 실적(품목별)'!D631),",","")),"")</f>
        <v>1.2</v>
      </c>
      <c r="H627" s="19" t="n">
        <f aca="false">IFERROR(VALUE(SUBSTITUTE(TRIM('수출입 실적(품목별)'!E631),",","")),"")</f>
        <v>168</v>
      </c>
      <c r="I627" s="18" t="n">
        <f aca="false">IFERROR(VALUE(SUBSTITUTE(TRIM('수출입 실적(품목별)'!F631),",","")),"")</f>
        <v>444.9</v>
      </c>
      <c r="J627" s="19" t="n">
        <f aca="false">IFERROR(VALUE(SUBSTITUTE(TRIM('수출입 실적(품목별)'!G631),",","")),"")</f>
        <v>2313</v>
      </c>
      <c r="K627" s="19" t="n">
        <f aca="false">IFERROR(VALUE(SUBSTITUTE(TRIM('수출입 실적(품목별)'!H631),",","")),"")</f>
        <v>-2145</v>
      </c>
    </row>
    <row r="628" customFormat="false" ht="15" hidden="false" customHeight="true" outlineLevel="0" collapsed="false">
      <c r="A628" s="11" t="str">
        <f aca="false">TRIM('수출입 실적(품목별)'!A632)</f>
        <v>2024.07</v>
      </c>
      <c r="B628" s="17" t="n">
        <f aca="false">IFERROR(VALUE(LEFT($A628,4)),"")</f>
        <v>2024</v>
      </c>
      <c r="C628" s="17" t="n">
        <f aca="false">IFERROR(VALUE(RIGHT($A628,2)),"")</f>
        <v>7</v>
      </c>
      <c r="D628" s="17" t="n">
        <f aca="false">IFERROR(ROUNDUP($C628/3,0),"")</f>
        <v>3</v>
      </c>
      <c r="E628" s="11" t="str">
        <f aca="false">TRIM('수출입 실적(품목별)'!B632)</f>
        <v>47</v>
      </c>
      <c r="F628" s="11" t="str">
        <f aca="false">TRIM('수출입 실적(품목별)'!C632)</f>
        <v>목재나 그 밖의 섬유질 셀룰로오스재료의 펄프, 회수한 종이ㆍ판지[웨이스트(waste)와 스크랩(scrap)]</v>
      </c>
      <c r="G628" s="18" t="n">
        <f aca="false">IFERROR(VALUE(SUBSTITUTE(TRIM('수출입 실적(품목별)'!D632),",","")),"")</f>
        <v>29063.3</v>
      </c>
      <c r="H628" s="19" t="n">
        <f aca="false">IFERROR(VALUE(SUBSTITUTE(TRIM('수출입 실적(품목별)'!E632),",","")),"")</f>
        <v>9268</v>
      </c>
      <c r="I628" s="18" t="n">
        <f aca="false">IFERROR(VALUE(SUBSTITUTE(TRIM('수출입 실적(품목별)'!F632),",","")),"")</f>
        <v>228019.7</v>
      </c>
      <c r="J628" s="19" t="n">
        <f aca="false">IFERROR(VALUE(SUBSTITUTE(TRIM('수출입 실적(품목별)'!G632),",","")),"")</f>
        <v>128195</v>
      </c>
      <c r="K628" s="19" t="n">
        <f aca="false">IFERROR(VALUE(SUBSTITUTE(TRIM('수출입 실적(품목별)'!H632),",","")),"")</f>
        <v>-118927</v>
      </c>
    </row>
    <row r="629" customFormat="false" ht="15" hidden="false" customHeight="true" outlineLevel="0" collapsed="false">
      <c r="A629" s="11" t="str">
        <f aca="false">TRIM('수출입 실적(품목별)'!A633)</f>
        <v>2024.07</v>
      </c>
      <c r="B629" s="17" t="n">
        <f aca="false">IFERROR(VALUE(LEFT($A629,4)),"")</f>
        <v>2024</v>
      </c>
      <c r="C629" s="17" t="n">
        <f aca="false">IFERROR(VALUE(RIGHT($A629,2)),"")</f>
        <v>7</v>
      </c>
      <c r="D629" s="17" t="n">
        <f aca="false">IFERROR(ROUNDUP($C629/3,0),"")</f>
        <v>3</v>
      </c>
      <c r="E629" s="11" t="str">
        <f aca="false">TRIM('수출입 실적(품목별)'!B633)</f>
        <v>48</v>
      </c>
      <c r="F629" s="11" t="str">
        <f aca="false">TRIM('수출입 실적(품목별)'!C633)</f>
        <v>종이와 판지, 제지용 펄프ㆍ종이ㆍ판지의 제품</v>
      </c>
      <c r="G629" s="18" t="n">
        <f aca="false">IFERROR(VALUE(SUBSTITUTE(TRIM('수출입 실적(품목별)'!D633),",","")),"")</f>
        <v>236550.1</v>
      </c>
      <c r="H629" s="19" t="n">
        <f aca="false">IFERROR(VALUE(SUBSTITUTE(TRIM('수출입 실적(품목별)'!E633),",","")),"")</f>
        <v>245139</v>
      </c>
      <c r="I629" s="18" t="n">
        <f aca="false">IFERROR(VALUE(SUBSTITUTE(TRIM('수출입 실적(품목별)'!F633),",","")),"")</f>
        <v>119630.5</v>
      </c>
      <c r="J629" s="19" t="n">
        <f aca="false">IFERROR(VALUE(SUBSTITUTE(TRIM('수출입 실적(품목별)'!G633),",","")),"")</f>
        <v>190595</v>
      </c>
      <c r="K629" s="19" t="n">
        <f aca="false">IFERROR(VALUE(SUBSTITUTE(TRIM('수출입 실적(품목별)'!H633),",","")),"")</f>
        <v>54545</v>
      </c>
    </row>
    <row r="630" customFormat="false" ht="15" hidden="false" customHeight="true" outlineLevel="0" collapsed="false">
      <c r="A630" s="11" t="str">
        <f aca="false">TRIM('수출입 실적(품목별)'!A634)</f>
        <v>2024.07</v>
      </c>
      <c r="B630" s="17" t="n">
        <f aca="false">IFERROR(VALUE(LEFT($A630,4)),"")</f>
        <v>2024</v>
      </c>
      <c r="C630" s="17" t="n">
        <f aca="false">IFERROR(VALUE(RIGHT($A630,2)),"")</f>
        <v>7</v>
      </c>
      <c r="D630" s="17" t="n">
        <f aca="false">IFERROR(ROUNDUP($C630/3,0),"")</f>
        <v>3</v>
      </c>
      <c r="E630" s="11" t="str">
        <f aca="false">TRIM('수출입 실적(품목별)'!B634)</f>
        <v>49</v>
      </c>
      <c r="F630" s="11" t="str">
        <f aca="false">TRIM('수출입 실적(품목별)'!C634)</f>
        <v>인쇄서적ㆍ신문ㆍ회화ㆍ그 밖의 인쇄물, 수제(手製)문서ㆍ타자문서ㆍ도면</v>
      </c>
      <c r="G630" s="18" t="n">
        <f aca="false">IFERROR(VALUE(SUBSTITUTE(TRIM('수출입 실적(품목별)'!D634),",","")),"")</f>
        <v>4291.7</v>
      </c>
      <c r="H630" s="19" t="n">
        <f aca="false">IFERROR(VALUE(SUBSTITUTE(TRIM('수출입 실적(품목별)'!E634),",","")),"")</f>
        <v>38294</v>
      </c>
      <c r="I630" s="18" t="n">
        <f aca="false">IFERROR(VALUE(SUBSTITUTE(TRIM('수출입 실적(품목별)'!F634),",","")),"")</f>
        <v>1204.1</v>
      </c>
      <c r="J630" s="19" t="n">
        <f aca="false">IFERROR(VALUE(SUBSTITUTE(TRIM('수출입 실적(품목별)'!G634),",","")),"")</f>
        <v>25109</v>
      </c>
      <c r="K630" s="19" t="n">
        <f aca="false">IFERROR(VALUE(SUBSTITUTE(TRIM('수출입 실적(품목별)'!H634),",","")),"")</f>
        <v>13185</v>
      </c>
    </row>
    <row r="631" customFormat="false" ht="15" hidden="false" customHeight="true" outlineLevel="0" collapsed="false">
      <c r="A631" s="11" t="str">
        <f aca="false">TRIM('수출입 실적(품목별)'!A635)</f>
        <v>2024.07</v>
      </c>
      <c r="B631" s="17" t="n">
        <f aca="false">IFERROR(VALUE(LEFT($A631,4)),"")</f>
        <v>2024</v>
      </c>
      <c r="C631" s="17" t="n">
        <f aca="false">IFERROR(VALUE(RIGHT($A631,2)),"")</f>
        <v>7</v>
      </c>
      <c r="D631" s="17" t="n">
        <f aca="false">IFERROR(ROUNDUP($C631/3,0),"")</f>
        <v>3</v>
      </c>
      <c r="E631" s="11" t="str">
        <f aca="false">TRIM('수출입 실적(품목별)'!B635)</f>
        <v>50</v>
      </c>
      <c r="F631" s="11" t="str">
        <f aca="false">TRIM('수출입 실적(품목별)'!C635)</f>
        <v>견</v>
      </c>
      <c r="G631" s="18" t="n">
        <f aca="false">IFERROR(VALUE(SUBSTITUTE(TRIM('수출입 실적(품목별)'!D635),",","")),"")</f>
        <v>13.3</v>
      </c>
      <c r="H631" s="19" t="n">
        <f aca="false">IFERROR(VALUE(SUBSTITUTE(TRIM('수출입 실적(품목별)'!E635),",","")),"")</f>
        <v>1671</v>
      </c>
      <c r="I631" s="18" t="n">
        <f aca="false">IFERROR(VALUE(SUBSTITUTE(TRIM('수출입 실적(품목별)'!F635),",","")),"")</f>
        <v>20.4</v>
      </c>
      <c r="J631" s="19" t="n">
        <f aca="false">IFERROR(VALUE(SUBSTITUTE(TRIM('수출입 실적(품목별)'!G635),",","")),"")</f>
        <v>1944</v>
      </c>
      <c r="K631" s="19" t="n">
        <f aca="false">IFERROR(VALUE(SUBSTITUTE(TRIM('수출입 실적(품목별)'!H635),",","")),"")</f>
        <v>-274</v>
      </c>
    </row>
    <row r="632" customFormat="false" ht="15" hidden="false" customHeight="true" outlineLevel="0" collapsed="false">
      <c r="A632" s="11" t="str">
        <f aca="false">TRIM('수출입 실적(품목별)'!A636)</f>
        <v>2024.07</v>
      </c>
      <c r="B632" s="17" t="n">
        <f aca="false">IFERROR(VALUE(LEFT($A632,4)),"")</f>
        <v>2024</v>
      </c>
      <c r="C632" s="17" t="n">
        <f aca="false">IFERROR(VALUE(RIGHT($A632,2)),"")</f>
        <v>7</v>
      </c>
      <c r="D632" s="17" t="n">
        <f aca="false">IFERROR(ROUNDUP($C632/3,0),"")</f>
        <v>3</v>
      </c>
      <c r="E632" s="11" t="str">
        <f aca="false">TRIM('수출입 실적(품목별)'!B636)</f>
        <v>51</v>
      </c>
      <c r="F632" s="11" t="str">
        <f aca="false">TRIM('수출입 실적(품목별)'!C636)</f>
        <v>양모ㆍ동물의 부드러운 털이나 거친 털ㆍ말의 털로 만든 실과 직물</v>
      </c>
      <c r="G632" s="18" t="n">
        <f aca="false">IFERROR(VALUE(SUBSTITUTE(TRIM('수출입 실적(품목별)'!D636),",","")),"")</f>
        <v>438.4</v>
      </c>
      <c r="H632" s="19" t="n">
        <f aca="false">IFERROR(VALUE(SUBSTITUTE(TRIM('수출입 실적(품목별)'!E636),",","")),"")</f>
        <v>6373</v>
      </c>
      <c r="I632" s="18" t="n">
        <f aca="false">IFERROR(VALUE(SUBSTITUTE(TRIM('수출입 실적(품목별)'!F636),",","")),"")</f>
        <v>1162</v>
      </c>
      <c r="J632" s="19" t="n">
        <f aca="false">IFERROR(VALUE(SUBSTITUTE(TRIM('수출입 실적(품목별)'!G636),",","")),"")</f>
        <v>27452</v>
      </c>
      <c r="K632" s="19" t="n">
        <f aca="false">IFERROR(VALUE(SUBSTITUTE(TRIM('수출입 실적(품목별)'!H636),",","")),"")</f>
        <v>-21080</v>
      </c>
    </row>
    <row r="633" customFormat="false" ht="15" hidden="false" customHeight="true" outlineLevel="0" collapsed="false">
      <c r="A633" s="11" t="str">
        <f aca="false">TRIM('수출입 실적(품목별)'!A637)</f>
        <v>2024.07</v>
      </c>
      <c r="B633" s="17" t="n">
        <f aca="false">IFERROR(VALUE(LEFT($A633,4)),"")</f>
        <v>2024</v>
      </c>
      <c r="C633" s="17" t="n">
        <f aca="false">IFERROR(VALUE(RIGHT($A633,2)),"")</f>
        <v>7</v>
      </c>
      <c r="D633" s="17" t="n">
        <f aca="false">IFERROR(ROUNDUP($C633/3,0),"")</f>
        <v>3</v>
      </c>
      <c r="E633" s="11" t="str">
        <f aca="false">TRIM('수출입 실적(품목별)'!B637)</f>
        <v>52</v>
      </c>
      <c r="F633" s="11" t="str">
        <f aca="false">TRIM('수출입 실적(품목별)'!C637)</f>
        <v>면</v>
      </c>
      <c r="G633" s="18" t="n">
        <f aca="false">IFERROR(VALUE(SUBSTITUTE(TRIM('수출입 실적(품목별)'!D637),",","")),"")</f>
        <v>3128.3</v>
      </c>
      <c r="H633" s="19" t="n">
        <f aca="false">IFERROR(VALUE(SUBSTITUTE(TRIM('수출입 실적(품목별)'!E637),",","")),"")</f>
        <v>26800</v>
      </c>
      <c r="I633" s="18" t="n">
        <f aca="false">IFERROR(VALUE(SUBSTITUTE(TRIM('수출입 실적(품목별)'!F637),",","")),"")</f>
        <v>20055.3</v>
      </c>
      <c r="J633" s="19" t="n">
        <f aca="false">IFERROR(VALUE(SUBSTITUTE(TRIM('수출입 실적(품목별)'!G637),",","")),"")</f>
        <v>66261</v>
      </c>
      <c r="K633" s="19" t="n">
        <f aca="false">IFERROR(VALUE(SUBSTITUTE(TRIM('수출입 실적(품목별)'!H637),",","")),"")</f>
        <v>-39460</v>
      </c>
    </row>
    <row r="634" customFormat="false" ht="15" hidden="false" customHeight="true" outlineLevel="0" collapsed="false">
      <c r="A634" s="11" t="str">
        <f aca="false">TRIM('수출입 실적(품목별)'!A638)</f>
        <v>2024.07</v>
      </c>
      <c r="B634" s="17" t="n">
        <f aca="false">IFERROR(VALUE(LEFT($A634,4)),"")</f>
        <v>2024</v>
      </c>
      <c r="C634" s="17" t="n">
        <f aca="false">IFERROR(VALUE(RIGHT($A634,2)),"")</f>
        <v>7</v>
      </c>
      <c r="D634" s="17" t="n">
        <f aca="false">IFERROR(ROUNDUP($C634/3,0),"")</f>
        <v>3</v>
      </c>
      <c r="E634" s="11" t="str">
        <f aca="false">TRIM('수출입 실적(품목별)'!B638)</f>
        <v>53</v>
      </c>
      <c r="F634" s="11" t="str">
        <f aca="false">TRIM('수출입 실적(품목별)'!C638)</f>
        <v>그 밖의 식물성 방직용 섬유, 종이실(paper yarn)과 종이실로 만든 직물</v>
      </c>
      <c r="G634" s="18" t="n">
        <f aca="false">IFERROR(VALUE(SUBSTITUTE(TRIM('수출입 실적(품목별)'!D638),",","")),"")</f>
        <v>16.8</v>
      </c>
      <c r="H634" s="19" t="n">
        <f aca="false">IFERROR(VALUE(SUBSTITUTE(TRIM('수출입 실적(품목별)'!E638),",","")),"")</f>
        <v>318</v>
      </c>
      <c r="I634" s="18" t="n">
        <f aca="false">IFERROR(VALUE(SUBSTITUTE(TRIM('수출입 실적(품목별)'!F638),",","")),"")</f>
        <v>1297.1</v>
      </c>
      <c r="J634" s="19" t="n">
        <f aca="false">IFERROR(VALUE(SUBSTITUTE(TRIM('수출입 실적(품목별)'!G638),",","")),"")</f>
        <v>4256</v>
      </c>
      <c r="K634" s="19" t="n">
        <f aca="false">IFERROR(VALUE(SUBSTITUTE(TRIM('수출입 실적(품목별)'!H638),",","")),"")</f>
        <v>-3938</v>
      </c>
    </row>
    <row r="635" customFormat="false" ht="15" hidden="false" customHeight="true" outlineLevel="0" collapsed="false">
      <c r="A635" s="11" t="str">
        <f aca="false">TRIM('수출입 실적(품목별)'!A639)</f>
        <v>2024.07</v>
      </c>
      <c r="B635" s="17" t="n">
        <f aca="false">IFERROR(VALUE(LEFT($A635,4)),"")</f>
        <v>2024</v>
      </c>
      <c r="C635" s="17" t="n">
        <f aca="false">IFERROR(VALUE(RIGHT($A635,2)),"")</f>
        <v>7</v>
      </c>
      <c r="D635" s="17" t="n">
        <f aca="false">IFERROR(ROUNDUP($C635/3,0),"")</f>
        <v>3</v>
      </c>
      <c r="E635" s="11" t="str">
        <f aca="false">TRIM('수출입 실적(품목별)'!B639)</f>
        <v>54</v>
      </c>
      <c r="F635" s="11" t="str">
        <f aca="false">TRIM('수출입 실적(품목별)'!C639)</f>
        <v>인조필라멘트, 인조방직용 섬유재료의 스트립(strip)과 이와 유사한 것</v>
      </c>
      <c r="G635" s="18" t="n">
        <f aca="false">IFERROR(VALUE(SUBSTITUTE(TRIM('수출입 실적(품목별)'!D639),",","")),"")</f>
        <v>27406.7</v>
      </c>
      <c r="H635" s="19" t="n">
        <f aca="false">IFERROR(VALUE(SUBSTITUTE(TRIM('수출입 실적(품목별)'!E639),",","")),"")</f>
        <v>170814</v>
      </c>
      <c r="I635" s="18" t="n">
        <f aca="false">IFERROR(VALUE(SUBSTITUTE(TRIM('수출입 실적(품목별)'!F639),",","")),"")</f>
        <v>40554.2</v>
      </c>
      <c r="J635" s="19" t="n">
        <f aca="false">IFERROR(VALUE(SUBSTITUTE(TRIM('수출입 실적(품목별)'!G639),",","")),"")</f>
        <v>91337</v>
      </c>
      <c r="K635" s="19" t="n">
        <f aca="false">IFERROR(VALUE(SUBSTITUTE(TRIM('수출입 실적(품목별)'!H639),",","")),"")</f>
        <v>79477</v>
      </c>
    </row>
    <row r="636" customFormat="false" ht="15" hidden="false" customHeight="true" outlineLevel="0" collapsed="false">
      <c r="A636" s="11" t="str">
        <f aca="false">TRIM('수출입 실적(품목별)'!A640)</f>
        <v>2024.07</v>
      </c>
      <c r="B636" s="17" t="n">
        <f aca="false">IFERROR(VALUE(LEFT($A636,4)),"")</f>
        <v>2024</v>
      </c>
      <c r="C636" s="17" t="n">
        <f aca="false">IFERROR(VALUE(RIGHT($A636,2)),"")</f>
        <v>7</v>
      </c>
      <c r="D636" s="17" t="n">
        <f aca="false">IFERROR(ROUNDUP($C636/3,0),"")</f>
        <v>3</v>
      </c>
      <c r="E636" s="11" t="str">
        <f aca="false">TRIM('수출입 실적(품목별)'!B640)</f>
        <v>55</v>
      </c>
      <c r="F636" s="11" t="str">
        <f aca="false">TRIM('수출입 실적(품목별)'!C640)</f>
        <v>인조스테이플섬유</v>
      </c>
      <c r="G636" s="18" t="n">
        <f aca="false">IFERROR(VALUE(SUBSTITUTE(TRIM('수출입 실적(품목별)'!D640),",","")),"")</f>
        <v>58632.2</v>
      </c>
      <c r="H636" s="19" t="n">
        <f aca="false">IFERROR(VALUE(SUBSTITUTE(TRIM('수출입 실적(품목별)'!E640),",","")),"")</f>
        <v>110847</v>
      </c>
      <c r="I636" s="18" t="n">
        <f aca="false">IFERROR(VALUE(SUBSTITUTE(TRIM('수출입 실적(품목별)'!F640),",","")),"")</f>
        <v>14090.3</v>
      </c>
      <c r="J636" s="19" t="n">
        <f aca="false">IFERROR(VALUE(SUBSTITUTE(TRIM('수출입 실적(품목별)'!G640),",","")),"")</f>
        <v>52589</v>
      </c>
      <c r="K636" s="19" t="n">
        <f aca="false">IFERROR(VALUE(SUBSTITUTE(TRIM('수출입 실적(품목별)'!H640),",","")),"")</f>
        <v>58257</v>
      </c>
    </row>
    <row r="637" customFormat="false" ht="15" hidden="false" customHeight="true" outlineLevel="0" collapsed="false">
      <c r="A637" s="11" t="str">
        <f aca="false">TRIM('수출입 실적(품목별)'!A641)</f>
        <v>2024.07</v>
      </c>
      <c r="B637" s="17" t="n">
        <f aca="false">IFERROR(VALUE(LEFT($A637,4)),"")</f>
        <v>2024</v>
      </c>
      <c r="C637" s="17" t="n">
        <f aca="false">IFERROR(VALUE(RIGHT($A637,2)),"")</f>
        <v>7</v>
      </c>
      <c r="D637" s="17" t="n">
        <f aca="false">IFERROR(ROUNDUP($C637/3,0),"")</f>
        <v>3</v>
      </c>
      <c r="E637" s="11" t="str">
        <f aca="false">TRIM('수출입 실적(품목별)'!B641)</f>
        <v>56</v>
      </c>
      <c r="F637" s="11" t="str">
        <f aca="false">TRIM('수출입 실적(품목별)'!C641)</f>
        <v>워딩(wadding)ㆍ펠트(felt)ㆍ부직포, 특수사, 끈ㆍ배의 밧줄(cordage)ㆍ로프ㆍ케이블과 이들의 제품</v>
      </c>
      <c r="G637" s="18" t="n">
        <f aca="false">IFERROR(VALUE(SUBSTITUTE(TRIM('수출입 실적(품목별)'!D641),",","")),"")</f>
        <v>10811.5</v>
      </c>
      <c r="H637" s="19" t="n">
        <f aca="false">IFERROR(VALUE(SUBSTITUTE(TRIM('수출입 실적(품목별)'!E641),",","")),"")</f>
        <v>65949</v>
      </c>
      <c r="I637" s="18" t="n">
        <f aca="false">IFERROR(VALUE(SUBSTITUTE(TRIM('수출입 실적(품목별)'!F641),",","")),"")</f>
        <v>18626.6</v>
      </c>
      <c r="J637" s="19" t="n">
        <f aca="false">IFERROR(VALUE(SUBSTITUTE(TRIM('수출입 실적(품목별)'!G641),",","")),"")</f>
        <v>58997</v>
      </c>
      <c r="K637" s="19" t="n">
        <f aca="false">IFERROR(VALUE(SUBSTITUTE(TRIM('수출입 실적(품목별)'!H641),",","")),"")</f>
        <v>6952</v>
      </c>
    </row>
    <row r="638" customFormat="false" ht="15" hidden="false" customHeight="true" outlineLevel="0" collapsed="false">
      <c r="A638" s="11" t="str">
        <f aca="false">TRIM('수출입 실적(품목별)'!A642)</f>
        <v>2024.07</v>
      </c>
      <c r="B638" s="17" t="n">
        <f aca="false">IFERROR(VALUE(LEFT($A638,4)),"")</f>
        <v>2024</v>
      </c>
      <c r="C638" s="17" t="n">
        <f aca="false">IFERROR(VALUE(RIGHT($A638,2)),"")</f>
        <v>7</v>
      </c>
      <c r="D638" s="17" t="n">
        <f aca="false">IFERROR(ROUNDUP($C638/3,0),"")</f>
        <v>3</v>
      </c>
      <c r="E638" s="11" t="str">
        <f aca="false">TRIM('수출입 실적(품목별)'!B642)</f>
        <v>57</v>
      </c>
      <c r="F638" s="11" t="str">
        <f aca="false">TRIM('수출입 실적(품목별)'!C642)</f>
        <v>양탄자류와 그 밖의 방직용 섬유로 만든 바닥깔개</v>
      </c>
      <c r="G638" s="18" t="n">
        <f aca="false">IFERROR(VALUE(SUBSTITUTE(TRIM('수출입 실적(품목별)'!D642),",","")),"")</f>
        <v>736.7</v>
      </c>
      <c r="H638" s="19" t="n">
        <f aca="false">IFERROR(VALUE(SUBSTITUTE(TRIM('수출입 실적(품목별)'!E642),",","")),"")</f>
        <v>7548</v>
      </c>
      <c r="I638" s="18" t="n">
        <f aca="false">IFERROR(VALUE(SUBSTITUTE(TRIM('수출입 실적(품목별)'!F642),",","")),"")</f>
        <v>6044.8</v>
      </c>
      <c r="J638" s="19" t="n">
        <f aca="false">IFERROR(VALUE(SUBSTITUTE(TRIM('수출입 실적(품목별)'!G642),",","")),"")</f>
        <v>12496</v>
      </c>
      <c r="K638" s="19" t="n">
        <f aca="false">IFERROR(VALUE(SUBSTITUTE(TRIM('수출입 실적(품목별)'!H642),",","")),"")</f>
        <v>-4948</v>
      </c>
    </row>
    <row r="639" customFormat="false" ht="15" hidden="false" customHeight="true" outlineLevel="0" collapsed="false">
      <c r="A639" s="11" t="str">
        <f aca="false">TRIM('수출입 실적(품목별)'!A643)</f>
        <v>2024.07</v>
      </c>
      <c r="B639" s="17" t="n">
        <f aca="false">IFERROR(VALUE(LEFT($A639,4)),"")</f>
        <v>2024</v>
      </c>
      <c r="C639" s="17" t="n">
        <f aca="false">IFERROR(VALUE(RIGHT($A639,2)),"")</f>
        <v>7</v>
      </c>
      <c r="D639" s="17" t="n">
        <f aca="false">IFERROR(ROUNDUP($C639/3,0),"")</f>
        <v>3</v>
      </c>
      <c r="E639" s="11" t="str">
        <f aca="false">TRIM('수출입 실적(품목별)'!B643)</f>
        <v>58</v>
      </c>
      <c r="F639" s="11" t="str">
        <f aca="false">TRIM('수출입 실적(품목별)'!C643)</f>
        <v>특수직물, 터프트(tuft)한 직물, 레이스, 태피스트리(tapestry), 트리밍(trimming), 자수천</v>
      </c>
      <c r="G639" s="18" t="n">
        <f aca="false">IFERROR(VALUE(SUBSTITUTE(TRIM('수출입 실적(품목별)'!D643),",","")),"")</f>
        <v>1441.8</v>
      </c>
      <c r="H639" s="19" t="n">
        <f aca="false">IFERROR(VALUE(SUBSTITUTE(TRIM('수출입 실적(품목별)'!E643),",","")),"")</f>
        <v>16614</v>
      </c>
      <c r="I639" s="18" t="n">
        <f aca="false">IFERROR(VALUE(SUBSTITUTE(TRIM('수출입 실적(품목별)'!F643),",","")),"")</f>
        <v>941.8</v>
      </c>
      <c r="J639" s="19" t="n">
        <f aca="false">IFERROR(VALUE(SUBSTITUTE(TRIM('수출입 실적(품목별)'!G643),",","")),"")</f>
        <v>7196</v>
      </c>
      <c r="K639" s="19" t="n">
        <f aca="false">IFERROR(VALUE(SUBSTITUTE(TRIM('수출입 실적(품목별)'!H643),",","")),"")</f>
        <v>9417</v>
      </c>
    </row>
    <row r="640" customFormat="false" ht="15" hidden="false" customHeight="true" outlineLevel="0" collapsed="false">
      <c r="A640" s="11" t="str">
        <f aca="false">TRIM('수출입 실적(품목별)'!A644)</f>
        <v>2024.07</v>
      </c>
      <c r="B640" s="17" t="n">
        <f aca="false">IFERROR(VALUE(LEFT($A640,4)),"")</f>
        <v>2024</v>
      </c>
      <c r="C640" s="17" t="n">
        <f aca="false">IFERROR(VALUE(RIGHT($A640,2)),"")</f>
        <v>7</v>
      </c>
      <c r="D640" s="17" t="n">
        <f aca="false">IFERROR(ROUNDUP($C640/3,0),"")</f>
        <v>3</v>
      </c>
      <c r="E640" s="11" t="str">
        <f aca="false">TRIM('수출입 실적(품목별)'!B644)</f>
        <v>59</v>
      </c>
      <c r="F640" s="11" t="str">
        <f aca="false">TRIM('수출입 실적(품목별)'!C644)</f>
        <v>침투ㆍ도포ㆍ피복하거나 적층한 방직용 섬유의 직물, 공업용인 방직용 섬유제품</v>
      </c>
      <c r="G640" s="18" t="n">
        <f aca="false">IFERROR(VALUE(SUBSTITUTE(TRIM('수출입 실적(품목별)'!D644),",","")),"")</f>
        <v>9652.3</v>
      </c>
      <c r="H640" s="19" t="n">
        <f aca="false">IFERROR(VALUE(SUBSTITUTE(TRIM('수출입 실적(품목별)'!E644),",","")),"")</f>
        <v>98601</v>
      </c>
      <c r="I640" s="18" t="n">
        <f aca="false">IFERROR(VALUE(SUBSTITUTE(TRIM('수출입 실적(품목별)'!F644),",","")),"")</f>
        <v>7312.5</v>
      </c>
      <c r="J640" s="19" t="n">
        <f aca="false">IFERROR(VALUE(SUBSTITUTE(TRIM('수출입 실적(품목별)'!G644),",","")),"")</f>
        <v>43103</v>
      </c>
      <c r="K640" s="19" t="n">
        <f aca="false">IFERROR(VALUE(SUBSTITUTE(TRIM('수출입 실적(품목별)'!H644),",","")),"")</f>
        <v>55497</v>
      </c>
    </row>
    <row r="641" customFormat="false" ht="15" hidden="false" customHeight="true" outlineLevel="0" collapsed="false">
      <c r="A641" s="11" t="str">
        <f aca="false">TRIM('수출입 실적(품목별)'!A645)</f>
        <v>2024.07</v>
      </c>
      <c r="B641" s="17" t="n">
        <f aca="false">IFERROR(VALUE(LEFT($A641,4)),"")</f>
        <v>2024</v>
      </c>
      <c r="C641" s="17" t="n">
        <f aca="false">IFERROR(VALUE(RIGHT($A641,2)),"")</f>
        <v>7</v>
      </c>
      <c r="D641" s="17" t="n">
        <f aca="false">IFERROR(ROUNDUP($C641/3,0),"")</f>
        <v>3</v>
      </c>
      <c r="E641" s="11" t="str">
        <f aca="false">TRIM('수출입 실적(품목별)'!B645)</f>
        <v>60</v>
      </c>
      <c r="F641" s="11" t="str">
        <f aca="false">TRIM('수출입 실적(품목별)'!C645)</f>
        <v>메리야스 편물과 뜨개질 편물</v>
      </c>
      <c r="G641" s="18" t="n">
        <f aca="false">IFERROR(VALUE(SUBSTITUTE(TRIM('수출입 실적(품목별)'!D645),",","")),"")</f>
        <v>18419.3</v>
      </c>
      <c r="H641" s="19" t="n">
        <f aca="false">IFERROR(VALUE(SUBSTITUTE(TRIM('수출입 실적(품목별)'!E645),",","")),"")</f>
        <v>142230</v>
      </c>
      <c r="I641" s="18" t="n">
        <f aca="false">IFERROR(VALUE(SUBSTITUTE(TRIM('수출입 실적(품목별)'!F645),",","")),"")</f>
        <v>1752.8</v>
      </c>
      <c r="J641" s="19" t="n">
        <f aca="false">IFERROR(VALUE(SUBSTITUTE(TRIM('수출입 실적(품목별)'!G645),",","")),"")</f>
        <v>10430</v>
      </c>
      <c r="K641" s="19" t="n">
        <f aca="false">IFERROR(VALUE(SUBSTITUTE(TRIM('수출입 실적(품목별)'!H645),",","")),"")</f>
        <v>131800</v>
      </c>
    </row>
    <row r="642" customFormat="false" ht="15" hidden="false" customHeight="true" outlineLevel="0" collapsed="false">
      <c r="A642" s="11" t="str">
        <f aca="false">TRIM('수출입 실적(품목별)'!A646)</f>
        <v>2024.07</v>
      </c>
      <c r="B642" s="17" t="n">
        <f aca="false">IFERROR(VALUE(LEFT($A642,4)),"")</f>
        <v>2024</v>
      </c>
      <c r="C642" s="17" t="n">
        <f aca="false">IFERROR(VALUE(RIGHT($A642,2)),"")</f>
        <v>7</v>
      </c>
      <c r="D642" s="17" t="n">
        <f aca="false">IFERROR(ROUNDUP($C642/3,0),"")</f>
        <v>3</v>
      </c>
      <c r="E642" s="11" t="str">
        <f aca="false">TRIM('수출입 실적(품목별)'!B646)</f>
        <v>61</v>
      </c>
      <c r="F642" s="11" t="str">
        <f aca="false">TRIM('수출입 실적(품목별)'!C646)</f>
        <v>의류와 그 부속품(메리야스 편물이나 뜨개질 편물로 한정한다)</v>
      </c>
      <c r="G642" s="18" t="n">
        <f aca="false">IFERROR(VALUE(SUBSTITUTE(TRIM('수출입 실적(품목별)'!D646),",","")),"")</f>
        <v>2408</v>
      </c>
      <c r="H642" s="19" t="n">
        <f aca="false">IFERROR(VALUE(SUBSTITUTE(TRIM('수출입 실적(품목별)'!E646),",","")),"")</f>
        <v>66148</v>
      </c>
      <c r="I642" s="18" t="n">
        <f aca="false">IFERROR(VALUE(SUBSTITUTE(TRIM('수출입 실적(품목별)'!F646),",","")),"")</f>
        <v>19783.8</v>
      </c>
      <c r="J642" s="19" t="n">
        <f aca="false">IFERROR(VALUE(SUBSTITUTE(TRIM('수출입 실적(품목별)'!G646),",","")),"")</f>
        <v>445175</v>
      </c>
      <c r="K642" s="19" t="n">
        <f aca="false">IFERROR(VALUE(SUBSTITUTE(TRIM('수출입 실적(품목별)'!H646),",","")),"")</f>
        <v>-379027</v>
      </c>
    </row>
    <row r="643" customFormat="false" ht="15" hidden="false" customHeight="true" outlineLevel="0" collapsed="false">
      <c r="A643" s="11" t="str">
        <f aca="false">TRIM('수출입 실적(품목별)'!A647)</f>
        <v>2024.07</v>
      </c>
      <c r="B643" s="17" t="n">
        <f aca="false">IFERROR(VALUE(LEFT($A643,4)),"")</f>
        <v>2024</v>
      </c>
      <c r="C643" s="17" t="n">
        <f aca="false">IFERROR(VALUE(RIGHT($A643,2)),"")</f>
        <v>7</v>
      </c>
      <c r="D643" s="17" t="n">
        <f aca="false">IFERROR(ROUNDUP($C643/3,0),"")</f>
        <v>3</v>
      </c>
      <c r="E643" s="11" t="str">
        <f aca="false">TRIM('수출입 실적(품목별)'!B647)</f>
        <v>62</v>
      </c>
      <c r="F643" s="11" t="str">
        <f aca="false">TRIM('수출입 실적(품목별)'!C647)</f>
        <v>의류와 그 부속품(메리야스 편물이나 뜨개질편물은 제외한다)</v>
      </c>
      <c r="G643" s="18" t="n">
        <f aca="false">IFERROR(VALUE(SUBSTITUTE(TRIM('수출입 실적(품목별)'!D647),",","")),"")</f>
        <v>2909.1</v>
      </c>
      <c r="H643" s="19" t="n">
        <f aca="false">IFERROR(VALUE(SUBSTITUTE(TRIM('수출입 실적(품목별)'!E647),",","")),"")</f>
        <v>74430</v>
      </c>
      <c r="I643" s="18" t="n">
        <f aca="false">IFERROR(VALUE(SUBSTITUTE(TRIM('수출입 실적(품목별)'!F647),",","")),"")</f>
        <v>18248.2</v>
      </c>
      <c r="J643" s="19" t="n">
        <f aca="false">IFERROR(VALUE(SUBSTITUTE(TRIM('수출입 실적(품목별)'!G647),",","")),"")</f>
        <v>576247</v>
      </c>
      <c r="K643" s="19" t="n">
        <f aca="false">IFERROR(VALUE(SUBSTITUTE(TRIM('수출입 실적(품목별)'!H647),",","")),"")</f>
        <v>-501816</v>
      </c>
    </row>
    <row r="644" customFormat="false" ht="15" hidden="false" customHeight="true" outlineLevel="0" collapsed="false">
      <c r="A644" s="11" t="str">
        <f aca="false">TRIM('수출입 실적(품목별)'!A648)</f>
        <v>2024.07</v>
      </c>
      <c r="B644" s="17" t="n">
        <f aca="false">IFERROR(VALUE(LEFT($A644,4)),"")</f>
        <v>2024</v>
      </c>
      <c r="C644" s="17" t="n">
        <f aca="false">IFERROR(VALUE(RIGHT($A644,2)),"")</f>
        <v>7</v>
      </c>
      <c r="D644" s="17" t="n">
        <f aca="false">IFERROR(ROUNDUP($C644/3,0),"")</f>
        <v>3</v>
      </c>
      <c r="E644" s="11" t="str">
        <f aca="false">TRIM('수출입 실적(품목별)'!B648)</f>
        <v>63</v>
      </c>
      <c r="F644" s="11" t="str">
        <f aca="false">TRIM('수출입 실적(품목별)'!C648)</f>
        <v>제품으로 된 방직용 섬유의 그 밖의 물품, 세트, 사용하던 의류ㆍ방직용 섬유제품, 넝마</v>
      </c>
      <c r="G644" s="18" t="n">
        <f aca="false">IFERROR(VALUE(SUBSTITUTE(TRIM('수출입 실적(품목별)'!D648),",","")),"")</f>
        <v>24053.6</v>
      </c>
      <c r="H644" s="19" t="n">
        <f aca="false">IFERROR(VALUE(SUBSTITUTE(TRIM('수출입 실적(품목별)'!E648),",","")),"")</f>
        <v>49809</v>
      </c>
      <c r="I644" s="18" t="n">
        <f aca="false">IFERROR(VALUE(SUBSTITUTE(TRIM('수출입 실적(품목별)'!F648),",","")),"")</f>
        <v>28953.2</v>
      </c>
      <c r="J644" s="19" t="n">
        <f aca="false">IFERROR(VALUE(SUBSTITUTE(TRIM('수출입 실적(품목별)'!G648),",","")),"")</f>
        <v>121195</v>
      </c>
      <c r="K644" s="19" t="n">
        <f aca="false">IFERROR(VALUE(SUBSTITUTE(TRIM('수출입 실적(품목별)'!H648),",","")),"")</f>
        <v>-71386</v>
      </c>
    </row>
    <row r="645" customFormat="false" ht="15" hidden="false" customHeight="true" outlineLevel="0" collapsed="false">
      <c r="A645" s="11" t="str">
        <f aca="false">TRIM('수출입 실적(품목별)'!A649)</f>
        <v>2024.07</v>
      </c>
      <c r="B645" s="17" t="n">
        <f aca="false">IFERROR(VALUE(LEFT($A645,4)),"")</f>
        <v>2024</v>
      </c>
      <c r="C645" s="17" t="n">
        <f aca="false">IFERROR(VALUE(RIGHT($A645,2)),"")</f>
        <v>7</v>
      </c>
      <c r="D645" s="17" t="n">
        <f aca="false">IFERROR(ROUNDUP($C645/3,0),"")</f>
        <v>3</v>
      </c>
      <c r="E645" s="11" t="str">
        <f aca="false">TRIM('수출입 실적(품목별)'!B649)</f>
        <v>64</v>
      </c>
      <c r="F645" s="11" t="str">
        <f aca="false">TRIM('수출입 실적(품목별)'!C649)</f>
        <v>신발류ㆍ각반과 이와 유사한 것, 이들의 부분품</v>
      </c>
      <c r="G645" s="18" t="n">
        <f aca="false">IFERROR(VALUE(SUBSTITUTE(TRIM('수출입 실적(품목별)'!D649),",","")),"")</f>
        <v>1553</v>
      </c>
      <c r="H645" s="19" t="n">
        <f aca="false">IFERROR(VALUE(SUBSTITUTE(TRIM('수출입 실적(품목별)'!E649),",","")),"")</f>
        <v>31838</v>
      </c>
      <c r="I645" s="18" t="n">
        <f aca="false">IFERROR(VALUE(SUBSTITUTE(TRIM('수출입 실적(품목별)'!F649),",","")),"")</f>
        <v>10841.6</v>
      </c>
      <c r="J645" s="19" t="n">
        <f aca="false">IFERROR(VALUE(SUBSTITUTE(TRIM('수출입 실적(품목별)'!G649),",","")),"")</f>
        <v>301768</v>
      </c>
      <c r="K645" s="19" t="n">
        <f aca="false">IFERROR(VALUE(SUBSTITUTE(TRIM('수출입 실적(품목별)'!H649),",","")),"")</f>
        <v>-269929</v>
      </c>
    </row>
    <row r="646" customFormat="false" ht="15" hidden="false" customHeight="true" outlineLevel="0" collapsed="false">
      <c r="A646" s="11" t="str">
        <f aca="false">TRIM('수출입 실적(품목별)'!A650)</f>
        <v>2024.07</v>
      </c>
      <c r="B646" s="17" t="n">
        <f aca="false">IFERROR(VALUE(LEFT($A646,4)),"")</f>
        <v>2024</v>
      </c>
      <c r="C646" s="17" t="n">
        <f aca="false">IFERROR(VALUE(RIGHT($A646,2)),"")</f>
        <v>7</v>
      </c>
      <c r="D646" s="17" t="n">
        <f aca="false">IFERROR(ROUNDUP($C646/3,0),"")</f>
        <v>3</v>
      </c>
      <c r="E646" s="11" t="str">
        <f aca="false">TRIM('수출입 실적(품목별)'!B650)</f>
        <v>65</v>
      </c>
      <c r="F646" s="11" t="str">
        <f aca="false">TRIM('수출입 실적(품목별)'!C650)</f>
        <v>모자류와 그 부분품</v>
      </c>
      <c r="G646" s="18" t="n">
        <f aca="false">IFERROR(VALUE(SUBSTITUTE(TRIM('수출입 실적(품목별)'!D650),",","")),"")</f>
        <v>304</v>
      </c>
      <c r="H646" s="19" t="n">
        <f aca="false">IFERROR(VALUE(SUBSTITUTE(TRIM('수출입 실적(품목별)'!E650),",","")),"")</f>
        <v>10310</v>
      </c>
      <c r="I646" s="18" t="n">
        <f aca="false">IFERROR(VALUE(SUBSTITUTE(TRIM('수출입 실적(품목별)'!F650),",","")),"")</f>
        <v>843.5</v>
      </c>
      <c r="J646" s="19" t="n">
        <f aca="false">IFERROR(VALUE(SUBSTITUTE(TRIM('수출입 실적(품목별)'!G650),",","")),"")</f>
        <v>27675</v>
      </c>
      <c r="K646" s="19" t="n">
        <f aca="false">IFERROR(VALUE(SUBSTITUTE(TRIM('수출입 실적(품목별)'!H650),",","")),"")</f>
        <v>-17365</v>
      </c>
    </row>
    <row r="647" customFormat="false" ht="15" hidden="false" customHeight="true" outlineLevel="0" collapsed="false">
      <c r="A647" s="11" t="str">
        <f aca="false">TRIM('수출입 실적(품목별)'!A651)</f>
        <v>2024.07</v>
      </c>
      <c r="B647" s="17" t="n">
        <f aca="false">IFERROR(VALUE(LEFT($A647,4)),"")</f>
        <v>2024</v>
      </c>
      <c r="C647" s="17" t="n">
        <f aca="false">IFERROR(VALUE(RIGHT($A647,2)),"")</f>
        <v>7</v>
      </c>
      <c r="D647" s="17" t="n">
        <f aca="false">IFERROR(ROUNDUP($C647/3,0),"")</f>
        <v>3</v>
      </c>
      <c r="E647" s="11" t="str">
        <f aca="false">TRIM('수출입 실적(품목별)'!B651)</f>
        <v>66</v>
      </c>
      <c r="F647" s="11" t="str">
        <f aca="false">TRIM('수출입 실적(품목별)'!C651)</f>
        <v>산류(傘類)ㆍ지팡이ㆍ시트스틱(seat-stick)ㆍ채찍ㆍ승마용 채찍과 이들의 부분품</v>
      </c>
      <c r="G647" s="18" t="n">
        <f aca="false">IFERROR(VALUE(SUBSTITUTE(TRIM('수출입 실적(품목별)'!D651),",","")),"")</f>
        <v>7.3</v>
      </c>
      <c r="H647" s="19" t="n">
        <f aca="false">IFERROR(VALUE(SUBSTITUTE(TRIM('수출입 실적(품목별)'!E651),",","")),"")</f>
        <v>329</v>
      </c>
      <c r="I647" s="18" t="n">
        <f aca="false">IFERROR(VALUE(SUBSTITUTE(TRIM('수출입 실적(품목별)'!F651),",","")),"")</f>
        <v>3407.4</v>
      </c>
      <c r="J647" s="19" t="n">
        <f aca="false">IFERROR(VALUE(SUBSTITUTE(TRIM('수출입 실적(품목별)'!G651),",","")),"")</f>
        <v>22497</v>
      </c>
      <c r="K647" s="19" t="n">
        <f aca="false">IFERROR(VALUE(SUBSTITUTE(TRIM('수출입 실적(품목별)'!H651),",","")),"")</f>
        <v>-22167</v>
      </c>
    </row>
    <row r="648" customFormat="false" ht="15" hidden="false" customHeight="true" outlineLevel="0" collapsed="false">
      <c r="A648" s="11" t="str">
        <f aca="false">TRIM('수출입 실적(품목별)'!A652)</f>
        <v>2024.07</v>
      </c>
      <c r="B648" s="17" t="n">
        <f aca="false">IFERROR(VALUE(LEFT($A648,4)),"")</f>
        <v>2024</v>
      </c>
      <c r="C648" s="17" t="n">
        <f aca="false">IFERROR(VALUE(RIGHT($A648,2)),"")</f>
        <v>7</v>
      </c>
      <c r="D648" s="17" t="n">
        <f aca="false">IFERROR(ROUNDUP($C648/3,0),"")</f>
        <v>3</v>
      </c>
      <c r="E648" s="11" t="str">
        <f aca="false">TRIM('수출입 실적(품목별)'!B652)</f>
        <v>67</v>
      </c>
      <c r="F648" s="11" t="str">
        <f aca="false">TRIM('수출입 실적(품목별)'!C652)</f>
        <v>조제 깃털ㆍ솜털과 그 제품, 조화, 사람 머리카락으로 된 제품</v>
      </c>
      <c r="G648" s="18" t="n">
        <f aca="false">IFERROR(VALUE(SUBSTITUTE(TRIM('수출입 실적(품목별)'!D652),",","")),"")</f>
        <v>47.9</v>
      </c>
      <c r="H648" s="19" t="n">
        <f aca="false">IFERROR(VALUE(SUBSTITUTE(TRIM('수출입 실적(품목별)'!E652),",","")),"")</f>
        <v>1864</v>
      </c>
      <c r="I648" s="18" t="n">
        <f aca="false">IFERROR(VALUE(SUBSTITUTE(TRIM('수출입 실적(품목별)'!F652),",","")),"")</f>
        <v>405.3</v>
      </c>
      <c r="J648" s="19" t="n">
        <f aca="false">IFERROR(VALUE(SUBSTITUTE(TRIM('수출입 실적(품목별)'!G652),",","")),"")</f>
        <v>7816</v>
      </c>
      <c r="K648" s="19" t="n">
        <f aca="false">IFERROR(VALUE(SUBSTITUTE(TRIM('수출입 실적(품목별)'!H652),",","")),"")</f>
        <v>-5952</v>
      </c>
    </row>
    <row r="649" customFormat="false" ht="15" hidden="false" customHeight="true" outlineLevel="0" collapsed="false">
      <c r="A649" s="11" t="str">
        <f aca="false">TRIM('수출입 실적(품목별)'!A653)</f>
        <v>2024.07</v>
      </c>
      <c r="B649" s="17" t="n">
        <f aca="false">IFERROR(VALUE(LEFT($A649,4)),"")</f>
        <v>2024</v>
      </c>
      <c r="C649" s="17" t="n">
        <f aca="false">IFERROR(VALUE(RIGHT($A649,2)),"")</f>
        <v>7</v>
      </c>
      <c r="D649" s="17" t="n">
        <f aca="false">IFERROR(ROUNDUP($C649/3,0),"")</f>
        <v>3</v>
      </c>
      <c r="E649" s="11" t="str">
        <f aca="false">TRIM('수출입 실적(품목별)'!B653)</f>
        <v>68</v>
      </c>
      <c r="F649" s="11" t="str">
        <f aca="false">TRIM('수출입 실적(품목별)'!C653)</f>
        <v>돌ㆍ플라스터(plaster)ㆍ시멘트ㆍ석면ㆍ운모나 이와 유사한 재료의 제품</v>
      </c>
      <c r="G649" s="18" t="n">
        <f aca="false">IFERROR(VALUE(SUBSTITUTE(TRIM('수출입 실적(품목별)'!D653),",","")),"")</f>
        <v>12733.5</v>
      </c>
      <c r="H649" s="19" t="n">
        <f aca="false">IFERROR(VALUE(SUBSTITUTE(TRIM('수출입 실적(품목별)'!E653),",","")),"")</f>
        <v>86112</v>
      </c>
      <c r="I649" s="18" t="n">
        <f aca="false">IFERROR(VALUE(SUBSTITUTE(TRIM('수출입 실적(품목별)'!F653),",","")),"")</f>
        <v>234289.2</v>
      </c>
      <c r="J649" s="19" t="n">
        <f aca="false">IFERROR(VALUE(SUBSTITUTE(TRIM('수출입 실적(품목별)'!G653),",","")),"")</f>
        <v>123048</v>
      </c>
      <c r="K649" s="19" t="n">
        <f aca="false">IFERROR(VALUE(SUBSTITUTE(TRIM('수출입 실적(품목별)'!H653),",","")),"")</f>
        <v>-36936</v>
      </c>
    </row>
    <row r="650" customFormat="false" ht="15" hidden="false" customHeight="true" outlineLevel="0" collapsed="false">
      <c r="A650" s="11" t="str">
        <f aca="false">TRIM('수출입 실적(품목별)'!A654)</f>
        <v>2024.07</v>
      </c>
      <c r="B650" s="17" t="n">
        <f aca="false">IFERROR(VALUE(LEFT($A650,4)),"")</f>
        <v>2024</v>
      </c>
      <c r="C650" s="17" t="n">
        <f aca="false">IFERROR(VALUE(RIGHT($A650,2)),"")</f>
        <v>7</v>
      </c>
      <c r="D650" s="17" t="n">
        <f aca="false">IFERROR(ROUNDUP($C650/3,0),"")</f>
        <v>3</v>
      </c>
      <c r="E650" s="11" t="str">
        <f aca="false">TRIM('수출입 실적(품목별)'!B654)</f>
        <v>69</v>
      </c>
      <c r="F650" s="11" t="str">
        <f aca="false">TRIM('수출입 실적(품목별)'!C654)</f>
        <v>도자제품</v>
      </c>
      <c r="G650" s="18" t="n">
        <f aca="false">IFERROR(VALUE(SUBSTITUTE(TRIM('수출입 실적(품목별)'!D654),",","")),"")</f>
        <v>2835.1</v>
      </c>
      <c r="H650" s="19" t="n">
        <f aca="false">IFERROR(VALUE(SUBSTITUTE(TRIM('수출입 실적(품목별)'!E654),",","")),"")</f>
        <v>32561</v>
      </c>
      <c r="I650" s="18" t="n">
        <f aca="false">IFERROR(VALUE(SUBSTITUTE(TRIM('수출입 실적(품목별)'!F654),",","")),"")</f>
        <v>145893</v>
      </c>
      <c r="J650" s="19" t="n">
        <f aca="false">IFERROR(VALUE(SUBSTITUTE(TRIM('수출입 실적(품목별)'!G654),",","")),"")</f>
        <v>138737</v>
      </c>
      <c r="K650" s="19" t="n">
        <f aca="false">IFERROR(VALUE(SUBSTITUTE(TRIM('수출입 실적(품목별)'!H654),",","")),"")</f>
        <v>-106175</v>
      </c>
    </row>
    <row r="651" customFormat="false" ht="15" hidden="false" customHeight="true" outlineLevel="0" collapsed="false">
      <c r="A651" s="11" t="str">
        <f aca="false">TRIM('수출입 실적(품목별)'!A655)</f>
        <v>2024.07</v>
      </c>
      <c r="B651" s="17" t="n">
        <f aca="false">IFERROR(VALUE(LEFT($A651,4)),"")</f>
        <v>2024</v>
      </c>
      <c r="C651" s="17" t="n">
        <f aca="false">IFERROR(VALUE(RIGHT($A651,2)),"")</f>
        <v>7</v>
      </c>
      <c r="D651" s="17" t="n">
        <f aca="false">IFERROR(ROUNDUP($C651/3,0),"")</f>
        <v>3</v>
      </c>
      <c r="E651" s="11" t="str">
        <f aca="false">TRIM('수출입 실적(품목별)'!B655)</f>
        <v>70</v>
      </c>
      <c r="F651" s="11" t="str">
        <f aca="false">TRIM('수출입 실적(품목별)'!C655)</f>
        <v>유리와 유리제품</v>
      </c>
      <c r="G651" s="18" t="n">
        <f aca="false">IFERROR(VALUE(SUBSTITUTE(TRIM('수출입 실적(품목별)'!D655),",","")),"")</f>
        <v>34199.5</v>
      </c>
      <c r="H651" s="19" t="n">
        <f aca="false">IFERROR(VALUE(SUBSTITUTE(TRIM('수출입 실적(품목별)'!E655),",","")),"")</f>
        <v>182020</v>
      </c>
      <c r="I651" s="18" t="n">
        <f aca="false">IFERROR(VALUE(SUBSTITUTE(TRIM('수출입 실적(품목별)'!F655),",","")),"")</f>
        <v>105146.5</v>
      </c>
      <c r="J651" s="19" t="n">
        <f aca="false">IFERROR(VALUE(SUBSTITUTE(TRIM('수출입 실적(품목별)'!G655),",","")),"")</f>
        <v>227236</v>
      </c>
      <c r="K651" s="19" t="n">
        <f aca="false">IFERROR(VALUE(SUBSTITUTE(TRIM('수출입 실적(품목별)'!H655),",","")),"")</f>
        <v>-45216</v>
      </c>
    </row>
    <row r="652" customFormat="false" ht="15" hidden="false" customHeight="true" outlineLevel="0" collapsed="false">
      <c r="A652" s="11" t="str">
        <f aca="false">TRIM('수출입 실적(품목별)'!A656)</f>
        <v>2024.07</v>
      </c>
      <c r="B652" s="17" t="n">
        <f aca="false">IFERROR(VALUE(LEFT($A652,4)),"")</f>
        <v>2024</v>
      </c>
      <c r="C652" s="17" t="n">
        <f aca="false">IFERROR(VALUE(RIGHT($A652,2)),"")</f>
        <v>7</v>
      </c>
      <c r="D652" s="17" t="n">
        <f aca="false">IFERROR(ROUNDUP($C652/3,0),"")</f>
        <v>3</v>
      </c>
      <c r="E652" s="11" t="str">
        <f aca="false">TRIM('수출입 실적(품목별)'!B656)</f>
        <v>71</v>
      </c>
      <c r="F652" s="11" t="str">
        <f aca="false">TRIM('수출입 실적(품목별)'!C656)</f>
        <v>천연진주ㆍ양식진주ㆍ귀석ㆍ반귀석ㆍ귀금속ㆍ귀금속을 입힌 금속과 이들의 제품, 모조 신변장식용품, 주화</v>
      </c>
      <c r="G652" s="18" t="n">
        <f aca="false">IFERROR(VALUE(SUBSTITUTE(TRIM('수출입 실적(품목별)'!D656),",","")),"")</f>
        <v>810.1</v>
      </c>
      <c r="H652" s="19" t="n">
        <f aca="false">IFERROR(VALUE(SUBSTITUTE(TRIM('수출입 실적(품목별)'!E656),",","")),"")</f>
        <v>519508</v>
      </c>
      <c r="I652" s="18" t="n">
        <f aca="false">IFERROR(VALUE(SUBSTITUTE(TRIM('수출입 실적(품목별)'!F656),",","")),"")</f>
        <v>1675.8</v>
      </c>
      <c r="J652" s="19" t="n">
        <f aca="false">IFERROR(VALUE(SUBSTITUTE(TRIM('수출입 실적(품목별)'!G656),",","")),"")</f>
        <v>490515</v>
      </c>
      <c r="K652" s="19" t="n">
        <f aca="false">IFERROR(VALUE(SUBSTITUTE(TRIM('수출입 실적(품목별)'!H656),",","")),"")</f>
        <v>28993</v>
      </c>
    </row>
    <row r="653" customFormat="false" ht="15" hidden="false" customHeight="true" outlineLevel="0" collapsed="false">
      <c r="A653" s="11" t="str">
        <f aca="false">TRIM('수출입 실적(품목별)'!A657)</f>
        <v>2024.07</v>
      </c>
      <c r="B653" s="17" t="n">
        <f aca="false">IFERROR(VALUE(LEFT($A653,4)),"")</f>
        <v>2024</v>
      </c>
      <c r="C653" s="17" t="n">
        <f aca="false">IFERROR(VALUE(RIGHT($A653,2)),"")</f>
        <v>7</v>
      </c>
      <c r="D653" s="17" t="n">
        <f aca="false">IFERROR(ROUNDUP($C653/3,0),"")</f>
        <v>3</v>
      </c>
      <c r="E653" s="11" t="str">
        <f aca="false">TRIM('수출입 실적(품목별)'!B657)</f>
        <v>72</v>
      </c>
      <c r="F653" s="11" t="str">
        <f aca="false">TRIM('수출입 실적(품목별)'!C657)</f>
        <v>철강</v>
      </c>
      <c r="G653" s="18" t="n">
        <f aca="false">IFERROR(VALUE(SUBSTITUTE(TRIM('수출입 실적(품목별)'!D657),",","")),"")</f>
        <v>2251488.6</v>
      </c>
      <c r="H653" s="19" t="n">
        <f aca="false">IFERROR(VALUE(SUBSTITUTE(TRIM('수출입 실적(품목별)'!E657),",","")),"")</f>
        <v>2135449</v>
      </c>
      <c r="I653" s="18" t="n">
        <f aca="false">IFERROR(VALUE(SUBSTITUTE(TRIM('수출입 실적(품목별)'!F657),",","")),"")</f>
        <v>1263834</v>
      </c>
      <c r="J653" s="19" t="n">
        <f aca="false">IFERROR(VALUE(SUBSTITUTE(TRIM('수출입 실적(품목별)'!G657),",","")),"")</f>
        <v>1107067</v>
      </c>
      <c r="K653" s="19" t="n">
        <f aca="false">IFERROR(VALUE(SUBSTITUTE(TRIM('수출입 실적(품목별)'!H657),",","")),"")</f>
        <v>1028382</v>
      </c>
    </row>
    <row r="654" customFormat="false" ht="15" hidden="false" customHeight="true" outlineLevel="0" collapsed="false">
      <c r="A654" s="11" t="str">
        <f aca="false">TRIM('수출입 실적(품목별)'!A658)</f>
        <v>2024.07</v>
      </c>
      <c r="B654" s="17" t="n">
        <f aca="false">IFERROR(VALUE(LEFT($A654,4)),"")</f>
        <v>2024</v>
      </c>
      <c r="C654" s="17" t="n">
        <f aca="false">IFERROR(VALUE(RIGHT($A654,2)),"")</f>
        <v>7</v>
      </c>
      <c r="D654" s="17" t="n">
        <f aca="false">IFERROR(ROUNDUP($C654/3,0),"")</f>
        <v>3</v>
      </c>
      <c r="E654" s="11" t="str">
        <f aca="false">TRIM('수출입 실적(품목별)'!B658)</f>
        <v>73</v>
      </c>
      <c r="F654" s="11" t="str">
        <f aca="false">TRIM('수출입 실적(품목별)'!C658)</f>
        <v>철강의 제품</v>
      </c>
      <c r="G654" s="18" t="n">
        <f aca="false">IFERROR(VALUE(SUBSTITUTE(TRIM('수출입 실적(품목별)'!D658),",","")),"")</f>
        <v>295130.1</v>
      </c>
      <c r="H654" s="19" t="n">
        <f aca="false">IFERROR(VALUE(SUBSTITUTE(TRIM('수출입 실적(품목별)'!E658),",","")),"")</f>
        <v>800615</v>
      </c>
      <c r="I654" s="18" t="n">
        <f aca="false">IFERROR(VALUE(SUBSTITUTE(TRIM('수출입 실적(품목별)'!F658),",","")),"")</f>
        <v>262818.9</v>
      </c>
      <c r="J654" s="19" t="n">
        <f aca="false">IFERROR(VALUE(SUBSTITUTE(TRIM('수출입 실적(품목별)'!G658),",","")),"")</f>
        <v>662740</v>
      </c>
      <c r="K654" s="19" t="n">
        <f aca="false">IFERROR(VALUE(SUBSTITUTE(TRIM('수출입 실적(품목별)'!H658),",","")),"")</f>
        <v>137875</v>
      </c>
    </row>
    <row r="655" customFormat="false" ht="15" hidden="false" customHeight="true" outlineLevel="0" collapsed="false">
      <c r="A655" s="11" t="str">
        <f aca="false">TRIM('수출입 실적(품목별)'!A659)</f>
        <v>2024.07</v>
      </c>
      <c r="B655" s="17" t="n">
        <f aca="false">IFERROR(VALUE(LEFT($A655,4)),"")</f>
        <v>2024</v>
      </c>
      <c r="C655" s="17" t="n">
        <f aca="false">IFERROR(VALUE(RIGHT($A655,2)),"")</f>
        <v>7</v>
      </c>
      <c r="D655" s="17" t="n">
        <f aca="false">IFERROR(ROUNDUP($C655/3,0),"")</f>
        <v>3</v>
      </c>
      <c r="E655" s="11" t="str">
        <f aca="false">TRIM('수출입 실적(품목별)'!B659)</f>
        <v>74</v>
      </c>
      <c r="F655" s="11" t="str">
        <f aca="false">TRIM('수출입 실적(품목별)'!C659)</f>
        <v>구리와 그 제품</v>
      </c>
      <c r="G655" s="18" t="n">
        <f aca="false">IFERROR(VALUE(SUBSTITUTE(TRIM('수출입 실적(품목별)'!D659),",","")),"")</f>
        <v>63871.8</v>
      </c>
      <c r="H655" s="19" t="n">
        <f aca="false">IFERROR(VALUE(SUBSTITUTE(TRIM('수출입 실적(품목별)'!E659),",","")),"")</f>
        <v>605990</v>
      </c>
      <c r="I655" s="18" t="n">
        <f aca="false">IFERROR(VALUE(SUBSTITUTE(TRIM('수출입 실적(품목별)'!F659),",","")),"")</f>
        <v>73956.7</v>
      </c>
      <c r="J655" s="19" t="n">
        <f aca="false">IFERROR(VALUE(SUBSTITUTE(TRIM('수출입 실적(품목별)'!G659),",","")),"")</f>
        <v>728004</v>
      </c>
      <c r="K655" s="19" t="n">
        <f aca="false">IFERROR(VALUE(SUBSTITUTE(TRIM('수출입 실적(품목별)'!H659),",","")),"")</f>
        <v>-122015</v>
      </c>
    </row>
    <row r="656" customFormat="false" ht="15" hidden="false" customHeight="true" outlineLevel="0" collapsed="false">
      <c r="A656" s="11" t="str">
        <f aca="false">TRIM('수출입 실적(품목별)'!A660)</f>
        <v>2024.07</v>
      </c>
      <c r="B656" s="17" t="n">
        <f aca="false">IFERROR(VALUE(LEFT($A656,4)),"")</f>
        <v>2024</v>
      </c>
      <c r="C656" s="17" t="n">
        <f aca="false">IFERROR(VALUE(RIGHT($A656,2)),"")</f>
        <v>7</v>
      </c>
      <c r="D656" s="17" t="n">
        <f aca="false">IFERROR(ROUNDUP($C656/3,0),"")</f>
        <v>3</v>
      </c>
      <c r="E656" s="11" t="str">
        <f aca="false">TRIM('수출입 실적(품목별)'!B660)</f>
        <v>75</v>
      </c>
      <c r="F656" s="11" t="str">
        <f aca="false">TRIM('수출입 실적(품목별)'!C660)</f>
        <v>니켈과 그 제품</v>
      </c>
      <c r="G656" s="18" t="n">
        <f aca="false">IFERROR(VALUE(SUBSTITUTE(TRIM('수출입 실적(품목별)'!D660),",","")),"")</f>
        <v>1032.2</v>
      </c>
      <c r="H656" s="19" t="n">
        <f aca="false">IFERROR(VALUE(SUBSTITUTE(TRIM('수출입 실적(품목별)'!E660),",","")),"")</f>
        <v>17132</v>
      </c>
      <c r="I656" s="18" t="n">
        <f aca="false">IFERROR(VALUE(SUBSTITUTE(TRIM('수출입 실적(품목별)'!F660),",","")),"")</f>
        <v>4893.9</v>
      </c>
      <c r="J656" s="19" t="n">
        <f aca="false">IFERROR(VALUE(SUBSTITUTE(TRIM('수출입 실적(품목별)'!G660),",","")),"")</f>
        <v>117928</v>
      </c>
      <c r="K656" s="19" t="n">
        <f aca="false">IFERROR(VALUE(SUBSTITUTE(TRIM('수출입 실적(품목별)'!H660),",","")),"")</f>
        <v>-100795</v>
      </c>
    </row>
    <row r="657" customFormat="false" ht="15" hidden="false" customHeight="true" outlineLevel="0" collapsed="false">
      <c r="A657" s="11" t="str">
        <f aca="false">TRIM('수출입 실적(품목별)'!A661)</f>
        <v>2024.07</v>
      </c>
      <c r="B657" s="17" t="n">
        <f aca="false">IFERROR(VALUE(LEFT($A657,4)),"")</f>
        <v>2024</v>
      </c>
      <c r="C657" s="17" t="n">
        <f aca="false">IFERROR(VALUE(RIGHT($A657,2)),"")</f>
        <v>7</v>
      </c>
      <c r="D657" s="17" t="n">
        <f aca="false">IFERROR(ROUNDUP($C657/3,0),"")</f>
        <v>3</v>
      </c>
      <c r="E657" s="11" t="str">
        <f aca="false">TRIM('수출입 실적(품목별)'!B661)</f>
        <v>76</v>
      </c>
      <c r="F657" s="11" t="str">
        <f aca="false">TRIM('수출입 실적(품목별)'!C661)</f>
        <v>알루미늄과 그 제품</v>
      </c>
      <c r="G657" s="18" t="n">
        <f aca="false">IFERROR(VALUE(SUBSTITUTE(TRIM('수출입 실적(품목별)'!D661),",","")),"")</f>
        <v>112826.9</v>
      </c>
      <c r="H657" s="19" t="n">
        <f aca="false">IFERROR(VALUE(SUBSTITUTE(TRIM('수출입 실적(품목별)'!E661),",","")),"")</f>
        <v>438295</v>
      </c>
      <c r="I657" s="18" t="n">
        <f aca="false">IFERROR(VALUE(SUBSTITUTE(TRIM('수출입 실적(품목별)'!F661),",","")),"")</f>
        <v>270392</v>
      </c>
      <c r="J657" s="19" t="n">
        <f aca="false">IFERROR(VALUE(SUBSTITUTE(TRIM('수출입 실적(품목별)'!G661),",","")),"")</f>
        <v>776133</v>
      </c>
      <c r="K657" s="19" t="n">
        <f aca="false">IFERROR(VALUE(SUBSTITUTE(TRIM('수출입 실적(품목별)'!H661),",","")),"")</f>
        <v>-337838</v>
      </c>
    </row>
    <row r="658" customFormat="false" ht="15" hidden="false" customHeight="true" outlineLevel="0" collapsed="false">
      <c r="A658" s="11" t="str">
        <f aca="false">TRIM('수출입 실적(품목별)'!A662)</f>
        <v>2024.07</v>
      </c>
      <c r="B658" s="17" t="n">
        <f aca="false">IFERROR(VALUE(LEFT($A658,4)),"")</f>
        <v>2024</v>
      </c>
      <c r="C658" s="17" t="n">
        <f aca="false">IFERROR(VALUE(RIGHT($A658,2)),"")</f>
        <v>7</v>
      </c>
      <c r="D658" s="17" t="n">
        <f aca="false">IFERROR(ROUNDUP($C658/3,0),"")</f>
        <v>3</v>
      </c>
      <c r="E658" s="11" t="str">
        <f aca="false">TRIM('수출입 실적(품목별)'!B662)</f>
        <v>78</v>
      </c>
      <c r="F658" s="11" t="str">
        <f aca="false">TRIM('수출입 실적(품목별)'!C662)</f>
        <v>납과 그 제품</v>
      </c>
      <c r="G658" s="18" t="n">
        <f aca="false">IFERROR(VALUE(SUBSTITUTE(TRIM('수출입 실적(품목별)'!D662),",","")),"")</f>
        <v>22672.2</v>
      </c>
      <c r="H658" s="19" t="n">
        <f aca="false">IFERROR(VALUE(SUBSTITUTE(TRIM('수출입 실적(품목별)'!E662),",","")),"")</f>
        <v>53989</v>
      </c>
      <c r="I658" s="18" t="n">
        <f aca="false">IFERROR(VALUE(SUBSTITUTE(TRIM('수출입 실적(품목별)'!F662),",","")),"")</f>
        <v>12544.6</v>
      </c>
      <c r="J658" s="19" t="n">
        <f aca="false">IFERROR(VALUE(SUBSTITUTE(TRIM('수출입 실적(품목별)'!G662),",","")),"")</f>
        <v>28387</v>
      </c>
      <c r="K658" s="19" t="n">
        <f aca="false">IFERROR(VALUE(SUBSTITUTE(TRIM('수출입 실적(품목별)'!H662),",","")),"")</f>
        <v>25602</v>
      </c>
    </row>
    <row r="659" customFormat="false" ht="15" hidden="false" customHeight="true" outlineLevel="0" collapsed="false">
      <c r="A659" s="11" t="str">
        <f aca="false">TRIM('수출입 실적(품목별)'!A663)</f>
        <v>2024.07</v>
      </c>
      <c r="B659" s="17" t="n">
        <f aca="false">IFERROR(VALUE(LEFT($A659,4)),"")</f>
        <v>2024</v>
      </c>
      <c r="C659" s="17" t="n">
        <f aca="false">IFERROR(VALUE(RIGHT($A659,2)),"")</f>
        <v>7</v>
      </c>
      <c r="D659" s="17" t="n">
        <f aca="false">IFERROR(ROUNDUP($C659/3,0),"")</f>
        <v>3</v>
      </c>
      <c r="E659" s="11" t="str">
        <f aca="false">TRIM('수출입 실적(품목별)'!B663)</f>
        <v>79</v>
      </c>
      <c r="F659" s="11" t="str">
        <f aca="false">TRIM('수출입 실적(품목별)'!C663)</f>
        <v>아연과 그 제품</v>
      </c>
      <c r="G659" s="18" t="n">
        <f aca="false">IFERROR(VALUE(SUBSTITUTE(TRIM('수출입 실적(품목별)'!D663),",","")),"")</f>
        <v>38130.5</v>
      </c>
      <c r="H659" s="19" t="n">
        <f aca="false">IFERROR(VALUE(SUBSTITUTE(TRIM('수출입 실적(품목별)'!E663),",","")),"")</f>
        <v>111999</v>
      </c>
      <c r="I659" s="18" t="n">
        <f aca="false">IFERROR(VALUE(SUBSTITUTE(TRIM('수출입 실적(품목별)'!F663),",","")),"")</f>
        <v>4791.4</v>
      </c>
      <c r="J659" s="19" t="n">
        <f aca="false">IFERROR(VALUE(SUBSTITUTE(TRIM('수출입 실적(품목별)'!G663),",","")),"")</f>
        <v>14475</v>
      </c>
      <c r="K659" s="19" t="n">
        <f aca="false">IFERROR(VALUE(SUBSTITUTE(TRIM('수출입 실적(품목별)'!H663),",","")),"")</f>
        <v>97524</v>
      </c>
    </row>
    <row r="660" customFormat="false" ht="15" hidden="false" customHeight="true" outlineLevel="0" collapsed="false">
      <c r="A660" s="11" t="str">
        <f aca="false">TRIM('수출입 실적(품목별)'!A664)</f>
        <v>2024.07</v>
      </c>
      <c r="B660" s="17" t="n">
        <f aca="false">IFERROR(VALUE(LEFT($A660,4)),"")</f>
        <v>2024</v>
      </c>
      <c r="C660" s="17" t="n">
        <f aca="false">IFERROR(VALUE(RIGHT($A660,2)),"")</f>
        <v>7</v>
      </c>
      <c r="D660" s="17" t="n">
        <f aca="false">IFERROR(ROUNDUP($C660/3,0),"")</f>
        <v>3</v>
      </c>
      <c r="E660" s="11" t="str">
        <f aca="false">TRIM('수출입 실적(품목별)'!B664)</f>
        <v>80</v>
      </c>
      <c r="F660" s="11" t="str">
        <f aca="false">TRIM('수출입 실적(품목별)'!C664)</f>
        <v>주석과 그 제품</v>
      </c>
      <c r="G660" s="18" t="n">
        <f aca="false">IFERROR(VALUE(SUBSTITUTE(TRIM('수출입 실적(품목별)'!D664),",","")),"")</f>
        <v>169.7</v>
      </c>
      <c r="H660" s="19" t="n">
        <f aca="false">IFERROR(VALUE(SUBSTITUTE(TRIM('수출입 실적(품목별)'!E664),",","")),"")</f>
        <v>7368</v>
      </c>
      <c r="I660" s="18" t="n">
        <f aca="false">IFERROR(VALUE(SUBSTITUTE(TRIM('수출입 실적(품목별)'!F664),",","")),"")</f>
        <v>1543.1</v>
      </c>
      <c r="J660" s="19" t="n">
        <f aca="false">IFERROR(VALUE(SUBSTITUTE(TRIM('수출입 실적(품목별)'!G664),",","")),"")</f>
        <v>54970</v>
      </c>
      <c r="K660" s="19" t="n">
        <f aca="false">IFERROR(VALUE(SUBSTITUTE(TRIM('수출입 실적(품목별)'!H664),",","")),"")</f>
        <v>-47603</v>
      </c>
    </row>
    <row r="661" customFormat="false" ht="15" hidden="false" customHeight="true" outlineLevel="0" collapsed="false">
      <c r="A661" s="11" t="str">
        <f aca="false">TRIM('수출입 실적(품목별)'!A665)</f>
        <v>2024.07</v>
      </c>
      <c r="B661" s="17" t="n">
        <f aca="false">IFERROR(VALUE(LEFT($A661,4)),"")</f>
        <v>2024</v>
      </c>
      <c r="C661" s="17" t="n">
        <f aca="false">IFERROR(VALUE(RIGHT($A661,2)),"")</f>
        <v>7</v>
      </c>
      <c r="D661" s="17" t="n">
        <f aca="false">IFERROR(ROUNDUP($C661/3,0),"")</f>
        <v>3</v>
      </c>
      <c r="E661" s="11" t="str">
        <f aca="false">TRIM('수출입 실적(품목별)'!B665)</f>
        <v>81</v>
      </c>
      <c r="F661" s="11" t="str">
        <f aca="false">TRIM('수출입 실적(품목별)'!C665)</f>
        <v>그 밖의 비금속(卑金屬), 서멧(cermet), 이들의 제품</v>
      </c>
      <c r="G661" s="18" t="n">
        <f aca="false">IFERROR(VALUE(SUBSTITUTE(TRIM('수출입 실적(품목별)'!D665),",","")),"")</f>
        <v>2491</v>
      </c>
      <c r="H661" s="19" t="n">
        <f aca="false">IFERROR(VALUE(SUBSTITUTE(TRIM('수출입 실적(품목별)'!E665),",","")),"")</f>
        <v>37355</v>
      </c>
      <c r="I661" s="18" t="n">
        <f aca="false">IFERROR(VALUE(SUBSTITUTE(TRIM('수출입 실적(품목별)'!F665),",","")),"")</f>
        <v>14398.7</v>
      </c>
      <c r="J661" s="19" t="n">
        <f aca="false">IFERROR(VALUE(SUBSTITUTE(TRIM('수출입 실적(품목별)'!G665),",","")),"")</f>
        <v>129177</v>
      </c>
      <c r="K661" s="19" t="n">
        <f aca="false">IFERROR(VALUE(SUBSTITUTE(TRIM('수출입 실적(품목별)'!H665),",","")),"")</f>
        <v>-91823</v>
      </c>
    </row>
    <row r="662" customFormat="false" ht="15" hidden="false" customHeight="true" outlineLevel="0" collapsed="false">
      <c r="A662" s="11" t="str">
        <f aca="false">TRIM('수출입 실적(품목별)'!A666)</f>
        <v>2024.07</v>
      </c>
      <c r="B662" s="17" t="n">
        <f aca="false">IFERROR(VALUE(LEFT($A662,4)),"")</f>
        <v>2024</v>
      </c>
      <c r="C662" s="17" t="n">
        <f aca="false">IFERROR(VALUE(RIGHT($A662,2)),"")</f>
        <v>7</v>
      </c>
      <c r="D662" s="17" t="n">
        <f aca="false">IFERROR(ROUNDUP($C662/3,0),"")</f>
        <v>3</v>
      </c>
      <c r="E662" s="11" t="str">
        <f aca="false">TRIM('수출입 실적(품목별)'!B666)</f>
        <v>82</v>
      </c>
      <c r="F662" s="11" t="str">
        <f aca="false">TRIM('수출입 실적(품목별)'!C666)</f>
        <v>비금속(卑金屬)으로 만든 공구ㆍ도구ㆍ칼붙이ㆍ스푼ㆍ포크, 이들의 부분품</v>
      </c>
      <c r="G662" s="18" t="n">
        <f aca="false">IFERROR(VALUE(SUBSTITUTE(TRIM('수출입 실적(품목별)'!D666),",","")),"")</f>
        <v>12218.9</v>
      </c>
      <c r="H662" s="19" t="n">
        <f aca="false">IFERROR(VALUE(SUBSTITUTE(TRIM('수출입 실적(품목별)'!E666),",","")),"")</f>
        <v>208008</v>
      </c>
      <c r="I662" s="18" t="n">
        <f aca="false">IFERROR(VALUE(SUBSTITUTE(TRIM('수출입 실적(품목별)'!F666),",","")),"")</f>
        <v>5362</v>
      </c>
      <c r="J662" s="19" t="n">
        <f aca="false">IFERROR(VALUE(SUBSTITUTE(TRIM('수출입 실적(품목별)'!G666),",","")),"")</f>
        <v>88503</v>
      </c>
      <c r="K662" s="19" t="n">
        <f aca="false">IFERROR(VALUE(SUBSTITUTE(TRIM('수출입 실적(품목별)'!H666),",","")),"")</f>
        <v>119505</v>
      </c>
    </row>
    <row r="663" customFormat="false" ht="15" hidden="false" customHeight="true" outlineLevel="0" collapsed="false">
      <c r="A663" s="11" t="str">
        <f aca="false">TRIM('수출입 실적(품목별)'!A667)</f>
        <v>2024.07</v>
      </c>
      <c r="B663" s="17" t="n">
        <f aca="false">IFERROR(VALUE(LEFT($A663,4)),"")</f>
        <v>2024</v>
      </c>
      <c r="C663" s="17" t="n">
        <f aca="false">IFERROR(VALUE(RIGHT($A663,2)),"")</f>
        <v>7</v>
      </c>
      <c r="D663" s="17" t="n">
        <f aca="false">IFERROR(ROUNDUP($C663/3,0),"")</f>
        <v>3</v>
      </c>
      <c r="E663" s="11" t="str">
        <f aca="false">TRIM('수출입 실적(품목별)'!B667)</f>
        <v>83</v>
      </c>
      <c r="F663" s="11" t="str">
        <f aca="false">TRIM('수출입 실적(품목별)'!C667)</f>
        <v>비금속(卑金屬)으로 만든 각종 제품</v>
      </c>
      <c r="G663" s="18" t="n">
        <f aca="false">IFERROR(VALUE(SUBSTITUTE(TRIM('수출입 실적(품목별)'!D667),",","")),"")</f>
        <v>28176.9</v>
      </c>
      <c r="H663" s="19" t="n">
        <f aca="false">IFERROR(VALUE(SUBSTITUTE(TRIM('수출입 실적(품목별)'!E667),",","")),"")</f>
        <v>160361</v>
      </c>
      <c r="I663" s="18" t="n">
        <f aca="false">IFERROR(VALUE(SUBSTITUTE(TRIM('수출입 실적(품목별)'!F667),",","")),"")</f>
        <v>12181.7</v>
      </c>
      <c r="J663" s="19" t="n">
        <f aca="false">IFERROR(VALUE(SUBSTITUTE(TRIM('수출입 실적(품목별)'!G667),",","")),"")</f>
        <v>80941</v>
      </c>
      <c r="K663" s="19" t="n">
        <f aca="false">IFERROR(VALUE(SUBSTITUTE(TRIM('수출입 실적(품목별)'!H667),",","")),"")</f>
        <v>79420</v>
      </c>
    </row>
    <row r="664" customFormat="false" ht="15" hidden="false" customHeight="true" outlineLevel="0" collapsed="false">
      <c r="A664" s="11" t="str">
        <f aca="false">TRIM('수출입 실적(품목별)'!A668)</f>
        <v>2024.07</v>
      </c>
      <c r="B664" s="17" t="n">
        <f aca="false">IFERROR(VALUE(LEFT($A664,4)),"")</f>
        <v>2024</v>
      </c>
      <c r="C664" s="17" t="n">
        <f aca="false">IFERROR(VALUE(RIGHT($A664,2)),"")</f>
        <v>7</v>
      </c>
      <c r="D664" s="17" t="n">
        <f aca="false">IFERROR(ROUNDUP($C664/3,0),"")</f>
        <v>3</v>
      </c>
      <c r="E664" s="11" t="str">
        <f aca="false">TRIM('수출입 실적(품목별)'!B668)</f>
        <v>84</v>
      </c>
      <c r="F664" s="11" t="str">
        <f aca="false">TRIM('수출입 실적(품목별)'!C668)</f>
        <v>원자로ㆍ보일러ㆍ기계류와 이들의 부분품</v>
      </c>
      <c r="G664" s="18" t="n">
        <f aca="false">IFERROR(VALUE(SUBSTITUTE(TRIM('수출입 실적(품목별)'!D668),",","")),"")</f>
        <v>420462.8</v>
      </c>
      <c r="H664" s="19" t="n">
        <f aca="false">IFERROR(VALUE(SUBSTITUTE(TRIM('수출입 실적(품목별)'!E668),",","")),"")</f>
        <v>7310070</v>
      </c>
      <c r="I664" s="18" t="n">
        <f aca="false">IFERROR(VALUE(SUBSTITUTE(TRIM('수출입 실적(품목별)'!F668),",","")),"")</f>
        <v>224991.1</v>
      </c>
      <c r="J664" s="19" t="n">
        <f aca="false">IFERROR(VALUE(SUBSTITUTE(TRIM('수출입 실적(품목별)'!G668),",","")),"")</f>
        <v>5211603</v>
      </c>
      <c r="K664" s="19" t="n">
        <f aca="false">IFERROR(VALUE(SUBSTITUTE(TRIM('수출입 실적(품목별)'!H668),",","")),"")</f>
        <v>2098468</v>
      </c>
    </row>
    <row r="665" customFormat="false" ht="15" hidden="false" customHeight="true" outlineLevel="0" collapsed="false">
      <c r="A665" s="11" t="str">
        <f aca="false">TRIM('수출입 실적(품목별)'!A669)</f>
        <v>2024.07</v>
      </c>
      <c r="B665" s="17" t="n">
        <f aca="false">IFERROR(VALUE(LEFT($A665,4)),"")</f>
        <v>2024</v>
      </c>
      <c r="C665" s="17" t="n">
        <f aca="false">IFERROR(VALUE(RIGHT($A665,2)),"")</f>
        <v>7</v>
      </c>
      <c r="D665" s="17" t="n">
        <f aca="false">IFERROR(ROUNDUP($C665/3,0),"")</f>
        <v>3</v>
      </c>
      <c r="E665" s="11" t="str">
        <f aca="false">TRIM('수출입 실적(품목별)'!B669)</f>
        <v>85</v>
      </c>
      <c r="F665" s="11" t="str">
        <f aca="false">TRIM('수출입 실적(품목별)'!C669)</f>
        <v>전기기기와 그 부분품, 녹음기ㆍ음성 재생기ㆍ텔레비전의 영상과 음성의 기록기ㆍ재생기와 이들의 부분품ㆍ부속품</v>
      </c>
      <c r="G665" s="18" t="n">
        <f aca="false">IFERROR(VALUE(SUBSTITUTE(TRIM('수출입 실적(품목별)'!D669),",","")),"")</f>
        <v>236673.8</v>
      </c>
      <c r="H665" s="19" t="n">
        <f aca="false">IFERROR(VALUE(SUBSTITUTE(TRIM('수출입 실적(품목별)'!E669),",","")),"")</f>
        <v>17884638</v>
      </c>
      <c r="I665" s="18" t="n">
        <f aca="false">IFERROR(VALUE(SUBSTITUTE(TRIM('수출입 실적(품목별)'!F669),",","")),"")</f>
        <v>185413</v>
      </c>
      <c r="J665" s="19" t="n">
        <f aca="false">IFERROR(VALUE(SUBSTITUTE(TRIM('수출입 실적(품목별)'!G669),",","")),"")</f>
        <v>10524677</v>
      </c>
      <c r="K665" s="19" t="n">
        <f aca="false">IFERROR(VALUE(SUBSTITUTE(TRIM('수출입 실적(품목별)'!H669),",","")),"")</f>
        <v>7359961</v>
      </c>
    </row>
    <row r="666" customFormat="false" ht="15" hidden="false" customHeight="true" outlineLevel="0" collapsed="false">
      <c r="A666" s="11" t="str">
        <f aca="false">TRIM('수출입 실적(품목별)'!A670)</f>
        <v>2024.07</v>
      </c>
      <c r="B666" s="17" t="n">
        <f aca="false">IFERROR(VALUE(LEFT($A666,4)),"")</f>
        <v>2024</v>
      </c>
      <c r="C666" s="17" t="n">
        <f aca="false">IFERROR(VALUE(RIGHT($A666,2)),"")</f>
        <v>7</v>
      </c>
      <c r="D666" s="17" t="n">
        <f aca="false">IFERROR(ROUNDUP($C666/3,0),"")</f>
        <v>3</v>
      </c>
      <c r="E666" s="11" t="str">
        <f aca="false">TRIM('수출입 실적(품목별)'!B670)</f>
        <v>86</v>
      </c>
      <c r="F666" s="11" t="str">
        <f aca="false">TRIM('수출입 실적(품목별)'!C670)</f>
        <v>철도용이나 궤도용 기관차ㆍ차량과 이들의 부분품, 철도용이나 궤도용 장비품과 그 부분품, 기계식(전기기계식을 포함한다) 각종 교통신호용 기기</v>
      </c>
      <c r="G666" s="18" t="n">
        <f aca="false">IFERROR(VALUE(SUBSTITUTE(TRIM('수출입 실적(품목별)'!D670),",","")),"")</f>
        <v>12674.6</v>
      </c>
      <c r="H666" s="19" t="n">
        <f aca="false">IFERROR(VALUE(SUBSTITUTE(TRIM('수출입 실적(품목별)'!E670),",","")),"")</f>
        <v>85824</v>
      </c>
      <c r="I666" s="18" t="n">
        <f aca="false">IFERROR(VALUE(SUBSTITUTE(TRIM('수출입 실적(품목별)'!F670),",","")),"")</f>
        <v>11192.3</v>
      </c>
      <c r="J666" s="19" t="n">
        <f aca="false">IFERROR(VALUE(SUBSTITUTE(TRIM('수출입 실적(품목별)'!G670),",","")),"")</f>
        <v>35616</v>
      </c>
      <c r="K666" s="19" t="n">
        <f aca="false">IFERROR(VALUE(SUBSTITUTE(TRIM('수출입 실적(품목별)'!H670),",","")),"")</f>
        <v>50209</v>
      </c>
    </row>
    <row r="667" customFormat="false" ht="15" hidden="false" customHeight="true" outlineLevel="0" collapsed="false">
      <c r="A667" s="11" t="str">
        <f aca="false">TRIM('수출입 실적(품목별)'!A671)</f>
        <v>2024.07</v>
      </c>
      <c r="B667" s="17" t="n">
        <f aca="false">IFERROR(VALUE(LEFT($A667,4)),"")</f>
        <v>2024</v>
      </c>
      <c r="C667" s="17" t="n">
        <f aca="false">IFERROR(VALUE(RIGHT($A667,2)),"")</f>
        <v>7</v>
      </c>
      <c r="D667" s="17" t="n">
        <f aca="false">IFERROR(ROUNDUP($C667/3,0),"")</f>
        <v>3</v>
      </c>
      <c r="E667" s="11" t="str">
        <f aca="false">TRIM('수출입 실적(품목별)'!B671)</f>
        <v>87</v>
      </c>
      <c r="F667" s="11" t="str">
        <f aca="false">TRIM('수출입 실적(품목별)'!C671)</f>
        <v>철도용이나 궤도용 외의 차량과 그 부분품ㆍ부속품</v>
      </c>
      <c r="G667" s="18" t="n">
        <f aca="false">IFERROR(VALUE(SUBSTITUTE(TRIM('수출입 실적(품목별)'!D671),",","")),"")</f>
        <v>661976.3</v>
      </c>
      <c r="H667" s="19" t="n">
        <f aca="false">IFERROR(VALUE(SUBSTITUTE(TRIM('수출입 실적(품목별)'!E671),",","")),"")</f>
        <v>7399270</v>
      </c>
      <c r="I667" s="18" t="n">
        <f aca="false">IFERROR(VALUE(SUBSTITUTE(TRIM('수출입 실적(품목별)'!F671),",","")),"")</f>
        <v>116249.9</v>
      </c>
      <c r="J667" s="19" t="n">
        <f aca="false">IFERROR(VALUE(SUBSTITUTE(TRIM('수출입 실적(품목별)'!G671),",","")),"")</f>
        <v>1853872</v>
      </c>
      <c r="K667" s="19" t="n">
        <f aca="false">IFERROR(VALUE(SUBSTITUTE(TRIM('수출입 실적(품목별)'!H671),",","")),"")</f>
        <v>5545398</v>
      </c>
    </row>
    <row r="668" customFormat="false" ht="15" hidden="false" customHeight="true" outlineLevel="0" collapsed="false">
      <c r="A668" s="11" t="str">
        <f aca="false">TRIM('수출입 실적(품목별)'!A672)</f>
        <v>2024.07</v>
      </c>
      <c r="B668" s="17" t="n">
        <f aca="false">IFERROR(VALUE(LEFT($A668,4)),"")</f>
        <v>2024</v>
      </c>
      <c r="C668" s="17" t="n">
        <f aca="false">IFERROR(VALUE(RIGHT($A668,2)),"")</f>
        <v>7</v>
      </c>
      <c r="D668" s="17" t="n">
        <f aca="false">IFERROR(ROUNDUP($C668/3,0),"")</f>
        <v>3</v>
      </c>
      <c r="E668" s="11" t="str">
        <f aca="false">TRIM('수출입 실적(품목별)'!B672)</f>
        <v>88</v>
      </c>
      <c r="F668" s="11" t="str">
        <f aca="false">TRIM('수출입 실적(품목별)'!C672)</f>
        <v>항공기와 우주선, 이들의 부분품</v>
      </c>
      <c r="G668" s="18" t="n">
        <f aca="false">IFERROR(VALUE(SUBSTITUTE(TRIM('수출입 실적(품목별)'!D672),",","")),"")</f>
        <v>432.7</v>
      </c>
      <c r="H668" s="19" t="n">
        <f aca="false">IFERROR(VALUE(SUBSTITUTE(TRIM('수출입 실적(품목별)'!E672),",","")),"")</f>
        <v>188739</v>
      </c>
      <c r="I668" s="18" t="n">
        <f aca="false">IFERROR(VALUE(SUBSTITUTE(TRIM('수출입 실적(품목별)'!F672),",","")),"")</f>
        <v>691</v>
      </c>
      <c r="J668" s="19" t="n">
        <f aca="false">IFERROR(VALUE(SUBSTITUTE(TRIM('수출입 실적(품목별)'!G672),",","")),"")</f>
        <v>1240335</v>
      </c>
      <c r="K668" s="19" t="n">
        <f aca="false">IFERROR(VALUE(SUBSTITUTE(TRIM('수출입 실적(품목별)'!H672),",","")),"")</f>
        <v>-1051596</v>
      </c>
    </row>
    <row r="669" customFormat="false" ht="15" hidden="false" customHeight="true" outlineLevel="0" collapsed="false">
      <c r="A669" s="11" t="str">
        <f aca="false">TRIM('수출입 실적(품목별)'!A673)</f>
        <v>2024.07</v>
      </c>
      <c r="B669" s="17" t="n">
        <f aca="false">IFERROR(VALUE(LEFT($A669,4)),"")</f>
        <v>2024</v>
      </c>
      <c r="C669" s="17" t="n">
        <f aca="false">IFERROR(VALUE(RIGHT($A669,2)),"")</f>
        <v>7</v>
      </c>
      <c r="D669" s="17" t="n">
        <f aca="false">IFERROR(ROUNDUP($C669/3,0),"")</f>
        <v>3</v>
      </c>
      <c r="E669" s="11" t="str">
        <f aca="false">TRIM('수출입 실적(품목별)'!B673)</f>
        <v>89</v>
      </c>
      <c r="F669" s="11" t="str">
        <f aca="false">TRIM('수출입 실적(품목별)'!C673)</f>
        <v>선박과 수상 구조물</v>
      </c>
      <c r="G669" s="18" t="n">
        <f aca="false">IFERROR(VALUE(SUBSTITUTE(TRIM('수출입 실적(품목별)'!D673),",","")),"")</f>
        <v>539071.3</v>
      </c>
      <c r="H669" s="19" t="n">
        <f aca="false">IFERROR(VALUE(SUBSTITUTE(TRIM('수출입 실적(품목별)'!E673),",","")),"")</f>
        <v>947649</v>
      </c>
      <c r="I669" s="18" t="n">
        <f aca="false">IFERROR(VALUE(SUBSTITUTE(TRIM('수출입 실적(품목별)'!F673),",","")),"")</f>
        <v>72342.3</v>
      </c>
      <c r="J669" s="19" t="n">
        <f aca="false">IFERROR(VALUE(SUBSTITUTE(TRIM('수출입 실적(품목별)'!G673),",","")),"")</f>
        <v>194498</v>
      </c>
      <c r="K669" s="19" t="n">
        <f aca="false">IFERROR(VALUE(SUBSTITUTE(TRIM('수출입 실적(품목별)'!H673),",","")),"")</f>
        <v>753152</v>
      </c>
    </row>
    <row r="670" customFormat="false" ht="15" hidden="false" customHeight="true" outlineLevel="0" collapsed="false">
      <c r="A670" s="11" t="str">
        <f aca="false">TRIM('수출입 실적(품목별)'!A674)</f>
        <v>2024.07</v>
      </c>
      <c r="B670" s="17" t="n">
        <f aca="false">IFERROR(VALUE(LEFT($A670,4)),"")</f>
        <v>2024</v>
      </c>
      <c r="C670" s="17" t="n">
        <f aca="false">IFERROR(VALUE(RIGHT($A670,2)),"")</f>
        <v>7</v>
      </c>
      <c r="D670" s="17" t="n">
        <f aca="false">IFERROR(ROUNDUP($C670/3,0),"")</f>
        <v>3</v>
      </c>
      <c r="E670" s="11" t="str">
        <f aca="false">TRIM('수출입 실적(품목별)'!B674)</f>
        <v>90</v>
      </c>
      <c r="F670" s="11" t="str">
        <f aca="false">TRIM('수출입 실적(품목별)'!C674)</f>
        <v>광학기기ㆍ사진용 기기ㆍ영화용 기기ㆍ측정기기ㆍ검사기기ㆍ정밀기기ㆍ의료용 기기, 이들의 부분품과 부속품</v>
      </c>
      <c r="G670" s="18" t="n">
        <f aca="false">IFERROR(VALUE(SUBSTITUTE(TRIM('수출입 실적(품목별)'!D674),",","")),"")</f>
        <v>17534.7</v>
      </c>
      <c r="H670" s="19" t="n">
        <f aca="false">IFERROR(VALUE(SUBSTITUTE(TRIM('수출입 실적(품목별)'!E674),",","")),"")</f>
        <v>1380638</v>
      </c>
      <c r="I670" s="18" t="n">
        <f aca="false">IFERROR(VALUE(SUBSTITUTE(TRIM('수출입 실적(품목별)'!F674),",","")),"")</f>
        <v>16583.2</v>
      </c>
      <c r="J670" s="19" t="n">
        <f aca="false">IFERROR(VALUE(SUBSTITUTE(TRIM('수출입 실적(품목별)'!G674),",","")),"")</f>
        <v>1974927</v>
      </c>
      <c r="K670" s="19" t="n">
        <f aca="false">IFERROR(VALUE(SUBSTITUTE(TRIM('수출입 실적(품목별)'!H674),",","")),"")</f>
        <v>-594288</v>
      </c>
    </row>
    <row r="671" customFormat="false" ht="15" hidden="false" customHeight="true" outlineLevel="0" collapsed="false">
      <c r="A671" s="11" t="str">
        <f aca="false">TRIM('수출입 실적(품목별)'!A675)</f>
        <v>2024.07</v>
      </c>
      <c r="B671" s="17" t="n">
        <f aca="false">IFERROR(VALUE(LEFT($A671,4)),"")</f>
        <v>2024</v>
      </c>
      <c r="C671" s="17" t="n">
        <f aca="false">IFERROR(VALUE(RIGHT($A671,2)),"")</f>
        <v>7</v>
      </c>
      <c r="D671" s="17" t="n">
        <f aca="false">IFERROR(ROUNDUP($C671/3,0),"")</f>
        <v>3</v>
      </c>
      <c r="E671" s="11" t="str">
        <f aca="false">TRIM('수출입 실적(품목별)'!B675)</f>
        <v>91</v>
      </c>
      <c r="F671" s="11" t="str">
        <f aca="false">TRIM('수출입 실적(품목별)'!C675)</f>
        <v>시계와 그 부분품</v>
      </c>
      <c r="G671" s="18" t="n">
        <f aca="false">IFERROR(VALUE(SUBSTITUTE(TRIM('수출입 실적(품목별)'!D675),",","")),"")</f>
        <v>15.1</v>
      </c>
      <c r="H671" s="19" t="n">
        <f aca="false">IFERROR(VALUE(SUBSTITUTE(TRIM('수출입 실적(품목별)'!E675),",","")),"")</f>
        <v>10846</v>
      </c>
      <c r="I671" s="18" t="n">
        <f aca="false">IFERROR(VALUE(SUBSTITUTE(TRIM('수출입 실적(품목별)'!F675),",","")),"")</f>
        <v>318.2</v>
      </c>
      <c r="J671" s="19" t="n">
        <f aca="false">IFERROR(VALUE(SUBSTITUTE(TRIM('수출입 실적(품목별)'!G675),",","")),"")</f>
        <v>94999</v>
      </c>
      <c r="K671" s="19" t="n">
        <f aca="false">IFERROR(VALUE(SUBSTITUTE(TRIM('수출입 실적(품목별)'!H675),",","")),"")</f>
        <v>-84153</v>
      </c>
    </row>
    <row r="672" customFormat="false" ht="15" hidden="false" customHeight="true" outlineLevel="0" collapsed="false">
      <c r="A672" s="11" t="str">
        <f aca="false">TRIM('수출입 실적(품목별)'!A676)</f>
        <v>2024.07</v>
      </c>
      <c r="B672" s="17" t="n">
        <f aca="false">IFERROR(VALUE(LEFT($A672,4)),"")</f>
        <v>2024</v>
      </c>
      <c r="C672" s="17" t="n">
        <f aca="false">IFERROR(VALUE(RIGHT($A672,2)),"")</f>
        <v>7</v>
      </c>
      <c r="D672" s="17" t="n">
        <f aca="false">IFERROR(ROUNDUP($C672/3,0),"")</f>
        <v>3</v>
      </c>
      <c r="E672" s="11" t="str">
        <f aca="false">TRIM('수출입 실적(품목별)'!B676)</f>
        <v>92</v>
      </c>
      <c r="F672" s="11" t="str">
        <f aca="false">TRIM('수출입 실적(품목별)'!C676)</f>
        <v>악기와 그 부분품과 부속품</v>
      </c>
      <c r="G672" s="18" t="n">
        <f aca="false">IFERROR(VALUE(SUBSTITUTE(TRIM('수출입 실적(품목별)'!D676),",","")),"")</f>
        <v>565.1</v>
      </c>
      <c r="H672" s="19" t="n">
        <f aca="false">IFERROR(VALUE(SUBSTITUTE(TRIM('수출입 실적(품목별)'!E676),",","")),"")</f>
        <v>10762</v>
      </c>
      <c r="I672" s="18" t="n">
        <f aca="false">IFERROR(VALUE(SUBSTITUTE(TRIM('수출입 실적(품목별)'!F676),",","")),"")</f>
        <v>643.1</v>
      </c>
      <c r="J672" s="19" t="n">
        <f aca="false">IFERROR(VALUE(SUBSTITUTE(TRIM('수출입 실적(품목별)'!G676),",","")),"")</f>
        <v>16406</v>
      </c>
      <c r="K672" s="19" t="n">
        <f aca="false">IFERROR(VALUE(SUBSTITUTE(TRIM('수출입 실적(품목별)'!H676),",","")),"")</f>
        <v>-5645</v>
      </c>
    </row>
    <row r="673" customFormat="false" ht="15" hidden="false" customHeight="true" outlineLevel="0" collapsed="false">
      <c r="A673" s="11" t="str">
        <f aca="false">TRIM('수출입 실적(품목별)'!A677)</f>
        <v>2024.07</v>
      </c>
      <c r="B673" s="17" t="n">
        <f aca="false">IFERROR(VALUE(LEFT($A673,4)),"")</f>
        <v>2024</v>
      </c>
      <c r="C673" s="17" t="n">
        <f aca="false">IFERROR(VALUE(RIGHT($A673,2)),"")</f>
        <v>7</v>
      </c>
      <c r="D673" s="17" t="n">
        <f aca="false">IFERROR(ROUNDUP($C673/3,0),"")</f>
        <v>3</v>
      </c>
      <c r="E673" s="11" t="str">
        <f aca="false">TRIM('수출입 실적(품목별)'!B677)</f>
        <v>93</v>
      </c>
      <c r="F673" s="11" t="str">
        <f aca="false">TRIM('수출입 실적(품목별)'!C677)</f>
        <v>무기ㆍ총포탄과 이들의 부분품과 부속품</v>
      </c>
      <c r="G673" s="18" t="n">
        <f aca="false">IFERROR(VALUE(SUBSTITUTE(TRIM('수출입 실적(품목별)'!D677),",","")),"")</f>
        <v>2010.8</v>
      </c>
      <c r="H673" s="19" t="n">
        <f aca="false">IFERROR(VALUE(SUBSTITUTE(TRIM('수출입 실적(품목별)'!E677),",","")),"")</f>
        <v>244886</v>
      </c>
      <c r="I673" s="18" t="n">
        <f aca="false">IFERROR(VALUE(SUBSTITUTE(TRIM('수출입 실적(품목별)'!F677),",","")),"")</f>
        <v>68.1</v>
      </c>
      <c r="J673" s="19" t="n">
        <f aca="false">IFERROR(VALUE(SUBSTITUTE(TRIM('수출입 실적(품목별)'!G677),",","")),"")</f>
        <v>20827</v>
      </c>
      <c r="K673" s="19" t="n">
        <f aca="false">IFERROR(VALUE(SUBSTITUTE(TRIM('수출입 실적(품목별)'!H677),",","")),"")</f>
        <v>224059</v>
      </c>
    </row>
    <row r="674" customFormat="false" ht="15" hidden="false" customHeight="true" outlineLevel="0" collapsed="false">
      <c r="A674" s="11" t="str">
        <f aca="false">TRIM('수출입 실적(품목별)'!A678)</f>
        <v>2024.07</v>
      </c>
      <c r="B674" s="17" t="n">
        <f aca="false">IFERROR(VALUE(LEFT($A674,4)),"")</f>
        <v>2024</v>
      </c>
      <c r="C674" s="17" t="n">
        <f aca="false">IFERROR(VALUE(RIGHT($A674,2)),"")</f>
        <v>7</v>
      </c>
      <c r="D674" s="17" t="n">
        <f aca="false">IFERROR(ROUNDUP($C674/3,0),"")</f>
        <v>3</v>
      </c>
      <c r="E674" s="11" t="str">
        <f aca="false">TRIM('수출입 실적(품목별)'!B678)</f>
        <v>94</v>
      </c>
      <c r="F674" s="11" t="str">
        <f aca="false">TRIM('수출입 실적(품목별)'!C678)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674" s="18" t="n">
        <f aca="false">IFERROR(VALUE(SUBSTITUTE(TRIM('수출입 실적(품목별)'!D678),",","")),"")</f>
        <v>16546.9</v>
      </c>
      <c r="H674" s="19" t="n">
        <f aca="false">IFERROR(VALUE(SUBSTITUTE(TRIM('수출입 실적(품목별)'!E678),",","")),"")</f>
        <v>121251</v>
      </c>
      <c r="I674" s="18" t="n">
        <f aca="false">IFERROR(VALUE(SUBSTITUTE(TRIM('수출입 실적(품목별)'!F678),",","")),"")</f>
        <v>72754.8</v>
      </c>
      <c r="J674" s="19" t="n">
        <f aca="false">IFERROR(VALUE(SUBSTITUTE(TRIM('수출입 실적(품목별)'!G678),",","")),"")</f>
        <v>324731</v>
      </c>
      <c r="K674" s="19" t="n">
        <f aca="false">IFERROR(VALUE(SUBSTITUTE(TRIM('수출입 실적(품목별)'!H678),",","")),"")</f>
        <v>-203480</v>
      </c>
    </row>
    <row r="675" customFormat="false" ht="15" hidden="false" customHeight="true" outlineLevel="0" collapsed="false">
      <c r="A675" s="11" t="str">
        <f aca="false">TRIM('수출입 실적(품목별)'!A679)</f>
        <v>2024.07</v>
      </c>
      <c r="B675" s="17" t="n">
        <f aca="false">IFERROR(VALUE(LEFT($A675,4)),"")</f>
        <v>2024</v>
      </c>
      <c r="C675" s="17" t="n">
        <f aca="false">IFERROR(VALUE(RIGHT($A675,2)),"")</f>
        <v>7</v>
      </c>
      <c r="D675" s="17" t="n">
        <f aca="false">IFERROR(ROUNDUP($C675/3,0),"")</f>
        <v>3</v>
      </c>
      <c r="E675" s="11" t="str">
        <f aca="false">TRIM('수출입 실적(품목별)'!B679)</f>
        <v>95</v>
      </c>
      <c r="F675" s="11" t="str">
        <f aca="false">TRIM('수출입 실적(품목별)'!C679)</f>
        <v>완구ㆍ게임용구ㆍ운동용구와 이들의 부분품과 부속품</v>
      </c>
      <c r="G675" s="18" t="n">
        <f aca="false">IFERROR(VALUE(SUBSTITUTE(TRIM('수출입 실적(품목별)'!D679),",","")),"")</f>
        <v>2084.7</v>
      </c>
      <c r="H675" s="19" t="n">
        <f aca="false">IFERROR(VALUE(SUBSTITUTE(TRIM('수출입 실적(품목별)'!E679),",","")),"")</f>
        <v>49334</v>
      </c>
      <c r="I675" s="18" t="n">
        <f aca="false">IFERROR(VALUE(SUBSTITUTE(TRIM('수출입 실적(품목별)'!F679),",","")),"")</f>
        <v>15042.4</v>
      </c>
      <c r="J675" s="19" t="n">
        <f aca="false">IFERROR(VALUE(SUBSTITUTE(TRIM('수출입 실적(품목별)'!G679),",","")),"")</f>
        <v>191896</v>
      </c>
      <c r="K675" s="19" t="n">
        <f aca="false">IFERROR(VALUE(SUBSTITUTE(TRIM('수출입 실적(품목별)'!H679),",","")),"")</f>
        <v>-142562</v>
      </c>
    </row>
    <row r="676" customFormat="false" ht="15" hidden="false" customHeight="true" outlineLevel="0" collapsed="false">
      <c r="A676" s="11" t="str">
        <f aca="false">TRIM('수출입 실적(품목별)'!A680)</f>
        <v>2024.07</v>
      </c>
      <c r="B676" s="17" t="n">
        <f aca="false">IFERROR(VALUE(LEFT($A676,4)),"")</f>
        <v>2024</v>
      </c>
      <c r="C676" s="17" t="n">
        <f aca="false">IFERROR(VALUE(RIGHT($A676,2)),"")</f>
        <v>7</v>
      </c>
      <c r="D676" s="17" t="n">
        <f aca="false">IFERROR(ROUNDUP($C676/3,0),"")</f>
        <v>3</v>
      </c>
      <c r="E676" s="11" t="str">
        <f aca="false">TRIM('수출입 실적(품목별)'!B680)</f>
        <v>96</v>
      </c>
      <c r="F676" s="11" t="str">
        <f aca="false">TRIM('수출입 실적(품목별)'!C680)</f>
        <v>잡품</v>
      </c>
      <c r="G676" s="18" t="n">
        <f aca="false">IFERROR(VALUE(SUBSTITUTE(TRIM('수출입 실적(품목별)'!D680),",","")),"")</f>
        <v>2568.7</v>
      </c>
      <c r="H676" s="19" t="n">
        <f aca="false">IFERROR(VALUE(SUBSTITUTE(TRIM('수출입 실적(품목별)'!E680),",","")),"")</f>
        <v>40936</v>
      </c>
      <c r="I676" s="18" t="n">
        <f aca="false">IFERROR(VALUE(SUBSTITUTE(TRIM('수출입 실적(품목별)'!F680),",","")),"")</f>
        <v>11533.7</v>
      </c>
      <c r="J676" s="19" t="n">
        <f aca="false">IFERROR(VALUE(SUBSTITUTE(TRIM('수출입 실적(품목별)'!G680),",","")),"")</f>
        <v>99992</v>
      </c>
      <c r="K676" s="19" t="n">
        <f aca="false">IFERROR(VALUE(SUBSTITUTE(TRIM('수출입 실적(품목별)'!H680),",","")),"")</f>
        <v>-59056</v>
      </c>
    </row>
    <row r="677" customFormat="false" ht="15" hidden="false" customHeight="true" outlineLevel="0" collapsed="false">
      <c r="A677" s="11" t="str">
        <f aca="false">TRIM('수출입 실적(품목별)'!A681)</f>
        <v>2024.07</v>
      </c>
      <c r="B677" s="17" t="n">
        <f aca="false">IFERROR(VALUE(LEFT($A677,4)),"")</f>
        <v>2024</v>
      </c>
      <c r="C677" s="17" t="n">
        <f aca="false">IFERROR(VALUE(RIGHT($A677,2)),"")</f>
        <v>7</v>
      </c>
      <c r="D677" s="17" t="n">
        <f aca="false">IFERROR(ROUNDUP($C677/3,0),"")</f>
        <v>3</v>
      </c>
      <c r="E677" s="11" t="str">
        <f aca="false">TRIM('수출입 실적(품목별)'!B681)</f>
        <v>97</v>
      </c>
      <c r="F677" s="11" t="str">
        <f aca="false">TRIM('수출입 실적(품목별)'!C681)</f>
        <v>예술품ㆍ수집품ㆍ골동품</v>
      </c>
      <c r="G677" s="18" t="n">
        <f aca="false">IFERROR(VALUE(SUBSTITUTE(TRIM('수출입 실적(품목별)'!D681),",","")),"")</f>
        <v>8.4</v>
      </c>
      <c r="H677" s="19" t="n">
        <f aca="false">IFERROR(VALUE(SUBSTITUTE(TRIM('수출입 실적(품목별)'!E681),",","")),"")</f>
        <v>6695</v>
      </c>
      <c r="I677" s="18" t="n">
        <f aca="false">IFERROR(VALUE(SUBSTITUTE(TRIM('수출입 실적(품목별)'!F681),",","")),"")</f>
        <v>54.2</v>
      </c>
      <c r="J677" s="19" t="n">
        <f aca="false">IFERROR(VALUE(SUBSTITUTE(TRIM('수출입 실적(품목별)'!G681),",","")),"")</f>
        <v>41315</v>
      </c>
      <c r="K677" s="19" t="n">
        <f aca="false">IFERROR(VALUE(SUBSTITUTE(TRIM('수출입 실적(품목별)'!H681),",","")),"")</f>
        <v>-34619</v>
      </c>
    </row>
    <row r="678" customFormat="false" ht="15" hidden="false" customHeight="true" outlineLevel="0" collapsed="false">
      <c r="A678" s="11" t="str">
        <f aca="false">TRIM('수출입 실적(품목별)'!A682)</f>
        <v>2024.08</v>
      </c>
      <c r="B678" s="17" t="n">
        <f aca="false">IFERROR(VALUE(LEFT($A678,4)),"")</f>
        <v>2024</v>
      </c>
      <c r="C678" s="17" t="n">
        <f aca="false">IFERROR(VALUE(RIGHT($A678,2)),"")</f>
        <v>8</v>
      </c>
      <c r="D678" s="17" t="n">
        <f aca="false">IFERROR(ROUNDUP($C678/3,0),"")</f>
        <v>3</v>
      </c>
      <c r="E678" s="11" t="str">
        <f aca="false">TRIM('수출입 실적(품목별)'!B682)</f>
        <v>01</v>
      </c>
      <c r="F678" s="11" t="str">
        <f aca="false">TRIM('수출입 실적(품목별)'!C682)</f>
        <v>살아 있는 동물</v>
      </c>
      <c r="G678" s="18" t="n">
        <f aca="false">IFERROR(VALUE(SUBSTITUTE(TRIM('수출입 실적(품목별)'!D682),",","")),"")</f>
        <v>1.8</v>
      </c>
      <c r="H678" s="19" t="n">
        <f aca="false">IFERROR(VALUE(SUBSTITUTE(TRIM('수출입 실적(품목별)'!E682),",","")),"")</f>
        <v>411</v>
      </c>
      <c r="I678" s="18" t="n">
        <f aca="false">IFERROR(VALUE(SUBSTITUTE(TRIM('수출입 실적(품목별)'!F682),",","")),"")</f>
        <v>83.2</v>
      </c>
      <c r="J678" s="19" t="n">
        <f aca="false">IFERROR(VALUE(SUBSTITUTE(TRIM('수출입 실적(품목별)'!G682),",","")),"")</f>
        <v>5244</v>
      </c>
      <c r="K678" s="19" t="n">
        <f aca="false">IFERROR(VALUE(SUBSTITUTE(TRIM('수출입 실적(품목별)'!H682),",","")),"")</f>
        <v>-4834</v>
      </c>
    </row>
    <row r="679" customFormat="false" ht="15" hidden="false" customHeight="true" outlineLevel="0" collapsed="false">
      <c r="A679" s="11" t="str">
        <f aca="false">TRIM('수출입 실적(품목별)'!A683)</f>
        <v>2024.08</v>
      </c>
      <c r="B679" s="17" t="n">
        <f aca="false">IFERROR(VALUE(LEFT($A679,4)),"")</f>
        <v>2024</v>
      </c>
      <c r="C679" s="17" t="n">
        <f aca="false">IFERROR(VALUE(RIGHT($A679,2)),"")</f>
        <v>8</v>
      </c>
      <c r="D679" s="17" t="n">
        <f aca="false">IFERROR(ROUNDUP($C679/3,0),"")</f>
        <v>3</v>
      </c>
      <c r="E679" s="11" t="str">
        <f aca="false">TRIM('수출입 실적(품목별)'!B683)</f>
        <v>02</v>
      </c>
      <c r="F679" s="11" t="str">
        <f aca="false">TRIM('수출입 실적(품목별)'!C683)</f>
        <v>육과 식용 설육(屑肉)</v>
      </c>
      <c r="G679" s="18" t="n">
        <f aca="false">IFERROR(VALUE(SUBSTITUTE(TRIM('수출입 실적(품목별)'!D683),",","")),"")</f>
        <v>5670.4</v>
      </c>
      <c r="H679" s="19" t="n">
        <f aca="false">IFERROR(VALUE(SUBSTITUTE(TRIM('수출입 실적(품목별)'!E683),",","")),"")</f>
        <v>7408</v>
      </c>
      <c r="I679" s="18" t="n">
        <f aca="false">IFERROR(VALUE(SUBSTITUTE(TRIM('수출입 실적(품목별)'!F683),",","")),"")</f>
        <v>105707.5</v>
      </c>
      <c r="J679" s="19" t="n">
        <f aca="false">IFERROR(VALUE(SUBSTITUTE(TRIM('수출입 실적(품목별)'!G683),",","")),"")</f>
        <v>559902</v>
      </c>
      <c r="K679" s="19" t="n">
        <f aca="false">IFERROR(VALUE(SUBSTITUTE(TRIM('수출입 실적(품목별)'!H683),",","")),"")</f>
        <v>-552494</v>
      </c>
    </row>
    <row r="680" customFormat="false" ht="15" hidden="false" customHeight="true" outlineLevel="0" collapsed="false">
      <c r="A680" s="11" t="str">
        <f aca="false">TRIM('수출입 실적(품목별)'!A684)</f>
        <v>2024.08</v>
      </c>
      <c r="B680" s="17" t="n">
        <f aca="false">IFERROR(VALUE(LEFT($A680,4)),"")</f>
        <v>2024</v>
      </c>
      <c r="C680" s="17" t="n">
        <f aca="false">IFERROR(VALUE(RIGHT($A680,2)),"")</f>
        <v>8</v>
      </c>
      <c r="D680" s="17" t="n">
        <f aca="false">IFERROR(ROUNDUP($C680/3,0),"")</f>
        <v>3</v>
      </c>
      <c r="E680" s="11" t="str">
        <f aca="false">TRIM('수출입 실적(품목별)'!B684)</f>
        <v>03</v>
      </c>
      <c r="F680" s="11" t="str">
        <f aca="false">TRIM('수출입 실적(품목별)'!C684)</f>
        <v>어류ㆍ갑각류ㆍ연체동물과 그 밖의 수생(水生) 무척추동물</v>
      </c>
      <c r="G680" s="18" t="n">
        <f aca="false">IFERROR(VALUE(SUBSTITUTE(TRIM('수출입 실적(품목별)'!D684),",","")),"")</f>
        <v>43788.1</v>
      </c>
      <c r="H680" s="19" t="n">
        <f aca="false">IFERROR(VALUE(SUBSTITUTE(TRIM('수출입 실적(품목별)'!E684),",","")),"")</f>
        <v>124068</v>
      </c>
      <c r="I680" s="18" t="n">
        <f aca="false">IFERROR(VALUE(SUBSTITUTE(TRIM('수출입 실적(품목별)'!F684),",","")),"")</f>
        <v>99291.8</v>
      </c>
      <c r="J680" s="19" t="n">
        <f aca="false">IFERROR(VALUE(SUBSTITUTE(TRIM('수출입 실적(품목별)'!G684),",","")),"")</f>
        <v>369453</v>
      </c>
      <c r="K680" s="19" t="n">
        <f aca="false">IFERROR(VALUE(SUBSTITUTE(TRIM('수출입 실적(품목별)'!H684),",","")),"")</f>
        <v>-245385</v>
      </c>
    </row>
    <row r="681" customFormat="false" ht="15" hidden="false" customHeight="true" outlineLevel="0" collapsed="false">
      <c r="A681" s="11" t="str">
        <f aca="false">TRIM('수출입 실적(품목별)'!A685)</f>
        <v>2024.08</v>
      </c>
      <c r="B681" s="17" t="n">
        <f aca="false">IFERROR(VALUE(LEFT($A681,4)),"")</f>
        <v>2024</v>
      </c>
      <c r="C681" s="17" t="n">
        <f aca="false">IFERROR(VALUE(RIGHT($A681,2)),"")</f>
        <v>8</v>
      </c>
      <c r="D681" s="17" t="n">
        <f aca="false">IFERROR(ROUNDUP($C681/3,0),"")</f>
        <v>3</v>
      </c>
      <c r="E681" s="11" t="str">
        <f aca="false">TRIM('수출입 실적(품목별)'!B685)</f>
        <v>04</v>
      </c>
      <c r="F681" s="11" t="str">
        <f aca="false">TRIM('수출입 실적(품목별)'!C685)</f>
        <v>낙농품, 새의 알, 천연꿀, 다른 류로 분류되지 않은 식용인 동물성 생산품</v>
      </c>
      <c r="G681" s="18" t="n">
        <f aca="false">IFERROR(VALUE(SUBSTITUTE(TRIM('수출입 실적(품목별)'!D685),",","")),"")</f>
        <v>2239.2</v>
      </c>
      <c r="H681" s="19" t="n">
        <f aca="false">IFERROR(VALUE(SUBSTITUTE(TRIM('수출입 실적(품목별)'!E685),",","")),"")</f>
        <v>5698</v>
      </c>
      <c r="I681" s="18" t="n">
        <f aca="false">IFERROR(VALUE(SUBSTITUTE(TRIM('수출입 실적(품목별)'!F685),",","")),"")</f>
        <v>29748.5</v>
      </c>
      <c r="J681" s="19" t="n">
        <f aca="false">IFERROR(VALUE(SUBSTITUTE(TRIM('수출입 실적(품목별)'!G685),",","")),"")</f>
        <v>116389</v>
      </c>
      <c r="K681" s="19" t="n">
        <f aca="false">IFERROR(VALUE(SUBSTITUTE(TRIM('수출입 실적(품목별)'!H685),",","")),"")</f>
        <v>-110691</v>
      </c>
    </row>
    <row r="682" customFormat="false" ht="15" hidden="false" customHeight="true" outlineLevel="0" collapsed="false">
      <c r="A682" s="11" t="str">
        <f aca="false">TRIM('수출입 실적(품목별)'!A686)</f>
        <v>2024.08</v>
      </c>
      <c r="B682" s="17" t="n">
        <f aca="false">IFERROR(VALUE(LEFT($A682,4)),"")</f>
        <v>2024</v>
      </c>
      <c r="C682" s="17" t="n">
        <f aca="false">IFERROR(VALUE(RIGHT($A682,2)),"")</f>
        <v>8</v>
      </c>
      <c r="D682" s="17" t="n">
        <f aca="false">IFERROR(ROUNDUP($C682/3,0),"")</f>
        <v>3</v>
      </c>
      <c r="E682" s="11" t="str">
        <f aca="false">TRIM('수출입 실적(품목별)'!B686)</f>
        <v>05</v>
      </c>
      <c r="F682" s="11" t="str">
        <f aca="false">TRIM('수출입 실적(품목별)'!C686)</f>
        <v>다른 류로 분류되지 않은 동물성 생산품</v>
      </c>
      <c r="G682" s="18" t="n">
        <f aca="false">IFERROR(VALUE(SUBSTITUTE(TRIM('수출입 실적(품목별)'!D686),",","")),"")</f>
        <v>1470.4</v>
      </c>
      <c r="H682" s="19" t="n">
        <f aca="false">IFERROR(VALUE(SUBSTITUTE(TRIM('수출입 실적(품목별)'!E686),",","")),"")</f>
        <v>5074</v>
      </c>
      <c r="I682" s="18" t="n">
        <f aca="false">IFERROR(VALUE(SUBSTITUTE(TRIM('수출입 실적(품목별)'!F686),",","")),"")</f>
        <v>3421.7</v>
      </c>
      <c r="J682" s="19" t="n">
        <f aca="false">IFERROR(VALUE(SUBSTITUTE(TRIM('수출입 실적(품목별)'!G686),",","")),"")</f>
        <v>25030</v>
      </c>
      <c r="K682" s="19" t="n">
        <f aca="false">IFERROR(VALUE(SUBSTITUTE(TRIM('수출입 실적(품목별)'!H686),",","")),"")</f>
        <v>-19956</v>
      </c>
    </row>
    <row r="683" customFormat="false" ht="15" hidden="false" customHeight="true" outlineLevel="0" collapsed="false">
      <c r="A683" s="11" t="str">
        <f aca="false">TRIM('수출입 실적(품목별)'!A687)</f>
        <v>2024.08</v>
      </c>
      <c r="B683" s="17" t="n">
        <f aca="false">IFERROR(VALUE(LEFT($A683,4)),"")</f>
        <v>2024</v>
      </c>
      <c r="C683" s="17" t="n">
        <f aca="false">IFERROR(VALUE(RIGHT($A683,2)),"")</f>
        <v>8</v>
      </c>
      <c r="D683" s="17" t="n">
        <f aca="false">IFERROR(ROUNDUP($C683/3,0),"")</f>
        <v>3</v>
      </c>
      <c r="E683" s="11" t="str">
        <f aca="false">TRIM('수출입 실적(품목별)'!B687)</f>
        <v>06</v>
      </c>
      <c r="F683" s="11" t="str">
        <f aca="false">TRIM('수출입 실적(품목별)'!C687)</f>
        <v>살아 있는 수목과 그 밖의 식물, 인경(鱗莖)ㆍ뿌리와 이와 유사한 물품, 절화(切花)와 장식용 잎</v>
      </c>
      <c r="G683" s="18" t="n">
        <f aca="false">IFERROR(VALUE(SUBSTITUTE(TRIM('수출입 실적(품목별)'!D687),",","")),"")</f>
        <v>54.1</v>
      </c>
      <c r="H683" s="19" t="n">
        <f aca="false">IFERROR(VALUE(SUBSTITUTE(TRIM('수출입 실적(품목별)'!E687),",","")),"")</f>
        <v>365</v>
      </c>
      <c r="I683" s="18" t="n">
        <f aca="false">IFERROR(VALUE(SUBSTITUTE(TRIM('수출입 실적(품목별)'!F687),",","")),"")</f>
        <v>9454.5</v>
      </c>
      <c r="J683" s="19" t="n">
        <f aca="false">IFERROR(VALUE(SUBSTITUTE(TRIM('수출입 실적(품목별)'!G687),",","")),"")</f>
        <v>12508</v>
      </c>
      <c r="K683" s="19" t="n">
        <f aca="false">IFERROR(VALUE(SUBSTITUTE(TRIM('수출입 실적(품목별)'!H687),",","")),"")</f>
        <v>-12143</v>
      </c>
    </row>
    <row r="684" customFormat="false" ht="15" hidden="false" customHeight="true" outlineLevel="0" collapsed="false">
      <c r="A684" s="11" t="str">
        <f aca="false">TRIM('수출입 실적(품목별)'!A688)</f>
        <v>2024.08</v>
      </c>
      <c r="B684" s="17" t="n">
        <f aca="false">IFERROR(VALUE(LEFT($A684,4)),"")</f>
        <v>2024</v>
      </c>
      <c r="C684" s="17" t="n">
        <f aca="false">IFERROR(VALUE(RIGHT($A684,2)),"")</f>
        <v>8</v>
      </c>
      <c r="D684" s="17" t="n">
        <f aca="false">IFERROR(ROUNDUP($C684/3,0),"")</f>
        <v>3</v>
      </c>
      <c r="E684" s="11" t="str">
        <f aca="false">TRIM('수출입 실적(품목별)'!B688)</f>
        <v>07</v>
      </c>
      <c r="F684" s="11" t="str">
        <f aca="false">TRIM('수출입 실적(품목별)'!C688)</f>
        <v>식용의 채소ㆍ뿌리ㆍ괴경(塊莖)</v>
      </c>
      <c r="G684" s="18" t="n">
        <f aca="false">IFERROR(VALUE(SUBSTITUTE(TRIM('수출입 실적(품목별)'!D688),",","")),"")</f>
        <v>2883.2</v>
      </c>
      <c r="H684" s="19" t="n">
        <f aca="false">IFERROR(VALUE(SUBSTITUTE(TRIM('수출입 실적(품목별)'!E688),",","")),"")</f>
        <v>8915</v>
      </c>
      <c r="I684" s="18" t="n">
        <f aca="false">IFERROR(VALUE(SUBSTITUTE(TRIM('수출입 실적(품목별)'!F688),",","")),"")</f>
        <v>70189.4</v>
      </c>
      <c r="J684" s="19" t="n">
        <f aca="false">IFERROR(VALUE(SUBSTITUTE(TRIM('수출입 실적(품목별)'!G688),",","")),"")</f>
        <v>58450</v>
      </c>
      <c r="K684" s="19" t="n">
        <f aca="false">IFERROR(VALUE(SUBSTITUTE(TRIM('수출입 실적(품목별)'!H688),",","")),"")</f>
        <v>-49536</v>
      </c>
    </row>
    <row r="685" customFormat="false" ht="15" hidden="false" customHeight="true" outlineLevel="0" collapsed="false">
      <c r="A685" s="11" t="str">
        <f aca="false">TRIM('수출입 실적(품목별)'!A689)</f>
        <v>2024.08</v>
      </c>
      <c r="B685" s="17" t="n">
        <f aca="false">IFERROR(VALUE(LEFT($A685,4)),"")</f>
        <v>2024</v>
      </c>
      <c r="C685" s="17" t="n">
        <f aca="false">IFERROR(VALUE(RIGHT($A685,2)),"")</f>
        <v>8</v>
      </c>
      <c r="D685" s="17" t="n">
        <f aca="false">IFERROR(ROUNDUP($C685/3,0),"")</f>
        <v>3</v>
      </c>
      <c r="E685" s="11" t="str">
        <f aca="false">TRIM('수출입 실적(품목별)'!B689)</f>
        <v>08</v>
      </c>
      <c r="F685" s="11" t="str">
        <f aca="false">TRIM('수출입 실적(품목별)'!C689)</f>
        <v>식용의 과실과 견과류, 감귤류ㆍ멜론의 껍질</v>
      </c>
      <c r="G685" s="18" t="n">
        <f aca="false">IFERROR(VALUE(SUBSTITUTE(TRIM('수출입 실적(품목별)'!D689),",","")),"")</f>
        <v>4168.9</v>
      </c>
      <c r="H685" s="19" t="n">
        <f aca="false">IFERROR(VALUE(SUBSTITUTE(TRIM('수출입 실적(품목별)'!E689),",","")),"")</f>
        <v>20601</v>
      </c>
      <c r="I685" s="18" t="n">
        <f aca="false">IFERROR(VALUE(SUBSTITUTE(TRIM('수출입 실적(품목별)'!F689),",","")),"")</f>
        <v>62335.6</v>
      </c>
      <c r="J685" s="19" t="n">
        <f aca="false">IFERROR(VALUE(SUBSTITUTE(TRIM('수출입 실적(품목별)'!G689),",","")),"")</f>
        <v>134609</v>
      </c>
      <c r="K685" s="19" t="n">
        <f aca="false">IFERROR(VALUE(SUBSTITUTE(TRIM('수출입 실적(품목별)'!H689),",","")),"")</f>
        <v>-114008</v>
      </c>
    </row>
    <row r="686" customFormat="false" ht="15" hidden="false" customHeight="true" outlineLevel="0" collapsed="false">
      <c r="A686" s="11" t="str">
        <f aca="false">TRIM('수출입 실적(품목별)'!A690)</f>
        <v>2024.08</v>
      </c>
      <c r="B686" s="17" t="n">
        <f aca="false">IFERROR(VALUE(LEFT($A686,4)),"")</f>
        <v>2024</v>
      </c>
      <c r="C686" s="17" t="n">
        <f aca="false">IFERROR(VALUE(RIGHT($A686,2)),"")</f>
        <v>8</v>
      </c>
      <c r="D686" s="17" t="n">
        <f aca="false">IFERROR(ROUNDUP($C686/3,0),"")</f>
        <v>3</v>
      </c>
      <c r="E686" s="11" t="str">
        <f aca="false">TRIM('수출입 실적(품목별)'!B690)</f>
        <v>09</v>
      </c>
      <c r="F686" s="11" t="str">
        <f aca="false">TRIM('수출입 실적(품목별)'!C690)</f>
        <v>커피ㆍ차ㆍ마테(maté)ㆍ향신료</v>
      </c>
      <c r="G686" s="18" t="n">
        <f aca="false">IFERROR(VALUE(SUBSTITUTE(TRIM('수출입 실적(품목별)'!D690),",","")),"")</f>
        <v>525.7</v>
      </c>
      <c r="H686" s="19" t="n">
        <f aca="false">IFERROR(VALUE(SUBSTITUTE(TRIM('수출입 실적(품목별)'!E690),",","")),"")</f>
        <v>14519</v>
      </c>
      <c r="I686" s="18" t="n">
        <f aca="false">IFERROR(VALUE(SUBSTITUTE(TRIM('수출입 실적(품목별)'!F690),",","")),"")</f>
        <v>22184.5</v>
      </c>
      <c r="J686" s="19" t="n">
        <f aca="false">IFERROR(VALUE(SUBSTITUTE(TRIM('수출입 실적(품목별)'!G690),",","")),"")</f>
        <v>137368</v>
      </c>
      <c r="K686" s="19" t="n">
        <f aca="false">IFERROR(VALUE(SUBSTITUTE(TRIM('수출입 실적(품목별)'!H690),",","")),"")</f>
        <v>-122850</v>
      </c>
    </row>
    <row r="687" customFormat="false" ht="15" hidden="false" customHeight="true" outlineLevel="0" collapsed="false">
      <c r="A687" s="11" t="str">
        <f aca="false">TRIM('수출입 실적(품목별)'!A691)</f>
        <v>2024.08</v>
      </c>
      <c r="B687" s="17" t="n">
        <f aca="false">IFERROR(VALUE(LEFT($A687,4)),"")</f>
        <v>2024</v>
      </c>
      <c r="C687" s="17" t="n">
        <f aca="false">IFERROR(VALUE(RIGHT($A687,2)),"")</f>
        <v>8</v>
      </c>
      <c r="D687" s="17" t="n">
        <f aca="false">IFERROR(ROUNDUP($C687/3,0),"")</f>
        <v>3</v>
      </c>
      <c r="E687" s="11" t="str">
        <f aca="false">TRIM('수출입 실적(품목별)'!B691)</f>
        <v>10</v>
      </c>
      <c r="F687" s="11" t="str">
        <f aca="false">TRIM('수출입 실적(품목별)'!C691)</f>
        <v>곡물</v>
      </c>
      <c r="G687" s="18" t="n">
        <f aca="false">IFERROR(VALUE(SUBSTITUTE(TRIM('수출입 실적(품목별)'!D691),",","")),"")</f>
        <v>480.7</v>
      </c>
      <c r="H687" s="19" t="n">
        <f aca="false">IFERROR(VALUE(SUBSTITUTE(TRIM('수출입 실적(품목별)'!E691),",","")),"")</f>
        <v>900</v>
      </c>
      <c r="I687" s="18" t="n">
        <f aca="false">IFERROR(VALUE(SUBSTITUTE(TRIM('수출입 실적(품목별)'!F691),",","")),"")</f>
        <v>1375267.7</v>
      </c>
      <c r="J687" s="19" t="n">
        <f aca="false">IFERROR(VALUE(SUBSTITUTE(TRIM('수출입 실적(품목별)'!G691),",","")),"")</f>
        <v>370898</v>
      </c>
      <c r="K687" s="19" t="n">
        <f aca="false">IFERROR(VALUE(SUBSTITUTE(TRIM('수출입 실적(품목별)'!H691),",","")),"")</f>
        <v>-369998</v>
      </c>
    </row>
    <row r="688" customFormat="false" ht="15" hidden="false" customHeight="true" outlineLevel="0" collapsed="false">
      <c r="A688" s="11" t="str">
        <f aca="false">TRIM('수출입 실적(품목별)'!A692)</f>
        <v>2024.08</v>
      </c>
      <c r="B688" s="17" t="n">
        <f aca="false">IFERROR(VALUE(LEFT($A688,4)),"")</f>
        <v>2024</v>
      </c>
      <c r="C688" s="17" t="n">
        <f aca="false">IFERROR(VALUE(RIGHT($A688,2)),"")</f>
        <v>8</v>
      </c>
      <c r="D688" s="17" t="n">
        <f aca="false">IFERROR(ROUNDUP($C688/3,0),"")</f>
        <v>3</v>
      </c>
      <c r="E688" s="11" t="str">
        <f aca="false">TRIM('수출입 실적(품목별)'!B692)</f>
        <v>11</v>
      </c>
      <c r="F688" s="11" t="str">
        <f aca="false">TRIM('수출입 실적(품목별)'!C692)</f>
        <v>제분공업의 생산품과 맥아, 전분, 이눌린(inulin), 밀의 글루텐(gluten)</v>
      </c>
      <c r="G688" s="18" t="n">
        <f aca="false">IFERROR(VALUE(SUBSTITUTE(TRIM('수출입 실적(품목별)'!D692),",","")),"")</f>
        <v>4670.1</v>
      </c>
      <c r="H688" s="19" t="n">
        <f aca="false">IFERROR(VALUE(SUBSTITUTE(TRIM('수출입 실적(품목별)'!E692),",","")),"")</f>
        <v>3412</v>
      </c>
      <c r="I688" s="18" t="n">
        <f aca="false">IFERROR(VALUE(SUBSTITUTE(TRIM('수출입 실적(품목별)'!F692),",","")),"")</f>
        <v>35073.4</v>
      </c>
      <c r="J688" s="19" t="n">
        <f aca="false">IFERROR(VALUE(SUBSTITUTE(TRIM('수출입 실적(품목별)'!G692),",","")),"")</f>
        <v>31410</v>
      </c>
      <c r="K688" s="19" t="n">
        <f aca="false">IFERROR(VALUE(SUBSTITUTE(TRIM('수출입 실적(품목별)'!H692),",","")),"")</f>
        <v>-27998</v>
      </c>
    </row>
    <row r="689" customFormat="false" ht="15" hidden="false" customHeight="true" outlineLevel="0" collapsed="false">
      <c r="A689" s="11" t="str">
        <f aca="false">TRIM('수출입 실적(품목별)'!A693)</f>
        <v>2024.08</v>
      </c>
      <c r="B689" s="17" t="n">
        <f aca="false">IFERROR(VALUE(LEFT($A689,4)),"")</f>
        <v>2024</v>
      </c>
      <c r="C689" s="17" t="n">
        <f aca="false">IFERROR(VALUE(RIGHT($A689,2)),"")</f>
        <v>8</v>
      </c>
      <c r="D689" s="17" t="n">
        <f aca="false">IFERROR(ROUNDUP($C689/3,0),"")</f>
        <v>3</v>
      </c>
      <c r="E689" s="11" t="str">
        <f aca="false">TRIM('수출입 실적(품목별)'!B693)</f>
        <v>12</v>
      </c>
      <c r="F689" s="11" t="str">
        <f aca="false">TRIM('수출입 실적(품목별)'!C693)</f>
        <v>채유(採油)에 적합한 종자와 과실, 각종 종자와 과실, 공업용ㆍ의약용 식물, 짚과 사료용 식물</v>
      </c>
      <c r="G689" s="18" t="n">
        <f aca="false">IFERROR(VALUE(SUBSTITUTE(TRIM('수출입 실적(품목별)'!D693),",","")),"")</f>
        <v>1846.3</v>
      </c>
      <c r="H689" s="19" t="n">
        <f aca="false">IFERROR(VALUE(SUBSTITUTE(TRIM('수출입 실적(품목별)'!E693),",","")),"")</f>
        <v>43277</v>
      </c>
      <c r="I689" s="18" t="n">
        <f aca="false">IFERROR(VALUE(SUBSTITUTE(TRIM('수출입 실적(품목별)'!F693),",","")),"")</f>
        <v>261882.1</v>
      </c>
      <c r="J689" s="19" t="n">
        <f aca="false">IFERROR(VALUE(SUBSTITUTE(TRIM('수출입 실적(품목별)'!G693),",","")),"")</f>
        <v>159623</v>
      </c>
      <c r="K689" s="19" t="n">
        <f aca="false">IFERROR(VALUE(SUBSTITUTE(TRIM('수출입 실적(품목별)'!H693),",","")),"")</f>
        <v>-116345</v>
      </c>
    </row>
    <row r="690" customFormat="false" ht="15" hidden="false" customHeight="true" outlineLevel="0" collapsed="false">
      <c r="A690" s="11" t="str">
        <f aca="false">TRIM('수출입 실적(품목별)'!A694)</f>
        <v>2024.08</v>
      </c>
      <c r="B690" s="17" t="n">
        <f aca="false">IFERROR(VALUE(LEFT($A690,4)),"")</f>
        <v>2024</v>
      </c>
      <c r="C690" s="17" t="n">
        <f aca="false">IFERROR(VALUE(RIGHT($A690,2)),"")</f>
        <v>8</v>
      </c>
      <c r="D690" s="17" t="n">
        <f aca="false">IFERROR(ROUNDUP($C690/3,0),"")</f>
        <v>3</v>
      </c>
      <c r="E690" s="11" t="str">
        <f aca="false">TRIM('수출입 실적(품목별)'!B694)</f>
        <v>13</v>
      </c>
      <c r="F690" s="11" t="str">
        <f aca="false">TRIM('수출입 실적(품목별)'!C694)</f>
        <v>락(lac), 검ㆍ수지ㆍ그 밖의 식물성 수액과 추출물(extract)</v>
      </c>
      <c r="G690" s="18" t="n">
        <f aca="false">IFERROR(VALUE(SUBSTITUTE(TRIM('수출입 실적(품목별)'!D694),",","")),"")</f>
        <v>336.8</v>
      </c>
      <c r="H690" s="19" t="n">
        <f aca="false">IFERROR(VALUE(SUBSTITUTE(TRIM('수출입 실적(품목별)'!E694),",","")),"")</f>
        <v>6593</v>
      </c>
      <c r="I690" s="18" t="n">
        <f aca="false">IFERROR(VALUE(SUBSTITUTE(TRIM('수출입 실적(품목별)'!F694),",","")),"")</f>
        <v>5707.7</v>
      </c>
      <c r="J690" s="19" t="n">
        <f aca="false">IFERROR(VALUE(SUBSTITUTE(TRIM('수출입 실적(품목별)'!G694),",","")),"")</f>
        <v>20059</v>
      </c>
      <c r="K690" s="19" t="n">
        <f aca="false">IFERROR(VALUE(SUBSTITUTE(TRIM('수출입 실적(품목별)'!H694),",","")),"")</f>
        <v>-13466</v>
      </c>
    </row>
    <row r="691" customFormat="false" ht="15" hidden="false" customHeight="true" outlineLevel="0" collapsed="false">
      <c r="A691" s="11" t="str">
        <f aca="false">TRIM('수출입 실적(품목별)'!A695)</f>
        <v>2024.08</v>
      </c>
      <c r="B691" s="17" t="n">
        <f aca="false">IFERROR(VALUE(LEFT($A691,4)),"")</f>
        <v>2024</v>
      </c>
      <c r="C691" s="17" t="n">
        <f aca="false">IFERROR(VALUE(RIGHT($A691,2)),"")</f>
        <v>8</v>
      </c>
      <c r="D691" s="17" t="n">
        <f aca="false">IFERROR(ROUNDUP($C691/3,0),"")</f>
        <v>3</v>
      </c>
      <c r="E691" s="11" t="str">
        <f aca="false">TRIM('수출입 실적(품목별)'!B695)</f>
        <v>14</v>
      </c>
      <c r="F691" s="11" t="str">
        <f aca="false">TRIM('수출입 실적(품목별)'!C695)</f>
        <v>식물성 편조물(編組物)용 재료와 다른 류로 분류되지 않은 식물성 생산품</v>
      </c>
      <c r="G691" s="18" t="n">
        <f aca="false">IFERROR(VALUE(SUBSTITUTE(TRIM('수출입 실적(품목별)'!D695),",","")),"")</f>
        <v>29.2</v>
      </c>
      <c r="H691" s="19" t="n">
        <f aca="false">IFERROR(VALUE(SUBSTITUTE(TRIM('수출입 실적(품목별)'!E695),",","")),"")</f>
        <v>22</v>
      </c>
      <c r="I691" s="18" t="n">
        <f aca="false">IFERROR(VALUE(SUBSTITUTE(TRIM('수출입 실적(품목별)'!F695),",","")),"")</f>
        <v>14692.5</v>
      </c>
      <c r="J691" s="19" t="n">
        <f aca="false">IFERROR(VALUE(SUBSTITUTE(TRIM('수출입 실적(품목별)'!G695),",","")),"")</f>
        <v>3815</v>
      </c>
      <c r="K691" s="19" t="n">
        <f aca="false">IFERROR(VALUE(SUBSTITUTE(TRIM('수출입 실적(품목별)'!H695),",","")),"")</f>
        <v>-3793</v>
      </c>
    </row>
    <row r="692" customFormat="false" ht="15" hidden="false" customHeight="true" outlineLevel="0" collapsed="false">
      <c r="A692" s="11" t="str">
        <f aca="false">TRIM('수출입 실적(품목별)'!A696)</f>
        <v>2024.08</v>
      </c>
      <c r="B692" s="17" t="n">
        <f aca="false">IFERROR(VALUE(LEFT($A692,4)),"")</f>
        <v>2024</v>
      </c>
      <c r="C692" s="17" t="n">
        <f aca="false">IFERROR(VALUE(RIGHT($A692,2)),"")</f>
        <v>8</v>
      </c>
      <c r="D692" s="17" t="n">
        <f aca="false">IFERROR(ROUNDUP($C692/3,0),"")</f>
        <v>3</v>
      </c>
      <c r="E692" s="11" t="str">
        <f aca="false">TRIM('수출입 실적(품목별)'!B696)</f>
        <v>15</v>
      </c>
      <c r="F692" s="11" t="str">
        <f aca="false">TRIM('수출입 실적(품목별)'!C696)</f>
        <v>동물성ㆍ식물성ㆍ미생물성 지방과 기름 및이들의 분해생산물, 조제한 식용 지방과 동물성ㆍ식물성 왁스</v>
      </c>
      <c r="G692" s="18" t="n">
        <f aca="false">IFERROR(VALUE(SUBSTITUTE(TRIM('수출입 실적(품목별)'!D696),",","")),"")</f>
        <v>22980.1</v>
      </c>
      <c r="H692" s="19" t="n">
        <f aca="false">IFERROR(VALUE(SUBSTITUTE(TRIM('수출입 실적(품목별)'!E696),",","")),"")</f>
        <v>23842</v>
      </c>
      <c r="I692" s="18" t="n">
        <f aca="false">IFERROR(VALUE(SUBSTITUTE(TRIM('수출입 실적(품목별)'!F696),",","")),"")</f>
        <v>138666.5</v>
      </c>
      <c r="J692" s="19" t="n">
        <f aca="false">IFERROR(VALUE(SUBSTITUTE(TRIM('수출입 실적(품목별)'!G696),",","")),"")</f>
        <v>181911</v>
      </c>
      <c r="K692" s="19" t="n">
        <f aca="false">IFERROR(VALUE(SUBSTITUTE(TRIM('수출입 실적(품목별)'!H696),",","")),"")</f>
        <v>-158069</v>
      </c>
    </row>
    <row r="693" customFormat="false" ht="15" hidden="false" customHeight="true" outlineLevel="0" collapsed="false">
      <c r="A693" s="11" t="str">
        <f aca="false">TRIM('수출입 실적(품목별)'!A697)</f>
        <v>2024.08</v>
      </c>
      <c r="B693" s="17" t="n">
        <f aca="false">IFERROR(VALUE(LEFT($A693,4)),"")</f>
        <v>2024</v>
      </c>
      <c r="C693" s="17" t="n">
        <f aca="false">IFERROR(VALUE(RIGHT($A693,2)),"")</f>
        <v>8</v>
      </c>
      <c r="D693" s="17" t="n">
        <f aca="false">IFERROR(ROUNDUP($C693/3,0),"")</f>
        <v>3</v>
      </c>
      <c r="E693" s="11" t="str">
        <f aca="false">TRIM('수출입 실적(품목별)'!B697)</f>
        <v>16</v>
      </c>
      <c r="F693" s="11" t="str">
        <f aca="false">TRIM('수출입 실적(품목별)'!C697)</f>
        <v>육류ㆍ어류ㆍ갑각류ㆍ연체동물이나 그 밖의 수생(水生) 무척추동물 또는 곤충의 조제품</v>
      </c>
      <c r="G693" s="18" t="n">
        <f aca="false">IFERROR(VALUE(SUBSTITUTE(TRIM('수출입 실적(품목별)'!D697),",","")),"")</f>
        <v>3893</v>
      </c>
      <c r="H693" s="19" t="n">
        <f aca="false">IFERROR(VALUE(SUBSTITUTE(TRIM('수출입 실적(품목별)'!E697),",","")),"")</f>
        <v>24249</v>
      </c>
      <c r="I693" s="18" t="n">
        <f aca="false">IFERROR(VALUE(SUBSTITUTE(TRIM('수출입 실적(품목별)'!F697),",","")),"")</f>
        <v>16502.5</v>
      </c>
      <c r="J693" s="19" t="n">
        <f aca="false">IFERROR(VALUE(SUBSTITUTE(TRIM('수출입 실적(품목별)'!G697),",","")),"")</f>
        <v>92339</v>
      </c>
      <c r="K693" s="19" t="n">
        <f aca="false">IFERROR(VALUE(SUBSTITUTE(TRIM('수출입 실적(품목별)'!H697),",","")),"")</f>
        <v>-68089</v>
      </c>
    </row>
    <row r="694" customFormat="false" ht="15" hidden="false" customHeight="true" outlineLevel="0" collapsed="false">
      <c r="A694" s="11" t="str">
        <f aca="false">TRIM('수출입 실적(품목별)'!A698)</f>
        <v>2024.08</v>
      </c>
      <c r="B694" s="17" t="n">
        <f aca="false">IFERROR(VALUE(LEFT($A694,4)),"")</f>
        <v>2024</v>
      </c>
      <c r="C694" s="17" t="n">
        <f aca="false">IFERROR(VALUE(RIGHT($A694,2)),"")</f>
        <v>8</v>
      </c>
      <c r="D694" s="17" t="n">
        <f aca="false">IFERROR(ROUNDUP($C694/3,0),"")</f>
        <v>3</v>
      </c>
      <c r="E694" s="11" t="str">
        <f aca="false">TRIM('수출입 실적(품목별)'!B698)</f>
        <v>17</v>
      </c>
      <c r="F694" s="11" t="str">
        <f aca="false">TRIM('수출입 실적(품목별)'!C698)</f>
        <v>당류(糖類)와 설탕과자</v>
      </c>
      <c r="G694" s="18" t="n">
        <f aca="false">IFERROR(VALUE(SUBSTITUTE(TRIM('수출입 실적(품목별)'!D698),",","")),"")</f>
        <v>35705.8</v>
      </c>
      <c r="H694" s="19" t="n">
        <f aca="false">IFERROR(VALUE(SUBSTITUTE(TRIM('수출입 실적(품목별)'!E698),",","")),"")</f>
        <v>31191</v>
      </c>
      <c r="I694" s="18" t="n">
        <f aca="false">IFERROR(VALUE(SUBSTITUTE(TRIM('수출입 실적(품목별)'!F698),",","")),"")</f>
        <v>234104.2</v>
      </c>
      <c r="J694" s="19" t="n">
        <f aca="false">IFERROR(VALUE(SUBSTITUTE(TRIM('수출입 실적(품목별)'!G698),",","")),"")</f>
        <v>145551</v>
      </c>
      <c r="K694" s="19" t="n">
        <f aca="false">IFERROR(VALUE(SUBSTITUTE(TRIM('수출입 실적(품목별)'!H698),",","")),"")</f>
        <v>-114360</v>
      </c>
    </row>
    <row r="695" customFormat="false" ht="15" hidden="false" customHeight="true" outlineLevel="0" collapsed="false">
      <c r="A695" s="11" t="str">
        <f aca="false">TRIM('수출입 실적(품목별)'!A699)</f>
        <v>2024.08</v>
      </c>
      <c r="B695" s="17" t="n">
        <f aca="false">IFERROR(VALUE(LEFT($A695,4)),"")</f>
        <v>2024</v>
      </c>
      <c r="C695" s="17" t="n">
        <f aca="false">IFERROR(VALUE(RIGHT($A695,2)),"")</f>
        <v>8</v>
      </c>
      <c r="D695" s="17" t="n">
        <f aca="false">IFERROR(ROUNDUP($C695/3,0),"")</f>
        <v>3</v>
      </c>
      <c r="E695" s="11" t="str">
        <f aca="false">TRIM('수출입 실적(품목별)'!B699)</f>
        <v>18</v>
      </c>
      <c r="F695" s="11" t="str">
        <f aca="false">TRIM('수출입 실적(품목별)'!C699)</f>
        <v>코코아와 그 조제품</v>
      </c>
      <c r="G695" s="18" t="n">
        <f aca="false">IFERROR(VALUE(SUBSTITUTE(TRIM('수출입 실적(품목별)'!D699),",","")),"")</f>
        <v>2162.4</v>
      </c>
      <c r="H695" s="19" t="n">
        <f aca="false">IFERROR(VALUE(SUBSTITUTE(TRIM('수출입 실적(품목별)'!E699),",","")),"")</f>
        <v>5961</v>
      </c>
      <c r="I695" s="18" t="n">
        <f aca="false">IFERROR(VALUE(SUBSTITUTE(TRIM('수출입 실적(품목별)'!F699),",","")),"")</f>
        <v>6308.7</v>
      </c>
      <c r="J695" s="19" t="n">
        <f aca="false">IFERROR(VALUE(SUBSTITUTE(TRIM('수출입 실적(품목별)'!G699),",","")),"")</f>
        <v>53759</v>
      </c>
      <c r="K695" s="19" t="n">
        <f aca="false">IFERROR(VALUE(SUBSTITUTE(TRIM('수출입 실적(품목별)'!H699),",","")),"")</f>
        <v>-47798</v>
      </c>
    </row>
    <row r="696" customFormat="false" ht="15" hidden="false" customHeight="true" outlineLevel="0" collapsed="false">
      <c r="A696" s="11" t="str">
        <f aca="false">TRIM('수출입 실적(품목별)'!A700)</f>
        <v>2024.08</v>
      </c>
      <c r="B696" s="17" t="n">
        <f aca="false">IFERROR(VALUE(LEFT($A696,4)),"")</f>
        <v>2024</v>
      </c>
      <c r="C696" s="17" t="n">
        <f aca="false">IFERROR(VALUE(RIGHT($A696,2)),"")</f>
        <v>8</v>
      </c>
      <c r="D696" s="17" t="n">
        <f aca="false">IFERROR(ROUNDUP($C696/3,0),"")</f>
        <v>3</v>
      </c>
      <c r="E696" s="11" t="str">
        <f aca="false">TRIM('수출입 실적(품목별)'!B700)</f>
        <v>19</v>
      </c>
      <c r="F696" s="11" t="str">
        <f aca="false">TRIM('수출입 실적(품목별)'!C700)</f>
        <v>곡물ㆍ고운 가루ㆍ전분ㆍ밀크의 조제품과 베이커리 제품</v>
      </c>
      <c r="G696" s="18" t="n">
        <f aca="false">IFERROR(VALUE(SUBSTITUTE(TRIM('수출입 실적(품목별)'!D700),",","")),"")</f>
        <v>49251.8</v>
      </c>
      <c r="H696" s="19" t="n">
        <f aca="false">IFERROR(VALUE(SUBSTITUTE(TRIM('수출입 실적(품목별)'!E700),",","")),"")</f>
        <v>200312</v>
      </c>
      <c r="I696" s="18" t="n">
        <f aca="false">IFERROR(VALUE(SUBSTITUTE(TRIM('수출입 실적(품목별)'!F700),",","")),"")</f>
        <v>28576.4</v>
      </c>
      <c r="J696" s="19" t="n">
        <f aca="false">IFERROR(VALUE(SUBSTITUTE(TRIM('수출입 실적(품목별)'!G700),",","")),"")</f>
        <v>94607</v>
      </c>
      <c r="K696" s="19" t="n">
        <f aca="false">IFERROR(VALUE(SUBSTITUTE(TRIM('수출입 실적(품목별)'!H700),",","")),"")</f>
        <v>105705</v>
      </c>
    </row>
    <row r="697" customFormat="false" ht="15" hidden="false" customHeight="true" outlineLevel="0" collapsed="false">
      <c r="A697" s="11" t="str">
        <f aca="false">TRIM('수출입 실적(품목별)'!A701)</f>
        <v>2024.08</v>
      </c>
      <c r="B697" s="17" t="n">
        <f aca="false">IFERROR(VALUE(LEFT($A697,4)),"")</f>
        <v>2024</v>
      </c>
      <c r="C697" s="17" t="n">
        <f aca="false">IFERROR(VALUE(RIGHT($A697,2)),"")</f>
        <v>8</v>
      </c>
      <c r="D697" s="17" t="n">
        <f aca="false">IFERROR(ROUNDUP($C697/3,0),"")</f>
        <v>3</v>
      </c>
      <c r="E697" s="11" t="str">
        <f aca="false">TRIM('수출입 실적(품목별)'!B701)</f>
        <v>20</v>
      </c>
      <c r="F697" s="11" t="str">
        <f aca="false">TRIM('수출입 실적(품목별)'!C701)</f>
        <v>채소ㆍ과실ㆍ견과류나 식물의그 밖의 부분의 조제품</v>
      </c>
      <c r="G697" s="18" t="n">
        <f aca="false">IFERROR(VALUE(SUBSTITUTE(TRIM('수출입 실적(품목별)'!D701),",","")),"")</f>
        <v>9334.7</v>
      </c>
      <c r="H697" s="19" t="n">
        <f aca="false">IFERROR(VALUE(SUBSTITUTE(TRIM('수출입 실적(품목별)'!E701),",","")),"")</f>
        <v>76003</v>
      </c>
      <c r="I697" s="18" t="n">
        <f aca="false">IFERROR(VALUE(SUBSTITUTE(TRIM('수출입 실적(품목별)'!F701),",","")),"")</f>
        <v>84536.8</v>
      </c>
      <c r="J697" s="19" t="n">
        <f aca="false">IFERROR(VALUE(SUBSTITUTE(TRIM('수출입 실적(품목별)'!G701),",","")),"")</f>
        <v>129849</v>
      </c>
      <c r="K697" s="19" t="n">
        <f aca="false">IFERROR(VALUE(SUBSTITUTE(TRIM('수출입 실적(품목별)'!H701),",","")),"")</f>
        <v>-53846</v>
      </c>
    </row>
    <row r="698" customFormat="false" ht="15" hidden="false" customHeight="true" outlineLevel="0" collapsed="false">
      <c r="A698" s="11" t="str">
        <f aca="false">TRIM('수출입 실적(품목별)'!A702)</f>
        <v>2024.08</v>
      </c>
      <c r="B698" s="17" t="n">
        <f aca="false">IFERROR(VALUE(LEFT($A698,4)),"")</f>
        <v>2024</v>
      </c>
      <c r="C698" s="17" t="n">
        <f aca="false">IFERROR(VALUE(RIGHT($A698,2)),"")</f>
        <v>8</v>
      </c>
      <c r="D698" s="17" t="n">
        <f aca="false">IFERROR(ROUNDUP($C698/3,0),"")</f>
        <v>3</v>
      </c>
      <c r="E698" s="11" t="str">
        <f aca="false">TRIM('수출입 실적(품목별)'!B702)</f>
        <v>21</v>
      </c>
      <c r="F698" s="11" t="str">
        <f aca="false">TRIM('수출입 실적(품목별)'!C702)</f>
        <v>각종 조제 식료품</v>
      </c>
      <c r="G698" s="18" t="n">
        <f aca="false">IFERROR(VALUE(SUBSTITUTE(TRIM('수출입 실적(품목별)'!D702),",","")),"")</f>
        <v>33203.8</v>
      </c>
      <c r="H698" s="19" t="n">
        <f aca="false">IFERROR(VALUE(SUBSTITUTE(TRIM('수출입 실적(품목별)'!E702),",","")),"")</f>
        <v>127976</v>
      </c>
      <c r="I698" s="18" t="n">
        <f aca="false">IFERROR(VALUE(SUBSTITUTE(TRIM('수출입 실적(품목별)'!F702),",","")),"")</f>
        <v>32661.5</v>
      </c>
      <c r="J698" s="19" t="n">
        <f aca="false">IFERROR(VALUE(SUBSTITUTE(TRIM('수출입 실적(품목별)'!G702),",","")),"")</f>
        <v>240434</v>
      </c>
      <c r="K698" s="19" t="n">
        <f aca="false">IFERROR(VALUE(SUBSTITUTE(TRIM('수출입 실적(품목별)'!H702),",","")),"")</f>
        <v>-112459</v>
      </c>
    </row>
    <row r="699" customFormat="false" ht="15" hidden="false" customHeight="true" outlineLevel="0" collapsed="false">
      <c r="A699" s="11" t="str">
        <f aca="false">TRIM('수출입 실적(품목별)'!A703)</f>
        <v>2024.08</v>
      </c>
      <c r="B699" s="17" t="n">
        <f aca="false">IFERROR(VALUE(LEFT($A699,4)),"")</f>
        <v>2024</v>
      </c>
      <c r="C699" s="17" t="n">
        <f aca="false">IFERROR(VALUE(RIGHT($A699,2)),"")</f>
        <v>8</v>
      </c>
      <c r="D699" s="17" t="n">
        <f aca="false">IFERROR(ROUNDUP($C699/3,0),"")</f>
        <v>3</v>
      </c>
      <c r="E699" s="11" t="str">
        <f aca="false">TRIM('수출입 실적(품목별)'!B703)</f>
        <v>22</v>
      </c>
      <c r="F699" s="11" t="str">
        <f aca="false">TRIM('수출입 실적(품목별)'!C703)</f>
        <v>음료ㆍ주류ㆍ식초</v>
      </c>
      <c r="G699" s="18" t="n">
        <f aca="false">IFERROR(VALUE(SUBSTITUTE(TRIM('수출입 실적(품목별)'!D703),",","")),"")</f>
        <v>76071.4</v>
      </c>
      <c r="H699" s="19" t="n">
        <f aca="false">IFERROR(VALUE(SUBSTITUTE(TRIM('수출입 실적(품목별)'!E703),",","")),"")</f>
        <v>92889</v>
      </c>
      <c r="I699" s="18" t="n">
        <f aca="false">IFERROR(VALUE(SUBSTITUTE(TRIM('수출입 실적(품목별)'!F703),",","")),"")</f>
        <v>83157.9</v>
      </c>
      <c r="J699" s="19" t="n">
        <f aca="false">IFERROR(VALUE(SUBSTITUTE(TRIM('수출입 실적(품목별)'!G703),",","")),"")</f>
        <v>132753</v>
      </c>
      <c r="K699" s="19" t="n">
        <f aca="false">IFERROR(VALUE(SUBSTITUTE(TRIM('수출입 실적(품목별)'!H703),",","")),"")</f>
        <v>-39864</v>
      </c>
    </row>
    <row r="700" customFormat="false" ht="15" hidden="false" customHeight="true" outlineLevel="0" collapsed="false">
      <c r="A700" s="11" t="str">
        <f aca="false">TRIM('수출입 실적(품목별)'!A704)</f>
        <v>2024.08</v>
      </c>
      <c r="B700" s="17" t="n">
        <f aca="false">IFERROR(VALUE(LEFT($A700,4)),"")</f>
        <v>2024</v>
      </c>
      <c r="C700" s="17" t="n">
        <f aca="false">IFERROR(VALUE(RIGHT($A700,2)),"")</f>
        <v>8</v>
      </c>
      <c r="D700" s="17" t="n">
        <f aca="false">IFERROR(ROUNDUP($C700/3,0),"")</f>
        <v>3</v>
      </c>
      <c r="E700" s="11" t="str">
        <f aca="false">TRIM('수출입 실적(품목별)'!B704)</f>
        <v>23</v>
      </c>
      <c r="F700" s="11" t="str">
        <f aca="false">TRIM('수출입 실적(품목별)'!C704)</f>
        <v>식품 공업에서 생기는 잔재물과 웨이스트(waste), 조제 사료</v>
      </c>
      <c r="G700" s="18" t="n">
        <f aca="false">IFERROR(VALUE(SUBSTITUTE(TRIM('수출입 실적(품목별)'!D704),",","")),"")</f>
        <v>37595</v>
      </c>
      <c r="H700" s="19" t="n">
        <f aca="false">IFERROR(VALUE(SUBSTITUTE(TRIM('수출입 실적(품목별)'!E704),",","")),"")</f>
        <v>30796</v>
      </c>
      <c r="I700" s="18" t="n">
        <f aca="false">IFERROR(VALUE(SUBSTITUTE(TRIM('수출입 실적(품목별)'!F704),",","")),"")</f>
        <v>587778</v>
      </c>
      <c r="J700" s="19" t="n">
        <f aca="false">IFERROR(VALUE(SUBSTITUTE(TRIM('수출입 실적(품목별)'!G704),",","")),"")</f>
        <v>215957</v>
      </c>
      <c r="K700" s="19" t="n">
        <f aca="false">IFERROR(VALUE(SUBSTITUTE(TRIM('수출입 실적(품목별)'!H704),",","")),"")</f>
        <v>-185161</v>
      </c>
    </row>
    <row r="701" customFormat="false" ht="15" hidden="false" customHeight="true" outlineLevel="0" collapsed="false">
      <c r="A701" s="11" t="str">
        <f aca="false">TRIM('수출입 실적(품목별)'!A705)</f>
        <v>2024.08</v>
      </c>
      <c r="B701" s="17" t="n">
        <f aca="false">IFERROR(VALUE(LEFT($A701,4)),"")</f>
        <v>2024</v>
      </c>
      <c r="C701" s="17" t="n">
        <f aca="false">IFERROR(VALUE(RIGHT($A701,2)),"")</f>
        <v>8</v>
      </c>
      <c r="D701" s="17" t="n">
        <f aca="false">IFERROR(ROUNDUP($C701/3,0),"")</f>
        <v>3</v>
      </c>
      <c r="E701" s="11" t="str">
        <f aca="false">TRIM('수출입 실적(품목별)'!B705)</f>
        <v>24</v>
      </c>
      <c r="F701" s="11" t="str">
        <f aca="false">TRIM('수출입 실적(품목별)'!C705)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701" s="18" t="n">
        <f aca="false">IFERROR(VALUE(SUBSTITUTE(TRIM('수출입 실적(품목별)'!D705),",","")),"")</f>
        <v>8897.5</v>
      </c>
      <c r="H701" s="19" t="n">
        <f aca="false">IFERROR(VALUE(SUBSTITUTE(TRIM('수출입 실적(품목별)'!E705),",","")),"")</f>
        <v>95679</v>
      </c>
      <c r="I701" s="18" t="n">
        <f aca="false">IFERROR(VALUE(SUBSTITUTE(TRIM('수출입 실적(품목별)'!F705),",","")),"")</f>
        <v>3549.9</v>
      </c>
      <c r="J701" s="19" t="n">
        <f aca="false">IFERROR(VALUE(SUBSTITUTE(TRIM('수출입 실적(품목별)'!G705),",","")),"")</f>
        <v>34517</v>
      </c>
      <c r="K701" s="19" t="n">
        <f aca="false">IFERROR(VALUE(SUBSTITUTE(TRIM('수출입 실적(품목별)'!H705),",","")),"")</f>
        <v>61162</v>
      </c>
    </row>
    <row r="702" customFormat="false" ht="15" hidden="false" customHeight="true" outlineLevel="0" collapsed="false">
      <c r="A702" s="11" t="str">
        <f aca="false">TRIM('수출입 실적(품목별)'!A706)</f>
        <v>2024.08</v>
      </c>
      <c r="B702" s="17" t="n">
        <f aca="false">IFERROR(VALUE(LEFT($A702,4)),"")</f>
        <v>2024</v>
      </c>
      <c r="C702" s="17" t="n">
        <f aca="false">IFERROR(VALUE(RIGHT($A702,2)),"")</f>
        <v>8</v>
      </c>
      <c r="D702" s="17" t="n">
        <f aca="false">IFERROR(ROUNDUP($C702/3,0),"")</f>
        <v>3</v>
      </c>
      <c r="E702" s="11" t="str">
        <f aca="false">TRIM('수출입 실적(품목별)'!B706)</f>
        <v>25</v>
      </c>
      <c r="F702" s="11" t="str">
        <f aca="false">TRIM('수출입 실적(품목별)'!C706)</f>
        <v>소금, 황, 토석류(土石類), 석고ㆍ석회ㆍ시멘트</v>
      </c>
      <c r="G702" s="18" t="n">
        <f aca="false">IFERROR(VALUE(SUBSTITUTE(TRIM('수출입 실적(품목별)'!D706),",","")),"")</f>
        <v>471049.5</v>
      </c>
      <c r="H702" s="19" t="n">
        <f aca="false">IFERROR(VALUE(SUBSTITUTE(TRIM('수출입 실적(품목별)'!E706),",","")),"")</f>
        <v>26227</v>
      </c>
      <c r="I702" s="18" t="n">
        <f aca="false">IFERROR(VALUE(SUBSTITUTE(TRIM('수출입 실적(품목별)'!F706),",","")),"")</f>
        <v>916767.9</v>
      </c>
      <c r="J702" s="19" t="n">
        <f aca="false">IFERROR(VALUE(SUBSTITUTE(TRIM('수출입 실적(품목별)'!G706),",","")),"")</f>
        <v>72871</v>
      </c>
      <c r="K702" s="19" t="n">
        <f aca="false">IFERROR(VALUE(SUBSTITUTE(TRIM('수출입 실적(품목별)'!H706),",","")),"")</f>
        <v>-46643</v>
      </c>
    </row>
    <row r="703" customFormat="false" ht="15" hidden="false" customHeight="true" outlineLevel="0" collapsed="false">
      <c r="A703" s="11" t="str">
        <f aca="false">TRIM('수출입 실적(품목별)'!A707)</f>
        <v>2024.08</v>
      </c>
      <c r="B703" s="17" t="n">
        <f aca="false">IFERROR(VALUE(LEFT($A703,4)),"")</f>
        <v>2024</v>
      </c>
      <c r="C703" s="17" t="n">
        <f aca="false">IFERROR(VALUE(RIGHT($A703,2)),"")</f>
        <v>8</v>
      </c>
      <c r="D703" s="17" t="n">
        <f aca="false">IFERROR(ROUNDUP($C703/3,0),"")</f>
        <v>3</v>
      </c>
      <c r="E703" s="11" t="str">
        <f aca="false">TRIM('수출입 실적(품목별)'!B707)</f>
        <v>26</v>
      </c>
      <c r="F703" s="11" t="str">
        <f aca="false">TRIM('수출입 실적(품목별)'!C707)</f>
        <v>광(鑛)ㆍ슬래그(slag)ㆍ회(灰)</v>
      </c>
      <c r="G703" s="18" t="n">
        <f aca="false">IFERROR(VALUE(SUBSTITUTE(TRIM('수출입 실적(품목별)'!D707),",","")),"")</f>
        <v>35135.3</v>
      </c>
      <c r="H703" s="19" t="n">
        <f aca="false">IFERROR(VALUE(SUBSTITUTE(TRIM('수출입 실적(품목별)'!E707),",","")),"")</f>
        <v>63272</v>
      </c>
      <c r="I703" s="18" t="n">
        <f aca="false">IFERROR(VALUE(SUBSTITUTE(TRIM('수출입 실적(품목별)'!F707),",","")),"")</f>
        <v>6675852.9</v>
      </c>
      <c r="J703" s="19" t="n">
        <f aca="false">IFERROR(VALUE(SUBSTITUTE(TRIM('수출입 실적(품목별)'!G707),",","")),"")</f>
        <v>1472160</v>
      </c>
      <c r="K703" s="19" t="n">
        <f aca="false">IFERROR(VALUE(SUBSTITUTE(TRIM('수출입 실적(품목별)'!H707),",","")),"")</f>
        <v>-1408888</v>
      </c>
    </row>
    <row r="704" customFormat="false" ht="15" hidden="false" customHeight="true" outlineLevel="0" collapsed="false">
      <c r="A704" s="11" t="str">
        <f aca="false">TRIM('수출입 실적(품목별)'!A708)</f>
        <v>2024.08</v>
      </c>
      <c r="B704" s="17" t="n">
        <f aca="false">IFERROR(VALUE(LEFT($A704,4)),"")</f>
        <v>2024</v>
      </c>
      <c r="C704" s="17" t="n">
        <f aca="false">IFERROR(VALUE(RIGHT($A704,2)),"")</f>
        <v>8</v>
      </c>
      <c r="D704" s="17" t="n">
        <f aca="false">IFERROR(ROUNDUP($C704/3,0),"")</f>
        <v>3</v>
      </c>
      <c r="E704" s="11" t="str">
        <f aca="false">TRIM('수출입 실적(품목별)'!B708)</f>
        <v>27</v>
      </c>
      <c r="F704" s="11" t="str">
        <f aca="false">TRIM('수출입 실적(품목별)'!C708)</f>
        <v>광물성 연료ㆍ광물유(鑛物油)와 이들의 증류물, 역청(瀝靑)물질, 광물성 왁스</v>
      </c>
      <c r="G704" s="18" t="n">
        <f aca="false">IFERROR(VALUE(SUBSTITUTE(TRIM('수출입 실적(품목별)'!D708),",","")),"")</f>
        <v>6257780</v>
      </c>
      <c r="H704" s="19" t="n">
        <f aca="false">IFERROR(VALUE(SUBSTITUTE(TRIM('수출입 실적(품목별)'!E708),",","")),"")</f>
        <v>4604299</v>
      </c>
      <c r="I704" s="18" t="n">
        <f aca="false">IFERROR(VALUE(SUBSTITUTE(TRIM('수출입 실적(품목별)'!F708),",","")),"")</f>
        <v>31835269.5</v>
      </c>
      <c r="J704" s="19" t="n">
        <f aca="false">IFERROR(VALUE(SUBSTITUTE(TRIM('수출입 실적(품목별)'!G708),",","")),"")</f>
        <v>14808544</v>
      </c>
      <c r="K704" s="19" t="n">
        <f aca="false">IFERROR(VALUE(SUBSTITUTE(TRIM('수출입 실적(품목별)'!H708),",","")),"")</f>
        <v>-10204245</v>
      </c>
    </row>
    <row r="705" customFormat="false" ht="15" hidden="false" customHeight="true" outlineLevel="0" collapsed="false">
      <c r="A705" s="11" t="str">
        <f aca="false">TRIM('수출입 실적(품목별)'!A709)</f>
        <v>2024.08</v>
      </c>
      <c r="B705" s="17" t="n">
        <f aca="false">IFERROR(VALUE(LEFT($A705,4)),"")</f>
        <v>2024</v>
      </c>
      <c r="C705" s="17" t="n">
        <f aca="false">IFERROR(VALUE(RIGHT($A705,2)),"")</f>
        <v>8</v>
      </c>
      <c r="D705" s="17" t="n">
        <f aca="false">IFERROR(ROUNDUP($C705/3,0),"")</f>
        <v>3</v>
      </c>
      <c r="E705" s="11" t="str">
        <f aca="false">TRIM('수출입 실적(품목별)'!B709)</f>
        <v>28</v>
      </c>
      <c r="F705" s="11" t="str">
        <f aca="false">TRIM('수출입 실적(품목별)'!C709)</f>
        <v>무기화학품, 귀금속ㆍ희토류(稀土類)금속ㆍ방사성원소ㆍ동위원소의 유기화합물이나 무기화합물</v>
      </c>
      <c r="G705" s="18" t="n">
        <f aca="false">IFERROR(VALUE(SUBSTITUTE(TRIM('수출입 실적(품목별)'!D709),",","")),"")</f>
        <v>456132.5</v>
      </c>
      <c r="H705" s="19" t="n">
        <f aca="false">IFERROR(VALUE(SUBSTITUTE(TRIM('수출입 실적(품목별)'!E709),",","")),"")</f>
        <v>729313</v>
      </c>
      <c r="I705" s="18" t="n">
        <f aca="false">IFERROR(VALUE(SUBSTITUTE(TRIM('수출입 실적(품목별)'!F709),",","")),"")</f>
        <v>400519.3</v>
      </c>
      <c r="J705" s="19" t="n">
        <f aca="false">IFERROR(VALUE(SUBSTITUTE(TRIM('수출입 실적(품목별)'!G709),",","")),"")</f>
        <v>1136171</v>
      </c>
      <c r="K705" s="19" t="n">
        <f aca="false">IFERROR(VALUE(SUBSTITUTE(TRIM('수출입 실적(품목별)'!H709),",","")),"")</f>
        <v>-406859</v>
      </c>
    </row>
    <row r="706" customFormat="false" ht="15" hidden="false" customHeight="true" outlineLevel="0" collapsed="false">
      <c r="A706" s="11" t="str">
        <f aca="false">TRIM('수출입 실적(품목별)'!A710)</f>
        <v>2024.08</v>
      </c>
      <c r="B706" s="17" t="n">
        <f aca="false">IFERROR(VALUE(LEFT($A706,4)),"")</f>
        <v>2024</v>
      </c>
      <c r="C706" s="17" t="n">
        <f aca="false">IFERROR(VALUE(RIGHT($A706,2)),"")</f>
        <v>8</v>
      </c>
      <c r="D706" s="17" t="n">
        <f aca="false">IFERROR(ROUNDUP($C706/3,0),"")</f>
        <v>3</v>
      </c>
      <c r="E706" s="11" t="str">
        <f aca="false">TRIM('수출입 실적(품목별)'!B710)</f>
        <v>29</v>
      </c>
      <c r="F706" s="11" t="str">
        <f aca="false">TRIM('수출입 실적(품목별)'!C710)</f>
        <v>유기화학품</v>
      </c>
      <c r="G706" s="18" t="n">
        <f aca="false">IFERROR(VALUE(SUBSTITUTE(TRIM('수출입 실적(품목별)'!D710),",","")),"")</f>
        <v>1797799.2</v>
      </c>
      <c r="H706" s="19" t="n">
        <f aca="false">IFERROR(VALUE(SUBSTITUTE(TRIM('수출입 실적(품목별)'!E710),",","")),"")</f>
        <v>1952588</v>
      </c>
      <c r="I706" s="18" t="n">
        <f aca="false">IFERROR(VALUE(SUBSTITUTE(TRIM('수출입 실적(품목별)'!F710),",","")),"")</f>
        <v>710025.1</v>
      </c>
      <c r="J706" s="19" t="n">
        <f aca="false">IFERROR(VALUE(SUBSTITUTE(TRIM('수출입 실적(품목별)'!G710),",","")),"")</f>
        <v>1172946</v>
      </c>
      <c r="K706" s="19" t="n">
        <f aca="false">IFERROR(VALUE(SUBSTITUTE(TRIM('수출입 실적(품목별)'!H710),",","")),"")</f>
        <v>779642</v>
      </c>
    </row>
    <row r="707" customFormat="false" ht="15" hidden="false" customHeight="true" outlineLevel="0" collapsed="false">
      <c r="A707" s="11" t="str">
        <f aca="false">TRIM('수출입 실적(품목별)'!A711)</f>
        <v>2024.08</v>
      </c>
      <c r="B707" s="17" t="n">
        <f aca="false">IFERROR(VALUE(LEFT($A707,4)),"")</f>
        <v>2024</v>
      </c>
      <c r="C707" s="17" t="n">
        <f aca="false">IFERROR(VALUE(RIGHT($A707,2)),"")</f>
        <v>8</v>
      </c>
      <c r="D707" s="17" t="n">
        <f aca="false">IFERROR(ROUNDUP($C707/3,0),"")</f>
        <v>3</v>
      </c>
      <c r="E707" s="11" t="str">
        <f aca="false">TRIM('수출입 실적(품목별)'!B711)</f>
        <v>30</v>
      </c>
      <c r="F707" s="11" t="str">
        <f aca="false">TRIM('수출입 실적(품목별)'!C711)</f>
        <v>의료용품</v>
      </c>
      <c r="G707" s="18" t="n">
        <f aca="false">IFERROR(VALUE(SUBSTITUTE(TRIM('수출입 실적(품목별)'!D711),",","")),"")</f>
        <v>2710</v>
      </c>
      <c r="H707" s="19" t="n">
        <f aca="false">IFERROR(VALUE(SUBSTITUTE(TRIM('수출입 실적(품목별)'!E711),",","")),"")</f>
        <v>751479</v>
      </c>
      <c r="I707" s="18" t="n">
        <f aca="false">IFERROR(VALUE(SUBSTITUTE(TRIM('수출입 실적(품목별)'!F711),",","")),"")</f>
        <v>7349.8</v>
      </c>
      <c r="J707" s="19" t="n">
        <f aca="false">IFERROR(VALUE(SUBSTITUTE(TRIM('수출입 실적(품목별)'!G711),",","")),"")</f>
        <v>898147</v>
      </c>
      <c r="K707" s="19" t="n">
        <f aca="false">IFERROR(VALUE(SUBSTITUTE(TRIM('수출입 실적(품목별)'!H711),",","")),"")</f>
        <v>-146668</v>
      </c>
    </row>
    <row r="708" customFormat="false" ht="15" hidden="false" customHeight="true" outlineLevel="0" collapsed="false">
      <c r="A708" s="11" t="str">
        <f aca="false">TRIM('수출입 실적(품목별)'!A712)</f>
        <v>2024.08</v>
      </c>
      <c r="B708" s="17" t="n">
        <f aca="false">IFERROR(VALUE(LEFT($A708,4)),"")</f>
        <v>2024</v>
      </c>
      <c r="C708" s="17" t="n">
        <f aca="false">IFERROR(VALUE(RIGHT($A708,2)),"")</f>
        <v>8</v>
      </c>
      <c r="D708" s="17" t="n">
        <f aca="false">IFERROR(ROUNDUP($C708/3,0),"")</f>
        <v>3</v>
      </c>
      <c r="E708" s="11" t="str">
        <f aca="false">TRIM('수출입 실적(품목별)'!B712)</f>
        <v>31</v>
      </c>
      <c r="F708" s="11" t="str">
        <f aca="false">TRIM('수출입 실적(품목별)'!C712)</f>
        <v>비료</v>
      </c>
      <c r="G708" s="18" t="n">
        <f aca="false">IFERROR(VALUE(SUBSTITUTE(TRIM('수출입 실적(품목별)'!D712),",","")),"")</f>
        <v>89213.1</v>
      </c>
      <c r="H708" s="19" t="n">
        <f aca="false">IFERROR(VALUE(SUBSTITUTE(TRIM('수출입 실적(품목별)'!E712),",","")),"")</f>
        <v>35086</v>
      </c>
      <c r="I708" s="18" t="n">
        <f aca="false">IFERROR(VALUE(SUBSTITUTE(TRIM('수출입 실적(품목별)'!F712),",","")),"")</f>
        <v>100964.3</v>
      </c>
      <c r="J708" s="19" t="n">
        <f aca="false">IFERROR(VALUE(SUBSTITUTE(TRIM('수출입 실적(품목별)'!G712),",","")),"")</f>
        <v>43996</v>
      </c>
      <c r="K708" s="19" t="n">
        <f aca="false">IFERROR(VALUE(SUBSTITUTE(TRIM('수출입 실적(품목별)'!H712),",","")),"")</f>
        <v>-8910</v>
      </c>
    </row>
    <row r="709" customFormat="false" ht="15" hidden="false" customHeight="true" outlineLevel="0" collapsed="false">
      <c r="A709" s="11" t="str">
        <f aca="false">TRIM('수출입 실적(품목별)'!A713)</f>
        <v>2024.08</v>
      </c>
      <c r="B709" s="17" t="n">
        <f aca="false">IFERROR(VALUE(LEFT($A709,4)),"")</f>
        <v>2024</v>
      </c>
      <c r="C709" s="17" t="n">
        <f aca="false">IFERROR(VALUE(RIGHT($A709,2)),"")</f>
        <v>8</v>
      </c>
      <c r="D709" s="17" t="n">
        <f aca="false">IFERROR(ROUNDUP($C709/3,0),"")</f>
        <v>3</v>
      </c>
      <c r="E709" s="11" t="str">
        <f aca="false">TRIM('수출입 실적(품목별)'!B713)</f>
        <v>32</v>
      </c>
      <c r="F709" s="11" t="str">
        <f aca="false">TRIM('수출입 실적(품목별)'!C713)</f>
        <v>유연용ㆍ염색용 추출물(extract), 탄닌과 이들의 유도체, 염료ㆍ안료와 그 밖의 착색제, 페인트ㆍ바니시(varnish), 퍼티(putty)와 그 밖의 매스틱(mastic), 잉크</v>
      </c>
      <c r="G709" s="18" t="n">
        <f aca="false">IFERROR(VALUE(SUBSTITUTE(TRIM('수출입 실적(품목별)'!D713),",","")),"")</f>
        <v>27437</v>
      </c>
      <c r="H709" s="19" t="n">
        <f aca="false">IFERROR(VALUE(SUBSTITUTE(TRIM('수출입 실적(품목별)'!E713),",","")),"")</f>
        <v>209920</v>
      </c>
      <c r="I709" s="18" t="n">
        <f aca="false">IFERROR(VALUE(SUBSTITUTE(TRIM('수출입 실적(품목별)'!F713),",","")),"")</f>
        <v>26287.2</v>
      </c>
      <c r="J709" s="19" t="n">
        <f aca="false">IFERROR(VALUE(SUBSTITUTE(TRIM('수출입 실적(품목별)'!G713),",","")),"")</f>
        <v>193957</v>
      </c>
      <c r="K709" s="19" t="n">
        <f aca="false">IFERROR(VALUE(SUBSTITUTE(TRIM('수출입 실적(품목별)'!H713),",","")),"")</f>
        <v>15963</v>
      </c>
    </row>
    <row r="710" customFormat="false" ht="15" hidden="false" customHeight="true" outlineLevel="0" collapsed="false">
      <c r="A710" s="11" t="str">
        <f aca="false">TRIM('수출입 실적(품목별)'!A714)</f>
        <v>2024.08</v>
      </c>
      <c r="B710" s="17" t="n">
        <f aca="false">IFERROR(VALUE(LEFT($A710,4)),"")</f>
        <v>2024</v>
      </c>
      <c r="C710" s="17" t="n">
        <f aca="false">IFERROR(VALUE(RIGHT($A710,2)),"")</f>
        <v>8</v>
      </c>
      <c r="D710" s="17" t="n">
        <f aca="false">IFERROR(ROUNDUP($C710/3,0),"")</f>
        <v>3</v>
      </c>
      <c r="E710" s="11" t="str">
        <f aca="false">TRIM('수출입 실적(품목별)'!B714)</f>
        <v>33</v>
      </c>
      <c r="F710" s="11" t="str">
        <f aca="false">TRIM('수출입 실적(품목별)'!C714)</f>
        <v>정유(essential oil)와 레지노이드(resinoid), 조제향료와 화장품ㆍ화장용품</v>
      </c>
      <c r="G710" s="18" t="n">
        <f aca="false">IFERROR(VALUE(SUBSTITUTE(TRIM('수출입 실적(품목별)'!D714),",","")),"")</f>
        <v>37927.6</v>
      </c>
      <c r="H710" s="19" t="n">
        <f aca="false">IFERROR(VALUE(SUBSTITUTE(TRIM('수출입 실적(품목별)'!E714),",","")),"")</f>
        <v>796202</v>
      </c>
      <c r="I710" s="18" t="n">
        <f aca="false">IFERROR(VALUE(SUBSTITUTE(TRIM('수출입 실적(품목별)'!F714),",","")),"")</f>
        <v>9882.7</v>
      </c>
      <c r="J710" s="19" t="n">
        <f aca="false">IFERROR(VALUE(SUBSTITUTE(TRIM('수출입 실적(품목별)'!G714),",","")),"")</f>
        <v>178004</v>
      </c>
      <c r="K710" s="19" t="n">
        <f aca="false">IFERROR(VALUE(SUBSTITUTE(TRIM('수출입 실적(품목별)'!H714),",","")),"")</f>
        <v>618198</v>
      </c>
    </row>
    <row r="711" customFormat="false" ht="15" hidden="false" customHeight="true" outlineLevel="0" collapsed="false">
      <c r="A711" s="11" t="str">
        <f aca="false">TRIM('수출입 실적(품목별)'!A715)</f>
        <v>2024.08</v>
      </c>
      <c r="B711" s="17" t="n">
        <f aca="false">IFERROR(VALUE(LEFT($A711,4)),"")</f>
        <v>2024</v>
      </c>
      <c r="C711" s="17" t="n">
        <f aca="false">IFERROR(VALUE(RIGHT($A711,2)),"")</f>
        <v>8</v>
      </c>
      <c r="D711" s="17" t="n">
        <f aca="false">IFERROR(ROUNDUP($C711/3,0),"")</f>
        <v>3</v>
      </c>
      <c r="E711" s="11" t="str">
        <f aca="false">TRIM('수출입 실적(품목별)'!B715)</f>
        <v>34</v>
      </c>
      <c r="F711" s="11" t="str">
        <f aca="false">TRIM('수출입 실적(품목별)'!C715)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711" s="18" t="n">
        <f aca="false">IFERROR(VALUE(SUBSTITUTE(TRIM('수출입 실적(품목별)'!D715),",","")),"")</f>
        <v>60387.3</v>
      </c>
      <c r="H711" s="19" t="n">
        <f aca="false">IFERROR(VALUE(SUBSTITUTE(TRIM('수출입 실적(품목별)'!E715),",","")),"")</f>
        <v>157721</v>
      </c>
      <c r="I711" s="18" t="n">
        <f aca="false">IFERROR(VALUE(SUBSTITUTE(TRIM('수출입 실적(품목별)'!F715),",","")),"")</f>
        <v>24906.8</v>
      </c>
      <c r="J711" s="19" t="n">
        <f aca="false">IFERROR(VALUE(SUBSTITUTE(TRIM('수출입 실적(품목별)'!G715),",","")),"")</f>
        <v>95570</v>
      </c>
      <c r="K711" s="19" t="n">
        <f aca="false">IFERROR(VALUE(SUBSTITUTE(TRIM('수출입 실적(품목별)'!H715),",","")),"")</f>
        <v>62151</v>
      </c>
    </row>
    <row r="712" customFormat="false" ht="15" hidden="false" customHeight="true" outlineLevel="0" collapsed="false">
      <c r="A712" s="11" t="str">
        <f aca="false">TRIM('수출입 실적(품목별)'!A716)</f>
        <v>2024.08</v>
      </c>
      <c r="B712" s="17" t="n">
        <f aca="false">IFERROR(VALUE(LEFT($A712,4)),"")</f>
        <v>2024</v>
      </c>
      <c r="C712" s="17" t="n">
        <f aca="false">IFERROR(VALUE(RIGHT($A712,2)),"")</f>
        <v>8</v>
      </c>
      <c r="D712" s="17" t="n">
        <f aca="false">IFERROR(ROUNDUP($C712/3,0),"")</f>
        <v>3</v>
      </c>
      <c r="E712" s="11" t="str">
        <f aca="false">TRIM('수출입 실적(품목별)'!B716)</f>
        <v>35</v>
      </c>
      <c r="F712" s="11" t="str">
        <f aca="false">TRIM('수출입 실적(품목별)'!C716)</f>
        <v>단백질계 물질, 변성전분, 글루(glue), 효소</v>
      </c>
      <c r="G712" s="18" t="n">
        <f aca="false">IFERROR(VALUE(SUBSTITUTE(TRIM('수출입 실적(품목별)'!D716),",","")),"")</f>
        <v>6623.5</v>
      </c>
      <c r="H712" s="19" t="n">
        <f aca="false">IFERROR(VALUE(SUBSTITUTE(TRIM('수출입 실적(품목별)'!E716),",","")),"")</f>
        <v>87917</v>
      </c>
      <c r="I712" s="18" t="n">
        <f aca="false">IFERROR(VALUE(SUBSTITUTE(TRIM('수출입 실적(품목별)'!F716),",","")),"")</f>
        <v>20459.9</v>
      </c>
      <c r="J712" s="19" t="n">
        <f aca="false">IFERROR(VALUE(SUBSTITUTE(TRIM('수출입 실적(품목별)'!G716),",","")),"")</f>
        <v>95003</v>
      </c>
      <c r="K712" s="19" t="n">
        <f aca="false">IFERROR(VALUE(SUBSTITUTE(TRIM('수출입 실적(품목별)'!H716),",","")),"")</f>
        <v>-7086</v>
      </c>
    </row>
    <row r="713" customFormat="false" ht="15" hidden="false" customHeight="true" outlineLevel="0" collapsed="false">
      <c r="A713" s="11" t="str">
        <f aca="false">TRIM('수출입 실적(품목별)'!A717)</f>
        <v>2024.08</v>
      </c>
      <c r="B713" s="17" t="n">
        <f aca="false">IFERROR(VALUE(LEFT($A713,4)),"")</f>
        <v>2024</v>
      </c>
      <c r="C713" s="17" t="n">
        <f aca="false">IFERROR(VALUE(RIGHT($A713,2)),"")</f>
        <v>8</v>
      </c>
      <c r="D713" s="17" t="n">
        <f aca="false">IFERROR(ROUNDUP($C713/3,0),"")</f>
        <v>3</v>
      </c>
      <c r="E713" s="11" t="str">
        <f aca="false">TRIM('수출입 실적(품목별)'!B717)</f>
        <v>36</v>
      </c>
      <c r="F713" s="11" t="str">
        <f aca="false">TRIM('수출입 실적(품목별)'!C717)</f>
        <v>화약류, 화공품, 성냥, 발화성 합금, 특정 가연성 조제품</v>
      </c>
      <c r="G713" s="18" t="n">
        <f aca="false">IFERROR(VALUE(SUBSTITUTE(TRIM('수출입 실적(품목별)'!D717),",","")),"")</f>
        <v>276.9</v>
      </c>
      <c r="H713" s="19" t="n">
        <f aca="false">IFERROR(VALUE(SUBSTITUTE(TRIM('수출입 실적(품목별)'!E717),",","")),"")</f>
        <v>1851</v>
      </c>
      <c r="I713" s="18" t="n">
        <f aca="false">IFERROR(VALUE(SUBSTITUTE(TRIM('수출입 실적(품목별)'!F717),",","")),"")</f>
        <v>311.3</v>
      </c>
      <c r="J713" s="19" t="n">
        <f aca="false">IFERROR(VALUE(SUBSTITUTE(TRIM('수출입 실적(품목별)'!G717),",","")),"")</f>
        <v>4938</v>
      </c>
      <c r="K713" s="19" t="n">
        <f aca="false">IFERROR(VALUE(SUBSTITUTE(TRIM('수출입 실적(품목별)'!H717),",","")),"")</f>
        <v>-3087</v>
      </c>
    </row>
    <row r="714" customFormat="false" ht="15" hidden="false" customHeight="true" outlineLevel="0" collapsed="false">
      <c r="A714" s="11" t="str">
        <f aca="false">TRIM('수출입 실적(품목별)'!A718)</f>
        <v>2024.08</v>
      </c>
      <c r="B714" s="17" t="n">
        <f aca="false">IFERROR(VALUE(LEFT($A714,4)),"")</f>
        <v>2024</v>
      </c>
      <c r="C714" s="17" t="n">
        <f aca="false">IFERROR(VALUE(RIGHT($A714,2)),"")</f>
        <v>8</v>
      </c>
      <c r="D714" s="17" t="n">
        <f aca="false">IFERROR(ROUNDUP($C714/3,0),"")</f>
        <v>3</v>
      </c>
      <c r="E714" s="11" t="str">
        <f aca="false">TRIM('수출입 실적(품목별)'!B718)</f>
        <v>37</v>
      </c>
      <c r="F714" s="11" t="str">
        <f aca="false">TRIM('수출입 실적(품목별)'!C718)</f>
        <v>사진용이나 영화용 재료</v>
      </c>
      <c r="G714" s="18" t="n">
        <f aca="false">IFERROR(VALUE(SUBSTITUTE(TRIM('수출입 실적(품목별)'!D718),",","")),"")</f>
        <v>2140.7</v>
      </c>
      <c r="H714" s="19" t="n">
        <f aca="false">IFERROR(VALUE(SUBSTITUTE(TRIM('수출입 실적(품목별)'!E718),",","")),"")</f>
        <v>97672</v>
      </c>
      <c r="I714" s="18" t="n">
        <f aca="false">IFERROR(VALUE(SUBSTITUTE(TRIM('수출입 실적(품목별)'!F718),",","")),"")</f>
        <v>2783.6</v>
      </c>
      <c r="J714" s="19" t="n">
        <f aca="false">IFERROR(VALUE(SUBSTITUTE(TRIM('수출입 실적(품목별)'!G718),",","")),"")</f>
        <v>82864</v>
      </c>
      <c r="K714" s="19" t="n">
        <f aca="false">IFERROR(VALUE(SUBSTITUTE(TRIM('수출입 실적(품목별)'!H718),",","")),"")</f>
        <v>14808</v>
      </c>
    </row>
    <row r="715" customFormat="false" ht="15" hidden="false" customHeight="true" outlineLevel="0" collapsed="false">
      <c r="A715" s="11" t="str">
        <f aca="false">TRIM('수출입 실적(품목별)'!A719)</f>
        <v>2024.08</v>
      </c>
      <c r="B715" s="17" t="n">
        <f aca="false">IFERROR(VALUE(LEFT($A715,4)),"")</f>
        <v>2024</v>
      </c>
      <c r="C715" s="17" t="n">
        <f aca="false">IFERROR(VALUE(RIGHT($A715,2)),"")</f>
        <v>8</v>
      </c>
      <c r="D715" s="17" t="n">
        <f aca="false">IFERROR(ROUNDUP($C715/3,0),"")</f>
        <v>3</v>
      </c>
      <c r="E715" s="11" t="str">
        <f aca="false">TRIM('수출입 실적(품목별)'!B719)</f>
        <v>38</v>
      </c>
      <c r="F715" s="11" t="str">
        <f aca="false">TRIM('수출입 실적(품목별)'!C719)</f>
        <v>각종 화학공업 생산품</v>
      </c>
      <c r="G715" s="18" t="n">
        <f aca="false">IFERROR(VALUE(SUBSTITUTE(TRIM('수출입 실적(품목별)'!D719),",","")),"")</f>
        <v>76923.7</v>
      </c>
      <c r="H715" s="19" t="n">
        <f aca="false">IFERROR(VALUE(SUBSTITUTE(TRIM('수출입 실적(품목별)'!E719),",","")),"")</f>
        <v>615724</v>
      </c>
      <c r="I715" s="18" t="n">
        <f aca="false">IFERROR(VALUE(SUBSTITUTE(TRIM('수출입 실적(품목별)'!F719),",","")),"")</f>
        <v>198906.6</v>
      </c>
      <c r="J715" s="19" t="n">
        <f aca="false">IFERROR(VALUE(SUBSTITUTE(TRIM('수출입 실적(품목별)'!G719),",","")),"")</f>
        <v>775362</v>
      </c>
      <c r="K715" s="19" t="n">
        <f aca="false">IFERROR(VALUE(SUBSTITUTE(TRIM('수출입 실적(품목별)'!H719),",","")),"")</f>
        <v>-159638</v>
      </c>
    </row>
    <row r="716" customFormat="false" ht="15" hidden="false" customHeight="true" outlineLevel="0" collapsed="false">
      <c r="A716" s="11" t="str">
        <f aca="false">TRIM('수출입 실적(품목별)'!A720)</f>
        <v>2024.08</v>
      </c>
      <c r="B716" s="17" t="n">
        <f aca="false">IFERROR(VALUE(LEFT($A716,4)),"")</f>
        <v>2024</v>
      </c>
      <c r="C716" s="17" t="n">
        <f aca="false">IFERROR(VALUE(RIGHT($A716,2)),"")</f>
        <v>8</v>
      </c>
      <c r="D716" s="17" t="n">
        <f aca="false">IFERROR(ROUNDUP($C716/3,0),"")</f>
        <v>3</v>
      </c>
      <c r="E716" s="11" t="str">
        <f aca="false">TRIM('수출입 실적(품목별)'!B720)</f>
        <v>39</v>
      </c>
      <c r="F716" s="11" t="str">
        <f aca="false">TRIM('수출입 실적(품목별)'!C720)</f>
        <v>플라스틱과 그 제품</v>
      </c>
      <c r="G716" s="18" t="n">
        <f aca="false">IFERROR(VALUE(SUBSTITUTE(TRIM('수출입 실적(품목별)'!D720),",","")),"")</f>
        <v>1455434.2</v>
      </c>
      <c r="H716" s="19" t="n">
        <f aca="false">IFERROR(VALUE(SUBSTITUTE(TRIM('수출입 실적(품목별)'!E720),",","")),"")</f>
        <v>2947210</v>
      </c>
      <c r="I716" s="18" t="n">
        <f aca="false">IFERROR(VALUE(SUBSTITUTE(TRIM('수출입 실적(품목별)'!F720),",","")),"")</f>
        <v>248318.9</v>
      </c>
      <c r="J716" s="19" t="n">
        <f aca="false">IFERROR(VALUE(SUBSTITUTE(TRIM('수출입 실적(품목별)'!G720),",","")),"")</f>
        <v>1088709</v>
      </c>
      <c r="K716" s="19" t="n">
        <f aca="false">IFERROR(VALUE(SUBSTITUTE(TRIM('수출입 실적(품목별)'!H720),",","")),"")</f>
        <v>1858500</v>
      </c>
    </row>
    <row r="717" customFormat="false" ht="15" hidden="false" customHeight="true" outlineLevel="0" collapsed="false">
      <c r="A717" s="11" t="str">
        <f aca="false">TRIM('수출입 실적(품목별)'!A721)</f>
        <v>2024.08</v>
      </c>
      <c r="B717" s="17" t="n">
        <f aca="false">IFERROR(VALUE(LEFT($A717,4)),"")</f>
        <v>2024</v>
      </c>
      <c r="C717" s="17" t="n">
        <f aca="false">IFERROR(VALUE(RIGHT($A717,2)),"")</f>
        <v>8</v>
      </c>
      <c r="D717" s="17" t="n">
        <f aca="false">IFERROR(ROUNDUP($C717/3,0),"")</f>
        <v>3</v>
      </c>
      <c r="E717" s="11" t="str">
        <f aca="false">TRIM('수출입 실적(품목별)'!B721)</f>
        <v>40</v>
      </c>
      <c r="F717" s="11" t="str">
        <f aca="false">TRIM('수출입 실적(품목별)'!C721)</f>
        <v>고무와 그 제품</v>
      </c>
      <c r="G717" s="18" t="n">
        <f aca="false">IFERROR(VALUE(SUBSTITUTE(TRIM('수출입 실적(품목별)'!D721),",","")),"")</f>
        <v>245006.6</v>
      </c>
      <c r="H717" s="19" t="n">
        <f aca="false">IFERROR(VALUE(SUBSTITUTE(TRIM('수출입 실적(품목별)'!E721),",","")),"")</f>
        <v>637916</v>
      </c>
      <c r="I717" s="18" t="n">
        <f aca="false">IFERROR(VALUE(SUBSTITUTE(TRIM('수출입 실적(품목별)'!F721),",","")),"")</f>
        <v>90946.7</v>
      </c>
      <c r="J717" s="19" t="n">
        <f aca="false">IFERROR(VALUE(SUBSTITUTE(TRIM('수출입 실적(품목별)'!G721),",","")),"")</f>
        <v>284578</v>
      </c>
      <c r="K717" s="19" t="n">
        <f aca="false">IFERROR(VALUE(SUBSTITUTE(TRIM('수출입 실적(품목별)'!H721),",","")),"")</f>
        <v>353338</v>
      </c>
    </row>
    <row r="718" customFormat="false" ht="15" hidden="false" customHeight="true" outlineLevel="0" collapsed="false">
      <c r="A718" s="11" t="str">
        <f aca="false">TRIM('수출입 실적(품목별)'!A722)</f>
        <v>2024.08</v>
      </c>
      <c r="B718" s="17" t="n">
        <f aca="false">IFERROR(VALUE(LEFT($A718,4)),"")</f>
        <v>2024</v>
      </c>
      <c r="C718" s="17" t="n">
        <f aca="false">IFERROR(VALUE(RIGHT($A718,2)),"")</f>
        <v>8</v>
      </c>
      <c r="D718" s="17" t="n">
        <f aca="false">IFERROR(ROUNDUP($C718/3,0),"")</f>
        <v>3</v>
      </c>
      <c r="E718" s="11" t="str">
        <f aca="false">TRIM('수출입 실적(품목별)'!B722)</f>
        <v>41</v>
      </c>
      <c r="F718" s="11" t="str">
        <f aca="false">TRIM('수출입 실적(품목별)'!C722)</f>
        <v>원피(모피는 제외한다)와 가죽</v>
      </c>
      <c r="G718" s="18" t="n">
        <f aca="false">IFERROR(VALUE(SUBSTITUTE(TRIM('수출입 실적(품목별)'!D722),",","")),"")</f>
        <v>2535.2</v>
      </c>
      <c r="H718" s="19" t="n">
        <f aca="false">IFERROR(VALUE(SUBSTITUTE(TRIM('수출입 실적(품목별)'!E722),",","")),"")</f>
        <v>23413</v>
      </c>
      <c r="I718" s="18" t="n">
        <f aca="false">IFERROR(VALUE(SUBSTITUTE(TRIM('수출입 실적(품목별)'!F722),",","")),"")</f>
        <v>8533.9</v>
      </c>
      <c r="J718" s="19" t="n">
        <f aca="false">IFERROR(VALUE(SUBSTITUTE(TRIM('수출입 실적(품목별)'!G722),",","")),"")</f>
        <v>22470</v>
      </c>
      <c r="K718" s="19" t="n">
        <f aca="false">IFERROR(VALUE(SUBSTITUTE(TRIM('수출입 실적(품목별)'!H722),",","")),"")</f>
        <v>943</v>
      </c>
    </row>
    <row r="719" customFormat="false" ht="15" hidden="false" customHeight="true" outlineLevel="0" collapsed="false">
      <c r="A719" s="11" t="str">
        <f aca="false">TRIM('수출입 실적(품목별)'!A723)</f>
        <v>2024.08</v>
      </c>
      <c r="B719" s="17" t="n">
        <f aca="false">IFERROR(VALUE(LEFT($A719,4)),"")</f>
        <v>2024</v>
      </c>
      <c r="C719" s="17" t="n">
        <f aca="false">IFERROR(VALUE(RIGHT($A719,2)),"")</f>
        <v>8</v>
      </c>
      <c r="D719" s="17" t="n">
        <f aca="false">IFERROR(ROUNDUP($C719/3,0),"")</f>
        <v>3</v>
      </c>
      <c r="E719" s="11" t="str">
        <f aca="false">TRIM('수출입 실적(품목별)'!B723)</f>
        <v>42</v>
      </c>
      <c r="F719" s="11" t="str">
        <f aca="false">TRIM('수출입 실적(품목별)'!C723)</f>
        <v>가죽제품, 마구, 여행용구ㆍ핸드백과 이와 유사한 용기, 동물 거트(gut)[누에의 거트(gut)는 제외한다]의 제품</v>
      </c>
      <c r="G719" s="18" t="n">
        <f aca="false">IFERROR(VALUE(SUBSTITUTE(TRIM('수출입 실적(품목별)'!D723),",","")),"")</f>
        <v>716.5</v>
      </c>
      <c r="H719" s="19" t="n">
        <f aca="false">IFERROR(VALUE(SUBSTITUTE(TRIM('수출입 실적(품목별)'!E723),",","")),"")</f>
        <v>33848</v>
      </c>
      <c r="I719" s="18" t="n">
        <f aca="false">IFERROR(VALUE(SUBSTITUTE(TRIM('수출입 실적(품목별)'!F723),",","")),"")</f>
        <v>9554.2</v>
      </c>
      <c r="J719" s="19" t="n">
        <f aca="false">IFERROR(VALUE(SUBSTITUTE(TRIM('수출입 실적(품목별)'!G723),",","")),"")</f>
        <v>302091</v>
      </c>
      <c r="K719" s="19" t="n">
        <f aca="false">IFERROR(VALUE(SUBSTITUTE(TRIM('수출입 실적(품목별)'!H723),",","")),"")</f>
        <v>-268243</v>
      </c>
    </row>
    <row r="720" customFormat="false" ht="15" hidden="false" customHeight="true" outlineLevel="0" collapsed="false">
      <c r="A720" s="11" t="str">
        <f aca="false">TRIM('수출입 실적(품목별)'!A724)</f>
        <v>2024.08</v>
      </c>
      <c r="B720" s="17" t="n">
        <f aca="false">IFERROR(VALUE(LEFT($A720,4)),"")</f>
        <v>2024</v>
      </c>
      <c r="C720" s="17" t="n">
        <f aca="false">IFERROR(VALUE(RIGHT($A720,2)),"")</f>
        <v>8</v>
      </c>
      <c r="D720" s="17" t="n">
        <f aca="false">IFERROR(ROUNDUP($C720/3,0),"")</f>
        <v>3</v>
      </c>
      <c r="E720" s="11" t="str">
        <f aca="false">TRIM('수출입 실적(품목별)'!B724)</f>
        <v>43</v>
      </c>
      <c r="F720" s="11" t="str">
        <f aca="false">TRIM('수출입 실적(품목별)'!C724)</f>
        <v>모피ㆍ인조모피와 이들의 제품</v>
      </c>
      <c r="G720" s="18" t="n">
        <f aca="false">IFERROR(VALUE(SUBSTITUTE(TRIM('수출입 실적(품목별)'!D724),",","")),"")</f>
        <v>19.1</v>
      </c>
      <c r="H720" s="19" t="n">
        <f aca="false">IFERROR(VALUE(SUBSTITUTE(TRIM('수출입 실적(품목별)'!E724),",","")),"")</f>
        <v>1269</v>
      </c>
      <c r="I720" s="18" t="n">
        <f aca="false">IFERROR(VALUE(SUBSTITUTE(TRIM('수출입 실적(품목별)'!F724),",","")),"")</f>
        <v>72.7</v>
      </c>
      <c r="J720" s="19" t="n">
        <f aca="false">IFERROR(VALUE(SUBSTITUTE(TRIM('수출입 실적(품목별)'!G724),",","")),"")</f>
        <v>14948</v>
      </c>
      <c r="K720" s="19" t="n">
        <f aca="false">IFERROR(VALUE(SUBSTITUTE(TRIM('수출입 실적(품목별)'!H724),",","")),"")</f>
        <v>-13679</v>
      </c>
    </row>
    <row r="721" customFormat="false" ht="15" hidden="false" customHeight="true" outlineLevel="0" collapsed="false">
      <c r="A721" s="11" t="str">
        <f aca="false">TRIM('수출입 실적(품목별)'!A725)</f>
        <v>2024.08</v>
      </c>
      <c r="B721" s="17" t="n">
        <f aca="false">IFERROR(VALUE(LEFT($A721,4)),"")</f>
        <v>2024</v>
      </c>
      <c r="C721" s="17" t="n">
        <f aca="false">IFERROR(VALUE(RIGHT($A721,2)),"")</f>
        <v>8</v>
      </c>
      <c r="D721" s="17" t="n">
        <f aca="false">IFERROR(ROUNDUP($C721/3,0),"")</f>
        <v>3</v>
      </c>
      <c r="E721" s="11" t="str">
        <f aca="false">TRIM('수출입 실적(품목별)'!B725)</f>
        <v>44</v>
      </c>
      <c r="F721" s="11" t="str">
        <f aca="false">TRIM('수출입 실적(품목별)'!C725)</f>
        <v>목재와 그 제품, 목탄</v>
      </c>
      <c r="G721" s="18" t="n">
        <f aca="false">IFERROR(VALUE(SUBSTITUTE(TRIM('수출입 실적(품목별)'!D725),",","")),"")</f>
        <v>4096.4</v>
      </c>
      <c r="H721" s="19" t="n">
        <f aca="false">IFERROR(VALUE(SUBSTITUTE(TRIM('수출입 실적(품목별)'!E725),",","")),"")</f>
        <v>5991</v>
      </c>
      <c r="I721" s="18" t="n">
        <f aca="false">IFERROR(VALUE(SUBSTITUTE(TRIM('수출입 실적(품목별)'!F725),",","")),"")</f>
        <v>883255.9</v>
      </c>
      <c r="J721" s="19" t="n">
        <f aca="false">IFERROR(VALUE(SUBSTITUTE(TRIM('수출입 실적(품목별)'!G725),",","")),"")</f>
        <v>262141</v>
      </c>
      <c r="K721" s="19" t="n">
        <f aca="false">IFERROR(VALUE(SUBSTITUTE(TRIM('수출입 실적(품목별)'!H725),",","")),"")</f>
        <v>-256149</v>
      </c>
    </row>
    <row r="722" customFormat="false" ht="15" hidden="false" customHeight="true" outlineLevel="0" collapsed="false">
      <c r="A722" s="11" t="str">
        <f aca="false">TRIM('수출입 실적(품목별)'!A726)</f>
        <v>2024.08</v>
      </c>
      <c r="B722" s="17" t="n">
        <f aca="false">IFERROR(VALUE(LEFT($A722,4)),"")</f>
        <v>2024</v>
      </c>
      <c r="C722" s="17" t="n">
        <f aca="false">IFERROR(VALUE(RIGHT($A722,2)),"")</f>
        <v>8</v>
      </c>
      <c r="D722" s="17" t="n">
        <f aca="false">IFERROR(ROUNDUP($C722/3,0),"")</f>
        <v>3</v>
      </c>
      <c r="E722" s="11" t="str">
        <f aca="false">TRIM('수출입 실적(품목별)'!B726)</f>
        <v>45</v>
      </c>
      <c r="F722" s="11" t="str">
        <f aca="false">TRIM('수출입 실적(품목별)'!C726)</f>
        <v>코르크(cork)와 그 제품</v>
      </c>
      <c r="G722" s="18" t="n">
        <f aca="false">IFERROR(VALUE(SUBSTITUTE(TRIM('수출입 실적(품목별)'!D726),",","")),"")</f>
        <v>2.7</v>
      </c>
      <c r="H722" s="19" t="n">
        <f aca="false">IFERROR(VALUE(SUBSTITUTE(TRIM('수출입 실적(품목별)'!E726),",","")),"")</f>
        <v>69</v>
      </c>
      <c r="I722" s="18" t="n">
        <f aca="false">IFERROR(VALUE(SUBSTITUTE(TRIM('수출입 실적(품목별)'!F726),",","")),"")</f>
        <v>77.9</v>
      </c>
      <c r="J722" s="19" t="n">
        <f aca="false">IFERROR(VALUE(SUBSTITUTE(TRIM('수출입 실적(품목별)'!G726),",","")),"")</f>
        <v>587</v>
      </c>
      <c r="K722" s="19" t="n">
        <f aca="false">IFERROR(VALUE(SUBSTITUTE(TRIM('수출입 실적(품목별)'!H726),",","")),"")</f>
        <v>-518</v>
      </c>
    </row>
    <row r="723" customFormat="false" ht="15" hidden="false" customHeight="true" outlineLevel="0" collapsed="false">
      <c r="A723" s="11" t="str">
        <f aca="false">TRIM('수출입 실적(품목별)'!A727)</f>
        <v>2024.08</v>
      </c>
      <c r="B723" s="17" t="n">
        <f aca="false">IFERROR(VALUE(LEFT($A723,4)),"")</f>
        <v>2024</v>
      </c>
      <c r="C723" s="17" t="n">
        <f aca="false">IFERROR(VALUE(RIGHT($A723,2)),"")</f>
        <v>8</v>
      </c>
      <c r="D723" s="17" t="n">
        <f aca="false">IFERROR(ROUNDUP($C723/3,0),"")</f>
        <v>3</v>
      </c>
      <c r="E723" s="11" t="str">
        <f aca="false">TRIM('수출입 실적(품목별)'!B727)</f>
        <v>46</v>
      </c>
      <c r="F723" s="11" t="str">
        <f aca="false">TRIM('수출입 실적(품목별)'!C727)</f>
        <v>짚ㆍ에스파르토(esparto)나 그 밖의 조물 재료의 제품, 바구니 세공물(basketware)과 지조세공물(枝條細工物)</v>
      </c>
      <c r="G723" s="18" t="n">
        <f aca="false">IFERROR(VALUE(SUBSTITUTE(TRIM('수출입 실적(품목별)'!D727),",","")),"")</f>
        <v>4.8</v>
      </c>
      <c r="H723" s="19" t="n">
        <f aca="false">IFERROR(VALUE(SUBSTITUTE(TRIM('수출입 실적(품목별)'!E727),",","")),"")</f>
        <v>302</v>
      </c>
      <c r="I723" s="18" t="n">
        <f aca="false">IFERROR(VALUE(SUBSTITUTE(TRIM('수출입 실적(품목별)'!F727),",","")),"")</f>
        <v>386.6</v>
      </c>
      <c r="J723" s="19" t="n">
        <f aca="false">IFERROR(VALUE(SUBSTITUTE(TRIM('수출입 실적(품목별)'!G727),",","")),"")</f>
        <v>1632</v>
      </c>
      <c r="K723" s="19" t="n">
        <f aca="false">IFERROR(VALUE(SUBSTITUTE(TRIM('수출입 실적(품목별)'!H727),",","")),"")</f>
        <v>-1331</v>
      </c>
    </row>
    <row r="724" customFormat="false" ht="15" hidden="false" customHeight="true" outlineLevel="0" collapsed="false">
      <c r="A724" s="11" t="str">
        <f aca="false">TRIM('수출입 실적(품목별)'!A728)</f>
        <v>2024.08</v>
      </c>
      <c r="B724" s="17" t="n">
        <f aca="false">IFERROR(VALUE(LEFT($A724,4)),"")</f>
        <v>2024</v>
      </c>
      <c r="C724" s="17" t="n">
        <f aca="false">IFERROR(VALUE(RIGHT($A724,2)),"")</f>
        <v>8</v>
      </c>
      <c r="D724" s="17" t="n">
        <f aca="false">IFERROR(ROUNDUP($C724/3,0),"")</f>
        <v>3</v>
      </c>
      <c r="E724" s="11" t="str">
        <f aca="false">TRIM('수출입 실적(품목별)'!B728)</f>
        <v>47</v>
      </c>
      <c r="F724" s="11" t="str">
        <f aca="false">TRIM('수출입 실적(품목별)'!C728)</f>
        <v>목재나 그 밖의 섬유질 셀룰로오스재료의 펄프, 회수한 종이ㆍ판지[웨이스트(waste)와 스크랩(scrap)]</v>
      </c>
      <c r="G724" s="18" t="n">
        <f aca="false">IFERROR(VALUE(SUBSTITUTE(TRIM('수출입 실적(품목별)'!D728),",","")),"")</f>
        <v>23743.6</v>
      </c>
      <c r="H724" s="19" t="n">
        <f aca="false">IFERROR(VALUE(SUBSTITUTE(TRIM('수출입 실적(품목별)'!E728),",","")),"")</f>
        <v>7185</v>
      </c>
      <c r="I724" s="18" t="n">
        <f aca="false">IFERROR(VALUE(SUBSTITUTE(TRIM('수출입 실적(품목별)'!F728),",","")),"")</f>
        <v>253572.3</v>
      </c>
      <c r="J724" s="19" t="n">
        <f aca="false">IFERROR(VALUE(SUBSTITUTE(TRIM('수출입 실적(품목별)'!G728),",","")),"")</f>
        <v>148481</v>
      </c>
      <c r="K724" s="19" t="n">
        <f aca="false">IFERROR(VALUE(SUBSTITUTE(TRIM('수출입 실적(품목별)'!H728),",","")),"")</f>
        <v>-141296</v>
      </c>
    </row>
    <row r="725" customFormat="false" ht="15" hidden="false" customHeight="true" outlineLevel="0" collapsed="false">
      <c r="A725" s="11" t="str">
        <f aca="false">TRIM('수출입 실적(품목별)'!A729)</f>
        <v>2024.08</v>
      </c>
      <c r="B725" s="17" t="n">
        <f aca="false">IFERROR(VALUE(LEFT($A725,4)),"")</f>
        <v>2024</v>
      </c>
      <c r="C725" s="17" t="n">
        <f aca="false">IFERROR(VALUE(RIGHT($A725,2)),"")</f>
        <v>8</v>
      </c>
      <c r="D725" s="17" t="n">
        <f aca="false">IFERROR(ROUNDUP($C725/3,0),"")</f>
        <v>3</v>
      </c>
      <c r="E725" s="11" t="str">
        <f aca="false">TRIM('수출입 실적(품목별)'!B729)</f>
        <v>48</v>
      </c>
      <c r="F725" s="11" t="str">
        <f aca="false">TRIM('수출입 실적(품목별)'!C729)</f>
        <v>종이와 판지, 제지용 펄프ㆍ종이ㆍ판지의 제품</v>
      </c>
      <c r="G725" s="18" t="n">
        <f aca="false">IFERROR(VALUE(SUBSTITUTE(TRIM('수출입 실적(품목별)'!D729),",","")),"")</f>
        <v>220835.8</v>
      </c>
      <c r="H725" s="19" t="n">
        <f aca="false">IFERROR(VALUE(SUBSTITUTE(TRIM('수출입 실적(품목별)'!E729),",","")),"")</f>
        <v>221385</v>
      </c>
      <c r="I725" s="18" t="n">
        <f aca="false">IFERROR(VALUE(SUBSTITUTE(TRIM('수출입 실적(품목별)'!F729),",","")),"")</f>
        <v>131869.4</v>
      </c>
      <c r="J725" s="19" t="n">
        <f aca="false">IFERROR(VALUE(SUBSTITUTE(TRIM('수출입 실적(품목별)'!G729),",","")),"")</f>
        <v>194120</v>
      </c>
      <c r="K725" s="19" t="n">
        <f aca="false">IFERROR(VALUE(SUBSTITUTE(TRIM('수출입 실적(품목별)'!H729),",","")),"")</f>
        <v>27265</v>
      </c>
    </row>
    <row r="726" customFormat="false" ht="15" hidden="false" customHeight="true" outlineLevel="0" collapsed="false">
      <c r="A726" s="11" t="str">
        <f aca="false">TRIM('수출입 실적(품목별)'!A730)</f>
        <v>2024.08</v>
      </c>
      <c r="B726" s="17" t="n">
        <f aca="false">IFERROR(VALUE(LEFT($A726,4)),"")</f>
        <v>2024</v>
      </c>
      <c r="C726" s="17" t="n">
        <f aca="false">IFERROR(VALUE(RIGHT($A726,2)),"")</f>
        <v>8</v>
      </c>
      <c r="D726" s="17" t="n">
        <f aca="false">IFERROR(ROUNDUP($C726/3,0),"")</f>
        <v>3</v>
      </c>
      <c r="E726" s="11" t="str">
        <f aca="false">TRIM('수출입 실적(품목별)'!B730)</f>
        <v>49</v>
      </c>
      <c r="F726" s="11" t="str">
        <f aca="false">TRIM('수출입 실적(품목별)'!C730)</f>
        <v>인쇄서적ㆍ신문ㆍ회화ㆍ그 밖의 인쇄물, 수제(手製)문서ㆍ타자문서ㆍ도면</v>
      </c>
      <c r="G726" s="18" t="n">
        <f aca="false">IFERROR(VALUE(SUBSTITUTE(TRIM('수출입 실적(품목별)'!D730),",","")),"")</f>
        <v>2751.8</v>
      </c>
      <c r="H726" s="19" t="n">
        <f aca="false">IFERROR(VALUE(SUBSTITUTE(TRIM('수출입 실적(품목별)'!E730),",","")),"")</f>
        <v>23107</v>
      </c>
      <c r="I726" s="18" t="n">
        <f aca="false">IFERROR(VALUE(SUBSTITUTE(TRIM('수출입 실적(품목별)'!F730),",","")),"")</f>
        <v>1194.2</v>
      </c>
      <c r="J726" s="19" t="n">
        <f aca="false">IFERROR(VALUE(SUBSTITUTE(TRIM('수출입 실적(품목별)'!G730),",","")),"")</f>
        <v>20781</v>
      </c>
      <c r="K726" s="19" t="n">
        <f aca="false">IFERROR(VALUE(SUBSTITUTE(TRIM('수출입 실적(품목별)'!H730),",","")),"")</f>
        <v>2326</v>
      </c>
    </row>
    <row r="727" customFormat="false" ht="15" hidden="false" customHeight="true" outlineLevel="0" collapsed="false">
      <c r="A727" s="11" t="str">
        <f aca="false">TRIM('수출입 실적(품목별)'!A731)</f>
        <v>2024.08</v>
      </c>
      <c r="B727" s="17" t="n">
        <f aca="false">IFERROR(VALUE(LEFT($A727,4)),"")</f>
        <v>2024</v>
      </c>
      <c r="C727" s="17" t="n">
        <f aca="false">IFERROR(VALUE(RIGHT($A727,2)),"")</f>
        <v>8</v>
      </c>
      <c r="D727" s="17" t="n">
        <f aca="false">IFERROR(ROUNDUP($C727/3,0),"")</f>
        <v>3</v>
      </c>
      <c r="E727" s="11" t="str">
        <f aca="false">TRIM('수출입 실적(품목별)'!B731)</f>
        <v>50</v>
      </c>
      <c r="F727" s="11" t="str">
        <f aca="false">TRIM('수출입 실적(품목별)'!C731)</f>
        <v>견</v>
      </c>
      <c r="G727" s="18" t="n">
        <f aca="false">IFERROR(VALUE(SUBSTITUTE(TRIM('수출입 실적(품목별)'!D731),",","")),"")</f>
        <v>10.3</v>
      </c>
      <c r="H727" s="19" t="n">
        <f aca="false">IFERROR(VALUE(SUBSTITUTE(TRIM('수출입 실적(품목별)'!E731),",","")),"")</f>
        <v>1074</v>
      </c>
      <c r="I727" s="18" t="n">
        <f aca="false">IFERROR(VALUE(SUBSTITUTE(TRIM('수출입 실적(품목별)'!F731),",","")),"")</f>
        <v>30.4</v>
      </c>
      <c r="J727" s="19" t="n">
        <f aca="false">IFERROR(VALUE(SUBSTITUTE(TRIM('수출입 실적(품목별)'!G731),",","")),"")</f>
        <v>2367</v>
      </c>
      <c r="K727" s="19" t="n">
        <f aca="false">IFERROR(VALUE(SUBSTITUTE(TRIM('수출입 실적(품목별)'!H731),",","")),"")</f>
        <v>-1293</v>
      </c>
    </row>
    <row r="728" customFormat="false" ht="15" hidden="false" customHeight="true" outlineLevel="0" collapsed="false">
      <c r="A728" s="11" t="str">
        <f aca="false">TRIM('수출입 실적(품목별)'!A732)</f>
        <v>2024.08</v>
      </c>
      <c r="B728" s="17" t="n">
        <f aca="false">IFERROR(VALUE(LEFT($A728,4)),"")</f>
        <v>2024</v>
      </c>
      <c r="C728" s="17" t="n">
        <f aca="false">IFERROR(VALUE(RIGHT($A728,2)),"")</f>
        <v>8</v>
      </c>
      <c r="D728" s="17" t="n">
        <f aca="false">IFERROR(ROUNDUP($C728/3,0),"")</f>
        <v>3</v>
      </c>
      <c r="E728" s="11" t="str">
        <f aca="false">TRIM('수출입 실적(품목별)'!B732)</f>
        <v>51</v>
      </c>
      <c r="F728" s="11" t="str">
        <f aca="false">TRIM('수출입 실적(품목별)'!C732)</f>
        <v>양모ㆍ동물의 부드러운 털이나 거친 털ㆍ말의 털로 만든 실과 직물</v>
      </c>
      <c r="G728" s="18" t="n">
        <f aca="false">IFERROR(VALUE(SUBSTITUTE(TRIM('수출입 실적(품목별)'!D732),",","")),"")</f>
        <v>136.1</v>
      </c>
      <c r="H728" s="19" t="n">
        <f aca="false">IFERROR(VALUE(SUBSTITUTE(TRIM('수출입 실적(품목별)'!E732),",","")),"")</f>
        <v>2324</v>
      </c>
      <c r="I728" s="18" t="n">
        <f aca="false">IFERROR(VALUE(SUBSTITUTE(TRIM('수출입 실적(품목별)'!F732),",","")),"")</f>
        <v>677.2</v>
      </c>
      <c r="J728" s="19" t="n">
        <f aca="false">IFERROR(VALUE(SUBSTITUTE(TRIM('수출입 실적(품목별)'!G732),",","")),"")</f>
        <v>14993</v>
      </c>
      <c r="K728" s="19" t="n">
        <f aca="false">IFERROR(VALUE(SUBSTITUTE(TRIM('수출입 실적(품목별)'!H732),",","")),"")</f>
        <v>-12669</v>
      </c>
    </row>
    <row r="729" customFormat="false" ht="15" hidden="false" customHeight="true" outlineLevel="0" collapsed="false">
      <c r="A729" s="11" t="str">
        <f aca="false">TRIM('수출입 실적(품목별)'!A733)</f>
        <v>2024.08</v>
      </c>
      <c r="B729" s="17" t="n">
        <f aca="false">IFERROR(VALUE(LEFT($A729,4)),"")</f>
        <v>2024</v>
      </c>
      <c r="C729" s="17" t="n">
        <f aca="false">IFERROR(VALUE(RIGHT($A729,2)),"")</f>
        <v>8</v>
      </c>
      <c r="D729" s="17" t="n">
        <f aca="false">IFERROR(ROUNDUP($C729/3,0),"")</f>
        <v>3</v>
      </c>
      <c r="E729" s="11" t="str">
        <f aca="false">TRIM('수출입 실적(품목별)'!B733)</f>
        <v>52</v>
      </c>
      <c r="F729" s="11" t="str">
        <f aca="false">TRIM('수출입 실적(품목별)'!C733)</f>
        <v>면</v>
      </c>
      <c r="G729" s="18" t="n">
        <f aca="false">IFERROR(VALUE(SUBSTITUTE(TRIM('수출입 실적(품목별)'!D733),",","")),"")</f>
        <v>2904.7</v>
      </c>
      <c r="H729" s="19" t="n">
        <f aca="false">IFERROR(VALUE(SUBSTITUTE(TRIM('수출입 실적(품목별)'!E733),",","")),"")</f>
        <v>23559</v>
      </c>
      <c r="I729" s="18" t="n">
        <f aca="false">IFERROR(VALUE(SUBSTITUTE(TRIM('수출입 실적(품목별)'!F733),",","")),"")</f>
        <v>19550.7</v>
      </c>
      <c r="J729" s="19" t="n">
        <f aca="false">IFERROR(VALUE(SUBSTITUTE(TRIM('수출입 실적(품목별)'!G733),",","")),"")</f>
        <v>61661</v>
      </c>
      <c r="K729" s="19" t="n">
        <f aca="false">IFERROR(VALUE(SUBSTITUTE(TRIM('수출입 실적(품목별)'!H733),",","")),"")</f>
        <v>-38103</v>
      </c>
    </row>
    <row r="730" customFormat="false" ht="15" hidden="false" customHeight="true" outlineLevel="0" collapsed="false">
      <c r="A730" s="11" t="str">
        <f aca="false">TRIM('수출입 실적(품목별)'!A734)</f>
        <v>2024.08</v>
      </c>
      <c r="B730" s="17" t="n">
        <f aca="false">IFERROR(VALUE(LEFT($A730,4)),"")</f>
        <v>2024</v>
      </c>
      <c r="C730" s="17" t="n">
        <f aca="false">IFERROR(VALUE(RIGHT($A730,2)),"")</f>
        <v>8</v>
      </c>
      <c r="D730" s="17" t="n">
        <f aca="false">IFERROR(ROUNDUP($C730/3,0),"")</f>
        <v>3</v>
      </c>
      <c r="E730" s="11" t="str">
        <f aca="false">TRIM('수출입 실적(품목별)'!B734)</f>
        <v>53</v>
      </c>
      <c r="F730" s="11" t="str">
        <f aca="false">TRIM('수출입 실적(품목별)'!C734)</f>
        <v>그 밖의 식물성 방직용 섬유, 종이실(paper yarn)과 종이실로 만든 직물</v>
      </c>
      <c r="G730" s="18" t="n">
        <f aca="false">IFERROR(VALUE(SUBSTITUTE(TRIM('수출입 실적(품목별)'!D734),",","")),"")</f>
        <v>12.1</v>
      </c>
      <c r="H730" s="19" t="n">
        <f aca="false">IFERROR(VALUE(SUBSTITUTE(TRIM('수출입 실적(품목별)'!E734),",","")),"")</f>
        <v>234</v>
      </c>
      <c r="I730" s="18" t="n">
        <f aca="false">IFERROR(VALUE(SUBSTITUTE(TRIM('수출입 실적(품목별)'!F734),",","")),"")</f>
        <v>1034.2</v>
      </c>
      <c r="J730" s="19" t="n">
        <f aca="false">IFERROR(VALUE(SUBSTITUTE(TRIM('수출입 실적(품목별)'!G734),",","")),"")</f>
        <v>2683</v>
      </c>
      <c r="K730" s="19" t="n">
        <f aca="false">IFERROR(VALUE(SUBSTITUTE(TRIM('수출입 실적(품목별)'!H734),",","")),"")</f>
        <v>-2449</v>
      </c>
    </row>
    <row r="731" customFormat="false" ht="15" hidden="false" customHeight="true" outlineLevel="0" collapsed="false">
      <c r="A731" s="11" t="str">
        <f aca="false">TRIM('수출입 실적(품목별)'!A735)</f>
        <v>2024.08</v>
      </c>
      <c r="B731" s="17" t="n">
        <f aca="false">IFERROR(VALUE(LEFT($A731,4)),"")</f>
        <v>2024</v>
      </c>
      <c r="C731" s="17" t="n">
        <f aca="false">IFERROR(VALUE(RIGHT($A731,2)),"")</f>
        <v>8</v>
      </c>
      <c r="D731" s="17" t="n">
        <f aca="false">IFERROR(ROUNDUP($C731/3,0),"")</f>
        <v>3</v>
      </c>
      <c r="E731" s="11" t="str">
        <f aca="false">TRIM('수출입 실적(품목별)'!B735)</f>
        <v>54</v>
      </c>
      <c r="F731" s="11" t="str">
        <f aca="false">TRIM('수출입 실적(품목별)'!C735)</f>
        <v>인조필라멘트, 인조방직용 섬유재료의 스트립(strip)과 이와 유사한 것</v>
      </c>
      <c r="G731" s="18" t="n">
        <f aca="false">IFERROR(VALUE(SUBSTITUTE(TRIM('수출입 실적(품목별)'!D735),",","")),"")</f>
        <v>21537</v>
      </c>
      <c r="H731" s="19" t="n">
        <f aca="false">IFERROR(VALUE(SUBSTITUTE(TRIM('수출입 실적(품목별)'!E735),",","")),"")</f>
        <v>133384</v>
      </c>
      <c r="I731" s="18" t="n">
        <f aca="false">IFERROR(VALUE(SUBSTITUTE(TRIM('수출입 실적(품목별)'!F735),",","")),"")</f>
        <v>37745</v>
      </c>
      <c r="J731" s="19" t="n">
        <f aca="false">IFERROR(VALUE(SUBSTITUTE(TRIM('수출입 실적(품목별)'!G735),",","")),"")</f>
        <v>86031</v>
      </c>
      <c r="K731" s="19" t="n">
        <f aca="false">IFERROR(VALUE(SUBSTITUTE(TRIM('수출입 실적(품목별)'!H735),",","")),"")</f>
        <v>47353</v>
      </c>
    </row>
    <row r="732" customFormat="false" ht="15" hidden="false" customHeight="true" outlineLevel="0" collapsed="false">
      <c r="A732" s="11" t="str">
        <f aca="false">TRIM('수출입 실적(품목별)'!A736)</f>
        <v>2024.08</v>
      </c>
      <c r="B732" s="17" t="n">
        <f aca="false">IFERROR(VALUE(LEFT($A732,4)),"")</f>
        <v>2024</v>
      </c>
      <c r="C732" s="17" t="n">
        <f aca="false">IFERROR(VALUE(RIGHT($A732,2)),"")</f>
        <v>8</v>
      </c>
      <c r="D732" s="17" t="n">
        <f aca="false">IFERROR(ROUNDUP($C732/3,0),"")</f>
        <v>3</v>
      </c>
      <c r="E732" s="11" t="str">
        <f aca="false">TRIM('수출입 실적(품목별)'!B736)</f>
        <v>55</v>
      </c>
      <c r="F732" s="11" t="str">
        <f aca="false">TRIM('수출입 실적(품목별)'!C736)</f>
        <v>인조스테이플섬유</v>
      </c>
      <c r="G732" s="18" t="n">
        <f aca="false">IFERROR(VALUE(SUBSTITUTE(TRIM('수출입 실적(품목별)'!D736),",","")),"")</f>
        <v>57444.7</v>
      </c>
      <c r="H732" s="19" t="n">
        <f aca="false">IFERROR(VALUE(SUBSTITUTE(TRIM('수출입 실적(품목별)'!E736),",","")),"")</f>
        <v>105023</v>
      </c>
      <c r="I732" s="18" t="n">
        <f aca="false">IFERROR(VALUE(SUBSTITUTE(TRIM('수출입 실적(품목별)'!F736),",","")),"")</f>
        <v>13689.1</v>
      </c>
      <c r="J732" s="19" t="n">
        <f aca="false">IFERROR(VALUE(SUBSTITUTE(TRIM('수출입 실적(품목별)'!G736),",","")),"")</f>
        <v>48159</v>
      </c>
      <c r="K732" s="19" t="n">
        <f aca="false">IFERROR(VALUE(SUBSTITUTE(TRIM('수출입 실적(품목별)'!H736),",","")),"")</f>
        <v>56864</v>
      </c>
    </row>
    <row r="733" customFormat="false" ht="15" hidden="false" customHeight="true" outlineLevel="0" collapsed="false">
      <c r="A733" s="11" t="str">
        <f aca="false">TRIM('수출입 실적(품목별)'!A737)</f>
        <v>2024.08</v>
      </c>
      <c r="B733" s="17" t="n">
        <f aca="false">IFERROR(VALUE(LEFT($A733,4)),"")</f>
        <v>2024</v>
      </c>
      <c r="C733" s="17" t="n">
        <f aca="false">IFERROR(VALUE(RIGHT($A733,2)),"")</f>
        <v>8</v>
      </c>
      <c r="D733" s="17" t="n">
        <f aca="false">IFERROR(ROUNDUP($C733/3,0),"")</f>
        <v>3</v>
      </c>
      <c r="E733" s="11" t="str">
        <f aca="false">TRIM('수출입 실적(품목별)'!B737)</f>
        <v>56</v>
      </c>
      <c r="F733" s="11" t="str">
        <f aca="false">TRIM('수출입 실적(품목별)'!C737)</f>
        <v>워딩(wadding)ㆍ펠트(felt)ㆍ부직포, 특수사, 끈ㆍ배의 밧줄(cordage)ㆍ로프ㆍ케이블과 이들의 제품</v>
      </c>
      <c r="G733" s="18" t="n">
        <f aca="false">IFERROR(VALUE(SUBSTITUTE(TRIM('수출입 실적(품목별)'!D737),",","")),"")</f>
        <v>9573.6</v>
      </c>
      <c r="H733" s="19" t="n">
        <f aca="false">IFERROR(VALUE(SUBSTITUTE(TRIM('수출입 실적(품목별)'!E737),",","")),"")</f>
        <v>63522</v>
      </c>
      <c r="I733" s="18" t="n">
        <f aca="false">IFERROR(VALUE(SUBSTITUTE(TRIM('수출입 실적(품목별)'!F737),",","")),"")</f>
        <v>19693.9</v>
      </c>
      <c r="J733" s="19" t="n">
        <f aca="false">IFERROR(VALUE(SUBSTITUTE(TRIM('수출입 실적(품목별)'!G737),",","")),"")</f>
        <v>59651</v>
      </c>
      <c r="K733" s="19" t="n">
        <f aca="false">IFERROR(VALUE(SUBSTITUTE(TRIM('수출입 실적(품목별)'!H737),",","")),"")</f>
        <v>3870</v>
      </c>
    </row>
    <row r="734" customFormat="false" ht="15" hidden="false" customHeight="true" outlineLevel="0" collapsed="false">
      <c r="A734" s="11" t="str">
        <f aca="false">TRIM('수출입 실적(품목별)'!A738)</f>
        <v>2024.08</v>
      </c>
      <c r="B734" s="17" t="n">
        <f aca="false">IFERROR(VALUE(LEFT($A734,4)),"")</f>
        <v>2024</v>
      </c>
      <c r="C734" s="17" t="n">
        <f aca="false">IFERROR(VALUE(RIGHT($A734,2)),"")</f>
        <v>8</v>
      </c>
      <c r="D734" s="17" t="n">
        <f aca="false">IFERROR(ROUNDUP($C734/3,0),"")</f>
        <v>3</v>
      </c>
      <c r="E734" s="11" t="str">
        <f aca="false">TRIM('수출입 실적(품목별)'!B738)</f>
        <v>57</v>
      </c>
      <c r="F734" s="11" t="str">
        <f aca="false">TRIM('수출입 실적(품목별)'!C738)</f>
        <v>양탄자류와 그 밖의 방직용 섬유로 만든 바닥깔개</v>
      </c>
      <c r="G734" s="18" t="n">
        <f aca="false">IFERROR(VALUE(SUBSTITUTE(TRIM('수출입 실적(품목별)'!D738),",","")),"")</f>
        <v>676.8</v>
      </c>
      <c r="H734" s="19" t="n">
        <f aca="false">IFERROR(VALUE(SUBSTITUTE(TRIM('수출입 실적(품목별)'!E738),",","")),"")</f>
        <v>5964</v>
      </c>
      <c r="I734" s="18" t="n">
        <f aca="false">IFERROR(VALUE(SUBSTITUTE(TRIM('수출입 실적(품목별)'!F738),",","")),"")</f>
        <v>4633.5</v>
      </c>
      <c r="J734" s="19" t="n">
        <f aca="false">IFERROR(VALUE(SUBSTITUTE(TRIM('수출입 실적(품목별)'!G738),",","")),"")</f>
        <v>10229</v>
      </c>
      <c r="K734" s="19" t="n">
        <f aca="false">IFERROR(VALUE(SUBSTITUTE(TRIM('수출입 실적(품목별)'!H738),",","")),"")</f>
        <v>-4265</v>
      </c>
    </row>
    <row r="735" customFormat="false" ht="15" hidden="false" customHeight="true" outlineLevel="0" collapsed="false">
      <c r="A735" s="11" t="str">
        <f aca="false">TRIM('수출입 실적(품목별)'!A739)</f>
        <v>2024.08</v>
      </c>
      <c r="B735" s="17" t="n">
        <f aca="false">IFERROR(VALUE(LEFT($A735,4)),"")</f>
        <v>2024</v>
      </c>
      <c r="C735" s="17" t="n">
        <f aca="false">IFERROR(VALUE(RIGHT($A735,2)),"")</f>
        <v>8</v>
      </c>
      <c r="D735" s="17" t="n">
        <f aca="false">IFERROR(ROUNDUP($C735/3,0),"")</f>
        <v>3</v>
      </c>
      <c r="E735" s="11" t="str">
        <f aca="false">TRIM('수출입 실적(품목별)'!B739)</f>
        <v>58</v>
      </c>
      <c r="F735" s="11" t="str">
        <f aca="false">TRIM('수출입 실적(품목별)'!C739)</f>
        <v>특수직물, 터프트(tuft)한 직물, 레이스, 태피스트리(tapestry), 트리밍(trimming), 자수천</v>
      </c>
      <c r="G735" s="18" t="n">
        <f aca="false">IFERROR(VALUE(SUBSTITUTE(TRIM('수출입 실적(품목별)'!D739),",","")),"")</f>
        <v>1311.6</v>
      </c>
      <c r="H735" s="19" t="n">
        <f aca="false">IFERROR(VALUE(SUBSTITUTE(TRIM('수출입 실적(품목별)'!E739),",","")),"")</f>
        <v>15109</v>
      </c>
      <c r="I735" s="18" t="n">
        <f aca="false">IFERROR(VALUE(SUBSTITUTE(TRIM('수출입 실적(품목별)'!F739),",","")),"")</f>
        <v>991.2</v>
      </c>
      <c r="J735" s="19" t="n">
        <f aca="false">IFERROR(VALUE(SUBSTITUTE(TRIM('수출입 실적(품목별)'!G739),",","")),"")</f>
        <v>6997</v>
      </c>
      <c r="K735" s="19" t="n">
        <f aca="false">IFERROR(VALUE(SUBSTITUTE(TRIM('수출입 실적(품목별)'!H739),",","")),"")</f>
        <v>8112</v>
      </c>
    </row>
    <row r="736" customFormat="false" ht="15" hidden="false" customHeight="true" outlineLevel="0" collapsed="false">
      <c r="A736" s="11" t="str">
        <f aca="false">TRIM('수출입 실적(품목별)'!A740)</f>
        <v>2024.08</v>
      </c>
      <c r="B736" s="17" t="n">
        <f aca="false">IFERROR(VALUE(LEFT($A736,4)),"")</f>
        <v>2024</v>
      </c>
      <c r="C736" s="17" t="n">
        <f aca="false">IFERROR(VALUE(RIGHT($A736,2)),"")</f>
        <v>8</v>
      </c>
      <c r="D736" s="17" t="n">
        <f aca="false">IFERROR(ROUNDUP($C736/3,0),"")</f>
        <v>3</v>
      </c>
      <c r="E736" s="11" t="str">
        <f aca="false">TRIM('수출입 실적(품목별)'!B740)</f>
        <v>59</v>
      </c>
      <c r="F736" s="11" t="str">
        <f aca="false">TRIM('수출입 실적(품목별)'!C740)</f>
        <v>침투ㆍ도포ㆍ피복하거나 적층한 방직용 섬유의 직물, 공업용인 방직용 섬유제품</v>
      </c>
      <c r="G736" s="18" t="n">
        <f aca="false">IFERROR(VALUE(SUBSTITUTE(TRIM('수출입 실적(품목별)'!D740),",","")),"")</f>
        <v>9918.8</v>
      </c>
      <c r="H736" s="19" t="n">
        <f aca="false">IFERROR(VALUE(SUBSTITUTE(TRIM('수출입 실적(품목별)'!E740),",","")),"")</f>
        <v>100463</v>
      </c>
      <c r="I736" s="18" t="n">
        <f aca="false">IFERROR(VALUE(SUBSTITUTE(TRIM('수출입 실적(품목별)'!F740),",","")),"")</f>
        <v>6887.3</v>
      </c>
      <c r="J736" s="19" t="n">
        <f aca="false">IFERROR(VALUE(SUBSTITUTE(TRIM('수출입 실적(품목별)'!G740),",","")),"")</f>
        <v>40235</v>
      </c>
      <c r="K736" s="19" t="n">
        <f aca="false">IFERROR(VALUE(SUBSTITUTE(TRIM('수출입 실적(품목별)'!H740),",","")),"")</f>
        <v>60228</v>
      </c>
    </row>
    <row r="737" customFormat="false" ht="15" hidden="false" customHeight="true" outlineLevel="0" collapsed="false">
      <c r="A737" s="11" t="str">
        <f aca="false">TRIM('수출입 실적(품목별)'!A741)</f>
        <v>2024.08</v>
      </c>
      <c r="B737" s="17" t="n">
        <f aca="false">IFERROR(VALUE(LEFT($A737,4)),"")</f>
        <v>2024</v>
      </c>
      <c r="C737" s="17" t="n">
        <f aca="false">IFERROR(VALUE(RIGHT($A737,2)),"")</f>
        <v>8</v>
      </c>
      <c r="D737" s="17" t="n">
        <f aca="false">IFERROR(ROUNDUP($C737/3,0),"")</f>
        <v>3</v>
      </c>
      <c r="E737" s="11" t="str">
        <f aca="false">TRIM('수출입 실적(품목별)'!B741)</f>
        <v>60</v>
      </c>
      <c r="F737" s="11" t="str">
        <f aca="false">TRIM('수출입 실적(품목별)'!C741)</f>
        <v>메리야스 편물과 뜨개질 편물</v>
      </c>
      <c r="G737" s="18" t="n">
        <f aca="false">IFERROR(VALUE(SUBSTITUTE(TRIM('수출입 실적(품목별)'!D741),",","")),"")</f>
        <v>16008.9</v>
      </c>
      <c r="H737" s="19" t="n">
        <f aca="false">IFERROR(VALUE(SUBSTITUTE(TRIM('수출입 실적(품목별)'!E741),",","")),"")</f>
        <v>128829</v>
      </c>
      <c r="I737" s="18" t="n">
        <f aca="false">IFERROR(VALUE(SUBSTITUTE(TRIM('수출입 실적(품목별)'!F741),",","")),"")</f>
        <v>1682.4</v>
      </c>
      <c r="J737" s="19" t="n">
        <f aca="false">IFERROR(VALUE(SUBSTITUTE(TRIM('수출입 실적(품목별)'!G741),",","")),"")</f>
        <v>8683</v>
      </c>
      <c r="K737" s="19" t="n">
        <f aca="false">IFERROR(VALUE(SUBSTITUTE(TRIM('수출입 실적(품목별)'!H741),",","")),"")</f>
        <v>120146</v>
      </c>
    </row>
    <row r="738" customFormat="false" ht="15" hidden="false" customHeight="true" outlineLevel="0" collapsed="false">
      <c r="A738" s="11" t="str">
        <f aca="false">TRIM('수출입 실적(품목별)'!A742)</f>
        <v>2024.08</v>
      </c>
      <c r="B738" s="17" t="n">
        <f aca="false">IFERROR(VALUE(LEFT($A738,4)),"")</f>
        <v>2024</v>
      </c>
      <c r="C738" s="17" t="n">
        <f aca="false">IFERROR(VALUE(RIGHT($A738,2)),"")</f>
        <v>8</v>
      </c>
      <c r="D738" s="17" t="n">
        <f aca="false">IFERROR(ROUNDUP($C738/3,0),"")</f>
        <v>3</v>
      </c>
      <c r="E738" s="11" t="str">
        <f aca="false">TRIM('수출입 실적(품목별)'!B742)</f>
        <v>61</v>
      </c>
      <c r="F738" s="11" t="str">
        <f aca="false">TRIM('수출입 실적(품목별)'!C742)</f>
        <v>의류와 그 부속품(메리야스 편물이나 뜨개질 편물로 한정한다)</v>
      </c>
      <c r="G738" s="18" t="n">
        <f aca="false">IFERROR(VALUE(SUBSTITUTE(TRIM('수출입 실적(품목별)'!D742),",","")),"")</f>
        <v>2229.6</v>
      </c>
      <c r="H738" s="19" t="n">
        <f aca="false">IFERROR(VALUE(SUBSTITUTE(TRIM('수출입 실적(품목별)'!E742),",","")),"")</f>
        <v>61411</v>
      </c>
      <c r="I738" s="18" t="n">
        <f aca="false">IFERROR(VALUE(SUBSTITUTE(TRIM('수출입 실적(품목별)'!F742),",","")),"")</f>
        <v>24580.2</v>
      </c>
      <c r="J738" s="19" t="n">
        <f aca="false">IFERROR(VALUE(SUBSTITUTE(TRIM('수출입 실적(품목별)'!G742),",","")),"")</f>
        <v>517344</v>
      </c>
      <c r="K738" s="19" t="n">
        <f aca="false">IFERROR(VALUE(SUBSTITUTE(TRIM('수출입 실적(품목별)'!H742),",","")),"")</f>
        <v>-455933</v>
      </c>
    </row>
    <row r="739" customFormat="false" ht="15" hidden="false" customHeight="true" outlineLevel="0" collapsed="false">
      <c r="A739" s="11" t="str">
        <f aca="false">TRIM('수출입 실적(품목별)'!A743)</f>
        <v>2024.08</v>
      </c>
      <c r="B739" s="17" t="n">
        <f aca="false">IFERROR(VALUE(LEFT($A739,4)),"")</f>
        <v>2024</v>
      </c>
      <c r="C739" s="17" t="n">
        <f aca="false">IFERROR(VALUE(RIGHT($A739,2)),"")</f>
        <v>8</v>
      </c>
      <c r="D739" s="17" t="n">
        <f aca="false">IFERROR(ROUNDUP($C739/3,0),"")</f>
        <v>3</v>
      </c>
      <c r="E739" s="11" t="str">
        <f aca="false">TRIM('수출입 실적(품목별)'!B743)</f>
        <v>62</v>
      </c>
      <c r="F739" s="11" t="str">
        <f aca="false">TRIM('수출입 실적(품목별)'!C743)</f>
        <v>의류와 그 부속품(메리야스 편물이나 뜨개질편물은 제외한다)</v>
      </c>
      <c r="G739" s="18" t="n">
        <f aca="false">IFERROR(VALUE(SUBSTITUTE(TRIM('수출입 실적(품목별)'!D743),",","")),"")</f>
        <v>2398.2</v>
      </c>
      <c r="H739" s="19" t="n">
        <f aca="false">IFERROR(VALUE(SUBSTITUTE(TRIM('수출입 실적(품목별)'!E743),",","")),"")</f>
        <v>62571</v>
      </c>
      <c r="I739" s="18" t="n">
        <f aca="false">IFERROR(VALUE(SUBSTITUTE(TRIM('수출입 실적(품목별)'!F743),",","")),"")</f>
        <v>22368.9</v>
      </c>
      <c r="J739" s="19" t="n">
        <f aca="false">IFERROR(VALUE(SUBSTITUTE(TRIM('수출입 실적(품목별)'!G743),",","")),"")</f>
        <v>727832</v>
      </c>
      <c r="K739" s="19" t="n">
        <f aca="false">IFERROR(VALUE(SUBSTITUTE(TRIM('수출입 실적(품목별)'!H743),",","")),"")</f>
        <v>-665260</v>
      </c>
    </row>
    <row r="740" customFormat="false" ht="15" hidden="false" customHeight="true" outlineLevel="0" collapsed="false">
      <c r="A740" s="11" t="str">
        <f aca="false">TRIM('수출입 실적(품목별)'!A744)</f>
        <v>2024.08</v>
      </c>
      <c r="B740" s="17" t="n">
        <f aca="false">IFERROR(VALUE(LEFT($A740,4)),"")</f>
        <v>2024</v>
      </c>
      <c r="C740" s="17" t="n">
        <f aca="false">IFERROR(VALUE(RIGHT($A740,2)),"")</f>
        <v>8</v>
      </c>
      <c r="D740" s="17" t="n">
        <f aca="false">IFERROR(ROUNDUP($C740/3,0),"")</f>
        <v>3</v>
      </c>
      <c r="E740" s="11" t="str">
        <f aca="false">TRIM('수출입 실적(품목별)'!B744)</f>
        <v>63</v>
      </c>
      <c r="F740" s="11" t="str">
        <f aca="false">TRIM('수출입 실적(품목별)'!C744)</f>
        <v>제품으로 된 방직용 섬유의 그 밖의 물품, 세트, 사용하던 의류ㆍ방직용 섬유제품, 넝마</v>
      </c>
      <c r="G740" s="18" t="n">
        <f aca="false">IFERROR(VALUE(SUBSTITUTE(TRIM('수출입 실적(품목별)'!D744),",","")),"")</f>
        <v>25778.2</v>
      </c>
      <c r="H740" s="19" t="n">
        <f aca="false">IFERROR(VALUE(SUBSTITUTE(TRIM('수출입 실적(품목별)'!E744),",","")),"")</f>
        <v>47863</v>
      </c>
      <c r="I740" s="18" t="n">
        <f aca="false">IFERROR(VALUE(SUBSTITUTE(TRIM('수출입 실적(품목별)'!F744),",","")),"")</f>
        <v>28210.7</v>
      </c>
      <c r="J740" s="19" t="n">
        <f aca="false">IFERROR(VALUE(SUBSTITUTE(TRIM('수출입 실적(품목별)'!G744),",","")),"")</f>
        <v>112096</v>
      </c>
      <c r="K740" s="19" t="n">
        <f aca="false">IFERROR(VALUE(SUBSTITUTE(TRIM('수출입 실적(품목별)'!H744),",","")),"")</f>
        <v>-64233</v>
      </c>
    </row>
    <row r="741" customFormat="false" ht="15" hidden="false" customHeight="true" outlineLevel="0" collapsed="false">
      <c r="A741" s="11" t="str">
        <f aca="false">TRIM('수출입 실적(품목별)'!A745)</f>
        <v>2024.08</v>
      </c>
      <c r="B741" s="17" t="n">
        <f aca="false">IFERROR(VALUE(LEFT($A741,4)),"")</f>
        <v>2024</v>
      </c>
      <c r="C741" s="17" t="n">
        <f aca="false">IFERROR(VALUE(RIGHT($A741,2)),"")</f>
        <v>8</v>
      </c>
      <c r="D741" s="17" t="n">
        <f aca="false">IFERROR(ROUNDUP($C741/3,0),"")</f>
        <v>3</v>
      </c>
      <c r="E741" s="11" t="str">
        <f aca="false">TRIM('수출입 실적(품목별)'!B745)</f>
        <v>64</v>
      </c>
      <c r="F741" s="11" t="str">
        <f aca="false">TRIM('수출입 실적(품목별)'!C745)</f>
        <v>신발류ㆍ각반과 이와 유사한 것, 이들의 부분품</v>
      </c>
      <c r="G741" s="18" t="n">
        <f aca="false">IFERROR(VALUE(SUBSTITUTE(TRIM('수출입 실적(품목별)'!D745),",","")),"")</f>
        <v>1224.3</v>
      </c>
      <c r="H741" s="19" t="n">
        <f aca="false">IFERROR(VALUE(SUBSTITUTE(TRIM('수출입 실적(품목별)'!E745),",","")),"")</f>
        <v>26129</v>
      </c>
      <c r="I741" s="18" t="n">
        <f aca="false">IFERROR(VALUE(SUBSTITUTE(TRIM('수출입 실적(품목별)'!F745),",","")),"")</f>
        <v>11074.9</v>
      </c>
      <c r="J741" s="19" t="n">
        <f aca="false">IFERROR(VALUE(SUBSTITUTE(TRIM('수출입 실적(품목별)'!G745),",","")),"")</f>
        <v>319114</v>
      </c>
      <c r="K741" s="19" t="n">
        <f aca="false">IFERROR(VALUE(SUBSTITUTE(TRIM('수출입 실적(품목별)'!H745),",","")),"")</f>
        <v>-292985</v>
      </c>
    </row>
    <row r="742" customFormat="false" ht="15" hidden="false" customHeight="true" outlineLevel="0" collapsed="false">
      <c r="A742" s="11" t="str">
        <f aca="false">TRIM('수출입 실적(품목별)'!A746)</f>
        <v>2024.08</v>
      </c>
      <c r="B742" s="17" t="n">
        <f aca="false">IFERROR(VALUE(LEFT($A742,4)),"")</f>
        <v>2024</v>
      </c>
      <c r="C742" s="17" t="n">
        <f aca="false">IFERROR(VALUE(RIGHT($A742,2)),"")</f>
        <v>8</v>
      </c>
      <c r="D742" s="17" t="n">
        <f aca="false">IFERROR(ROUNDUP($C742/3,0),"")</f>
        <v>3</v>
      </c>
      <c r="E742" s="11" t="str">
        <f aca="false">TRIM('수출입 실적(품목별)'!B746)</f>
        <v>65</v>
      </c>
      <c r="F742" s="11" t="str">
        <f aca="false">TRIM('수출입 실적(품목별)'!C746)</f>
        <v>모자류와 그 부분품</v>
      </c>
      <c r="G742" s="18" t="n">
        <f aca="false">IFERROR(VALUE(SUBSTITUTE(TRIM('수출입 실적(품목별)'!D746),",","")),"")</f>
        <v>275.2</v>
      </c>
      <c r="H742" s="19" t="n">
        <f aca="false">IFERROR(VALUE(SUBSTITUTE(TRIM('수출입 실적(품목별)'!E746),",","")),"")</f>
        <v>9101</v>
      </c>
      <c r="I742" s="18" t="n">
        <f aca="false">IFERROR(VALUE(SUBSTITUTE(TRIM('수출입 실적(품목별)'!F746),",","")),"")</f>
        <v>807.4</v>
      </c>
      <c r="J742" s="19" t="n">
        <f aca="false">IFERROR(VALUE(SUBSTITUTE(TRIM('수출입 실적(품목별)'!G746),",","")),"")</f>
        <v>26028</v>
      </c>
      <c r="K742" s="19" t="n">
        <f aca="false">IFERROR(VALUE(SUBSTITUTE(TRIM('수출입 실적(품목별)'!H746),",","")),"")</f>
        <v>-16926</v>
      </c>
    </row>
    <row r="743" customFormat="false" ht="15" hidden="false" customHeight="true" outlineLevel="0" collapsed="false">
      <c r="A743" s="11" t="str">
        <f aca="false">TRIM('수출입 실적(품목별)'!A747)</f>
        <v>2024.08</v>
      </c>
      <c r="B743" s="17" t="n">
        <f aca="false">IFERROR(VALUE(LEFT($A743,4)),"")</f>
        <v>2024</v>
      </c>
      <c r="C743" s="17" t="n">
        <f aca="false">IFERROR(VALUE(RIGHT($A743,2)),"")</f>
        <v>8</v>
      </c>
      <c r="D743" s="17" t="n">
        <f aca="false">IFERROR(ROUNDUP($C743/3,0),"")</f>
        <v>3</v>
      </c>
      <c r="E743" s="11" t="str">
        <f aca="false">TRIM('수출입 실적(품목별)'!B747)</f>
        <v>66</v>
      </c>
      <c r="F743" s="11" t="str">
        <f aca="false">TRIM('수출입 실적(품목별)'!C747)</f>
        <v>산류(傘類)ㆍ지팡이ㆍ시트스틱(seat-stick)ㆍ채찍ㆍ승마용 채찍과 이들의 부분품</v>
      </c>
      <c r="G743" s="18" t="n">
        <f aca="false">IFERROR(VALUE(SUBSTITUTE(TRIM('수출입 실적(품목별)'!D747),",","")),"")</f>
        <v>11.1</v>
      </c>
      <c r="H743" s="19" t="n">
        <f aca="false">IFERROR(VALUE(SUBSTITUTE(TRIM('수출입 실적(품목별)'!E747),",","")),"")</f>
        <v>156</v>
      </c>
      <c r="I743" s="18" t="n">
        <f aca="false">IFERROR(VALUE(SUBSTITUTE(TRIM('수출입 실적(품목별)'!F747),",","")),"")</f>
        <v>1728</v>
      </c>
      <c r="J743" s="19" t="n">
        <f aca="false">IFERROR(VALUE(SUBSTITUTE(TRIM('수출입 실적(품목별)'!G747),",","")),"")</f>
        <v>12177</v>
      </c>
      <c r="K743" s="19" t="n">
        <f aca="false">IFERROR(VALUE(SUBSTITUTE(TRIM('수출입 실적(품목별)'!H747),",","")),"")</f>
        <v>-12021</v>
      </c>
    </row>
    <row r="744" customFormat="false" ht="15" hidden="false" customHeight="true" outlineLevel="0" collapsed="false">
      <c r="A744" s="11" t="str">
        <f aca="false">TRIM('수출입 실적(품목별)'!A748)</f>
        <v>2024.08</v>
      </c>
      <c r="B744" s="17" t="n">
        <f aca="false">IFERROR(VALUE(LEFT($A744,4)),"")</f>
        <v>2024</v>
      </c>
      <c r="C744" s="17" t="n">
        <f aca="false">IFERROR(VALUE(RIGHT($A744,2)),"")</f>
        <v>8</v>
      </c>
      <c r="D744" s="17" t="n">
        <f aca="false">IFERROR(ROUNDUP($C744/3,0),"")</f>
        <v>3</v>
      </c>
      <c r="E744" s="11" t="str">
        <f aca="false">TRIM('수출입 실적(품목별)'!B748)</f>
        <v>67</v>
      </c>
      <c r="F744" s="11" t="str">
        <f aca="false">TRIM('수출입 실적(품목별)'!C748)</f>
        <v>조제 깃털ㆍ솜털과 그 제품, 조화, 사람 머리카락으로 된 제품</v>
      </c>
      <c r="G744" s="18" t="n">
        <f aca="false">IFERROR(VALUE(SUBSTITUTE(TRIM('수출입 실적(품목별)'!D748),",","")),"")</f>
        <v>15.8</v>
      </c>
      <c r="H744" s="19" t="n">
        <f aca="false">IFERROR(VALUE(SUBSTITUTE(TRIM('수출입 실적(품목별)'!E748),",","")),"")</f>
        <v>1417</v>
      </c>
      <c r="I744" s="18" t="n">
        <f aca="false">IFERROR(VALUE(SUBSTITUTE(TRIM('수출입 실적(품목별)'!F748),",","")),"")</f>
        <v>424.5</v>
      </c>
      <c r="J744" s="19" t="n">
        <f aca="false">IFERROR(VALUE(SUBSTITUTE(TRIM('수출입 실적(품목별)'!G748),",","")),"")</f>
        <v>7762</v>
      </c>
      <c r="K744" s="19" t="n">
        <f aca="false">IFERROR(VALUE(SUBSTITUTE(TRIM('수출입 실적(품목별)'!H748),",","")),"")</f>
        <v>-6344</v>
      </c>
    </row>
    <row r="745" customFormat="false" ht="15" hidden="false" customHeight="true" outlineLevel="0" collapsed="false">
      <c r="A745" s="11" t="str">
        <f aca="false">TRIM('수출입 실적(품목별)'!A749)</f>
        <v>2024.08</v>
      </c>
      <c r="B745" s="17" t="n">
        <f aca="false">IFERROR(VALUE(LEFT($A745,4)),"")</f>
        <v>2024</v>
      </c>
      <c r="C745" s="17" t="n">
        <f aca="false">IFERROR(VALUE(RIGHT($A745,2)),"")</f>
        <v>8</v>
      </c>
      <c r="D745" s="17" t="n">
        <f aca="false">IFERROR(ROUNDUP($C745/3,0),"")</f>
        <v>3</v>
      </c>
      <c r="E745" s="11" t="str">
        <f aca="false">TRIM('수출입 실적(품목별)'!B749)</f>
        <v>68</v>
      </c>
      <c r="F745" s="11" t="str">
        <f aca="false">TRIM('수출입 실적(품목별)'!C749)</f>
        <v>돌ㆍ플라스터(plaster)ㆍ시멘트ㆍ석면ㆍ운모나 이와 유사한 재료의 제품</v>
      </c>
      <c r="G745" s="18" t="n">
        <f aca="false">IFERROR(VALUE(SUBSTITUTE(TRIM('수출입 실적(품목별)'!D749),",","")),"")</f>
        <v>9871.4</v>
      </c>
      <c r="H745" s="19" t="n">
        <f aca="false">IFERROR(VALUE(SUBSTITUTE(TRIM('수출입 실적(품목별)'!E749),",","")),"")</f>
        <v>76042</v>
      </c>
      <c r="I745" s="18" t="n">
        <f aca="false">IFERROR(VALUE(SUBSTITUTE(TRIM('수출입 실적(품목별)'!F749),",","")),"")</f>
        <v>214454.9</v>
      </c>
      <c r="J745" s="19" t="n">
        <f aca="false">IFERROR(VALUE(SUBSTITUTE(TRIM('수출입 실적(품목별)'!G749),",","")),"")</f>
        <v>114622</v>
      </c>
      <c r="K745" s="19" t="n">
        <f aca="false">IFERROR(VALUE(SUBSTITUTE(TRIM('수출입 실적(품목별)'!H749),",","")),"")</f>
        <v>-38579</v>
      </c>
    </row>
    <row r="746" customFormat="false" ht="15" hidden="false" customHeight="true" outlineLevel="0" collapsed="false">
      <c r="A746" s="11" t="str">
        <f aca="false">TRIM('수출입 실적(품목별)'!A750)</f>
        <v>2024.08</v>
      </c>
      <c r="B746" s="17" t="n">
        <f aca="false">IFERROR(VALUE(LEFT($A746,4)),"")</f>
        <v>2024</v>
      </c>
      <c r="C746" s="17" t="n">
        <f aca="false">IFERROR(VALUE(RIGHT($A746,2)),"")</f>
        <v>8</v>
      </c>
      <c r="D746" s="17" t="n">
        <f aca="false">IFERROR(ROUNDUP($C746/3,0),"")</f>
        <v>3</v>
      </c>
      <c r="E746" s="11" t="str">
        <f aca="false">TRIM('수출입 실적(품목별)'!B750)</f>
        <v>69</v>
      </c>
      <c r="F746" s="11" t="str">
        <f aca="false">TRIM('수출입 실적(품목별)'!C750)</f>
        <v>도자제품</v>
      </c>
      <c r="G746" s="18" t="n">
        <f aca="false">IFERROR(VALUE(SUBSTITUTE(TRIM('수출입 실적(품목별)'!D750),",","")),"")</f>
        <v>2321.8</v>
      </c>
      <c r="H746" s="19" t="n">
        <f aca="false">IFERROR(VALUE(SUBSTITUTE(TRIM('수출입 실적(품목별)'!E750),",","")),"")</f>
        <v>30646</v>
      </c>
      <c r="I746" s="18" t="n">
        <f aca="false">IFERROR(VALUE(SUBSTITUTE(TRIM('수출입 실적(품목별)'!F750),",","")),"")</f>
        <v>138057</v>
      </c>
      <c r="J746" s="19" t="n">
        <f aca="false">IFERROR(VALUE(SUBSTITUTE(TRIM('수출입 실적(품목별)'!G750),",","")),"")</f>
        <v>131138</v>
      </c>
      <c r="K746" s="19" t="n">
        <f aca="false">IFERROR(VALUE(SUBSTITUTE(TRIM('수출입 실적(품목별)'!H750),",","")),"")</f>
        <v>-100491</v>
      </c>
    </row>
    <row r="747" customFormat="false" ht="15" hidden="false" customHeight="true" outlineLevel="0" collapsed="false">
      <c r="A747" s="11" t="str">
        <f aca="false">TRIM('수출입 실적(품목별)'!A751)</f>
        <v>2024.08</v>
      </c>
      <c r="B747" s="17" t="n">
        <f aca="false">IFERROR(VALUE(LEFT($A747,4)),"")</f>
        <v>2024</v>
      </c>
      <c r="C747" s="17" t="n">
        <f aca="false">IFERROR(VALUE(RIGHT($A747,2)),"")</f>
        <v>8</v>
      </c>
      <c r="D747" s="17" t="n">
        <f aca="false">IFERROR(ROUNDUP($C747/3,0),"")</f>
        <v>3</v>
      </c>
      <c r="E747" s="11" t="str">
        <f aca="false">TRIM('수출입 실적(품목별)'!B751)</f>
        <v>70</v>
      </c>
      <c r="F747" s="11" t="str">
        <f aca="false">TRIM('수출입 실적(품목별)'!C751)</f>
        <v>유리와 유리제품</v>
      </c>
      <c r="G747" s="18" t="n">
        <f aca="false">IFERROR(VALUE(SUBSTITUTE(TRIM('수출입 실적(품목별)'!D751),",","")),"")</f>
        <v>31117.2</v>
      </c>
      <c r="H747" s="19" t="n">
        <f aca="false">IFERROR(VALUE(SUBSTITUTE(TRIM('수출입 실적(품목별)'!E751),",","")),"")</f>
        <v>173274</v>
      </c>
      <c r="I747" s="18" t="n">
        <f aca="false">IFERROR(VALUE(SUBSTITUTE(TRIM('수출입 실적(품목별)'!F751),",","")),"")</f>
        <v>95086.3</v>
      </c>
      <c r="J747" s="19" t="n">
        <f aca="false">IFERROR(VALUE(SUBSTITUTE(TRIM('수출입 실적(품목별)'!G751),",","")),"")</f>
        <v>222116</v>
      </c>
      <c r="K747" s="19" t="n">
        <f aca="false">IFERROR(VALUE(SUBSTITUTE(TRIM('수출입 실적(품목별)'!H751),",","")),"")</f>
        <v>-48842</v>
      </c>
    </row>
    <row r="748" customFormat="false" ht="15" hidden="false" customHeight="true" outlineLevel="0" collapsed="false">
      <c r="A748" s="11" t="str">
        <f aca="false">TRIM('수출입 실적(품목별)'!A752)</f>
        <v>2024.08</v>
      </c>
      <c r="B748" s="17" t="n">
        <f aca="false">IFERROR(VALUE(LEFT($A748,4)),"")</f>
        <v>2024</v>
      </c>
      <c r="C748" s="17" t="n">
        <f aca="false">IFERROR(VALUE(RIGHT($A748,2)),"")</f>
        <v>8</v>
      </c>
      <c r="D748" s="17" t="n">
        <f aca="false">IFERROR(ROUNDUP($C748/3,0),"")</f>
        <v>3</v>
      </c>
      <c r="E748" s="11" t="str">
        <f aca="false">TRIM('수출입 실적(품목별)'!B752)</f>
        <v>71</v>
      </c>
      <c r="F748" s="11" t="str">
        <f aca="false">TRIM('수출입 실적(품목별)'!C752)</f>
        <v>천연진주ㆍ양식진주ㆍ귀석ㆍ반귀석ㆍ귀금속ㆍ귀금속을 입힌 금속과 이들의 제품, 모조 신변장식용품, 주화</v>
      </c>
      <c r="G748" s="18" t="n">
        <f aca="false">IFERROR(VALUE(SUBSTITUTE(TRIM('수출입 실적(품목별)'!D752),",","")),"")</f>
        <v>709.8</v>
      </c>
      <c r="H748" s="19" t="n">
        <f aca="false">IFERROR(VALUE(SUBSTITUTE(TRIM('수출입 실적(품목별)'!E752),",","")),"")</f>
        <v>632635</v>
      </c>
      <c r="I748" s="18" t="n">
        <f aca="false">IFERROR(VALUE(SUBSTITUTE(TRIM('수출입 실적(품목별)'!F752),",","")),"")</f>
        <v>1417.9</v>
      </c>
      <c r="J748" s="19" t="n">
        <f aca="false">IFERROR(VALUE(SUBSTITUTE(TRIM('수출입 실적(품목별)'!G752),",","")),"")</f>
        <v>665703</v>
      </c>
      <c r="K748" s="19" t="n">
        <f aca="false">IFERROR(VALUE(SUBSTITUTE(TRIM('수출입 실적(품목별)'!H752),",","")),"")</f>
        <v>-33068</v>
      </c>
    </row>
    <row r="749" customFormat="false" ht="15" hidden="false" customHeight="true" outlineLevel="0" collapsed="false">
      <c r="A749" s="11" t="str">
        <f aca="false">TRIM('수출입 실적(품목별)'!A753)</f>
        <v>2024.08</v>
      </c>
      <c r="B749" s="17" t="n">
        <f aca="false">IFERROR(VALUE(LEFT($A749,4)),"")</f>
        <v>2024</v>
      </c>
      <c r="C749" s="17" t="n">
        <f aca="false">IFERROR(VALUE(RIGHT($A749,2)),"")</f>
        <v>8</v>
      </c>
      <c r="D749" s="17" t="n">
        <f aca="false">IFERROR(ROUNDUP($C749/3,0),"")</f>
        <v>3</v>
      </c>
      <c r="E749" s="11" t="str">
        <f aca="false">TRIM('수출입 실적(품목별)'!B753)</f>
        <v>72</v>
      </c>
      <c r="F749" s="11" t="str">
        <f aca="false">TRIM('수출입 실적(품목별)'!C753)</f>
        <v>철강</v>
      </c>
      <c r="G749" s="18" t="n">
        <f aca="false">IFERROR(VALUE(SUBSTITUTE(TRIM('수출입 실적(품목별)'!D753),",","")),"")</f>
        <v>2320538.3</v>
      </c>
      <c r="H749" s="19" t="n">
        <f aca="false">IFERROR(VALUE(SUBSTITUTE(TRIM('수출입 실적(품목별)'!E753),",","")),"")</f>
        <v>2150115</v>
      </c>
      <c r="I749" s="18" t="n">
        <f aca="false">IFERROR(VALUE(SUBSTITUTE(TRIM('수출입 실적(품목별)'!F753),",","")),"")</f>
        <v>1446420.3</v>
      </c>
      <c r="J749" s="19" t="n">
        <f aca="false">IFERROR(VALUE(SUBSTITUTE(TRIM('수출입 실적(품목별)'!G753),",","")),"")</f>
        <v>1230224</v>
      </c>
      <c r="K749" s="19" t="n">
        <f aca="false">IFERROR(VALUE(SUBSTITUTE(TRIM('수출입 실적(품목별)'!H753),",","")),"")</f>
        <v>919891</v>
      </c>
    </row>
    <row r="750" customFormat="false" ht="15" hidden="false" customHeight="true" outlineLevel="0" collapsed="false">
      <c r="A750" s="11" t="str">
        <f aca="false">TRIM('수출입 실적(품목별)'!A754)</f>
        <v>2024.08</v>
      </c>
      <c r="B750" s="17" t="n">
        <f aca="false">IFERROR(VALUE(LEFT($A750,4)),"")</f>
        <v>2024</v>
      </c>
      <c r="C750" s="17" t="n">
        <f aca="false">IFERROR(VALUE(RIGHT($A750,2)),"")</f>
        <v>8</v>
      </c>
      <c r="D750" s="17" t="n">
        <f aca="false">IFERROR(ROUNDUP($C750/3,0),"")</f>
        <v>3</v>
      </c>
      <c r="E750" s="11" t="str">
        <f aca="false">TRIM('수출입 실적(품목별)'!B754)</f>
        <v>73</v>
      </c>
      <c r="F750" s="11" t="str">
        <f aca="false">TRIM('수출입 실적(품목별)'!C754)</f>
        <v>철강의 제품</v>
      </c>
      <c r="G750" s="18" t="n">
        <f aca="false">IFERROR(VALUE(SUBSTITUTE(TRIM('수출입 실적(품목별)'!D754),",","")),"")</f>
        <v>266391</v>
      </c>
      <c r="H750" s="19" t="n">
        <f aca="false">IFERROR(VALUE(SUBSTITUTE(TRIM('수출입 실적(품목별)'!E754),",","")),"")</f>
        <v>770391</v>
      </c>
      <c r="I750" s="18" t="n">
        <f aca="false">IFERROR(VALUE(SUBSTITUTE(TRIM('수출입 실적(품목별)'!F754),",","")),"")</f>
        <v>239809.4</v>
      </c>
      <c r="J750" s="19" t="n">
        <f aca="false">IFERROR(VALUE(SUBSTITUTE(TRIM('수출입 실적(품목별)'!G754),",","")),"")</f>
        <v>624465</v>
      </c>
      <c r="K750" s="19" t="n">
        <f aca="false">IFERROR(VALUE(SUBSTITUTE(TRIM('수출입 실적(품목별)'!H754),",","")),"")</f>
        <v>145926</v>
      </c>
    </row>
    <row r="751" customFormat="false" ht="15" hidden="false" customHeight="true" outlineLevel="0" collapsed="false">
      <c r="A751" s="11" t="str">
        <f aca="false">TRIM('수출입 실적(품목별)'!A755)</f>
        <v>2024.08</v>
      </c>
      <c r="B751" s="17" t="n">
        <f aca="false">IFERROR(VALUE(LEFT($A751,4)),"")</f>
        <v>2024</v>
      </c>
      <c r="C751" s="17" t="n">
        <f aca="false">IFERROR(VALUE(RIGHT($A751,2)),"")</f>
        <v>8</v>
      </c>
      <c r="D751" s="17" t="n">
        <f aca="false">IFERROR(ROUNDUP($C751/3,0),"")</f>
        <v>3</v>
      </c>
      <c r="E751" s="11" t="str">
        <f aca="false">TRIM('수출입 실적(품목별)'!B755)</f>
        <v>74</v>
      </c>
      <c r="F751" s="11" t="str">
        <f aca="false">TRIM('수출입 실적(품목별)'!C755)</f>
        <v>구리와 그 제품</v>
      </c>
      <c r="G751" s="18" t="n">
        <f aca="false">IFERROR(VALUE(SUBSTITUTE(TRIM('수출입 실적(품목별)'!D755),",","")),"")</f>
        <v>58688</v>
      </c>
      <c r="H751" s="19" t="n">
        <f aca="false">IFERROR(VALUE(SUBSTITUTE(TRIM('수출입 실적(품목별)'!E755),",","")),"")</f>
        <v>534600</v>
      </c>
      <c r="I751" s="18" t="n">
        <f aca="false">IFERROR(VALUE(SUBSTITUTE(TRIM('수출입 실적(품목별)'!F755),",","")),"")</f>
        <v>60442.8</v>
      </c>
      <c r="J751" s="19" t="n">
        <f aca="false">IFERROR(VALUE(SUBSTITUTE(TRIM('수출입 실적(품목별)'!G755),",","")),"")</f>
        <v>583867</v>
      </c>
      <c r="K751" s="19" t="n">
        <f aca="false">IFERROR(VALUE(SUBSTITUTE(TRIM('수출입 실적(품목별)'!H755),",","")),"")</f>
        <v>-49267</v>
      </c>
    </row>
    <row r="752" customFormat="false" ht="15" hidden="false" customHeight="true" outlineLevel="0" collapsed="false">
      <c r="A752" s="11" t="str">
        <f aca="false">TRIM('수출입 실적(품목별)'!A756)</f>
        <v>2024.08</v>
      </c>
      <c r="B752" s="17" t="n">
        <f aca="false">IFERROR(VALUE(LEFT($A752,4)),"")</f>
        <v>2024</v>
      </c>
      <c r="C752" s="17" t="n">
        <f aca="false">IFERROR(VALUE(RIGHT($A752,2)),"")</f>
        <v>8</v>
      </c>
      <c r="D752" s="17" t="n">
        <f aca="false">IFERROR(ROUNDUP($C752/3,0),"")</f>
        <v>3</v>
      </c>
      <c r="E752" s="11" t="str">
        <f aca="false">TRIM('수출입 실적(품목별)'!B756)</f>
        <v>75</v>
      </c>
      <c r="F752" s="11" t="str">
        <f aca="false">TRIM('수출입 실적(품목별)'!C756)</f>
        <v>니켈과 그 제품</v>
      </c>
      <c r="G752" s="18" t="n">
        <f aca="false">IFERROR(VALUE(SUBSTITUTE(TRIM('수출입 실적(품목별)'!D756),",","")),"")</f>
        <v>778</v>
      </c>
      <c r="H752" s="19" t="n">
        <f aca="false">IFERROR(VALUE(SUBSTITUTE(TRIM('수출입 실적(품목별)'!E756),",","")),"")</f>
        <v>12616</v>
      </c>
      <c r="I752" s="18" t="n">
        <f aca="false">IFERROR(VALUE(SUBSTITUTE(TRIM('수출입 실적(품목별)'!F756),",","")),"")</f>
        <v>6450.7</v>
      </c>
      <c r="J752" s="19" t="n">
        <f aca="false">IFERROR(VALUE(SUBSTITUTE(TRIM('수출입 실적(품목별)'!G756),",","")),"")</f>
        <v>108117</v>
      </c>
      <c r="K752" s="19" t="n">
        <f aca="false">IFERROR(VALUE(SUBSTITUTE(TRIM('수출입 실적(품목별)'!H756),",","")),"")</f>
        <v>-95501</v>
      </c>
    </row>
    <row r="753" customFormat="false" ht="15" hidden="false" customHeight="true" outlineLevel="0" collapsed="false">
      <c r="A753" s="11" t="str">
        <f aca="false">TRIM('수출입 실적(품목별)'!A757)</f>
        <v>2024.08</v>
      </c>
      <c r="B753" s="17" t="n">
        <f aca="false">IFERROR(VALUE(LEFT($A753,4)),"")</f>
        <v>2024</v>
      </c>
      <c r="C753" s="17" t="n">
        <f aca="false">IFERROR(VALUE(RIGHT($A753,2)),"")</f>
        <v>8</v>
      </c>
      <c r="D753" s="17" t="n">
        <f aca="false">IFERROR(ROUNDUP($C753/3,0),"")</f>
        <v>3</v>
      </c>
      <c r="E753" s="11" t="str">
        <f aca="false">TRIM('수출입 실적(품목별)'!B757)</f>
        <v>76</v>
      </c>
      <c r="F753" s="11" t="str">
        <f aca="false">TRIM('수출입 실적(품목별)'!C757)</f>
        <v>알루미늄과 그 제품</v>
      </c>
      <c r="G753" s="18" t="n">
        <f aca="false">IFERROR(VALUE(SUBSTITUTE(TRIM('수출입 실적(품목별)'!D757),",","")),"")</f>
        <v>109317.7</v>
      </c>
      <c r="H753" s="19" t="n">
        <f aca="false">IFERROR(VALUE(SUBSTITUTE(TRIM('수출입 실적(품목별)'!E757),",","")),"")</f>
        <v>413342</v>
      </c>
      <c r="I753" s="18" t="n">
        <f aca="false">IFERROR(VALUE(SUBSTITUTE(TRIM('수출입 실적(품목별)'!F757),",","")),"")</f>
        <v>269676.5</v>
      </c>
      <c r="J753" s="19" t="n">
        <f aca="false">IFERROR(VALUE(SUBSTITUTE(TRIM('수출입 실적(품목별)'!G757),",","")),"")</f>
        <v>781808</v>
      </c>
      <c r="K753" s="19" t="n">
        <f aca="false">IFERROR(VALUE(SUBSTITUTE(TRIM('수출입 실적(품목별)'!H757),",","")),"")</f>
        <v>-368465</v>
      </c>
    </row>
    <row r="754" customFormat="false" ht="15" hidden="false" customHeight="true" outlineLevel="0" collapsed="false">
      <c r="A754" s="11" t="str">
        <f aca="false">TRIM('수출입 실적(품목별)'!A758)</f>
        <v>2024.08</v>
      </c>
      <c r="B754" s="17" t="n">
        <f aca="false">IFERROR(VALUE(LEFT($A754,4)),"")</f>
        <v>2024</v>
      </c>
      <c r="C754" s="17" t="n">
        <f aca="false">IFERROR(VALUE(RIGHT($A754,2)),"")</f>
        <v>8</v>
      </c>
      <c r="D754" s="17" t="n">
        <f aca="false">IFERROR(ROUNDUP($C754/3,0),"")</f>
        <v>3</v>
      </c>
      <c r="E754" s="11" t="str">
        <f aca="false">TRIM('수출입 실적(품목별)'!B758)</f>
        <v>78</v>
      </c>
      <c r="F754" s="11" t="str">
        <f aca="false">TRIM('수출입 실적(품목별)'!C758)</f>
        <v>납과 그 제품</v>
      </c>
      <c r="G754" s="18" t="n">
        <f aca="false">IFERROR(VALUE(SUBSTITUTE(TRIM('수출입 실적(품목별)'!D758),",","")),"")</f>
        <v>31990.3</v>
      </c>
      <c r="H754" s="19" t="n">
        <f aca="false">IFERROR(VALUE(SUBSTITUTE(TRIM('수출입 실적(품목별)'!E758),",","")),"")</f>
        <v>72561</v>
      </c>
      <c r="I754" s="18" t="n">
        <f aca="false">IFERROR(VALUE(SUBSTITUTE(TRIM('수출입 실적(품목별)'!F758),",","")),"")</f>
        <v>15595.7</v>
      </c>
      <c r="J754" s="19" t="n">
        <f aca="false">IFERROR(VALUE(SUBSTITUTE(TRIM('수출입 실적(품목별)'!G758),",","")),"")</f>
        <v>35898</v>
      </c>
      <c r="K754" s="19" t="n">
        <f aca="false">IFERROR(VALUE(SUBSTITUTE(TRIM('수출입 실적(품목별)'!H758),",","")),"")</f>
        <v>36663</v>
      </c>
    </row>
    <row r="755" customFormat="false" ht="15" hidden="false" customHeight="true" outlineLevel="0" collapsed="false">
      <c r="A755" s="11" t="str">
        <f aca="false">TRIM('수출입 실적(품목별)'!A759)</f>
        <v>2024.08</v>
      </c>
      <c r="B755" s="17" t="n">
        <f aca="false">IFERROR(VALUE(LEFT($A755,4)),"")</f>
        <v>2024</v>
      </c>
      <c r="C755" s="17" t="n">
        <f aca="false">IFERROR(VALUE(RIGHT($A755,2)),"")</f>
        <v>8</v>
      </c>
      <c r="D755" s="17" t="n">
        <f aca="false">IFERROR(ROUNDUP($C755/3,0),"")</f>
        <v>3</v>
      </c>
      <c r="E755" s="11" t="str">
        <f aca="false">TRIM('수출입 실적(품목별)'!B759)</f>
        <v>79</v>
      </c>
      <c r="F755" s="11" t="str">
        <f aca="false">TRIM('수출입 실적(품목별)'!C759)</f>
        <v>아연과 그 제품</v>
      </c>
      <c r="G755" s="18" t="n">
        <f aca="false">IFERROR(VALUE(SUBSTITUTE(TRIM('수출입 실적(품목별)'!D759),",","")),"")</f>
        <v>31773.8</v>
      </c>
      <c r="H755" s="19" t="n">
        <f aca="false">IFERROR(VALUE(SUBSTITUTE(TRIM('수출입 실적(품목별)'!E759),",","")),"")</f>
        <v>92310</v>
      </c>
      <c r="I755" s="18" t="n">
        <f aca="false">IFERROR(VALUE(SUBSTITUTE(TRIM('수출입 실적(품목별)'!F759),",","")),"")</f>
        <v>3342.8</v>
      </c>
      <c r="J755" s="19" t="n">
        <f aca="false">IFERROR(VALUE(SUBSTITUTE(TRIM('수출입 실적(품목별)'!G759),",","")),"")</f>
        <v>10619</v>
      </c>
      <c r="K755" s="19" t="n">
        <f aca="false">IFERROR(VALUE(SUBSTITUTE(TRIM('수출입 실적(품목별)'!H759),",","")),"")</f>
        <v>81691</v>
      </c>
    </row>
    <row r="756" customFormat="false" ht="15" hidden="false" customHeight="true" outlineLevel="0" collapsed="false">
      <c r="A756" s="11" t="str">
        <f aca="false">TRIM('수출입 실적(품목별)'!A760)</f>
        <v>2024.08</v>
      </c>
      <c r="B756" s="17" t="n">
        <f aca="false">IFERROR(VALUE(LEFT($A756,4)),"")</f>
        <v>2024</v>
      </c>
      <c r="C756" s="17" t="n">
        <f aca="false">IFERROR(VALUE(RIGHT($A756,2)),"")</f>
        <v>8</v>
      </c>
      <c r="D756" s="17" t="n">
        <f aca="false">IFERROR(ROUNDUP($C756/3,0),"")</f>
        <v>3</v>
      </c>
      <c r="E756" s="11" t="str">
        <f aca="false">TRIM('수출입 실적(품목별)'!B760)</f>
        <v>80</v>
      </c>
      <c r="F756" s="11" t="str">
        <f aca="false">TRIM('수출입 실적(품목별)'!C760)</f>
        <v>주석과 그 제품</v>
      </c>
      <c r="G756" s="18" t="n">
        <f aca="false">IFERROR(VALUE(SUBSTITUTE(TRIM('수출입 실적(품목별)'!D760),",","")),"")</f>
        <v>187.9</v>
      </c>
      <c r="H756" s="19" t="n">
        <f aca="false">IFERROR(VALUE(SUBSTITUTE(TRIM('수출입 실적(품목별)'!E760),",","")),"")</f>
        <v>8540</v>
      </c>
      <c r="I756" s="18" t="n">
        <f aca="false">IFERROR(VALUE(SUBSTITUTE(TRIM('수출입 실적(품목별)'!F760),",","")),"")</f>
        <v>1412.8</v>
      </c>
      <c r="J756" s="19" t="n">
        <f aca="false">IFERROR(VALUE(SUBSTITUTE(TRIM('수출입 실적(품목별)'!G760),",","")),"")</f>
        <v>47646</v>
      </c>
      <c r="K756" s="19" t="n">
        <f aca="false">IFERROR(VALUE(SUBSTITUTE(TRIM('수출입 실적(품목별)'!H760),",","")),"")</f>
        <v>-39106</v>
      </c>
    </row>
    <row r="757" customFormat="false" ht="15" hidden="false" customHeight="true" outlineLevel="0" collapsed="false">
      <c r="A757" s="11" t="str">
        <f aca="false">TRIM('수출입 실적(품목별)'!A761)</f>
        <v>2024.08</v>
      </c>
      <c r="B757" s="17" t="n">
        <f aca="false">IFERROR(VALUE(LEFT($A757,4)),"")</f>
        <v>2024</v>
      </c>
      <c r="C757" s="17" t="n">
        <f aca="false">IFERROR(VALUE(RIGHT($A757,2)),"")</f>
        <v>8</v>
      </c>
      <c r="D757" s="17" t="n">
        <f aca="false">IFERROR(ROUNDUP($C757/3,0),"")</f>
        <v>3</v>
      </c>
      <c r="E757" s="11" t="str">
        <f aca="false">TRIM('수출입 실적(품목별)'!B761)</f>
        <v>81</v>
      </c>
      <c r="F757" s="11" t="str">
        <f aca="false">TRIM('수출입 실적(품목별)'!C761)</f>
        <v>그 밖의 비금속(卑金屬), 서멧(cermet), 이들의 제품</v>
      </c>
      <c r="G757" s="18" t="n">
        <f aca="false">IFERROR(VALUE(SUBSTITUTE(TRIM('수출입 실적(품목별)'!D761),",","")),"")</f>
        <v>33319.9</v>
      </c>
      <c r="H757" s="19" t="n">
        <f aca="false">IFERROR(VALUE(SUBSTITUTE(TRIM('수출입 실적(품목별)'!E761),",","")),"")</f>
        <v>42483</v>
      </c>
      <c r="I757" s="18" t="n">
        <f aca="false">IFERROR(VALUE(SUBSTITUTE(TRIM('수출입 실적(품목별)'!F761),",","")),"")</f>
        <v>13135.7</v>
      </c>
      <c r="J757" s="19" t="n">
        <f aca="false">IFERROR(VALUE(SUBSTITUTE(TRIM('수출입 실적(품목별)'!G761),",","")),"")</f>
        <v>110829</v>
      </c>
      <c r="K757" s="19" t="n">
        <f aca="false">IFERROR(VALUE(SUBSTITUTE(TRIM('수출입 실적(품목별)'!H761),",","")),"")</f>
        <v>-68346</v>
      </c>
    </row>
    <row r="758" customFormat="false" ht="15" hidden="false" customHeight="true" outlineLevel="0" collapsed="false">
      <c r="A758" s="11" t="str">
        <f aca="false">TRIM('수출입 실적(품목별)'!A762)</f>
        <v>2024.08</v>
      </c>
      <c r="B758" s="17" t="n">
        <f aca="false">IFERROR(VALUE(LEFT($A758,4)),"")</f>
        <v>2024</v>
      </c>
      <c r="C758" s="17" t="n">
        <f aca="false">IFERROR(VALUE(RIGHT($A758,2)),"")</f>
        <v>8</v>
      </c>
      <c r="D758" s="17" t="n">
        <f aca="false">IFERROR(ROUNDUP($C758/3,0),"")</f>
        <v>3</v>
      </c>
      <c r="E758" s="11" t="str">
        <f aca="false">TRIM('수출입 실적(품목별)'!B762)</f>
        <v>82</v>
      </c>
      <c r="F758" s="11" t="str">
        <f aca="false">TRIM('수출입 실적(품목별)'!C762)</f>
        <v>비금속(卑金屬)으로 만든 공구ㆍ도구ㆍ칼붙이ㆍ스푼ㆍ포크, 이들의 부분품</v>
      </c>
      <c r="G758" s="18" t="n">
        <f aca="false">IFERROR(VALUE(SUBSTITUTE(TRIM('수출입 실적(품목별)'!D762),",","")),"")</f>
        <v>8007.3</v>
      </c>
      <c r="H758" s="19" t="n">
        <f aca="false">IFERROR(VALUE(SUBSTITUTE(TRIM('수출입 실적(품목별)'!E762),",","")),"")</f>
        <v>161672</v>
      </c>
      <c r="I758" s="18" t="n">
        <f aca="false">IFERROR(VALUE(SUBSTITUTE(TRIM('수출입 실적(품목별)'!F762),",","")),"")</f>
        <v>4929.8</v>
      </c>
      <c r="J758" s="19" t="n">
        <f aca="false">IFERROR(VALUE(SUBSTITUTE(TRIM('수출입 실적(품목별)'!G762),",","")),"")</f>
        <v>88551</v>
      </c>
      <c r="K758" s="19" t="n">
        <f aca="false">IFERROR(VALUE(SUBSTITUTE(TRIM('수출입 실적(품목별)'!H762),",","")),"")</f>
        <v>73120</v>
      </c>
    </row>
    <row r="759" customFormat="false" ht="15" hidden="false" customHeight="true" outlineLevel="0" collapsed="false">
      <c r="A759" s="11" t="str">
        <f aca="false">TRIM('수출입 실적(품목별)'!A763)</f>
        <v>2024.08</v>
      </c>
      <c r="B759" s="17" t="n">
        <f aca="false">IFERROR(VALUE(LEFT($A759,4)),"")</f>
        <v>2024</v>
      </c>
      <c r="C759" s="17" t="n">
        <f aca="false">IFERROR(VALUE(RIGHT($A759,2)),"")</f>
        <v>8</v>
      </c>
      <c r="D759" s="17" t="n">
        <f aca="false">IFERROR(ROUNDUP($C759/3,0),"")</f>
        <v>3</v>
      </c>
      <c r="E759" s="11" t="str">
        <f aca="false">TRIM('수출입 실적(품목별)'!B763)</f>
        <v>83</v>
      </c>
      <c r="F759" s="11" t="str">
        <f aca="false">TRIM('수출입 실적(품목별)'!C763)</f>
        <v>비금속(卑金屬)으로 만든 각종 제품</v>
      </c>
      <c r="G759" s="18" t="n">
        <f aca="false">IFERROR(VALUE(SUBSTITUTE(TRIM('수출입 실적(품목별)'!D763),",","")),"")</f>
        <v>25332.9</v>
      </c>
      <c r="H759" s="19" t="n">
        <f aca="false">IFERROR(VALUE(SUBSTITUTE(TRIM('수출입 실적(품목별)'!E763),",","")),"")</f>
        <v>144266</v>
      </c>
      <c r="I759" s="18" t="n">
        <f aca="false">IFERROR(VALUE(SUBSTITUTE(TRIM('수출입 실적(품목별)'!F763),",","")),"")</f>
        <v>12163.4</v>
      </c>
      <c r="J759" s="19" t="n">
        <f aca="false">IFERROR(VALUE(SUBSTITUTE(TRIM('수출입 실적(품목별)'!G763),",","")),"")</f>
        <v>80531</v>
      </c>
      <c r="K759" s="19" t="n">
        <f aca="false">IFERROR(VALUE(SUBSTITUTE(TRIM('수출입 실적(품목별)'!H763),",","")),"")</f>
        <v>63735</v>
      </c>
    </row>
    <row r="760" customFormat="false" ht="15" hidden="false" customHeight="true" outlineLevel="0" collapsed="false">
      <c r="A760" s="11" t="str">
        <f aca="false">TRIM('수출입 실적(품목별)'!A764)</f>
        <v>2024.08</v>
      </c>
      <c r="B760" s="17" t="n">
        <f aca="false">IFERROR(VALUE(LEFT($A760,4)),"")</f>
        <v>2024</v>
      </c>
      <c r="C760" s="17" t="n">
        <f aca="false">IFERROR(VALUE(RIGHT($A760,2)),"")</f>
        <v>8</v>
      </c>
      <c r="D760" s="17" t="n">
        <f aca="false">IFERROR(ROUNDUP($C760/3,0),"")</f>
        <v>3</v>
      </c>
      <c r="E760" s="11" t="str">
        <f aca="false">TRIM('수출입 실적(품목별)'!B764)</f>
        <v>84</v>
      </c>
      <c r="F760" s="11" t="str">
        <f aca="false">TRIM('수출입 실적(품목별)'!C764)</f>
        <v>원자로ㆍ보일러ㆍ기계류와 이들의 부분품</v>
      </c>
      <c r="G760" s="18" t="n">
        <f aca="false">IFERROR(VALUE(SUBSTITUTE(TRIM('수출입 실적(품목별)'!D764),",","")),"")</f>
        <v>330515.9</v>
      </c>
      <c r="H760" s="19" t="n">
        <f aca="false">IFERROR(VALUE(SUBSTITUTE(TRIM('수출입 실적(품목별)'!E764),",","")),"")</f>
        <v>6295152</v>
      </c>
      <c r="I760" s="18" t="n">
        <f aca="false">IFERROR(VALUE(SUBSTITUTE(TRIM('수출입 실적(품목별)'!F764),",","")),"")</f>
        <v>203410.5</v>
      </c>
      <c r="J760" s="19" t="n">
        <f aca="false">IFERROR(VALUE(SUBSTITUTE(TRIM('수출입 실적(품목별)'!G764),",","")),"")</f>
        <v>4895890</v>
      </c>
      <c r="K760" s="19" t="n">
        <f aca="false">IFERROR(VALUE(SUBSTITUTE(TRIM('수출입 실적(품목별)'!H764),",","")),"")</f>
        <v>1399262</v>
      </c>
    </row>
    <row r="761" customFormat="false" ht="15" hidden="false" customHeight="true" outlineLevel="0" collapsed="false">
      <c r="A761" s="11" t="str">
        <f aca="false">TRIM('수출입 실적(품목별)'!A765)</f>
        <v>2024.08</v>
      </c>
      <c r="B761" s="17" t="n">
        <f aca="false">IFERROR(VALUE(LEFT($A761,4)),"")</f>
        <v>2024</v>
      </c>
      <c r="C761" s="17" t="n">
        <f aca="false">IFERROR(VALUE(RIGHT($A761,2)),"")</f>
        <v>8</v>
      </c>
      <c r="D761" s="17" t="n">
        <f aca="false">IFERROR(ROUNDUP($C761/3,0),"")</f>
        <v>3</v>
      </c>
      <c r="E761" s="11" t="str">
        <f aca="false">TRIM('수출입 실적(품목별)'!B765)</f>
        <v>85</v>
      </c>
      <c r="F761" s="11" t="str">
        <f aca="false">TRIM('수출입 실적(품목별)'!C765)</f>
        <v>전기기기와 그 부분품, 녹음기ㆍ음성 재생기ㆍ텔레비전의 영상과 음성의 기록기ㆍ재생기와 이들의 부분품ㆍ부속품</v>
      </c>
      <c r="G761" s="18" t="n">
        <f aca="false">IFERROR(VALUE(SUBSTITUTE(TRIM('수출입 실적(품목별)'!D765),",","")),"")</f>
        <v>207069.9</v>
      </c>
      <c r="H761" s="19" t="n">
        <f aca="false">IFERROR(VALUE(SUBSTITUTE(TRIM('수출입 실적(품목별)'!E765),",","")),"")</f>
        <v>18743622</v>
      </c>
      <c r="I761" s="18" t="n">
        <f aca="false">IFERROR(VALUE(SUBSTITUTE(TRIM('수출입 실적(품목별)'!F765),",","")),"")</f>
        <v>179673.6</v>
      </c>
      <c r="J761" s="19" t="n">
        <f aca="false">IFERROR(VALUE(SUBSTITUTE(TRIM('수출입 실적(품목별)'!G765),",","")),"")</f>
        <v>10290659</v>
      </c>
      <c r="K761" s="19" t="n">
        <f aca="false">IFERROR(VALUE(SUBSTITUTE(TRIM('수출입 실적(품목별)'!H765),",","")),"")</f>
        <v>8452963</v>
      </c>
    </row>
    <row r="762" customFormat="false" ht="15" hidden="false" customHeight="true" outlineLevel="0" collapsed="false">
      <c r="A762" s="11" t="str">
        <f aca="false">TRIM('수출입 실적(품목별)'!A766)</f>
        <v>2024.08</v>
      </c>
      <c r="B762" s="17" t="n">
        <f aca="false">IFERROR(VALUE(LEFT($A762,4)),"")</f>
        <v>2024</v>
      </c>
      <c r="C762" s="17" t="n">
        <f aca="false">IFERROR(VALUE(RIGHT($A762,2)),"")</f>
        <v>8</v>
      </c>
      <c r="D762" s="17" t="n">
        <f aca="false">IFERROR(ROUNDUP($C762/3,0),"")</f>
        <v>3</v>
      </c>
      <c r="E762" s="11" t="str">
        <f aca="false">TRIM('수출입 실적(품목별)'!B766)</f>
        <v>86</v>
      </c>
      <c r="F762" s="11" t="str">
        <f aca="false">TRIM('수출입 실적(품목별)'!C766)</f>
        <v>철도용이나 궤도용 기관차ㆍ차량과 이들의 부분품, 철도용이나 궤도용 장비품과 그 부분품, 기계식(전기기계식을 포함한다) 각종 교통신호용 기기</v>
      </c>
      <c r="G762" s="18" t="n">
        <f aca="false">IFERROR(VALUE(SUBSTITUTE(TRIM('수출입 실적(품목별)'!D766),",","")),"")</f>
        <v>11532.5</v>
      </c>
      <c r="H762" s="19" t="n">
        <f aca="false">IFERROR(VALUE(SUBSTITUTE(TRIM('수출입 실적(품목별)'!E766),",","")),"")</f>
        <v>44059</v>
      </c>
      <c r="I762" s="18" t="n">
        <f aca="false">IFERROR(VALUE(SUBSTITUTE(TRIM('수출입 실적(품목별)'!F766),",","")),"")</f>
        <v>14769.4</v>
      </c>
      <c r="J762" s="19" t="n">
        <f aca="false">IFERROR(VALUE(SUBSTITUTE(TRIM('수출입 실적(품목별)'!G766),",","")),"")</f>
        <v>54333</v>
      </c>
      <c r="K762" s="19" t="n">
        <f aca="false">IFERROR(VALUE(SUBSTITUTE(TRIM('수출입 실적(품목별)'!H766),",","")),"")</f>
        <v>-10275</v>
      </c>
    </row>
    <row r="763" customFormat="false" ht="15" hidden="false" customHeight="true" outlineLevel="0" collapsed="false">
      <c r="A763" s="11" t="str">
        <f aca="false">TRIM('수출입 실적(품목별)'!A767)</f>
        <v>2024.08</v>
      </c>
      <c r="B763" s="17" t="n">
        <f aca="false">IFERROR(VALUE(LEFT($A763,4)),"")</f>
        <v>2024</v>
      </c>
      <c r="C763" s="17" t="n">
        <f aca="false">IFERROR(VALUE(RIGHT($A763,2)),"")</f>
        <v>8</v>
      </c>
      <c r="D763" s="17" t="n">
        <f aca="false">IFERROR(ROUNDUP($C763/3,0),"")</f>
        <v>3</v>
      </c>
      <c r="E763" s="11" t="str">
        <f aca="false">TRIM('수출입 실적(품목별)'!B767)</f>
        <v>87</v>
      </c>
      <c r="F763" s="11" t="str">
        <f aca="false">TRIM('수출입 실적(품목별)'!C767)</f>
        <v>철도용이나 궤도용 외의 차량과 그 부분품ㆍ부속품</v>
      </c>
      <c r="G763" s="18" t="n">
        <f aca="false">IFERROR(VALUE(SUBSTITUTE(TRIM('수출입 실적(품목별)'!D767),",","")),"")</f>
        <v>624577.9</v>
      </c>
      <c r="H763" s="19" t="n">
        <f aca="false">IFERROR(VALUE(SUBSTITUTE(TRIM('수출입 실적(품목별)'!E767),",","")),"")</f>
        <v>6715246</v>
      </c>
      <c r="I763" s="18" t="n">
        <f aca="false">IFERROR(VALUE(SUBSTITUTE(TRIM('수출입 실적(품목별)'!F767),",","")),"")</f>
        <v>100606.7</v>
      </c>
      <c r="J763" s="19" t="n">
        <f aca="false">IFERROR(VALUE(SUBSTITUTE(TRIM('수출입 실적(품목별)'!G767),",","")),"")</f>
        <v>1608372</v>
      </c>
      <c r="K763" s="19" t="n">
        <f aca="false">IFERROR(VALUE(SUBSTITUTE(TRIM('수출입 실적(품목별)'!H767),",","")),"")</f>
        <v>5106874</v>
      </c>
    </row>
    <row r="764" customFormat="false" ht="15" hidden="false" customHeight="true" outlineLevel="0" collapsed="false">
      <c r="A764" s="11" t="str">
        <f aca="false">TRIM('수출입 실적(품목별)'!A768)</f>
        <v>2024.08</v>
      </c>
      <c r="B764" s="17" t="n">
        <f aca="false">IFERROR(VALUE(LEFT($A764,4)),"")</f>
        <v>2024</v>
      </c>
      <c r="C764" s="17" t="n">
        <f aca="false">IFERROR(VALUE(RIGHT($A764,2)),"")</f>
        <v>8</v>
      </c>
      <c r="D764" s="17" t="n">
        <f aca="false">IFERROR(ROUNDUP($C764/3,0),"")</f>
        <v>3</v>
      </c>
      <c r="E764" s="11" t="str">
        <f aca="false">TRIM('수출입 실적(품목별)'!B768)</f>
        <v>88</v>
      </c>
      <c r="F764" s="11" t="str">
        <f aca="false">TRIM('수출입 실적(품목별)'!C768)</f>
        <v>항공기와 우주선, 이들의 부분품</v>
      </c>
      <c r="G764" s="18" t="n">
        <f aca="false">IFERROR(VALUE(SUBSTITUTE(TRIM('수출입 실적(품목별)'!D768),",","")),"")</f>
        <v>382</v>
      </c>
      <c r="H764" s="19" t="n">
        <f aca="false">IFERROR(VALUE(SUBSTITUTE(TRIM('수출입 실적(품목별)'!E768),",","")),"")</f>
        <v>109148</v>
      </c>
      <c r="I764" s="18" t="n">
        <f aca="false">IFERROR(VALUE(SUBSTITUTE(TRIM('수출입 실적(품목별)'!F768),",","")),"")</f>
        <v>402.7</v>
      </c>
      <c r="J764" s="19" t="n">
        <f aca="false">IFERROR(VALUE(SUBSTITUTE(TRIM('수출입 실적(품목별)'!G768),",","")),"")</f>
        <v>327669</v>
      </c>
      <c r="K764" s="19" t="n">
        <f aca="false">IFERROR(VALUE(SUBSTITUTE(TRIM('수출입 실적(품목별)'!H768),",","")),"")</f>
        <v>-218521</v>
      </c>
    </row>
    <row r="765" customFormat="false" ht="15" hidden="false" customHeight="true" outlineLevel="0" collapsed="false">
      <c r="A765" s="11" t="str">
        <f aca="false">TRIM('수출입 실적(품목별)'!A769)</f>
        <v>2024.08</v>
      </c>
      <c r="B765" s="17" t="n">
        <f aca="false">IFERROR(VALUE(LEFT($A765,4)),"")</f>
        <v>2024</v>
      </c>
      <c r="C765" s="17" t="n">
        <f aca="false">IFERROR(VALUE(RIGHT($A765,2)),"")</f>
        <v>8</v>
      </c>
      <c r="D765" s="17" t="n">
        <f aca="false">IFERROR(ROUNDUP($C765/3,0),"")</f>
        <v>3</v>
      </c>
      <c r="E765" s="11" t="str">
        <f aca="false">TRIM('수출입 실적(품목별)'!B769)</f>
        <v>89</v>
      </c>
      <c r="F765" s="11" t="str">
        <f aca="false">TRIM('수출입 실적(품목별)'!C769)</f>
        <v>선박과 수상 구조물</v>
      </c>
      <c r="G765" s="18" t="n">
        <f aca="false">IFERROR(VALUE(SUBSTITUTE(TRIM('수출입 실적(품목별)'!D769),",","")),"")</f>
        <v>1117460.2</v>
      </c>
      <c r="H765" s="19" t="n">
        <f aca="false">IFERROR(VALUE(SUBSTITUTE(TRIM('수출입 실적(품목별)'!E769),",","")),"")</f>
        <v>2697894</v>
      </c>
      <c r="I765" s="18" t="n">
        <f aca="false">IFERROR(VALUE(SUBSTITUTE(TRIM('수출입 실적(품목별)'!F769),",","")),"")</f>
        <v>435192.4</v>
      </c>
      <c r="J765" s="19" t="n">
        <f aca="false">IFERROR(VALUE(SUBSTITUTE(TRIM('수출입 실적(품목별)'!G769),",","")),"")</f>
        <v>499757</v>
      </c>
      <c r="K765" s="19" t="n">
        <f aca="false">IFERROR(VALUE(SUBSTITUTE(TRIM('수출입 실적(품목별)'!H769),",","")),"")</f>
        <v>2198137</v>
      </c>
    </row>
    <row r="766" customFormat="false" ht="15" hidden="false" customHeight="true" outlineLevel="0" collapsed="false">
      <c r="A766" s="11" t="str">
        <f aca="false">TRIM('수출입 실적(품목별)'!A770)</f>
        <v>2024.08</v>
      </c>
      <c r="B766" s="17" t="n">
        <f aca="false">IFERROR(VALUE(LEFT($A766,4)),"")</f>
        <v>2024</v>
      </c>
      <c r="C766" s="17" t="n">
        <f aca="false">IFERROR(VALUE(RIGHT($A766,2)),"")</f>
        <v>8</v>
      </c>
      <c r="D766" s="17" t="n">
        <f aca="false">IFERROR(ROUNDUP($C766/3,0),"")</f>
        <v>3</v>
      </c>
      <c r="E766" s="11" t="str">
        <f aca="false">TRIM('수출입 실적(품목별)'!B770)</f>
        <v>90</v>
      </c>
      <c r="F766" s="11" t="str">
        <f aca="false">TRIM('수출입 실적(품목별)'!C770)</f>
        <v>광학기기ㆍ사진용 기기ㆍ영화용 기기ㆍ측정기기ㆍ검사기기ㆍ정밀기기ㆍ의료용 기기, 이들의 부분품과 부속품</v>
      </c>
      <c r="G766" s="18" t="n">
        <f aca="false">IFERROR(VALUE(SUBSTITUTE(TRIM('수출입 실적(품목별)'!D770),",","")),"")</f>
        <v>15632.9</v>
      </c>
      <c r="H766" s="19" t="n">
        <f aca="false">IFERROR(VALUE(SUBSTITUTE(TRIM('수출입 실적(품목별)'!E770),",","")),"")</f>
        <v>1374772</v>
      </c>
      <c r="I766" s="18" t="n">
        <f aca="false">IFERROR(VALUE(SUBSTITUTE(TRIM('수출입 실적(품목별)'!F770),",","")),"")</f>
        <v>16003.7</v>
      </c>
      <c r="J766" s="19" t="n">
        <f aca="false">IFERROR(VALUE(SUBSTITUTE(TRIM('수출입 실적(품목별)'!G770),",","")),"")</f>
        <v>1930165</v>
      </c>
      <c r="K766" s="19" t="n">
        <f aca="false">IFERROR(VALUE(SUBSTITUTE(TRIM('수출입 실적(품목별)'!H770),",","")),"")</f>
        <v>-555393</v>
      </c>
    </row>
    <row r="767" customFormat="false" ht="15" hidden="false" customHeight="true" outlineLevel="0" collapsed="false">
      <c r="A767" s="11" t="str">
        <f aca="false">TRIM('수출입 실적(품목별)'!A771)</f>
        <v>2024.08</v>
      </c>
      <c r="B767" s="17" t="n">
        <f aca="false">IFERROR(VALUE(LEFT($A767,4)),"")</f>
        <v>2024</v>
      </c>
      <c r="C767" s="17" t="n">
        <f aca="false">IFERROR(VALUE(RIGHT($A767,2)),"")</f>
        <v>8</v>
      </c>
      <c r="D767" s="17" t="n">
        <f aca="false">IFERROR(ROUNDUP($C767/3,0),"")</f>
        <v>3</v>
      </c>
      <c r="E767" s="11" t="str">
        <f aca="false">TRIM('수출입 실적(품목별)'!B771)</f>
        <v>91</v>
      </c>
      <c r="F767" s="11" t="str">
        <f aca="false">TRIM('수출입 실적(품목별)'!C771)</f>
        <v>시계와 그 부분품</v>
      </c>
      <c r="G767" s="18" t="n">
        <f aca="false">IFERROR(VALUE(SUBSTITUTE(TRIM('수출입 실적(품목별)'!D771),",","")),"")</f>
        <v>15.9</v>
      </c>
      <c r="H767" s="19" t="n">
        <f aca="false">IFERROR(VALUE(SUBSTITUTE(TRIM('수출입 실적(품목별)'!E771),",","")),"")</f>
        <v>10395</v>
      </c>
      <c r="I767" s="18" t="n">
        <f aca="false">IFERROR(VALUE(SUBSTITUTE(TRIM('수출입 실적(품목별)'!F771),",","")),"")</f>
        <v>294.6</v>
      </c>
      <c r="J767" s="19" t="n">
        <f aca="false">IFERROR(VALUE(SUBSTITUTE(TRIM('수출입 실적(품목별)'!G771),",","")),"")</f>
        <v>79249</v>
      </c>
      <c r="K767" s="19" t="n">
        <f aca="false">IFERROR(VALUE(SUBSTITUTE(TRIM('수출입 실적(품목별)'!H771),",","")),"")</f>
        <v>-68853</v>
      </c>
    </row>
    <row r="768" customFormat="false" ht="15" hidden="false" customHeight="true" outlineLevel="0" collapsed="false">
      <c r="A768" s="11" t="str">
        <f aca="false">TRIM('수출입 실적(품목별)'!A772)</f>
        <v>2024.08</v>
      </c>
      <c r="B768" s="17" t="n">
        <f aca="false">IFERROR(VALUE(LEFT($A768,4)),"")</f>
        <v>2024</v>
      </c>
      <c r="C768" s="17" t="n">
        <f aca="false">IFERROR(VALUE(RIGHT($A768,2)),"")</f>
        <v>8</v>
      </c>
      <c r="D768" s="17" t="n">
        <f aca="false">IFERROR(ROUNDUP($C768/3,0),"")</f>
        <v>3</v>
      </c>
      <c r="E768" s="11" t="str">
        <f aca="false">TRIM('수출입 실적(품목별)'!B772)</f>
        <v>92</v>
      </c>
      <c r="F768" s="11" t="str">
        <f aca="false">TRIM('수출입 실적(품목별)'!C772)</f>
        <v>악기와 그 부분품과 부속품</v>
      </c>
      <c r="G768" s="18" t="n">
        <f aca="false">IFERROR(VALUE(SUBSTITUTE(TRIM('수출입 실적(품목별)'!D772),",","")),"")</f>
        <v>463.9</v>
      </c>
      <c r="H768" s="19" t="n">
        <f aca="false">IFERROR(VALUE(SUBSTITUTE(TRIM('수출입 실적(품목별)'!E772),",","")),"")</f>
        <v>8502</v>
      </c>
      <c r="I768" s="18" t="n">
        <f aca="false">IFERROR(VALUE(SUBSTITUTE(TRIM('수출입 실적(품목별)'!F772),",","")),"")</f>
        <v>628.8</v>
      </c>
      <c r="J768" s="19" t="n">
        <f aca="false">IFERROR(VALUE(SUBSTITUTE(TRIM('수출입 실적(품목별)'!G772),",","")),"")</f>
        <v>16747</v>
      </c>
      <c r="K768" s="19" t="n">
        <f aca="false">IFERROR(VALUE(SUBSTITUTE(TRIM('수출입 실적(품목별)'!H772),",","")),"")</f>
        <v>-8245</v>
      </c>
    </row>
    <row r="769" customFormat="false" ht="15" hidden="false" customHeight="true" outlineLevel="0" collapsed="false">
      <c r="A769" s="11" t="str">
        <f aca="false">TRIM('수출입 실적(품목별)'!A773)</f>
        <v>2024.08</v>
      </c>
      <c r="B769" s="17" t="n">
        <f aca="false">IFERROR(VALUE(LEFT($A769,4)),"")</f>
        <v>2024</v>
      </c>
      <c r="C769" s="17" t="n">
        <f aca="false">IFERROR(VALUE(RIGHT($A769,2)),"")</f>
        <v>8</v>
      </c>
      <c r="D769" s="17" t="n">
        <f aca="false">IFERROR(ROUNDUP($C769/3,0),"")</f>
        <v>3</v>
      </c>
      <c r="E769" s="11" t="str">
        <f aca="false">TRIM('수출입 실적(품목별)'!B773)</f>
        <v>93</v>
      </c>
      <c r="F769" s="11" t="str">
        <f aca="false">TRIM('수출입 실적(품목별)'!C773)</f>
        <v>무기ㆍ총포탄과 이들의 부분품과 부속품</v>
      </c>
      <c r="G769" s="18" t="n">
        <f aca="false">IFERROR(VALUE(SUBSTITUTE(TRIM('수출입 실적(품목별)'!D773),",","")),"")</f>
        <v>4051.8</v>
      </c>
      <c r="H769" s="19" t="n">
        <f aca="false">IFERROR(VALUE(SUBSTITUTE(TRIM('수출입 실적(품목별)'!E773),",","")),"")</f>
        <v>318518</v>
      </c>
      <c r="I769" s="18" t="n">
        <f aca="false">IFERROR(VALUE(SUBSTITUTE(TRIM('수출입 실적(품목별)'!F773),",","")),"")</f>
        <v>223.4</v>
      </c>
      <c r="J769" s="19" t="n">
        <f aca="false">IFERROR(VALUE(SUBSTITUTE(TRIM('수출입 실적(품목별)'!G773),",","")),"")</f>
        <v>46789</v>
      </c>
      <c r="K769" s="19" t="n">
        <f aca="false">IFERROR(VALUE(SUBSTITUTE(TRIM('수출입 실적(품목별)'!H773),",","")),"")</f>
        <v>271729</v>
      </c>
    </row>
    <row r="770" customFormat="false" ht="15" hidden="false" customHeight="true" outlineLevel="0" collapsed="false">
      <c r="A770" s="11" t="str">
        <f aca="false">TRIM('수출입 실적(품목별)'!A774)</f>
        <v>2024.08</v>
      </c>
      <c r="B770" s="17" t="n">
        <f aca="false">IFERROR(VALUE(LEFT($A770,4)),"")</f>
        <v>2024</v>
      </c>
      <c r="C770" s="17" t="n">
        <f aca="false">IFERROR(VALUE(RIGHT($A770,2)),"")</f>
        <v>8</v>
      </c>
      <c r="D770" s="17" t="n">
        <f aca="false">IFERROR(ROUNDUP($C770/3,0),"")</f>
        <v>3</v>
      </c>
      <c r="E770" s="11" t="str">
        <f aca="false">TRIM('수출입 실적(품목별)'!B774)</f>
        <v>94</v>
      </c>
      <c r="F770" s="11" t="str">
        <f aca="false">TRIM('수출입 실적(품목별)'!C774)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770" s="18" t="n">
        <f aca="false">IFERROR(VALUE(SUBSTITUTE(TRIM('수출입 실적(품목별)'!D774),",","")),"")</f>
        <v>16122.5</v>
      </c>
      <c r="H770" s="19" t="n">
        <f aca="false">IFERROR(VALUE(SUBSTITUTE(TRIM('수출입 실적(품목별)'!E774),",","")),"")</f>
        <v>114566</v>
      </c>
      <c r="I770" s="18" t="n">
        <f aca="false">IFERROR(VALUE(SUBSTITUTE(TRIM('수출입 실적(품목별)'!F774),",","")),"")</f>
        <v>70240.4</v>
      </c>
      <c r="J770" s="19" t="n">
        <f aca="false">IFERROR(VALUE(SUBSTITUTE(TRIM('수출입 실적(품목별)'!G774),",","")),"")</f>
        <v>318216</v>
      </c>
      <c r="K770" s="19" t="n">
        <f aca="false">IFERROR(VALUE(SUBSTITUTE(TRIM('수출입 실적(품목별)'!H774),",","")),"")</f>
        <v>-203650</v>
      </c>
    </row>
    <row r="771" customFormat="false" ht="15" hidden="false" customHeight="true" outlineLevel="0" collapsed="false">
      <c r="A771" s="11" t="str">
        <f aca="false">TRIM('수출입 실적(품목별)'!A775)</f>
        <v>2024.08</v>
      </c>
      <c r="B771" s="17" t="n">
        <f aca="false">IFERROR(VALUE(LEFT($A771,4)),"")</f>
        <v>2024</v>
      </c>
      <c r="C771" s="17" t="n">
        <f aca="false">IFERROR(VALUE(RIGHT($A771,2)),"")</f>
        <v>8</v>
      </c>
      <c r="D771" s="17" t="n">
        <f aca="false">IFERROR(ROUNDUP($C771/3,0),"")</f>
        <v>3</v>
      </c>
      <c r="E771" s="11" t="str">
        <f aca="false">TRIM('수출입 실적(품목별)'!B775)</f>
        <v>95</v>
      </c>
      <c r="F771" s="11" t="str">
        <f aca="false">TRIM('수출입 실적(품목별)'!C775)</f>
        <v>완구ㆍ게임용구ㆍ운동용구와 이들의 부분품과 부속품</v>
      </c>
      <c r="G771" s="18" t="n">
        <f aca="false">IFERROR(VALUE(SUBSTITUTE(TRIM('수출입 실적(품목별)'!D775),",","")),"")</f>
        <v>1970.4</v>
      </c>
      <c r="H771" s="19" t="n">
        <f aca="false">IFERROR(VALUE(SUBSTITUTE(TRIM('수출입 실적(품목별)'!E775),",","")),"")</f>
        <v>42643</v>
      </c>
      <c r="I771" s="18" t="n">
        <f aca="false">IFERROR(VALUE(SUBSTITUTE(TRIM('수출입 실적(품목별)'!F775),",","")),"")</f>
        <v>13958.5</v>
      </c>
      <c r="J771" s="19" t="n">
        <f aca="false">IFERROR(VALUE(SUBSTITUTE(TRIM('수출입 실적(품목별)'!G775),",","")),"")</f>
        <v>189026</v>
      </c>
      <c r="K771" s="19" t="n">
        <f aca="false">IFERROR(VALUE(SUBSTITUTE(TRIM('수출입 실적(품목별)'!H775),",","")),"")</f>
        <v>-146383</v>
      </c>
    </row>
    <row r="772" customFormat="false" ht="15" hidden="false" customHeight="true" outlineLevel="0" collapsed="false">
      <c r="A772" s="11" t="str">
        <f aca="false">TRIM('수출입 실적(품목별)'!A776)</f>
        <v>2024.08</v>
      </c>
      <c r="B772" s="17" t="n">
        <f aca="false">IFERROR(VALUE(LEFT($A772,4)),"")</f>
        <v>2024</v>
      </c>
      <c r="C772" s="17" t="n">
        <f aca="false">IFERROR(VALUE(RIGHT($A772,2)),"")</f>
        <v>8</v>
      </c>
      <c r="D772" s="17" t="n">
        <f aca="false">IFERROR(ROUNDUP($C772/3,0),"")</f>
        <v>3</v>
      </c>
      <c r="E772" s="11" t="str">
        <f aca="false">TRIM('수출입 실적(품목별)'!B776)</f>
        <v>96</v>
      </c>
      <c r="F772" s="11" t="str">
        <f aca="false">TRIM('수출입 실적(품목별)'!C776)</f>
        <v>잡품</v>
      </c>
      <c r="G772" s="18" t="n">
        <f aca="false">IFERROR(VALUE(SUBSTITUTE(TRIM('수출입 실적(품목별)'!D776),",","")),"")</f>
        <v>2059.3</v>
      </c>
      <c r="H772" s="19" t="n">
        <f aca="false">IFERROR(VALUE(SUBSTITUTE(TRIM('수출입 실적(품목별)'!E776),",","")),"")</f>
        <v>34177</v>
      </c>
      <c r="I772" s="18" t="n">
        <f aca="false">IFERROR(VALUE(SUBSTITUTE(TRIM('수출입 실적(품목별)'!F776),",","")),"")</f>
        <v>10008.5</v>
      </c>
      <c r="J772" s="19" t="n">
        <f aca="false">IFERROR(VALUE(SUBSTITUTE(TRIM('수출입 실적(품목별)'!G776),",","")),"")</f>
        <v>89851</v>
      </c>
      <c r="K772" s="19" t="n">
        <f aca="false">IFERROR(VALUE(SUBSTITUTE(TRIM('수출입 실적(품목별)'!H776),",","")),"")</f>
        <v>-55673</v>
      </c>
    </row>
    <row r="773" customFormat="false" ht="15" hidden="false" customHeight="true" outlineLevel="0" collapsed="false">
      <c r="A773" s="11" t="str">
        <f aca="false">TRIM('수출입 실적(품목별)'!A777)</f>
        <v>2024.08</v>
      </c>
      <c r="B773" s="17" t="n">
        <f aca="false">IFERROR(VALUE(LEFT($A773,4)),"")</f>
        <v>2024</v>
      </c>
      <c r="C773" s="17" t="n">
        <f aca="false">IFERROR(VALUE(RIGHT($A773,2)),"")</f>
        <v>8</v>
      </c>
      <c r="D773" s="17" t="n">
        <f aca="false">IFERROR(ROUNDUP($C773/3,0),"")</f>
        <v>3</v>
      </c>
      <c r="E773" s="11" t="str">
        <f aca="false">TRIM('수출입 실적(품목별)'!B777)</f>
        <v>97</v>
      </c>
      <c r="F773" s="11" t="str">
        <f aca="false">TRIM('수출입 실적(품목별)'!C777)</f>
        <v>예술품ㆍ수집품ㆍ골동품</v>
      </c>
      <c r="G773" s="18" t="n">
        <f aca="false">IFERROR(VALUE(SUBSTITUTE(TRIM('수출입 실적(품목별)'!D777),",","")),"")</f>
        <v>7.3</v>
      </c>
      <c r="H773" s="19" t="n">
        <f aca="false">IFERROR(VALUE(SUBSTITUTE(TRIM('수출입 실적(품목별)'!E777),",","")),"")</f>
        <v>14718</v>
      </c>
      <c r="I773" s="18" t="n">
        <f aca="false">IFERROR(VALUE(SUBSTITUTE(TRIM('수출입 실적(품목별)'!F777),",","")),"")</f>
        <v>77</v>
      </c>
      <c r="J773" s="19" t="n">
        <f aca="false">IFERROR(VALUE(SUBSTITUTE(TRIM('수출입 실적(품목별)'!G777),",","")),"")</f>
        <v>92881</v>
      </c>
      <c r="K773" s="19" t="n">
        <f aca="false">IFERROR(VALUE(SUBSTITUTE(TRIM('수출입 실적(품목별)'!H777),",","")),"")</f>
        <v>-78163</v>
      </c>
    </row>
    <row r="774" customFormat="false" ht="15" hidden="false" customHeight="true" outlineLevel="0" collapsed="false">
      <c r="A774" s="11" t="str">
        <f aca="false">TRIM('수출입 실적(품목별)'!A778)</f>
        <v>2024.08</v>
      </c>
      <c r="B774" s="17" t="n">
        <f aca="false">IFERROR(VALUE(LEFT($A774,4)),"")</f>
        <v>2024</v>
      </c>
      <c r="C774" s="17" t="n">
        <f aca="false">IFERROR(VALUE(RIGHT($A774,2)),"")</f>
        <v>8</v>
      </c>
      <c r="D774" s="17" t="n">
        <f aca="false">IFERROR(ROUNDUP($C774/3,0),"")</f>
        <v>3</v>
      </c>
      <c r="E774" s="11" t="str">
        <f aca="false">TRIM('수출입 실적(품목별)'!B778)</f>
        <v>99</v>
      </c>
      <c r="F774" s="11" t="str">
        <f aca="false">TRIM('수출입 실적(품목별)'!C778)</f>
        <v>일시적 입법 ; 설치된 간이 수정에 따른 입법을 트레이드한다 ; 추가적 수입제한농업인 것의 제 22 부에 따른 확립된 것 조정 행위, 수정된 것처럼</v>
      </c>
      <c r="G774" s="18" t="n">
        <f aca="false">IFERROR(VALUE(SUBSTITUTE(TRIM('수출입 실적(품목별)'!D778),",","")),"")</f>
        <v>0</v>
      </c>
      <c r="H774" s="19" t="n">
        <f aca="false">IFERROR(VALUE(SUBSTITUTE(TRIM('수출입 실적(품목별)'!E778),",","")),"")</f>
        <v>0</v>
      </c>
      <c r="I774" s="18" t="n">
        <f aca="false">IFERROR(VALUE(SUBSTITUTE(TRIM('수출입 실적(품목별)'!F778),",","")),"")</f>
        <v>0</v>
      </c>
      <c r="J774" s="19" t="n">
        <f aca="false">IFERROR(VALUE(SUBSTITUTE(TRIM('수출입 실적(품목별)'!G778),",","")),"")</f>
        <v>0</v>
      </c>
      <c r="K774" s="19" t="n">
        <f aca="false">IFERROR(VALUE(SUBSTITUTE(TRIM('수출입 실적(품목별)'!H778),",","")),"")</f>
        <v>0</v>
      </c>
    </row>
    <row r="775" customFormat="false" ht="15" hidden="false" customHeight="true" outlineLevel="0" collapsed="false">
      <c r="A775" s="11" t="str">
        <f aca="false">TRIM('수출입 실적(품목별)'!A779)</f>
        <v>2024.09</v>
      </c>
      <c r="B775" s="17" t="n">
        <f aca="false">IFERROR(VALUE(LEFT($A775,4)),"")</f>
        <v>2024</v>
      </c>
      <c r="C775" s="17" t="n">
        <f aca="false">IFERROR(VALUE(RIGHT($A775,2)),"")</f>
        <v>9</v>
      </c>
      <c r="D775" s="17" t="n">
        <f aca="false">IFERROR(ROUNDUP($C775/3,0),"")</f>
        <v>3</v>
      </c>
      <c r="E775" s="11" t="str">
        <f aca="false">TRIM('수출입 실적(품목별)'!B779)</f>
        <v>01</v>
      </c>
      <c r="F775" s="11" t="str">
        <f aca="false">TRIM('수출입 실적(품목별)'!C779)</f>
        <v>살아 있는 동물</v>
      </c>
      <c r="G775" s="18" t="n">
        <f aca="false">IFERROR(VALUE(SUBSTITUTE(TRIM('수출입 실적(품목별)'!D779),",","")),"")</f>
        <v>1.1</v>
      </c>
      <c r="H775" s="19" t="n">
        <f aca="false">IFERROR(VALUE(SUBSTITUTE(TRIM('수출입 실적(품목별)'!E779),",","")),"")</f>
        <v>411</v>
      </c>
      <c r="I775" s="18" t="n">
        <f aca="false">IFERROR(VALUE(SUBSTITUTE(TRIM('수출입 실적(품목별)'!F779),",","")),"")</f>
        <v>66.8</v>
      </c>
      <c r="J775" s="19" t="n">
        <f aca="false">IFERROR(VALUE(SUBSTITUTE(TRIM('수출입 실적(품목별)'!G779),",","")),"")</f>
        <v>12678</v>
      </c>
      <c r="K775" s="19" t="n">
        <f aca="false">IFERROR(VALUE(SUBSTITUTE(TRIM('수출입 실적(품목별)'!H779),",","")),"")</f>
        <v>-12266</v>
      </c>
    </row>
    <row r="776" customFormat="false" ht="15" hidden="false" customHeight="true" outlineLevel="0" collapsed="false">
      <c r="A776" s="11" t="str">
        <f aca="false">TRIM('수출입 실적(품목별)'!A780)</f>
        <v>2024.09</v>
      </c>
      <c r="B776" s="17" t="n">
        <f aca="false">IFERROR(VALUE(LEFT($A776,4)),"")</f>
        <v>2024</v>
      </c>
      <c r="C776" s="17" t="n">
        <f aca="false">IFERROR(VALUE(RIGHT($A776,2)),"")</f>
        <v>9</v>
      </c>
      <c r="D776" s="17" t="n">
        <f aca="false">IFERROR(ROUNDUP($C776/3,0),"")</f>
        <v>3</v>
      </c>
      <c r="E776" s="11" t="str">
        <f aca="false">TRIM('수출입 실적(품목별)'!B780)</f>
        <v>02</v>
      </c>
      <c r="F776" s="11" t="str">
        <f aca="false">TRIM('수출입 실적(품목별)'!C780)</f>
        <v>육과 식용 설육(屑肉)</v>
      </c>
      <c r="G776" s="18" t="n">
        <f aca="false">IFERROR(VALUE(SUBSTITUTE(TRIM('수출입 실적(품목별)'!D780),",","")),"")</f>
        <v>5850.4</v>
      </c>
      <c r="H776" s="19" t="n">
        <f aca="false">IFERROR(VALUE(SUBSTITUTE(TRIM('수출입 실적(품목별)'!E780),",","")),"")</f>
        <v>7631</v>
      </c>
      <c r="I776" s="18" t="n">
        <f aca="false">IFERROR(VALUE(SUBSTITUTE(TRIM('수출입 실적(품목별)'!F780),",","")),"")</f>
        <v>100884.9</v>
      </c>
      <c r="J776" s="19" t="n">
        <f aca="false">IFERROR(VALUE(SUBSTITUTE(TRIM('수출입 실적(품목별)'!G780),",","")),"")</f>
        <v>519136</v>
      </c>
      <c r="K776" s="19" t="n">
        <f aca="false">IFERROR(VALUE(SUBSTITUTE(TRIM('수출입 실적(품목별)'!H780),",","")),"")</f>
        <v>-511505</v>
      </c>
    </row>
    <row r="777" customFormat="false" ht="15" hidden="false" customHeight="true" outlineLevel="0" collapsed="false">
      <c r="A777" s="11" t="str">
        <f aca="false">TRIM('수출입 실적(품목별)'!A781)</f>
        <v>2024.09</v>
      </c>
      <c r="B777" s="17" t="n">
        <f aca="false">IFERROR(VALUE(LEFT($A777,4)),"")</f>
        <v>2024</v>
      </c>
      <c r="C777" s="17" t="n">
        <f aca="false">IFERROR(VALUE(RIGHT($A777,2)),"")</f>
        <v>9</v>
      </c>
      <c r="D777" s="17" t="n">
        <f aca="false">IFERROR(ROUNDUP($C777/3,0),"")</f>
        <v>3</v>
      </c>
      <c r="E777" s="11" t="str">
        <f aca="false">TRIM('수출입 실적(품목별)'!B781)</f>
        <v>03</v>
      </c>
      <c r="F777" s="11" t="str">
        <f aca="false">TRIM('수출입 실적(품목별)'!C781)</f>
        <v>어류ㆍ갑각류ㆍ연체동물과 그 밖의 수생(水生) 무척추동물</v>
      </c>
      <c r="G777" s="18" t="n">
        <f aca="false">IFERROR(VALUE(SUBSTITUTE(TRIM('수출입 실적(품목별)'!D781),",","")),"")</f>
        <v>45873.6</v>
      </c>
      <c r="H777" s="19" t="n">
        <f aca="false">IFERROR(VALUE(SUBSTITUTE(TRIM('수출입 실적(품목별)'!E781),",","")),"")</f>
        <v>127512</v>
      </c>
      <c r="I777" s="18" t="n">
        <f aca="false">IFERROR(VALUE(SUBSTITUTE(TRIM('수출입 실적(품목별)'!F781),",","")),"")</f>
        <v>95134.9</v>
      </c>
      <c r="J777" s="19" t="n">
        <f aca="false">IFERROR(VALUE(SUBSTITUTE(TRIM('수출입 실적(품목별)'!G781),",","")),"")</f>
        <v>381032</v>
      </c>
      <c r="K777" s="19" t="n">
        <f aca="false">IFERROR(VALUE(SUBSTITUTE(TRIM('수출입 실적(품목별)'!H781),",","")),"")</f>
        <v>-253519</v>
      </c>
    </row>
    <row r="778" customFormat="false" ht="15" hidden="false" customHeight="true" outlineLevel="0" collapsed="false">
      <c r="A778" s="11" t="str">
        <f aca="false">TRIM('수출입 실적(품목별)'!A782)</f>
        <v>2024.09</v>
      </c>
      <c r="B778" s="17" t="n">
        <f aca="false">IFERROR(VALUE(LEFT($A778,4)),"")</f>
        <v>2024</v>
      </c>
      <c r="C778" s="17" t="n">
        <f aca="false">IFERROR(VALUE(RIGHT($A778,2)),"")</f>
        <v>9</v>
      </c>
      <c r="D778" s="17" t="n">
        <f aca="false">IFERROR(ROUNDUP($C778/3,0),"")</f>
        <v>3</v>
      </c>
      <c r="E778" s="11" t="str">
        <f aca="false">TRIM('수출입 실적(품목별)'!B782)</f>
        <v>04</v>
      </c>
      <c r="F778" s="11" t="str">
        <f aca="false">TRIM('수출입 실적(품목별)'!C782)</f>
        <v>낙농품, 새의 알, 천연꿀, 다른 류로 분류되지 않은 식용인 동물성 생산품</v>
      </c>
      <c r="G778" s="18" t="n">
        <f aca="false">IFERROR(VALUE(SUBSTITUTE(TRIM('수출입 실적(품목별)'!D782),",","")),"")</f>
        <v>2550.4</v>
      </c>
      <c r="H778" s="19" t="n">
        <f aca="false">IFERROR(VALUE(SUBSTITUTE(TRIM('수출입 실적(품목별)'!E782),",","")),"")</f>
        <v>7152</v>
      </c>
      <c r="I778" s="18" t="n">
        <f aca="false">IFERROR(VALUE(SUBSTITUTE(TRIM('수출입 실적(품목별)'!F782),",","")),"")</f>
        <v>27117.8</v>
      </c>
      <c r="J778" s="19" t="n">
        <f aca="false">IFERROR(VALUE(SUBSTITUTE(TRIM('수출입 실적(품목별)'!G782),",","")),"")</f>
        <v>116769</v>
      </c>
      <c r="K778" s="19" t="n">
        <f aca="false">IFERROR(VALUE(SUBSTITUTE(TRIM('수출입 실적(품목별)'!H782),",","")),"")</f>
        <v>-109617</v>
      </c>
    </row>
    <row r="779" customFormat="false" ht="15" hidden="false" customHeight="true" outlineLevel="0" collapsed="false">
      <c r="A779" s="11" t="str">
        <f aca="false">TRIM('수출입 실적(품목별)'!A783)</f>
        <v>2024.09</v>
      </c>
      <c r="B779" s="17" t="n">
        <f aca="false">IFERROR(VALUE(LEFT($A779,4)),"")</f>
        <v>2024</v>
      </c>
      <c r="C779" s="17" t="n">
        <f aca="false">IFERROR(VALUE(RIGHT($A779,2)),"")</f>
        <v>9</v>
      </c>
      <c r="D779" s="17" t="n">
        <f aca="false">IFERROR(ROUNDUP($C779/3,0),"")</f>
        <v>3</v>
      </c>
      <c r="E779" s="11" t="str">
        <f aca="false">TRIM('수출입 실적(품목별)'!B783)</f>
        <v>05</v>
      </c>
      <c r="F779" s="11" t="str">
        <f aca="false">TRIM('수출입 실적(품목별)'!C783)</f>
        <v>다른 류로 분류되지 않은 동물성 생산품</v>
      </c>
      <c r="G779" s="18" t="n">
        <f aca="false">IFERROR(VALUE(SUBSTITUTE(TRIM('수출입 실적(품목별)'!D783),",","")),"")</f>
        <v>1171.5</v>
      </c>
      <c r="H779" s="19" t="n">
        <f aca="false">IFERROR(VALUE(SUBSTITUTE(TRIM('수출입 실적(품목별)'!E783),",","")),"")</f>
        <v>4482</v>
      </c>
      <c r="I779" s="18" t="n">
        <f aca="false">IFERROR(VALUE(SUBSTITUTE(TRIM('수출입 실적(품목별)'!F783),",","")),"")</f>
        <v>3880.7</v>
      </c>
      <c r="J779" s="19" t="n">
        <f aca="false">IFERROR(VALUE(SUBSTITUTE(TRIM('수출입 실적(품목별)'!G783),",","")),"")</f>
        <v>21819</v>
      </c>
      <c r="K779" s="19" t="n">
        <f aca="false">IFERROR(VALUE(SUBSTITUTE(TRIM('수출입 실적(품목별)'!H783),",","")),"")</f>
        <v>-17337</v>
      </c>
    </row>
    <row r="780" customFormat="false" ht="15" hidden="false" customHeight="true" outlineLevel="0" collapsed="false">
      <c r="A780" s="11" t="str">
        <f aca="false">TRIM('수출입 실적(품목별)'!A784)</f>
        <v>2024.09</v>
      </c>
      <c r="B780" s="17" t="n">
        <f aca="false">IFERROR(VALUE(LEFT($A780,4)),"")</f>
        <v>2024</v>
      </c>
      <c r="C780" s="17" t="n">
        <f aca="false">IFERROR(VALUE(RIGHT($A780,2)),"")</f>
        <v>9</v>
      </c>
      <c r="D780" s="17" t="n">
        <f aca="false">IFERROR(ROUNDUP($C780/3,0),"")</f>
        <v>3</v>
      </c>
      <c r="E780" s="11" t="str">
        <f aca="false">TRIM('수출입 실적(품목별)'!B784)</f>
        <v>06</v>
      </c>
      <c r="F780" s="11" t="str">
        <f aca="false">TRIM('수출입 실적(품목별)'!C784)</f>
        <v>살아 있는 수목과 그 밖의 식물, 인경(鱗莖)ㆍ뿌리와 이와 유사한 물품, 절화(切花)와 장식용 잎</v>
      </c>
      <c r="G780" s="18" t="n">
        <f aca="false">IFERROR(VALUE(SUBSTITUTE(TRIM('수출입 실적(품목별)'!D784),",","")),"")</f>
        <v>32.2</v>
      </c>
      <c r="H780" s="19" t="n">
        <f aca="false">IFERROR(VALUE(SUBSTITUTE(TRIM('수출입 실적(품목별)'!E784),",","")),"")</f>
        <v>269</v>
      </c>
      <c r="I780" s="18" t="n">
        <f aca="false">IFERROR(VALUE(SUBSTITUTE(TRIM('수출입 실적(품목별)'!F784),",","")),"")</f>
        <v>5770.3</v>
      </c>
      <c r="J780" s="19" t="n">
        <f aca="false">IFERROR(VALUE(SUBSTITUTE(TRIM('수출입 실적(품목별)'!G784),",","")),"")</f>
        <v>12190</v>
      </c>
      <c r="K780" s="19" t="n">
        <f aca="false">IFERROR(VALUE(SUBSTITUTE(TRIM('수출입 실적(품목별)'!H784),",","")),"")</f>
        <v>-11921</v>
      </c>
    </row>
    <row r="781" customFormat="false" ht="15" hidden="false" customHeight="true" outlineLevel="0" collapsed="false">
      <c r="A781" s="11" t="str">
        <f aca="false">TRIM('수출입 실적(품목별)'!A785)</f>
        <v>2024.09</v>
      </c>
      <c r="B781" s="17" t="n">
        <f aca="false">IFERROR(VALUE(LEFT($A781,4)),"")</f>
        <v>2024</v>
      </c>
      <c r="C781" s="17" t="n">
        <f aca="false">IFERROR(VALUE(RIGHT($A781,2)),"")</f>
        <v>9</v>
      </c>
      <c r="D781" s="17" t="n">
        <f aca="false">IFERROR(ROUNDUP($C781/3,0),"")</f>
        <v>3</v>
      </c>
      <c r="E781" s="11" t="str">
        <f aca="false">TRIM('수출입 실적(품목별)'!B785)</f>
        <v>07</v>
      </c>
      <c r="F781" s="11" t="str">
        <f aca="false">TRIM('수출입 실적(품목별)'!C785)</f>
        <v>식용의 채소ㆍ뿌리ㆍ괴경(塊莖)</v>
      </c>
      <c r="G781" s="18" t="n">
        <f aca="false">IFERROR(VALUE(SUBSTITUTE(TRIM('수출입 실적(품목별)'!D785),",","")),"")</f>
        <v>2629.4</v>
      </c>
      <c r="H781" s="19" t="n">
        <f aca="false">IFERROR(VALUE(SUBSTITUTE(TRIM('수출입 실적(품목별)'!E785),",","")),"")</f>
        <v>8386</v>
      </c>
      <c r="I781" s="18" t="n">
        <f aca="false">IFERROR(VALUE(SUBSTITUTE(TRIM('수출입 실적(품목별)'!F785),",","")),"")</f>
        <v>76916.4</v>
      </c>
      <c r="J781" s="19" t="n">
        <f aca="false">IFERROR(VALUE(SUBSTITUTE(TRIM('수출입 실적(품목별)'!G785),",","")),"")</f>
        <v>65707</v>
      </c>
      <c r="K781" s="19" t="n">
        <f aca="false">IFERROR(VALUE(SUBSTITUTE(TRIM('수출입 실적(품목별)'!H785),",","")),"")</f>
        <v>-57322</v>
      </c>
    </row>
    <row r="782" customFormat="false" ht="15" hidden="false" customHeight="true" outlineLevel="0" collapsed="false">
      <c r="A782" s="11" t="str">
        <f aca="false">TRIM('수출입 실적(품목별)'!A786)</f>
        <v>2024.09</v>
      </c>
      <c r="B782" s="17" t="n">
        <f aca="false">IFERROR(VALUE(LEFT($A782,4)),"")</f>
        <v>2024</v>
      </c>
      <c r="C782" s="17" t="n">
        <f aca="false">IFERROR(VALUE(RIGHT($A782,2)),"")</f>
        <v>9</v>
      </c>
      <c r="D782" s="17" t="n">
        <f aca="false">IFERROR(ROUNDUP($C782/3,0),"")</f>
        <v>3</v>
      </c>
      <c r="E782" s="11" t="str">
        <f aca="false">TRIM('수출입 실적(품목별)'!B786)</f>
        <v>08</v>
      </c>
      <c r="F782" s="11" t="str">
        <f aca="false">TRIM('수출입 실적(품목별)'!C786)</f>
        <v>식용의 과실과 견과류, 감귤류ㆍ멜론의 껍질</v>
      </c>
      <c r="G782" s="18" t="n">
        <f aca="false">IFERROR(VALUE(SUBSTITUTE(TRIM('수출입 실적(품목별)'!D786),",","")),"")</f>
        <v>4138.3</v>
      </c>
      <c r="H782" s="19" t="n">
        <f aca="false">IFERROR(VALUE(SUBSTITUTE(TRIM('수출입 실적(품목별)'!E786),",","")),"")</f>
        <v>18766</v>
      </c>
      <c r="I782" s="18" t="n">
        <f aca="false">IFERROR(VALUE(SUBSTITUTE(TRIM('수출입 실적(품목별)'!F786),",","")),"")</f>
        <v>54760.8</v>
      </c>
      <c r="J782" s="19" t="n">
        <f aca="false">IFERROR(VALUE(SUBSTITUTE(TRIM('수출입 실적(품목별)'!G786),",","")),"")</f>
        <v>111239</v>
      </c>
      <c r="K782" s="19" t="n">
        <f aca="false">IFERROR(VALUE(SUBSTITUTE(TRIM('수출입 실적(품목별)'!H786),",","")),"")</f>
        <v>-92474</v>
      </c>
    </row>
    <row r="783" customFormat="false" ht="15" hidden="false" customHeight="true" outlineLevel="0" collapsed="false">
      <c r="A783" s="11" t="str">
        <f aca="false">TRIM('수출입 실적(품목별)'!A787)</f>
        <v>2024.09</v>
      </c>
      <c r="B783" s="17" t="n">
        <f aca="false">IFERROR(VALUE(LEFT($A783,4)),"")</f>
        <v>2024</v>
      </c>
      <c r="C783" s="17" t="n">
        <f aca="false">IFERROR(VALUE(RIGHT($A783,2)),"")</f>
        <v>9</v>
      </c>
      <c r="D783" s="17" t="n">
        <f aca="false">IFERROR(ROUNDUP($C783/3,0),"")</f>
        <v>3</v>
      </c>
      <c r="E783" s="11" t="str">
        <f aca="false">TRIM('수출입 실적(품목별)'!B787)</f>
        <v>09</v>
      </c>
      <c r="F783" s="11" t="str">
        <f aca="false">TRIM('수출입 실적(품목별)'!C787)</f>
        <v>커피ㆍ차ㆍ마테(maté)ㆍ향신료</v>
      </c>
      <c r="G783" s="18" t="n">
        <f aca="false">IFERROR(VALUE(SUBSTITUTE(TRIM('수출입 실적(품목별)'!D787),",","")),"")</f>
        <v>331.9</v>
      </c>
      <c r="H783" s="19" t="n">
        <f aca="false">IFERROR(VALUE(SUBSTITUTE(TRIM('수출입 실적(품목별)'!E787),",","")),"")</f>
        <v>2477</v>
      </c>
      <c r="I783" s="18" t="n">
        <f aca="false">IFERROR(VALUE(SUBSTITUTE(TRIM('수출입 실적(품목별)'!F787),",","")),"")</f>
        <v>16787.3</v>
      </c>
      <c r="J783" s="19" t="n">
        <f aca="false">IFERROR(VALUE(SUBSTITUTE(TRIM('수출입 실적(품목별)'!G787),",","")),"")</f>
        <v>110489</v>
      </c>
      <c r="K783" s="19" t="n">
        <f aca="false">IFERROR(VALUE(SUBSTITUTE(TRIM('수출입 실적(품목별)'!H787),",","")),"")</f>
        <v>-108012</v>
      </c>
    </row>
    <row r="784" customFormat="false" ht="15" hidden="false" customHeight="true" outlineLevel="0" collapsed="false">
      <c r="A784" s="11" t="str">
        <f aca="false">TRIM('수출입 실적(품목별)'!A788)</f>
        <v>2024.09</v>
      </c>
      <c r="B784" s="17" t="n">
        <f aca="false">IFERROR(VALUE(LEFT($A784,4)),"")</f>
        <v>2024</v>
      </c>
      <c r="C784" s="17" t="n">
        <f aca="false">IFERROR(VALUE(RIGHT($A784,2)),"")</f>
        <v>9</v>
      </c>
      <c r="D784" s="17" t="n">
        <f aca="false">IFERROR(ROUNDUP($C784/3,0),"")</f>
        <v>3</v>
      </c>
      <c r="E784" s="11" t="str">
        <f aca="false">TRIM('수출입 실적(품목별)'!B788)</f>
        <v>10</v>
      </c>
      <c r="F784" s="11" t="str">
        <f aca="false">TRIM('수출입 실적(품목별)'!C788)</f>
        <v>곡물</v>
      </c>
      <c r="G784" s="18" t="n">
        <f aca="false">IFERROR(VALUE(SUBSTITUTE(TRIM('수출입 실적(품목별)'!D788),",","")),"")</f>
        <v>20519.9</v>
      </c>
      <c r="H784" s="19" t="n">
        <f aca="false">IFERROR(VALUE(SUBSTITUTE(TRIM('수출입 실적(품목별)'!E788),",","")),"")</f>
        <v>9911</v>
      </c>
      <c r="I784" s="18" t="n">
        <f aca="false">IFERROR(VALUE(SUBSTITUTE(TRIM('수출입 실적(품목별)'!F788),",","")),"")</f>
        <v>1164006.7</v>
      </c>
      <c r="J784" s="19" t="n">
        <f aca="false">IFERROR(VALUE(SUBSTITUTE(TRIM('수출입 실적(품목별)'!G788),",","")),"")</f>
        <v>342078</v>
      </c>
      <c r="K784" s="19" t="n">
        <f aca="false">IFERROR(VALUE(SUBSTITUTE(TRIM('수출입 실적(품목별)'!H788),",","")),"")</f>
        <v>-332167</v>
      </c>
    </row>
    <row r="785" customFormat="false" ht="15" hidden="false" customHeight="true" outlineLevel="0" collapsed="false">
      <c r="A785" s="11" t="str">
        <f aca="false">TRIM('수출입 실적(품목별)'!A789)</f>
        <v>2024.09</v>
      </c>
      <c r="B785" s="17" t="n">
        <f aca="false">IFERROR(VALUE(LEFT($A785,4)),"")</f>
        <v>2024</v>
      </c>
      <c r="C785" s="17" t="n">
        <f aca="false">IFERROR(VALUE(RIGHT($A785,2)),"")</f>
        <v>9</v>
      </c>
      <c r="D785" s="17" t="n">
        <f aca="false">IFERROR(ROUNDUP($C785/3,0),"")</f>
        <v>3</v>
      </c>
      <c r="E785" s="11" t="str">
        <f aca="false">TRIM('수출입 실적(품목별)'!B789)</f>
        <v>11</v>
      </c>
      <c r="F785" s="11" t="str">
        <f aca="false">TRIM('수출입 실적(품목별)'!C789)</f>
        <v>제분공업의 생산품과 맥아, 전분, 이눌린(inulin), 밀의 글루텐(gluten)</v>
      </c>
      <c r="G785" s="18" t="n">
        <f aca="false">IFERROR(VALUE(SUBSTITUTE(TRIM('수출입 실적(품목별)'!D789),",","")),"")</f>
        <v>4757.9</v>
      </c>
      <c r="H785" s="19" t="n">
        <f aca="false">IFERROR(VALUE(SUBSTITUTE(TRIM('수출입 실적(품목별)'!E789),",","")),"")</f>
        <v>3558</v>
      </c>
      <c r="I785" s="18" t="n">
        <f aca="false">IFERROR(VALUE(SUBSTITUTE(TRIM('수출입 실적(품목별)'!F789),",","")),"")</f>
        <v>31378.1</v>
      </c>
      <c r="J785" s="19" t="n">
        <f aca="false">IFERROR(VALUE(SUBSTITUTE(TRIM('수출입 실적(품목별)'!G789),",","")),"")</f>
        <v>28603</v>
      </c>
      <c r="K785" s="19" t="n">
        <f aca="false">IFERROR(VALUE(SUBSTITUTE(TRIM('수출입 실적(품목별)'!H789),",","")),"")</f>
        <v>-25045</v>
      </c>
    </row>
    <row r="786" customFormat="false" ht="15" hidden="false" customHeight="true" outlineLevel="0" collapsed="false">
      <c r="A786" s="11" t="str">
        <f aca="false">TRIM('수출입 실적(품목별)'!A790)</f>
        <v>2024.09</v>
      </c>
      <c r="B786" s="17" t="n">
        <f aca="false">IFERROR(VALUE(LEFT($A786,4)),"")</f>
        <v>2024</v>
      </c>
      <c r="C786" s="17" t="n">
        <f aca="false">IFERROR(VALUE(RIGHT($A786,2)),"")</f>
        <v>9</v>
      </c>
      <c r="D786" s="17" t="n">
        <f aca="false">IFERROR(ROUNDUP($C786/3,0),"")</f>
        <v>3</v>
      </c>
      <c r="E786" s="11" t="str">
        <f aca="false">TRIM('수출입 실적(품목별)'!B790)</f>
        <v>12</v>
      </c>
      <c r="F786" s="11" t="str">
        <f aca="false">TRIM('수출입 실적(품목별)'!C790)</f>
        <v>채유(採油)에 적합한 종자와 과실, 각종 종자와 과실, 공업용ㆍ의약용 식물, 짚과 사료용 식물</v>
      </c>
      <c r="G786" s="18" t="n">
        <f aca="false">IFERROR(VALUE(SUBSTITUTE(TRIM('수출입 실적(품목별)'!D790),",","")),"")</f>
        <v>1633.5</v>
      </c>
      <c r="H786" s="19" t="n">
        <f aca="false">IFERROR(VALUE(SUBSTITUTE(TRIM('수출입 실적(품목별)'!E790),",","")),"")</f>
        <v>43879</v>
      </c>
      <c r="I786" s="18" t="n">
        <f aca="false">IFERROR(VALUE(SUBSTITUTE(TRIM('수출입 실적(품목별)'!F790),",","")),"")</f>
        <v>222549.1</v>
      </c>
      <c r="J786" s="19" t="n">
        <f aca="false">IFERROR(VALUE(SUBSTITUTE(TRIM('수출입 실적(품목별)'!G790),",","")),"")</f>
        <v>138625</v>
      </c>
      <c r="K786" s="19" t="n">
        <f aca="false">IFERROR(VALUE(SUBSTITUTE(TRIM('수출입 실적(품목별)'!H790),",","")),"")</f>
        <v>-94746</v>
      </c>
    </row>
    <row r="787" customFormat="false" ht="15" hidden="false" customHeight="true" outlineLevel="0" collapsed="false">
      <c r="A787" s="11" t="str">
        <f aca="false">TRIM('수출입 실적(품목별)'!A791)</f>
        <v>2024.09</v>
      </c>
      <c r="B787" s="17" t="n">
        <f aca="false">IFERROR(VALUE(LEFT($A787,4)),"")</f>
        <v>2024</v>
      </c>
      <c r="C787" s="17" t="n">
        <f aca="false">IFERROR(VALUE(RIGHT($A787,2)),"")</f>
        <v>9</v>
      </c>
      <c r="D787" s="17" t="n">
        <f aca="false">IFERROR(ROUNDUP($C787/3,0),"")</f>
        <v>3</v>
      </c>
      <c r="E787" s="11" t="str">
        <f aca="false">TRIM('수출입 실적(품목별)'!B791)</f>
        <v>13</v>
      </c>
      <c r="F787" s="11" t="str">
        <f aca="false">TRIM('수출입 실적(품목별)'!C791)</f>
        <v>락(lac), 검ㆍ수지ㆍ그 밖의 식물성 수액과 추출물(extract)</v>
      </c>
      <c r="G787" s="18" t="n">
        <f aca="false">IFERROR(VALUE(SUBSTITUTE(TRIM('수출입 실적(품목별)'!D791),",","")),"")</f>
        <v>320.1</v>
      </c>
      <c r="H787" s="19" t="n">
        <f aca="false">IFERROR(VALUE(SUBSTITUTE(TRIM('수출입 실적(품목별)'!E791),",","")),"")</f>
        <v>7369</v>
      </c>
      <c r="I787" s="18" t="n">
        <f aca="false">IFERROR(VALUE(SUBSTITUTE(TRIM('수출입 실적(품목별)'!F791),",","")),"")</f>
        <v>4744</v>
      </c>
      <c r="J787" s="19" t="n">
        <f aca="false">IFERROR(VALUE(SUBSTITUTE(TRIM('수출입 실적(품목별)'!G791),",","")),"")</f>
        <v>21695</v>
      </c>
      <c r="K787" s="19" t="n">
        <f aca="false">IFERROR(VALUE(SUBSTITUTE(TRIM('수출입 실적(품목별)'!H791),",","")),"")</f>
        <v>-14326</v>
      </c>
    </row>
    <row r="788" customFormat="false" ht="15" hidden="false" customHeight="true" outlineLevel="0" collapsed="false">
      <c r="A788" s="11" t="str">
        <f aca="false">TRIM('수출입 실적(품목별)'!A792)</f>
        <v>2024.09</v>
      </c>
      <c r="B788" s="17" t="n">
        <f aca="false">IFERROR(VALUE(LEFT($A788,4)),"")</f>
        <v>2024</v>
      </c>
      <c r="C788" s="17" t="n">
        <f aca="false">IFERROR(VALUE(RIGHT($A788,2)),"")</f>
        <v>9</v>
      </c>
      <c r="D788" s="17" t="n">
        <f aca="false">IFERROR(ROUNDUP($C788/3,0),"")</f>
        <v>3</v>
      </c>
      <c r="E788" s="11" t="str">
        <f aca="false">TRIM('수출입 실적(품목별)'!B792)</f>
        <v>14</v>
      </c>
      <c r="F788" s="11" t="str">
        <f aca="false">TRIM('수출입 실적(품목별)'!C792)</f>
        <v>식물성 편조물(編組物)용 재료와 다른 류로 분류되지 않은 식물성 생산품</v>
      </c>
      <c r="G788" s="18" t="n">
        <f aca="false">IFERROR(VALUE(SUBSTITUTE(TRIM('수출입 실적(품목별)'!D792),",","")),"")</f>
        <v>2.3</v>
      </c>
      <c r="H788" s="19" t="n">
        <f aca="false">IFERROR(VALUE(SUBSTITUTE(TRIM('수출입 실적(품목별)'!E792),",","")),"")</f>
        <v>23</v>
      </c>
      <c r="I788" s="18" t="n">
        <f aca="false">IFERROR(VALUE(SUBSTITUTE(TRIM('수출입 실적(품목별)'!F792),",","")),"")</f>
        <v>13104.1</v>
      </c>
      <c r="J788" s="19" t="n">
        <f aca="false">IFERROR(VALUE(SUBSTITUTE(TRIM('수출입 실적(품목별)'!G792),",","")),"")</f>
        <v>3229</v>
      </c>
      <c r="K788" s="19" t="n">
        <f aca="false">IFERROR(VALUE(SUBSTITUTE(TRIM('수출입 실적(품목별)'!H792),",","")),"")</f>
        <v>-3206</v>
      </c>
    </row>
    <row r="789" customFormat="false" ht="15" hidden="false" customHeight="true" outlineLevel="0" collapsed="false">
      <c r="A789" s="11" t="str">
        <f aca="false">TRIM('수출입 실적(품목별)'!A793)</f>
        <v>2024.09</v>
      </c>
      <c r="B789" s="17" t="n">
        <f aca="false">IFERROR(VALUE(LEFT($A789,4)),"")</f>
        <v>2024</v>
      </c>
      <c r="C789" s="17" t="n">
        <f aca="false">IFERROR(VALUE(RIGHT($A789,2)),"")</f>
        <v>9</v>
      </c>
      <c r="D789" s="17" t="n">
        <f aca="false">IFERROR(ROUNDUP($C789/3,0),"")</f>
        <v>3</v>
      </c>
      <c r="E789" s="11" t="str">
        <f aca="false">TRIM('수출입 실적(품목별)'!B793)</f>
        <v>15</v>
      </c>
      <c r="F789" s="11" t="str">
        <f aca="false">TRIM('수출입 실적(품목별)'!C793)</f>
        <v>동물성ㆍ식물성ㆍ미생물성 지방과 기름 및이들의 분해생산물, 조제한 식용 지방과 동물성ㆍ식물성 왁스</v>
      </c>
      <c r="G789" s="18" t="n">
        <f aca="false">IFERROR(VALUE(SUBSTITUTE(TRIM('수출입 실적(품목별)'!D793),",","")),"")</f>
        <v>22256.6</v>
      </c>
      <c r="H789" s="19" t="n">
        <f aca="false">IFERROR(VALUE(SUBSTITUTE(TRIM('수출입 실적(품목별)'!E793),",","")),"")</f>
        <v>23446</v>
      </c>
      <c r="I789" s="18" t="n">
        <f aca="false">IFERROR(VALUE(SUBSTITUTE(TRIM('수출입 실적(품목별)'!F793),",","")),"")</f>
        <v>114806.6</v>
      </c>
      <c r="J789" s="19" t="n">
        <f aca="false">IFERROR(VALUE(SUBSTITUTE(TRIM('수출입 실적(품목별)'!G793),",","")),"")</f>
        <v>152445</v>
      </c>
      <c r="K789" s="19" t="n">
        <f aca="false">IFERROR(VALUE(SUBSTITUTE(TRIM('수출입 실적(품목별)'!H793),",","")),"")</f>
        <v>-128999</v>
      </c>
    </row>
    <row r="790" customFormat="false" ht="15" hidden="false" customHeight="true" outlineLevel="0" collapsed="false">
      <c r="A790" s="11" t="str">
        <f aca="false">TRIM('수출입 실적(품목별)'!A794)</f>
        <v>2024.09</v>
      </c>
      <c r="B790" s="17" t="n">
        <f aca="false">IFERROR(VALUE(LEFT($A790,4)),"")</f>
        <v>2024</v>
      </c>
      <c r="C790" s="17" t="n">
        <f aca="false">IFERROR(VALUE(RIGHT($A790,2)),"")</f>
        <v>9</v>
      </c>
      <c r="D790" s="17" t="n">
        <f aca="false">IFERROR(ROUNDUP($C790/3,0),"")</f>
        <v>3</v>
      </c>
      <c r="E790" s="11" t="str">
        <f aca="false">TRIM('수출입 실적(품목별)'!B794)</f>
        <v>16</v>
      </c>
      <c r="F790" s="11" t="str">
        <f aca="false">TRIM('수출입 실적(품목별)'!C794)</f>
        <v>육류ㆍ어류ㆍ갑각류ㆍ연체동물이나 그 밖의 수생(水生) 무척추동물 또는 곤충의 조제품</v>
      </c>
      <c r="G790" s="18" t="n">
        <f aca="false">IFERROR(VALUE(SUBSTITUTE(TRIM('수출입 실적(품목별)'!D794),",","")),"")</f>
        <v>4016.3</v>
      </c>
      <c r="H790" s="19" t="n">
        <f aca="false">IFERROR(VALUE(SUBSTITUTE(TRIM('수출입 실적(품목별)'!E794),",","")),"")</f>
        <v>23688</v>
      </c>
      <c r="I790" s="18" t="n">
        <f aca="false">IFERROR(VALUE(SUBSTITUTE(TRIM('수출입 실적(품목별)'!F794),",","")),"")</f>
        <v>16165.6</v>
      </c>
      <c r="J790" s="19" t="n">
        <f aca="false">IFERROR(VALUE(SUBSTITUTE(TRIM('수출입 실적(품목별)'!G794),",","")),"")</f>
        <v>88780</v>
      </c>
      <c r="K790" s="19" t="n">
        <f aca="false">IFERROR(VALUE(SUBSTITUTE(TRIM('수출입 실적(품목별)'!H794),",","")),"")</f>
        <v>-65091</v>
      </c>
    </row>
    <row r="791" customFormat="false" ht="15" hidden="false" customHeight="true" outlineLevel="0" collapsed="false">
      <c r="A791" s="11" t="str">
        <f aca="false">TRIM('수출입 실적(품목별)'!A795)</f>
        <v>2024.09</v>
      </c>
      <c r="B791" s="17" t="n">
        <f aca="false">IFERROR(VALUE(LEFT($A791,4)),"")</f>
        <v>2024</v>
      </c>
      <c r="C791" s="17" t="n">
        <f aca="false">IFERROR(VALUE(RIGHT($A791,2)),"")</f>
        <v>9</v>
      </c>
      <c r="D791" s="17" t="n">
        <f aca="false">IFERROR(ROUNDUP($C791/3,0),"")</f>
        <v>3</v>
      </c>
      <c r="E791" s="11" t="str">
        <f aca="false">TRIM('수출입 실적(품목별)'!B795)</f>
        <v>17</v>
      </c>
      <c r="F791" s="11" t="str">
        <f aca="false">TRIM('수출입 실적(품목별)'!C795)</f>
        <v>당류(糖類)와 설탕과자</v>
      </c>
      <c r="G791" s="18" t="n">
        <f aca="false">IFERROR(VALUE(SUBSTITUTE(TRIM('수출입 실적(품목별)'!D795),",","")),"")</f>
        <v>39163.4</v>
      </c>
      <c r="H791" s="19" t="n">
        <f aca="false">IFERROR(VALUE(SUBSTITUTE(TRIM('수출입 실적(품목별)'!E795),",","")),"")</f>
        <v>32888</v>
      </c>
      <c r="I791" s="18" t="n">
        <f aca="false">IFERROR(VALUE(SUBSTITUTE(TRIM('수출입 실적(품목별)'!F795),",","")),"")</f>
        <v>163332.1</v>
      </c>
      <c r="J791" s="19" t="n">
        <f aca="false">IFERROR(VALUE(SUBSTITUTE(TRIM('수출입 실적(품목별)'!G795),",","")),"")</f>
        <v>110056</v>
      </c>
      <c r="K791" s="19" t="n">
        <f aca="false">IFERROR(VALUE(SUBSTITUTE(TRIM('수출입 실적(품목별)'!H795),",","")),"")</f>
        <v>-77168</v>
      </c>
    </row>
    <row r="792" customFormat="false" ht="15" hidden="false" customHeight="true" outlineLevel="0" collapsed="false">
      <c r="A792" s="11" t="str">
        <f aca="false">TRIM('수출입 실적(품목별)'!A796)</f>
        <v>2024.09</v>
      </c>
      <c r="B792" s="17" t="n">
        <f aca="false">IFERROR(VALUE(LEFT($A792,4)),"")</f>
        <v>2024</v>
      </c>
      <c r="C792" s="17" t="n">
        <f aca="false">IFERROR(VALUE(RIGHT($A792,2)),"")</f>
        <v>9</v>
      </c>
      <c r="D792" s="17" t="n">
        <f aca="false">IFERROR(ROUNDUP($C792/3,0),"")</f>
        <v>3</v>
      </c>
      <c r="E792" s="11" t="str">
        <f aca="false">TRIM('수출입 실적(품목별)'!B796)</f>
        <v>18</v>
      </c>
      <c r="F792" s="11" t="str">
        <f aca="false">TRIM('수출입 실적(품목별)'!C796)</f>
        <v>코코아와 그 조제품</v>
      </c>
      <c r="G792" s="18" t="n">
        <f aca="false">IFERROR(VALUE(SUBSTITUTE(TRIM('수출입 실적(품목별)'!D796),",","")),"")</f>
        <v>2345</v>
      </c>
      <c r="H792" s="19" t="n">
        <f aca="false">IFERROR(VALUE(SUBSTITUTE(TRIM('수출입 실적(품목별)'!E796),",","")),"")</f>
        <v>6890</v>
      </c>
      <c r="I792" s="18" t="n">
        <f aca="false">IFERROR(VALUE(SUBSTITUTE(TRIM('수출입 실적(품목별)'!F796),",","")),"")</f>
        <v>6571.8</v>
      </c>
      <c r="J792" s="19" t="n">
        <f aca="false">IFERROR(VALUE(SUBSTITUTE(TRIM('수출입 실적(품목별)'!G796),",","")),"")</f>
        <v>53849</v>
      </c>
      <c r="K792" s="19" t="n">
        <f aca="false">IFERROR(VALUE(SUBSTITUTE(TRIM('수출입 실적(품목별)'!H796),",","")),"")</f>
        <v>-46959</v>
      </c>
    </row>
    <row r="793" customFormat="false" ht="15" hidden="false" customHeight="true" outlineLevel="0" collapsed="false">
      <c r="A793" s="11" t="str">
        <f aca="false">TRIM('수출입 실적(품목별)'!A797)</f>
        <v>2024.09</v>
      </c>
      <c r="B793" s="17" t="n">
        <f aca="false">IFERROR(VALUE(LEFT($A793,4)),"")</f>
        <v>2024</v>
      </c>
      <c r="C793" s="17" t="n">
        <f aca="false">IFERROR(VALUE(RIGHT($A793,2)),"")</f>
        <v>9</v>
      </c>
      <c r="D793" s="17" t="n">
        <f aca="false">IFERROR(ROUNDUP($C793/3,0),"")</f>
        <v>3</v>
      </c>
      <c r="E793" s="11" t="str">
        <f aca="false">TRIM('수출입 실적(품목별)'!B797)</f>
        <v>19</v>
      </c>
      <c r="F793" s="11" t="str">
        <f aca="false">TRIM('수출입 실적(품목별)'!C797)</f>
        <v>곡물ㆍ고운 가루ㆍ전분ㆍ밀크의 조제품과 베이커리 제품</v>
      </c>
      <c r="G793" s="18" t="n">
        <f aca="false">IFERROR(VALUE(SUBSTITUTE(TRIM('수출입 실적(품목별)'!D797),",","")),"")</f>
        <v>48808.1</v>
      </c>
      <c r="H793" s="19" t="n">
        <f aca="false">IFERROR(VALUE(SUBSTITUTE(TRIM('수출입 실적(품목별)'!E797),",","")),"")</f>
        <v>199473</v>
      </c>
      <c r="I793" s="18" t="n">
        <f aca="false">IFERROR(VALUE(SUBSTITUTE(TRIM('수출입 실적(품목별)'!F797),",","")),"")</f>
        <v>28473.7</v>
      </c>
      <c r="J793" s="19" t="n">
        <f aca="false">IFERROR(VALUE(SUBSTITUTE(TRIM('수출입 실적(품목별)'!G797),",","")),"")</f>
        <v>85284</v>
      </c>
      <c r="K793" s="19" t="n">
        <f aca="false">IFERROR(VALUE(SUBSTITUTE(TRIM('수출입 실적(품목별)'!H797),",","")),"")</f>
        <v>114189</v>
      </c>
    </row>
    <row r="794" customFormat="false" ht="15" hidden="false" customHeight="true" outlineLevel="0" collapsed="false">
      <c r="A794" s="11" t="str">
        <f aca="false">TRIM('수출입 실적(품목별)'!A798)</f>
        <v>2024.09</v>
      </c>
      <c r="B794" s="17" t="n">
        <f aca="false">IFERROR(VALUE(LEFT($A794,4)),"")</f>
        <v>2024</v>
      </c>
      <c r="C794" s="17" t="n">
        <f aca="false">IFERROR(VALUE(RIGHT($A794,2)),"")</f>
        <v>9</v>
      </c>
      <c r="D794" s="17" t="n">
        <f aca="false">IFERROR(ROUNDUP($C794/3,0),"")</f>
        <v>3</v>
      </c>
      <c r="E794" s="11" t="str">
        <f aca="false">TRIM('수출입 실적(품목별)'!B798)</f>
        <v>20</v>
      </c>
      <c r="F794" s="11" t="str">
        <f aca="false">TRIM('수출입 실적(품목별)'!C798)</f>
        <v>채소ㆍ과실ㆍ견과류나 식물의그 밖의 부분의 조제품</v>
      </c>
      <c r="G794" s="18" t="n">
        <f aca="false">IFERROR(VALUE(SUBSTITUTE(TRIM('수출입 실적(품목별)'!D798),",","")),"")</f>
        <v>8841</v>
      </c>
      <c r="H794" s="19" t="n">
        <f aca="false">IFERROR(VALUE(SUBSTITUTE(TRIM('수출입 실적(품목별)'!E798),",","")),"")</f>
        <v>76496</v>
      </c>
      <c r="I794" s="18" t="n">
        <f aca="false">IFERROR(VALUE(SUBSTITUTE(TRIM('수출입 실적(품목별)'!F798),",","")),"")</f>
        <v>87311</v>
      </c>
      <c r="J794" s="19" t="n">
        <f aca="false">IFERROR(VALUE(SUBSTITUTE(TRIM('수출입 실적(품목별)'!G798),",","")),"")</f>
        <v>139267</v>
      </c>
      <c r="K794" s="19" t="n">
        <f aca="false">IFERROR(VALUE(SUBSTITUTE(TRIM('수출입 실적(품목별)'!H798),",","")),"")</f>
        <v>-62771</v>
      </c>
    </row>
    <row r="795" customFormat="false" ht="15" hidden="false" customHeight="true" outlineLevel="0" collapsed="false">
      <c r="A795" s="11" t="str">
        <f aca="false">TRIM('수출입 실적(품목별)'!A799)</f>
        <v>2024.09</v>
      </c>
      <c r="B795" s="17" t="n">
        <f aca="false">IFERROR(VALUE(LEFT($A795,4)),"")</f>
        <v>2024</v>
      </c>
      <c r="C795" s="17" t="n">
        <f aca="false">IFERROR(VALUE(RIGHT($A795,2)),"")</f>
        <v>9</v>
      </c>
      <c r="D795" s="17" t="n">
        <f aca="false">IFERROR(ROUNDUP($C795/3,0),"")</f>
        <v>3</v>
      </c>
      <c r="E795" s="11" t="str">
        <f aca="false">TRIM('수출입 실적(품목별)'!B799)</f>
        <v>21</v>
      </c>
      <c r="F795" s="11" t="str">
        <f aca="false">TRIM('수출입 실적(품목별)'!C799)</f>
        <v>각종 조제 식료품</v>
      </c>
      <c r="G795" s="18" t="n">
        <f aca="false">IFERROR(VALUE(SUBSTITUTE(TRIM('수출입 실적(품목별)'!D799),",","")),"")</f>
        <v>32357.9</v>
      </c>
      <c r="H795" s="19" t="n">
        <f aca="false">IFERROR(VALUE(SUBSTITUTE(TRIM('수출입 실적(품목별)'!E799),",","")),"")</f>
        <v>128602</v>
      </c>
      <c r="I795" s="18" t="n">
        <f aca="false">IFERROR(VALUE(SUBSTITUTE(TRIM('수출입 실적(품목별)'!F799),",","")),"")</f>
        <v>29458.7</v>
      </c>
      <c r="J795" s="19" t="n">
        <f aca="false">IFERROR(VALUE(SUBSTITUTE(TRIM('수출입 실적(품목별)'!G799),",","")),"")</f>
        <v>223122</v>
      </c>
      <c r="K795" s="19" t="n">
        <f aca="false">IFERROR(VALUE(SUBSTITUTE(TRIM('수출입 실적(품목별)'!H799),",","")),"")</f>
        <v>-94519</v>
      </c>
    </row>
    <row r="796" customFormat="false" ht="15" hidden="false" customHeight="true" outlineLevel="0" collapsed="false">
      <c r="A796" s="11" t="str">
        <f aca="false">TRIM('수출입 실적(품목별)'!A800)</f>
        <v>2024.09</v>
      </c>
      <c r="B796" s="17" t="n">
        <f aca="false">IFERROR(VALUE(LEFT($A796,4)),"")</f>
        <v>2024</v>
      </c>
      <c r="C796" s="17" t="n">
        <f aca="false">IFERROR(VALUE(RIGHT($A796,2)),"")</f>
        <v>9</v>
      </c>
      <c r="D796" s="17" t="n">
        <f aca="false">IFERROR(ROUNDUP($C796/3,0),"")</f>
        <v>3</v>
      </c>
      <c r="E796" s="11" t="str">
        <f aca="false">TRIM('수출입 실적(품목별)'!B800)</f>
        <v>22</v>
      </c>
      <c r="F796" s="11" t="str">
        <f aca="false">TRIM('수출입 실적(품목별)'!C800)</f>
        <v>음료ㆍ주류ㆍ식초</v>
      </c>
      <c r="G796" s="18" t="n">
        <f aca="false">IFERROR(VALUE(SUBSTITUTE(TRIM('수출입 실적(품목별)'!D800),",","")),"")</f>
        <v>83432.5</v>
      </c>
      <c r="H796" s="19" t="n">
        <f aca="false">IFERROR(VALUE(SUBSTITUTE(TRIM('수출입 실적(품목별)'!E800),",","")),"")</f>
        <v>102978</v>
      </c>
      <c r="I796" s="18" t="n">
        <f aca="false">IFERROR(VALUE(SUBSTITUTE(TRIM('수출입 실적(품목별)'!F800),",","")),"")</f>
        <v>97288.9</v>
      </c>
      <c r="J796" s="19" t="n">
        <f aca="false">IFERROR(VALUE(SUBSTITUTE(TRIM('수출입 실적(품목별)'!G800),",","")),"")</f>
        <v>130328</v>
      </c>
      <c r="K796" s="19" t="n">
        <f aca="false">IFERROR(VALUE(SUBSTITUTE(TRIM('수출입 실적(품목별)'!H800),",","")),"")</f>
        <v>-27350</v>
      </c>
    </row>
    <row r="797" customFormat="false" ht="15" hidden="false" customHeight="true" outlineLevel="0" collapsed="false">
      <c r="A797" s="11" t="str">
        <f aca="false">TRIM('수출입 실적(품목별)'!A801)</f>
        <v>2024.09</v>
      </c>
      <c r="B797" s="17" t="n">
        <f aca="false">IFERROR(VALUE(LEFT($A797,4)),"")</f>
        <v>2024</v>
      </c>
      <c r="C797" s="17" t="n">
        <f aca="false">IFERROR(VALUE(RIGHT($A797,2)),"")</f>
        <v>9</v>
      </c>
      <c r="D797" s="17" t="n">
        <f aca="false">IFERROR(ROUNDUP($C797/3,0),"")</f>
        <v>3</v>
      </c>
      <c r="E797" s="11" t="str">
        <f aca="false">TRIM('수출입 실적(품목별)'!B801)</f>
        <v>23</v>
      </c>
      <c r="F797" s="11" t="str">
        <f aca="false">TRIM('수출입 실적(품목별)'!C801)</f>
        <v>식품 공업에서 생기는 잔재물과 웨이스트(waste), 조제 사료</v>
      </c>
      <c r="G797" s="18" t="n">
        <f aca="false">IFERROR(VALUE(SUBSTITUTE(TRIM('수출입 실적(품목별)'!D801),",","")),"")</f>
        <v>28783</v>
      </c>
      <c r="H797" s="19" t="n">
        <f aca="false">IFERROR(VALUE(SUBSTITUTE(TRIM('수출입 실적(품목별)'!E801),",","")),"")</f>
        <v>27985</v>
      </c>
      <c r="I797" s="18" t="n">
        <f aca="false">IFERROR(VALUE(SUBSTITUTE(TRIM('수출입 실적(품목별)'!F801),",","")),"")</f>
        <v>540187.4</v>
      </c>
      <c r="J797" s="19" t="n">
        <f aca="false">IFERROR(VALUE(SUBSTITUTE(TRIM('수출입 실적(품목별)'!G801),",","")),"")</f>
        <v>190488</v>
      </c>
      <c r="K797" s="19" t="n">
        <f aca="false">IFERROR(VALUE(SUBSTITUTE(TRIM('수출입 실적(품목별)'!H801),",","")),"")</f>
        <v>-162503</v>
      </c>
    </row>
    <row r="798" customFormat="false" ht="15" hidden="false" customHeight="true" outlineLevel="0" collapsed="false">
      <c r="A798" s="11" t="str">
        <f aca="false">TRIM('수출입 실적(품목별)'!A802)</f>
        <v>2024.09</v>
      </c>
      <c r="B798" s="17" t="n">
        <f aca="false">IFERROR(VALUE(LEFT($A798,4)),"")</f>
        <v>2024</v>
      </c>
      <c r="C798" s="17" t="n">
        <f aca="false">IFERROR(VALUE(RIGHT($A798,2)),"")</f>
        <v>9</v>
      </c>
      <c r="D798" s="17" t="n">
        <f aca="false">IFERROR(ROUNDUP($C798/3,0),"")</f>
        <v>3</v>
      </c>
      <c r="E798" s="11" t="str">
        <f aca="false">TRIM('수출입 실적(품목별)'!B802)</f>
        <v>24</v>
      </c>
      <c r="F798" s="11" t="str">
        <f aca="false">TRIM('수출입 실적(품목별)'!C802)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798" s="18" t="n">
        <f aca="false">IFERROR(VALUE(SUBSTITUTE(TRIM('수출입 실적(품목별)'!D802),",","")),"")</f>
        <v>7934.2</v>
      </c>
      <c r="H798" s="19" t="n">
        <f aca="false">IFERROR(VALUE(SUBSTITUTE(TRIM('수출입 실적(품목별)'!E802),",","")),"")</f>
        <v>104106</v>
      </c>
      <c r="I798" s="18" t="n">
        <f aca="false">IFERROR(VALUE(SUBSTITUTE(TRIM('수출입 실적(품목별)'!F802),",","")),"")</f>
        <v>4646.8</v>
      </c>
      <c r="J798" s="19" t="n">
        <f aca="false">IFERROR(VALUE(SUBSTITUTE(TRIM('수출입 실적(품목별)'!G802),",","")),"")</f>
        <v>44856</v>
      </c>
      <c r="K798" s="19" t="n">
        <f aca="false">IFERROR(VALUE(SUBSTITUTE(TRIM('수출입 실적(품목별)'!H802),",","")),"")</f>
        <v>59250</v>
      </c>
    </row>
    <row r="799" customFormat="false" ht="15" hidden="false" customHeight="true" outlineLevel="0" collapsed="false">
      <c r="A799" s="11" t="str">
        <f aca="false">TRIM('수출입 실적(품목별)'!A803)</f>
        <v>2024.09</v>
      </c>
      <c r="B799" s="17" t="n">
        <f aca="false">IFERROR(VALUE(LEFT($A799,4)),"")</f>
        <v>2024</v>
      </c>
      <c r="C799" s="17" t="n">
        <f aca="false">IFERROR(VALUE(RIGHT($A799,2)),"")</f>
        <v>9</v>
      </c>
      <c r="D799" s="17" t="n">
        <f aca="false">IFERROR(ROUNDUP($C799/3,0),"")</f>
        <v>3</v>
      </c>
      <c r="E799" s="11" t="str">
        <f aca="false">TRIM('수출입 실적(품목별)'!B803)</f>
        <v>25</v>
      </c>
      <c r="F799" s="11" t="str">
        <f aca="false">TRIM('수출입 실적(품목별)'!C803)</f>
        <v>소금, 황, 토석류(土石類), 석고ㆍ석회ㆍ시멘트</v>
      </c>
      <c r="G799" s="18" t="n">
        <f aca="false">IFERROR(VALUE(SUBSTITUTE(TRIM('수출입 실적(품목별)'!D803),",","")),"")</f>
        <v>456686.1</v>
      </c>
      <c r="H799" s="19" t="n">
        <f aca="false">IFERROR(VALUE(SUBSTITUTE(TRIM('수출입 실적(품목별)'!E803),",","")),"")</f>
        <v>27625</v>
      </c>
      <c r="I799" s="18" t="n">
        <f aca="false">IFERROR(VALUE(SUBSTITUTE(TRIM('수출입 실적(품목별)'!F803),",","")),"")</f>
        <v>879179.8</v>
      </c>
      <c r="J799" s="19" t="n">
        <f aca="false">IFERROR(VALUE(SUBSTITUTE(TRIM('수출입 실적(품목별)'!G803),",","")),"")</f>
        <v>88626</v>
      </c>
      <c r="K799" s="19" t="n">
        <f aca="false">IFERROR(VALUE(SUBSTITUTE(TRIM('수출입 실적(품목별)'!H803),",","")),"")</f>
        <v>-61001</v>
      </c>
    </row>
    <row r="800" customFormat="false" ht="15" hidden="false" customHeight="true" outlineLevel="0" collapsed="false">
      <c r="A800" s="11" t="str">
        <f aca="false">TRIM('수출입 실적(품목별)'!A804)</f>
        <v>2024.09</v>
      </c>
      <c r="B800" s="17" t="n">
        <f aca="false">IFERROR(VALUE(LEFT($A800,4)),"")</f>
        <v>2024</v>
      </c>
      <c r="C800" s="17" t="n">
        <f aca="false">IFERROR(VALUE(RIGHT($A800,2)),"")</f>
        <v>9</v>
      </c>
      <c r="D800" s="17" t="n">
        <f aca="false">IFERROR(ROUNDUP($C800/3,0),"")</f>
        <v>3</v>
      </c>
      <c r="E800" s="11" t="str">
        <f aca="false">TRIM('수출입 실적(품목별)'!B804)</f>
        <v>26</v>
      </c>
      <c r="F800" s="11" t="str">
        <f aca="false">TRIM('수출입 실적(품목별)'!C804)</f>
        <v>광(鑛)ㆍ슬래그(slag)ㆍ회(灰)</v>
      </c>
      <c r="G800" s="18" t="n">
        <f aca="false">IFERROR(VALUE(SUBSTITUTE(TRIM('수출입 실적(품목별)'!D804),",","")),"")</f>
        <v>100872</v>
      </c>
      <c r="H800" s="19" t="n">
        <f aca="false">IFERROR(VALUE(SUBSTITUTE(TRIM('수출입 실적(품목별)'!E804),",","")),"")</f>
        <v>94527</v>
      </c>
      <c r="I800" s="18" t="n">
        <f aca="false">IFERROR(VALUE(SUBSTITUTE(TRIM('수출입 실적(품목별)'!F804),",","")),"")</f>
        <v>6503410.5</v>
      </c>
      <c r="J800" s="19" t="n">
        <f aca="false">IFERROR(VALUE(SUBSTITUTE(TRIM('수출입 실적(품목별)'!G804),",","")),"")</f>
        <v>1769085</v>
      </c>
      <c r="K800" s="19" t="n">
        <f aca="false">IFERROR(VALUE(SUBSTITUTE(TRIM('수출입 실적(품목별)'!H804),",","")),"")</f>
        <v>-1674557</v>
      </c>
    </row>
    <row r="801" customFormat="false" ht="15" hidden="false" customHeight="true" outlineLevel="0" collapsed="false">
      <c r="A801" s="11" t="str">
        <f aca="false">TRIM('수출입 실적(품목별)'!A805)</f>
        <v>2024.09</v>
      </c>
      <c r="B801" s="17" t="n">
        <f aca="false">IFERROR(VALUE(LEFT($A801,4)),"")</f>
        <v>2024</v>
      </c>
      <c r="C801" s="17" t="n">
        <f aca="false">IFERROR(VALUE(RIGHT($A801,2)),"")</f>
        <v>9</v>
      </c>
      <c r="D801" s="17" t="n">
        <f aca="false">IFERROR(ROUNDUP($C801/3,0),"")</f>
        <v>3</v>
      </c>
      <c r="E801" s="11" t="str">
        <f aca="false">TRIM('수출입 실적(품목별)'!B805)</f>
        <v>27</v>
      </c>
      <c r="F801" s="11" t="str">
        <f aca="false">TRIM('수출입 실적(품목별)'!C805)</f>
        <v>광물성 연료ㆍ광물유(鑛物油)와 이들의 증류물, 역청(瀝靑)물질, 광물성 왁스</v>
      </c>
      <c r="G801" s="18" t="n">
        <f aca="false">IFERROR(VALUE(SUBSTITUTE(TRIM('수출입 실적(품목별)'!D805),",","")),"")</f>
        <v>6021574.6</v>
      </c>
      <c r="H801" s="19" t="n">
        <f aca="false">IFERROR(VALUE(SUBSTITUTE(TRIM('수출입 실적(품목별)'!E805),",","")),"")</f>
        <v>4165466</v>
      </c>
      <c r="I801" s="18" t="n">
        <f aca="false">IFERROR(VALUE(SUBSTITUTE(TRIM('수출입 실적(품목별)'!F805),",","")),"")</f>
        <v>27561227.8</v>
      </c>
      <c r="J801" s="19" t="n">
        <f aca="false">IFERROR(VALUE(SUBSTITUTE(TRIM('수출입 실적(품목별)'!G805),",","")),"")</f>
        <v>12428862</v>
      </c>
      <c r="K801" s="19" t="n">
        <f aca="false">IFERROR(VALUE(SUBSTITUTE(TRIM('수출입 실적(품목별)'!H805),",","")),"")</f>
        <v>-8263396</v>
      </c>
    </row>
    <row r="802" customFormat="false" ht="15" hidden="false" customHeight="true" outlineLevel="0" collapsed="false">
      <c r="A802" s="11" t="str">
        <f aca="false">TRIM('수출입 실적(품목별)'!A806)</f>
        <v>2024.09</v>
      </c>
      <c r="B802" s="17" t="n">
        <f aca="false">IFERROR(VALUE(LEFT($A802,4)),"")</f>
        <v>2024</v>
      </c>
      <c r="C802" s="17" t="n">
        <f aca="false">IFERROR(VALUE(RIGHT($A802,2)),"")</f>
        <v>9</v>
      </c>
      <c r="D802" s="17" t="n">
        <f aca="false">IFERROR(ROUNDUP($C802/3,0),"")</f>
        <v>3</v>
      </c>
      <c r="E802" s="11" t="str">
        <f aca="false">TRIM('수출입 실적(품목별)'!B806)</f>
        <v>28</v>
      </c>
      <c r="F802" s="11" t="str">
        <f aca="false">TRIM('수출입 실적(품목별)'!C806)</f>
        <v>무기화학품, 귀금속ㆍ희토류(稀土類)금속ㆍ방사성원소ㆍ동위원소의 유기화합물이나 무기화합물</v>
      </c>
      <c r="G802" s="18" t="n">
        <f aca="false">IFERROR(VALUE(SUBSTITUTE(TRIM('수출입 실적(품목별)'!D806),",","")),"")</f>
        <v>447251.5</v>
      </c>
      <c r="H802" s="19" t="n">
        <f aca="false">IFERROR(VALUE(SUBSTITUTE(TRIM('수출입 실적(품목별)'!E806),",","")),"")</f>
        <v>698038</v>
      </c>
      <c r="I802" s="18" t="n">
        <f aca="false">IFERROR(VALUE(SUBSTITUTE(TRIM('수출입 실적(품목별)'!F806),",","")),"")</f>
        <v>354975.3</v>
      </c>
      <c r="J802" s="19" t="n">
        <f aca="false">IFERROR(VALUE(SUBSTITUTE(TRIM('수출입 실적(품목별)'!G806),",","")),"")</f>
        <v>878204</v>
      </c>
      <c r="K802" s="19" t="n">
        <f aca="false">IFERROR(VALUE(SUBSTITUTE(TRIM('수출입 실적(품목별)'!H806),",","")),"")</f>
        <v>-180167</v>
      </c>
    </row>
    <row r="803" customFormat="false" ht="15" hidden="false" customHeight="true" outlineLevel="0" collapsed="false">
      <c r="A803" s="11" t="str">
        <f aca="false">TRIM('수출입 실적(품목별)'!A807)</f>
        <v>2024.09</v>
      </c>
      <c r="B803" s="17" t="n">
        <f aca="false">IFERROR(VALUE(LEFT($A803,4)),"")</f>
        <v>2024</v>
      </c>
      <c r="C803" s="17" t="n">
        <f aca="false">IFERROR(VALUE(RIGHT($A803,2)),"")</f>
        <v>9</v>
      </c>
      <c r="D803" s="17" t="n">
        <f aca="false">IFERROR(ROUNDUP($C803/3,0),"")</f>
        <v>3</v>
      </c>
      <c r="E803" s="11" t="str">
        <f aca="false">TRIM('수출입 실적(품목별)'!B807)</f>
        <v>29</v>
      </c>
      <c r="F803" s="11" t="str">
        <f aca="false">TRIM('수출입 실적(품목별)'!C807)</f>
        <v>유기화학품</v>
      </c>
      <c r="G803" s="18" t="n">
        <f aca="false">IFERROR(VALUE(SUBSTITUTE(TRIM('수출입 실적(품목별)'!D807),",","")),"")</f>
        <v>1654590.8</v>
      </c>
      <c r="H803" s="19" t="n">
        <f aca="false">IFERROR(VALUE(SUBSTITUTE(TRIM('수출입 실적(품목별)'!E807),",","")),"")</f>
        <v>1734020</v>
      </c>
      <c r="I803" s="18" t="n">
        <f aca="false">IFERROR(VALUE(SUBSTITUTE(TRIM('수출입 실적(품목별)'!F807),",","")),"")</f>
        <v>685336.9</v>
      </c>
      <c r="J803" s="19" t="n">
        <f aca="false">IFERROR(VALUE(SUBSTITUTE(TRIM('수출입 실적(품목별)'!G807),",","")),"")</f>
        <v>1146781</v>
      </c>
      <c r="K803" s="19" t="n">
        <f aca="false">IFERROR(VALUE(SUBSTITUTE(TRIM('수출입 실적(품목별)'!H807),",","")),"")</f>
        <v>587238</v>
      </c>
    </row>
    <row r="804" customFormat="false" ht="15" hidden="false" customHeight="true" outlineLevel="0" collapsed="false">
      <c r="A804" s="11" t="str">
        <f aca="false">TRIM('수출입 실적(품목별)'!A808)</f>
        <v>2024.09</v>
      </c>
      <c r="B804" s="17" t="n">
        <f aca="false">IFERROR(VALUE(LEFT($A804,4)),"")</f>
        <v>2024</v>
      </c>
      <c r="C804" s="17" t="n">
        <f aca="false">IFERROR(VALUE(RIGHT($A804,2)),"")</f>
        <v>9</v>
      </c>
      <c r="D804" s="17" t="n">
        <f aca="false">IFERROR(ROUNDUP($C804/3,0),"")</f>
        <v>3</v>
      </c>
      <c r="E804" s="11" t="str">
        <f aca="false">TRIM('수출입 실적(품목별)'!B808)</f>
        <v>30</v>
      </c>
      <c r="F804" s="11" t="str">
        <f aca="false">TRIM('수출입 실적(품목별)'!C808)</f>
        <v>의료용품</v>
      </c>
      <c r="G804" s="18" t="n">
        <f aca="false">IFERROR(VALUE(SUBSTITUTE(TRIM('수출입 실적(품목별)'!D808),",","")),"")</f>
        <v>2770.3</v>
      </c>
      <c r="H804" s="19" t="n">
        <f aca="false">IFERROR(VALUE(SUBSTITUTE(TRIM('수출입 실적(품목별)'!E808),",","")),"")</f>
        <v>687957</v>
      </c>
      <c r="I804" s="18" t="n">
        <f aca="false">IFERROR(VALUE(SUBSTITUTE(TRIM('수출입 실적(품목별)'!F808),",","")),"")</f>
        <v>7305.5</v>
      </c>
      <c r="J804" s="19" t="n">
        <f aca="false">IFERROR(VALUE(SUBSTITUTE(TRIM('수출입 실적(품목별)'!G808),",","")),"")</f>
        <v>916907</v>
      </c>
      <c r="K804" s="19" t="n">
        <f aca="false">IFERROR(VALUE(SUBSTITUTE(TRIM('수출입 실적(품목별)'!H808),",","")),"")</f>
        <v>-228950</v>
      </c>
    </row>
    <row r="805" customFormat="false" ht="15" hidden="false" customHeight="true" outlineLevel="0" collapsed="false">
      <c r="A805" s="11" t="str">
        <f aca="false">TRIM('수출입 실적(품목별)'!A809)</f>
        <v>2024.09</v>
      </c>
      <c r="B805" s="17" t="n">
        <f aca="false">IFERROR(VALUE(LEFT($A805,4)),"")</f>
        <v>2024</v>
      </c>
      <c r="C805" s="17" t="n">
        <f aca="false">IFERROR(VALUE(RIGHT($A805,2)),"")</f>
        <v>9</v>
      </c>
      <c r="D805" s="17" t="n">
        <f aca="false">IFERROR(ROUNDUP($C805/3,0),"")</f>
        <v>3</v>
      </c>
      <c r="E805" s="11" t="str">
        <f aca="false">TRIM('수출입 실적(품목별)'!B809)</f>
        <v>31</v>
      </c>
      <c r="F805" s="11" t="str">
        <f aca="false">TRIM('수출입 실적(품목별)'!C809)</f>
        <v>비료</v>
      </c>
      <c r="G805" s="18" t="n">
        <f aca="false">IFERROR(VALUE(SUBSTITUTE(TRIM('수출입 실적(품목별)'!D809),",","")),"")</f>
        <v>105323.5</v>
      </c>
      <c r="H805" s="19" t="n">
        <f aca="false">IFERROR(VALUE(SUBSTITUTE(TRIM('수출입 실적(품목별)'!E809),",","")),"")</f>
        <v>33131</v>
      </c>
      <c r="I805" s="18" t="n">
        <f aca="false">IFERROR(VALUE(SUBSTITUTE(TRIM('수출입 실적(품목별)'!F809),",","")),"")</f>
        <v>126980.6</v>
      </c>
      <c r="J805" s="19" t="n">
        <f aca="false">IFERROR(VALUE(SUBSTITUTE(TRIM('수출입 실적(품목별)'!G809),",","")),"")</f>
        <v>48134</v>
      </c>
      <c r="K805" s="19" t="n">
        <f aca="false">IFERROR(VALUE(SUBSTITUTE(TRIM('수출입 실적(품목별)'!H809),",","")),"")</f>
        <v>-15003</v>
      </c>
    </row>
    <row r="806" customFormat="false" ht="15" hidden="false" customHeight="true" outlineLevel="0" collapsed="false">
      <c r="A806" s="11" t="str">
        <f aca="false">TRIM('수출입 실적(품목별)'!A810)</f>
        <v>2024.09</v>
      </c>
      <c r="B806" s="17" t="n">
        <f aca="false">IFERROR(VALUE(LEFT($A806,4)),"")</f>
        <v>2024</v>
      </c>
      <c r="C806" s="17" t="n">
        <f aca="false">IFERROR(VALUE(RIGHT($A806,2)),"")</f>
        <v>9</v>
      </c>
      <c r="D806" s="17" t="n">
        <f aca="false">IFERROR(ROUNDUP($C806/3,0),"")</f>
        <v>3</v>
      </c>
      <c r="E806" s="11" t="str">
        <f aca="false">TRIM('수출입 실적(품목별)'!B810)</f>
        <v>32</v>
      </c>
      <c r="F806" s="11" t="str">
        <f aca="false">TRIM('수출입 실적(품목별)'!C810)</f>
        <v>유연용ㆍ염색용 추출물(extract), 탄닌과 이들의 유도체, 염료ㆍ안료와 그 밖의 착색제, 페인트ㆍ바니시(varnish), 퍼티(putty)와 그 밖의 매스틱(mastic), 잉크</v>
      </c>
      <c r="G806" s="18" t="n">
        <f aca="false">IFERROR(VALUE(SUBSTITUTE(TRIM('수출입 실적(품목별)'!D810),",","")),"")</f>
        <v>26560.2</v>
      </c>
      <c r="H806" s="19" t="n">
        <f aca="false">IFERROR(VALUE(SUBSTITUTE(TRIM('수출입 실적(품목별)'!E810),",","")),"")</f>
        <v>206020</v>
      </c>
      <c r="I806" s="18" t="n">
        <f aca="false">IFERROR(VALUE(SUBSTITUTE(TRIM('수출입 실적(품목별)'!F810),",","")),"")</f>
        <v>24931.6</v>
      </c>
      <c r="J806" s="19" t="n">
        <f aca="false">IFERROR(VALUE(SUBSTITUTE(TRIM('수출입 실적(품목별)'!G810),",","")),"")</f>
        <v>181799</v>
      </c>
      <c r="K806" s="19" t="n">
        <f aca="false">IFERROR(VALUE(SUBSTITUTE(TRIM('수출입 실적(품목별)'!H810),",","")),"")</f>
        <v>24221</v>
      </c>
    </row>
    <row r="807" customFormat="false" ht="15" hidden="false" customHeight="true" outlineLevel="0" collapsed="false">
      <c r="A807" s="11" t="str">
        <f aca="false">TRIM('수출입 실적(품목별)'!A811)</f>
        <v>2024.09</v>
      </c>
      <c r="B807" s="17" t="n">
        <f aca="false">IFERROR(VALUE(LEFT($A807,4)),"")</f>
        <v>2024</v>
      </c>
      <c r="C807" s="17" t="n">
        <f aca="false">IFERROR(VALUE(RIGHT($A807,2)),"")</f>
        <v>9</v>
      </c>
      <c r="D807" s="17" t="n">
        <f aca="false">IFERROR(ROUNDUP($C807/3,0),"")</f>
        <v>3</v>
      </c>
      <c r="E807" s="11" t="str">
        <f aca="false">TRIM('수출입 실적(품목별)'!B811)</f>
        <v>33</v>
      </c>
      <c r="F807" s="11" t="str">
        <f aca="false">TRIM('수출입 실적(품목별)'!C811)</f>
        <v>정유(essential oil)와 레지노이드(resinoid), 조제향료와 화장품ㆍ화장용품</v>
      </c>
      <c r="G807" s="18" t="n">
        <f aca="false">IFERROR(VALUE(SUBSTITUTE(TRIM('수출입 실적(품목별)'!D811),",","")),"")</f>
        <v>37787.1</v>
      </c>
      <c r="H807" s="19" t="n">
        <f aca="false">IFERROR(VALUE(SUBSTITUTE(TRIM('수출입 실적(품목별)'!E811),",","")),"")</f>
        <v>881298</v>
      </c>
      <c r="I807" s="18" t="n">
        <f aca="false">IFERROR(VALUE(SUBSTITUTE(TRIM('수출입 실적(품목별)'!F811),",","")),"")</f>
        <v>8648.9</v>
      </c>
      <c r="J807" s="19" t="n">
        <f aca="false">IFERROR(VALUE(SUBSTITUTE(TRIM('수출입 실적(품목별)'!G811),",","")),"")</f>
        <v>170488</v>
      </c>
      <c r="K807" s="19" t="n">
        <f aca="false">IFERROR(VALUE(SUBSTITUTE(TRIM('수출입 실적(품목별)'!H811),",","")),"")</f>
        <v>710810</v>
      </c>
    </row>
    <row r="808" customFormat="false" ht="15" hidden="false" customHeight="true" outlineLevel="0" collapsed="false">
      <c r="A808" s="11" t="str">
        <f aca="false">TRIM('수출입 실적(품목별)'!A812)</f>
        <v>2024.09</v>
      </c>
      <c r="B808" s="17" t="n">
        <f aca="false">IFERROR(VALUE(LEFT($A808,4)),"")</f>
        <v>2024</v>
      </c>
      <c r="C808" s="17" t="n">
        <f aca="false">IFERROR(VALUE(RIGHT($A808,2)),"")</f>
        <v>9</v>
      </c>
      <c r="D808" s="17" t="n">
        <f aca="false">IFERROR(ROUNDUP($C808/3,0),"")</f>
        <v>3</v>
      </c>
      <c r="E808" s="11" t="str">
        <f aca="false">TRIM('수출입 실적(품목별)'!B812)</f>
        <v>34</v>
      </c>
      <c r="F808" s="11" t="str">
        <f aca="false">TRIM('수출입 실적(품목별)'!C812)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808" s="18" t="n">
        <f aca="false">IFERROR(VALUE(SUBSTITUTE(TRIM('수출입 실적(품목별)'!D812),",","")),"")</f>
        <v>63406.4</v>
      </c>
      <c r="H808" s="19" t="n">
        <f aca="false">IFERROR(VALUE(SUBSTITUTE(TRIM('수출입 실적(품목별)'!E812),",","")),"")</f>
        <v>153671</v>
      </c>
      <c r="I808" s="18" t="n">
        <f aca="false">IFERROR(VALUE(SUBSTITUTE(TRIM('수출입 실적(품목별)'!F812),",","")),"")</f>
        <v>24574.1</v>
      </c>
      <c r="J808" s="19" t="n">
        <f aca="false">IFERROR(VALUE(SUBSTITUTE(TRIM('수출입 실적(품목별)'!G812),",","")),"")</f>
        <v>95465</v>
      </c>
      <c r="K808" s="19" t="n">
        <f aca="false">IFERROR(VALUE(SUBSTITUTE(TRIM('수출입 실적(품목별)'!H812),",","")),"")</f>
        <v>58206</v>
      </c>
    </row>
    <row r="809" customFormat="false" ht="15" hidden="false" customHeight="true" outlineLevel="0" collapsed="false">
      <c r="A809" s="11" t="str">
        <f aca="false">TRIM('수출입 실적(품목별)'!A813)</f>
        <v>2024.09</v>
      </c>
      <c r="B809" s="17" t="n">
        <f aca="false">IFERROR(VALUE(LEFT($A809,4)),"")</f>
        <v>2024</v>
      </c>
      <c r="C809" s="17" t="n">
        <f aca="false">IFERROR(VALUE(RIGHT($A809,2)),"")</f>
        <v>9</v>
      </c>
      <c r="D809" s="17" t="n">
        <f aca="false">IFERROR(ROUNDUP($C809/3,0),"")</f>
        <v>3</v>
      </c>
      <c r="E809" s="11" t="str">
        <f aca="false">TRIM('수출입 실적(품목별)'!B813)</f>
        <v>35</v>
      </c>
      <c r="F809" s="11" t="str">
        <f aca="false">TRIM('수출입 실적(품목별)'!C813)</f>
        <v>단백질계 물질, 변성전분, 글루(glue), 효소</v>
      </c>
      <c r="G809" s="18" t="n">
        <f aca="false">IFERROR(VALUE(SUBSTITUTE(TRIM('수출입 실적(품목별)'!D813),",","")),"")</f>
        <v>6106.2</v>
      </c>
      <c r="H809" s="19" t="n">
        <f aca="false">IFERROR(VALUE(SUBSTITUTE(TRIM('수출입 실적(품목별)'!E813),",","")),"")</f>
        <v>85466</v>
      </c>
      <c r="I809" s="18" t="n">
        <f aca="false">IFERROR(VALUE(SUBSTITUTE(TRIM('수출입 실적(품목별)'!F813),",","")),"")</f>
        <v>19737.5</v>
      </c>
      <c r="J809" s="19" t="n">
        <f aca="false">IFERROR(VALUE(SUBSTITUTE(TRIM('수출입 실적(품목별)'!G813),",","")),"")</f>
        <v>82838</v>
      </c>
      <c r="K809" s="19" t="n">
        <f aca="false">IFERROR(VALUE(SUBSTITUTE(TRIM('수출입 실적(품목별)'!H813),",","")),"")</f>
        <v>2628</v>
      </c>
    </row>
    <row r="810" customFormat="false" ht="15" hidden="false" customHeight="true" outlineLevel="0" collapsed="false">
      <c r="A810" s="11" t="str">
        <f aca="false">TRIM('수출입 실적(품목별)'!A814)</f>
        <v>2024.09</v>
      </c>
      <c r="B810" s="17" t="n">
        <f aca="false">IFERROR(VALUE(LEFT($A810,4)),"")</f>
        <v>2024</v>
      </c>
      <c r="C810" s="17" t="n">
        <f aca="false">IFERROR(VALUE(RIGHT($A810,2)),"")</f>
        <v>9</v>
      </c>
      <c r="D810" s="17" t="n">
        <f aca="false">IFERROR(ROUNDUP($C810/3,0),"")</f>
        <v>3</v>
      </c>
      <c r="E810" s="11" t="str">
        <f aca="false">TRIM('수출입 실적(품목별)'!B814)</f>
        <v>36</v>
      </c>
      <c r="F810" s="11" t="str">
        <f aca="false">TRIM('수출입 실적(품목별)'!C814)</f>
        <v>화약류, 화공품, 성냥, 발화성 합금, 특정 가연성 조제품</v>
      </c>
      <c r="G810" s="18" t="n">
        <f aca="false">IFERROR(VALUE(SUBSTITUTE(TRIM('수출입 실적(품목별)'!D814),",","")),"")</f>
        <v>318.1</v>
      </c>
      <c r="H810" s="19" t="n">
        <f aca="false">IFERROR(VALUE(SUBSTITUTE(TRIM('수출입 실적(품목별)'!E814),",","")),"")</f>
        <v>5541</v>
      </c>
      <c r="I810" s="18" t="n">
        <f aca="false">IFERROR(VALUE(SUBSTITUTE(TRIM('수출입 실적(품목별)'!F814),",","")),"")</f>
        <v>175.2</v>
      </c>
      <c r="J810" s="19" t="n">
        <f aca="false">IFERROR(VALUE(SUBSTITUTE(TRIM('수출입 실적(품목별)'!G814),",","")),"")</f>
        <v>2411</v>
      </c>
      <c r="K810" s="19" t="n">
        <f aca="false">IFERROR(VALUE(SUBSTITUTE(TRIM('수출입 실적(품목별)'!H814),",","")),"")</f>
        <v>3130</v>
      </c>
    </row>
    <row r="811" customFormat="false" ht="15" hidden="false" customHeight="true" outlineLevel="0" collapsed="false">
      <c r="A811" s="11" t="str">
        <f aca="false">TRIM('수출입 실적(품목별)'!A815)</f>
        <v>2024.09</v>
      </c>
      <c r="B811" s="17" t="n">
        <f aca="false">IFERROR(VALUE(LEFT($A811,4)),"")</f>
        <v>2024</v>
      </c>
      <c r="C811" s="17" t="n">
        <f aca="false">IFERROR(VALUE(RIGHT($A811,2)),"")</f>
        <v>9</v>
      </c>
      <c r="D811" s="17" t="n">
        <f aca="false">IFERROR(ROUNDUP($C811/3,0),"")</f>
        <v>3</v>
      </c>
      <c r="E811" s="11" t="str">
        <f aca="false">TRIM('수출입 실적(품목별)'!B815)</f>
        <v>37</v>
      </c>
      <c r="F811" s="11" t="str">
        <f aca="false">TRIM('수출입 실적(품목별)'!C815)</f>
        <v>사진용이나 영화용 재료</v>
      </c>
      <c r="G811" s="18" t="n">
        <f aca="false">IFERROR(VALUE(SUBSTITUTE(TRIM('수출입 실적(품목별)'!D815),",","")),"")</f>
        <v>1749.6</v>
      </c>
      <c r="H811" s="19" t="n">
        <f aca="false">IFERROR(VALUE(SUBSTITUTE(TRIM('수출입 실적(품목별)'!E815),",","")),"")</f>
        <v>92120</v>
      </c>
      <c r="I811" s="18" t="n">
        <f aca="false">IFERROR(VALUE(SUBSTITUTE(TRIM('수출입 실적(품목별)'!F815),",","")),"")</f>
        <v>2673.1</v>
      </c>
      <c r="J811" s="19" t="n">
        <f aca="false">IFERROR(VALUE(SUBSTITUTE(TRIM('수출입 실적(품목별)'!G815),",","")),"")</f>
        <v>80628</v>
      </c>
      <c r="K811" s="19" t="n">
        <f aca="false">IFERROR(VALUE(SUBSTITUTE(TRIM('수출입 실적(품목별)'!H815),",","")),"")</f>
        <v>11492</v>
      </c>
    </row>
    <row r="812" customFormat="false" ht="15" hidden="false" customHeight="true" outlineLevel="0" collapsed="false">
      <c r="A812" s="11" t="str">
        <f aca="false">TRIM('수출입 실적(품목별)'!A816)</f>
        <v>2024.09</v>
      </c>
      <c r="B812" s="17" t="n">
        <f aca="false">IFERROR(VALUE(LEFT($A812,4)),"")</f>
        <v>2024</v>
      </c>
      <c r="C812" s="17" t="n">
        <f aca="false">IFERROR(VALUE(RIGHT($A812,2)),"")</f>
        <v>9</v>
      </c>
      <c r="D812" s="17" t="n">
        <f aca="false">IFERROR(ROUNDUP($C812/3,0),"")</f>
        <v>3</v>
      </c>
      <c r="E812" s="11" t="str">
        <f aca="false">TRIM('수출입 실적(품목별)'!B816)</f>
        <v>38</v>
      </c>
      <c r="F812" s="11" t="str">
        <f aca="false">TRIM('수출입 실적(품목별)'!C816)</f>
        <v>각종 화학공업 생산품</v>
      </c>
      <c r="G812" s="18" t="n">
        <f aca="false">IFERROR(VALUE(SUBSTITUTE(TRIM('수출입 실적(품목별)'!D816),",","")),"")</f>
        <v>101083.9</v>
      </c>
      <c r="H812" s="19" t="n">
        <f aca="false">IFERROR(VALUE(SUBSTITUTE(TRIM('수출입 실적(품목별)'!E816),",","")),"")</f>
        <v>569802</v>
      </c>
      <c r="I812" s="18" t="n">
        <f aca="false">IFERROR(VALUE(SUBSTITUTE(TRIM('수출입 실적(품목별)'!F816),",","")),"")</f>
        <v>172332.1</v>
      </c>
      <c r="J812" s="19" t="n">
        <f aca="false">IFERROR(VALUE(SUBSTITUTE(TRIM('수출입 실적(품목별)'!G816),",","")),"")</f>
        <v>764225</v>
      </c>
      <c r="K812" s="19" t="n">
        <f aca="false">IFERROR(VALUE(SUBSTITUTE(TRIM('수출입 실적(품목별)'!H816),",","")),"")</f>
        <v>-194423</v>
      </c>
    </row>
    <row r="813" customFormat="false" ht="15" hidden="false" customHeight="true" outlineLevel="0" collapsed="false">
      <c r="A813" s="11" t="str">
        <f aca="false">TRIM('수출입 실적(품목별)'!A817)</f>
        <v>2024.09</v>
      </c>
      <c r="B813" s="17" t="n">
        <f aca="false">IFERROR(VALUE(LEFT($A813,4)),"")</f>
        <v>2024</v>
      </c>
      <c r="C813" s="17" t="n">
        <f aca="false">IFERROR(VALUE(RIGHT($A813,2)),"")</f>
        <v>9</v>
      </c>
      <c r="D813" s="17" t="n">
        <f aca="false">IFERROR(ROUNDUP($C813/3,0),"")</f>
        <v>3</v>
      </c>
      <c r="E813" s="11" t="str">
        <f aca="false">TRIM('수출입 실적(품목별)'!B817)</f>
        <v>39</v>
      </c>
      <c r="F813" s="11" t="str">
        <f aca="false">TRIM('수출입 실적(품목별)'!C817)</f>
        <v>플라스틱과 그 제품</v>
      </c>
      <c r="G813" s="18" t="n">
        <f aca="false">IFERROR(VALUE(SUBSTITUTE(TRIM('수출입 실적(품목별)'!D817),",","")),"")</f>
        <v>1439839.9</v>
      </c>
      <c r="H813" s="19" t="n">
        <f aca="false">IFERROR(VALUE(SUBSTITUTE(TRIM('수출입 실적(품목별)'!E817),",","")),"")</f>
        <v>2847294</v>
      </c>
      <c r="I813" s="18" t="n">
        <f aca="false">IFERROR(VALUE(SUBSTITUTE(TRIM('수출입 실적(품목별)'!F817),",","")),"")</f>
        <v>249038.5</v>
      </c>
      <c r="J813" s="19" t="n">
        <f aca="false">IFERROR(VALUE(SUBSTITUTE(TRIM('수출입 실적(품목별)'!G817),",","")),"")</f>
        <v>1111447</v>
      </c>
      <c r="K813" s="19" t="n">
        <f aca="false">IFERROR(VALUE(SUBSTITUTE(TRIM('수출입 실적(품목별)'!H817),",","")),"")</f>
        <v>1735847</v>
      </c>
    </row>
    <row r="814" customFormat="false" ht="15" hidden="false" customHeight="true" outlineLevel="0" collapsed="false">
      <c r="A814" s="11" t="str">
        <f aca="false">TRIM('수출입 실적(품목별)'!A818)</f>
        <v>2024.09</v>
      </c>
      <c r="B814" s="17" t="n">
        <f aca="false">IFERROR(VALUE(LEFT($A814,4)),"")</f>
        <v>2024</v>
      </c>
      <c r="C814" s="17" t="n">
        <f aca="false">IFERROR(VALUE(RIGHT($A814,2)),"")</f>
        <v>9</v>
      </c>
      <c r="D814" s="17" t="n">
        <f aca="false">IFERROR(ROUNDUP($C814/3,0),"")</f>
        <v>3</v>
      </c>
      <c r="E814" s="11" t="str">
        <f aca="false">TRIM('수출입 실적(품목별)'!B818)</f>
        <v>40</v>
      </c>
      <c r="F814" s="11" t="str">
        <f aca="false">TRIM('수출입 실적(품목별)'!C818)</f>
        <v>고무와 그 제품</v>
      </c>
      <c r="G814" s="18" t="n">
        <f aca="false">IFERROR(VALUE(SUBSTITUTE(TRIM('수출입 실적(품목별)'!D818),",","")),"")</f>
        <v>233462.1</v>
      </c>
      <c r="H814" s="19" t="n">
        <f aca="false">IFERROR(VALUE(SUBSTITUTE(TRIM('수출입 실적(품목별)'!E818),",","")),"")</f>
        <v>593653</v>
      </c>
      <c r="I814" s="18" t="n">
        <f aca="false">IFERROR(VALUE(SUBSTITUTE(TRIM('수출입 실적(품목별)'!F818),",","")),"")</f>
        <v>79389.7</v>
      </c>
      <c r="J814" s="19" t="n">
        <f aca="false">IFERROR(VALUE(SUBSTITUTE(TRIM('수출입 실적(품목별)'!G818),",","")),"")</f>
        <v>258877</v>
      </c>
      <c r="K814" s="19" t="n">
        <f aca="false">IFERROR(VALUE(SUBSTITUTE(TRIM('수출입 실적(품목별)'!H818),",","")),"")</f>
        <v>334776</v>
      </c>
    </row>
    <row r="815" customFormat="false" ht="15" hidden="false" customHeight="true" outlineLevel="0" collapsed="false">
      <c r="A815" s="11" t="str">
        <f aca="false">TRIM('수출입 실적(품목별)'!A819)</f>
        <v>2024.09</v>
      </c>
      <c r="B815" s="17" t="n">
        <f aca="false">IFERROR(VALUE(LEFT($A815,4)),"")</f>
        <v>2024</v>
      </c>
      <c r="C815" s="17" t="n">
        <f aca="false">IFERROR(VALUE(RIGHT($A815,2)),"")</f>
        <v>9</v>
      </c>
      <c r="D815" s="17" t="n">
        <f aca="false">IFERROR(ROUNDUP($C815/3,0),"")</f>
        <v>3</v>
      </c>
      <c r="E815" s="11" t="str">
        <f aca="false">TRIM('수출입 실적(품목별)'!B819)</f>
        <v>41</v>
      </c>
      <c r="F815" s="11" t="str">
        <f aca="false">TRIM('수출입 실적(품목별)'!C819)</f>
        <v>원피(모피는 제외한다)와 가죽</v>
      </c>
      <c r="G815" s="18" t="n">
        <f aca="false">IFERROR(VALUE(SUBSTITUTE(TRIM('수출입 실적(품목별)'!D819),",","")),"")</f>
        <v>2411.3</v>
      </c>
      <c r="H815" s="19" t="n">
        <f aca="false">IFERROR(VALUE(SUBSTITUTE(TRIM('수출입 실적(품목별)'!E819),",","")),"")</f>
        <v>23225</v>
      </c>
      <c r="I815" s="18" t="n">
        <f aca="false">IFERROR(VALUE(SUBSTITUTE(TRIM('수출입 실적(품목별)'!F819),",","")),"")</f>
        <v>7021.6</v>
      </c>
      <c r="J815" s="19" t="n">
        <f aca="false">IFERROR(VALUE(SUBSTITUTE(TRIM('수출입 실적(품목별)'!G819),",","")),"")</f>
        <v>20043</v>
      </c>
      <c r="K815" s="19" t="n">
        <f aca="false">IFERROR(VALUE(SUBSTITUTE(TRIM('수출입 실적(품목별)'!H819),",","")),"")</f>
        <v>3182</v>
      </c>
    </row>
    <row r="816" customFormat="false" ht="15" hidden="false" customHeight="true" outlineLevel="0" collapsed="false">
      <c r="A816" s="11" t="str">
        <f aca="false">TRIM('수출입 실적(품목별)'!A820)</f>
        <v>2024.09</v>
      </c>
      <c r="B816" s="17" t="n">
        <f aca="false">IFERROR(VALUE(LEFT($A816,4)),"")</f>
        <v>2024</v>
      </c>
      <c r="C816" s="17" t="n">
        <f aca="false">IFERROR(VALUE(RIGHT($A816,2)),"")</f>
        <v>9</v>
      </c>
      <c r="D816" s="17" t="n">
        <f aca="false">IFERROR(ROUNDUP($C816/3,0),"")</f>
        <v>3</v>
      </c>
      <c r="E816" s="11" t="str">
        <f aca="false">TRIM('수출입 실적(품목별)'!B820)</f>
        <v>42</v>
      </c>
      <c r="F816" s="11" t="str">
        <f aca="false">TRIM('수출입 실적(품목별)'!C820)</f>
        <v>가죽제품, 마구, 여행용구ㆍ핸드백과 이와 유사한 용기, 동물 거트(gut)[누에의 거트(gut)는 제외한다]의 제품</v>
      </c>
      <c r="G816" s="18" t="n">
        <f aca="false">IFERROR(VALUE(SUBSTITUTE(TRIM('수출입 실적(품목별)'!D820),",","")),"")</f>
        <v>874.5</v>
      </c>
      <c r="H816" s="19" t="n">
        <f aca="false">IFERROR(VALUE(SUBSTITUTE(TRIM('수출입 실적(품목별)'!E820),",","")),"")</f>
        <v>33086</v>
      </c>
      <c r="I816" s="18" t="n">
        <f aca="false">IFERROR(VALUE(SUBSTITUTE(TRIM('수출입 실적(품목별)'!F820),",","")),"")</f>
        <v>9107.3</v>
      </c>
      <c r="J816" s="19" t="n">
        <f aca="false">IFERROR(VALUE(SUBSTITUTE(TRIM('수출입 실적(품목별)'!G820),",","")),"")</f>
        <v>272188</v>
      </c>
      <c r="K816" s="19" t="n">
        <f aca="false">IFERROR(VALUE(SUBSTITUTE(TRIM('수출입 실적(품목별)'!H820),",","")),"")</f>
        <v>-239102</v>
      </c>
    </row>
    <row r="817" customFormat="false" ht="15" hidden="false" customHeight="true" outlineLevel="0" collapsed="false">
      <c r="A817" s="11" t="str">
        <f aca="false">TRIM('수출입 실적(품목별)'!A821)</f>
        <v>2024.09</v>
      </c>
      <c r="B817" s="17" t="n">
        <f aca="false">IFERROR(VALUE(LEFT($A817,4)),"")</f>
        <v>2024</v>
      </c>
      <c r="C817" s="17" t="n">
        <f aca="false">IFERROR(VALUE(RIGHT($A817,2)),"")</f>
        <v>9</v>
      </c>
      <c r="D817" s="17" t="n">
        <f aca="false">IFERROR(ROUNDUP($C817/3,0),"")</f>
        <v>3</v>
      </c>
      <c r="E817" s="11" t="str">
        <f aca="false">TRIM('수출입 실적(품목별)'!B821)</f>
        <v>43</v>
      </c>
      <c r="F817" s="11" t="str">
        <f aca="false">TRIM('수출입 실적(품목별)'!C821)</f>
        <v>모피ㆍ인조모피와 이들의 제품</v>
      </c>
      <c r="G817" s="18" t="n">
        <f aca="false">IFERROR(VALUE(SUBSTITUTE(TRIM('수출입 실적(품목별)'!D821),",","")),"")</f>
        <v>12.4</v>
      </c>
      <c r="H817" s="19" t="n">
        <f aca="false">IFERROR(VALUE(SUBSTITUTE(TRIM('수출입 실적(품목별)'!E821),",","")),"")</f>
        <v>1256</v>
      </c>
      <c r="I817" s="18" t="n">
        <f aca="false">IFERROR(VALUE(SUBSTITUTE(TRIM('수출입 실적(품목별)'!F821),",","")),"")</f>
        <v>111.8</v>
      </c>
      <c r="J817" s="19" t="n">
        <f aca="false">IFERROR(VALUE(SUBSTITUTE(TRIM('수출입 실적(품목별)'!G821),",","")),"")</f>
        <v>13388</v>
      </c>
      <c r="K817" s="19" t="n">
        <f aca="false">IFERROR(VALUE(SUBSTITUTE(TRIM('수출입 실적(품목별)'!H821),",","")),"")</f>
        <v>-12132</v>
      </c>
    </row>
    <row r="818" customFormat="false" ht="15" hidden="false" customHeight="true" outlineLevel="0" collapsed="false">
      <c r="A818" s="11" t="str">
        <f aca="false">TRIM('수출입 실적(품목별)'!A822)</f>
        <v>2024.09</v>
      </c>
      <c r="B818" s="17" t="n">
        <f aca="false">IFERROR(VALUE(LEFT($A818,4)),"")</f>
        <v>2024</v>
      </c>
      <c r="C818" s="17" t="n">
        <f aca="false">IFERROR(VALUE(RIGHT($A818,2)),"")</f>
        <v>9</v>
      </c>
      <c r="D818" s="17" t="n">
        <f aca="false">IFERROR(ROUNDUP($C818/3,0),"")</f>
        <v>3</v>
      </c>
      <c r="E818" s="11" t="str">
        <f aca="false">TRIM('수출입 실적(품목별)'!B822)</f>
        <v>44</v>
      </c>
      <c r="F818" s="11" t="str">
        <f aca="false">TRIM('수출입 실적(품목별)'!C822)</f>
        <v>목재와 그 제품, 목탄</v>
      </c>
      <c r="G818" s="18" t="n">
        <f aca="false">IFERROR(VALUE(SUBSTITUTE(TRIM('수출입 실적(품목별)'!D822),",","")),"")</f>
        <v>3078.3</v>
      </c>
      <c r="H818" s="19" t="n">
        <f aca="false">IFERROR(VALUE(SUBSTITUTE(TRIM('수출입 실적(품목별)'!E822),",","")),"")</f>
        <v>4419</v>
      </c>
      <c r="I818" s="18" t="n">
        <f aca="false">IFERROR(VALUE(SUBSTITUTE(TRIM('수출입 실적(품목별)'!F822),",","")),"")</f>
        <v>816946.1</v>
      </c>
      <c r="J818" s="19" t="n">
        <f aca="false">IFERROR(VALUE(SUBSTITUTE(TRIM('수출입 실적(품목별)'!G822),",","")),"")</f>
        <v>245564</v>
      </c>
      <c r="K818" s="19" t="n">
        <f aca="false">IFERROR(VALUE(SUBSTITUTE(TRIM('수출입 실적(품목별)'!H822),",","")),"")</f>
        <v>-241145</v>
      </c>
    </row>
    <row r="819" customFormat="false" ht="15" hidden="false" customHeight="true" outlineLevel="0" collapsed="false">
      <c r="A819" s="11" t="str">
        <f aca="false">TRIM('수출입 실적(품목별)'!A823)</f>
        <v>2024.09</v>
      </c>
      <c r="B819" s="17" t="n">
        <f aca="false">IFERROR(VALUE(LEFT($A819,4)),"")</f>
        <v>2024</v>
      </c>
      <c r="C819" s="17" t="n">
        <f aca="false">IFERROR(VALUE(RIGHT($A819,2)),"")</f>
        <v>9</v>
      </c>
      <c r="D819" s="17" t="n">
        <f aca="false">IFERROR(ROUNDUP($C819/3,0),"")</f>
        <v>3</v>
      </c>
      <c r="E819" s="11" t="str">
        <f aca="false">TRIM('수출입 실적(품목별)'!B823)</f>
        <v>45</v>
      </c>
      <c r="F819" s="11" t="str">
        <f aca="false">TRIM('수출입 실적(품목별)'!C823)</f>
        <v>코르크(cork)와 그 제품</v>
      </c>
      <c r="G819" s="18" t="n">
        <f aca="false">IFERROR(VALUE(SUBSTITUTE(TRIM('수출입 실적(품목별)'!D823),",","")),"")</f>
        <v>4.1</v>
      </c>
      <c r="H819" s="19" t="n">
        <f aca="false">IFERROR(VALUE(SUBSTITUTE(TRIM('수출입 실적(품목별)'!E823),",","")),"")</f>
        <v>27</v>
      </c>
      <c r="I819" s="18" t="n">
        <f aca="false">IFERROR(VALUE(SUBSTITUTE(TRIM('수출입 실적(품목별)'!F823),",","")),"")</f>
        <v>90.6</v>
      </c>
      <c r="J819" s="19" t="n">
        <f aca="false">IFERROR(VALUE(SUBSTITUTE(TRIM('수출입 실적(품목별)'!G823),",","")),"")</f>
        <v>421</v>
      </c>
      <c r="K819" s="19" t="n">
        <f aca="false">IFERROR(VALUE(SUBSTITUTE(TRIM('수출입 실적(품목별)'!H823),",","")),"")</f>
        <v>-393</v>
      </c>
    </row>
    <row r="820" customFormat="false" ht="15" hidden="false" customHeight="true" outlineLevel="0" collapsed="false">
      <c r="A820" s="11" t="str">
        <f aca="false">TRIM('수출입 실적(품목별)'!A824)</f>
        <v>2024.09</v>
      </c>
      <c r="B820" s="17" t="n">
        <f aca="false">IFERROR(VALUE(LEFT($A820,4)),"")</f>
        <v>2024</v>
      </c>
      <c r="C820" s="17" t="n">
        <f aca="false">IFERROR(VALUE(RIGHT($A820,2)),"")</f>
        <v>9</v>
      </c>
      <c r="D820" s="17" t="n">
        <f aca="false">IFERROR(ROUNDUP($C820/3,0),"")</f>
        <v>3</v>
      </c>
      <c r="E820" s="11" t="str">
        <f aca="false">TRIM('수출입 실적(품목별)'!B824)</f>
        <v>46</v>
      </c>
      <c r="F820" s="11" t="str">
        <f aca="false">TRIM('수출입 실적(품목별)'!C824)</f>
        <v>짚ㆍ에스파르토(esparto)나 그 밖의 조물 재료의 제품, 바구니 세공물(basketware)과 지조세공물(枝條細工物)</v>
      </c>
      <c r="G820" s="18" t="n">
        <f aca="false">IFERROR(VALUE(SUBSTITUTE(TRIM('수출입 실적(품목별)'!D824),",","")),"")</f>
        <v>1.7</v>
      </c>
      <c r="H820" s="19" t="n">
        <f aca="false">IFERROR(VALUE(SUBSTITUTE(TRIM('수출입 실적(품목별)'!E824),",","")),"")</f>
        <v>82</v>
      </c>
      <c r="I820" s="18" t="n">
        <f aca="false">IFERROR(VALUE(SUBSTITUTE(TRIM('수출입 실적(품목별)'!F824),",","")),"")</f>
        <v>232.1</v>
      </c>
      <c r="J820" s="19" t="n">
        <f aca="false">IFERROR(VALUE(SUBSTITUTE(TRIM('수출입 실적(품목별)'!G824),",","")),"")</f>
        <v>1217</v>
      </c>
      <c r="K820" s="19" t="n">
        <f aca="false">IFERROR(VALUE(SUBSTITUTE(TRIM('수출입 실적(품목별)'!H824),",","")),"")</f>
        <v>-1135</v>
      </c>
    </row>
    <row r="821" customFormat="false" ht="15" hidden="false" customHeight="true" outlineLevel="0" collapsed="false">
      <c r="A821" s="11" t="str">
        <f aca="false">TRIM('수출입 실적(품목별)'!A825)</f>
        <v>2024.09</v>
      </c>
      <c r="B821" s="17" t="n">
        <f aca="false">IFERROR(VALUE(LEFT($A821,4)),"")</f>
        <v>2024</v>
      </c>
      <c r="C821" s="17" t="n">
        <f aca="false">IFERROR(VALUE(RIGHT($A821,2)),"")</f>
        <v>9</v>
      </c>
      <c r="D821" s="17" t="n">
        <f aca="false">IFERROR(ROUNDUP($C821/3,0),"")</f>
        <v>3</v>
      </c>
      <c r="E821" s="11" t="str">
        <f aca="false">TRIM('수출입 실적(품목별)'!B825)</f>
        <v>47</v>
      </c>
      <c r="F821" s="11" t="str">
        <f aca="false">TRIM('수출입 실적(품목별)'!C825)</f>
        <v>목재나 그 밖의 섬유질 셀룰로오스재료의 펄프, 회수한 종이ㆍ판지[웨이스트(waste)와 스크랩(scrap)]</v>
      </c>
      <c r="G821" s="18" t="n">
        <f aca="false">IFERROR(VALUE(SUBSTITUTE(TRIM('수출입 실적(품목별)'!D825),",","")),"")</f>
        <v>30586.3</v>
      </c>
      <c r="H821" s="19" t="n">
        <f aca="false">IFERROR(VALUE(SUBSTITUTE(TRIM('수출입 실적(품목별)'!E825),",","")),"")</f>
        <v>7869</v>
      </c>
      <c r="I821" s="18" t="n">
        <f aca="false">IFERROR(VALUE(SUBSTITUTE(TRIM('수출입 실적(품목별)'!F825),",","")),"")</f>
        <v>281222</v>
      </c>
      <c r="J821" s="19" t="n">
        <f aca="false">IFERROR(VALUE(SUBSTITUTE(TRIM('수출입 실적(품목별)'!G825),",","")),"")</f>
        <v>162915</v>
      </c>
      <c r="K821" s="19" t="n">
        <f aca="false">IFERROR(VALUE(SUBSTITUTE(TRIM('수출입 실적(품목별)'!H825),",","")),"")</f>
        <v>-155046</v>
      </c>
    </row>
    <row r="822" customFormat="false" ht="15" hidden="false" customHeight="true" outlineLevel="0" collapsed="false">
      <c r="A822" s="11" t="str">
        <f aca="false">TRIM('수출입 실적(품목별)'!A826)</f>
        <v>2024.09</v>
      </c>
      <c r="B822" s="17" t="n">
        <f aca="false">IFERROR(VALUE(LEFT($A822,4)),"")</f>
        <v>2024</v>
      </c>
      <c r="C822" s="17" t="n">
        <f aca="false">IFERROR(VALUE(RIGHT($A822,2)),"")</f>
        <v>9</v>
      </c>
      <c r="D822" s="17" t="n">
        <f aca="false">IFERROR(ROUNDUP($C822/3,0),"")</f>
        <v>3</v>
      </c>
      <c r="E822" s="11" t="str">
        <f aca="false">TRIM('수출입 실적(품목별)'!B826)</f>
        <v>48</v>
      </c>
      <c r="F822" s="11" t="str">
        <f aca="false">TRIM('수출입 실적(품목별)'!C826)</f>
        <v>종이와 판지, 제지용 펄프ㆍ종이ㆍ판지의 제품</v>
      </c>
      <c r="G822" s="18" t="n">
        <f aca="false">IFERROR(VALUE(SUBSTITUTE(TRIM('수출입 실적(품목별)'!D826),",","")),"")</f>
        <v>206621.9</v>
      </c>
      <c r="H822" s="19" t="n">
        <f aca="false">IFERROR(VALUE(SUBSTITUTE(TRIM('수출입 실적(품목별)'!E826),",","")),"")</f>
        <v>206908</v>
      </c>
      <c r="I822" s="18" t="n">
        <f aca="false">IFERROR(VALUE(SUBSTITUTE(TRIM('수출입 실적(품목별)'!F826),",","")),"")</f>
        <v>121735.3</v>
      </c>
      <c r="J822" s="19" t="n">
        <f aca="false">IFERROR(VALUE(SUBSTITUTE(TRIM('수출입 실적(품목별)'!G826),",","")),"")</f>
        <v>183664</v>
      </c>
      <c r="K822" s="19" t="n">
        <f aca="false">IFERROR(VALUE(SUBSTITUTE(TRIM('수출입 실적(품목별)'!H826),",","")),"")</f>
        <v>23243</v>
      </c>
    </row>
    <row r="823" customFormat="false" ht="15" hidden="false" customHeight="true" outlineLevel="0" collapsed="false">
      <c r="A823" s="11" t="str">
        <f aca="false">TRIM('수출입 실적(품목별)'!A827)</f>
        <v>2024.09</v>
      </c>
      <c r="B823" s="17" t="n">
        <f aca="false">IFERROR(VALUE(LEFT($A823,4)),"")</f>
        <v>2024</v>
      </c>
      <c r="C823" s="17" t="n">
        <f aca="false">IFERROR(VALUE(RIGHT($A823,2)),"")</f>
        <v>9</v>
      </c>
      <c r="D823" s="17" t="n">
        <f aca="false">IFERROR(ROUNDUP($C823/3,0),"")</f>
        <v>3</v>
      </c>
      <c r="E823" s="11" t="str">
        <f aca="false">TRIM('수출입 실적(품목별)'!B827)</f>
        <v>49</v>
      </c>
      <c r="F823" s="11" t="str">
        <f aca="false">TRIM('수출입 실적(품목별)'!C827)</f>
        <v>인쇄서적ㆍ신문ㆍ회화ㆍ그 밖의 인쇄물, 수제(手製)문서ㆍ타자문서ㆍ도면</v>
      </c>
      <c r="G823" s="18" t="n">
        <f aca="false">IFERROR(VALUE(SUBSTITUTE(TRIM('수출입 실적(품목별)'!D827),",","")),"")</f>
        <v>5126.3</v>
      </c>
      <c r="H823" s="19" t="n">
        <f aca="false">IFERROR(VALUE(SUBSTITUTE(TRIM('수출입 실적(품목별)'!E827),",","")),"")</f>
        <v>35809</v>
      </c>
      <c r="I823" s="18" t="n">
        <f aca="false">IFERROR(VALUE(SUBSTITUTE(TRIM('수출입 실적(품목별)'!F827),",","")),"")</f>
        <v>1068.7</v>
      </c>
      <c r="J823" s="19" t="n">
        <f aca="false">IFERROR(VALUE(SUBSTITUTE(TRIM('수출입 실적(품목별)'!G827),",","")),"")</f>
        <v>36135</v>
      </c>
      <c r="K823" s="19" t="n">
        <f aca="false">IFERROR(VALUE(SUBSTITUTE(TRIM('수출입 실적(품목별)'!H827),",","")),"")</f>
        <v>-325</v>
      </c>
    </row>
    <row r="824" customFormat="false" ht="15" hidden="false" customHeight="true" outlineLevel="0" collapsed="false">
      <c r="A824" s="11" t="str">
        <f aca="false">TRIM('수출입 실적(품목별)'!A828)</f>
        <v>2024.09</v>
      </c>
      <c r="B824" s="17" t="n">
        <f aca="false">IFERROR(VALUE(LEFT($A824,4)),"")</f>
        <v>2024</v>
      </c>
      <c r="C824" s="17" t="n">
        <f aca="false">IFERROR(VALUE(RIGHT($A824,2)),"")</f>
        <v>9</v>
      </c>
      <c r="D824" s="17" t="n">
        <f aca="false">IFERROR(ROUNDUP($C824/3,0),"")</f>
        <v>3</v>
      </c>
      <c r="E824" s="11" t="str">
        <f aca="false">TRIM('수출입 실적(품목별)'!B828)</f>
        <v>50</v>
      </c>
      <c r="F824" s="11" t="str">
        <f aca="false">TRIM('수출입 실적(품목별)'!C828)</f>
        <v>견</v>
      </c>
      <c r="G824" s="18" t="n">
        <f aca="false">IFERROR(VALUE(SUBSTITUTE(TRIM('수출입 실적(품목별)'!D828),",","")),"")</f>
        <v>8.2</v>
      </c>
      <c r="H824" s="19" t="n">
        <f aca="false">IFERROR(VALUE(SUBSTITUTE(TRIM('수출입 실적(품목별)'!E828),",","")),"")</f>
        <v>1231</v>
      </c>
      <c r="I824" s="18" t="n">
        <f aca="false">IFERROR(VALUE(SUBSTITUTE(TRIM('수출입 실적(품목별)'!F828),",","")),"")</f>
        <v>21.9</v>
      </c>
      <c r="J824" s="19" t="n">
        <f aca="false">IFERROR(VALUE(SUBSTITUTE(TRIM('수출입 실적(품목별)'!G828),",","")),"")</f>
        <v>1920</v>
      </c>
      <c r="K824" s="19" t="n">
        <f aca="false">IFERROR(VALUE(SUBSTITUTE(TRIM('수출입 실적(품목별)'!H828),",","")),"")</f>
        <v>-689</v>
      </c>
    </row>
    <row r="825" customFormat="false" ht="15" hidden="false" customHeight="true" outlineLevel="0" collapsed="false">
      <c r="A825" s="11" t="str">
        <f aca="false">TRIM('수출입 실적(품목별)'!A829)</f>
        <v>2024.09</v>
      </c>
      <c r="B825" s="17" t="n">
        <f aca="false">IFERROR(VALUE(LEFT($A825,4)),"")</f>
        <v>2024</v>
      </c>
      <c r="C825" s="17" t="n">
        <f aca="false">IFERROR(VALUE(RIGHT($A825,2)),"")</f>
        <v>9</v>
      </c>
      <c r="D825" s="17" t="n">
        <f aca="false">IFERROR(ROUNDUP($C825/3,0),"")</f>
        <v>3</v>
      </c>
      <c r="E825" s="11" t="str">
        <f aca="false">TRIM('수출입 실적(품목별)'!B829)</f>
        <v>51</v>
      </c>
      <c r="F825" s="11" t="str">
        <f aca="false">TRIM('수출입 실적(품목별)'!C829)</f>
        <v>양모ㆍ동물의 부드러운 털이나 거친 털ㆍ말의 털로 만든 실과 직물</v>
      </c>
      <c r="G825" s="18" t="n">
        <f aca="false">IFERROR(VALUE(SUBSTITUTE(TRIM('수출입 실적(품목별)'!D829),",","")),"")</f>
        <v>149.4</v>
      </c>
      <c r="H825" s="19" t="n">
        <f aca="false">IFERROR(VALUE(SUBSTITUTE(TRIM('수출입 실적(품목별)'!E829),",","")),"")</f>
        <v>2783</v>
      </c>
      <c r="I825" s="18" t="n">
        <f aca="false">IFERROR(VALUE(SUBSTITUTE(TRIM('수출입 실적(품목별)'!F829),",","")),"")</f>
        <v>782.3</v>
      </c>
      <c r="J825" s="19" t="n">
        <f aca="false">IFERROR(VALUE(SUBSTITUTE(TRIM('수출입 실적(품목별)'!G829),",","")),"")</f>
        <v>13286</v>
      </c>
      <c r="K825" s="19" t="n">
        <f aca="false">IFERROR(VALUE(SUBSTITUTE(TRIM('수출입 실적(품목별)'!H829),",","")),"")</f>
        <v>-10503</v>
      </c>
    </row>
    <row r="826" customFormat="false" ht="15" hidden="false" customHeight="true" outlineLevel="0" collapsed="false">
      <c r="A826" s="11" t="str">
        <f aca="false">TRIM('수출입 실적(품목별)'!A830)</f>
        <v>2024.09</v>
      </c>
      <c r="B826" s="17" t="n">
        <f aca="false">IFERROR(VALUE(LEFT($A826,4)),"")</f>
        <v>2024</v>
      </c>
      <c r="C826" s="17" t="n">
        <f aca="false">IFERROR(VALUE(RIGHT($A826,2)),"")</f>
        <v>9</v>
      </c>
      <c r="D826" s="17" t="n">
        <f aca="false">IFERROR(ROUNDUP($C826/3,0),"")</f>
        <v>3</v>
      </c>
      <c r="E826" s="11" t="str">
        <f aca="false">TRIM('수출입 실적(품목별)'!B830)</f>
        <v>52</v>
      </c>
      <c r="F826" s="11" t="str">
        <f aca="false">TRIM('수출입 실적(품목별)'!C830)</f>
        <v>면</v>
      </c>
      <c r="G826" s="18" t="n">
        <f aca="false">IFERROR(VALUE(SUBSTITUTE(TRIM('수출입 실적(품목별)'!D830),",","")),"")</f>
        <v>2906.3</v>
      </c>
      <c r="H826" s="19" t="n">
        <f aca="false">IFERROR(VALUE(SUBSTITUTE(TRIM('수출입 실적(품목별)'!E830),",","")),"")</f>
        <v>25928</v>
      </c>
      <c r="I826" s="18" t="n">
        <f aca="false">IFERROR(VALUE(SUBSTITUTE(TRIM('수출입 실적(품목별)'!F830),",","")),"")</f>
        <v>15787.2</v>
      </c>
      <c r="J826" s="19" t="n">
        <f aca="false">IFERROR(VALUE(SUBSTITUTE(TRIM('수출입 실적(품목별)'!G830),",","")),"")</f>
        <v>53543</v>
      </c>
      <c r="K826" s="19" t="n">
        <f aca="false">IFERROR(VALUE(SUBSTITUTE(TRIM('수출입 실적(품목별)'!H830),",","")),"")</f>
        <v>-27615</v>
      </c>
    </row>
    <row r="827" customFormat="false" ht="15" hidden="false" customHeight="true" outlineLevel="0" collapsed="false">
      <c r="A827" s="11" t="str">
        <f aca="false">TRIM('수출입 실적(품목별)'!A831)</f>
        <v>2024.09</v>
      </c>
      <c r="B827" s="17" t="n">
        <f aca="false">IFERROR(VALUE(LEFT($A827,4)),"")</f>
        <v>2024</v>
      </c>
      <c r="C827" s="17" t="n">
        <f aca="false">IFERROR(VALUE(RIGHT($A827,2)),"")</f>
        <v>9</v>
      </c>
      <c r="D827" s="17" t="n">
        <f aca="false">IFERROR(ROUNDUP($C827/3,0),"")</f>
        <v>3</v>
      </c>
      <c r="E827" s="11" t="str">
        <f aca="false">TRIM('수출입 실적(품목별)'!B831)</f>
        <v>53</v>
      </c>
      <c r="F827" s="11" t="str">
        <f aca="false">TRIM('수출입 실적(품목별)'!C831)</f>
        <v>그 밖의 식물성 방직용 섬유, 종이실(paper yarn)과 종이실로 만든 직물</v>
      </c>
      <c r="G827" s="18" t="n">
        <f aca="false">IFERROR(VALUE(SUBSTITUTE(TRIM('수출입 실적(품목별)'!D831),",","")),"")</f>
        <v>55</v>
      </c>
      <c r="H827" s="19" t="n">
        <f aca="false">IFERROR(VALUE(SUBSTITUTE(TRIM('수출입 실적(품목별)'!E831),",","")),"")</f>
        <v>412</v>
      </c>
      <c r="I827" s="18" t="n">
        <f aca="false">IFERROR(VALUE(SUBSTITUTE(TRIM('수출입 실적(품목별)'!F831),",","")),"")</f>
        <v>1255.2</v>
      </c>
      <c r="J827" s="19" t="n">
        <f aca="false">IFERROR(VALUE(SUBSTITUTE(TRIM('수출입 실적(품목별)'!G831),",","")),"")</f>
        <v>3529</v>
      </c>
      <c r="K827" s="19" t="n">
        <f aca="false">IFERROR(VALUE(SUBSTITUTE(TRIM('수출입 실적(품목별)'!H831),",","")),"")</f>
        <v>-3118</v>
      </c>
    </row>
    <row r="828" customFormat="false" ht="15" hidden="false" customHeight="true" outlineLevel="0" collapsed="false">
      <c r="A828" s="11" t="str">
        <f aca="false">TRIM('수출입 실적(품목별)'!A832)</f>
        <v>2024.09</v>
      </c>
      <c r="B828" s="17" t="n">
        <f aca="false">IFERROR(VALUE(LEFT($A828,4)),"")</f>
        <v>2024</v>
      </c>
      <c r="C828" s="17" t="n">
        <f aca="false">IFERROR(VALUE(RIGHT($A828,2)),"")</f>
        <v>9</v>
      </c>
      <c r="D828" s="17" t="n">
        <f aca="false">IFERROR(ROUNDUP($C828/3,0),"")</f>
        <v>3</v>
      </c>
      <c r="E828" s="11" t="str">
        <f aca="false">TRIM('수출입 실적(품목별)'!B832)</f>
        <v>54</v>
      </c>
      <c r="F828" s="11" t="str">
        <f aca="false">TRIM('수출입 실적(품목별)'!C832)</f>
        <v>인조필라멘트, 인조방직용 섬유재료의 스트립(strip)과 이와 유사한 것</v>
      </c>
      <c r="G828" s="18" t="n">
        <f aca="false">IFERROR(VALUE(SUBSTITUTE(TRIM('수출입 실적(품목별)'!D832),",","")),"")</f>
        <v>22912.9</v>
      </c>
      <c r="H828" s="19" t="n">
        <f aca="false">IFERROR(VALUE(SUBSTITUTE(TRIM('수출입 실적(품목별)'!E832),",","")),"")</f>
        <v>145210</v>
      </c>
      <c r="I828" s="18" t="n">
        <f aca="false">IFERROR(VALUE(SUBSTITUTE(TRIM('수출입 실적(품목별)'!F832),",","")),"")</f>
        <v>38750.4</v>
      </c>
      <c r="J828" s="19" t="n">
        <f aca="false">IFERROR(VALUE(SUBSTITUTE(TRIM('수출입 실적(품목별)'!G832),",","")),"")</f>
        <v>87158</v>
      </c>
      <c r="K828" s="19" t="n">
        <f aca="false">IFERROR(VALUE(SUBSTITUTE(TRIM('수출입 실적(품목별)'!H832),",","")),"")</f>
        <v>58052</v>
      </c>
    </row>
    <row r="829" customFormat="false" ht="15" hidden="false" customHeight="true" outlineLevel="0" collapsed="false">
      <c r="A829" s="11" t="str">
        <f aca="false">TRIM('수출입 실적(품목별)'!A833)</f>
        <v>2024.09</v>
      </c>
      <c r="B829" s="17" t="n">
        <f aca="false">IFERROR(VALUE(LEFT($A829,4)),"")</f>
        <v>2024</v>
      </c>
      <c r="C829" s="17" t="n">
        <f aca="false">IFERROR(VALUE(RIGHT($A829,2)),"")</f>
        <v>9</v>
      </c>
      <c r="D829" s="17" t="n">
        <f aca="false">IFERROR(ROUNDUP($C829/3,0),"")</f>
        <v>3</v>
      </c>
      <c r="E829" s="11" t="str">
        <f aca="false">TRIM('수출입 실적(품목별)'!B833)</f>
        <v>55</v>
      </c>
      <c r="F829" s="11" t="str">
        <f aca="false">TRIM('수출입 실적(품목별)'!C833)</f>
        <v>인조스테이플섬유</v>
      </c>
      <c r="G829" s="18" t="n">
        <f aca="false">IFERROR(VALUE(SUBSTITUTE(TRIM('수출입 실적(품목별)'!D833),",","")),"")</f>
        <v>54996.6</v>
      </c>
      <c r="H829" s="19" t="n">
        <f aca="false">IFERROR(VALUE(SUBSTITUTE(TRIM('수출입 실적(품목별)'!E833),",","")),"")</f>
        <v>98859</v>
      </c>
      <c r="I829" s="18" t="n">
        <f aca="false">IFERROR(VALUE(SUBSTITUTE(TRIM('수출입 실적(품목별)'!F833),",","")),"")</f>
        <v>13313.3</v>
      </c>
      <c r="J829" s="19" t="n">
        <f aca="false">IFERROR(VALUE(SUBSTITUTE(TRIM('수출입 실적(품목별)'!G833),",","")),"")</f>
        <v>50133</v>
      </c>
      <c r="K829" s="19" t="n">
        <f aca="false">IFERROR(VALUE(SUBSTITUTE(TRIM('수출입 실적(품목별)'!H833),",","")),"")</f>
        <v>48726</v>
      </c>
    </row>
    <row r="830" customFormat="false" ht="15" hidden="false" customHeight="true" outlineLevel="0" collapsed="false">
      <c r="A830" s="11" t="str">
        <f aca="false">TRIM('수출입 실적(품목별)'!A834)</f>
        <v>2024.09</v>
      </c>
      <c r="B830" s="17" t="n">
        <f aca="false">IFERROR(VALUE(LEFT($A830,4)),"")</f>
        <v>2024</v>
      </c>
      <c r="C830" s="17" t="n">
        <f aca="false">IFERROR(VALUE(RIGHT($A830,2)),"")</f>
        <v>9</v>
      </c>
      <c r="D830" s="17" t="n">
        <f aca="false">IFERROR(ROUNDUP($C830/3,0),"")</f>
        <v>3</v>
      </c>
      <c r="E830" s="11" t="str">
        <f aca="false">TRIM('수출입 실적(품목별)'!B834)</f>
        <v>56</v>
      </c>
      <c r="F830" s="11" t="str">
        <f aca="false">TRIM('수출입 실적(품목별)'!C834)</f>
        <v>워딩(wadding)ㆍ펠트(felt)ㆍ부직포, 특수사, 끈ㆍ배의 밧줄(cordage)ㆍ로프ㆍ케이블과 이들의 제품</v>
      </c>
      <c r="G830" s="18" t="n">
        <f aca="false">IFERROR(VALUE(SUBSTITUTE(TRIM('수출입 실적(품목별)'!D834),",","")),"")</f>
        <v>9919.8</v>
      </c>
      <c r="H830" s="19" t="n">
        <f aca="false">IFERROR(VALUE(SUBSTITUTE(TRIM('수출입 실적(품목별)'!E834),",","")),"")</f>
        <v>61938</v>
      </c>
      <c r="I830" s="18" t="n">
        <f aca="false">IFERROR(VALUE(SUBSTITUTE(TRIM('수출입 실적(품목별)'!F834),",","")),"")</f>
        <v>18789.2</v>
      </c>
      <c r="J830" s="19" t="n">
        <f aca="false">IFERROR(VALUE(SUBSTITUTE(TRIM('수출입 실적(품목별)'!G834),",","")),"")</f>
        <v>55649</v>
      </c>
      <c r="K830" s="19" t="n">
        <f aca="false">IFERROR(VALUE(SUBSTITUTE(TRIM('수출입 실적(품목별)'!H834),",","")),"")</f>
        <v>6288</v>
      </c>
    </row>
    <row r="831" customFormat="false" ht="15" hidden="false" customHeight="true" outlineLevel="0" collapsed="false">
      <c r="A831" s="11" t="str">
        <f aca="false">TRIM('수출입 실적(품목별)'!A835)</f>
        <v>2024.09</v>
      </c>
      <c r="B831" s="17" t="n">
        <f aca="false">IFERROR(VALUE(LEFT($A831,4)),"")</f>
        <v>2024</v>
      </c>
      <c r="C831" s="17" t="n">
        <f aca="false">IFERROR(VALUE(RIGHT($A831,2)),"")</f>
        <v>9</v>
      </c>
      <c r="D831" s="17" t="n">
        <f aca="false">IFERROR(ROUNDUP($C831/3,0),"")</f>
        <v>3</v>
      </c>
      <c r="E831" s="11" t="str">
        <f aca="false">TRIM('수출입 실적(품목별)'!B835)</f>
        <v>57</v>
      </c>
      <c r="F831" s="11" t="str">
        <f aca="false">TRIM('수출입 실적(품목별)'!C835)</f>
        <v>양탄자류와 그 밖의 방직용 섬유로 만든 바닥깔개</v>
      </c>
      <c r="G831" s="18" t="n">
        <f aca="false">IFERROR(VALUE(SUBSTITUTE(TRIM('수출입 실적(품목별)'!D835),",","")),"")</f>
        <v>580.2</v>
      </c>
      <c r="H831" s="19" t="n">
        <f aca="false">IFERROR(VALUE(SUBSTITUTE(TRIM('수출입 실적(품목별)'!E835),",","")),"")</f>
        <v>6462</v>
      </c>
      <c r="I831" s="18" t="n">
        <f aca="false">IFERROR(VALUE(SUBSTITUTE(TRIM('수출입 실적(품목별)'!F835),",","")),"")</f>
        <v>4900.6</v>
      </c>
      <c r="J831" s="19" t="n">
        <f aca="false">IFERROR(VALUE(SUBSTITUTE(TRIM('수출입 실적(품목별)'!G835),",","")),"")</f>
        <v>9941</v>
      </c>
      <c r="K831" s="19" t="n">
        <f aca="false">IFERROR(VALUE(SUBSTITUTE(TRIM('수출입 실적(품목별)'!H835),",","")),"")</f>
        <v>-3479</v>
      </c>
    </row>
    <row r="832" customFormat="false" ht="15" hidden="false" customHeight="true" outlineLevel="0" collapsed="false">
      <c r="A832" s="11" t="str">
        <f aca="false">TRIM('수출입 실적(품목별)'!A836)</f>
        <v>2024.09</v>
      </c>
      <c r="B832" s="17" t="n">
        <f aca="false">IFERROR(VALUE(LEFT($A832,4)),"")</f>
        <v>2024</v>
      </c>
      <c r="C832" s="17" t="n">
        <f aca="false">IFERROR(VALUE(RIGHT($A832,2)),"")</f>
        <v>9</v>
      </c>
      <c r="D832" s="17" t="n">
        <f aca="false">IFERROR(ROUNDUP($C832/3,0),"")</f>
        <v>3</v>
      </c>
      <c r="E832" s="11" t="str">
        <f aca="false">TRIM('수출입 실적(품목별)'!B836)</f>
        <v>58</v>
      </c>
      <c r="F832" s="11" t="str">
        <f aca="false">TRIM('수출입 실적(품목별)'!C836)</f>
        <v>특수직물, 터프트(tuft)한 직물, 레이스, 태피스트리(tapestry), 트리밍(trimming), 자수천</v>
      </c>
      <c r="G832" s="18" t="n">
        <f aca="false">IFERROR(VALUE(SUBSTITUTE(TRIM('수출입 실적(품목별)'!D836),",","")),"")</f>
        <v>1303.6</v>
      </c>
      <c r="H832" s="19" t="n">
        <f aca="false">IFERROR(VALUE(SUBSTITUTE(TRIM('수출입 실적(품목별)'!E836),",","")),"")</f>
        <v>15259</v>
      </c>
      <c r="I832" s="18" t="n">
        <f aca="false">IFERROR(VALUE(SUBSTITUTE(TRIM('수출입 실적(품목별)'!F836),",","")),"")</f>
        <v>1038.6</v>
      </c>
      <c r="J832" s="19" t="n">
        <f aca="false">IFERROR(VALUE(SUBSTITUTE(TRIM('수출입 실적(품목별)'!G836),",","")),"")</f>
        <v>7020</v>
      </c>
      <c r="K832" s="19" t="n">
        <f aca="false">IFERROR(VALUE(SUBSTITUTE(TRIM('수출입 실적(품목별)'!H836),",","")),"")</f>
        <v>8239</v>
      </c>
    </row>
    <row r="833" customFormat="false" ht="15" hidden="false" customHeight="true" outlineLevel="0" collapsed="false">
      <c r="A833" s="11" t="str">
        <f aca="false">TRIM('수출입 실적(품목별)'!A837)</f>
        <v>2024.09</v>
      </c>
      <c r="B833" s="17" t="n">
        <f aca="false">IFERROR(VALUE(LEFT($A833,4)),"")</f>
        <v>2024</v>
      </c>
      <c r="C833" s="17" t="n">
        <f aca="false">IFERROR(VALUE(RIGHT($A833,2)),"")</f>
        <v>9</v>
      </c>
      <c r="D833" s="17" t="n">
        <f aca="false">IFERROR(ROUNDUP($C833/3,0),"")</f>
        <v>3</v>
      </c>
      <c r="E833" s="11" t="str">
        <f aca="false">TRIM('수출입 실적(품목별)'!B837)</f>
        <v>59</v>
      </c>
      <c r="F833" s="11" t="str">
        <f aca="false">TRIM('수출입 실적(품목별)'!C837)</f>
        <v>침투ㆍ도포ㆍ피복하거나 적층한 방직용 섬유의 직물, 공업용인 방직용 섬유제품</v>
      </c>
      <c r="G833" s="18" t="n">
        <f aca="false">IFERROR(VALUE(SUBSTITUTE(TRIM('수출입 실적(품목별)'!D837),",","")),"")</f>
        <v>9517.8</v>
      </c>
      <c r="H833" s="19" t="n">
        <f aca="false">IFERROR(VALUE(SUBSTITUTE(TRIM('수출입 실적(품목별)'!E837),",","")),"")</f>
        <v>95666</v>
      </c>
      <c r="I833" s="18" t="n">
        <f aca="false">IFERROR(VALUE(SUBSTITUTE(TRIM('수출입 실적(품목별)'!F837),",","")),"")</f>
        <v>5492.6</v>
      </c>
      <c r="J833" s="19" t="n">
        <f aca="false">IFERROR(VALUE(SUBSTITUTE(TRIM('수출입 실적(품목별)'!G837),",","")),"")</f>
        <v>35179</v>
      </c>
      <c r="K833" s="19" t="n">
        <f aca="false">IFERROR(VALUE(SUBSTITUTE(TRIM('수출입 실적(품목별)'!H837),",","")),"")</f>
        <v>60487</v>
      </c>
    </row>
    <row r="834" customFormat="false" ht="15" hidden="false" customHeight="true" outlineLevel="0" collapsed="false">
      <c r="A834" s="11" t="str">
        <f aca="false">TRIM('수출입 실적(품목별)'!A838)</f>
        <v>2024.09</v>
      </c>
      <c r="B834" s="17" t="n">
        <f aca="false">IFERROR(VALUE(LEFT($A834,4)),"")</f>
        <v>2024</v>
      </c>
      <c r="C834" s="17" t="n">
        <f aca="false">IFERROR(VALUE(RIGHT($A834,2)),"")</f>
        <v>9</v>
      </c>
      <c r="D834" s="17" t="n">
        <f aca="false">IFERROR(ROUNDUP($C834/3,0),"")</f>
        <v>3</v>
      </c>
      <c r="E834" s="11" t="str">
        <f aca="false">TRIM('수출입 실적(품목별)'!B838)</f>
        <v>60</v>
      </c>
      <c r="F834" s="11" t="str">
        <f aca="false">TRIM('수출입 실적(품목별)'!C838)</f>
        <v>메리야스 편물과 뜨개질 편물</v>
      </c>
      <c r="G834" s="18" t="n">
        <f aca="false">IFERROR(VALUE(SUBSTITUTE(TRIM('수출입 실적(품목별)'!D838),",","")),"")</f>
        <v>15728</v>
      </c>
      <c r="H834" s="19" t="n">
        <f aca="false">IFERROR(VALUE(SUBSTITUTE(TRIM('수출입 실적(품목별)'!E838),",","")),"")</f>
        <v>124317</v>
      </c>
      <c r="I834" s="18" t="n">
        <f aca="false">IFERROR(VALUE(SUBSTITUTE(TRIM('수출입 실적(품목별)'!F838),",","")),"")</f>
        <v>1871.3</v>
      </c>
      <c r="J834" s="19" t="n">
        <f aca="false">IFERROR(VALUE(SUBSTITUTE(TRIM('수출입 실적(품목별)'!G838),",","")),"")</f>
        <v>9470</v>
      </c>
      <c r="K834" s="19" t="n">
        <f aca="false">IFERROR(VALUE(SUBSTITUTE(TRIM('수출입 실적(품목별)'!H838),",","")),"")</f>
        <v>114848</v>
      </c>
    </row>
    <row r="835" customFormat="false" ht="15" hidden="false" customHeight="true" outlineLevel="0" collapsed="false">
      <c r="A835" s="11" t="str">
        <f aca="false">TRIM('수출입 실적(품목별)'!A839)</f>
        <v>2024.09</v>
      </c>
      <c r="B835" s="17" t="n">
        <f aca="false">IFERROR(VALUE(LEFT($A835,4)),"")</f>
        <v>2024</v>
      </c>
      <c r="C835" s="17" t="n">
        <f aca="false">IFERROR(VALUE(RIGHT($A835,2)),"")</f>
        <v>9</v>
      </c>
      <c r="D835" s="17" t="n">
        <f aca="false">IFERROR(ROUNDUP($C835/3,0),"")</f>
        <v>3</v>
      </c>
      <c r="E835" s="11" t="str">
        <f aca="false">TRIM('수출입 실적(품목별)'!B839)</f>
        <v>61</v>
      </c>
      <c r="F835" s="11" t="str">
        <f aca="false">TRIM('수출입 실적(품목별)'!C839)</f>
        <v>의류와 그 부속품(메리야스 편물이나 뜨개질 편물로 한정한다)</v>
      </c>
      <c r="G835" s="18" t="n">
        <f aca="false">IFERROR(VALUE(SUBSTITUTE(TRIM('수출입 실적(품목별)'!D839),",","")),"")</f>
        <v>2568.8</v>
      </c>
      <c r="H835" s="19" t="n">
        <f aca="false">IFERROR(VALUE(SUBSTITUTE(TRIM('수출입 실적(품목별)'!E839),",","")),"")</f>
        <v>64983</v>
      </c>
      <c r="I835" s="18" t="n">
        <f aca="false">IFERROR(VALUE(SUBSTITUTE(TRIM('수출입 실적(품목별)'!F839),",","")),"")</f>
        <v>28833.6</v>
      </c>
      <c r="J835" s="19" t="n">
        <f aca="false">IFERROR(VALUE(SUBSTITUTE(TRIM('수출입 실적(품목별)'!G839),",","")),"")</f>
        <v>550106</v>
      </c>
      <c r="K835" s="19" t="n">
        <f aca="false">IFERROR(VALUE(SUBSTITUTE(TRIM('수출입 실적(품목별)'!H839),",","")),"")</f>
        <v>-485123</v>
      </c>
    </row>
    <row r="836" customFormat="false" ht="15" hidden="false" customHeight="true" outlineLevel="0" collapsed="false">
      <c r="A836" s="11" t="str">
        <f aca="false">TRIM('수출입 실적(품목별)'!A840)</f>
        <v>2024.09</v>
      </c>
      <c r="B836" s="17" t="n">
        <f aca="false">IFERROR(VALUE(LEFT($A836,4)),"")</f>
        <v>2024</v>
      </c>
      <c r="C836" s="17" t="n">
        <f aca="false">IFERROR(VALUE(RIGHT($A836,2)),"")</f>
        <v>9</v>
      </c>
      <c r="D836" s="17" t="n">
        <f aca="false">IFERROR(ROUNDUP($C836/3,0),"")</f>
        <v>3</v>
      </c>
      <c r="E836" s="11" t="str">
        <f aca="false">TRIM('수출입 실적(품목별)'!B840)</f>
        <v>62</v>
      </c>
      <c r="F836" s="11" t="str">
        <f aca="false">TRIM('수출입 실적(품목별)'!C840)</f>
        <v>의류와 그 부속품(메리야스 편물이나 뜨개질편물은 제외한다)</v>
      </c>
      <c r="G836" s="18" t="n">
        <f aca="false">IFERROR(VALUE(SUBSTITUTE(TRIM('수출입 실적(품목별)'!D840),",","")),"")</f>
        <v>2465.2</v>
      </c>
      <c r="H836" s="19" t="n">
        <f aca="false">IFERROR(VALUE(SUBSTITUTE(TRIM('수출입 실적(품목별)'!E840),",","")),"")</f>
        <v>68365</v>
      </c>
      <c r="I836" s="18" t="n">
        <f aca="false">IFERROR(VALUE(SUBSTITUTE(TRIM('수출입 실적(품목별)'!F840),",","")),"")</f>
        <v>27206.7</v>
      </c>
      <c r="J836" s="19" t="n">
        <f aca="false">IFERROR(VALUE(SUBSTITUTE(TRIM('수출입 실적(품목별)'!G840),",","")),"")</f>
        <v>838455</v>
      </c>
      <c r="K836" s="19" t="n">
        <f aca="false">IFERROR(VALUE(SUBSTITUTE(TRIM('수출입 실적(품목별)'!H840),",","")),"")</f>
        <v>-770090</v>
      </c>
    </row>
    <row r="837" customFormat="false" ht="15" hidden="false" customHeight="true" outlineLevel="0" collapsed="false">
      <c r="A837" s="11" t="str">
        <f aca="false">TRIM('수출입 실적(품목별)'!A841)</f>
        <v>2024.09</v>
      </c>
      <c r="B837" s="17" t="n">
        <f aca="false">IFERROR(VALUE(LEFT($A837,4)),"")</f>
        <v>2024</v>
      </c>
      <c r="C837" s="17" t="n">
        <f aca="false">IFERROR(VALUE(RIGHT($A837,2)),"")</f>
        <v>9</v>
      </c>
      <c r="D837" s="17" t="n">
        <f aca="false">IFERROR(ROUNDUP($C837/3,0),"")</f>
        <v>3</v>
      </c>
      <c r="E837" s="11" t="str">
        <f aca="false">TRIM('수출입 실적(품목별)'!B841)</f>
        <v>63</v>
      </c>
      <c r="F837" s="11" t="str">
        <f aca="false">TRIM('수출입 실적(품목별)'!C841)</f>
        <v>제품으로 된 방직용 섬유의 그 밖의 물품, 세트, 사용하던 의류ㆍ방직용 섬유제품, 넝마</v>
      </c>
      <c r="G837" s="18" t="n">
        <f aca="false">IFERROR(VALUE(SUBSTITUTE(TRIM('수출입 실적(품목별)'!D841),",","")),"")</f>
        <v>26271.8</v>
      </c>
      <c r="H837" s="19" t="n">
        <f aca="false">IFERROR(VALUE(SUBSTITUTE(TRIM('수출입 실적(품목별)'!E841),",","")),"")</f>
        <v>53100</v>
      </c>
      <c r="I837" s="18" t="n">
        <f aca="false">IFERROR(VALUE(SUBSTITUTE(TRIM('수출입 실적(품목별)'!F841),",","")),"")</f>
        <v>25109.3</v>
      </c>
      <c r="J837" s="19" t="n">
        <f aca="false">IFERROR(VALUE(SUBSTITUTE(TRIM('수출입 실적(품목별)'!G841),",","")),"")</f>
        <v>106497</v>
      </c>
      <c r="K837" s="19" t="n">
        <f aca="false">IFERROR(VALUE(SUBSTITUTE(TRIM('수출입 실적(품목별)'!H841),",","")),"")</f>
        <v>-53397</v>
      </c>
    </row>
    <row r="838" customFormat="false" ht="15" hidden="false" customHeight="true" outlineLevel="0" collapsed="false">
      <c r="A838" s="11" t="str">
        <f aca="false">TRIM('수출입 실적(품목별)'!A842)</f>
        <v>2024.09</v>
      </c>
      <c r="B838" s="17" t="n">
        <f aca="false">IFERROR(VALUE(LEFT($A838,4)),"")</f>
        <v>2024</v>
      </c>
      <c r="C838" s="17" t="n">
        <f aca="false">IFERROR(VALUE(RIGHT($A838,2)),"")</f>
        <v>9</v>
      </c>
      <c r="D838" s="17" t="n">
        <f aca="false">IFERROR(ROUNDUP($C838/3,0),"")</f>
        <v>3</v>
      </c>
      <c r="E838" s="11" t="str">
        <f aca="false">TRIM('수출입 실적(품목별)'!B842)</f>
        <v>64</v>
      </c>
      <c r="F838" s="11" t="str">
        <f aca="false">TRIM('수출입 실적(품목별)'!C842)</f>
        <v>신발류ㆍ각반과 이와 유사한 것, 이들의 부분품</v>
      </c>
      <c r="G838" s="18" t="n">
        <f aca="false">IFERROR(VALUE(SUBSTITUTE(TRIM('수출입 실적(품목별)'!D842),",","")),"")</f>
        <v>1190.7</v>
      </c>
      <c r="H838" s="19" t="n">
        <f aca="false">IFERROR(VALUE(SUBSTITUTE(TRIM('수출입 실적(품목별)'!E842),",","")),"")</f>
        <v>25886</v>
      </c>
      <c r="I838" s="18" t="n">
        <f aca="false">IFERROR(VALUE(SUBSTITUTE(TRIM('수출입 실적(품목별)'!F842),",","")),"")</f>
        <v>11057.8</v>
      </c>
      <c r="J838" s="19" t="n">
        <f aca="false">IFERROR(VALUE(SUBSTITUTE(TRIM('수출입 실적(품목별)'!G842),",","")),"")</f>
        <v>313293</v>
      </c>
      <c r="K838" s="19" t="n">
        <f aca="false">IFERROR(VALUE(SUBSTITUTE(TRIM('수출입 실적(품목별)'!H842),",","")),"")</f>
        <v>-287407</v>
      </c>
    </row>
    <row r="839" customFormat="false" ht="15" hidden="false" customHeight="true" outlineLevel="0" collapsed="false">
      <c r="A839" s="11" t="str">
        <f aca="false">TRIM('수출입 실적(품목별)'!A843)</f>
        <v>2024.09</v>
      </c>
      <c r="B839" s="17" t="n">
        <f aca="false">IFERROR(VALUE(LEFT($A839,4)),"")</f>
        <v>2024</v>
      </c>
      <c r="C839" s="17" t="n">
        <f aca="false">IFERROR(VALUE(RIGHT($A839,2)),"")</f>
        <v>9</v>
      </c>
      <c r="D839" s="17" t="n">
        <f aca="false">IFERROR(ROUNDUP($C839/3,0),"")</f>
        <v>3</v>
      </c>
      <c r="E839" s="11" t="str">
        <f aca="false">TRIM('수출입 실적(품목별)'!B843)</f>
        <v>65</v>
      </c>
      <c r="F839" s="11" t="str">
        <f aca="false">TRIM('수출입 실적(품목별)'!C843)</f>
        <v>모자류와 그 부분품</v>
      </c>
      <c r="G839" s="18" t="n">
        <f aca="false">IFERROR(VALUE(SUBSTITUTE(TRIM('수출입 실적(품목별)'!D843),",","")),"")</f>
        <v>319</v>
      </c>
      <c r="H839" s="19" t="n">
        <f aca="false">IFERROR(VALUE(SUBSTITUTE(TRIM('수출입 실적(품목별)'!E843),",","")),"")</f>
        <v>11972</v>
      </c>
      <c r="I839" s="18" t="n">
        <f aca="false">IFERROR(VALUE(SUBSTITUTE(TRIM('수출입 실적(품목별)'!F843),",","")),"")</f>
        <v>853.1</v>
      </c>
      <c r="J839" s="19" t="n">
        <f aca="false">IFERROR(VALUE(SUBSTITUTE(TRIM('수출입 실적(품목별)'!G843),",","")),"")</f>
        <v>25379</v>
      </c>
      <c r="K839" s="19" t="n">
        <f aca="false">IFERROR(VALUE(SUBSTITUTE(TRIM('수출입 실적(품목별)'!H843),",","")),"")</f>
        <v>-13408</v>
      </c>
    </row>
    <row r="840" customFormat="false" ht="15" hidden="false" customHeight="true" outlineLevel="0" collapsed="false">
      <c r="A840" s="11" t="str">
        <f aca="false">TRIM('수출입 실적(품목별)'!A844)</f>
        <v>2024.09</v>
      </c>
      <c r="B840" s="17" t="n">
        <f aca="false">IFERROR(VALUE(LEFT($A840,4)),"")</f>
        <v>2024</v>
      </c>
      <c r="C840" s="17" t="n">
        <f aca="false">IFERROR(VALUE(RIGHT($A840,2)),"")</f>
        <v>9</v>
      </c>
      <c r="D840" s="17" t="n">
        <f aca="false">IFERROR(ROUNDUP($C840/3,0),"")</f>
        <v>3</v>
      </c>
      <c r="E840" s="11" t="str">
        <f aca="false">TRIM('수출입 실적(품목별)'!B844)</f>
        <v>66</v>
      </c>
      <c r="F840" s="11" t="str">
        <f aca="false">TRIM('수출입 실적(품목별)'!C844)</f>
        <v>산류(傘類)ㆍ지팡이ㆍ시트스틱(seat-stick)ㆍ채찍ㆍ승마용 채찍과 이들의 부분품</v>
      </c>
      <c r="G840" s="18" t="n">
        <f aca="false">IFERROR(VALUE(SUBSTITUTE(TRIM('수출입 실적(품목별)'!D844),",","")),"")</f>
        <v>6.4</v>
      </c>
      <c r="H840" s="19" t="n">
        <f aca="false">IFERROR(VALUE(SUBSTITUTE(TRIM('수출입 실적(품목별)'!E844),",","")),"")</f>
        <v>105</v>
      </c>
      <c r="I840" s="18" t="n">
        <f aca="false">IFERROR(VALUE(SUBSTITUTE(TRIM('수출입 실적(품목별)'!F844),",","")),"")</f>
        <v>1410.6</v>
      </c>
      <c r="J840" s="19" t="n">
        <f aca="false">IFERROR(VALUE(SUBSTITUTE(TRIM('수출입 실적(품목별)'!G844),",","")),"")</f>
        <v>8775</v>
      </c>
      <c r="K840" s="19" t="n">
        <f aca="false">IFERROR(VALUE(SUBSTITUTE(TRIM('수출입 실적(품목별)'!H844),",","")),"")</f>
        <v>-8671</v>
      </c>
    </row>
    <row r="841" customFormat="false" ht="15" hidden="false" customHeight="true" outlineLevel="0" collapsed="false">
      <c r="A841" s="11" t="str">
        <f aca="false">TRIM('수출입 실적(품목별)'!A845)</f>
        <v>2024.09</v>
      </c>
      <c r="B841" s="17" t="n">
        <f aca="false">IFERROR(VALUE(LEFT($A841,4)),"")</f>
        <v>2024</v>
      </c>
      <c r="C841" s="17" t="n">
        <f aca="false">IFERROR(VALUE(RIGHT($A841,2)),"")</f>
        <v>9</v>
      </c>
      <c r="D841" s="17" t="n">
        <f aca="false">IFERROR(ROUNDUP($C841/3,0),"")</f>
        <v>3</v>
      </c>
      <c r="E841" s="11" t="str">
        <f aca="false">TRIM('수출입 실적(품목별)'!B845)</f>
        <v>67</v>
      </c>
      <c r="F841" s="11" t="str">
        <f aca="false">TRIM('수출입 실적(품목별)'!C845)</f>
        <v>조제 깃털ㆍ솜털과 그 제품, 조화, 사람 머리카락으로 된 제품</v>
      </c>
      <c r="G841" s="18" t="n">
        <f aca="false">IFERROR(VALUE(SUBSTITUTE(TRIM('수출입 실적(품목별)'!D845),",","")),"")</f>
        <v>26.3</v>
      </c>
      <c r="H841" s="19" t="n">
        <f aca="false">IFERROR(VALUE(SUBSTITUTE(TRIM('수출입 실적(품목별)'!E845),",","")),"")</f>
        <v>1768</v>
      </c>
      <c r="I841" s="18" t="n">
        <f aca="false">IFERROR(VALUE(SUBSTITUTE(TRIM('수출입 실적(품목별)'!F845),",","")),"")</f>
        <v>480.4</v>
      </c>
      <c r="J841" s="19" t="n">
        <f aca="false">IFERROR(VALUE(SUBSTITUTE(TRIM('수출입 실적(품목별)'!G845),",","")),"")</f>
        <v>7237</v>
      </c>
      <c r="K841" s="19" t="n">
        <f aca="false">IFERROR(VALUE(SUBSTITUTE(TRIM('수출입 실적(품목별)'!H845),",","")),"")</f>
        <v>-5469</v>
      </c>
    </row>
    <row r="842" customFormat="false" ht="15" hidden="false" customHeight="true" outlineLevel="0" collapsed="false">
      <c r="A842" s="11" t="str">
        <f aca="false">TRIM('수출입 실적(품목별)'!A846)</f>
        <v>2024.09</v>
      </c>
      <c r="B842" s="17" t="n">
        <f aca="false">IFERROR(VALUE(LEFT($A842,4)),"")</f>
        <v>2024</v>
      </c>
      <c r="C842" s="17" t="n">
        <f aca="false">IFERROR(VALUE(RIGHT($A842,2)),"")</f>
        <v>9</v>
      </c>
      <c r="D842" s="17" t="n">
        <f aca="false">IFERROR(ROUNDUP($C842/3,0),"")</f>
        <v>3</v>
      </c>
      <c r="E842" s="11" t="str">
        <f aca="false">TRIM('수출입 실적(품목별)'!B846)</f>
        <v>68</v>
      </c>
      <c r="F842" s="11" t="str">
        <f aca="false">TRIM('수출입 실적(품목별)'!C846)</f>
        <v>돌ㆍ플라스터(plaster)ㆍ시멘트ㆍ석면ㆍ운모나 이와 유사한 재료의 제품</v>
      </c>
      <c r="G842" s="18" t="n">
        <f aca="false">IFERROR(VALUE(SUBSTITUTE(TRIM('수출입 실적(품목별)'!D846),",","")),"")</f>
        <v>9993</v>
      </c>
      <c r="H842" s="19" t="n">
        <f aca="false">IFERROR(VALUE(SUBSTITUTE(TRIM('수출입 실적(품목별)'!E846),",","")),"")</f>
        <v>73088</v>
      </c>
      <c r="I842" s="18" t="n">
        <f aca="false">IFERROR(VALUE(SUBSTITUTE(TRIM('수출입 실적(품목별)'!F846),",","")),"")</f>
        <v>205367.1</v>
      </c>
      <c r="J842" s="19" t="n">
        <f aca="false">IFERROR(VALUE(SUBSTITUTE(TRIM('수출입 실적(품목별)'!G846),",","")),"")</f>
        <v>102860</v>
      </c>
      <c r="K842" s="19" t="n">
        <f aca="false">IFERROR(VALUE(SUBSTITUTE(TRIM('수출입 실적(품목별)'!H846),",","")),"")</f>
        <v>-29772</v>
      </c>
    </row>
    <row r="843" customFormat="false" ht="15" hidden="false" customHeight="true" outlineLevel="0" collapsed="false">
      <c r="A843" s="11" t="str">
        <f aca="false">TRIM('수출입 실적(품목별)'!A847)</f>
        <v>2024.09</v>
      </c>
      <c r="B843" s="17" t="n">
        <f aca="false">IFERROR(VALUE(LEFT($A843,4)),"")</f>
        <v>2024</v>
      </c>
      <c r="C843" s="17" t="n">
        <f aca="false">IFERROR(VALUE(RIGHT($A843,2)),"")</f>
        <v>9</v>
      </c>
      <c r="D843" s="17" t="n">
        <f aca="false">IFERROR(ROUNDUP($C843/3,0),"")</f>
        <v>3</v>
      </c>
      <c r="E843" s="11" t="str">
        <f aca="false">TRIM('수출입 실적(품목별)'!B847)</f>
        <v>69</v>
      </c>
      <c r="F843" s="11" t="str">
        <f aca="false">TRIM('수출입 실적(품목별)'!C847)</f>
        <v>도자제품</v>
      </c>
      <c r="G843" s="18" t="n">
        <f aca="false">IFERROR(VALUE(SUBSTITUTE(TRIM('수출입 실적(품목별)'!D847),",","")),"")</f>
        <v>2084.5</v>
      </c>
      <c r="H843" s="19" t="n">
        <f aca="false">IFERROR(VALUE(SUBSTITUTE(TRIM('수출입 실적(품목별)'!E847),",","")),"")</f>
        <v>29720</v>
      </c>
      <c r="I843" s="18" t="n">
        <f aca="false">IFERROR(VALUE(SUBSTITUTE(TRIM('수출입 실적(품목별)'!F847),",","")),"")</f>
        <v>132177.3</v>
      </c>
      <c r="J843" s="19" t="n">
        <f aca="false">IFERROR(VALUE(SUBSTITUTE(TRIM('수출입 실적(품목별)'!G847),",","")),"")</f>
        <v>128015</v>
      </c>
      <c r="K843" s="19" t="n">
        <f aca="false">IFERROR(VALUE(SUBSTITUTE(TRIM('수출입 실적(품목별)'!H847),",","")),"")</f>
        <v>-98294</v>
      </c>
    </row>
    <row r="844" customFormat="false" ht="15" hidden="false" customHeight="true" outlineLevel="0" collapsed="false">
      <c r="A844" s="11" t="str">
        <f aca="false">TRIM('수출입 실적(품목별)'!A848)</f>
        <v>2024.09</v>
      </c>
      <c r="B844" s="17" t="n">
        <f aca="false">IFERROR(VALUE(LEFT($A844,4)),"")</f>
        <v>2024</v>
      </c>
      <c r="C844" s="17" t="n">
        <f aca="false">IFERROR(VALUE(RIGHT($A844,2)),"")</f>
        <v>9</v>
      </c>
      <c r="D844" s="17" t="n">
        <f aca="false">IFERROR(ROUNDUP($C844/3,0),"")</f>
        <v>3</v>
      </c>
      <c r="E844" s="11" t="str">
        <f aca="false">TRIM('수출입 실적(품목별)'!B848)</f>
        <v>70</v>
      </c>
      <c r="F844" s="11" t="str">
        <f aca="false">TRIM('수출입 실적(품목별)'!C848)</f>
        <v>유리와 유리제품</v>
      </c>
      <c r="G844" s="18" t="n">
        <f aca="false">IFERROR(VALUE(SUBSTITUTE(TRIM('수출입 실적(품목별)'!D848),",","")),"")</f>
        <v>30062.2</v>
      </c>
      <c r="H844" s="19" t="n">
        <f aca="false">IFERROR(VALUE(SUBSTITUTE(TRIM('수출입 실적(품목별)'!E848),",","")),"")</f>
        <v>160867</v>
      </c>
      <c r="I844" s="18" t="n">
        <f aca="false">IFERROR(VALUE(SUBSTITUTE(TRIM('수출입 실적(품목별)'!F848),",","")),"")</f>
        <v>84926.1</v>
      </c>
      <c r="J844" s="19" t="n">
        <f aca="false">IFERROR(VALUE(SUBSTITUTE(TRIM('수출입 실적(품목별)'!G848),",","")),"")</f>
        <v>226293</v>
      </c>
      <c r="K844" s="19" t="n">
        <f aca="false">IFERROR(VALUE(SUBSTITUTE(TRIM('수출입 실적(품목별)'!H848),",","")),"")</f>
        <v>-65426</v>
      </c>
    </row>
    <row r="845" customFormat="false" ht="15" hidden="false" customHeight="true" outlineLevel="0" collapsed="false">
      <c r="A845" s="11" t="str">
        <f aca="false">TRIM('수출입 실적(품목별)'!A849)</f>
        <v>2024.09</v>
      </c>
      <c r="B845" s="17" t="n">
        <f aca="false">IFERROR(VALUE(LEFT($A845,4)),"")</f>
        <v>2024</v>
      </c>
      <c r="C845" s="17" t="n">
        <f aca="false">IFERROR(VALUE(RIGHT($A845,2)),"")</f>
        <v>9</v>
      </c>
      <c r="D845" s="17" t="n">
        <f aca="false">IFERROR(ROUNDUP($C845/3,0),"")</f>
        <v>3</v>
      </c>
      <c r="E845" s="11" t="str">
        <f aca="false">TRIM('수출입 실적(품목별)'!B849)</f>
        <v>71</v>
      </c>
      <c r="F845" s="11" t="str">
        <f aca="false">TRIM('수출입 실적(품목별)'!C849)</f>
        <v>천연진주ㆍ양식진주ㆍ귀석ㆍ반귀석ㆍ귀금속ㆍ귀금속을 입힌 금속과 이들의 제품, 모조 신변장식용품, 주화</v>
      </c>
      <c r="G845" s="18" t="n">
        <f aca="false">IFERROR(VALUE(SUBSTITUTE(TRIM('수출입 실적(품목별)'!D849),",","")),"")</f>
        <v>654.9</v>
      </c>
      <c r="H845" s="19" t="n">
        <f aca="false">IFERROR(VALUE(SUBSTITUTE(TRIM('수출입 실적(품목별)'!E849),",","")),"")</f>
        <v>481941</v>
      </c>
      <c r="I845" s="18" t="n">
        <f aca="false">IFERROR(VALUE(SUBSTITUTE(TRIM('수출입 실적(품목별)'!F849),",","")),"")</f>
        <v>1262.4</v>
      </c>
      <c r="J845" s="19" t="n">
        <f aca="false">IFERROR(VALUE(SUBSTITUTE(TRIM('수출입 실적(품목별)'!G849),",","")),"")</f>
        <v>523414</v>
      </c>
      <c r="K845" s="19" t="n">
        <f aca="false">IFERROR(VALUE(SUBSTITUTE(TRIM('수출입 실적(품목별)'!H849),",","")),"")</f>
        <v>-41473</v>
      </c>
    </row>
    <row r="846" customFormat="false" ht="15" hidden="false" customHeight="true" outlineLevel="0" collapsed="false">
      <c r="A846" s="11" t="str">
        <f aca="false">TRIM('수출입 실적(품목별)'!A850)</f>
        <v>2024.09</v>
      </c>
      <c r="B846" s="17" t="n">
        <f aca="false">IFERROR(VALUE(LEFT($A846,4)),"")</f>
        <v>2024</v>
      </c>
      <c r="C846" s="17" t="n">
        <f aca="false">IFERROR(VALUE(RIGHT($A846,2)),"")</f>
        <v>9</v>
      </c>
      <c r="D846" s="17" t="n">
        <f aca="false">IFERROR(ROUNDUP($C846/3,0),"")</f>
        <v>3</v>
      </c>
      <c r="E846" s="11" t="str">
        <f aca="false">TRIM('수출입 실적(품목별)'!B850)</f>
        <v>72</v>
      </c>
      <c r="F846" s="11" t="str">
        <f aca="false">TRIM('수출입 실적(품목별)'!C850)</f>
        <v>철강</v>
      </c>
      <c r="G846" s="18" t="n">
        <f aca="false">IFERROR(VALUE(SUBSTITUTE(TRIM('수출입 실적(품목별)'!D850),",","")),"")</f>
        <v>2248838</v>
      </c>
      <c r="H846" s="19" t="n">
        <f aca="false">IFERROR(VALUE(SUBSTITUTE(TRIM('수출입 실적(품목별)'!E850),",","")),"")</f>
        <v>2075109</v>
      </c>
      <c r="I846" s="18" t="n">
        <f aca="false">IFERROR(VALUE(SUBSTITUTE(TRIM('수출입 실적(품목별)'!F850),",","")),"")</f>
        <v>1308156.6</v>
      </c>
      <c r="J846" s="19" t="n">
        <f aca="false">IFERROR(VALUE(SUBSTITUTE(TRIM('수출입 실적(품목별)'!G850),",","")),"")</f>
        <v>1090540</v>
      </c>
      <c r="K846" s="19" t="n">
        <f aca="false">IFERROR(VALUE(SUBSTITUTE(TRIM('수출입 실적(품목별)'!H850),",","")),"")</f>
        <v>984568</v>
      </c>
    </row>
    <row r="847" customFormat="false" ht="15" hidden="false" customHeight="true" outlineLevel="0" collapsed="false">
      <c r="A847" s="11" t="str">
        <f aca="false">TRIM('수출입 실적(품목별)'!A851)</f>
        <v>2024.09</v>
      </c>
      <c r="B847" s="17" t="n">
        <f aca="false">IFERROR(VALUE(LEFT($A847,4)),"")</f>
        <v>2024</v>
      </c>
      <c r="C847" s="17" t="n">
        <f aca="false">IFERROR(VALUE(RIGHT($A847,2)),"")</f>
        <v>9</v>
      </c>
      <c r="D847" s="17" t="n">
        <f aca="false">IFERROR(ROUNDUP($C847/3,0),"")</f>
        <v>3</v>
      </c>
      <c r="E847" s="11" t="str">
        <f aca="false">TRIM('수출입 실적(품목별)'!B851)</f>
        <v>73</v>
      </c>
      <c r="F847" s="11" t="str">
        <f aca="false">TRIM('수출입 실적(품목별)'!C851)</f>
        <v>철강의 제품</v>
      </c>
      <c r="G847" s="18" t="n">
        <f aca="false">IFERROR(VALUE(SUBSTITUTE(TRIM('수출입 실적(품목별)'!D851),",","")),"")</f>
        <v>250849.5</v>
      </c>
      <c r="H847" s="19" t="n">
        <f aca="false">IFERROR(VALUE(SUBSTITUTE(TRIM('수출입 실적(품목별)'!E851),",","")),"")</f>
        <v>789818</v>
      </c>
      <c r="I847" s="18" t="n">
        <f aca="false">IFERROR(VALUE(SUBSTITUTE(TRIM('수출입 실적(품목별)'!F851),",","")),"")</f>
        <v>223525.2</v>
      </c>
      <c r="J847" s="19" t="n">
        <f aca="false">IFERROR(VALUE(SUBSTITUTE(TRIM('수출입 실적(품목별)'!G851),",","")),"")</f>
        <v>595368</v>
      </c>
      <c r="K847" s="19" t="n">
        <f aca="false">IFERROR(VALUE(SUBSTITUTE(TRIM('수출입 실적(품목별)'!H851),",","")),"")</f>
        <v>194450</v>
      </c>
    </row>
    <row r="848" customFormat="false" ht="15" hidden="false" customHeight="true" outlineLevel="0" collapsed="false">
      <c r="A848" s="11" t="str">
        <f aca="false">TRIM('수출입 실적(품목별)'!A852)</f>
        <v>2024.09</v>
      </c>
      <c r="B848" s="17" t="n">
        <f aca="false">IFERROR(VALUE(LEFT($A848,4)),"")</f>
        <v>2024</v>
      </c>
      <c r="C848" s="17" t="n">
        <f aca="false">IFERROR(VALUE(RIGHT($A848,2)),"")</f>
        <v>9</v>
      </c>
      <c r="D848" s="17" t="n">
        <f aca="false">IFERROR(ROUNDUP($C848/3,0),"")</f>
        <v>3</v>
      </c>
      <c r="E848" s="11" t="str">
        <f aca="false">TRIM('수출입 실적(품목별)'!B852)</f>
        <v>74</v>
      </c>
      <c r="F848" s="11" t="str">
        <f aca="false">TRIM('수출입 실적(품목별)'!C852)</f>
        <v>구리와 그 제품</v>
      </c>
      <c r="G848" s="18" t="n">
        <f aca="false">IFERROR(VALUE(SUBSTITUTE(TRIM('수출입 실적(품목별)'!D852),",","")),"")</f>
        <v>54150.8</v>
      </c>
      <c r="H848" s="19" t="n">
        <f aca="false">IFERROR(VALUE(SUBSTITUTE(TRIM('수출입 실적(품목별)'!E852),",","")),"")</f>
        <v>496913</v>
      </c>
      <c r="I848" s="18" t="n">
        <f aca="false">IFERROR(VALUE(SUBSTITUTE(TRIM('수출입 실적(품목별)'!F852),",","")),"")</f>
        <v>55563.2</v>
      </c>
      <c r="J848" s="19" t="n">
        <f aca="false">IFERROR(VALUE(SUBSTITUTE(TRIM('수출입 실적(품목별)'!G852),",","")),"")</f>
        <v>529801</v>
      </c>
      <c r="K848" s="19" t="n">
        <f aca="false">IFERROR(VALUE(SUBSTITUTE(TRIM('수출입 실적(품목별)'!H852),",","")),"")</f>
        <v>-32888</v>
      </c>
    </row>
    <row r="849" customFormat="false" ht="15" hidden="false" customHeight="true" outlineLevel="0" collapsed="false">
      <c r="A849" s="11" t="str">
        <f aca="false">TRIM('수출입 실적(품목별)'!A853)</f>
        <v>2024.09</v>
      </c>
      <c r="B849" s="17" t="n">
        <f aca="false">IFERROR(VALUE(LEFT($A849,4)),"")</f>
        <v>2024</v>
      </c>
      <c r="C849" s="17" t="n">
        <f aca="false">IFERROR(VALUE(RIGHT($A849,2)),"")</f>
        <v>9</v>
      </c>
      <c r="D849" s="17" t="n">
        <f aca="false">IFERROR(ROUNDUP($C849/3,0),"")</f>
        <v>3</v>
      </c>
      <c r="E849" s="11" t="str">
        <f aca="false">TRIM('수출입 실적(품목별)'!B853)</f>
        <v>75</v>
      </c>
      <c r="F849" s="11" t="str">
        <f aca="false">TRIM('수출입 실적(품목별)'!C853)</f>
        <v>니켈과 그 제품</v>
      </c>
      <c r="G849" s="18" t="n">
        <f aca="false">IFERROR(VALUE(SUBSTITUTE(TRIM('수출입 실적(품목별)'!D853),",","")),"")</f>
        <v>4100.9</v>
      </c>
      <c r="H849" s="19" t="n">
        <f aca="false">IFERROR(VALUE(SUBSTITUTE(TRIM('수출입 실적(품목별)'!E853),",","")),"")</f>
        <v>23031</v>
      </c>
      <c r="I849" s="18" t="n">
        <f aca="false">IFERROR(VALUE(SUBSTITUTE(TRIM('수출입 실적(품목별)'!F853),",","")),"")</f>
        <v>6359.3</v>
      </c>
      <c r="J849" s="19" t="n">
        <f aca="false">IFERROR(VALUE(SUBSTITUTE(TRIM('수출입 실적(품목별)'!G853),",","")),"")</f>
        <v>105474</v>
      </c>
      <c r="K849" s="19" t="n">
        <f aca="false">IFERROR(VALUE(SUBSTITUTE(TRIM('수출입 실적(품목별)'!H853),",","")),"")</f>
        <v>-82443</v>
      </c>
    </row>
    <row r="850" customFormat="false" ht="15" hidden="false" customHeight="true" outlineLevel="0" collapsed="false">
      <c r="A850" s="11" t="str">
        <f aca="false">TRIM('수출입 실적(품목별)'!A854)</f>
        <v>2024.09</v>
      </c>
      <c r="B850" s="17" t="n">
        <f aca="false">IFERROR(VALUE(LEFT($A850,4)),"")</f>
        <v>2024</v>
      </c>
      <c r="C850" s="17" t="n">
        <f aca="false">IFERROR(VALUE(RIGHT($A850,2)),"")</f>
        <v>9</v>
      </c>
      <c r="D850" s="17" t="n">
        <f aca="false">IFERROR(ROUNDUP($C850/3,0),"")</f>
        <v>3</v>
      </c>
      <c r="E850" s="11" t="str">
        <f aca="false">TRIM('수출입 실적(품목별)'!B854)</f>
        <v>76</v>
      </c>
      <c r="F850" s="11" t="str">
        <f aca="false">TRIM('수출입 실적(품목별)'!C854)</f>
        <v>알루미늄과 그 제품</v>
      </c>
      <c r="G850" s="18" t="n">
        <f aca="false">IFERROR(VALUE(SUBSTITUTE(TRIM('수출입 실적(품목별)'!D854),",","")),"")</f>
        <v>102205.7</v>
      </c>
      <c r="H850" s="19" t="n">
        <f aca="false">IFERROR(VALUE(SUBSTITUTE(TRIM('수출입 실적(품목별)'!E854),",","")),"")</f>
        <v>394595</v>
      </c>
      <c r="I850" s="18" t="n">
        <f aca="false">IFERROR(VALUE(SUBSTITUTE(TRIM('수출입 실적(품목별)'!F854),",","")),"")</f>
        <v>240089.3</v>
      </c>
      <c r="J850" s="19" t="n">
        <f aca="false">IFERROR(VALUE(SUBSTITUTE(TRIM('수출입 실적(품목별)'!G854),",","")),"")</f>
        <v>688159</v>
      </c>
      <c r="K850" s="19" t="n">
        <f aca="false">IFERROR(VALUE(SUBSTITUTE(TRIM('수출입 실적(품목별)'!H854),",","")),"")</f>
        <v>-293564</v>
      </c>
    </row>
    <row r="851" customFormat="false" ht="15" hidden="false" customHeight="true" outlineLevel="0" collapsed="false">
      <c r="A851" s="11" t="str">
        <f aca="false">TRIM('수출입 실적(품목별)'!A855)</f>
        <v>2024.09</v>
      </c>
      <c r="B851" s="17" t="n">
        <f aca="false">IFERROR(VALUE(LEFT($A851,4)),"")</f>
        <v>2024</v>
      </c>
      <c r="C851" s="17" t="n">
        <f aca="false">IFERROR(VALUE(RIGHT($A851,2)),"")</f>
        <v>9</v>
      </c>
      <c r="D851" s="17" t="n">
        <f aca="false">IFERROR(ROUNDUP($C851/3,0),"")</f>
        <v>3</v>
      </c>
      <c r="E851" s="11" t="str">
        <f aca="false">TRIM('수출입 실적(품목별)'!B855)</f>
        <v>78</v>
      </c>
      <c r="F851" s="11" t="str">
        <f aca="false">TRIM('수출입 실적(품목별)'!C855)</f>
        <v>납과 그 제품</v>
      </c>
      <c r="G851" s="18" t="n">
        <f aca="false">IFERROR(VALUE(SUBSTITUTE(TRIM('수출입 실적(품목별)'!D855),",","")),"")</f>
        <v>26628.6</v>
      </c>
      <c r="H851" s="19" t="n">
        <f aca="false">IFERROR(VALUE(SUBSTITUTE(TRIM('수출입 실적(품목별)'!E855),",","")),"")</f>
        <v>59688</v>
      </c>
      <c r="I851" s="18" t="n">
        <f aca="false">IFERROR(VALUE(SUBSTITUTE(TRIM('수출입 실적(품목별)'!F855),",","")),"")</f>
        <v>18016.6</v>
      </c>
      <c r="J851" s="19" t="n">
        <f aca="false">IFERROR(VALUE(SUBSTITUTE(TRIM('수출입 실적(품목별)'!G855),",","")),"")</f>
        <v>39661</v>
      </c>
      <c r="K851" s="19" t="n">
        <f aca="false">IFERROR(VALUE(SUBSTITUTE(TRIM('수출입 실적(품목별)'!H855),",","")),"")</f>
        <v>20027</v>
      </c>
    </row>
    <row r="852" customFormat="false" ht="15" hidden="false" customHeight="true" outlineLevel="0" collapsed="false">
      <c r="A852" s="11" t="str">
        <f aca="false">TRIM('수출입 실적(품목별)'!A856)</f>
        <v>2024.09</v>
      </c>
      <c r="B852" s="17" t="n">
        <f aca="false">IFERROR(VALUE(LEFT($A852,4)),"")</f>
        <v>2024</v>
      </c>
      <c r="C852" s="17" t="n">
        <f aca="false">IFERROR(VALUE(RIGHT($A852,2)),"")</f>
        <v>9</v>
      </c>
      <c r="D852" s="17" t="n">
        <f aca="false">IFERROR(ROUNDUP($C852/3,0),"")</f>
        <v>3</v>
      </c>
      <c r="E852" s="11" t="str">
        <f aca="false">TRIM('수출입 실적(품목별)'!B856)</f>
        <v>79</v>
      </c>
      <c r="F852" s="11" t="str">
        <f aca="false">TRIM('수출입 실적(품목별)'!C856)</f>
        <v>아연과 그 제품</v>
      </c>
      <c r="G852" s="18" t="n">
        <f aca="false">IFERROR(VALUE(SUBSTITUTE(TRIM('수출입 실적(품목별)'!D856),",","")),"")</f>
        <v>37560.4</v>
      </c>
      <c r="H852" s="19" t="n">
        <f aca="false">IFERROR(VALUE(SUBSTITUTE(TRIM('수출입 실적(품목별)'!E856),",","")),"")</f>
        <v>109507</v>
      </c>
      <c r="I852" s="18" t="n">
        <f aca="false">IFERROR(VALUE(SUBSTITUTE(TRIM('수출입 실적(품목별)'!F856),",","")),"")</f>
        <v>3736.3</v>
      </c>
      <c r="J852" s="19" t="n">
        <f aca="false">IFERROR(VALUE(SUBSTITUTE(TRIM('수출입 실적(품목별)'!G856),",","")),"")</f>
        <v>12280</v>
      </c>
      <c r="K852" s="19" t="n">
        <f aca="false">IFERROR(VALUE(SUBSTITUTE(TRIM('수출입 실적(품목별)'!H856),",","")),"")</f>
        <v>97227</v>
      </c>
    </row>
    <row r="853" customFormat="false" ht="15" hidden="false" customHeight="true" outlineLevel="0" collapsed="false">
      <c r="A853" s="11" t="str">
        <f aca="false">TRIM('수출입 실적(품목별)'!A857)</f>
        <v>2024.09</v>
      </c>
      <c r="B853" s="17" t="n">
        <f aca="false">IFERROR(VALUE(LEFT($A853,4)),"")</f>
        <v>2024</v>
      </c>
      <c r="C853" s="17" t="n">
        <f aca="false">IFERROR(VALUE(RIGHT($A853,2)),"")</f>
        <v>9</v>
      </c>
      <c r="D853" s="17" t="n">
        <f aca="false">IFERROR(ROUNDUP($C853/3,0),"")</f>
        <v>3</v>
      </c>
      <c r="E853" s="11" t="str">
        <f aca="false">TRIM('수출입 실적(품목별)'!B857)</f>
        <v>80</v>
      </c>
      <c r="F853" s="11" t="str">
        <f aca="false">TRIM('수출입 실적(품목별)'!C857)</f>
        <v>주석과 그 제품</v>
      </c>
      <c r="G853" s="18" t="n">
        <f aca="false">IFERROR(VALUE(SUBSTITUTE(TRIM('수출입 실적(품목별)'!D857),",","")),"")</f>
        <v>109.6</v>
      </c>
      <c r="H853" s="19" t="n">
        <f aca="false">IFERROR(VALUE(SUBSTITUTE(TRIM('수출입 실적(품목별)'!E857),",","")),"")</f>
        <v>5233</v>
      </c>
      <c r="I853" s="18" t="n">
        <f aca="false">IFERROR(VALUE(SUBSTITUTE(TRIM('수출입 실적(품목별)'!F857),",","")),"")</f>
        <v>1363.6</v>
      </c>
      <c r="J853" s="19" t="n">
        <f aca="false">IFERROR(VALUE(SUBSTITUTE(TRIM('수출입 실적(품목별)'!G857),",","")),"")</f>
        <v>46114</v>
      </c>
      <c r="K853" s="19" t="n">
        <f aca="false">IFERROR(VALUE(SUBSTITUTE(TRIM('수출입 실적(품목별)'!H857),",","")),"")</f>
        <v>-40881</v>
      </c>
    </row>
    <row r="854" customFormat="false" ht="15" hidden="false" customHeight="true" outlineLevel="0" collapsed="false">
      <c r="A854" s="11" t="str">
        <f aca="false">TRIM('수출입 실적(품목별)'!A858)</f>
        <v>2024.09</v>
      </c>
      <c r="B854" s="17" t="n">
        <f aca="false">IFERROR(VALUE(LEFT($A854,4)),"")</f>
        <v>2024</v>
      </c>
      <c r="C854" s="17" t="n">
        <f aca="false">IFERROR(VALUE(RIGHT($A854,2)),"")</f>
        <v>9</v>
      </c>
      <c r="D854" s="17" t="n">
        <f aca="false">IFERROR(ROUNDUP($C854/3,0),"")</f>
        <v>3</v>
      </c>
      <c r="E854" s="11" t="str">
        <f aca="false">TRIM('수출입 실적(품목별)'!B858)</f>
        <v>81</v>
      </c>
      <c r="F854" s="11" t="str">
        <f aca="false">TRIM('수출입 실적(품목별)'!C858)</f>
        <v>그 밖의 비금속(卑金屬), 서멧(cermet), 이들의 제품</v>
      </c>
      <c r="G854" s="18" t="n">
        <f aca="false">IFERROR(VALUE(SUBSTITUTE(TRIM('수출입 실적(품목별)'!D858),",","")),"")</f>
        <v>2695.9</v>
      </c>
      <c r="H854" s="19" t="n">
        <f aca="false">IFERROR(VALUE(SUBSTITUTE(TRIM('수출입 실적(품목별)'!E858),",","")),"")</f>
        <v>32928</v>
      </c>
      <c r="I854" s="18" t="n">
        <f aca="false">IFERROR(VALUE(SUBSTITUTE(TRIM('수출입 실적(품목별)'!F858),",","")),"")</f>
        <v>15120.5</v>
      </c>
      <c r="J854" s="19" t="n">
        <f aca="false">IFERROR(VALUE(SUBSTITUTE(TRIM('수출입 실적(품목별)'!G858),",","")),"")</f>
        <v>117315</v>
      </c>
      <c r="K854" s="19" t="n">
        <f aca="false">IFERROR(VALUE(SUBSTITUTE(TRIM('수출입 실적(품목별)'!H858),",","")),"")</f>
        <v>-84387</v>
      </c>
    </row>
    <row r="855" customFormat="false" ht="15" hidden="false" customHeight="true" outlineLevel="0" collapsed="false">
      <c r="A855" s="11" t="str">
        <f aca="false">TRIM('수출입 실적(품목별)'!A859)</f>
        <v>2024.09</v>
      </c>
      <c r="B855" s="17" t="n">
        <f aca="false">IFERROR(VALUE(LEFT($A855,4)),"")</f>
        <v>2024</v>
      </c>
      <c r="C855" s="17" t="n">
        <f aca="false">IFERROR(VALUE(RIGHT($A855,2)),"")</f>
        <v>9</v>
      </c>
      <c r="D855" s="17" t="n">
        <f aca="false">IFERROR(ROUNDUP($C855/3,0),"")</f>
        <v>3</v>
      </c>
      <c r="E855" s="11" t="str">
        <f aca="false">TRIM('수출입 실적(품목별)'!B859)</f>
        <v>82</v>
      </c>
      <c r="F855" s="11" t="str">
        <f aca="false">TRIM('수출입 실적(품목별)'!C859)</f>
        <v>비금속(卑金屬)으로 만든 공구ㆍ도구ㆍ칼붙이ㆍ스푼ㆍ포크, 이들의 부분품</v>
      </c>
      <c r="G855" s="18" t="n">
        <f aca="false">IFERROR(VALUE(SUBSTITUTE(TRIM('수출입 실적(품목별)'!D859),",","")),"")</f>
        <v>5420.8</v>
      </c>
      <c r="H855" s="19" t="n">
        <f aca="false">IFERROR(VALUE(SUBSTITUTE(TRIM('수출입 실적(품목별)'!E859),",","")),"")</f>
        <v>142077</v>
      </c>
      <c r="I855" s="18" t="n">
        <f aca="false">IFERROR(VALUE(SUBSTITUTE(TRIM('수출입 실적(품목별)'!F859),",","")),"")</f>
        <v>3999.6</v>
      </c>
      <c r="J855" s="19" t="n">
        <f aca="false">IFERROR(VALUE(SUBSTITUTE(TRIM('수출입 실적(품목별)'!G859),",","")),"")</f>
        <v>76248</v>
      </c>
      <c r="K855" s="19" t="n">
        <f aca="false">IFERROR(VALUE(SUBSTITUTE(TRIM('수출입 실적(품목별)'!H859),",","")),"")</f>
        <v>65829</v>
      </c>
    </row>
    <row r="856" customFormat="false" ht="15" hidden="false" customHeight="true" outlineLevel="0" collapsed="false">
      <c r="A856" s="11" t="str">
        <f aca="false">TRIM('수출입 실적(품목별)'!A860)</f>
        <v>2024.09</v>
      </c>
      <c r="B856" s="17" t="n">
        <f aca="false">IFERROR(VALUE(LEFT($A856,4)),"")</f>
        <v>2024</v>
      </c>
      <c r="C856" s="17" t="n">
        <f aca="false">IFERROR(VALUE(RIGHT($A856,2)),"")</f>
        <v>9</v>
      </c>
      <c r="D856" s="17" t="n">
        <f aca="false">IFERROR(ROUNDUP($C856/3,0),"")</f>
        <v>3</v>
      </c>
      <c r="E856" s="11" t="str">
        <f aca="false">TRIM('수출입 실적(품목별)'!B860)</f>
        <v>83</v>
      </c>
      <c r="F856" s="11" t="str">
        <f aca="false">TRIM('수출입 실적(품목별)'!C860)</f>
        <v>비금속(卑金屬)으로 만든 각종 제품</v>
      </c>
      <c r="G856" s="18" t="n">
        <f aca="false">IFERROR(VALUE(SUBSTITUTE(TRIM('수출입 실적(품목별)'!D860),",","")),"")</f>
        <v>25268.6</v>
      </c>
      <c r="H856" s="19" t="n">
        <f aca="false">IFERROR(VALUE(SUBSTITUTE(TRIM('수출입 실적(품목별)'!E860),",","")),"")</f>
        <v>139298</v>
      </c>
      <c r="I856" s="18" t="n">
        <f aca="false">IFERROR(VALUE(SUBSTITUTE(TRIM('수출입 실적(품목별)'!F860),",","")),"")</f>
        <v>10792.7</v>
      </c>
      <c r="J856" s="19" t="n">
        <f aca="false">IFERROR(VALUE(SUBSTITUTE(TRIM('수출입 실적(품목별)'!G860),",","")),"")</f>
        <v>74125</v>
      </c>
      <c r="K856" s="19" t="n">
        <f aca="false">IFERROR(VALUE(SUBSTITUTE(TRIM('수출입 실적(품목별)'!H860),",","")),"")</f>
        <v>65173</v>
      </c>
    </row>
    <row r="857" customFormat="false" ht="15" hidden="false" customHeight="true" outlineLevel="0" collapsed="false">
      <c r="A857" s="11" t="str">
        <f aca="false">TRIM('수출입 실적(품목별)'!A861)</f>
        <v>2024.09</v>
      </c>
      <c r="B857" s="17" t="n">
        <f aca="false">IFERROR(VALUE(LEFT($A857,4)),"")</f>
        <v>2024</v>
      </c>
      <c r="C857" s="17" t="n">
        <f aca="false">IFERROR(VALUE(RIGHT($A857,2)),"")</f>
        <v>9</v>
      </c>
      <c r="D857" s="17" t="n">
        <f aca="false">IFERROR(ROUNDUP($C857/3,0),"")</f>
        <v>3</v>
      </c>
      <c r="E857" s="11" t="str">
        <f aca="false">TRIM('수출입 실적(품목별)'!B861)</f>
        <v>84</v>
      </c>
      <c r="F857" s="11" t="str">
        <f aca="false">TRIM('수출입 실적(품목별)'!C861)</f>
        <v>원자로ㆍ보일러ㆍ기계류와 이들의 부분품</v>
      </c>
      <c r="G857" s="18" t="n">
        <f aca="false">IFERROR(VALUE(SUBSTITUTE(TRIM('수출입 실적(품목별)'!D861),",","")),"")</f>
        <v>341868</v>
      </c>
      <c r="H857" s="19" t="n">
        <f aca="false">IFERROR(VALUE(SUBSTITUTE(TRIM('수출입 실적(품목별)'!E861),",","")),"")</f>
        <v>6623701</v>
      </c>
      <c r="I857" s="18" t="n">
        <f aca="false">IFERROR(VALUE(SUBSTITUTE(TRIM('수출입 실적(품목별)'!F861),",","")),"")</f>
        <v>192143</v>
      </c>
      <c r="J857" s="19" t="n">
        <f aca="false">IFERROR(VALUE(SUBSTITUTE(TRIM('수출입 실적(품목별)'!G861),",","")),"")</f>
        <v>5921673</v>
      </c>
      <c r="K857" s="19" t="n">
        <f aca="false">IFERROR(VALUE(SUBSTITUTE(TRIM('수출입 실적(품목별)'!H861),",","")),"")</f>
        <v>702029</v>
      </c>
    </row>
    <row r="858" customFormat="false" ht="15" hidden="false" customHeight="true" outlineLevel="0" collapsed="false">
      <c r="A858" s="11" t="str">
        <f aca="false">TRIM('수출입 실적(품목별)'!A862)</f>
        <v>2024.09</v>
      </c>
      <c r="B858" s="17" t="n">
        <f aca="false">IFERROR(VALUE(LEFT($A858,4)),"")</f>
        <v>2024</v>
      </c>
      <c r="C858" s="17" t="n">
        <f aca="false">IFERROR(VALUE(RIGHT($A858,2)),"")</f>
        <v>9</v>
      </c>
      <c r="D858" s="17" t="n">
        <f aca="false">IFERROR(ROUNDUP($C858/3,0),"")</f>
        <v>3</v>
      </c>
      <c r="E858" s="11" t="str">
        <f aca="false">TRIM('수출입 실적(품목별)'!B862)</f>
        <v>85</v>
      </c>
      <c r="F858" s="11" t="str">
        <f aca="false">TRIM('수출입 실적(품목별)'!C862)</f>
        <v>전기기기와 그 부분품, 녹음기ㆍ음성 재생기ㆍ텔레비전의 영상과 음성의 기록기ㆍ재생기와 이들의 부분품ㆍ부속품</v>
      </c>
      <c r="G858" s="18" t="n">
        <f aca="false">IFERROR(VALUE(SUBSTITUTE(TRIM('수출입 실적(품목별)'!D862),",","")),"")</f>
        <v>214214.5</v>
      </c>
      <c r="H858" s="19" t="n">
        <f aca="false">IFERROR(VALUE(SUBSTITUTE(TRIM('수출입 실적(품목별)'!E862),",","")),"")</f>
        <v>20007957</v>
      </c>
      <c r="I858" s="18" t="n">
        <f aca="false">IFERROR(VALUE(SUBSTITUTE(TRIM('수출입 실적(품목별)'!F862),",","")),"")</f>
        <v>179438.5</v>
      </c>
      <c r="J858" s="19" t="n">
        <f aca="false">IFERROR(VALUE(SUBSTITUTE(TRIM('수출입 실적(품목별)'!G862),",","")),"")</f>
        <v>10865784</v>
      </c>
      <c r="K858" s="19" t="n">
        <f aca="false">IFERROR(VALUE(SUBSTITUTE(TRIM('수출입 실적(품목별)'!H862),",","")),"")</f>
        <v>9142173</v>
      </c>
    </row>
    <row r="859" customFormat="false" ht="15" hidden="false" customHeight="true" outlineLevel="0" collapsed="false">
      <c r="A859" s="11" t="str">
        <f aca="false">TRIM('수출입 실적(품목별)'!A863)</f>
        <v>2024.09</v>
      </c>
      <c r="B859" s="17" t="n">
        <f aca="false">IFERROR(VALUE(LEFT($A859,4)),"")</f>
        <v>2024</v>
      </c>
      <c r="C859" s="17" t="n">
        <f aca="false">IFERROR(VALUE(RIGHT($A859,2)),"")</f>
        <v>9</v>
      </c>
      <c r="D859" s="17" t="n">
        <f aca="false">IFERROR(ROUNDUP($C859/3,0),"")</f>
        <v>3</v>
      </c>
      <c r="E859" s="11" t="str">
        <f aca="false">TRIM('수출입 실적(품목별)'!B863)</f>
        <v>86</v>
      </c>
      <c r="F859" s="11" t="str">
        <f aca="false">TRIM('수출입 실적(품목별)'!C863)</f>
        <v>철도용이나 궤도용 기관차ㆍ차량과 이들의 부분품, 철도용이나 궤도용 장비품과 그 부분품, 기계식(전기기계식을 포함한다) 각종 교통신호용 기기</v>
      </c>
      <c r="G859" s="18" t="n">
        <f aca="false">IFERROR(VALUE(SUBSTITUTE(TRIM('수출입 실적(품목별)'!D863),",","")),"")</f>
        <v>12184.4</v>
      </c>
      <c r="H859" s="19" t="n">
        <f aca="false">IFERROR(VALUE(SUBSTITUTE(TRIM('수출입 실적(품목별)'!E863),",","")),"")</f>
        <v>79072</v>
      </c>
      <c r="I859" s="18" t="n">
        <f aca="false">IFERROR(VALUE(SUBSTITUTE(TRIM('수출입 실적(품목별)'!F863),",","")),"")</f>
        <v>11306.8</v>
      </c>
      <c r="J859" s="19" t="n">
        <f aca="false">IFERROR(VALUE(SUBSTITUTE(TRIM('수출입 실적(품목별)'!G863),",","")),"")</f>
        <v>59584</v>
      </c>
      <c r="K859" s="19" t="n">
        <f aca="false">IFERROR(VALUE(SUBSTITUTE(TRIM('수출입 실적(품목별)'!H863),",","")),"")</f>
        <v>19487</v>
      </c>
    </row>
    <row r="860" customFormat="false" ht="15" hidden="false" customHeight="true" outlineLevel="0" collapsed="false">
      <c r="A860" s="11" t="str">
        <f aca="false">TRIM('수출입 실적(품목별)'!A864)</f>
        <v>2024.09</v>
      </c>
      <c r="B860" s="17" t="n">
        <f aca="false">IFERROR(VALUE(LEFT($A860,4)),"")</f>
        <v>2024</v>
      </c>
      <c r="C860" s="17" t="n">
        <f aca="false">IFERROR(VALUE(RIGHT($A860,2)),"")</f>
        <v>9</v>
      </c>
      <c r="D860" s="17" t="n">
        <f aca="false">IFERROR(ROUNDUP($C860/3,0),"")</f>
        <v>3</v>
      </c>
      <c r="E860" s="11" t="str">
        <f aca="false">TRIM('수출입 실적(품목별)'!B864)</f>
        <v>87</v>
      </c>
      <c r="F860" s="11" t="str">
        <f aca="false">TRIM('수출입 실적(품목별)'!C864)</f>
        <v>철도용이나 궤도용 외의 차량과 그 부분품ㆍ부속품</v>
      </c>
      <c r="G860" s="18" t="n">
        <f aca="false">IFERROR(VALUE(SUBSTITUTE(TRIM('수출입 실적(품목별)'!D864),",","")),"")</f>
        <v>641177</v>
      </c>
      <c r="H860" s="19" t="n">
        <f aca="false">IFERROR(VALUE(SUBSTITUTE(TRIM('수출입 실적(품목별)'!E864),",","")),"")</f>
        <v>7342939</v>
      </c>
      <c r="I860" s="18" t="n">
        <f aca="false">IFERROR(VALUE(SUBSTITUTE(TRIM('수출입 실적(품목별)'!F864),",","")),"")</f>
        <v>91697.5</v>
      </c>
      <c r="J860" s="19" t="n">
        <f aca="false">IFERROR(VALUE(SUBSTITUTE(TRIM('수출입 실적(품목별)'!G864),",","")),"")</f>
        <v>1485866</v>
      </c>
      <c r="K860" s="19" t="n">
        <f aca="false">IFERROR(VALUE(SUBSTITUTE(TRIM('수출입 실적(품목별)'!H864),",","")),"")</f>
        <v>5857073</v>
      </c>
    </row>
    <row r="861" customFormat="false" ht="15" hidden="false" customHeight="true" outlineLevel="0" collapsed="false">
      <c r="A861" s="11" t="str">
        <f aca="false">TRIM('수출입 실적(품목별)'!A865)</f>
        <v>2024.09</v>
      </c>
      <c r="B861" s="17" t="n">
        <f aca="false">IFERROR(VALUE(LEFT($A861,4)),"")</f>
        <v>2024</v>
      </c>
      <c r="C861" s="17" t="n">
        <f aca="false">IFERROR(VALUE(RIGHT($A861,2)),"")</f>
        <v>9</v>
      </c>
      <c r="D861" s="17" t="n">
        <f aca="false">IFERROR(ROUNDUP($C861/3,0),"")</f>
        <v>3</v>
      </c>
      <c r="E861" s="11" t="str">
        <f aca="false">TRIM('수출입 실적(품목별)'!B865)</f>
        <v>88</v>
      </c>
      <c r="F861" s="11" t="str">
        <f aca="false">TRIM('수출입 실적(품목별)'!C865)</f>
        <v>항공기와 우주선, 이들의 부분품</v>
      </c>
      <c r="G861" s="18" t="n">
        <f aca="false">IFERROR(VALUE(SUBSTITUTE(TRIM('수출입 실적(품목별)'!D865),",","")),"")</f>
        <v>375.4</v>
      </c>
      <c r="H861" s="19" t="n">
        <f aca="false">IFERROR(VALUE(SUBSTITUTE(TRIM('수출입 실적(품목별)'!E865),",","")),"")</f>
        <v>103875</v>
      </c>
      <c r="I861" s="18" t="n">
        <f aca="false">IFERROR(VALUE(SUBSTITUTE(TRIM('수출입 실적(품목별)'!F865),",","")),"")</f>
        <v>220.1</v>
      </c>
      <c r="J861" s="19" t="n">
        <f aca="false">IFERROR(VALUE(SUBSTITUTE(TRIM('수출입 실적(품목별)'!G865),",","")),"")</f>
        <v>135424</v>
      </c>
      <c r="K861" s="19" t="n">
        <f aca="false">IFERROR(VALUE(SUBSTITUTE(TRIM('수출입 실적(품목별)'!H865),",","")),"")</f>
        <v>-31549</v>
      </c>
    </row>
    <row r="862" customFormat="false" ht="15" hidden="false" customHeight="true" outlineLevel="0" collapsed="false">
      <c r="A862" s="11" t="str">
        <f aca="false">TRIM('수출입 실적(품목별)'!A866)</f>
        <v>2024.09</v>
      </c>
      <c r="B862" s="17" t="n">
        <f aca="false">IFERROR(VALUE(LEFT($A862,4)),"")</f>
        <v>2024</v>
      </c>
      <c r="C862" s="17" t="n">
        <f aca="false">IFERROR(VALUE(RIGHT($A862,2)),"")</f>
        <v>9</v>
      </c>
      <c r="D862" s="17" t="n">
        <f aca="false">IFERROR(ROUNDUP($C862/3,0),"")</f>
        <v>3</v>
      </c>
      <c r="E862" s="11" t="str">
        <f aca="false">TRIM('수출입 실적(품목별)'!B866)</f>
        <v>89</v>
      </c>
      <c r="F862" s="11" t="str">
        <f aca="false">TRIM('수출입 실적(품목별)'!C866)</f>
        <v>선박과 수상 구조물</v>
      </c>
      <c r="G862" s="18" t="n">
        <f aca="false">IFERROR(VALUE(SUBSTITUTE(TRIM('수출입 실적(품목별)'!D866),",","")),"")</f>
        <v>907191</v>
      </c>
      <c r="H862" s="19" t="n">
        <f aca="false">IFERROR(VALUE(SUBSTITUTE(TRIM('수출입 실적(품목별)'!E866),",","")),"")</f>
        <v>2201612</v>
      </c>
      <c r="I862" s="18" t="n">
        <f aca="false">IFERROR(VALUE(SUBSTITUTE(TRIM('수출입 실적(품목별)'!F866),",","")),"")</f>
        <v>132827.7</v>
      </c>
      <c r="J862" s="19" t="n">
        <f aca="false">IFERROR(VALUE(SUBSTITUTE(TRIM('수출입 실적(품목별)'!G866),",","")),"")</f>
        <v>207855</v>
      </c>
      <c r="K862" s="19" t="n">
        <f aca="false">IFERROR(VALUE(SUBSTITUTE(TRIM('수출입 실적(품목별)'!H866),",","")),"")</f>
        <v>1993757</v>
      </c>
    </row>
    <row r="863" customFormat="false" ht="15" hidden="false" customHeight="true" outlineLevel="0" collapsed="false">
      <c r="A863" s="11" t="str">
        <f aca="false">TRIM('수출입 실적(품목별)'!A867)</f>
        <v>2024.09</v>
      </c>
      <c r="B863" s="17" t="n">
        <f aca="false">IFERROR(VALUE(LEFT($A863,4)),"")</f>
        <v>2024</v>
      </c>
      <c r="C863" s="17" t="n">
        <f aca="false">IFERROR(VALUE(RIGHT($A863,2)),"")</f>
        <v>9</v>
      </c>
      <c r="D863" s="17" t="n">
        <f aca="false">IFERROR(ROUNDUP($C863/3,0),"")</f>
        <v>3</v>
      </c>
      <c r="E863" s="11" t="str">
        <f aca="false">TRIM('수출입 실적(품목별)'!B867)</f>
        <v>90</v>
      </c>
      <c r="F863" s="11" t="str">
        <f aca="false">TRIM('수출입 실적(품목별)'!C867)</f>
        <v>광학기기ㆍ사진용 기기ㆍ영화용 기기ㆍ측정기기ㆍ검사기기ㆍ정밀기기ㆍ의료용 기기, 이들의 부분품과 부속품</v>
      </c>
      <c r="G863" s="18" t="n">
        <f aca="false">IFERROR(VALUE(SUBSTITUTE(TRIM('수출입 실적(품목별)'!D867),",","")),"")</f>
        <v>14267.2</v>
      </c>
      <c r="H863" s="19" t="n">
        <f aca="false">IFERROR(VALUE(SUBSTITUTE(TRIM('수출입 실적(품목별)'!E867),",","")),"")</f>
        <v>1467936</v>
      </c>
      <c r="I863" s="18" t="n">
        <f aca="false">IFERROR(VALUE(SUBSTITUTE(TRIM('수출입 실적(품목별)'!F867),",","")),"")</f>
        <v>15549.2</v>
      </c>
      <c r="J863" s="19" t="n">
        <f aca="false">IFERROR(VALUE(SUBSTITUTE(TRIM('수출입 실적(품목별)'!G867),",","")),"")</f>
        <v>2050457</v>
      </c>
      <c r="K863" s="19" t="n">
        <f aca="false">IFERROR(VALUE(SUBSTITUTE(TRIM('수출입 실적(품목별)'!H867),",","")),"")</f>
        <v>-582520</v>
      </c>
    </row>
    <row r="864" customFormat="false" ht="15" hidden="false" customHeight="true" outlineLevel="0" collapsed="false">
      <c r="A864" s="11" t="str">
        <f aca="false">TRIM('수출입 실적(품목별)'!A868)</f>
        <v>2024.09</v>
      </c>
      <c r="B864" s="17" t="n">
        <f aca="false">IFERROR(VALUE(LEFT($A864,4)),"")</f>
        <v>2024</v>
      </c>
      <c r="C864" s="17" t="n">
        <f aca="false">IFERROR(VALUE(RIGHT($A864,2)),"")</f>
        <v>9</v>
      </c>
      <c r="D864" s="17" t="n">
        <f aca="false">IFERROR(ROUNDUP($C864/3,0),"")</f>
        <v>3</v>
      </c>
      <c r="E864" s="11" t="str">
        <f aca="false">TRIM('수출입 실적(품목별)'!B868)</f>
        <v>91</v>
      </c>
      <c r="F864" s="11" t="str">
        <f aca="false">TRIM('수출입 실적(품목별)'!C868)</f>
        <v>시계와 그 부분품</v>
      </c>
      <c r="G864" s="18" t="n">
        <f aca="false">IFERROR(VALUE(SUBSTITUTE(TRIM('수출입 실적(품목별)'!D868),",","")),"")</f>
        <v>24.8</v>
      </c>
      <c r="H864" s="19" t="n">
        <f aca="false">IFERROR(VALUE(SUBSTITUTE(TRIM('수출입 실적(품목별)'!E868),",","")),"")</f>
        <v>10389</v>
      </c>
      <c r="I864" s="18" t="n">
        <f aca="false">IFERROR(VALUE(SUBSTITUTE(TRIM('수출입 실적(품목별)'!F868),",","")),"")</f>
        <v>326.6</v>
      </c>
      <c r="J864" s="19" t="n">
        <f aca="false">IFERROR(VALUE(SUBSTITUTE(TRIM('수출입 실적(품목별)'!G868),",","")),"")</f>
        <v>79224</v>
      </c>
      <c r="K864" s="19" t="n">
        <f aca="false">IFERROR(VALUE(SUBSTITUTE(TRIM('수출입 실적(품목별)'!H868),",","")),"")</f>
        <v>-68835</v>
      </c>
    </row>
    <row r="865" customFormat="false" ht="15" hidden="false" customHeight="true" outlineLevel="0" collapsed="false">
      <c r="A865" s="11" t="str">
        <f aca="false">TRIM('수출입 실적(품목별)'!A869)</f>
        <v>2024.09</v>
      </c>
      <c r="B865" s="17" t="n">
        <f aca="false">IFERROR(VALUE(LEFT($A865,4)),"")</f>
        <v>2024</v>
      </c>
      <c r="C865" s="17" t="n">
        <f aca="false">IFERROR(VALUE(RIGHT($A865,2)),"")</f>
        <v>9</v>
      </c>
      <c r="D865" s="17" t="n">
        <f aca="false">IFERROR(ROUNDUP($C865/3,0),"")</f>
        <v>3</v>
      </c>
      <c r="E865" s="11" t="str">
        <f aca="false">TRIM('수출입 실적(품목별)'!B869)</f>
        <v>92</v>
      </c>
      <c r="F865" s="11" t="str">
        <f aca="false">TRIM('수출입 실적(품목별)'!C869)</f>
        <v>악기와 그 부분품과 부속품</v>
      </c>
      <c r="G865" s="18" t="n">
        <f aca="false">IFERROR(VALUE(SUBSTITUTE(TRIM('수출입 실적(품목별)'!D869),",","")),"")</f>
        <v>375.8</v>
      </c>
      <c r="H865" s="19" t="n">
        <f aca="false">IFERROR(VALUE(SUBSTITUTE(TRIM('수출입 실적(품목별)'!E869),",","")),"")</f>
        <v>9356</v>
      </c>
      <c r="I865" s="18" t="n">
        <f aca="false">IFERROR(VALUE(SUBSTITUTE(TRIM('수출입 실적(품목별)'!F869),",","")),"")</f>
        <v>713.4</v>
      </c>
      <c r="J865" s="19" t="n">
        <f aca="false">IFERROR(VALUE(SUBSTITUTE(TRIM('수출입 실적(품목별)'!G869),",","")),"")</f>
        <v>17320</v>
      </c>
      <c r="K865" s="19" t="n">
        <f aca="false">IFERROR(VALUE(SUBSTITUTE(TRIM('수출입 실적(품목별)'!H869),",","")),"")</f>
        <v>-7964</v>
      </c>
    </row>
    <row r="866" customFormat="false" ht="15" hidden="false" customHeight="true" outlineLevel="0" collapsed="false">
      <c r="A866" s="11" t="str">
        <f aca="false">TRIM('수출입 실적(품목별)'!A870)</f>
        <v>2024.09</v>
      </c>
      <c r="B866" s="17" t="n">
        <f aca="false">IFERROR(VALUE(LEFT($A866,4)),"")</f>
        <v>2024</v>
      </c>
      <c r="C866" s="17" t="n">
        <f aca="false">IFERROR(VALUE(RIGHT($A866,2)),"")</f>
        <v>9</v>
      </c>
      <c r="D866" s="17" t="n">
        <f aca="false">IFERROR(ROUNDUP($C866/3,0),"")</f>
        <v>3</v>
      </c>
      <c r="E866" s="11" t="str">
        <f aca="false">TRIM('수출입 실적(품목별)'!B870)</f>
        <v>93</v>
      </c>
      <c r="F866" s="11" t="str">
        <f aca="false">TRIM('수출입 실적(품목별)'!C870)</f>
        <v>무기ㆍ총포탄과 이들의 부분품과 부속품</v>
      </c>
      <c r="G866" s="18" t="n">
        <f aca="false">IFERROR(VALUE(SUBSTITUTE(TRIM('수출입 실적(품목별)'!D870),",","")),"")</f>
        <v>3096.4</v>
      </c>
      <c r="H866" s="19" t="n">
        <f aca="false">IFERROR(VALUE(SUBSTITUTE(TRIM('수출입 실적(품목별)'!E870),",","")),"")</f>
        <v>458496</v>
      </c>
      <c r="I866" s="18" t="n">
        <f aca="false">IFERROR(VALUE(SUBSTITUTE(TRIM('수출입 실적(품목별)'!F870),",","")),"")</f>
        <v>183.9</v>
      </c>
      <c r="J866" s="19" t="n">
        <f aca="false">IFERROR(VALUE(SUBSTITUTE(TRIM('수출입 실적(품목별)'!G870),",","")),"")</f>
        <v>30761</v>
      </c>
      <c r="K866" s="19" t="n">
        <f aca="false">IFERROR(VALUE(SUBSTITUTE(TRIM('수출입 실적(품목별)'!H870),",","")),"")</f>
        <v>427735</v>
      </c>
    </row>
    <row r="867" customFormat="false" ht="15" hidden="false" customHeight="true" outlineLevel="0" collapsed="false">
      <c r="A867" s="11" t="str">
        <f aca="false">TRIM('수출입 실적(품목별)'!A871)</f>
        <v>2024.09</v>
      </c>
      <c r="B867" s="17" t="n">
        <f aca="false">IFERROR(VALUE(LEFT($A867,4)),"")</f>
        <v>2024</v>
      </c>
      <c r="C867" s="17" t="n">
        <f aca="false">IFERROR(VALUE(RIGHT($A867,2)),"")</f>
        <v>9</v>
      </c>
      <c r="D867" s="17" t="n">
        <f aca="false">IFERROR(ROUNDUP($C867/3,0),"")</f>
        <v>3</v>
      </c>
      <c r="E867" s="11" t="str">
        <f aca="false">TRIM('수출입 실적(품목별)'!B871)</f>
        <v>94</v>
      </c>
      <c r="F867" s="11" t="str">
        <f aca="false">TRIM('수출입 실적(품목별)'!C871)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867" s="18" t="n">
        <f aca="false">IFERROR(VALUE(SUBSTITUTE(TRIM('수출입 실적(품목별)'!D871),",","")),"")</f>
        <v>15465</v>
      </c>
      <c r="H867" s="19" t="n">
        <f aca="false">IFERROR(VALUE(SUBSTITUTE(TRIM('수출입 실적(품목별)'!E871),",","")),"")</f>
        <v>109138</v>
      </c>
      <c r="I867" s="18" t="n">
        <f aca="false">IFERROR(VALUE(SUBSTITUTE(TRIM('수출입 실적(품목별)'!F871),",","")),"")</f>
        <v>70996.5</v>
      </c>
      <c r="J867" s="19" t="n">
        <f aca="false">IFERROR(VALUE(SUBSTITUTE(TRIM('수출입 실적(품목별)'!G871),",","")),"")</f>
        <v>320148</v>
      </c>
      <c r="K867" s="19" t="n">
        <f aca="false">IFERROR(VALUE(SUBSTITUTE(TRIM('수출입 실적(품목별)'!H871),",","")),"")</f>
        <v>-211010</v>
      </c>
    </row>
    <row r="868" customFormat="false" ht="15" hidden="false" customHeight="true" outlineLevel="0" collapsed="false">
      <c r="A868" s="11" t="str">
        <f aca="false">TRIM('수출입 실적(품목별)'!A872)</f>
        <v>2024.09</v>
      </c>
      <c r="B868" s="17" t="n">
        <f aca="false">IFERROR(VALUE(LEFT($A868,4)),"")</f>
        <v>2024</v>
      </c>
      <c r="C868" s="17" t="n">
        <f aca="false">IFERROR(VALUE(RIGHT($A868,2)),"")</f>
        <v>9</v>
      </c>
      <c r="D868" s="17" t="n">
        <f aca="false">IFERROR(ROUNDUP($C868/3,0),"")</f>
        <v>3</v>
      </c>
      <c r="E868" s="11" t="str">
        <f aca="false">TRIM('수출입 실적(품목별)'!B872)</f>
        <v>95</v>
      </c>
      <c r="F868" s="11" t="str">
        <f aca="false">TRIM('수출입 실적(품목별)'!C872)</f>
        <v>완구ㆍ게임용구ㆍ운동용구와 이들의 부분품과 부속품</v>
      </c>
      <c r="G868" s="18" t="n">
        <f aca="false">IFERROR(VALUE(SUBSTITUTE(TRIM('수출입 실적(품목별)'!D872),",","")),"")</f>
        <v>2028.6</v>
      </c>
      <c r="H868" s="19" t="n">
        <f aca="false">IFERROR(VALUE(SUBSTITUTE(TRIM('수출입 실적(품목별)'!E872),",","")),"")</f>
        <v>42896</v>
      </c>
      <c r="I868" s="18" t="n">
        <f aca="false">IFERROR(VALUE(SUBSTITUTE(TRIM('수출입 실적(품목별)'!F872),",","")),"")</f>
        <v>13300.7</v>
      </c>
      <c r="J868" s="19" t="n">
        <f aca="false">IFERROR(VALUE(SUBSTITUTE(TRIM('수출입 실적(품목별)'!G872),",","")),"")</f>
        <v>196945</v>
      </c>
      <c r="K868" s="19" t="n">
        <f aca="false">IFERROR(VALUE(SUBSTITUTE(TRIM('수출입 실적(품목별)'!H872),",","")),"")</f>
        <v>-154049</v>
      </c>
    </row>
    <row r="869" customFormat="false" ht="15" hidden="false" customHeight="true" outlineLevel="0" collapsed="false">
      <c r="A869" s="11" t="str">
        <f aca="false">TRIM('수출입 실적(품목별)'!A873)</f>
        <v>2024.09</v>
      </c>
      <c r="B869" s="17" t="n">
        <f aca="false">IFERROR(VALUE(LEFT($A869,4)),"")</f>
        <v>2024</v>
      </c>
      <c r="C869" s="17" t="n">
        <f aca="false">IFERROR(VALUE(RIGHT($A869,2)),"")</f>
        <v>9</v>
      </c>
      <c r="D869" s="17" t="n">
        <f aca="false">IFERROR(ROUNDUP($C869/3,0),"")</f>
        <v>3</v>
      </c>
      <c r="E869" s="11" t="str">
        <f aca="false">TRIM('수출입 실적(품목별)'!B873)</f>
        <v>96</v>
      </c>
      <c r="F869" s="11" t="str">
        <f aca="false">TRIM('수출입 실적(품목별)'!C873)</f>
        <v>잡품</v>
      </c>
      <c r="G869" s="18" t="n">
        <f aca="false">IFERROR(VALUE(SUBSTITUTE(TRIM('수출입 실적(품목별)'!D873),",","")),"")</f>
        <v>2116</v>
      </c>
      <c r="H869" s="19" t="n">
        <f aca="false">IFERROR(VALUE(SUBSTITUTE(TRIM('수출입 실적(품목별)'!E873),",","")),"")</f>
        <v>35951</v>
      </c>
      <c r="I869" s="18" t="n">
        <f aca="false">IFERROR(VALUE(SUBSTITUTE(TRIM('수출입 실적(품목별)'!F873),",","")),"")</f>
        <v>9761.1</v>
      </c>
      <c r="J869" s="19" t="n">
        <f aca="false">IFERROR(VALUE(SUBSTITUTE(TRIM('수출입 실적(품목별)'!G873),",","")),"")</f>
        <v>91404</v>
      </c>
      <c r="K869" s="19" t="n">
        <f aca="false">IFERROR(VALUE(SUBSTITUTE(TRIM('수출입 실적(품목별)'!H873),",","")),"")</f>
        <v>-55452</v>
      </c>
    </row>
    <row r="870" customFormat="false" ht="15" hidden="false" customHeight="true" outlineLevel="0" collapsed="false">
      <c r="A870" s="11" t="str">
        <f aca="false">TRIM('수출입 실적(품목별)'!A874)</f>
        <v>2024.09</v>
      </c>
      <c r="B870" s="17" t="n">
        <f aca="false">IFERROR(VALUE(LEFT($A870,4)),"")</f>
        <v>2024</v>
      </c>
      <c r="C870" s="17" t="n">
        <f aca="false">IFERROR(VALUE(RIGHT($A870,2)),"")</f>
        <v>9</v>
      </c>
      <c r="D870" s="17" t="n">
        <f aca="false">IFERROR(ROUNDUP($C870/3,0),"")</f>
        <v>3</v>
      </c>
      <c r="E870" s="11" t="str">
        <f aca="false">TRIM('수출입 실적(품목별)'!B874)</f>
        <v>97</v>
      </c>
      <c r="F870" s="11" t="str">
        <f aca="false">TRIM('수출입 실적(품목별)'!C874)</f>
        <v>예술품ㆍ수집품ㆍ골동품</v>
      </c>
      <c r="G870" s="18" t="n">
        <f aca="false">IFERROR(VALUE(SUBSTITUTE(TRIM('수출입 실적(품목별)'!D874),",","")),"")</f>
        <v>25.8</v>
      </c>
      <c r="H870" s="19" t="n">
        <f aca="false">IFERROR(VALUE(SUBSTITUTE(TRIM('수출입 실적(품목별)'!E874),",","")),"")</f>
        <v>47307</v>
      </c>
      <c r="I870" s="18" t="n">
        <f aca="false">IFERROR(VALUE(SUBSTITUTE(TRIM('수출입 실적(품목별)'!F874),",","")),"")</f>
        <v>56.5</v>
      </c>
      <c r="J870" s="19" t="n">
        <f aca="false">IFERROR(VALUE(SUBSTITUTE(TRIM('수출입 실적(품목별)'!G874),",","")),"")</f>
        <v>19906</v>
      </c>
      <c r="K870" s="19" t="n">
        <f aca="false">IFERROR(VALUE(SUBSTITUTE(TRIM('수출입 실적(품목별)'!H874),",","")),"")</f>
        <v>27402</v>
      </c>
    </row>
    <row r="871" customFormat="false" ht="15" hidden="false" customHeight="true" outlineLevel="0" collapsed="false">
      <c r="A871" s="11" t="str">
        <f aca="false">TRIM('수출입 실적(품목별)'!A875)</f>
        <v>2024.10</v>
      </c>
      <c r="B871" s="17" t="n">
        <f aca="false">IFERROR(VALUE(LEFT($A871,4)),"")</f>
        <v>2024</v>
      </c>
      <c r="C871" s="17" t="n">
        <f aca="false">IFERROR(VALUE(RIGHT($A871,2)),"")</f>
        <v>10</v>
      </c>
      <c r="D871" s="17" t="n">
        <f aca="false">IFERROR(ROUNDUP($C871/3,0),"")</f>
        <v>4</v>
      </c>
      <c r="E871" s="11" t="str">
        <f aca="false">TRIM('수출입 실적(품목별)'!B875)</f>
        <v>01</v>
      </c>
      <c r="F871" s="11" t="str">
        <f aca="false">TRIM('수출입 실적(품목별)'!C875)</f>
        <v>살아 있는 동물</v>
      </c>
      <c r="G871" s="18" t="n">
        <f aca="false">IFERROR(VALUE(SUBSTITUTE(TRIM('수출입 실적(품목별)'!D875),",","")),"")</f>
        <v>1.4</v>
      </c>
      <c r="H871" s="19" t="n">
        <f aca="false">IFERROR(VALUE(SUBSTITUTE(TRIM('수출입 실적(품목별)'!E875),",","")),"")</f>
        <v>411</v>
      </c>
      <c r="I871" s="18" t="n">
        <f aca="false">IFERROR(VALUE(SUBSTITUTE(TRIM('수출입 실적(품목별)'!F875),",","")),"")</f>
        <v>100.9</v>
      </c>
      <c r="J871" s="19" t="n">
        <f aca="false">IFERROR(VALUE(SUBSTITUTE(TRIM('수출입 실적(품목별)'!G875),",","")),"")</f>
        <v>4915</v>
      </c>
      <c r="K871" s="19" t="n">
        <f aca="false">IFERROR(VALUE(SUBSTITUTE(TRIM('수출입 실적(품목별)'!H875),",","")),"")</f>
        <v>-4504</v>
      </c>
    </row>
    <row r="872" customFormat="false" ht="15" hidden="false" customHeight="true" outlineLevel="0" collapsed="false">
      <c r="A872" s="11" t="str">
        <f aca="false">TRIM('수출입 실적(품목별)'!A876)</f>
        <v>2024.10</v>
      </c>
      <c r="B872" s="17" t="n">
        <f aca="false">IFERROR(VALUE(LEFT($A872,4)),"")</f>
        <v>2024</v>
      </c>
      <c r="C872" s="17" t="n">
        <f aca="false">IFERROR(VALUE(RIGHT($A872,2)),"")</f>
        <v>10</v>
      </c>
      <c r="D872" s="17" t="n">
        <f aca="false">IFERROR(ROUNDUP($C872/3,0),"")</f>
        <v>4</v>
      </c>
      <c r="E872" s="11" t="str">
        <f aca="false">TRIM('수출입 실적(품목별)'!B876)</f>
        <v>02</v>
      </c>
      <c r="F872" s="11" t="str">
        <f aca="false">TRIM('수출입 실적(품목별)'!C876)</f>
        <v>육과 식용 설육(屑肉)</v>
      </c>
      <c r="G872" s="18" t="n">
        <f aca="false">IFERROR(VALUE(SUBSTITUTE(TRIM('수출입 실적(품목별)'!D876),",","")),"")</f>
        <v>6433.2</v>
      </c>
      <c r="H872" s="19" t="n">
        <f aca="false">IFERROR(VALUE(SUBSTITUTE(TRIM('수출입 실적(품목별)'!E876),",","")),"")</f>
        <v>8867</v>
      </c>
      <c r="I872" s="18" t="n">
        <f aca="false">IFERROR(VALUE(SUBSTITUTE(TRIM('수출입 실적(품목별)'!F876),",","")),"")</f>
        <v>122800.5</v>
      </c>
      <c r="J872" s="19" t="n">
        <f aca="false">IFERROR(VALUE(SUBSTITUTE(TRIM('수출입 실적(품목별)'!G876),",","")),"")</f>
        <v>632370</v>
      </c>
      <c r="K872" s="19" t="n">
        <f aca="false">IFERROR(VALUE(SUBSTITUTE(TRIM('수출입 실적(품목별)'!H876),",","")),"")</f>
        <v>-623503</v>
      </c>
    </row>
    <row r="873" customFormat="false" ht="15" hidden="false" customHeight="true" outlineLevel="0" collapsed="false">
      <c r="A873" s="11" t="str">
        <f aca="false">TRIM('수출입 실적(품목별)'!A877)</f>
        <v>2024.10</v>
      </c>
      <c r="B873" s="17" t="n">
        <f aca="false">IFERROR(VALUE(LEFT($A873,4)),"")</f>
        <v>2024</v>
      </c>
      <c r="C873" s="17" t="n">
        <f aca="false">IFERROR(VALUE(RIGHT($A873,2)),"")</f>
        <v>10</v>
      </c>
      <c r="D873" s="17" t="n">
        <f aca="false">IFERROR(ROUNDUP($C873/3,0),"")</f>
        <v>4</v>
      </c>
      <c r="E873" s="11" t="str">
        <f aca="false">TRIM('수출입 실적(품목별)'!B877)</f>
        <v>03</v>
      </c>
      <c r="F873" s="11" t="str">
        <f aca="false">TRIM('수출입 실적(품목별)'!C877)</f>
        <v>어류ㆍ갑각류ㆍ연체동물과 그 밖의 수생(水生) 무척추동물</v>
      </c>
      <c r="G873" s="18" t="n">
        <f aca="false">IFERROR(VALUE(SUBSTITUTE(TRIM('수출입 실적(품목별)'!D877),",","")),"")</f>
        <v>62905.2</v>
      </c>
      <c r="H873" s="19" t="n">
        <f aca="false">IFERROR(VALUE(SUBSTITUTE(TRIM('수출입 실적(품목별)'!E877),",","")),"")</f>
        <v>172319</v>
      </c>
      <c r="I873" s="18" t="n">
        <f aca="false">IFERROR(VALUE(SUBSTITUTE(TRIM('수출입 실적(품목별)'!F877),",","")),"")</f>
        <v>107325.3</v>
      </c>
      <c r="J873" s="19" t="n">
        <f aca="false">IFERROR(VALUE(SUBSTITUTE(TRIM('수출입 실적(품목별)'!G877),",","")),"")</f>
        <v>419466</v>
      </c>
      <c r="K873" s="19" t="n">
        <f aca="false">IFERROR(VALUE(SUBSTITUTE(TRIM('수출입 실적(품목별)'!H877),",","")),"")</f>
        <v>-247148</v>
      </c>
    </row>
    <row r="874" customFormat="false" ht="15" hidden="false" customHeight="true" outlineLevel="0" collapsed="false">
      <c r="A874" s="11" t="str">
        <f aca="false">TRIM('수출입 실적(품목별)'!A878)</f>
        <v>2024.10</v>
      </c>
      <c r="B874" s="17" t="n">
        <f aca="false">IFERROR(VALUE(LEFT($A874,4)),"")</f>
        <v>2024</v>
      </c>
      <c r="C874" s="17" t="n">
        <f aca="false">IFERROR(VALUE(RIGHT($A874,2)),"")</f>
        <v>10</v>
      </c>
      <c r="D874" s="17" t="n">
        <f aca="false">IFERROR(ROUNDUP($C874/3,0),"")</f>
        <v>4</v>
      </c>
      <c r="E874" s="11" t="str">
        <f aca="false">TRIM('수출입 실적(품목별)'!B878)</f>
        <v>04</v>
      </c>
      <c r="F874" s="11" t="str">
        <f aca="false">TRIM('수출입 실적(품목별)'!C878)</f>
        <v>낙농품, 새의 알, 천연꿀, 다른 류로 분류되지 않은 식용인 동물성 생산품</v>
      </c>
      <c r="G874" s="18" t="n">
        <f aca="false">IFERROR(VALUE(SUBSTITUTE(TRIM('수출입 실적(품목별)'!D878),",","")),"")</f>
        <v>2707.7</v>
      </c>
      <c r="H874" s="19" t="n">
        <f aca="false">IFERROR(VALUE(SUBSTITUTE(TRIM('수출입 실적(품목별)'!E878),",","")),"")</f>
        <v>6630</v>
      </c>
      <c r="I874" s="18" t="n">
        <f aca="false">IFERROR(VALUE(SUBSTITUTE(TRIM('수출입 실적(품목별)'!F878),",","")),"")</f>
        <v>32424.4</v>
      </c>
      <c r="J874" s="19" t="n">
        <f aca="false">IFERROR(VALUE(SUBSTITUTE(TRIM('수출입 실적(품목별)'!G878),",","")),"")</f>
        <v>128279</v>
      </c>
      <c r="K874" s="19" t="n">
        <f aca="false">IFERROR(VALUE(SUBSTITUTE(TRIM('수출입 실적(품목별)'!H878),",","")),"")</f>
        <v>-121649</v>
      </c>
    </row>
    <row r="875" customFormat="false" ht="15" hidden="false" customHeight="true" outlineLevel="0" collapsed="false">
      <c r="A875" s="11" t="str">
        <f aca="false">TRIM('수출입 실적(품목별)'!A879)</f>
        <v>2024.10</v>
      </c>
      <c r="B875" s="17" t="n">
        <f aca="false">IFERROR(VALUE(LEFT($A875,4)),"")</f>
        <v>2024</v>
      </c>
      <c r="C875" s="17" t="n">
        <f aca="false">IFERROR(VALUE(RIGHT($A875,2)),"")</f>
        <v>10</v>
      </c>
      <c r="D875" s="17" t="n">
        <f aca="false">IFERROR(ROUNDUP($C875/3,0),"")</f>
        <v>4</v>
      </c>
      <c r="E875" s="11" t="str">
        <f aca="false">TRIM('수출입 실적(품목별)'!B879)</f>
        <v>05</v>
      </c>
      <c r="F875" s="11" t="str">
        <f aca="false">TRIM('수출입 실적(품목별)'!C879)</f>
        <v>다른 류로 분류되지 않은 동물성 생산품</v>
      </c>
      <c r="G875" s="18" t="n">
        <f aca="false">IFERROR(VALUE(SUBSTITUTE(TRIM('수출입 실적(품목별)'!D879),",","")),"")</f>
        <v>1650.8</v>
      </c>
      <c r="H875" s="19" t="n">
        <f aca="false">IFERROR(VALUE(SUBSTITUTE(TRIM('수출입 실적(품목별)'!E879),",","")),"")</f>
        <v>5244</v>
      </c>
      <c r="I875" s="18" t="n">
        <f aca="false">IFERROR(VALUE(SUBSTITUTE(TRIM('수출입 실적(품목별)'!F879),",","")),"")</f>
        <v>4216.8</v>
      </c>
      <c r="J875" s="19" t="n">
        <f aca="false">IFERROR(VALUE(SUBSTITUTE(TRIM('수출입 실적(품목별)'!G879),",","")),"")</f>
        <v>26491</v>
      </c>
      <c r="K875" s="19" t="n">
        <f aca="false">IFERROR(VALUE(SUBSTITUTE(TRIM('수출입 실적(품목별)'!H879),",","")),"")</f>
        <v>-21247</v>
      </c>
    </row>
    <row r="876" customFormat="false" ht="15" hidden="false" customHeight="true" outlineLevel="0" collapsed="false">
      <c r="A876" s="11" t="str">
        <f aca="false">TRIM('수출입 실적(품목별)'!A880)</f>
        <v>2024.10</v>
      </c>
      <c r="B876" s="17" t="n">
        <f aca="false">IFERROR(VALUE(LEFT($A876,4)),"")</f>
        <v>2024</v>
      </c>
      <c r="C876" s="17" t="n">
        <f aca="false">IFERROR(VALUE(RIGHT($A876,2)),"")</f>
        <v>10</v>
      </c>
      <c r="D876" s="17" t="n">
        <f aca="false">IFERROR(ROUNDUP($C876/3,0),"")</f>
        <v>4</v>
      </c>
      <c r="E876" s="11" t="str">
        <f aca="false">TRIM('수출입 실적(품목별)'!B880)</f>
        <v>06</v>
      </c>
      <c r="F876" s="11" t="str">
        <f aca="false">TRIM('수출입 실적(품목별)'!C880)</f>
        <v>살아 있는 수목과 그 밖의 식물, 인경(鱗莖)ㆍ뿌리와 이와 유사한 물품, 절화(切花)와 장식용 잎</v>
      </c>
      <c r="G876" s="18" t="n">
        <f aca="false">IFERROR(VALUE(SUBSTITUTE(TRIM('수출입 실적(품목별)'!D880),",","")),"")</f>
        <v>86.9</v>
      </c>
      <c r="H876" s="19" t="n">
        <f aca="false">IFERROR(VALUE(SUBSTITUTE(TRIM('수출입 실적(품목별)'!E880),",","")),"")</f>
        <v>737</v>
      </c>
      <c r="I876" s="18" t="n">
        <f aca="false">IFERROR(VALUE(SUBSTITUTE(TRIM('수출입 실적(품목별)'!F880),",","")),"")</f>
        <v>8310.6</v>
      </c>
      <c r="J876" s="19" t="n">
        <f aca="false">IFERROR(VALUE(SUBSTITUTE(TRIM('수출입 실적(품목별)'!G880),",","")),"")</f>
        <v>16615</v>
      </c>
      <c r="K876" s="19" t="n">
        <f aca="false">IFERROR(VALUE(SUBSTITUTE(TRIM('수출입 실적(품목별)'!H880),",","")),"")</f>
        <v>-15878</v>
      </c>
    </row>
    <row r="877" customFormat="false" ht="15" hidden="false" customHeight="true" outlineLevel="0" collapsed="false">
      <c r="A877" s="11" t="str">
        <f aca="false">TRIM('수출입 실적(품목별)'!A881)</f>
        <v>2024.10</v>
      </c>
      <c r="B877" s="17" t="n">
        <f aca="false">IFERROR(VALUE(LEFT($A877,4)),"")</f>
        <v>2024</v>
      </c>
      <c r="C877" s="17" t="n">
        <f aca="false">IFERROR(VALUE(RIGHT($A877,2)),"")</f>
        <v>10</v>
      </c>
      <c r="D877" s="17" t="n">
        <f aca="false">IFERROR(ROUNDUP($C877/3,0),"")</f>
        <v>4</v>
      </c>
      <c r="E877" s="11" t="str">
        <f aca="false">TRIM('수출입 실적(품목별)'!B881)</f>
        <v>07</v>
      </c>
      <c r="F877" s="11" t="str">
        <f aca="false">TRIM('수출입 실적(품목별)'!C881)</f>
        <v>식용의 채소ㆍ뿌리ㆍ괴경(塊莖)</v>
      </c>
      <c r="G877" s="18" t="n">
        <f aca="false">IFERROR(VALUE(SUBSTITUTE(TRIM('수출입 실적(품목별)'!D881),",","")),"")</f>
        <v>3000.7</v>
      </c>
      <c r="H877" s="19" t="n">
        <f aca="false">IFERROR(VALUE(SUBSTITUTE(TRIM('수출입 실적(품목별)'!E881),",","")),"")</f>
        <v>9179</v>
      </c>
      <c r="I877" s="18" t="n">
        <f aca="false">IFERROR(VALUE(SUBSTITUTE(TRIM('수출입 실적(품목별)'!F881),",","")),"")</f>
        <v>82879.9</v>
      </c>
      <c r="J877" s="19" t="n">
        <f aca="false">IFERROR(VALUE(SUBSTITUTE(TRIM('수출입 실적(품목별)'!G881),",","")),"")</f>
        <v>72006</v>
      </c>
      <c r="K877" s="19" t="n">
        <f aca="false">IFERROR(VALUE(SUBSTITUTE(TRIM('수출입 실적(품목별)'!H881),",","")),"")</f>
        <v>-62827</v>
      </c>
    </row>
    <row r="878" customFormat="false" ht="15" hidden="false" customHeight="true" outlineLevel="0" collapsed="false">
      <c r="A878" s="11" t="str">
        <f aca="false">TRIM('수출입 실적(품목별)'!A882)</f>
        <v>2024.10</v>
      </c>
      <c r="B878" s="17" t="n">
        <f aca="false">IFERROR(VALUE(LEFT($A878,4)),"")</f>
        <v>2024</v>
      </c>
      <c r="C878" s="17" t="n">
        <f aca="false">IFERROR(VALUE(RIGHT($A878,2)),"")</f>
        <v>10</v>
      </c>
      <c r="D878" s="17" t="n">
        <f aca="false">IFERROR(ROUNDUP($C878/3,0),"")</f>
        <v>4</v>
      </c>
      <c r="E878" s="11" t="str">
        <f aca="false">TRIM('수출입 실적(품목별)'!B882)</f>
        <v>08</v>
      </c>
      <c r="F878" s="11" t="str">
        <f aca="false">TRIM('수출입 실적(품목별)'!C882)</f>
        <v>식용의 과실과 견과류, 감귤류ㆍ멜론의 껍질</v>
      </c>
      <c r="G878" s="18" t="n">
        <f aca="false">IFERROR(VALUE(SUBSTITUTE(TRIM('수출입 실적(품목별)'!D882),",","")),"")</f>
        <v>8196.6</v>
      </c>
      <c r="H878" s="19" t="n">
        <f aca="false">IFERROR(VALUE(SUBSTITUTE(TRIM('수출입 실적(품목별)'!E882),",","")),"")</f>
        <v>32322</v>
      </c>
      <c r="I878" s="18" t="n">
        <f aca="false">IFERROR(VALUE(SUBSTITUTE(TRIM('수출입 실적(품목별)'!F882),",","")),"")</f>
        <v>67116.4</v>
      </c>
      <c r="J878" s="19" t="n">
        <f aca="false">IFERROR(VALUE(SUBSTITUTE(TRIM('수출입 실적(품목별)'!G882),",","")),"")</f>
        <v>141478</v>
      </c>
      <c r="K878" s="19" t="n">
        <f aca="false">IFERROR(VALUE(SUBSTITUTE(TRIM('수출입 실적(품목별)'!H882),",","")),"")</f>
        <v>-109157</v>
      </c>
    </row>
    <row r="879" customFormat="false" ht="15" hidden="false" customHeight="true" outlineLevel="0" collapsed="false">
      <c r="A879" s="11" t="str">
        <f aca="false">TRIM('수출입 실적(품목별)'!A883)</f>
        <v>2024.10</v>
      </c>
      <c r="B879" s="17" t="n">
        <f aca="false">IFERROR(VALUE(LEFT($A879,4)),"")</f>
        <v>2024</v>
      </c>
      <c r="C879" s="17" t="n">
        <f aca="false">IFERROR(VALUE(RIGHT($A879,2)),"")</f>
        <v>10</v>
      </c>
      <c r="D879" s="17" t="n">
        <f aca="false">IFERROR(ROUNDUP($C879/3,0),"")</f>
        <v>4</v>
      </c>
      <c r="E879" s="11" t="str">
        <f aca="false">TRIM('수출입 실적(품목별)'!B883)</f>
        <v>09</v>
      </c>
      <c r="F879" s="11" t="str">
        <f aca="false">TRIM('수출입 실적(품목별)'!C883)</f>
        <v>커피ㆍ차ㆍ마테(maté)ㆍ향신료</v>
      </c>
      <c r="G879" s="18" t="n">
        <f aca="false">IFERROR(VALUE(SUBSTITUTE(TRIM('수출입 실적(품목별)'!D883),",","")),"")</f>
        <v>482.3</v>
      </c>
      <c r="H879" s="19" t="n">
        <f aca="false">IFERROR(VALUE(SUBSTITUTE(TRIM('수출입 실적(품목별)'!E883),",","")),"")</f>
        <v>4096</v>
      </c>
      <c r="I879" s="18" t="n">
        <f aca="false">IFERROR(VALUE(SUBSTITUTE(TRIM('수출입 실적(품목별)'!F883),",","")),"")</f>
        <v>21958.7</v>
      </c>
      <c r="J879" s="19" t="n">
        <f aca="false">IFERROR(VALUE(SUBSTITUTE(TRIM('수출입 실적(품목별)'!G883),",","")),"")</f>
        <v>147683</v>
      </c>
      <c r="K879" s="19" t="n">
        <f aca="false">IFERROR(VALUE(SUBSTITUTE(TRIM('수출입 실적(품목별)'!H883),",","")),"")</f>
        <v>-143587</v>
      </c>
    </row>
    <row r="880" customFormat="false" ht="15" hidden="false" customHeight="true" outlineLevel="0" collapsed="false">
      <c r="A880" s="11" t="str">
        <f aca="false">TRIM('수출입 실적(품목별)'!A884)</f>
        <v>2024.10</v>
      </c>
      <c r="B880" s="17" t="n">
        <f aca="false">IFERROR(VALUE(LEFT($A880,4)),"")</f>
        <v>2024</v>
      </c>
      <c r="C880" s="17" t="n">
        <f aca="false">IFERROR(VALUE(RIGHT($A880,2)),"")</f>
        <v>10</v>
      </c>
      <c r="D880" s="17" t="n">
        <f aca="false">IFERROR(ROUNDUP($C880/3,0),"")</f>
        <v>4</v>
      </c>
      <c r="E880" s="11" t="str">
        <f aca="false">TRIM('수출입 실적(품목별)'!B884)</f>
        <v>10</v>
      </c>
      <c r="F880" s="11" t="str">
        <f aca="false">TRIM('수출입 실적(품목별)'!C884)</f>
        <v>곡물</v>
      </c>
      <c r="G880" s="18" t="n">
        <f aca="false">IFERROR(VALUE(SUBSTITUTE(TRIM('수출입 실적(품목별)'!D884),",","")),"")</f>
        <v>939.2</v>
      </c>
      <c r="H880" s="19" t="n">
        <f aca="false">IFERROR(VALUE(SUBSTITUTE(TRIM('수출입 실적(품목별)'!E884),",","")),"")</f>
        <v>1222</v>
      </c>
      <c r="I880" s="18" t="n">
        <f aca="false">IFERROR(VALUE(SUBSTITUTE(TRIM('수출입 실적(품목별)'!F884),",","")),"")</f>
        <v>1468609.1</v>
      </c>
      <c r="J880" s="19" t="n">
        <f aca="false">IFERROR(VALUE(SUBSTITUTE(TRIM('수출입 실적(품목별)'!G884),",","")),"")</f>
        <v>428773</v>
      </c>
      <c r="K880" s="19" t="n">
        <f aca="false">IFERROR(VALUE(SUBSTITUTE(TRIM('수출입 실적(품목별)'!H884),",","")),"")</f>
        <v>-427552</v>
      </c>
    </row>
    <row r="881" customFormat="false" ht="15" hidden="false" customHeight="true" outlineLevel="0" collapsed="false">
      <c r="A881" s="11" t="str">
        <f aca="false">TRIM('수출입 실적(품목별)'!A885)</f>
        <v>2024.10</v>
      </c>
      <c r="B881" s="17" t="n">
        <f aca="false">IFERROR(VALUE(LEFT($A881,4)),"")</f>
        <v>2024</v>
      </c>
      <c r="C881" s="17" t="n">
        <f aca="false">IFERROR(VALUE(RIGHT($A881,2)),"")</f>
        <v>10</v>
      </c>
      <c r="D881" s="17" t="n">
        <f aca="false">IFERROR(ROUNDUP($C881/3,0),"")</f>
        <v>4</v>
      </c>
      <c r="E881" s="11" t="str">
        <f aca="false">TRIM('수출입 실적(품목별)'!B885)</f>
        <v>11</v>
      </c>
      <c r="F881" s="11" t="str">
        <f aca="false">TRIM('수출입 실적(품목별)'!C885)</f>
        <v>제분공업의 생산품과 맥아, 전분, 이눌린(inulin), 밀의 글루텐(gluten)</v>
      </c>
      <c r="G881" s="18" t="n">
        <f aca="false">IFERROR(VALUE(SUBSTITUTE(TRIM('수출입 실적(품목별)'!D885),",","")),"")</f>
        <v>4775.1</v>
      </c>
      <c r="H881" s="19" t="n">
        <f aca="false">IFERROR(VALUE(SUBSTITUTE(TRIM('수출입 실적(품목별)'!E885),",","")),"")</f>
        <v>3562</v>
      </c>
      <c r="I881" s="18" t="n">
        <f aca="false">IFERROR(VALUE(SUBSTITUTE(TRIM('수출입 실적(품목별)'!F885),",","")),"")</f>
        <v>26082.3</v>
      </c>
      <c r="J881" s="19" t="n">
        <f aca="false">IFERROR(VALUE(SUBSTITUTE(TRIM('수출입 실적(품목별)'!G885),",","")),"")</f>
        <v>24413</v>
      </c>
      <c r="K881" s="19" t="n">
        <f aca="false">IFERROR(VALUE(SUBSTITUTE(TRIM('수출입 실적(품목별)'!H885),",","")),"")</f>
        <v>-20851</v>
      </c>
    </row>
    <row r="882" customFormat="false" ht="15" hidden="false" customHeight="true" outlineLevel="0" collapsed="false">
      <c r="A882" s="11" t="str">
        <f aca="false">TRIM('수출입 실적(품목별)'!A886)</f>
        <v>2024.10</v>
      </c>
      <c r="B882" s="17" t="n">
        <f aca="false">IFERROR(VALUE(LEFT($A882,4)),"")</f>
        <v>2024</v>
      </c>
      <c r="C882" s="17" t="n">
        <f aca="false">IFERROR(VALUE(RIGHT($A882,2)),"")</f>
        <v>10</v>
      </c>
      <c r="D882" s="17" t="n">
        <f aca="false">IFERROR(ROUNDUP($C882/3,0),"")</f>
        <v>4</v>
      </c>
      <c r="E882" s="11" t="str">
        <f aca="false">TRIM('수출입 실적(품목별)'!B886)</f>
        <v>12</v>
      </c>
      <c r="F882" s="11" t="str">
        <f aca="false">TRIM('수출입 실적(품목별)'!C886)</f>
        <v>채유(採油)에 적합한 종자와 과실, 각종 종자와 과실, 공업용ㆍ의약용 식물, 짚과 사료용 식물</v>
      </c>
      <c r="G882" s="18" t="n">
        <f aca="false">IFERROR(VALUE(SUBSTITUTE(TRIM('수출입 실적(품목별)'!D886),",","")),"")</f>
        <v>1514.5</v>
      </c>
      <c r="H882" s="19" t="n">
        <f aca="false">IFERROR(VALUE(SUBSTITUTE(TRIM('수출입 실적(품목별)'!E886),",","")),"")</f>
        <v>42772</v>
      </c>
      <c r="I882" s="18" t="n">
        <f aca="false">IFERROR(VALUE(SUBSTITUTE(TRIM('수출입 실적(품목별)'!F886),",","")),"")</f>
        <v>264907.3</v>
      </c>
      <c r="J882" s="19" t="n">
        <f aca="false">IFERROR(VALUE(SUBSTITUTE(TRIM('수출입 실적(품목별)'!G886),",","")),"")</f>
        <v>157022</v>
      </c>
      <c r="K882" s="19" t="n">
        <f aca="false">IFERROR(VALUE(SUBSTITUTE(TRIM('수출입 실적(품목별)'!H886),",","")),"")</f>
        <v>-114250</v>
      </c>
    </row>
    <row r="883" customFormat="false" ht="15" hidden="false" customHeight="true" outlineLevel="0" collapsed="false">
      <c r="A883" s="11" t="str">
        <f aca="false">TRIM('수출입 실적(품목별)'!A887)</f>
        <v>2024.10</v>
      </c>
      <c r="B883" s="17" t="n">
        <f aca="false">IFERROR(VALUE(LEFT($A883,4)),"")</f>
        <v>2024</v>
      </c>
      <c r="C883" s="17" t="n">
        <f aca="false">IFERROR(VALUE(RIGHT($A883,2)),"")</f>
        <v>10</v>
      </c>
      <c r="D883" s="17" t="n">
        <f aca="false">IFERROR(ROUNDUP($C883/3,0),"")</f>
        <v>4</v>
      </c>
      <c r="E883" s="11" t="str">
        <f aca="false">TRIM('수출입 실적(품목별)'!B887)</f>
        <v>13</v>
      </c>
      <c r="F883" s="11" t="str">
        <f aca="false">TRIM('수출입 실적(품목별)'!C887)</f>
        <v>락(lac), 검ㆍ수지ㆍ그 밖의 식물성 수액과 추출물(extract)</v>
      </c>
      <c r="G883" s="18" t="n">
        <f aca="false">IFERROR(VALUE(SUBSTITUTE(TRIM('수출입 실적(품목별)'!D887),",","")),"")</f>
        <v>364.1</v>
      </c>
      <c r="H883" s="19" t="n">
        <f aca="false">IFERROR(VALUE(SUBSTITUTE(TRIM('수출입 실적(품목별)'!E887),",","")),"")</f>
        <v>9146</v>
      </c>
      <c r="I883" s="18" t="n">
        <f aca="false">IFERROR(VALUE(SUBSTITUTE(TRIM('수출입 실적(품목별)'!F887),",","")),"")</f>
        <v>8164.3</v>
      </c>
      <c r="J883" s="19" t="n">
        <f aca="false">IFERROR(VALUE(SUBSTITUTE(TRIM('수출입 실적(품목별)'!G887),",","")),"")</f>
        <v>25989</v>
      </c>
      <c r="K883" s="19" t="n">
        <f aca="false">IFERROR(VALUE(SUBSTITUTE(TRIM('수출입 실적(품목별)'!H887),",","")),"")</f>
        <v>-16842</v>
      </c>
    </row>
    <row r="884" customFormat="false" ht="15" hidden="false" customHeight="true" outlineLevel="0" collapsed="false">
      <c r="A884" s="11" t="str">
        <f aca="false">TRIM('수출입 실적(품목별)'!A888)</f>
        <v>2024.10</v>
      </c>
      <c r="B884" s="17" t="n">
        <f aca="false">IFERROR(VALUE(LEFT($A884,4)),"")</f>
        <v>2024</v>
      </c>
      <c r="C884" s="17" t="n">
        <f aca="false">IFERROR(VALUE(RIGHT($A884,2)),"")</f>
        <v>10</v>
      </c>
      <c r="D884" s="17" t="n">
        <f aca="false">IFERROR(ROUNDUP($C884/3,0),"")</f>
        <v>4</v>
      </c>
      <c r="E884" s="11" t="str">
        <f aca="false">TRIM('수출입 실적(품목별)'!B888)</f>
        <v>14</v>
      </c>
      <c r="F884" s="11" t="str">
        <f aca="false">TRIM('수출입 실적(품목별)'!C888)</f>
        <v>식물성 편조물(編組物)용 재료와 다른 류로 분류되지 않은 식물성 생산품</v>
      </c>
      <c r="G884" s="18" t="n">
        <f aca="false">IFERROR(VALUE(SUBSTITUTE(TRIM('수출입 실적(품목별)'!D888),",","")),"")</f>
        <v>25.6</v>
      </c>
      <c r="H884" s="19" t="n">
        <f aca="false">IFERROR(VALUE(SUBSTITUTE(TRIM('수출입 실적(품목별)'!E888),",","")),"")</f>
        <v>18</v>
      </c>
      <c r="I884" s="18" t="n">
        <f aca="false">IFERROR(VALUE(SUBSTITUTE(TRIM('수출입 실적(품목별)'!F888),",","")),"")</f>
        <v>12996</v>
      </c>
      <c r="J884" s="19" t="n">
        <f aca="false">IFERROR(VALUE(SUBSTITUTE(TRIM('수출입 실적(품목별)'!G888),",","")),"")</f>
        <v>3889</v>
      </c>
      <c r="K884" s="19" t="n">
        <f aca="false">IFERROR(VALUE(SUBSTITUTE(TRIM('수출입 실적(품목별)'!H888),",","")),"")</f>
        <v>-3872</v>
      </c>
    </row>
    <row r="885" customFormat="false" ht="15" hidden="false" customHeight="true" outlineLevel="0" collapsed="false">
      <c r="A885" s="11" t="str">
        <f aca="false">TRIM('수출입 실적(품목별)'!A889)</f>
        <v>2024.10</v>
      </c>
      <c r="B885" s="17" t="n">
        <f aca="false">IFERROR(VALUE(LEFT($A885,4)),"")</f>
        <v>2024</v>
      </c>
      <c r="C885" s="17" t="n">
        <f aca="false">IFERROR(VALUE(RIGHT($A885,2)),"")</f>
        <v>10</v>
      </c>
      <c r="D885" s="17" t="n">
        <f aca="false">IFERROR(ROUNDUP($C885/3,0),"")</f>
        <v>4</v>
      </c>
      <c r="E885" s="11" t="str">
        <f aca="false">TRIM('수출입 실적(품목별)'!B889)</f>
        <v>15</v>
      </c>
      <c r="F885" s="11" t="str">
        <f aca="false">TRIM('수출입 실적(품목별)'!C889)</f>
        <v>동물성ㆍ식물성ㆍ미생물성 지방과 기름 및이들의 분해생산물, 조제한 식용 지방과 동물성ㆍ식물성 왁스</v>
      </c>
      <c r="G885" s="18" t="n">
        <f aca="false">IFERROR(VALUE(SUBSTITUTE(TRIM('수출입 실적(품목별)'!D889),",","")),"")</f>
        <v>15167.6</v>
      </c>
      <c r="H885" s="19" t="n">
        <f aca="false">IFERROR(VALUE(SUBSTITUTE(TRIM('수출입 실적(품목별)'!E889),",","")),"")</f>
        <v>16046</v>
      </c>
      <c r="I885" s="18" t="n">
        <f aca="false">IFERROR(VALUE(SUBSTITUTE(TRIM('수출입 실적(품목별)'!F889),",","")),"")</f>
        <v>135227.4</v>
      </c>
      <c r="J885" s="19" t="n">
        <f aca="false">IFERROR(VALUE(SUBSTITUTE(TRIM('수출입 실적(품목별)'!G889),",","")),"")</f>
        <v>183689</v>
      </c>
      <c r="K885" s="19" t="n">
        <f aca="false">IFERROR(VALUE(SUBSTITUTE(TRIM('수출입 실적(품목별)'!H889),",","")),"")</f>
        <v>-167642</v>
      </c>
    </row>
    <row r="886" customFormat="false" ht="15" hidden="false" customHeight="true" outlineLevel="0" collapsed="false">
      <c r="A886" s="11" t="str">
        <f aca="false">TRIM('수출입 실적(품목별)'!A890)</f>
        <v>2024.10</v>
      </c>
      <c r="B886" s="17" t="n">
        <f aca="false">IFERROR(VALUE(LEFT($A886,4)),"")</f>
        <v>2024</v>
      </c>
      <c r="C886" s="17" t="n">
        <f aca="false">IFERROR(VALUE(RIGHT($A886,2)),"")</f>
        <v>10</v>
      </c>
      <c r="D886" s="17" t="n">
        <f aca="false">IFERROR(ROUNDUP($C886/3,0),"")</f>
        <v>4</v>
      </c>
      <c r="E886" s="11" t="str">
        <f aca="false">TRIM('수출입 실적(품목별)'!B890)</f>
        <v>16</v>
      </c>
      <c r="F886" s="11" t="str">
        <f aca="false">TRIM('수출입 실적(품목별)'!C890)</f>
        <v>육류ㆍ어류ㆍ갑각류ㆍ연체동물이나 그 밖의 수생(水生) 무척추동물 또는 곤충의 조제품</v>
      </c>
      <c r="G886" s="18" t="n">
        <f aca="false">IFERROR(VALUE(SUBSTITUTE(TRIM('수출입 실적(품목별)'!D890),",","")),"")</f>
        <v>4629.8</v>
      </c>
      <c r="H886" s="19" t="n">
        <f aca="false">IFERROR(VALUE(SUBSTITUTE(TRIM('수출입 실적(품목별)'!E890),",","")),"")</f>
        <v>26069</v>
      </c>
      <c r="I886" s="18" t="n">
        <f aca="false">IFERROR(VALUE(SUBSTITUTE(TRIM('수출입 실적(품목별)'!F890),",","")),"")</f>
        <v>18394.2</v>
      </c>
      <c r="J886" s="19" t="n">
        <f aca="false">IFERROR(VALUE(SUBSTITUTE(TRIM('수출입 실적(품목별)'!G890),",","")),"")</f>
        <v>102282</v>
      </c>
      <c r="K886" s="19" t="n">
        <f aca="false">IFERROR(VALUE(SUBSTITUTE(TRIM('수출입 실적(품목별)'!H890),",","")),"")</f>
        <v>-76213</v>
      </c>
    </row>
    <row r="887" customFormat="false" ht="15" hidden="false" customHeight="true" outlineLevel="0" collapsed="false">
      <c r="A887" s="11" t="str">
        <f aca="false">TRIM('수출입 실적(품목별)'!A891)</f>
        <v>2024.10</v>
      </c>
      <c r="B887" s="17" t="n">
        <f aca="false">IFERROR(VALUE(LEFT($A887,4)),"")</f>
        <v>2024</v>
      </c>
      <c r="C887" s="17" t="n">
        <f aca="false">IFERROR(VALUE(RIGHT($A887,2)),"")</f>
        <v>10</v>
      </c>
      <c r="D887" s="17" t="n">
        <f aca="false">IFERROR(ROUNDUP($C887/3,0),"")</f>
        <v>4</v>
      </c>
      <c r="E887" s="11" t="str">
        <f aca="false">TRIM('수출입 실적(품목별)'!B891)</f>
        <v>17</v>
      </c>
      <c r="F887" s="11" t="str">
        <f aca="false">TRIM('수출입 실적(품목별)'!C891)</f>
        <v>당류(糖類)와 설탕과자</v>
      </c>
      <c r="G887" s="18" t="n">
        <f aca="false">IFERROR(VALUE(SUBSTITUTE(TRIM('수출입 실적(품목별)'!D891),",","")),"")</f>
        <v>37599.2</v>
      </c>
      <c r="H887" s="19" t="n">
        <f aca="false">IFERROR(VALUE(SUBSTITUTE(TRIM('수출입 실적(품목별)'!E891),",","")),"")</f>
        <v>34901</v>
      </c>
      <c r="I887" s="18" t="n">
        <f aca="false">IFERROR(VALUE(SUBSTITUTE(TRIM('수출입 실적(품목별)'!F891),",","")),"")</f>
        <v>199361</v>
      </c>
      <c r="J887" s="19" t="n">
        <f aca="false">IFERROR(VALUE(SUBSTITUTE(TRIM('수출입 실적(품목별)'!G891),",","")),"")</f>
        <v>123066</v>
      </c>
      <c r="K887" s="19" t="n">
        <f aca="false">IFERROR(VALUE(SUBSTITUTE(TRIM('수출입 실적(품목별)'!H891),",","")),"")</f>
        <v>-88165</v>
      </c>
    </row>
    <row r="888" customFormat="false" ht="15" hidden="false" customHeight="true" outlineLevel="0" collapsed="false">
      <c r="A888" s="11" t="str">
        <f aca="false">TRIM('수출입 실적(품목별)'!A892)</f>
        <v>2024.10</v>
      </c>
      <c r="B888" s="17" t="n">
        <f aca="false">IFERROR(VALUE(LEFT($A888,4)),"")</f>
        <v>2024</v>
      </c>
      <c r="C888" s="17" t="n">
        <f aca="false">IFERROR(VALUE(RIGHT($A888,2)),"")</f>
        <v>10</v>
      </c>
      <c r="D888" s="17" t="n">
        <f aca="false">IFERROR(ROUNDUP($C888/3,0),"")</f>
        <v>4</v>
      </c>
      <c r="E888" s="11" t="str">
        <f aca="false">TRIM('수출입 실적(품목별)'!B892)</f>
        <v>18</v>
      </c>
      <c r="F888" s="11" t="str">
        <f aca="false">TRIM('수출입 실적(품목별)'!C892)</f>
        <v>코코아와 그 조제품</v>
      </c>
      <c r="G888" s="18" t="n">
        <f aca="false">IFERROR(VALUE(SUBSTITUTE(TRIM('수출입 실적(품목별)'!D892),",","")),"")</f>
        <v>2996.7</v>
      </c>
      <c r="H888" s="19" t="n">
        <f aca="false">IFERROR(VALUE(SUBSTITUTE(TRIM('수출입 실적(품목별)'!E892),",","")),"")</f>
        <v>8916</v>
      </c>
      <c r="I888" s="18" t="n">
        <f aca="false">IFERROR(VALUE(SUBSTITUTE(TRIM('수출입 실적(품목별)'!F892),",","")),"")</f>
        <v>7114.1</v>
      </c>
      <c r="J888" s="19" t="n">
        <f aca="false">IFERROR(VALUE(SUBSTITUTE(TRIM('수출입 실적(품목별)'!G892),",","")),"")</f>
        <v>62005</v>
      </c>
      <c r="K888" s="19" t="n">
        <f aca="false">IFERROR(VALUE(SUBSTITUTE(TRIM('수출입 실적(품목별)'!H892),",","")),"")</f>
        <v>-53089</v>
      </c>
    </row>
    <row r="889" customFormat="false" ht="15" hidden="false" customHeight="true" outlineLevel="0" collapsed="false">
      <c r="A889" s="11" t="str">
        <f aca="false">TRIM('수출입 실적(품목별)'!A893)</f>
        <v>2024.10</v>
      </c>
      <c r="B889" s="17" t="n">
        <f aca="false">IFERROR(VALUE(LEFT($A889,4)),"")</f>
        <v>2024</v>
      </c>
      <c r="C889" s="17" t="n">
        <f aca="false">IFERROR(VALUE(RIGHT($A889,2)),"")</f>
        <v>10</v>
      </c>
      <c r="D889" s="17" t="n">
        <f aca="false">IFERROR(ROUNDUP($C889/3,0),"")</f>
        <v>4</v>
      </c>
      <c r="E889" s="11" t="str">
        <f aca="false">TRIM('수출입 실적(품목별)'!B893)</f>
        <v>19</v>
      </c>
      <c r="F889" s="11" t="str">
        <f aca="false">TRIM('수출입 실적(품목별)'!C893)</f>
        <v>곡물ㆍ고운 가루ㆍ전분ㆍ밀크의 조제품과 베이커리 제품</v>
      </c>
      <c r="G889" s="18" t="n">
        <f aca="false">IFERROR(VALUE(SUBSTITUTE(TRIM('수출입 실적(품목별)'!D893),",","")),"")</f>
        <v>54651.9</v>
      </c>
      <c r="H889" s="19" t="n">
        <f aca="false">IFERROR(VALUE(SUBSTITUTE(TRIM('수출입 실적(품목별)'!E893),",","")),"")</f>
        <v>225058</v>
      </c>
      <c r="I889" s="18" t="n">
        <f aca="false">IFERROR(VALUE(SUBSTITUTE(TRIM('수출입 실적(품목별)'!F893),",","")),"")</f>
        <v>30209.5</v>
      </c>
      <c r="J889" s="19" t="n">
        <f aca="false">IFERROR(VALUE(SUBSTITUTE(TRIM('수출입 실적(품목별)'!G893),",","")),"")</f>
        <v>99926</v>
      </c>
      <c r="K889" s="19" t="n">
        <f aca="false">IFERROR(VALUE(SUBSTITUTE(TRIM('수출입 실적(품목별)'!H893),",","")),"")</f>
        <v>125132</v>
      </c>
    </row>
    <row r="890" customFormat="false" ht="15" hidden="false" customHeight="true" outlineLevel="0" collapsed="false">
      <c r="A890" s="11" t="str">
        <f aca="false">TRIM('수출입 실적(품목별)'!A894)</f>
        <v>2024.10</v>
      </c>
      <c r="B890" s="17" t="n">
        <f aca="false">IFERROR(VALUE(LEFT($A890,4)),"")</f>
        <v>2024</v>
      </c>
      <c r="C890" s="17" t="n">
        <f aca="false">IFERROR(VALUE(RIGHT($A890,2)),"")</f>
        <v>10</v>
      </c>
      <c r="D890" s="17" t="n">
        <f aca="false">IFERROR(ROUNDUP($C890/3,0),"")</f>
        <v>4</v>
      </c>
      <c r="E890" s="11" t="str">
        <f aca="false">TRIM('수출입 실적(품목별)'!B894)</f>
        <v>20</v>
      </c>
      <c r="F890" s="11" t="str">
        <f aca="false">TRIM('수출입 실적(품목별)'!C894)</f>
        <v>채소ㆍ과실ㆍ견과류나 식물의그 밖의 부분의 조제품</v>
      </c>
      <c r="G890" s="18" t="n">
        <f aca="false">IFERROR(VALUE(SUBSTITUTE(TRIM('수출입 실적(품목별)'!D894),",","")),"")</f>
        <v>10511.8</v>
      </c>
      <c r="H890" s="19" t="n">
        <f aca="false">IFERROR(VALUE(SUBSTITUTE(TRIM('수출입 실적(품목별)'!E894),",","")),"")</f>
        <v>85996</v>
      </c>
      <c r="I890" s="18" t="n">
        <f aca="false">IFERROR(VALUE(SUBSTITUTE(TRIM('수출입 실적(품목별)'!F894),",","")),"")</f>
        <v>98922.3</v>
      </c>
      <c r="J890" s="19" t="n">
        <f aca="false">IFERROR(VALUE(SUBSTITUTE(TRIM('수출입 실적(품목별)'!G894),",","")),"")</f>
        <v>152305</v>
      </c>
      <c r="K890" s="19" t="n">
        <f aca="false">IFERROR(VALUE(SUBSTITUTE(TRIM('수출입 실적(품목별)'!H894),",","")),"")</f>
        <v>-66309</v>
      </c>
    </row>
    <row r="891" customFormat="false" ht="15" hidden="false" customHeight="true" outlineLevel="0" collapsed="false">
      <c r="A891" s="11" t="str">
        <f aca="false">TRIM('수출입 실적(품목별)'!A895)</f>
        <v>2024.10</v>
      </c>
      <c r="B891" s="17" t="n">
        <f aca="false">IFERROR(VALUE(LEFT($A891,4)),"")</f>
        <v>2024</v>
      </c>
      <c r="C891" s="17" t="n">
        <f aca="false">IFERROR(VALUE(RIGHT($A891,2)),"")</f>
        <v>10</v>
      </c>
      <c r="D891" s="17" t="n">
        <f aca="false">IFERROR(ROUNDUP($C891/3,0),"")</f>
        <v>4</v>
      </c>
      <c r="E891" s="11" t="str">
        <f aca="false">TRIM('수출입 실적(품목별)'!B895)</f>
        <v>21</v>
      </c>
      <c r="F891" s="11" t="str">
        <f aca="false">TRIM('수출입 실적(품목별)'!C895)</f>
        <v>각종 조제 식료품</v>
      </c>
      <c r="G891" s="18" t="n">
        <f aca="false">IFERROR(VALUE(SUBSTITUTE(TRIM('수출입 실적(품목별)'!D895),",","")),"")</f>
        <v>34281.1</v>
      </c>
      <c r="H891" s="19" t="n">
        <f aca="false">IFERROR(VALUE(SUBSTITUTE(TRIM('수출입 실적(품목별)'!E895),",","")),"")</f>
        <v>152397</v>
      </c>
      <c r="I891" s="18" t="n">
        <f aca="false">IFERROR(VALUE(SUBSTITUTE(TRIM('수출입 실적(품목별)'!F895),",","")),"")</f>
        <v>32370.4</v>
      </c>
      <c r="J891" s="19" t="n">
        <f aca="false">IFERROR(VALUE(SUBSTITUTE(TRIM('수출입 실적(품목별)'!G895),",","")),"")</f>
        <v>248993</v>
      </c>
      <c r="K891" s="19" t="n">
        <f aca="false">IFERROR(VALUE(SUBSTITUTE(TRIM('수출입 실적(품목별)'!H895),",","")),"")</f>
        <v>-96596</v>
      </c>
    </row>
    <row r="892" customFormat="false" ht="15" hidden="false" customHeight="true" outlineLevel="0" collapsed="false">
      <c r="A892" s="11" t="str">
        <f aca="false">TRIM('수출입 실적(품목별)'!A896)</f>
        <v>2024.10</v>
      </c>
      <c r="B892" s="17" t="n">
        <f aca="false">IFERROR(VALUE(LEFT($A892,4)),"")</f>
        <v>2024</v>
      </c>
      <c r="C892" s="17" t="n">
        <f aca="false">IFERROR(VALUE(RIGHT($A892,2)),"")</f>
        <v>10</v>
      </c>
      <c r="D892" s="17" t="n">
        <f aca="false">IFERROR(ROUNDUP($C892/3,0),"")</f>
        <v>4</v>
      </c>
      <c r="E892" s="11" t="str">
        <f aca="false">TRIM('수출입 실적(품목별)'!B896)</f>
        <v>22</v>
      </c>
      <c r="F892" s="11" t="str">
        <f aca="false">TRIM('수출입 실적(품목별)'!C896)</f>
        <v>음료ㆍ주류ㆍ식초</v>
      </c>
      <c r="G892" s="18" t="n">
        <f aca="false">IFERROR(VALUE(SUBSTITUTE(TRIM('수출입 실적(품목별)'!D896),",","")),"")</f>
        <v>78488.7</v>
      </c>
      <c r="H892" s="19" t="n">
        <f aca="false">IFERROR(VALUE(SUBSTITUTE(TRIM('수출입 실적(품목별)'!E896),",","")),"")</f>
        <v>96816</v>
      </c>
      <c r="I892" s="18" t="n">
        <f aca="false">IFERROR(VALUE(SUBSTITUTE(TRIM('수출입 실적(품목별)'!F896),",","")),"")</f>
        <v>89855.9</v>
      </c>
      <c r="J892" s="19" t="n">
        <f aca="false">IFERROR(VALUE(SUBSTITUTE(TRIM('수출입 실적(품목별)'!G896),",","")),"")</f>
        <v>140321</v>
      </c>
      <c r="K892" s="19" t="n">
        <f aca="false">IFERROR(VALUE(SUBSTITUTE(TRIM('수출입 실적(품목별)'!H896),",","")),"")</f>
        <v>-43505</v>
      </c>
    </row>
    <row r="893" customFormat="false" ht="15" hidden="false" customHeight="true" outlineLevel="0" collapsed="false">
      <c r="A893" s="11" t="str">
        <f aca="false">TRIM('수출입 실적(품목별)'!A897)</f>
        <v>2024.10</v>
      </c>
      <c r="B893" s="17" t="n">
        <f aca="false">IFERROR(VALUE(LEFT($A893,4)),"")</f>
        <v>2024</v>
      </c>
      <c r="C893" s="17" t="n">
        <f aca="false">IFERROR(VALUE(RIGHT($A893,2)),"")</f>
        <v>10</v>
      </c>
      <c r="D893" s="17" t="n">
        <f aca="false">IFERROR(ROUNDUP($C893/3,0),"")</f>
        <v>4</v>
      </c>
      <c r="E893" s="11" t="str">
        <f aca="false">TRIM('수출입 실적(품목별)'!B897)</f>
        <v>23</v>
      </c>
      <c r="F893" s="11" t="str">
        <f aca="false">TRIM('수출입 실적(품목별)'!C897)</f>
        <v>식품 공업에서 생기는 잔재물과 웨이스트(waste), 조제 사료</v>
      </c>
      <c r="G893" s="18" t="n">
        <f aca="false">IFERROR(VALUE(SUBSTITUTE(TRIM('수출입 실적(품목별)'!D897),",","")),"")</f>
        <v>31364.4</v>
      </c>
      <c r="H893" s="19" t="n">
        <f aca="false">IFERROR(VALUE(SUBSTITUTE(TRIM('수출입 실적(품목별)'!E897),",","")),"")</f>
        <v>28999</v>
      </c>
      <c r="I893" s="18" t="n">
        <f aca="false">IFERROR(VALUE(SUBSTITUTE(TRIM('수출입 실적(품목별)'!F897),",","")),"")</f>
        <v>678116</v>
      </c>
      <c r="J893" s="19" t="n">
        <f aca="false">IFERROR(VALUE(SUBSTITUTE(TRIM('수출입 실적(품목별)'!G897),",","")),"")</f>
        <v>240720</v>
      </c>
      <c r="K893" s="19" t="n">
        <f aca="false">IFERROR(VALUE(SUBSTITUTE(TRIM('수출입 실적(품목별)'!H897),",","")),"")</f>
        <v>-211721</v>
      </c>
    </row>
    <row r="894" customFormat="false" ht="15" hidden="false" customHeight="true" outlineLevel="0" collapsed="false">
      <c r="A894" s="11" t="str">
        <f aca="false">TRIM('수출입 실적(품목별)'!A898)</f>
        <v>2024.10</v>
      </c>
      <c r="B894" s="17" t="n">
        <f aca="false">IFERROR(VALUE(LEFT($A894,4)),"")</f>
        <v>2024</v>
      </c>
      <c r="C894" s="17" t="n">
        <f aca="false">IFERROR(VALUE(RIGHT($A894,2)),"")</f>
        <v>10</v>
      </c>
      <c r="D894" s="17" t="n">
        <f aca="false">IFERROR(ROUNDUP($C894/3,0),"")</f>
        <v>4</v>
      </c>
      <c r="E894" s="11" t="str">
        <f aca="false">TRIM('수출입 실적(품목별)'!B898)</f>
        <v>24</v>
      </c>
      <c r="F894" s="11" t="str">
        <f aca="false">TRIM('수출입 실적(품목별)'!C898)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894" s="18" t="n">
        <f aca="false">IFERROR(VALUE(SUBSTITUTE(TRIM('수출입 실적(품목별)'!D898),",","")),"")</f>
        <v>7215.8</v>
      </c>
      <c r="H894" s="19" t="n">
        <f aca="false">IFERROR(VALUE(SUBSTITUTE(TRIM('수출입 실적(품목별)'!E898),",","")),"")</f>
        <v>89874</v>
      </c>
      <c r="I894" s="18" t="n">
        <f aca="false">IFERROR(VALUE(SUBSTITUTE(TRIM('수출입 실적(품목별)'!F898),",","")),"")</f>
        <v>4603.6</v>
      </c>
      <c r="J894" s="19" t="n">
        <f aca="false">IFERROR(VALUE(SUBSTITUTE(TRIM('수출입 실적(품목별)'!G898),",","")),"")</f>
        <v>43886</v>
      </c>
      <c r="K894" s="19" t="n">
        <f aca="false">IFERROR(VALUE(SUBSTITUTE(TRIM('수출입 실적(품목별)'!H898),",","")),"")</f>
        <v>45988</v>
      </c>
    </row>
    <row r="895" customFormat="false" ht="15" hidden="false" customHeight="true" outlineLevel="0" collapsed="false">
      <c r="A895" s="11" t="str">
        <f aca="false">TRIM('수출입 실적(품목별)'!A899)</f>
        <v>2024.10</v>
      </c>
      <c r="B895" s="17" t="n">
        <f aca="false">IFERROR(VALUE(LEFT($A895,4)),"")</f>
        <v>2024</v>
      </c>
      <c r="C895" s="17" t="n">
        <f aca="false">IFERROR(VALUE(RIGHT($A895,2)),"")</f>
        <v>10</v>
      </c>
      <c r="D895" s="17" t="n">
        <f aca="false">IFERROR(ROUNDUP($C895/3,0),"")</f>
        <v>4</v>
      </c>
      <c r="E895" s="11" t="str">
        <f aca="false">TRIM('수출입 실적(품목별)'!B899)</f>
        <v>25</v>
      </c>
      <c r="F895" s="11" t="str">
        <f aca="false">TRIM('수출입 실적(품목별)'!C899)</f>
        <v>소금, 황, 토석류(土石類), 석고ㆍ석회ㆍ시멘트</v>
      </c>
      <c r="G895" s="18" t="n">
        <f aca="false">IFERROR(VALUE(SUBSTITUTE(TRIM('수출입 실적(품목별)'!D899),",","")),"")</f>
        <v>473047.9</v>
      </c>
      <c r="H895" s="19" t="n">
        <f aca="false">IFERROR(VALUE(SUBSTITUTE(TRIM('수출입 실적(품목별)'!E899),",","")),"")</f>
        <v>29904</v>
      </c>
      <c r="I895" s="18" t="n">
        <f aca="false">IFERROR(VALUE(SUBSTITUTE(TRIM('수출입 실적(품목별)'!F899),",","")),"")</f>
        <v>1024992.4</v>
      </c>
      <c r="J895" s="19" t="n">
        <f aca="false">IFERROR(VALUE(SUBSTITUTE(TRIM('수출입 실적(품목별)'!G899),",","")),"")</f>
        <v>90002</v>
      </c>
      <c r="K895" s="19" t="n">
        <f aca="false">IFERROR(VALUE(SUBSTITUTE(TRIM('수출입 실적(품목별)'!H899),",","")),"")</f>
        <v>-60098</v>
      </c>
    </row>
    <row r="896" customFormat="false" ht="15" hidden="false" customHeight="true" outlineLevel="0" collapsed="false">
      <c r="A896" s="11" t="str">
        <f aca="false">TRIM('수출입 실적(품목별)'!A900)</f>
        <v>2024.10</v>
      </c>
      <c r="B896" s="17" t="n">
        <f aca="false">IFERROR(VALUE(LEFT($A896,4)),"")</f>
        <v>2024</v>
      </c>
      <c r="C896" s="17" t="n">
        <f aca="false">IFERROR(VALUE(RIGHT($A896,2)),"")</f>
        <v>10</v>
      </c>
      <c r="D896" s="17" t="n">
        <f aca="false">IFERROR(ROUNDUP($C896/3,0),"")</f>
        <v>4</v>
      </c>
      <c r="E896" s="11" t="str">
        <f aca="false">TRIM('수출입 실적(품목별)'!B900)</f>
        <v>26</v>
      </c>
      <c r="F896" s="11" t="str">
        <f aca="false">TRIM('수출입 실적(품목별)'!C900)</f>
        <v>광(鑛)ㆍ슬래그(slag)ㆍ회(灰)</v>
      </c>
      <c r="G896" s="18" t="n">
        <f aca="false">IFERROR(VALUE(SUBSTITUTE(TRIM('수출입 실적(품목별)'!D900),",","")),"")</f>
        <v>53881.6</v>
      </c>
      <c r="H896" s="19" t="n">
        <f aca="false">IFERROR(VALUE(SUBSTITUTE(TRIM('수출입 실적(품목별)'!E900),",","")),"")</f>
        <v>33040</v>
      </c>
      <c r="I896" s="18" t="n">
        <f aca="false">IFERROR(VALUE(SUBSTITUTE(TRIM('수출입 실적(품목별)'!F900),",","")),"")</f>
        <v>7584994.1</v>
      </c>
      <c r="J896" s="19" t="n">
        <f aca="false">IFERROR(VALUE(SUBSTITUTE(TRIM('수출입 실적(품목별)'!G900),",","")),"")</f>
        <v>1588418</v>
      </c>
      <c r="K896" s="19" t="n">
        <f aca="false">IFERROR(VALUE(SUBSTITUTE(TRIM('수출입 실적(품목별)'!H900),",","")),"")</f>
        <v>-1555378</v>
      </c>
    </row>
    <row r="897" customFormat="false" ht="15" hidden="false" customHeight="true" outlineLevel="0" collapsed="false">
      <c r="A897" s="11" t="str">
        <f aca="false">TRIM('수출입 실적(품목별)'!A901)</f>
        <v>2024.10</v>
      </c>
      <c r="B897" s="17" t="n">
        <f aca="false">IFERROR(VALUE(LEFT($A897,4)),"")</f>
        <v>2024</v>
      </c>
      <c r="C897" s="17" t="n">
        <f aca="false">IFERROR(VALUE(RIGHT($A897,2)),"")</f>
        <v>10</v>
      </c>
      <c r="D897" s="17" t="n">
        <f aca="false">IFERROR(ROUNDUP($C897/3,0),"")</f>
        <v>4</v>
      </c>
      <c r="E897" s="11" t="str">
        <f aca="false">TRIM('수출입 실적(품목별)'!B901)</f>
        <v>27</v>
      </c>
      <c r="F897" s="11" t="str">
        <f aca="false">TRIM('수출입 실적(품목별)'!C901)</f>
        <v>광물성 연료ㆍ광물유(鑛物油)와 이들의 증류물, 역청(瀝靑)물질, 광물성 왁스</v>
      </c>
      <c r="G897" s="18" t="n">
        <f aca="false">IFERROR(VALUE(SUBSTITUTE(TRIM('수출입 실적(품목별)'!D901),",","")),"")</f>
        <v>5172721.4</v>
      </c>
      <c r="H897" s="19" t="n">
        <f aca="false">IFERROR(VALUE(SUBSTITUTE(TRIM('수출입 실적(품목별)'!E901),",","")),"")</f>
        <v>3618298</v>
      </c>
      <c r="I897" s="18" t="n">
        <f aca="false">IFERROR(VALUE(SUBSTITUTE(TRIM('수출입 실적(품목별)'!F901),",","")),"")</f>
        <v>28618781.2</v>
      </c>
      <c r="J897" s="19" t="n">
        <f aca="false">IFERROR(VALUE(SUBSTITUTE(TRIM('수출입 실적(품목별)'!G901),",","")),"")</f>
        <v>13132304</v>
      </c>
      <c r="K897" s="19" t="n">
        <f aca="false">IFERROR(VALUE(SUBSTITUTE(TRIM('수출입 실적(품목별)'!H901),",","")),"")</f>
        <v>-9514006</v>
      </c>
    </row>
    <row r="898" customFormat="false" ht="15" hidden="false" customHeight="true" outlineLevel="0" collapsed="false">
      <c r="A898" s="11" t="str">
        <f aca="false">TRIM('수출입 실적(품목별)'!A902)</f>
        <v>2024.10</v>
      </c>
      <c r="B898" s="17" t="n">
        <f aca="false">IFERROR(VALUE(LEFT($A898,4)),"")</f>
        <v>2024</v>
      </c>
      <c r="C898" s="17" t="n">
        <f aca="false">IFERROR(VALUE(RIGHT($A898,2)),"")</f>
        <v>10</v>
      </c>
      <c r="D898" s="17" t="n">
        <f aca="false">IFERROR(ROUNDUP($C898/3,0),"")</f>
        <v>4</v>
      </c>
      <c r="E898" s="11" t="str">
        <f aca="false">TRIM('수출입 실적(품목별)'!B902)</f>
        <v>28</v>
      </c>
      <c r="F898" s="11" t="str">
        <f aca="false">TRIM('수출입 실적(품목별)'!C902)</f>
        <v>무기화학품, 귀금속ㆍ희토류(稀土類)금속ㆍ방사성원소ㆍ동위원소의 유기화합물이나 무기화합물</v>
      </c>
      <c r="G898" s="18" t="n">
        <f aca="false">IFERROR(VALUE(SUBSTITUTE(TRIM('수출입 실적(품목별)'!D902),",","")),"")</f>
        <v>518968.9</v>
      </c>
      <c r="H898" s="19" t="n">
        <f aca="false">IFERROR(VALUE(SUBSTITUTE(TRIM('수출입 실적(품목별)'!E902),",","")),"")</f>
        <v>712372</v>
      </c>
      <c r="I898" s="18" t="n">
        <f aca="false">IFERROR(VALUE(SUBSTITUTE(TRIM('수출입 실적(품목별)'!F902),",","")),"")</f>
        <v>418048.7</v>
      </c>
      <c r="J898" s="19" t="n">
        <f aca="false">IFERROR(VALUE(SUBSTITUTE(TRIM('수출입 실적(품목별)'!G902),",","")),"")</f>
        <v>812417</v>
      </c>
      <c r="K898" s="19" t="n">
        <f aca="false">IFERROR(VALUE(SUBSTITUTE(TRIM('수출입 실적(품목별)'!H902),",","")),"")</f>
        <v>-100045</v>
      </c>
    </row>
    <row r="899" customFormat="false" ht="15" hidden="false" customHeight="true" outlineLevel="0" collapsed="false">
      <c r="A899" s="11" t="str">
        <f aca="false">TRIM('수출입 실적(품목별)'!A903)</f>
        <v>2024.10</v>
      </c>
      <c r="B899" s="17" t="n">
        <f aca="false">IFERROR(VALUE(LEFT($A899,4)),"")</f>
        <v>2024</v>
      </c>
      <c r="C899" s="17" t="n">
        <f aca="false">IFERROR(VALUE(RIGHT($A899,2)),"")</f>
        <v>10</v>
      </c>
      <c r="D899" s="17" t="n">
        <f aca="false">IFERROR(ROUNDUP($C899/3,0),"")</f>
        <v>4</v>
      </c>
      <c r="E899" s="11" t="str">
        <f aca="false">TRIM('수출입 실적(품목별)'!B903)</f>
        <v>29</v>
      </c>
      <c r="F899" s="11" t="str">
        <f aca="false">TRIM('수출입 실적(품목별)'!C903)</f>
        <v>유기화학품</v>
      </c>
      <c r="G899" s="18" t="n">
        <f aca="false">IFERROR(VALUE(SUBSTITUTE(TRIM('수출입 실적(품목별)'!D903),",","")),"")</f>
        <v>1669504</v>
      </c>
      <c r="H899" s="19" t="n">
        <f aca="false">IFERROR(VALUE(SUBSTITUTE(TRIM('수출입 실적(품목별)'!E903),",","")),"")</f>
        <v>1740881</v>
      </c>
      <c r="I899" s="18" t="n">
        <f aca="false">IFERROR(VALUE(SUBSTITUTE(TRIM('수출입 실적(품목별)'!F903),",","")),"")</f>
        <v>642586.6</v>
      </c>
      <c r="J899" s="19" t="n">
        <f aca="false">IFERROR(VALUE(SUBSTITUTE(TRIM('수출입 실적(품목별)'!G903),",","")),"")</f>
        <v>1172649</v>
      </c>
      <c r="K899" s="19" t="n">
        <f aca="false">IFERROR(VALUE(SUBSTITUTE(TRIM('수출입 실적(품목별)'!H903),",","")),"")</f>
        <v>568233</v>
      </c>
    </row>
    <row r="900" customFormat="false" ht="15" hidden="false" customHeight="true" outlineLevel="0" collapsed="false">
      <c r="A900" s="11" t="str">
        <f aca="false">TRIM('수출입 실적(품목별)'!A904)</f>
        <v>2024.10</v>
      </c>
      <c r="B900" s="17" t="n">
        <f aca="false">IFERROR(VALUE(LEFT($A900,4)),"")</f>
        <v>2024</v>
      </c>
      <c r="C900" s="17" t="n">
        <f aca="false">IFERROR(VALUE(RIGHT($A900,2)),"")</f>
        <v>10</v>
      </c>
      <c r="D900" s="17" t="n">
        <f aca="false">IFERROR(ROUNDUP($C900/3,0),"")</f>
        <v>4</v>
      </c>
      <c r="E900" s="11" t="str">
        <f aca="false">TRIM('수출입 실적(품목별)'!B904)</f>
        <v>30</v>
      </c>
      <c r="F900" s="11" t="str">
        <f aca="false">TRIM('수출입 실적(품목별)'!C904)</f>
        <v>의료용품</v>
      </c>
      <c r="G900" s="18" t="n">
        <f aca="false">IFERROR(VALUE(SUBSTITUTE(TRIM('수출입 실적(품목별)'!D904),",","")),"")</f>
        <v>2558.4</v>
      </c>
      <c r="H900" s="19" t="n">
        <f aca="false">IFERROR(VALUE(SUBSTITUTE(TRIM('수출입 실적(품목별)'!E904),",","")),"")</f>
        <v>679283</v>
      </c>
      <c r="I900" s="18" t="n">
        <f aca="false">IFERROR(VALUE(SUBSTITUTE(TRIM('수출입 실적(품목별)'!F904),",","")),"")</f>
        <v>7262.1</v>
      </c>
      <c r="J900" s="19" t="n">
        <f aca="false">IFERROR(VALUE(SUBSTITUTE(TRIM('수출입 실적(품목별)'!G904),",","")),"")</f>
        <v>783657</v>
      </c>
      <c r="K900" s="19" t="n">
        <f aca="false">IFERROR(VALUE(SUBSTITUTE(TRIM('수출입 실적(품목별)'!H904),",","")),"")</f>
        <v>-104374</v>
      </c>
    </row>
    <row r="901" customFormat="false" ht="15" hidden="false" customHeight="true" outlineLevel="0" collapsed="false">
      <c r="A901" s="11" t="str">
        <f aca="false">TRIM('수출입 실적(품목별)'!A905)</f>
        <v>2024.10</v>
      </c>
      <c r="B901" s="17" t="n">
        <f aca="false">IFERROR(VALUE(LEFT($A901,4)),"")</f>
        <v>2024</v>
      </c>
      <c r="C901" s="17" t="n">
        <f aca="false">IFERROR(VALUE(RIGHT($A901,2)),"")</f>
        <v>10</v>
      </c>
      <c r="D901" s="17" t="n">
        <f aca="false">IFERROR(ROUNDUP($C901/3,0),"")</f>
        <v>4</v>
      </c>
      <c r="E901" s="11" t="str">
        <f aca="false">TRIM('수출입 실적(품목별)'!B905)</f>
        <v>31</v>
      </c>
      <c r="F901" s="11" t="str">
        <f aca="false">TRIM('수출입 실적(품목별)'!C905)</f>
        <v>비료</v>
      </c>
      <c r="G901" s="18" t="n">
        <f aca="false">IFERROR(VALUE(SUBSTITUTE(TRIM('수출입 실적(품목별)'!D905),",","")),"")</f>
        <v>76375.6</v>
      </c>
      <c r="H901" s="19" t="n">
        <f aca="false">IFERROR(VALUE(SUBSTITUTE(TRIM('수출입 실적(품목별)'!E905),",","")),"")</f>
        <v>35340</v>
      </c>
      <c r="I901" s="18" t="n">
        <f aca="false">IFERROR(VALUE(SUBSTITUTE(TRIM('수출입 실적(품목별)'!F905),",","")),"")</f>
        <v>87606</v>
      </c>
      <c r="J901" s="19" t="n">
        <f aca="false">IFERROR(VALUE(SUBSTITUTE(TRIM('수출입 실적(품목별)'!G905),",","")),"")</f>
        <v>35820</v>
      </c>
      <c r="K901" s="19" t="n">
        <f aca="false">IFERROR(VALUE(SUBSTITUTE(TRIM('수출입 실적(품목별)'!H905),",","")),"")</f>
        <v>-480</v>
      </c>
    </row>
    <row r="902" customFormat="false" ht="15" hidden="false" customHeight="true" outlineLevel="0" collapsed="false">
      <c r="A902" s="11" t="str">
        <f aca="false">TRIM('수출입 실적(품목별)'!A906)</f>
        <v>2024.10</v>
      </c>
      <c r="B902" s="17" t="n">
        <f aca="false">IFERROR(VALUE(LEFT($A902,4)),"")</f>
        <v>2024</v>
      </c>
      <c r="C902" s="17" t="n">
        <f aca="false">IFERROR(VALUE(RIGHT($A902,2)),"")</f>
        <v>10</v>
      </c>
      <c r="D902" s="17" t="n">
        <f aca="false">IFERROR(ROUNDUP($C902/3,0),"")</f>
        <v>4</v>
      </c>
      <c r="E902" s="11" t="str">
        <f aca="false">TRIM('수출입 실적(품목별)'!B906)</f>
        <v>32</v>
      </c>
      <c r="F902" s="11" t="str">
        <f aca="false">TRIM('수출입 실적(품목별)'!C906)</f>
        <v>유연용ㆍ염색용 추출물(extract), 탄닌과 이들의 유도체, 염료ㆍ안료와 그 밖의 착색제, 페인트ㆍ바니시(varnish), 퍼티(putty)와 그 밖의 매스틱(mastic), 잉크</v>
      </c>
      <c r="G902" s="18" t="n">
        <f aca="false">IFERROR(VALUE(SUBSTITUTE(TRIM('수출입 실적(품목별)'!D906),",","")),"")</f>
        <v>30687.6</v>
      </c>
      <c r="H902" s="19" t="n">
        <f aca="false">IFERROR(VALUE(SUBSTITUTE(TRIM('수출입 실적(품목별)'!E906),",","")),"")</f>
        <v>225440</v>
      </c>
      <c r="I902" s="18" t="n">
        <f aca="false">IFERROR(VALUE(SUBSTITUTE(TRIM('수출입 실적(품목별)'!F906),",","")),"")</f>
        <v>27240</v>
      </c>
      <c r="J902" s="19" t="n">
        <f aca="false">IFERROR(VALUE(SUBSTITUTE(TRIM('수출입 실적(품목별)'!G906),",","")),"")</f>
        <v>216413</v>
      </c>
      <c r="K902" s="19" t="n">
        <f aca="false">IFERROR(VALUE(SUBSTITUTE(TRIM('수출입 실적(품목별)'!H906),",","")),"")</f>
        <v>9027</v>
      </c>
    </row>
    <row r="903" customFormat="false" ht="15" hidden="false" customHeight="true" outlineLevel="0" collapsed="false">
      <c r="A903" s="11" t="str">
        <f aca="false">TRIM('수출입 실적(품목별)'!A907)</f>
        <v>2024.10</v>
      </c>
      <c r="B903" s="17" t="n">
        <f aca="false">IFERROR(VALUE(LEFT($A903,4)),"")</f>
        <v>2024</v>
      </c>
      <c r="C903" s="17" t="n">
        <f aca="false">IFERROR(VALUE(RIGHT($A903,2)),"")</f>
        <v>10</v>
      </c>
      <c r="D903" s="17" t="n">
        <f aca="false">IFERROR(ROUNDUP($C903/3,0),"")</f>
        <v>4</v>
      </c>
      <c r="E903" s="11" t="str">
        <f aca="false">TRIM('수출입 실적(품목별)'!B907)</f>
        <v>33</v>
      </c>
      <c r="F903" s="11" t="str">
        <f aca="false">TRIM('수출입 실적(품목별)'!C907)</f>
        <v>정유(essential oil)와 레지노이드(resinoid), 조제향료와 화장품ㆍ화장용품</v>
      </c>
      <c r="G903" s="18" t="n">
        <f aca="false">IFERROR(VALUE(SUBSTITUTE(TRIM('수출입 실적(품목별)'!D907),",","")),"")</f>
        <v>40647.8</v>
      </c>
      <c r="H903" s="19" t="n">
        <f aca="false">IFERROR(VALUE(SUBSTITUTE(TRIM('수출입 실적(품목별)'!E907),",","")),"")</f>
        <v>1001990</v>
      </c>
      <c r="I903" s="18" t="n">
        <f aca="false">IFERROR(VALUE(SUBSTITUTE(TRIM('수출입 실적(품목별)'!F907),",","")),"")</f>
        <v>9663.8</v>
      </c>
      <c r="J903" s="19" t="n">
        <f aca="false">IFERROR(VALUE(SUBSTITUTE(TRIM('수출입 실적(품목별)'!G907),",","")),"")</f>
        <v>177756</v>
      </c>
      <c r="K903" s="19" t="n">
        <f aca="false">IFERROR(VALUE(SUBSTITUTE(TRIM('수출입 실적(품목별)'!H907),",","")),"")</f>
        <v>824234</v>
      </c>
    </row>
    <row r="904" customFormat="false" ht="15" hidden="false" customHeight="true" outlineLevel="0" collapsed="false">
      <c r="A904" s="11" t="str">
        <f aca="false">TRIM('수출입 실적(품목별)'!A908)</f>
        <v>2024.10</v>
      </c>
      <c r="B904" s="17" t="n">
        <f aca="false">IFERROR(VALUE(LEFT($A904,4)),"")</f>
        <v>2024</v>
      </c>
      <c r="C904" s="17" t="n">
        <f aca="false">IFERROR(VALUE(RIGHT($A904,2)),"")</f>
        <v>10</v>
      </c>
      <c r="D904" s="17" t="n">
        <f aca="false">IFERROR(ROUNDUP($C904/3,0),"")</f>
        <v>4</v>
      </c>
      <c r="E904" s="11" t="str">
        <f aca="false">TRIM('수출입 실적(품목별)'!B908)</f>
        <v>34</v>
      </c>
      <c r="F904" s="11" t="str">
        <f aca="false">TRIM('수출입 실적(품목별)'!C908)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904" s="18" t="n">
        <f aca="false">IFERROR(VALUE(SUBSTITUTE(TRIM('수출입 실적(품목별)'!D908),",","")),"")</f>
        <v>62994.7</v>
      </c>
      <c r="H904" s="19" t="n">
        <f aca="false">IFERROR(VALUE(SUBSTITUTE(TRIM('수출입 실적(품목별)'!E908),",","")),"")</f>
        <v>162004</v>
      </c>
      <c r="I904" s="18" t="n">
        <f aca="false">IFERROR(VALUE(SUBSTITUTE(TRIM('수출입 실적(품목별)'!F908),",","")),"")</f>
        <v>24776.9</v>
      </c>
      <c r="J904" s="19" t="n">
        <f aca="false">IFERROR(VALUE(SUBSTITUTE(TRIM('수출입 실적(품목별)'!G908),",","")),"")</f>
        <v>100197</v>
      </c>
      <c r="K904" s="19" t="n">
        <f aca="false">IFERROR(VALUE(SUBSTITUTE(TRIM('수출입 실적(품목별)'!H908),",","")),"")</f>
        <v>61807</v>
      </c>
    </row>
    <row r="905" customFormat="false" ht="15" hidden="false" customHeight="true" outlineLevel="0" collapsed="false">
      <c r="A905" s="11" t="str">
        <f aca="false">TRIM('수출입 실적(품목별)'!A909)</f>
        <v>2024.10</v>
      </c>
      <c r="B905" s="17" t="n">
        <f aca="false">IFERROR(VALUE(LEFT($A905,4)),"")</f>
        <v>2024</v>
      </c>
      <c r="C905" s="17" t="n">
        <f aca="false">IFERROR(VALUE(RIGHT($A905,2)),"")</f>
        <v>10</v>
      </c>
      <c r="D905" s="17" t="n">
        <f aca="false">IFERROR(ROUNDUP($C905/3,0),"")</f>
        <v>4</v>
      </c>
      <c r="E905" s="11" t="str">
        <f aca="false">TRIM('수출입 실적(품목별)'!B909)</f>
        <v>35</v>
      </c>
      <c r="F905" s="11" t="str">
        <f aca="false">TRIM('수출입 실적(품목별)'!C909)</f>
        <v>단백질계 물질, 변성전분, 글루(glue), 효소</v>
      </c>
      <c r="G905" s="18" t="n">
        <f aca="false">IFERROR(VALUE(SUBSTITUTE(TRIM('수출입 실적(품목별)'!D909),",","")),"")</f>
        <v>6653.8</v>
      </c>
      <c r="H905" s="19" t="n">
        <f aca="false">IFERROR(VALUE(SUBSTITUTE(TRIM('수출입 실적(품목별)'!E909),",","")),"")</f>
        <v>80955</v>
      </c>
      <c r="I905" s="18" t="n">
        <f aca="false">IFERROR(VALUE(SUBSTITUTE(TRIM('수출입 실적(품목별)'!F909),",","")),"")</f>
        <v>21305.3</v>
      </c>
      <c r="J905" s="19" t="n">
        <f aca="false">IFERROR(VALUE(SUBSTITUTE(TRIM('수출입 실적(품목별)'!G909),",","")),"")</f>
        <v>84776</v>
      </c>
      <c r="K905" s="19" t="n">
        <f aca="false">IFERROR(VALUE(SUBSTITUTE(TRIM('수출입 실적(품목별)'!H909),",","")),"")</f>
        <v>-3822</v>
      </c>
    </row>
    <row r="906" customFormat="false" ht="15" hidden="false" customHeight="true" outlineLevel="0" collapsed="false">
      <c r="A906" s="11" t="str">
        <f aca="false">TRIM('수출입 실적(품목별)'!A910)</f>
        <v>2024.10</v>
      </c>
      <c r="B906" s="17" t="n">
        <f aca="false">IFERROR(VALUE(LEFT($A906,4)),"")</f>
        <v>2024</v>
      </c>
      <c r="C906" s="17" t="n">
        <f aca="false">IFERROR(VALUE(RIGHT($A906,2)),"")</f>
        <v>10</v>
      </c>
      <c r="D906" s="17" t="n">
        <f aca="false">IFERROR(ROUNDUP($C906/3,0),"")</f>
        <v>4</v>
      </c>
      <c r="E906" s="11" t="str">
        <f aca="false">TRIM('수출입 실적(품목별)'!B910)</f>
        <v>36</v>
      </c>
      <c r="F906" s="11" t="str">
        <f aca="false">TRIM('수출입 실적(품목별)'!C910)</f>
        <v>화약류, 화공품, 성냥, 발화성 합금, 특정 가연성 조제품</v>
      </c>
      <c r="G906" s="18" t="n">
        <f aca="false">IFERROR(VALUE(SUBSTITUTE(TRIM('수출입 실적(품목별)'!D910),",","")),"")</f>
        <v>117.7</v>
      </c>
      <c r="H906" s="19" t="n">
        <f aca="false">IFERROR(VALUE(SUBSTITUTE(TRIM('수출입 실적(품목별)'!E910),",","")),"")</f>
        <v>3100</v>
      </c>
      <c r="I906" s="18" t="n">
        <f aca="false">IFERROR(VALUE(SUBSTITUTE(TRIM('수출입 실적(품목별)'!F910),",","")),"")</f>
        <v>202.6</v>
      </c>
      <c r="J906" s="19" t="n">
        <f aca="false">IFERROR(VALUE(SUBSTITUTE(TRIM('수출입 실적(품목별)'!G910),",","")),"")</f>
        <v>5265</v>
      </c>
      <c r="K906" s="19" t="n">
        <f aca="false">IFERROR(VALUE(SUBSTITUTE(TRIM('수출입 실적(품목별)'!H910),",","")),"")</f>
        <v>-2165</v>
      </c>
    </row>
    <row r="907" customFormat="false" ht="15" hidden="false" customHeight="true" outlineLevel="0" collapsed="false">
      <c r="A907" s="11" t="str">
        <f aca="false">TRIM('수출입 실적(품목별)'!A911)</f>
        <v>2024.10</v>
      </c>
      <c r="B907" s="17" t="n">
        <f aca="false">IFERROR(VALUE(LEFT($A907,4)),"")</f>
        <v>2024</v>
      </c>
      <c r="C907" s="17" t="n">
        <f aca="false">IFERROR(VALUE(RIGHT($A907,2)),"")</f>
        <v>10</v>
      </c>
      <c r="D907" s="17" t="n">
        <f aca="false">IFERROR(ROUNDUP($C907/3,0),"")</f>
        <v>4</v>
      </c>
      <c r="E907" s="11" t="str">
        <f aca="false">TRIM('수출입 실적(품목별)'!B911)</f>
        <v>37</v>
      </c>
      <c r="F907" s="11" t="str">
        <f aca="false">TRIM('수출입 실적(품목별)'!C911)</f>
        <v>사진용이나 영화용 재료</v>
      </c>
      <c r="G907" s="18" t="n">
        <f aca="false">IFERROR(VALUE(SUBSTITUTE(TRIM('수출입 실적(품목별)'!D911),",","")),"")</f>
        <v>1785.7</v>
      </c>
      <c r="H907" s="19" t="n">
        <f aca="false">IFERROR(VALUE(SUBSTITUTE(TRIM('수출입 실적(품목별)'!E911),",","")),"")</f>
        <v>84820</v>
      </c>
      <c r="I907" s="18" t="n">
        <f aca="false">IFERROR(VALUE(SUBSTITUTE(TRIM('수출입 실적(품목별)'!F911),",","")),"")</f>
        <v>2820.2</v>
      </c>
      <c r="J907" s="19" t="n">
        <f aca="false">IFERROR(VALUE(SUBSTITUTE(TRIM('수출입 실적(품목별)'!G911),",","")),"")</f>
        <v>93456</v>
      </c>
      <c r="K907" s="19" t="n">
        <f aca="false">IFERROR(VALUE(SUBSTITUTE(TRIM('수출입 실적(품목별)'!H911),",","")),"")</f>
        <v>-8635</v>
      </c>
    </row>
    <row r="908" customFormat="false" ht="15" hidden="false" customHeight="true" outlineLevel="0" collapsed="false">
      <c r="A908" s="11" t="str">
        <f aca="false">TRIM('수출입 실적(품목별)'!A912)</f>
        <v>2024.10</v>
      </c>
      <c r="B908" s="17" t="n">
        <f aca="false">IFERROR(VALUE(LEFT($A908,4)),"")</f>
        <v>2024</v>
      </c>
      <c r="C908" s="17" t="n">
        <f aca="false">IFERROR(VALUE(RIGHT($A908,2)),"")</f>
        <v>10</v>
      </c>
      <c r="D908" s="17" t="n">
        <f aca="false">IFERROR(ROUNDUP($C908/3,0),"")</f>
        <v>4</v>
      </c>
      <c r="E908" s="11" t="str">
        <f aca="false">TRIM('수출입 실적(품목별)'!B912)</f>
        <v>38</v>
      </c>
      <c r="F908" s="11" t="str">
        <f aca="false">TRIM('수출입 실적(품목별)'!C912)</f>
        <v>각종 화학공업 생산품</v>
      </c>
      <c r="G908" s="18" t="n">
        <f aca="false">IFERROR(VALUE(SUBSTITUTE(TRIM('수출입 실적(품목별)'!D912),",","")),"")</f>
        <v>83778.6</v>
      </c>
      <c r="H908" s="19" t="n">
        <f aca="false">IFERROR(VALUE(SUBSTITUTE(TRIM('수출입 실적(품목별)'!E912),",","")),"")</f>
        <v>582442</v>
      </c>
      <c r="I908" s="18" t="n">
        <f aca="false">IFERROR(VALUE(SUBSTITUTE(TRIM('수출입 실적(품목별)'!F912),",","")),"")</f>
        <v>197510.7</v>
      </c>
      <c r="J908" s="19" t="n">
        <f aca="false">IFERROR(VALUE(SUBSTITUTE(TRIM('수출입 실적(품목별)'!G912),",","")),"")</f>
        <v>801862</v>
      </c>
      <c r="K908" s="19" t="n">
        <f aca="false">IFERROR(VALUE(SUBSTITUTE(TRIM('수출입 실적(품목별)'!H912),",","")),"")</f>
        <v>-219420</v>
      </c>
    </row>
    <row r="909" customFormat="false" ht="15" hidden="false" customHeight="true" outlineLevel="0" collapsed="false">
      <c r="A909" s="11" t="str">
        <f aca="false">TRIM('수출입 실적(품목별)'!A913)</f>
        <v>2024.10</v>
      </c>
      <c r="B909" s="17" t="n">
        <f aca="false">IFERROR(VALUE(LEFT($A909,4)),"")</f>
        <v>2024</v>
      </c>
      <c r="C909" s="17" t="n">
        <f aca="false">IFERROR(VALUE(RIGHT($A909,2)),"")</f>
        <v>10</v>
      </c>
      <c r="D909" s="17" t="n">
        <f aca="false">IFERROR(ROUNDUP($C909/3,0),"")</f>
        <v>4</v>
      </c>
      <c r="E909" s="11" t="str">
        <f aca="false">TRIM('수출입 실적(품목별)'!B913)</f>
        <v>39</v>
      </c>
      <c r="F909" s="11" t="str">
        <f aca="false">TRIM('수출입 실적(품목별)'!C913)</f>
        <v>플라스틱과 그 제품</v>
      </c>
      <c r="G909" s="18" t="n">
        <f aca="false">IFERROR(VALUE(SUBSTITUTE(TRIM('수출입 실적(품목별)'!D913),",","")),"")</f>
        <v>1512148.3</v>
      </c>
      <c r="H909" s="19" t="n">
        <f aca="false">IFERROR(VALUE(SUBSTITUTE(TRIM('수출입 실적(품목별)'!E913),",","")),"")</f>
        <v>2974791</v>
      </c>
      <c r="I909" s="18" t="n">
        <f aca="false">IFERROR(VALUE(SUBSTITUTE(TRIM('수출입 실적(품목별)'!F913),",","")),"")</f>
        <v>265077.6</v>
      </c>
      <c r="J909" s="19" t="n">
        <f aca="false">IFERROR(VALUE(SUBSTITUTE(TRIM('수출입 실적(품목별)'!G913),",","")),"")</f>
        <v>1122544</v>
      </c>
      <c r="K909" s="19" t="n">
        <f aca="false">IFERROR(VALUE(SUBSTITUTE(TRIM('수출입 실적(품목별)'!H913),",","")),"")</f>
        <v>1852247</v>
      </c>
    </row>
    <row r="910" customFormat="false" ht="15" hidden="false" customHeight="true" outlineLevel="0" collapsed="false">
      <c r="A910" s="11" t="str">
        <f aca="false">TRIM('수출입 실적(품목별)'!A914)</f>
        <v>2024.10</v>
      </c>
      <c r="B910" s="17" t="n">
        <f aca="false">IFERROR(VALUE(LEFT($A910,4)),"")</f>
        <v>2024</v>
      </c>
      <c r="C910" s="17" t="n">
        <f aca="false">IFERROR(VALUE(RIGHT($A910,2)),"")</f>
        <v>10</v>
      </c>
      <c r="D910" s="17" t="n">
        <f aca="false">IFERROR(ROUNDUP($C910/3,0),"")</f>
        <v>4</v>
      </c>
      <c r="E910" s="11" t="str">
        <f aca="false">TRIM('수출입 실적(품목별)'!B914)</f>
        <v>40</v>
      </c>
      <c r="F910" s="11" t="str">
        <f aca="false">TRIM('수출입 실적(품목별)'!C914)</f>
        <v>고무와 그 제품</v>
      </c>
      <c r="G910" s="18" t="n">
        <f aca="false">IFERROR(VALUE(SUBSTITUTE(TRIM('수출입 실적(품목별)'!D914),",","")),"")</f>
        <v>244328.4</v>
      </c>
      <c r="H910" s="19" t="n">
        <f aca="false">IFERROR(VALUE(SUBSTITUTE(TRIM('수출입 실적(품목별)'!E914),",","")),"")</f>
        <v>629518</v>
      </c>
      <c r="I910" s="18" t="n">
        <f aca="false">IFERROR(VALUE(SUBSTITUTE(TRIM('수출입 실적(품목별)'!F914),",","")),"")</f>
        <v>90501.7</v>
      </c>
      <c r="J910" s="19" t="n">
        <f aca="false">IFERROR(VALUE(SUBSTITUTE(TRIM('수출입 실적(품목별)'!G914),",","")),"")</f>
        <v>287810</v>
      </c>
      <c r="K910" s="19" t="n">
        <f aca="false">IFERROR(VALUE(SUBSTITUTE(TRIM('수출입 실적(품목별)'!H914),",","")),"")</f>
        <v>341708</v>
      </c>
    </row>
    <row r="911" customFormat="false" ht="15" hidden="false" customHeight="true" outlineLevel="0" collapsed="false">
      <c r="A911" s="11" t="str">
        <f aca="false">TRIM('수출입 실적(품목별)'!A915)</f>
        <v>2024.10</v>
      </c>
      <c r="B911" s="17" t="n">
        <f aca="false">IFERROR(VALUE(LEFT($A911,4)),"")</f>
        <v>2024</v>
      </c>
      <c r="C911" s="17" t="n">
        <f aca="false">IFERROR(VALUE(RIGHT($A911,2)),"")</f>
        <v>10</v>
      </c>
      <c r="D911" s="17" t="n">
        <f aca="false">IFERROR(ROUNDUP($C911/3,0),"")</f>
        <v>4</v>
      </c>
      <c r="E911" s="11" t="str">
        <f aca="false">TRIM('수출입 실적(품목별)'!B915)</f>
        <v>41</v>
      </c>
      <c r="F911" s="11" t="str">
        <f aca="false">TRIM('수출입 실적(품목별)'!C915)</f>
        <v>원피(모피는 제외한다)와 가죽</v>
      </c>
      <c r="G911" s="18" t="n">
        <f aca="false">IFERROR(VALUE(SUBSTITUTE(TRIM('수출입 실적(품목별)'!D915),",","")),"")</f>
        <v>2870.3</v>
      </c>
      <c r="H911" s="19" t="n">
        <f aca="false">IFERROR(VALUE(SUBSTITUTE(TRIM('수출입 실적(품목별)'!E915),",","")),"")</f>
        <v>25551</v>
      </c>
      <c r="I911" s="18" t="n">
        <f aca="false">IFERROR(VALUE(SUBSTITUTE(TRIM('수출입 실적(품목별)'!F915),",","")),"")</f>
        <v>8336.5</v>
      </c>
      <c r="J911" s="19" t="n">
        <f aca="false">IFERROR(VALUE(SUBSTITUTE(TRIM('수출입 실적(품목별)'!G915),",","")),"")</f>
        <v>22625</v>
      </c>
      <c r="K911" s="19" t="n">
        <f aca="false">IFERROR(VALUE(SUBSTITUTE(TRIM('수출입 실적(품목별)'!H915),",","")),"")</f>
        <v>2926</v>
      </c>
    </row>
    <row r="912" customFormat="false" ht="15" hidden="false" customHeight="true" outlineLevel="0" collapsed="false">
      <c r="A912" s="11" t="str">
        <f aca="false">TRIM('수출입 실적(품목별)'!A916)</f>
        <v>2024.10</v>
      </c>
      <c r="B912" s="17" t="n">
        <f aca="false">IFERROR(VALUE(LEFT($A912,4)),"")</f>
        <v>2024</v>
      </c>
      <c r="C912" s="17" t="n">
        <f aca="false">IFERROR(VALUE(RIGHT($A912,2)),"")</f>
        <v>10</v>
      </c>
      <c r="D912" s="17" t="n">
        <f aca="false">IFERROR(ROUNDUP($C912/3,0),"")</f>
        <v>4</v>
      </c>
      <c r="E912" s="11" t="str">
        <f aca="false">TRIM('수출입 실적(품목별)'!B916)</f>
        <v>42</v>
      </c>
      <c r="F912" s="11" t="str">
        <f aca="false">TRIM('수출입 실적(품목별)'!C916)</f>
        <v>가죽제품, 마구, 여행용구ㆍ핸드백과 이와 유사한 용기, 동물 거트(gut)[누에의 거트(gut)는 제외한다]의 제품</v>
      </c>
      <c r="G912" s="18" t="n">
        <f aca="false">IFERROR(VALUE(SUBSTITUTE(TRIM('수출입 실적(품목별)'!D916),",","")),"")</f>
        <v>920.4</v>
      </c>
      <c r="H912" s="19" t="n">
        <f aca="false">IFERROR(VALUE(SUBSTITUTE(TRIM('수출입 실적(품목별)'!E916),",","")),"")</f>
        <v>36496</v>
      </c>
      <c r="I912" s="18" t="n">
        <f aca="false">IFERROR(VALUE(SUBSTITUTE(TRIM('수출입 실적(품목별)'!F916),",","")),"")</f>
        <v>9303.9</v>
      </c>
      <c r="J912" s="19" t="n">
        <f aca="false">IFERROR(VALUE(SUBSTITUTE(TRIM('수출입 실적(품목별)'!G916),",","")),"")</f>
        <v>335275</v>
      </c>
      <c r="K912" s="19" t="n">
        <f aca="false">IFERROR(VALUE(SUBSTITUTE(TRIM('수출입 실적(품목별)'!H916),",","")),"")</f>
        <v>-298779</v>
      </c>
    </row>
    <row r="913" customFormat="false" ht="15" hidden="false" customHeight="true" outlineLevel="0" collapsed="false">
      <c r="A913" s="11" t="str">
        <f aca="false">TRIM('수출입 실적(품목별)'!A917)</f>
        <v>2024.10</v>
      </c>
      <c r="B913" s="17" t="n">
        <f aca="false">IFERROR(VALUE(LEFT($A913,4)),"")</f>
        <v>2024</v>
      </c>
      <c r="C913" s="17" t="n">
        <f aca="false">IFERROR(VALUE(RIGHT($A913,2)),"")</f>
        <v>10</v>
      </c>
      <c r="D913" s="17" t="n">
        <f aca="false">IFERROR(ROUNDUP($C913/3,0),"")</f>
        <v>4</v>
      </c>
      <c r="E913" s="11" t="str">
        <f aca="false">TRIM('수출입 실적(품목별)'!B917)</f>
        <v>43</v>
      </c>
      <c r="F913" s="11" t="str">
        <f aca="false">TRIM('수출입 실적(품목별)'!C917)</f>
        <v>모피ㆍ인조모피와 이들의 제품</v>
      </c>
      <c r="G913" s="18" t="n">
        <f aca="false">IFERROR(VALUE(SUBSTITUTE(TRIM('수출입 실적(품목별)'!D917),",","")),"")</f>
        <v>17</v>
      </c>
      <c r="H913" s="19" t="n">
        <f aca="false">IFERROR(VALUE(SUBSTITUTE(TRIM('수출입 실적(품목별)'!E917),",","")),"")</f>
        <v>739</v>
      </c>
      <c r="I913" s="18" t="n">
        <f aca="false">IFERROR(VALUE(SUBSTITUTE(TRIM('수출입 실적(품목별)'!F917),",","")),"")</f>
        <v>74.9</v>
      </c>
      <c r="J913" s="19" t="n">
        <f aca="false">IFERROR(VALUE(SUBSTITUTE(TRIM('수출입 실적(품목별)'!G917),",","")),"")</f>
        <v>15046</v>
      </c>
      <c r="K913" s="19" t="n">
        <f aca="false">IFERROR(VALUE(SUBSTITUTE(TRIM('수출입 실적(품목별)'!H917),",","")),"")</f>
        <v>-14307</v>
      </c>
    </row>
    <row r="914" customFormat="false" ht="15" hidden="false" customHeight="true" outlineLevel="0" collapsed="false">
      <c r="A914" s="11" t="str">
        <f aca="false">TRIM('수출입 실적(품목별)'!A918)</f>
        <v>2024.10</v>
      </c>
      <c r="B914" s="17" t="n">
        <f aca="false">IFERROR(VALUE(LEFT($A914,4)),"")</f>
        <v>2024</v>
      </c>
      <c r="C914" s="17" t="n">
        <f aca="false">IFERROR(VALUE(RIGHT($A914,2)),"")</f>
        <v>10</v>
      </c>
      <c r="D914" s="17" t="n">
        <f aca="false">IFERROR(ROUNDUP($C914/3,0),"")</f>
        <v>4</v>
      </c>
      <c r="E914" s="11" t="str">
        <f aca="false">TRIM('수출입 실적(품목별)'!B918)</f>
        <v>44</v>
      </c>
      <c r="F914" s="11" t="str">
        <f aca="false">TRIM('수출입 실적(품목별)'!C918)</f>
        <v>목재와 그 제품, 목탄</v>
      </c>
      <c r="G914" s="18" t="n">
        <f aca="false">IFERROR(VALUE(SUBSTITUTE(TRIM('수출입 실적(품목별)'!D918),",","")),"")</f>
        <v>3783.5</v>
      </c>
      <c r="H914" s="19" t="n">
        <f aca="false">IFERROR(VALUE(SUBSTITUTE(TRIM('수출입 실적(품목별)'!E918),",","")),"")</f>
        <v>5199</v>
      </c>
      <c r="I914" s="18" t="n">
        <f aca="false">IFERROR(VALUE(SUBSTITUTE(TRIM('수출입 실적(품목별)'!F918),",","")),"")</f>
        <v>944201.5</v>
      </c>
      <c r="J914" s="19" t="n">
        <f aca="false">IFERROR(VALUE(SUBSTITUTE(TRIM('수출입 실적(품목별)'!G918),",","")),"")</f>
        <v>260631</v>
      </c>
      <c r="K914" s="19" t="n">
        <f aca="false">IFERROR(VALUE(SUBSTITUTE(TRIM('수출입 실적(품목별)'!H918),",","")),"")</f>
        <v>-255432</v>
      </c>
    </row>
    <row r="915" customFormat="false" ht="15" hidden="false" customHeight="true" outlineLevel="0" collapsed="false">
      <c r="A915" s="11" t="str">
        <f aca="false">TRIM('수출입 실적(품목별)'!A919)</f>
        <v>2024.10</v>
      </c>
      <c r="B915" s="17" t="n">
        <f aca="false">IFERROR(VALUE(LEFT($A915,4)),"")</f>
        <v>2024</v>
      </c>
      <c r="C915" s="17" t="n">
        <f aca="false">IFERROR(VALUE(RIGHT($A915,2)),"")</f>
        <v>10</v>
      </c>
      <c r="D915" s="17" t="n">
        <f aca="false">IFERROR(ROUNDUP($C915/3,0),"")</f>
        <v>4</v>
      </c>
      <c r="E915" s="11" t="str">
        <f aca="false">TRIM('수출입 실적(품목별)'!B919)</f>
        <v>45</v>
      </c>
      <c r="F915" s="11" t="str">
        <f aca="false">TRIM('수출입 실적(품목별)'!C919)</f>
        <v>코르크(cork)와 그 제품</v>
      </c>
      <c r="G915" s="18" t="n">
        <f aca="false">IFERROR(VALUE(SUBSTITUTE(TRIM('수출입 실적(품목별)'!D919),",","")),"")</f>
        <v>3</v>
      </c>
      <c r="H915" s="19" t="n">
        <f aca="false">IFERROR(VALUE(SUBSTITUTE(TRIM('수출입 실적(품목별)'!E919),",","")),"")</f>
        <v>66</v>
      </c>
      <c r="I915" s="18" t="n">
        <f aca="false">IFERROR(VALUE(SUBSTITUTE(TRIM('수출입 실적(품목별)'!F919),",","")),"")</f>
        <v>77.5</v>
      </c>
      <c r="J915" s="19" t="n">
        <f aca="false">IFERROR(VALUE(SUBSTITUTE(TRIM('수출입 실적(품목별)'!G919),",","")),"")</f>
        <v>342</v>
      </c>
      <c r="K915" s="19" t="n">
        <f aca="false">IFERROR(VALUE(SUBSTITUTE(TRIM('수출입 실적(품목별)'!H919),",","")),"")</f>
        <v>-277</v>
      </c>
    </row>
    <row r="916" customFormat="false" ht="15" hidden="false" customHeight="true" outlineLevel="0" collapsed="false">
      <c r="A916" s="11" t="str">
        <f aca="false">TRIM('수출입 실적(품목별)'!A920)</f>
        <v>2024.10</v>
      </c>
      <c r="B916" s="17" t="n">
        <f aca="false">IFERROR(VALUE(LEFT($A916,4)),"")</f>
        <v>2024</v>
      </c>
      <c r="C916" s="17" t="n">
        <f aca="false">IFERROR(VALUE(RIGHT($A916,2)),"")</f>
        <v>10</v>
      </c>
      <c r="D916" s="17" t="n">
        <f aca="false">IFERROR(ROUNDUP($C916/3,0),"")</f>
        <v>4</v>
      </c>
      <c r="E916" s="11" t="str">
        <f aca="false">TRIM('수출입 실적(품목별)'!B920)</f>
        <v>46</v>
      </c>
      <c r="F916" s="11" t="str">
        <f aca="false">TRIM('수출입 실적(품목별)'!C920)</f>
        <v>짚ㆍ에스파르토(esparto)나 그 밖의 조물 재료의 제품, 바구니 세공물(basketware)과 지조세공물(枝條細工物)</v>
      </c>
      <c r="G916" s="18" t="n">
        <f aca="false">IFERROR(VALUE(SUBSTITUTE(TRIM('수출입 실적(품목별)'!D920),",","")),"")</f>
        <v>3.2</v>
      </c>
      <c r="H916" s="19" t="n">
        <f aca="false">IFERROR(VALUE(SUBSTITUTE(TRIM('수출입 실적(품목별)'!E920),",","")),"")</f>
        <v>105</v>
      </c>
      <c r="I916" s="18" t="n">
        <f aca="false">IFERROR(VALUE(SUBSTITUTE(TRIM('수출입 실적(품목별)'!F920),",","")),"")</f>
        <v>269.8</v>
      </c>
      <c r="J916" s="19" t="n">
        <f aca="false">IFERROR(VALUE(SUBSTITUTE(TRIM('수출입 실적(품목별)'!G920),",","")),"")</f>
        <v>1090</v>
      </c>
      <c r="K916" s="19" t="n">
        <f aca="false">IFERROR(VALUE(SUBSTITUTE(TRIM('수출입 실적(품목별)'!H920),",","")),"")</f>
        <v>-985</v>
      </c>
    </row>
    <row r="917" customFormat="false" ht="15" hidden="false" customHeight="true" outlineLevel="0" collapsed="false">
      <c r="A917" s="11" t="str">
        <f aca="false">TRIM('수출입 실적(품목별)'!A921)</f>
        <v>2024.10</v>
      </c>
      <c r="B917" s="17" t="n">
        <f aca="false">IFERROR(VALUE(LEFT($A917,4)),"")</f>
        <v>2024</v>
      </c>
      <c r="C917" s="17" t="n">
        <f aca="false">IFERROR(VALUE(RIGHT($A917,2)),"")</f>
        <v>10</v>
      </c>
      <c r="D917" s="17" t="n">
        <f aca="false">IFERROR(ROUNDUP($C917/3,0),"")</f>
        <v>4</v>
      </c>
      <c r="E917" s="11" t="str">
        <f aca="false">TRIM('수출입 실적(품목별)'!B921)</f>
        <v>47</v>
      </c>
      <c r="F917" s="11" t="str">
        <f aca="false">TRIM('수출입 실적(품목별)'!C921)</f>
        <v>목재나 그 밖의 섬유질 셀룰로오스재료의 펄프, 회수한 종이ㆍ판지[웨이스트(waste)와 스크랩(scrap)]</v>
      </c>
      <c r="G917" s="18" t="n">
        <f aca="false">IFERROR(VALUE(SUBSTITUTE(TRIM('수출입 실적(품목별)'!D921),",","")),"")</f>
        <v>45250.2</v>
      </c>
      <c r="H917" s="19" t="n">
        <f aca="false">IFERROR(VALUE(SUBSTITUTE(TRIM('수출입 실적(품목별)'!E921),",","")),"")</f>
        <v>10903</v>
      </c>
      <c r="I917" s="18" t="n">
        <f aca="false">IFERROR(VALUE(SUBSTITUTE(TRIM('수출입 실적(품목별)'!F921),",","")),"")</f>
        <v>236428.5</v>
      </c>
      <c r="J917" s="19" t="n">
        <f aca="false">IFERROR(VALUE(SUBSTITUTE(TRIM('수출입 실적(품목별)'!G921),",","")),"")</f>
        <v>131856</v>
      </c>
      <c r="K917" s="19" t="n">
        <f aca="false">IFERROR(VALUE(SUBSTITUTE(TRIM('수출입 실적(품목별)'!H921),",","")),"")</f>
        <v>-120952</v>
      </c>
    </row>
    <row r="918" customFormat="false" ht="15" hidden="false" customHeight="true" outlineLevel="0" collapsed="false">
      <c r="A918" s="11" t="str">
        <f aca="false">TRIM('수출입 실적(품목별)'!A922)</f>
        <v>2024.10</v>
      </c>
      <c r="B918" s="17" t="n">
        <f aca="false">IFERROR(VALUE(LEFT($A918,4)),"")</f>
        <v>2024</v>
      </c>
      <c r="C918" s="17" t="n">
        <f aca="false">IFERROR(VALUE(RIGHT($A918,2)),"")</f>
        <v>10</v>
      </c>
      <c r="D918" s="17" t="n">
        <f aca="false">IFERROR(ROUNDUP($C918/3,0),"")</f>
        <v>4</v>
      </c>
      <c r="E918" s="11" t="str">
        <f aca="false">TRIM('수출입 실적(품목별)'!B922)</f>
        <v>48</v>
      </c>
      <c r="F918" s="11" t="str">
        <f aca="false">TRIM('수출입 실적(품목별)'!C922)</f>
        <v>종이와 판지, 제지용 펄프ㆍ종이ㆍ판지의 제품</v>
      </c>
      <c r="G918" s="18" t="n">
        <f aca="false">IFERROR(VALUE(SUBSTITUTE(TRIM('수출입 실적(품목별)'!D922),",","")),"")</f>
        <v>230643.2</v>
      </c>
      <c r="H918" s="19" t="n">
        <f aca="false">IFERROR(VALUE(SUBSTITUTE(TRIM('수출입 실적(품목별)'!E922),",","")),"")</f>
        <v>227603</v>
      </c>
      <c r="I918" s="18" t="n">
        <f aca="false">IFERROR(VALUE(SUBSTITUTE(TRIM('수출입 실적(품목별)'!F922),",","")),"")</f>
        <v>136060.9</v>
      </c>
      <c r="J918" s="19" t="n">
        <f aca="false">IFERROR(VALUE(SUBSTITUTE(TRIM('수출입 실적(품목별)'!G922),",","")),"")</f>
        <v>196840</v>
      </c>
      <c r="K918" s="19" t="n">
        <f aca="false">IFERROR(VALUE(SUBSTITUTE(TRIM('수출입 실적(품목별)'!H922),",","")),"")</f>
        <v>30763</v>
      </c>
    </row>
    <row r="919" customFormat="false" ht="15" hidden="false" customHeight="true" outlineLevel="0" collapsed="false">
      <c r="A919" s="11" t="str">
        <f aca="false">TRIM('수출입 실적(품목별)'!A923)</f>
        <v>2024.10</v>
      </c>
      <c r="B919" s="17" t="n">
        <f aca="false">IFERROR(VALUE(LEFT($A919,4)),"")</f>
        <v>2024</v>
      </c>
      <c r="C919" s="17" t="n">
        <f aca="false">IFERROR(VALUE(RIGHT($A919,2)),"")</f>
        <v>10</v>
      </c>
      <c r="D919" s="17" t="n">
        <f aca="false">IFERROR(ROUNDUP($C919/3,0),"")</f>
        <v>4</v>
      </c>
      <c r="E919" s="11" t="str">
        <f aca="false">TRIM('수출입 실적(품목별)'!B923)</f>
        <v>49</v>
      </c>
      <c r="F919" s="11" t="str">
        <f aca="false">TRIM('수출입 실적(품목별)'!C923)</f>
        <v>인쇄서적ㆍ신문ㆍ회화ㆍ그 밖의 인쇄물, 수제(手製)문서ㆍ타자문서ㆍ도면</v>
      </c>
      <c r="G919" s="18" t="n">
        <f aca="false">IFERROR(VALUE(SUBSTITUTE(TRIM('수출입 실적(품목별)'!D923),",","")),"")</f>
        <v>4415.8</v>
      </c>
      <c r="H919" s="19" t="n">
        <f aca="false">IFERROR(VALUE(SUBSTITUTE(TRIM('수출입 실적(품목별)'!E923),",","")),"")</f>
        <v>36848</v>
      </c>
      <c r="I919" s="18" t="n">
        <f aca="false">IFERROR(VALUE(SUBSTITUTE(TRIM('수출입 실적(품목별)'!F923),",","")),"")</f>
        <v>1191.7</v>
      </c>
      <c r="J919" s="19" t="n">
        <f aca="false">IFERROR(VALUE(SUBSTITUTE(TRIM('수출입 실적(품목별)'!G923),",","")),"")</f>
        <v>21325</v>
      </c>
      <c r="K919" s="19" t="n">
        <f aca="false">IFERROR(VALUE(SUBSTITUTE(TRIM('수출입 실적(품목별)'!H923),",","")),"")</f>
        <v>15523</v>
      </c>
    </row>
    <row r="920" customFormat="false" ht="15" hidden="false" customHeight="true" outlineLevel="0" collapsed="false">
      <c r="A920" s="11" t="str">
        <f aca="false">TRIM('수출입 실적(품목별)'!A924)</f>
        <v>2024.10</v>
      </c>
      <c r="B920" s="17" t="n">
        <f aca="false">IFERROR(VALUE(LEFT($A920,4)),"")</f>
        <v>2024</v>
      </c>
      <c r="C920" s="17" t="n">
        <f aca="false">IFERROR(VALUE(RIGHT($A920,2)),"")</f>
        <v>10</v>
      </c>
      <c r="D920" s="17" t="n">
        <f aca="false">IFERROR(ROUNDUP($C920/3,0),"")</f>
        <v>4</v>
      </c>
      <c r="E920" s="11" t="str">
        <f aca="false">TRIM('수출입 실적(품목별)'!B924)</f>
        <v>50</v>
      </c>
      <c r="F920" s="11" t="str">
        <f aca="false">TRIM('수출입 실적(품목별)'!C924)</f>
        <v>견</v>
      </c>
      <c r="G920" s="18" t="n">
        <f aca="false">IFERROR(VALUE(SUBSTITUTE(TRIM('수출입 실적(품목별)'!D924),",","")),"")</f>
        <v>10</v>
      </c>
      <c r="H920" s="19" t="n">
        <f aca="false">IFERROR(VALUE(SUBSTITUTE(TRIM('수출입 실적(품목별)'!E924),",","")),"")</f>
        <v>1609</v>
      </c>
      <c r="I920" s="18" t="n">
        <f aca="false">IFERROR(VALUE(SUBSTITUTE(TRIM('수출입 실적(품목별)'!F924),",","")),"")</f>
        <v>34.3</v>
      </c>
      <c r="J920" s="19" t="n">
        <f aca="false">IFERROR(VALUE(SUBSTITUTE(TRIM('수출입 실적(품목별)'!G924),",","")),"")</f>
        <v>2761</v>
      </c>
      <c r="K920" s="19" t="n">
        <f aca="false">IFERROR(VALUE(SUBSTITUTE(TRIM('수출입 실적(품목별)'!H924),",","")),"")</f>
        <v>-1152</v>
      </c>
    </row>
    <row r="921" customFormat="false" ht="15" hidden="false" customHeight="true" outlineLevel="0" collapsed="false">
      <c r="A921" s="11" t="str">
        <f aca="false">TRIM('수출입 실적(품목별)'!A925)</f>
        <v>2024.10</v>
      </c>
      <c r="B921" s="17" t="n">
        <f aca="false">IFERROR(VALUE(LEFT($A921,4)),"")</f>
        <v>2024</v>
      </c>
      <c r="C921" s="17" t="n">
        <f aca="false">IFERROR(VALUE(RIGHT($A921,2)),"")</f>
        <v>10</v>
      </c>
      <c r="D921" s="17" t="n">
        <f aca="false">IFERROR(ROUNDUP($C921/3,0),"")</f>
        <v>4</v>
      </c>
      <c r="E921" s="11" t="str">
        <f aca="false">TRIM('수출입 실적(품목별)'!B925)</f>
        <v>51</v>
      </c>
      <c r="F921" s="11" t="str">
        <f aca="false">TRIM('수출입 실적(품목별)'!C925)</f>
        <v>양모ㆍ동물의 부드러운 털이나 거친 털ㆍ말의 털로 만든 실과 직물</v>
      </c>
      <c r="G921" s="18" t="n">
        <f aca="false">IFERROR(VALUE(SUBSTITUTE(TRIM('수출입 실적(품목별)'!D925),",","")),"")</f>
        <v>126.8</v>
      </c>
      <c r="H921" s="19" t="n">
        <f aca="false">IFERROR(VALUE(SUBSTITUTE(TRIM('수출입 실적(품목별)'!E925),",","")),"")</f>
        <v>2008</v>
      </c>
      <c r="I921" s="18" t="n">
        <f aca="false">IFERROR(VALUE(SUBSTITUTE(TRIM('수출입 실적(품목별)'!F925),",","")),"")</f>
        <v>723.1</v>
      </c>
      <c r="J921" s="19" t="n">
        <f aca="false">IFERROR(VALUE(SUBSTITUTE(TRIM('수출입 실적(품목별)'!G925),",","")),"")</f>
        <v>16806</v>
      </c>
      <c r="K921" s="19" t="n">
        <f aca="false">IFERROR(VALUE(SUBSTITUTE(TRIM('수출입 실적(품목별)'!H925),",","")),"")</f>
        <v>-14798</v>
      </c>
    </row>
    <row r="922" customFormat="false" ht="15" hidden="false" customHeight="true" outlineLevel="0" collapsed="false">
      <c r="A922" s="11" t="str">
        <f aca="false">TRIM('수출입 실적(품목별)'!A926)</f>
        <v>2024.10</v>
      </c>
      <c r="B922" s="17" t="n">
        <f aca="false">IFERROR(VALUE(LEFT($A922,4)),"")</f>
        <v>2024</v>
      </c>
      <c r="C922" s="17" t="n">
        <f aca="false">IFERROR(VALUE(RIGHT($A922,2)),"")</f>
        <v>10</v>
      </c>
      <c r="D922" s="17" t="n">
        <f aca="false">IFERROR(ROUNDUP($C922/3,0),"")</f>
        <v>4</v>
      </c>
      <c r="E922" s="11" t="str">
        <f aca="false">TRIM('수출입 실적(품목별)'!B926)</f>
        <v>52</v>
      </c>
      <c r="F922" s="11" t="str">
        <f aca="false">TRIM('수출입 실적(품목별)'!C926)</f>
        <v>면</v>
      </c>
      <c r="G922" s="18" t="n">
        <f aca="false">IFERROR(VALUE(SUBSTITUTE(TRIM('수출입 실적(품목별)'!D926),",","")),"")</f>
        <v>3559.8</v>
      </c>
      <c r="H922" s="19" t="n">
        <f aca="false">IFERROR(VALUE(SUBSTITUTE(TRIM('수출입 실적(품목별)'!E926),",","")),"")</f>
        <v>27811</v>
      </c>
      <c r="I922" s="18" t="n">
        <f aca="false">IFERROR(VALUE(SUBSTITUTE(TRIM('수출입 실적(품목별)'!F926),",","")),"")</f>
        <v>20698.4</v>
      </c>
      <c r="J922" s="19" t="n">
        <f aca="false">IFERROR(VALUE(SUBSTITUTE(TRIM('수출입 실적(품목별)'!G926),",","")),"")</f>
        <v>65889</v>
      </c>
      <c r="K922" s="19" t="n">
        <f aca="false">IFERROR(VALUE(SUBSTITUTE(TRIM('수출입 실적(품목별)'!H926),",","")),"")</f>
        <v>-38077</v>
      </c>
    </row>
    <row r="923" customFormat="false" ht="15" hidden="false" customHeight="true" outlineLevel="0" collapsed="false">
      <c r="A923" s="11" t="str">
        <f aca="false">TRIM('수출입 실적(품목별)'!A927)</f>
        <v>2024.10</v>
      </c>
      <c r="B923" s="17" t="n">
        <f aca="false">IFERROR(VALUE(LEFT($A923,4)),"")</f>
        <v>2024</v>
      </c>
      <c r="C923" s="17" t="n">
        <f aca="false">IFERROR(VALUE(RIGHT($A923,2)),"")</f>
        <v>10</v>
      </c>
      <c r="D923" s="17" t="n">
        <f aca="false">IFERROR(ROUNDUP($C923/3,0),"")</f>
        <v>4</v>
      </c>
      <c r="E923" s="11" t="str">
        <f aca="false">TRIM('수출입 실적(품목별)'!B927)</f>
        <v>53</v>
      </c>
      <c r="F923" s="11" t="str">
        <f aca="false">TRIM('수출입 실적(품목별)'!C927)</f>
        <v>그 밖의 식물성 방직용 섬유, 종이실(paper yarn)과 종이실로 만든 직물</v>
      </c>
      <c r="G923" s="18" t="n">
        <f aca="false">IFERROR(VALUE(SUBSTITUTE(TRIM('수출입 실적(품목별)'!D927),",","")),"")</f>
        <v>18.5</v>
      </c>
      <c r="H923" s="19" t="n">
        <f aca="false">IFERROR(VALUE(SUBSTITUTE(TRIM('수출입 실적(품목별)'!E927),",","")),"")</f>
        <v>394</v>
      </c>
      <c r="I923" s="18" t="n">
        <f aca="false">IFERROR(VALUE(SUBSTITUTE(TRIM('수출입 실적(품목별)'!F927),",","")),"")</f>
        <v>1084.6</v>
      </c>
      <c r="J923" s="19" t="n">
        <f aca="false">IFERROR(VALUE(SUBSTITUTE(TRIM('수출입 실적(품목별)'!G927),",","")),"")</f>
        <v>4171</v>
      </c>
      <c r="K923" s="19" t="n">
        <f aca="false">IFERROR(VALUE(SUBSTITUTE(TRIM('수출입 실적(품목별)'!H927),",","")),"")</f>
        <v>-3776</v>
      </c>
    </row>
    <row r="924" customFormat="false" ht="15" hidden="false" customHeight="true" outlineLevel="0" collapsed="false">
      <c r="A924" s="11" t="str">
        <f aca="false">TRIM('수출입 실적(품목별)'!A928)</f>
        <v>2024.10</v>
      </c>
      <c r="B924" s="17" t="n">
        <f aca="false">IFERROR(VALUE(LEFT($A924,4)),"")</f>
        <v>2024</v>
      </c>
      <c r="C924" s="17" t="n">
        <f aca="false">IFERROR(VALUE(RIGHT($A924,2)),"")</f>
        <v>10</v>
      </c>
      <c r="D924" s="17" t="n">
        <f aca="false">IFERROR(ROUNDUP($C924/3,0),"")</f>
        <v>4</v>
      </c>
      <c r="E924" s="11" t="str">
        <f aca="false">TRIM('수출입 실적(품목별)'!B928)</f>
        <v>54</v>
      </c>
      <c r="F924" s="11" t="str">
        <f aca="false">TRIM('수출입 실적(품목별)'!C928)</f>
        <v>인조필라멘트, 인조방직용 섬유재료의 스트립(strip)과 이와 유사한 것</v>
      </c>
      <c r="G924" s="18" t="n">
        <f aca="false">IFERROR(VALUE(SUBSTITUTE(TRIM('수출입 실적(품목별)'!D928),",","")),"")</f>
        <v>24569.8</v>
      </c>
      <c r="H924" s="19" t="n">
        <f aca="false">IFERROR(VALUE(SUBSTITUTE(TRIM('수출입 실적(품목별)'!E928),",","")),"")</f>
        <v>159640</v>
      </c>
      <c r="I924" s="18" t="n">
        <f aca="false">IFERROR(VALUE(SUBSTITUTE(TRIM('수출입 실적(품목별)'!F928),",","")),"")</f>
        <v>39178.2</v>
      </c>
      <c r="J924" s="19" t="n">
        <f aca="false">IFERROR(VALUE(SUBSTITUTE(TRIM('수출입 실적(품목별)'!G928),",","")),"")</f>
        <v>87568</v>
      </c>
      <c r="K924" s="19" t="n">
        <f aca="false">IFERROR(VALUE(SUBSTITUTE(TRIM('수출입 실적(품목별)'!H928),",","")),"")</f>
        <v>72072</v>
      </c>
    </row>
    <row r="925" customFormat="false" ht="15" hidden="false" customHeight="true" outlineLevel="0" collapsed="false">
      <c r="A925" s="11" t="str">
        <f aca="false">TRIM('수출입 실적(품목별)'!A929)</f>
        <v>2024.10</v>
      </c>
      <c r="B925" s="17" t="n">
        <f aca="false">IFERROR(VALUE(LEFT($A925,4)),"")</f>
        <v>2024</v>
      </c>
      <c r="C925" s="17" t="n">
        <f aca="false">IFERROR(VALUE(RIGHT($A925,2)),"")</f>
        <v>10</v>
      </c>
      <c r="D925" s="17" t="n">
        <f aca="false">IFERROR(ROUNDUP($C925/3,0),"")</f>
        <v>4</v>
      </c>
      <c r="E925" s="11" t="str">
        <f aca="false">TRIM('수출입 실적(품목별)'!B929)</f>
        <v>55</v>
      </c>
      <c r="F925" s="11" t="str">
        <f aca="false">TRIM('수출입 실적(품목별)'!C929)</f>
        <v>인조스테이플섬유</v>
      </c>
      <c r="G925" s="18" t="n">
        <f aca="false">IFERROR(VALUE(SUBSTITUTE(TRIM('수출입 실적(품목별)'!D929),",","")),"")</f>
        <v>56094.6</v>
      </c>
      <c r="H925" s="19" t="n">
        <f aca="false">IFERROR(VALUE(SUBSTITUTE(TRIM('수출입 실적(품목별)'!E929),",","")),"")</f>
        <v>100424</v>
      </c>
      <c r="I925" s="18" t="n">
        <f aca="false">IFERROR(VALUE(SUBSTITUTE(TRIM('수출입 실적(품목별)'!F929),",","")),"")</f>
        <v>13686.9</v>
      </c>
      <c r="J925" s="19" t="n">
        <f aca="false">IFERROR(VALUE(SUBSTITUTE(TRIM('수출입 실적(품목별)'!G929),",","")),"")</f>
        <v>51197</v>
      </c>
      <c r="K925" s="19" t="n">
        <f aca="false">IFERROR(VALUE(SUBSTITUTE(TRIM('수출입 실적(품목별)'!H929),",","")),"")</f>
        <v>49226</v>
      </c>
    </row>
    <row r="926" customFormat="false" ht="15" hidden="false" customHeight="true" outlineLevel="0" collapsed="false">
      <c r="A926" s="11" t="str">
        <f aca="false">TRIM('수출입 실적(품목별)'!A930)</f>
        <v>2024.10</v>
      </c>
      <c r="B926" s="17" t="n">
        <f aca="false">IFERROR(VALUE(LEFT($A926,4)),"")</f>
        <v>2024</v>
      </c>
      <c r="C926" s="17" t="n">
        <f aca="false">IFERROR(VALUE(RIGHT($A926,2)),"")</f>
        <v>10</v>
      </c>
      <c r="D926" s="17" t="n">
        <f aca="false">IFERROR(ROUNDUP($C926/3,0),"")</f>
        <v>4</v>
      </c>
      <c r="E926" s="11" t="str">
        <f aca="false">TRIM('수출입 실적(품목별)'!B930)</f>
        <v>56</v>
      </c>
      <c r="F926" s="11" t="str">
        <f aca="false">TRIM('수출입 실적(품목별)'!C930)</f>
        <v>워딩(wadding)ㆍ펠트(felt)ㆍ부직포, 특수사, 끈ㆍ배의 밧줄(cordage)ㆍ로프ㆍ케이블과 이들의 제품</v>
      </c>
      <c r="G926" s="18" t="n">
        <f aca="false">IFERROR(VALUE(SUBSTITUTE(TRIM('수출입 실적(품목별)'!D930),",","")),"")</f>
        <v>9561.9</v>
      </c>
      <c r="H926" s="19" t="n">
        <f aca="false">IFERROR(VALUE(SUBSTITUTE(TRIM('수출입 실적(품목별)'!E930),",","")),"")</f>
        <v>60100</v>
      </c>
      <c r="I926" s="18" t="n">
        <f aca="false">IFERROR(VALUE(SUBSTITUTE(TRIM('수출입 실적(품목별)'!F930),",","")),"")</f>
        <v>19064.8</v>
      </c>
      <c r="J926" s="19" t="n">
        <f aca="false">IFERROR(VALUE(SUBSTITUTE(TRIM('수출입 실적(품목별)'!G930),",","")),"")</f>
        <v>57754</v>
      </c>
      <c r="K926" s="19" t="n">
        <f aca="false">IFERROR(VALUE(SUBSTITUTE(TRIM('수출입 실적(품목별)'!H930),",","")),"")</f>
        <v>2346</v>
      </c>
    </row>
    <row r="927" customFormat="false" ht="15" hidden="false" customHeight="true" outlineLevel="0" collapsed="false">
      <c r="A927" s="11" t="str">
        <f aca="false">TRIM('수출입 실적(품목별)'!A931)</f>
        <v>2024.10</v>
      </c>
      <c r="B927" s="17" t="n">
        <f aca="false">IFERROR(VALUE(LEFT($A927,4)),"")</f>
        <v>2024</v>
      </c>
      <c r="C927" s="17" t="n">
        <f aca="false">IFERROR(VALUE(RIGHT($A927,2)),"")</f>
        <v>10</v>
      </c>
      <c r="D927" s="17" t="n">
        <f aca="false">IFERROR(ROUNDUP($C927/3,0),"")</f>
        <v>4</v>
      </c>
      <c r="E927" s="11" t="str">
        <f aca="false">TRIM('수출입 실적(품목별)'!B931)</f>
        <v>57</v>
      </c>
      <c r="F927" s="11" t="str">
        <f aca="false">TRIM('수출입 실적(품목별)'!C931)</f>
        <v>양탄자류와 그 밖의 방직용 섬유로 만든 바닥깔개</v>
      </c>
      <c r="G927" s="18" t="n">
        <f aca="false">IFERROR(VALUE(SUBSTITUTE(TRIM('수출입 실적(품목별)'!D931),",","")),"")</f>
        <v>540.5</v>
      </c>
      <c r="H927" s="19" t="n">
        <f aca="false">IFERROR(VALUE(SUBSTITUTE(TRIM('수출입 실적(품목별)'!E931),",","")),"")</f>
        <v>5968</v>
      </c>
      <c r="I927" s="18" t="n">
        <f aca="false">IFERROR(VALUE(SUBSTITUTE(TRIM('수출입 실적(품목별)'!F931),",","")),"")</f>
        <v>5111</v>
      </c>
      <c r="J927" s="19" t="n">
        <f aca="false">IFERROR(VALUE(SUBSTITUTE(TRIM('수출입 실적(품목별)'!G931),",","")),"")</f>
        <v>10086</v>
      </c>
      <c r="K927" s="19" t="n">
        <f aca="false">IFERROR(VALUE(SUBSTITUTE(TRIM('수출입 실적(품목별)'!H931),",","")),"")</f>
        <v>-4118</v>
      </c>
    </row>
    <row r="928" customFormat="false" ht="15" hidden="false" customHeight="true" outlineLevel="0" collapsed="false">
      <c r="A928" s="11" t="str">
        <f aca="false">TRIM('수출입 실적(품목별)'!A932)</f>
        <v>2024.10</v>
      </c>
      <c r="B928" s="17" t="n">
        <f aca="false">IFERROR(VALUE(LEFT($A928,4)),"")</f>
        <v>2024</v>
      </c>
      <c r="C928" s="17" t="n">
        <f aca="false">IFERROR(VALUE(RIGHT($A928,2)),"")</f>
        <v>10</v>
      </c>
      <c r="D928" s="17" t="n">
        <f aca="false">IFERROR(ROUNDUP($C928/3,0),"")</f>
        <v>4</v>
      </c>
      <c r="E928" s="11" t="str">
        <f aca="false">TRIM('수출입 실적(품목별)'!B932)</f>
        <v>58</v>
      </c>
      <c r="F928" s="11" t="str">
        <f aca="false">TRIM('수출입 실적(품목별)'!C932)</f>
        <v>특수직물, 터프트(tuft)한 직물, 레이스, 태피스트리(tapestry), 트리밍(trimming), 자수천</v>
      </c>
      <c r="G928" s="18" t="n">
        <f aca="false">IFERROR(VALUE(SUBSTITUTE(TRIM('수출입 실적(품목별)'!D932),",","")),"")</f>
        <v>1442.1</v>
      </c>
      <c r="H928" s="19" t="n">
        <f aca="false">IFERROR(VALUE(SUBSTITUTE(TRIM('수출입 실적(품목별)'!E932),",","")),"")</f>
        <v>17551</v>
      </c>
      <c r="I928" s="18" t="n">
        <f aca="false">IFERROR(VALUE(SUBSTITUTE(TRIM('수출입 실적(품목별)'!F932),",","")),"")</f>
        <v>1320.3</v>
      </c>
      <c r="J928" s="19" t="n">
        <f aca="false">IFERROR(VALUE(SUBSTITUTE(TRIM('수출입 실적(품목별)'!G932),",","")),"")</f>
        <v>8738</v>
      </c>
      <c r="K928" s="19" t="n">
        <f aca="false">IFERROR(VALUE(SUBSTITUTE(TRIM('수출입 실적(품목별)'!H932),",","")),"")</f>
        <v>8813</v>
      </c>
    </row>
    <row r="929" customFormat="false" ht="15" hidden="false" customHeight="true" outlineLevel="0" collapsed="false">
      <c r="A929" s="11" t="str">
        <f aca="false">TRIM('수출입 실적(품목별)'!A933)</f>
        <v>2024.10</v>
      </c>
      <c r="B929" s="17" t="n">
        <f aca="false">IFERROR(VALUE(LEFT($A929,4)),"")</f>
        <v>2024</v>
      </c>
      <c r="C929" s="17" t="n">
        <f aca="false">IFERROR(VALUE(RIGHT($A929,2)),"")</f>
        <v>10</v>
      </c>
      <c r="D929" s="17" t="n">
        <f aca="false">IFERROR(ROUNDUP($C929/3,0),"")</f>
        <v>4</v>
      </c>
      <c r="E929" s="11" t="str">
        <f aca="false">TRIM('수출입 실적(품목별)'!B933)</f>
        <v>59</v>
      </c>
      <c r="F929" s="11" t="str">
        <f aca="false">TRIM('수출입 실적(품목별)'!C933)</f>
        <v>침투ㆍ도포ㆍ피복하거나 적층한 방직용 섬유의 직물, 공업용인 방직용 섬유제품</v>
      </c>
      <c r="G929" s="18" t="n">
        <f aca="false">IFERROR(VALUE(SUBSTITUTE(TRIM('수출입 실적(품목별)'!D933),",","")),"")</f>
        <v>9178.1</v>
      </c>
      <c r="H929" s="19" t="n">
        <f aca="false">IFERROR(VALUE(SUBSTITUTE(TRIM('수출입 실적(품목별)'!E933),",","")),"")</f>
        <v>94689</v>
      </c>
      <c r="I929" s="18" t="n">
        <f aca="false">IFERROR(VALUE(SUBSTITUTE(TRIM('수출입 실적(품목별)'!F933),",","")),"")</f>
        <v>6269.8</v>
      </c>
      <c r="J929" s="19" t="n">
        <f aca="false">IFERROR(VALUE(SUBSTITUTE(TRIM('수출입 실적(품목별)'!G933),",","")),"")</f>
        <v>38027</v>
      </c>
      <c r="K929" s="19" t="n">
        <f aca="false">IFERROR(VALUE(SUBSTITUTE(TRIM('수출입 실적(품목별)'!H933),",","")),"")</f>
        <v>56662</v>
      </c>
    </row>
    <row r="930" customFormat="false" ht="15" hidden="false" customHeight="true" outlineLevel="0" collapsed="false">
      <c r="A930" s="11" t="str">
        <f aca="false">TRIM('수출입 실적(품목별)'!A934)</f>
        <v>2024.10</v>
      </c>
      <c r="B930" s="17" t="n">
        <f aca="false">IFERROR(VALUE(LEFT($A930,4)),"")</f>
        <v>2024</v>
      </c>
      <c r="C930" s="17" t="n">
        <f aca="false">IFERROR(VALUE(RIGHT($A930,2)),"")</f>
        <v>10</v>
      </c>
      <c r="D930" s="17" t="n">
        <f aca="false">IFERROR(ROUNDUP($C930/3,0),"")</f>
        <v>4</v>
      </c>
      <c r="E930" s="11" t="str">
        <f aca="false">TRIM('수출입 실적(품목별)'!B934)</f>
        <v>60</v>
      </c>
      <c r="F930" s="11" t="str">
        <f aca="false">TRIM('수출입 실적(품목별)'!C934)</f>
        <v>메리야스 편물과 뜨개질 편물</v>
      </c>
      <c r="G930" s="18" t="n">
        <f aca="false">IFERROR(VALUE(SUBSTITUTE(TRIM('수출입 실적(품목별)'!D934),",","")),"")</f>
        <v>17358.8</v>
      </c>
      <c r="H930" s="19" t="n">
        <f aca="false">IFERROR(VALUE(SUBSTITUTE(TRIM('수출입 실적(품목별)'!E934),",","")),"")</f>
        <v>135865</v>
      </c>
      <c r="I930" s="18" t="n">
        <f aca="false">IFERROR(VALUE(SUBSTITUTE(TRIM('수출입 실적(품목별)'!F934),",","")),"")</f>
        <v>2107.4</v>
      </c>
      <c r="J930" s="19" t="n">
        <f aca="false">IFERROR(VALUE(SUBSTITUTE(TRIM('수출입 실적(품목별)'!G934),",","")),"")</f>
        <v>11565</v>
      </c>
      <c r="K930" s="19" t="n">
        <f aca="false">IFERROR(VALUE(SUBSTITUTE(TRIM('수출입 실적(품목별)'!H934),",","")),"")</f>
        <v>124301</v>
      </c>
    </row>
    <row r="931" customFormat="false" ht="15" hidden="false" customHeight="true" outlineLevel="0" collapsed="false">
      <c r="A931" s="11" t="str">
        <f aca="false">TRIM('수출입 실적(품목별)'!A935)</f>
        <v>2024.10</v>
      </c>
      <c r="B931" s="17" t="n">
        <f aca="false">IFERROR(VALUE(LEFT($A931,4)),"")</f>
        <v>2024</v>
      </c>
      <c r="C931" s="17" t="n">
        <f aca="false">IFERROR(VALUE(RIGHT($A931,2)),"")</f>
        <v>10</v>
      </c>
      <c r="D931" s="17" t="n">
        <f aca="false">IFERROR(ROUNDUP($C931/3,0),"")</f>
        <v>4</v>
      </c>
      <c r="E931" s="11" t="str">
        <f aca="false">TRIM('수출입 실적(품목별)'!B935)</f>
        <v>61</v>
      </c>
      <c r="F931" s="11" t="str">
        <f aca="false">TRIM('수출입 실적(품목별)'!C935)</f>
        <v>의류와 그 부속품(메리야스 편물이나 뜨개질 편물로 한정한다)</v>
      </c>
      <c r="G931" s="18" t="n">
        <f aca="false">IFERROR(VALUE(SUBSTITUTE(TRIM('수출입 실적(품목별)'!D935),",","")),"")</f>
        <v>2826.2</v>
      </c>
      <c r="H931" s="19" t="n">
        <f aca="false">IFERROR(VALUE(SUBSTITUTE(TRIM('수출입 실적(품목별)'!E935),",","")),"")</f>
        <v>70335</v>
      </c>
      <c r="I931" s="18" t="n">
        <f aca="false">IFERROR(VALUE(SUBSTITUTE(TRIM('수출입 실적(품목별)'!F935),",","")),"")</f>
        <v>29722.1</v>
      </c>
      <c r="J931" s="19" t="n">
        <f aca="false">IFERROR(VALUE(SUBSTITUTE(TRIM('수출입 실적(품목별)'!G935),",","")),"")</f>
        <v>500515</v>
      </c>
      <c r="K931" s="19" t="n">
        <f aca="false">IFERROR(VALUE(SUBSTITUTE(TRIM('수출입 실적(품목별)'!H935),",","")),"")</f>
        <v>-430179</v>
      </c>
    </row>
    <row r="932" customFormat="false" ht="15" hidden="false" customHeight="true" outlineLevel="0" collapsed="false">
      <c r="A932" s="11" t="str">
        <f aca="false">TRIM('수출입 실적(품목별)'!A936)</f>
        <v>2024.10</v>
      </c>
      <c r="B932" s="17" t="n">
        <f aca="false">IFERROR(VALUE(LEFT($A932,4)),"")</f>
        <v>2024</v>
      </c>
      <c r="C932" s="17" t="n">
        <f aca="false">IFERROR(VALUE(RIGHT($A932,2)),"")</f>
        <v>10</v>
      </c>
      <c r="D932" s="17" t="n">
        <f aca="false">IFERROR(ROUNDUP($C932/3,0),"")</f>
        <v>4</v>
      </c>
      <c r="E932" s="11" t="str">
        <f aca="false">TRIM('수출입 실적(품목별)'!B936)</f>
        <v>62</v>
      </c>
      <c r="F932" s="11" t="str">
        <f aca="false">TRIM('수출입 실적(품목별)'!C936)</f>
        <v>의류와 그 부속품(메리야스 편물이나 뜨개질편물은 제외한다)</v>
      </c>
      <c r="G932" s="18" t="n">
        <f aca="false">IFERROR(VALUE(SUBSTITUTE(TRIM('수출입 실적(품목별)'!D936),",","")),"")</f>
        <v>3186.2</v>
      </c>
      <c r="H932" s="19" t="n">
        <f aca="false">IFERROR(VALUE(SUBSTITUTE(TRIM('수출입 실적(품목별)'!E936),",","")),"")</f>
        <v>84853</v>
      </c>
      <c r="I932" s="18" t="n">
        <f aca="false">IFERROR(VALUE(SUBSTITUTE(TRIM('수출입 실적(품목별)'!F936),",","")),"")</f>
        <v>30505.9</v>
      </c>
      <c r="J932" s="19" t="n">
        <f aca="false">IFERROR(VALUE(SUBSTITUTE(TRIM('수출입 실적(품목별)'!G936),",","")),"")</f>
        <v>837049</v>
      </c>
      <c r="K932" s="19" t="n">
        <f aca="false">IFERROR(VALUE(SUBSTITUTE(TRIM('수출입 실적(품목별)'!H936),",","")),"")</f>
        <v>-752196</v>
      </c>
    </row>
    <row r="933" customFormat="false" ht="15" hidden="false" customHeight="true" outlineLevel="0" collapsed="false">
      <c r="A933" s="11" t="str">
        <f aca="false">TRIM('수출입 실적(품목별)'!A937)</f>
        <v>2024.10</v>
      </c>
      <c r="B933" s="17" t="n">
        <f aca="false">IFERROR(VALUE(LEFT($A933,4)),"")</f>
        <v>2024</v>
      </c>
      <c r="C933" s="17" t="n">
        <f aca="false">IFERROR(VALUE(RIGHT($A933,2)),"")</f>
        <v>10</v>
      </c>
      <c r="D933" s="17" t="n">
        <f aca="false">IFERROR(ROUNDUP($C933/3,0),"")</f>
        <v>4</v>
      </c>
      <c r="E933" s="11" t="str">
        <f aca="false">TRIM('수출입 실적(품목별)'!B937)</f>
        <v>63</v>
      </c>
      <c r="F933" s="11" t="str">
        <f aca="false">TRIM('수출입 실적(품목별)'!C937)</f>
        <v>제품으로 된 방직용 섬유의 그 밖의 물품, 세트, 사용하던 의류ㆍ방직용 섬유제품, 넝마</v>
      </c>
      <c r="G933" s="18" t="n">
        <f aca="false">IFERROR(VALUE(SUBSTITUTE(TRIM('수출입 실적(품목별)'!D937),",","")),"")</f>
        <v>29278.4</v>
      </c>
      <c r="H933" s="19" t="n">
        <f aca="false">IFERROR(VALUE(SUBSTITUTE(TRIM('수출입 실적(품목별)'!E937),",","")),"")</f>
        <v>57274</v>
      </c>
      <c r="I933" s="18" t="n">
        <f aca="false">IFERROR(VALUE(SUBSTITUTE(TRIM('수출입 실적(품목별)'!F937),",","")),"")</f>
        <v>29482.2</v>
      </c>
      <c r="J933" s="19" t="n">
        <f aca="false">IFERROR(VALUE(SUBSTITUTE(TRIM('수출입 실적(품목별)'!G937),",","")),"")</f>
        <v>121062</v>
      </c>
      <c r="K933" s="19" t="n">
        <f aca="false">IFERROR(VALUE(SUBSTITUTE(TRIM('수출입 실적(품목별)'!H937),",","")),"")</f>
        <v>-63789</v>
      </c>
    </row>
    <row r="934" customFormat="false" ht="15" hidden="false" customHeight="true" outlineLevel="0" collapsed="false">
      <c r="A934" s="11" t="str">
        <f aca="false">TRIM('수출입 실적(품목별)'!A938)</f>
        <v>2024.10</v>
      </c>
      <c r="B934" s="17" t="n">
        <f aca="false">IFERROR(VALUE(LEFT($A934,4)),"")</f>
        <v>2024</v>
      </c>
      <c r="C934" s="17" t="n">
        <f aca="false">IFERROR(VALUE(RIGHT($A934,2)),"")</f>
        <v>10</v>
      </c>
      <c r="D934" s="17" t="n">
        <f aca="false">IFERROR(ROUNDUP($C934/3,0),"")</f>
        <v>4</v>
      </c>
      <c r="E934" s="11" t="str">
        <f aca="false">TRIM('수출입 실적(품목별)'!B938)</f>
        <v>64</v>
      </c>
      <c r="F934" s="11" t="str">
        <f aca="false">TRIM('수출입 실적(품목별)'!C938)</f>
        <v>신발류ㆍ각반과 이와 유사한 것, 이들의 부분품</v>
      </c>
      <c r="G934" s="18" t="n">
        <f aca="false">IFERROR(VALUE(SUBSTITUTE(TRIM('수출입 실적(품목별)'!D938),",","")),"")</f>
        <v>1312.2</v>
      </c>
      <c r="H934" s="19" t="n">
        <f aca="false">IFERROR(VALUE(SUBSTITUTE(TRIM('수출입 실적(품목별)'!E938),",","")),"")</f>
        <v>27552</v>
      </c>
      <c r="I934" s="18" t="n">
        <f aca="false">IFERROR(VALUE(SUBSTITUTE(TRIM('수출입 실적(품목별)'!F938),",","")),"")</f>
        <v>11105</v>
      </c>
      <c r="J934" s="19" t="n">
        <f aca="false">IFERROR(VALUE(SUBSTITUTE(TRIM('수출입 실적(품목별)'!G938),",","")),"")</f>
        <v>283779</v>
      </c>
      <c r="K934" s="19" t="n">
        <f aca="false">IFERROR(VALUE(SUBSTITUTE(TRIM('수출입 실적(품목별)'!H938),",","")),"")</f>
        <v>-256227</v>
      </c>
    </row>
    <row r="935" customFormat="false" ht="15" hidden="false" customHeight="true" outlineLevel="0" collapsed="false">
      <c r="A935" s="11" t="str">
        <f aca="false">TRIM('수출입 실적(품목별)'!A939)</f>
        <v>2024.10</v>
      </c>
      <c r="B935" s="17" t="n">
        <f aca="false">IFERROR(VALUE(LEFT($A935,4)),"")</f>
        <v>2024</v>
      </c>
      <c r="C935" s="17" t="n">
        <f aca="false">IFERROR(VALUE(RIGHT($A935,2)),"")</f>
        <v>10</v>
      </c>
      <c r="D935" s="17" t="n">
        <f aca="false">IFERROR(ROUNDUP($C935/3,0),"")</f>
        <v>4</v>
      </c>
      <c r="E935" s="11" t="str">
        <f aca="false">TRIM('수출입 실적(품목별)'!B939)</f>
        <v>65</v>
      </c>
      <c r="F935" s="11" t="str">
        <f aca="false">TRIM('수출입 실적(품목별)'!C939)</f>
        <v>모자류와 그 부분품</v>
      </c>
      <c r="G935" s="18" t="n">
        <f aca="false">IFERROR(VALUE(SUBSTITUTE(TRIM('수출입 실적(품목별)'!D939),",","")),"")</f>
        <v>344.3</v>
      </c>
      <c r="H935" s="19" t="n">
        <f aca="false">IFERROR(VALUE(SUBSTITUTE(TRIM('수출입 실적(품목별)'!E939),",","")),"")</f>
        <v>10809</v>
      </c>
      <c r="I935" s="18" t="n">
        <f aca="false">IFERROR(VALUE(SUBSTITUTE(TRIM('수출입 실적(품목별)'!F939),",","")),"")</f>
        <v>1039.8</v>
      </c>
      <c r="J935" s="19" t="n">
        <f aca="false">IFERROR(VALUE(SUBSTITUTE(TRIM('수출입 실적(품목별)'!G939),",","")),"")</f>
        <v>26426</v>
      </c>
      <c r="K935" s="19" t="n">
        <f aca="false">IFERROR(VALUE(SUBSTITUTE(TRIM('수출입 실적(품목별)'!H939),",","")),"")</f>
        <v>-15617</v>
      </c>
    </row>
    <row r="936" customFormat="false" ht="15" hidden="false" customHeight="true" outlineLevel="0" collapsed="false">
      <c r="A936" s="11" t="str">
        <f aca="false">TRIM('수출입 실적(품목별)'!A940)</f>
        <v>2024.10</v>
      </c>
      <c r="B936" s="17" t="n">
        <f aca="false">IFERROR(VALUE(LEFT($A936,4)),"")</f>
        <v>2024</v>
      </c>
      <c r="C936" s="17" t="n">
        <f aca="false">IFERROR(VALUE(RIGHT($A936,2)),"")</f>
        <v>10</v>
      </c>
      <c r="D936" s="17" t="n">
        <f aca="false">IFERROR(ROUNDUP($C936/3,0),"")</f>
        <v>4</v>
      </c>
      <c r="E936" s="11" t="str">
        <f aca="false">TRIM('수출입 실적(품목별)'!B940)</f>
        <v>66</v>
      </c>
      <c r="F936" s="11" t="str">
        <f aca="false">TRIM('수출입 실적(품목별)'!C940)</f>
        <v>산류(傘類)ㆍ지팡이ㆍ시트스틱(seat-stick)ㆍ채찍ㆍ승마용 채찍과 이들의 부분품</v>
      </c>
      <c r="G936" s="18" t="n">
        <f aca="false">IFERROR(VALUE(SUBSTITUTE(TRIM('수출입 실적(품목별)'!D940),",","")),"")</f>
        <v>3.2</v>
      </c>
      <c r="H936" s="19" t="n">
        <f aca="false">IFERROR(VALUE(SUBSTITUTE(TRIM('수출입 실적(품목별)'!E940),",","")),"")</f>
        <v>106</v>
      </c>
      <c r="I936" s="18" t="n">
        <f aca="false">IFERROR(VALUE(SUBSTITUTE(TRIM('수출입 실적(품목별)'!F940),",","")),"")</f>
        <v>1320.1</v>
      </c>
      <c r="J936" s="19" t="n">
        <f aca="false">IFERROR(VALUE(SUBSTITUTE(TRIM('수출입 실적(품목별)'!G940),",","")),"")</f>
        <v>8530</v>
      </c>
      <c r="K936" s="19" t="n">
        <f aca="false">IFERROR(VALUE(SUBSTITUTE(TRIM('수출입 실적(품목별)'!H940),",","")),"")</f>
        <v>-8424</v>
      </c>
    </row>
    <row r="937" customFormat="false" ht="15" hidden="false" customHeight="true" outlineLevel="0" collapsed="false">
      <c r="A937" s="11" t="str">
        <f aca="false">TRIM('수출입 실적(품목별)'!A941)</f>
        <v>2024.10</v>
      </c>
      <c r="B937" s="17" t="n">
        <f aca="false">IFERROR(VALUE(LEFT($A937,4)),"")</f>
        <v>2024</v>
      </c>
      <c r="C937" s="17" t="n">
        <f aca="false">IFERROR(VALUE(RIGHT($A937,2)),"")</f>
        <v>10</v>
      </c>
      <c r="D937" s="17" t="n">
        <f aca="false">IFERROR(ROUNDUP($C937/3,0),"")</f>
        <v>4</v>
      </c>
      <c r="E937" s="11" t="str">
        <f aca="false">TRIM('수출입 실적(품목별)'!B941)</f>
        <v>67</v>
      </c>
      <c r="F937" s="11" t="str">
        <f aca="false">TRIM('수출입 실적(품목별)'!C941)</f>
        <v>조제 깃털ㆍ솜털과 그 제품, 조화, 사람 머리카락으로 된 제품</v>
      </c>
      <c r="G937" s="18" t="n">
        <f aca="false">IFERROR(VALUE(SUBSTITUTE(TRIM('수출입 실적(품목별)'!D941),",","")),"")</f>
        <v>12.2</v>
      </c>
      <c r="H937" s="19" t="n">
        <f aca="false">IFERROR(VALUE(SUBSTITUTE(TRIM('수출입 실적(품목별)'!E941),",","")),"")</f>
        <v>1659</v>
      </c>
      <c r="I937" s="18" t="n">
        <f aca="false">IFERROR(VALUE(SUBSTITUTE(TRIM('수출입 실적(품목별)'!F941),",","")),"")</f>
        <v>520</v>
      </c>
      <c r="J937" s="19" t="n">
        <f aca="false">IFERROR(VALUE(SUBSTITUTE(TRIM('수출입 실적(품목별)'!G941),",","")),"")</f>
        <v>7603</v>
      </c>
      <c r="K937" s="19" t="n">
        <f aca="false">IFERROR(VALUE(SUBSTITUTE(TRIM('수출입 실적(품목별)'!H941),",","")),"")</f>
        <v>-5944</v>
      </c>
    </row>
    <row r="938" customFormat="false" ht="15" hidden="false" customHeight="true" outlineLevel="0" collapsed="false">
      <c r="A938" s="11" t="str">
        <f aca="false">TRIM('수출입 실적(품목별)'!A942)</f>
        <v>2024.10</v>
      </c>
      <c r="B938" s="17" t="n">
        <f aca="false">IFERROR(VALUE(LEFT($A938,4)),"")</f>
        <v>2024</v>
      </c>
      <c r="C938" s="17" t="n">
        <f aca="false">IFERROR(VALUE(RIGHT($A938,2)),"")</f>
        <v>10</v>
      </c>
      <c r="D938" s="17" t="n">
        <f aca="false">IFERROR(ROUNDUP($C938/3,0),"")</f>
        <v>4</v>
      </c>
      <c r="E938" s="11" t="str">
        <f aca="false">TRIM('수출입 실적(품목별)'!B942)</f>
        <v>68</v>
      </c>
      <c r="F938" s="11" t="str">
        <f aca="false">TRIM('수출입 실적(품목별)'!C942)</f>
        <v>돌ㆍ플라스터(plaster)ㆍ시멘트ㆍ석면ㆍ운모나 이와 유사한 재료의 제품</v>
      </c>
      <c r="G938" s="18" t="n">
        <f aca="false">IFERROR(VALUE(SUBSTITUTE(TRIM('수출입 실적(품목별)'!D942),",","")),"")</f>
        <v>10721</v>
      </c>
      <c r="H938" s="19" t="n">
        <f aca="false">IFERROR(VALUE(SUBSTITUTE(TRIM('수출입 실적(품목별)'!E942),",","")),"")</f>
        <v>78491</v>
      </c>
      <c r="I938" s="18" t="n">
        <f aca="false">IFERROR(VALUE(SUBSTITUTE(TRIM('수출입 실적(품목별)'!F942),",","")),"")</f>
        <v>216025.1</v>
      </c>
      <c r="J938" s="19" t="n">
        <f aca="false">IFERROR(VALUE(SUBSTITUTE(TRIM('수출입 실적(품목별)'!G942),",","")),"")</f>
        <v>112450</v>
      </c>
      <c r="K938" s="19" t="n">
        <f aca="false">IFERROR(VALUE(SUBSTITUTE(TRIM('수출입 실적(품목별)'!H942),",","")),"")</f>
        <v>-33959</v>
      </c>
    </row>
    <row r="939" customFormat="false" ht="15" hidden="false" customHeight="true" outlineLevel="0" collapsed="false">
      <c r="A939" s="11" t="str">
        <f aca="false">TRIM('수출입 실적(품목별)'!A943)</f>
        <v>2024.10</v>
      </c>
      <c r="B939" s="17" t="n">
        <f aca="false">IFERROR(VALUE(LEFT($A939,4)),"")</f>
        <v>2024</v>
      </c>
      <c r="C939" s="17" t="n">
        <f aca="false">IFERROR(VALUE(RIGHT($A939,2)),"")</f>
        <v>10</v>
      </c>
      <c r="D939" s="17" t="n">
        <f aca="false">IFERROR(ROUNDUP($C939/3,0),"")</f>
        <v>4</v>
      </c>
      <c r="E939" s="11" t="str">
        <f aca="false">TRIM('수출입 실적(품목별)'!B943)</f>
        <v>69</v>
      </c>
      <c r="F939" s="11" t="str">
        <f aca="false">TRIM('수출입 실적(품목별)'!C943)</f>
        <v>도자제품</v>
      </c>
      <c r="G939" s="18" t="n">
        <f aca="false">IFERROR(VALUE(SUBSTITUTE(TRIM('수출입 실적(품목별)'!D943),",","")),"")</f>
        <v>2755.1</v>
      </c>
      <c r="H939" s="19" t="n">
        <f aca="false">IFERROR(VALUE(SUBSTITUTE(TRIM('수출입 실적(품목별)'!E943),",","")),"")</f>
        <v>32456</v>
      </c>
      <c r="I939" s="18" t="n">
        <f aca="false">IFERROR(VALUE(SUBSTITUTE(TRIM('수출입 실적(품목별)'!F943),",","")),"")</f>
        <v>139568.8</v>
      </c>
      <c r="J939" s="19" t="n">
        <f aca="false">IFERROR(VALUE(SUBSTITUTE(TRIM('수출입 실적(품목별)'!G943),",","")),"")</f>
        <v>138500</v>
      </c>
      <c r="K939" s="19" t="n">
        <f aca="false">IFERROR(VALUE(SUBSTITUTE(TRIM('수출입 실적(품목별)'!H943),",","")),"")</f>
        <v>-106044</v>
      </c>
    </row>
    <row r="940" customFormat="false" ht="15" hidden="false" customHeight="true" outlineLevel="0" collapsed="false">
      <c r="A940" s="11" t="str">
        <f aca="false">TRIM('수출입 실적(품목별)'!A944)</f>
        <v>2024.10</v>
      </c>
      <c r="B940" s="17" t="n">
        <f aca="false">IFERROR(VALUE(LEFT($A940,4)),"")</f>
        <v>2024</v>
      </c>
      <c r="C940" s="17" t="n">
        <f aca="false">IFERROR(VALUE(RIGHT($A940,2)),"")</f>
        <v>10</v>
      </c>
      <c r="D940" s="17" t="n">
        <f aca="false">IFERROR(ROUNDUP($C940/3,0),"")</f>
        <v>4</v>
      </c>
      <c r="E940" s="11" t="str">
        <f aca="false">TRIM('수출입 실적(품목별)'!B944)</f>
        <v>70</v>
      </c>
      <c r="F940" s="11" t="str">
        <f aca="false">TRIM('수출입 실적(품목별)'!C944)</f>
        <v>유리와 유리제품</v>
      </c>
      <c r="G940" s="18" t="n">
        <f aca="false">IFERROR(VALUE(SUBSTITUTE(TRIM('수출입 실적(품목별)'!D944),",","")),"")</f>
        <v>31276.1</v>
      </c>
      <c r="H940" s="19" t="n">
        <f aca="false">IFERROR(VALUE(SUBSTITUTE(TRIM('수출입 실적(품목별)'!E944),",","")),"")</f>
        <v>171972</v>
      </c>
      <c r="I940" s="18" t="n">
        <f aca="false">IFERROR(VALUE(SUBSTITUTE(TRIM('수출입 실적(품목별)'!F944),",","")),"")</f>
        <v>91245.1</v>
      </c>
      <c r="J940" s="19" t="n">
        <f aca="false">IFERROR(VALUE(SUBSTITUTE(TRIM('수출입 실적(품목별)'!G944),",","")),"")</f>
        <v>223986</v>
      </c>
      <c r="K940" s="19" t="n">
        <f aca="false">IFERROR(VALUE(SUBSTITUTE(TRIM('수출입 실적(품목별)'!H944),",","")),"")</f>
        <v>-52014</v>
      </c>
    </row>
    <row r="941" customFormat="false" ht="15" hidden="false" customHeight="true" outlineLevel="0" collapsed="false">
      <c r="A941" s="11" t="str">
        <f aca="false">TRIM('수출입 실적(품목별)'!A945)</f>
        <v>2024.10</v>
      </c>
      <c r="B941" s="17" t="n">
        <f aca="false">IFERROR(VALUE(LEFT($A941,4)),"")</f>
        <v>2024</v>
      </c>
      <c r="C941" s="17" t="n">
        <f aca="false">IFERROR(VALUE(RIGHT($A941,2)),"")</f>
        <v>10</v>
      </c>
      <c r="D941" s="17" t="n">
        <f aca="false">IFERROR(ROUNDUP($C941/3,0),"")</f>
        <v>4</v>
      </c>
      <c r="E941" s="11" t="str">
        <f aca="false">TRIM('수출입 실적(품목별)'!B945)</f>
        <v>71</v>
      </c>
      <c r="F941" s="11" t="str">
        <f aca="false">TRIM('수출입 실적(품목별)'!C945)</f>
        <v>천연진주ㆍ양식진주ㆍ귀석ㆍ반귀석ㆍ귀금속ㆍ귀금속을 입힌 금속과 이들의 제품, 모조 신변장식용품, 주화</v>
      </c>
      <c r="G941" s="18" t="n">
        <f aca="false">IFERROR(VALUE(SUBSTITUTE(TRIM('수출입 실적(품목별)'!D945),",","")),"")</f>
        <v>726.7</v>
      </c>
      <c r="H941" s="19" t="n">
        <f aca="false">IFERROR(VALUE(SUBSTITUTE(TRIM('수출입 실적(품목별)'!E945),",","")),"")</f>
        <v>343764</v>
      </c>
      <c r="I941" s="18" t="n">
        <f aca="false">IFERROR(VALUE(SUBSTITUTE(TRIM('수출입 실적(품목별)'!F945),",","")),"")</f>
        <v>1378.6</v>
      </c>
      <c r="J941" s="19" t="n">
        <f aca="false">IFERROR(VALUE(SUBSTITUTE(TRIM('수출입 실적(품목별)'!G945),",","")),"")</f>
        <v>647171</v>
      </c>
      <c r="K941" s="19" t="n">
        <f aca="false">IFERROR(VALUE(SUBSTITUTE(TRIM('수출입 실적(품목별)'!H945),",","")),"")</f>
        <v>-303407</v>
      </c>
    </row>
    <row r="942" customFormat="false" ht="15" hidden="false" customHeight="true" outlineLevel="0" collapsed="false">
      <c r="A942" s="11" t="str">
        <f aca="false">TRIM('수출입 실적(품목별)'!A946)</f>
        <v>2024.10</v>
      </c>
      <c r="B942" s="17" t="n">
        <f aca="false">IFERROR(VALUE(LEFT($A942,4)),"")</f>
        <v>2024</v>
      </c>
      <c r="C942" s="17" t="n">
        <f aca="false">IFERROR(VALUE(RIGHT($A942,2)),"")</f>
        <v>10</v>
      </c>
      <c r="D942" s="17" t="n">
        <f aca="false">IFERROR(ROUNDUP($C942/3,0),"")</f>
        <v>4</v>
      </c>
      <c r="E942" s="11" t="str">
        <f aca="false">TRIM('수출입 실적(품목별)'!B946)</f>
        <v>72</v>
      </c>
      <c r="F942" s="11" t="str">
        <f aca="false">TRIM('수출입 실적(품목별)'!C946)</f>
        <v>철강</v>
      </c>
      <c r="G942" s="18" t="n">
        <f aca="false">IFERROR(VALUE(SUBSTITUTE(TRIM('수출입 실적(품목별)'!D946),",","")),"")</f>
        <v>2322885.8</v>
      </c>
      <c r="H942" s="19" t="n">
        <f aca="false">IFERROR(VALUE(SUBSTITUTE(TRIM('수출입 실적(품목별)'!E946),",","")),"")</f>
        <v>2117478</v>
      </c>
      <c r="I942" s="18" t="n">
        <f aca="false">IFERROR(VALUE(SUBSTITUTE(TRIM('수출입 실적(품목별)'!F946),",","")),"")</f>
        <v>1410919.1</v>
      </c>
      <c r="J942" s="19" t="n">
        <f aca="false">IFERROR(VALUE(SUBSTITUTE(TRIM('수출입 실적(품목별)'!G946),",","")),"")</f>
        <v>1110001</v>
      </c>
      <c r="K942" s="19" t="n">
        <f aca="false">IFERROR(VALUE(SUBSTITUTE(TRIM('수출입 실적(품목별)'!H946),",","")),"")</f>
        <v>1007477</v>
      </c>
    </row>
    <row r="943" customFormat="false" ht="15" hidden="false" customHeight="true" outlineLevel="0" collapsed="false">
      <c r="A943" s="11" t="str">
        <f aca="false">TRIM('수출입 실적(품목별)'!A947)</f>
        <v>2024.10</v>
      </c>
      <c r="B943" s="17" t="n">
        <f aca="false">IFERROR(VALUE(LEFT($A943,4)),"")</f>
        <v>2024</v>
      </c>
      <c r="C943" s="17" t="n">
        <f aca="false">IFERROR(VALUE(RIGHT($A943,2)),"")</f>
        <v>10</v>
      </c>
      <c r="D943" s="17" t="n">
        <f aca="false">IFERROR(ROUNDUP($C943/3,0),"")</f>
        <v>4</v>
      </c>
      <c r="E943" s="11" t="str">
        <f aca="false">TRIM('수출입 실적(품목별)'!B947)</f>
        <v>73</v>
      </c>
      <c r="F943" s="11" t="str">
        <f aca="false">TRIM('수출입 실적(품목별)'!C947)</f>
        <v>철강의 제품</v>
      </c>
      <c r="G943" s="18" t="n">
        <f aca="false">IFERROR(VALUE(SUBSTITUTE(TRIM('수출입 실적(품목별)'!D947),",","")),"")</f>
        <v>295712.6</v>
      </c>
      <c r="H943" s="19" t="n">
        <f aca="false">IFERROR(VALUE(SUBSTITUTE(TRIM('수출입 실적(품목별)'!E947),",","")),"")</f>
        <v>877033</v>
      </c>
      <c r="I943" s="18" t="n">
        <f aca="false">IFERROR(VALUE(SUBSTITUTE(TRIM('수출입 실적(품목별)'!F947),",","")),"")</f>
        <v>266416.3</v>
      </c>
      <c r="J943" s="19" t="n">
        <f aca="false">IFERROR(VALUE(SUBSTITUTE(TRIM('수출입 실적(품목별)'!G947),",","")),"")</f>
        <v>685582</v>
      </c>
      <c r="K943" s="19" t="n">
        <f aca="false">IFERROR(VALUE(SUBSTITUTE(TRIM('수출입 실적(품목별)'!H947),",","")),"")</f>
        <v>191451</v>
      </c>
    </row>
    <row r="944" customFormat="false" ht="15" hidden="false" customHeight="true" outlineLevel="0" collapsed="false">
      <c r="A944" s="11" t="str">
        <f aca="false">TRIM('수출입 실적(품목별)'!A948)</f>
        <v>2024.10</v>
      </c>
      <c r="B944" s="17" t="n">
        <f aca="false">IFERROR(VALUE(LEFT($A944,4)),"")</f>
        <v>2024</v>
      </c>
      <c r="C944" s="17" t="n">
        <f aca="false">IFERROR(VALUE(RIGHT($A944,2)),"")</f>
        <v>10</v>
      </c>
      <c r="D944" s="17" t="n">
        <f aca="false">IFERROR(ROUNDUP($C944/3,0),"")</f>
        <v>4</v>
      </c>
      <c r="E944" s="11" t="str">
        <f aca="false">TRIM('수출입 실적(품목별)'!B948)</f>
        <v>74</v>
      </c>
      <c r="F944" s="11" t="str">
        <f aca="false">TRIM('수출입 실적(품목별)'!C948)</f>
        <v>구리와 그 제품</v>
      </c>
      <c r="G944" s="18" t="n">
        <f aca="false">IFERROR(VALUE(SUBSTITUTE(TRIM('수출입 실적(품목별)'!D948),",","")),"")</f>
        <v>59454.3</v>
      </c>
      <c r="H944" s="19" t="n">
        <f aca="false">IFERROR(VALUE(SUBSTITUTE(TRIM('수출입 실적(품목별)'!E948),",","")),"")</f>
        <v>504949</v>
      </c>
      <c r="I944" s="18" t="n">
        <f aca="false">IFERROR(VALUE(SUBSTITUTE(TRIM('수출입 실적(품목별)'!F948),",","")),"")</f>
        <v>59714.6</v>
      </c>
      <c r="J944" s="19" t="n">
        <f aca="false">IFERROR(VALUE(SUBSTITUTE(TRIM('수출입 실적(품목별)'!G948),",","")),"")</f>
        <v>558579</v>
      </c>
      <c r="K944" s="19" t="n">
        <f aca="false">IFERROR(VALUE(SUBSTITUTE(TRIM('수출입 실적(품목별)'!H948),",","")),"")</f>
        <v>-53630</v>
      </c>
    </row>
    <row r="945" customFormat="false" ht="15" hidden="false" customHeight="true" outlineLevel="0" collapsed="false">
      <c r="A945" s="11" t="str">
        <f aca="false">TRIM('수출입 실적(품목별)'!A949)</f>
        <v>2024.10</v>
      </c>
      <c r="B945" s="17" t="n">
        <f aca="false">IFERROR(VALUE(LEFT($A945,4)),"")</f>
        <v>2024</v>
      </c>
      <c r="C945" s="17" t="n">
        <f aca="false">IFERROR(VALUE(RIGHT($A945,2)),"")</f>
        <v>10</v>
      </c>
      <c r="D945" s="17" t="n">
        <f aca="false">IFERROR(ROUNDUP($C945/3,0),"")</f>
        <v>4</v>
      </c>
      <c r="E945" s="11" t="str">
        <f aca="false">TRIM('수출입 실적(품목별)'!B949)</f>
        <v>75</v>
      </c>
      <c r="F945" s="11" t="str">
        <f aca="false">TRIM('수출입 실적(품목별)'!C949)</f>
        <v>니켈과 그 제품</v>
      </c>
      <c r="G945" s="18" t="n">
        <f aca="false">IFERROR(VALUE(SUBSTITUTE(TRIM('수출입 실적(품목별)'!D949),",","")),"")</f>
        <v>941.8</v>
      </c>
      <c r="H945" s="19" t="n">
        <f aca="false">IFERROR(VALUE(SUBSTITUTE(TRIM('수출입 실적(품목별)'!E949),",","")),"")</f>
        <v>13537</v>
      </c>
      <c r="I945" s="18" t="n">
        <f aca="false">IFERROR(VALUE(SUBSTITUTE(TRIM('수출입 실적(품목별)'!F949),",","")),"")</f>
        <v>5299.6</v>
      </c>
      <c r="J945" s="19" t="n">
        <f aca="false">IFERROR(VALUE(SUBSTITUTE(TRIM('수출입 실적(품목별)'!G949),",","")),"")</f>
        <v>117571</v>
      </c>
      <c r="K945" s="19" t="n">
        <f aca="false">IFERROR(VALUE(SUBSTITUTE(TRIM('수출입 실적(품목별)'!H949),",","")),"")</f>
        <v>-104033</v>
      </c>
    </row>
    <row r="946" customFormat="false" ht="15" hidden="false" customHeight="true" outlineLevel="0" collapsed="false">
      <c r="A946" s="11" t="str">
        <f aca="false">TRIM('수출입 실적(품목별)'!A950)</f>
        <v>2024.10</v>
      </c>
      <c r="B946" s="17" t="n">
        <f aca="false">IFERROR(VALUE(LEFT($A946,4)),"")</f>
        <v>2024</v>
      </c>
      <c r="C946" s="17" t="n">
        <f aca="false">IFERROR(VALUE(RIGHT($A946,2)),"")</f>
        <v>10</v>
      </c>
      <c r="D946" s="17" t="n">
        <f aca="false">IFERROR(ROUNDUP($C946/3,0),"")</f>
        <v>4</v>
      </c>
      <c r="E946" s="11" t="str">
        <f aca="false">TRIM('수출입 실적(품목별)'!B950)</f>
        <v>76</v>
      </c>
      <c r="F946" s="11" t="str">
        <f aca="false">TRIM('수출입 실적(품목별)'!C950)</f>
        <v>알루미늄과 그 제품</v>
      </c>
      <c r="G946" s="18" t="n">
        <f aca="false">IFERROR(VALUE(SUBSTITUTE(TRIM('수출입 실적(품목별)'!D950),",","")),"")</f>
        <v>106826</v>
      </c>
      <c r="H946" s="19" t="n">
        <f aca="false">IFERROR(VALUE(SUBSTITUTE(TRIM('수출입 실적(품목별)'!E950),",","")),"")</f>
        <v>417644</v>
      </c>
      <c r="I946" s="18" t="n">
        <f aca="false">IFERROR(VALUE(SUBSTITUTE(TRIM('수출입 실적(품목별)'!F950),",","")),"")</f>
        <v>260810.1</v>
      </c>
      <c r="J946" s="19" t="n">
        <f aca="false">IFERROR(VALUE(SUBSTITUTE(TRIM('수출입 실적(품목별)'!G950),",","")),"")</f>
        <v>756740</v>
      </c>
      <c r="K946" s="19" t="n">
        <f aca="false">IFERROR(VALUE(SUBSTITUTE(TRIM('수출입 실적(품목별)'!H950),",","")),"")</f>
        <v>-339096</v>
      </c>
    </row>
    <row r="947" customFormat="false" ht="15" hidden="false" customHeight="true" outlineLevel="0" collapsed="false">
      <c r="A947" s="11" t="str">
        <f aca="false">TRIM('수출입 실적(품목별)'!A951)</f>
        <v>2024.10</v>
      </c>
      <c r="B947" s="17" t="n">
        <f aca="false">IFERROR(VALUE(LEFT($A947,4)),"")</f>
        <v>2024</v>
      </c>
      <c r="C947" s="17" t="n">
        <f aca="false">IFERROR(VALUE(RIGHT($A947,2)),"")</f>
        <v>10</v>
      </c>
      <c r="D947" s="17" t="n">
        <f aca="false">IFERROR(ROUNDUP($C947/3,0),"")</f>
        <v>4</v>
      </c>
      <c r="E947" s="11" t="str">
        <f aca="false">TRIM('수출입 실적(품목별)'!B951)</f>
        <v>78</v>
      </c>
      <c r="F947" s="11" t="str">
        <f aca="false">TRIM('수출입 실적(품목별)'!C951)</f>
        <v>납과 그 제품</v>
      </c>
      <c r="G947" s="18" t="n">
        <f aca="false">IFERROR(VALUE(SUBSTITUTE(TRIM('수출입 실적(품목별)'!D951),",","")),"")</f>
        <v>27710.7</v>
      </c>
      <c r="H947" s="19" t="n">
        <f aca="false">IFERROR(VALUE(SUBSTITUTE(TRIM('수출입 실적(품목별)'!E951),",","")),"")</f>
        <v>61125</v>
      </c>
      <c r="I947" s="18" t="n">
        <f aca="false">IFERROR(VALUE(SUBSTITUTE(TRIM('수출입 실적(품목별)'!F951),",","")),"")</f>
        <v>15961.3</v>
      </c>
      <c r="J947" s="19" t="n">
        <f aca="false">IFERROR(VALUE(SUBSTITUTE(TRIM('수출입 실적(품목별)'!G951),",","")),"")</f>
        <v>35396</v>
      </c>
      <c r="K947" s="19" t="n">
        <f aca="false">IFERROR(VALUE(SUBSTITUTE(TRIM('수출입 실적(품목별)'!H951),",","")),"")</f>
        <v>25728</v>
      </c>
    </row>
    <row r="948" customFormat="false" ht="15" hidden="false" customHeight="true" outlineLevel="0" collapsed="false">
      <c r="A948" s="11" t="str">
        <f aca="false">TRIM('수출입 실적(품목별)'!A952)</f>
        <v>2024.10</v>
      </c>
      <c r="B948" s="17" t="n">
        <f aca="false">IFERROR(VALUE(LEFT($A948,4)),"")</f>
        <v>2024</v>
      </c>
      <c r="C948" s="17" t="n">
        <f aca="false">IFERROR(VALUE(RIGHT($A948,2)),"")</f>
        <v>10</v>
      </c>
      <c r="D948" s="17" t="n">
        <f aca="false">IFERROR(ROUNDUP($C948/3,0),"")</f>
        <v>4</v>
      </c>
      <c r="E948" s="11" t="str">
        <f aca="false">TRIM('수출입 실적(품목별)'!B952)</f>
        <v>79</v>
      </c>
      <c r="F948" s="11" t="str">
        <f aca="false">TRIM('수출입 실적(품목별)'!C952)</f>
        <v>아연과 그 제품</v>
      </c>
      <c r="G948" s="18" t="n">
        <f aca="false">IFERROR(VALUE(SUBSTITUTE(TRIM('수출입 실적(품목별)'!D952),",","")),"")</f>
        <v>38363.7</v>
      </c>
      <c r="H948" s="19" t="n">
        <f aca="false">IFERROR(VALUE(SUBSTITUTE(TRIM('수출입 실적(품목별)'!E952),",","")),"")</f>
        <v>116800</v>
      </c>
      <c r="I948" s="18" t="n">
        <f aca="false">IFERROR(VALUE(SUBSTITUTE(TRIM('수출입 실적(품목별)'!F952),",","")),"")</f>
        <v>8474.7</v>
      </c>
      <c r="J948" s="19" t="n">
        <f aca="false">IFERROR(VALUE(SUBSTITUTE(TRIM('수출입 실적(품목별)'!G952),",","")),"")</f>
        <v>27497</v>
      </c>
      <c r="K948" s="19" t="n">
        <f aca="false">IFERROR(VALUE(SUBSTITUTE(TRIM('수출입 실적(품목별)'!H952),",","")),"")</f>
        <v>89303</v>
      </c>
    </row>
    <row r="949" customFormat="false" ht="15" hidden="false" customHeight="true" outlineLevel="0" collapsed="false">
      <c r="A949" s="11" t="str">
        <f aca="false">TRIM('수출입 실적(품목별)'!A953)</f>
        <v>2024.10</v>
      </c>
      <c r="B949" s="17" t="n">
        <f aca="false">IFERROR(VALUE(LEFT($A949,4)),"")</f>
        <v>2024</v>
      </c>
      <c r="C949" s="17" t="n">
        <f aca="false">IFERROR(VALUE(RIGHT($A949,2)),"")</f>
        <v>10</v>
      </c>
      <c r="D949" s="17" t="n">
        <f aca="false">IFERROR(ROUNDUP($C949/3,0),"")</f>
        <v>4</v>
      </c>
      <c r="E949" s="11" t="str">
        <f aca="false">TRIM('수출입 실적(품목별)'!B953)</f>
        <v>80</v>
      </c>
      <c r="F949" s="11" t="str">
        <f aca="false">TRIM('수출입 실적(품목별)'!C953)</f>
        <v>주석과 그 제품</v>
      </c>
      <c r="G949" s="18" t="n">
        <f aca="false">IFERROR(VALUE(SUBSTITUTE(TRIM('수출입 실적(품목별)'!D953),",","")),"")</f>
        <v>200.1</v>
      </c>
      <c r="H949" s="19" t="n">
        <f aca="false">IFERROR(VALUE(SUBSTITUTE(TRIM('수출입 실적(품목별)'!E953),",","")),"")</f>
        <v>8189</v>
      </c>
      <c r="I949" s="18" t="n">
        <f aca="false">IFERROR(VALUE(SUBSTITUTE(TRIM('수출입 실적(품목별)'!F953),",","")),"")</f>
        <v>1558.4</v>
      </c>
      <c r="J949" s="19" t="n">
        <f aca="false">IFERROR(VALUE(SUBSTITUTE(TRIM('수출입 실적(품목별)'!G953),",","")),"")</f>
        <v>53342</v>
      </c>
      <c r="K949" s="19" t="n">
        <f aca="false">IFERROR(VALUE(SUBSTITUTE(TRIM('수출입 실적(품목별)'!H953),",","")),"")</f>
        <v>-45153</v>
      </c>
    </row>
    <row r="950" customFormat="false" ht="15" hidden="false" customHeight="true" outlineLevel="0" collapsed="false">
      <c r="A950" s="11" t="str">
        <f aca="false">TRIM('수출입 실적(품목별)'!A954)</f>
        <v>2024.10</v>
      </c>
      <c r="B950" s="17" t="n">
        <f aca="false">IFERROR(VALUE(LEFT($A950,4)),"")</f>
        <v>2024</v>
      </c>
      <c r="C950" s="17" t="n">
        <f aca="false">IFERROR(VALUE(RIGHT($A950,2)),"")</f>
        <v>10</v>
      </c>
      <c r="D950" s="17" t="n">
        <f aca="false">IFERROR(ROUNDUP($C950/3,0),"")</f>
        <v>4</v>
      </c>
      <c r="E950" s="11" t="str">
        <f aca="false">TRIM('수출입 실적(품목별)'!B954)</f>
        <v>81</v>
      </c>
      <c r="F950" s="11" t="str">
        <f aca="false">TRIM('수출입 실적(품목별)'!C954)</f>
        <v>그 밖의 비금속(卑金屬), 서멧(cermet), 이들의 제품</v>
      </c>
      <c r="G950" s="18" t="n">
        <f aca="false">IFERROR(VALUE(SUBSTITUTE(TRIM('수출입 실적(품목별)'!D954),",","")),"")</f>
        <v>2138.8</v>
      </c>
      <c r="H950" s="19" t="n">
        <f aca="false">IFERROR(VALUE(SUBSTITUTE(TRIM('수출입 실적(품목별)'!E954),",","")),"")</f>
        <v>28929</v>
      </c>
      <c r="I950" s="18" t="n">
        <f aca="false">IFERROR(VALUE(SUBSTITUTE(TRIM('수출입 실적(품목별)'!F954),",","")),"")</f>
        <v>14137.1</v>
      </c>
      <c r="J950" s="19" t="n">
        <f aca="false">IFERROR(VALUE(SUBSTITUTE(TRIM('수출입 실적(품목별)'!G954),",","")),"")</f>
        <v>128575</v>
      </c>
      <c r="K950" s="19" t="n">
        <f aca="false">IFERROR(VALUE(SUBSTITUTE(TRIM('수출입 실적(품목별)'!H954),",","")),"")</f>
        <v>-99646</v>
      </c>
    </row>
    <row r="951" customFormat="false" ht="15" hidden="false" customHeight="true" outlineLevel="0" collapsed="false">
      <c r="A951" s="11" t="str">
        <f aca="false">TRIM('수출입 실적(품목별)'!A955)</f>
        <v>2024.10</v>
      </c>
      <c r="B951" s="17" t="n">
        <f aca="false">IFERROR(VALUE(LEFT($A951,4)),"")</f>
        <v>2024</v>
      </c>
      <c r="C951" s="17" t="n">
        <f aca="false">IFERROR(VALUE(RIGHT($A951,2)),"")</f>
        <v>10</v>
      </c>
      <c r="D951" s="17" t="n">
        <f aca="false">IFERROR(ROUNDUP($C951/3,0),"")</f>
        <v>4</v>
      </c>
      <c r="E951" s="11" t="str">
        <f aca="false">TRIM('수출입 실적(품목별)'!B955)</f>
        <v>82</v>
      </c>
      <c r="F951" s="11" t="str">
        <f aca="false">TRIM('수출입 실적(품목별)'!C955)</f>
        <v>비금속(卑金屬)으로 만든 공구ㆍ도구ㆍ칼붙이ㆍ스푼ㆍ포크, 이들의 부분품</v>
      </c>
      <c r="G951" s="18" t="n">
        <f aca="false">IFERROR(VALUE(SUBSTITUTE(TRIM('수출입 실적(품목별)'!D955),",","")),"")</f>
        <v>7394.8</v>
      </c>
      <c r="H951" s="19" t="n">
        <f aca="false">IFERROR(VALUE(SUBSTITUTE(TRIM('수출입 실적(품목별)'!E955),",","")),"")</f>
        <v>158204</v>
      </c>
      <c r="I951" s="18" t="n">
        <f aca="false">IFERROR(VALUE(SUBSTITUTE(TRIM('수출입 실적(품목별)'!F955),",","")),"")</f>
        <v>4614</v>
      </c>
      <c r="J951" s="19" t="n">
        <f aca="false">IFERROR(VALUE(SUBSTITUTE(TRIM('수출입 실적(품목별)'!G955),",","")),"")</f>
        <v>85582</v>
      </c>
      <c r="K951" s="19" t="n">
        <f aca="false">IFERROR(VALUE(SUBSTITUTE(TRIM('수출입 실적(품목별)'!H955),",","")),"")</f>
        <v>72622</v>
      </c>
    </row>
    <row r="952" customFormat="false" ht="15" hidden="false" customHeight="true" outlineLevel="0" collapsed="false">
      <c r="A952" s="11" t="str">
        <f aca="false">TRIM('수출입 실적(품목별)'!A956)</f>
        <v>2024.10</v>
      </c>
      <c r="B952" s="17" t="n">
        <f aca="false">IFERROR(VALUE(LEFT($A952,4)),"")</f>
        <v>2024</v>
      </c>
      <c r="C952" s="17" t="n">
        <f aca="false">IFERROR(VALUE(RIGHT($A952,2)),"")</f>
        <v>10</v>
      </c>
      <c r="D952" s="17" t="n">
        <f aca="false">IFERROR(ROUNDUP($C952/3,0),"")</f>
        <v>4</v>
      </c>
      <c r="E952" s="11" t="str">
        <f aca="false">TRIM('수출입 실적(품목별)'!B956)</f>
        <v>83</v>
      </c>
      <c r="F952" s="11" t="str">
        <f aca="false">TRIM('수출입 실적(품목별)'!C956)</f>
        <v>비금속(卑金屬)으로 만든 각종 제품</v>
      </c>
      <c r="G952" s="18" t="n">
        <f aca="false">IFERROR(VALUE(SUBSTITUTE(TRIM('수출입 실적(품목별)'!D956),",","")),"")</f>
        <v>26840.3</v>
      </c>
      <c r="H952" s="19" t="n">
        <f aca="false">IFERROR(VALUE(SUBSTITUTE(TRIM('수출입 실적(품목별)'!E956),",","")),"")</f>
        <v>147947</v>
      </c>
      <c r="I952" s="18" t="n">
        <f aca="false">IFERROR(VALUE(SUBSTITUTE(TRIM('수출입 실적(품목별)'!F956),",","")),"")</f>
        <v>11251.9</v>
      </c>
      <c r="J952" s="19" t="n">
        <f aca="false">IFERROR(VALUE(SUBSTITUTE(TRIM('수출입 실적(품목별)'!G956),",","")),"")</f>
        <v>86217</v>
      </c>
      <c r="K952" s="19" t="n">
        <f aca="false">IFERROR(VALUE(SUBSTITUTE(TRIM('수출입 실적(품목별)'!H956),",","")),"")</f>
        <v>61730</v>
      </c>
    </row>
    <row r="953" customFormat="false" ht="15" hidden="false" customHeight="true" outlineLevel="0" collapsed="false">
      <c r="A953" s="11" t="str">
        <f aca="false">TRIM('수출입 실적(품목별)'!A957)</f>
        <v>2024.10</v>
      </c>
      <c r="B953" s="17" t="n">
        <f aca="false">IFERROR(VALUE(LEFT($A953,4)),"")</f>
        <v>2024</v>
      </c>
      <c r="C953" s="17" t="n">
        <f aca="false">IFERROR(VALUE(RIGHT($A953,2)),"")</f>
        <v>10</v>
      </c>
      <c r="D953" s="17" t="n">
        <f aca="false">IFERROR(ROUNDUP($C953/3,0),"")</f>
        <v>4</v>
      </c>
      <c r="E953" s="11" t="str">
        <f aca="false">TRIM('수출입 실적(품목별)'!B957)</f>
        <v>84</v>
      </c>
      <c r="F953" s="11" t="str">
        <f aca="false">TRIM('수출입 실적(품목별)'!C957)</f>
        <v>원자로ㆍ보일러ㆍ기계류와 이들의 부분품</v>
      </c>
      <c r="G953" s="18" t="n">
        <f aca="false">IFERROR(VALUE(SUBSTITUTE(TRIM('수출입 실적(품목별)'!D957),",","")),"")</f>
        <v>345965.7</v>
      </c>
      <c r="H953" s="19" t="n">
        <f aca="false">IFERROR(VALUE(SUBSTITUTE(TRIM('수출입 실적(품목별)'!E957),",","")),"")</f>
        <v>6223215</v>
      </c>
      <c r="I953" s="18" t="n">
        <f aca="false">IFERROR(VALUE(SUBSTITUTE(TRIM('수출입 실적(품목별)'!F957),",","")),"")</f>
        <v>203388.5</v>
      </c>
      <c r="J953" s="19" t="n">
        <f aca="false">IFERROR(VALUE(SUBSTITUTE(TRIM('수출입 실적(품목별)'!G957),",","")),"")</f>
        <v>5426724</v>
      </c>
      <c r="K953" s="19" t="n">
        <f aca="false">IFERROR(VALUE(SUBSTITUTE(TRIM('수출입 실적(품목별)'!H957),",","")),"")</f>
        <v>796491</v>
      </c>
    </row>
    <row r="954" customFormat="false" ht="15" hidden="false" customHeight="true" outlineLevel="0" collapsed="false">
      <c r="A954" s="11" t="str">
        <f aca="false">TRIM('수출입 실적(품목별)'!A958)</f>
        <v>2024.10</v>
      </c>
      <c r="B954" s="17" t="n">
        <f aca="false">IFERROR(VALUE(LEFT($A954,4)),"")</f>
        <v>2024</v>
      </c>
      <c r="C954" s="17" t="n">
        <f aca="false">IFERROR(VALUE(RIGHT($A954,2)),"")</f>
        <v>10</v>
      </c>
      <c r="D954" s="17" t="n">
        <f aca="false">IFERROR(ROUNDUP($C954/3,0),"")</f>
        <v>4</v>
      </c>
      <c r="E954" s="11" t="str">
        <f aca="false">TRIM('수출입 실적(품목별)'!B958)</f>
        <v>85</v>
      </c>
      <c r="F954" s="11" t="str">
        <f aca="false">TRIM('수출입 실적(품목별)'!C958)</f>
        <v>전기기기와 그 부분품, 녹음기ㆍ음성 재생기ㆍ텔레비전의 영상과 음성의 기록기ㆍ재생기와 이들의 부분품ㆍ부속품</v>
      </c>
      <c r="G954" s="18" t="n">
        <f aca="false">IFERROR(VALUE(SUBSTITUTE(TRIM('수출입 실적(품목별)'!D958),",","")),"")</f>
        <v>212944.6</v>
      </c>
      <c r="H954" s="19" t="n">
        <f aca="false">IFERROR(VALUE(SUBSTITUTE(TRIM('수출입 실적(품목별)'!E958),",","")),"")</f>
        <v>19050286</v>
      </c>
      <c r="I954" s="18" t="n">
        <f aca="false">IFERROR(VALUE(SUBSTITUTE(TRIM('수출입 실적(품목별)'!F958),",","")),"")</f>
        <v>209600.9</v>
      </c>
      <c r="J954" s="19" t="n">
        <f aca="false">IFERROR(VALUE(SUBSTITUTE(TRIM('수출입 실적(품목별)'!G958),",","")),"")</f>
        <v>11768096</v>
      </c>
      <c r="K954" s="19" t="n">
        <f aca="false">IFERROR(VALUE(SUBSTITUTE(TRIM('수출입 실적(품목별)'!H958),",","")),"")</f>
        <v>7282190</v>
      </c>
    </row>
    <row r="955" customFormat="false" ht="15" hidden="false" customHeight="true" outlineLevel="0" collapsed="false">
      <c r="A955" s="11" t="str">
        <f aca="false">TRIM('수출입 실적(품목별)'!A959)</f>
        <v>2024.10</v>
      </c>
      <c r="B955" s="17" t="n">
        <f aca="false">IFERROR(VALUE(LEFT($A955,4)),"")</f>
        <v>2024</v>
      </c>
      <c r="C955" s="17" t="n">
        <f aca="false">IFERROR(VALUE(RIGHT($A955,2)),"")</f>
        <v>10</v>
      </c>
      <c r="D955" s="17" t="n">
        <f aca="false">IFERROR(ROUNDUP($C955/3,0),"")</f>
        <v>4</v>
      </c>
      <c r="E955" s="11" t="str">
        <f aca="false">TRIM('수출입 실적(품목별)'!B959)</f>
        <v>86</v>
      </c>
      <c r="F955" s="11" t="str">
        <f aca="false">TRIM('수출입 실적(품목별)'!C959)</f>
        <v>철도용이나 궤도용 기관차ㆍ차량과 이들의 부분품, 철도용이나 궤도용 장비품과 그 부분품, 기계식(전기기계식을 포함한다) 각종 교통신호용 기기</v>
      </c>
      <c r="G955" s="18" t="n">
        <f aca="false">IFERROR(VALUE(SUBSTITUTE(TRIM('수출입 실적(품목별)'!D959),",","")),"")</f>
        <v>12186.3</v>
      </c>
      <c r="H955" s="19" t="n">
        <f aca="false">IFERROR(VALUE(SUBSTITUTE(TRIM('수출입 실적(품목별)'!E959),",","")),"")</f>
        <v>133918</v>
      </c>
      <c r="I955" s="18" t="n">
        <f aca="false">IFERROR(VALUE(SUBSTITUTE(TRIM('수출입 실적(품목별)'!F959),",","")),"")</f>
        <v>10216.4</v>
      </c>
      <c r="J955" s="19" t="n">
        <f aca="false">IFERROR(VALUE(SUBSTITUTE(TRIM('수출입 실적(품목별)'!G959),",","")),"")</f>
        <v>28867</v>
      </c>
      <c r="K955" s="19" t="n">
        <f aca="false">IFERROR(VALUE(SUBSTITUTE(TRIM('수출입 실적(품목별)'!H959),",","")),"")</f>
        <v>105052</v>
      </c>
    </row>
    <row r="956" customFormat="false" ht="15" hidden="false" customHeight="true" outlineLevel="0" collapsed="false">
      <c r="A956" s="11" t="str">
        <f aca="false">TRIM('수출입 실적(품목별)'!A960)</f>
        <v>2024.10</v>
      </c>
      <c r="B956" s="17" t="n">
        <f aca="false">IFERROR(VALUE(LEFT($A956,4)),"")</f>
        <v>2024</v>
      </c>
      <c r="C956" s="17" t="n">
        <f aca="false">IFERROR(VALUE(RIGHT($A956,2)),"")</f>
        <v>10</v>
      </c>
      <c r="D956" s="17" t="n">
        <f aca="false">IFERROR(ROUNDUP($C956/3,0),"")</f>
        <v>4</v>
      </c>
      <c r="E956" s="11" t="str">
        <f aca="false">TRIM('수출입 실적(품목별)'!B960)</f>
        <v>87</v>
      </c>
      <c r="F956" s="11" t="str">
        <f aca="false">TRIM('수출입 실적(품목별)'!C960)</f>
        <v>철도용이나 궤도용 외의 차량과 그 부분품ㆍ부속품</v>
      </c>
      <c r="G956" s="18" t="n">
        <f aca="false">IFERROR(VALUE(SUBSTITUTE(TRIM('수출입 실적(품목별)'!D960),",","")),"")</f>
        <v>722234.9</v>
      </c>
      <c r="H956" s="19" t="n">
        <f aca="false">IFERROR(VALUE(SUBSTITUTE(TRIM('수출입 실적(품목별)'!E960),",","")),"")</f>
        <v>7933147</v>
      </c>
      <c r="I956" s="18" t="n">
        <f aca="false">IFERROR(VALUE(SUBSTITUTE(TRIM('수출입 실적(품목별)'!F960),",","")),"")</f>
        <v>106584.5</v>
      </c>
      <c r="J956" s="19" t="n">
        <f aca="false">IFERROR(VALUE(SUBSTITUTE(TRIM('수출입 실적(품목별)'!G960),",","")),"")</f>
        <v>1773009</v>
      </c>
      <c r="K956" s="19" t="n">
        <f aca="false">IFERROR(VALUE(SUBSTITUTE(TRIM('수출입 실적(품목별)'!H960),",","")),"")</f>
        <v>6160139</v>
      </c>
    </row>
    <row r="957" customFormat="false" ht="15" hidden="false" customHeight="true" outlineLevel="0" collapsed="false">
      <c r="A957" s="11" t="str">
        <f aca="false">TRIM('수출입 실적(품목별)'!A961)</f>
        <v>2024.10</v>
      </c>
      <c r="B957" s="17" t="n">
        <f aca="false">IFERROR(VALUE(LEFT($A957,4)),"")</f>
        <v>2024</v>
      </c>
      <c r="C957" s="17" t="n">
        <f aca="false">IFERROR(VALUE(RIGHT($A957,2)),"")</f>
        <v>10</v>
      </c>
      <c r="D957" s="17" t="n">
        <f aca="false">IFERROR(ROUNDUP($C957/3,0),"")</f>
        <v>4</v>
      </c>
      <c r="E957" s="11" t="str">
        <f aca="false">TRIM('수출입 실적(품목별)'!B961)</f>
        <v>88</v>
      </c>
      <c r="F957" s="11" t="str">
        <f aca="false">TRIM('수출입 실적(품목별)'!C961)</f>
        <v>항공기와 우주선, 이들의 부분품</v>
      </c>
      <c r="G957" s="18" t="n">
        <f aca="false">IFERROR(VALUE(SUBSTITUTE(TRIM('수출입 실적(품목별)'!D961),",","")),"")</f>
        <v>615.6</v>
      </c>
      <c r="H957" s="19" t="n">
        <f aca="false">IFERROR(VALUE(SUBSTITUTE(TRIM('수출입 실적(품목별)'!E961),",","")),"")</f>
        <v>325086</v>
      </c>
      <c r="I957" s="18" t="n">
        <f aca="false">IFERROR(VALUE(SUBSTITUTE(TRIM('수출입 실적(품목별)'!F961),",","")),"")</f>
        <v>519.5</v>
      </c>
      <c r="J957" s="19" t="n">
        <f aca="false">IFERROR(VALUE(SUBSTITUTE(TRIM('수출입 실적(품목별)'!G961),",","")),"")</f>
        <v>211619</v>
      </c>
      <c r="K957" s="19" t="n">
        <f aca="false">IFERROR(VALUE(SUBSTITUTE(TRIM('수출입 실적(품목별)'!H961),",","")),"")</f>
        <v>113468</v>
      </c>
    </row>
    <row r="958" customFormat="false" ht="15" hidden="false" customHeight="true" outlineLevel="0" collapsed="false">
      <c r="A958" s="11" t="str">
        <f aca="false">TRIM('수출입 실적(품목별)'!A962)</f>
        <v>2024.10</v>
      </c>
      <c r="B958" s="17" t="n">
        <f aca="false">IFERROR(VALUE(LEFT($A958,4)),"")</f>
        <v>2024</v>
      </c>
      <c r="C958" s="17" t="n">
        <f aca="false">IFERROR(VALUE(RIGHT($A958,2)),"")</f>
        <v>10</v>
      </c>
      <c r="D958" s="17" t="n">
        <f aca="false">IFERROR(ROUNDUP($C958/3,0),"")</f>
        <v>4</v>
      </c>
      <c r="E958" s="11" t="str">
        <f aca="false">TRIM('수출입 실적(품목별)'!B962)</f>
        <v>89</v>
      </c>
      <c r="F958" s="11" t="str">
        <f aca="false">TRIM('수출입 실적(품목별)'!C962)</f>
        <v>선박과 수상 구조물</v>
      </c>
      <c r="G958" s="18" t="n">
        <f aca="false">IFERROR(VALUE(SUBSTITUTE(TRIM('수출입 실적(품목별)'!D962),",","")),"")</f>
        <v>928174.9</v>
      </c>
      <c r="H958" s="19" t="n">
        <f aca="false">IFERROR(VALUE(SUBSTITUTE(TRIM('수출입 실적(품목별)'!E962),",","")),"")</f>
        <v>1917169</v>
      </c>
      <c r="I958" s="18" t="n">
        <f aca="false">IFERROR(VALUE(SUBSTITUTE(TRIM('수출입 실적(품목별)'!F962),",","")),"")</f>
        <v>195451.5</v>
      </c>
      <c r="J958" s="19" t="n">
        <f aca="false">IFERROR(VALUE(SUBSTITUTE(TRIM('수출입 실적(품목별)'!G962),",","")),"")</f>
        <v>226606</v>
      </c>
      <c r="K958" s="19" t="n">
        <f aca="false">IFERROR(VALUE(SUBSTITUTE(TRIM('수출입 실적(품목별)'!H962),",","")),"")</f>
        <v>1690562</v>
      </c>
    </row>
    <row r="959" customFormat="false" ht="15" hidden="false" customHeight="true" outlineLevel="0" collapsed="false">
      <c r="A959" s="11" t="str">
        <f aca="false">TRIM('수출입 실적(품목별)'!A963)</f>
        <v>2024.10</v>
      </c>
      <c r="B959" s="17" t="n">
        <f aca="false">IFERROR(VALUE(LEFT($A959,4)),"")</f>
        <v>2024</v>
      </c>
      <c r="C959" s="17" t="n">
        <f aca="false">IFERROR(VALUE(RIGHT($A959,2)),"")</f>
        <v>10</v>
      </c>
      <c r="D959" s="17" t="n">
        <f aca="false">IFERROR(ROUNDUP($C959/3,0),"")</f>
        <v>4</v>
      </c>
      <c r="E959" s="11" t="str">
        <f aca="false">TRIM('수출입 실적(품목별)'!B963)</f>
        <v>90</v>
      </c>
      <c r="F959" s="11" t="str">
        <f aca="false">TRIM('수출입 실적(품목별)'!C963)</f>
        <v>광학기기ㆍ사진용 기기ㆍ영화용 기기ㆍ측정기기ㆍ검사기기ㆍ정밀기기ㆍ의료용 기기, 이들의 부분품과 부속품</v>
      </c>
      <c r="G959" s="18" t="n">
        <f aca="false">IFERROR(VALUE(SUBSTITUTE(TRIM('수출입 실적(품목별)'!D963),",","")),"")</f>
        <v>15665.8</v>
      </c>
      <c r="H959" s="19" t="n">
        <f aca="false">IFERROR(VALUE(SUBSTITUTE(TRIM('수출입 실적(품목별)'!E963),",","")),"")</f>
        <v>1462224</v>
      </c>
      <c r="I959" s="18" t="n">
        <f aca="false">IFERROR(VALUE(SUBSTITUTE(TRIM('수출입 실적(품목별)'!F963),",","")),"")</f>
        <v>16729.8</v>
      </c>
      <c r="J959" s="19" t="n">
        <f aca="false">IFERROR(VALUE(SUBSTITUTE(TRIM('수출입 실적(품목별)'!G963),",","")),"")</f>
        <v>2037967</v>
      </c>
      <c r="K959" s="19" t="n">
        <f aca="false">IFERROR(VALUE(SUBSTITUTE(TRIM('수출입 실적(품목별)'!H963),",","")),"")</f>
        <v>-575743</v>
      </c>
    </row>
    <row r="960" customFormat="false" ht="15" hidden="false" customHeight="true" outlineLevel="0" collapsed="false">
      <c r="A960" s="11" t="str">
        <f aca="false">TRIM('수출입 실적(품목별)'!A964)</f>
        <v>2024.10</v>
      </c>
      <c r="B960" s="17" t="n">
        <f aca="false">IFERROR(VALUE(LEFT($A960,4)),"")</f>
        <v>2024</v>
      </c>
      <c r="C960" s="17" t="n">
        <f aca="false">IFERROR(VALUE(RIGHT($A960,2)),"")</f>
        <v>10</v>
      </c>
      <c r="D960" s="17" t="n">
        <f aca="false">IFERROR(ROUNDUP($C960/3,0),"")</f>
        <v>4</v>
      </c>
      <c r="E960" s="11" t="str">
        <f aca="false">TRIM('수출입 실적(품목별)'!B964)</f>
        <v>91</v>
      </c>
      <c r="F960" s="11" t="str">
        <f aca="false">TRIM('수출입 실적(품목별)'!C964)</f>
        <v>시계와 그 부분품</v>
      </c>
      <c r="G960" s="18" t="n">
        <f aca="false">IFERROR(VALUE(SUBSTITUTE(TRIM('수출입 실적(품목별)'!D964),",","")),"")</f>
        <v>14.3</v>
      </c>
      <c r="H960" s="19" t="n">
        <f aca="false">IFERROR(VALUE(SUBSTITUTE(TRIM('수출입 실적(품목별)'!E964),",","")),"")</f>
        <v>13822</v>
      </c>
      <c r="I960" s="18" t="n">
        <f aca="false">IFERROR(VALUE(SUBSTITUTE(TRIM('수출입 실적(품목별)'!F964),",","")),"")</f>
        <v>287.4</v>
      </c>
      <c r="J960" s="19" t="n">
        <f aca="false">IFERROR(VALUE(SUBSTITUTE(TRIM('수출입 실적(품목별)'!G964),",","")),"")</f>
        <v>95951</v>
      </c>
      <c r="K960" s="19" t="n">
        <f aca="false">IFERROR(VALUE(SUBSTITUTE(TRIM('수출입 실적(품목별)'!H964),",","")),"")</f>
        <v>-82129</v>
      </c>
    </row>
    <row r="961" customFormat="false" ht="15" hidden="false" customHeight="true" outlineLevel="0" collapsed="false">
      <c r="A961" s="11" t="str">
        <f aca="false">TRIM('수출입 실적(품목별)'!A965)</f>
        <v>2024.10</v>
      </c>
      <c r="B961" s="17" t="n">
        <f aca="false">IFERROR(VALUE(LEFT($A961,4)),"")</f>
        <v>2024</v>
      </c>
      <c r="C961" s="17" t="n">
        <f aca="false">IFERROR(VALUE(RIGHT($A961,2)),"")</f>
        <v>10</v>
      </c>
      <c r="D961" s="17" t="n">
        <f aca="false">IFERROR(ROUNDUP($C961/3,0),"")</f>
        <v>4</v>
      </c>
      <c r="E961" s="11" t="str">
        <f aca="false">TRIM('수출입 실적(품목별)'!B965)</f>
        <v>92</v>
      </c>
      <c r="F961" s="11" t="str">
        <f aca="false">TRIM('수출입 실적(품목별)'!C965)</f>
        <v>악기와 그 부분품과 부속품</v>
      </c>
      <c r="G961" s="18" t="n">
        <f aca="false">IFERROR(VALUE(SUBSTITUTE(TRIM('수출입 실적(품목별)'!D965),",","")),"")</f>
        <v>553.2</v>
      </c>
      <c r="H961" s="19" t="n">
        <f aca="false">IFERROR(VALUE(SUBSTITUTE(TRIM('수출입 실적(품목별)'!E965),",","")),"")</f>
        <v>8627</v>
      </c>
      <c r="I961" s="18" t="n">
        <f aca="false">IFERROR(VALUE(SUBSTITUTE(TRIM('수출입 실적(품목별)'!F965),",","")),"")</f>
        <v>636.8</v>
      </c>
      <c r="J961" s="19" t="n">
        <f aca="false">IFERROR(VALUE(SUBSTITUTE(TRIM('수출입 실적(품목별)'!G965),",","")),"")</f>
        <v>14996</v>
      </c>
      <c r="K961" s="19" t="n">
        <f aca="false">IFERROR(VALUE(SUBSTITUTE(TRIM('수출입 실적(품목별)'!H965),",","")),"")</f>
        <v>-6369</v>
      </c>
    </row>
    <row r="962" customFormat="false" ht="15" hidden="false" customHeight="true" outlineLevel="0" collapsed="false">
      <c r="A962" s="11" t="str">
        <f aca="false">TRIM('수출입 실적(품목별)'!A966)</f>
        <v>2024.10</v>
      </c>
      <c r="B962" s="17" t="n">
        <f aca="false">IFERROR(VALUE(LEFT($A962,4)),"")</f>
        <v>2024</v>
      </c>
      <c r="C962" s="17" t="n">
        <f aca="false">IFERROR(VALUE(RIGHT($A962,2)),"")</f>
        <v>10</v>
      </c>
      <c r="D962" s="17" t="n">
        <f aca="false">IFERROR(ROUNDUP($C962/3,0),"")</f>
        <v>4</v>
      </c>
      <c r="E962" s="11" t="str">
        <f aca="false">TRIM('수출입 실적(품목별)'!B966)</f>
        <v>93</v>
      </c>
      <c r="F962" s="11" t="str">
        <f aca="false">TRIM('수출입 실적(품목별)'!C966)</f>
        <v>무기ㆍ총포탄과 이들의 부분품과 부속품</v>
      </c>
      <c r="G962" s="18" t="n">
        <f aca="false">IFERROR(VALUE(SUBSTITUTE(TRIM('수출입 실적(품목별)'!D966),",","")),"")</f>
        <v>1857.3</v>
      </c>
      <c r="H962" s="19" t="n">
        <f aca="false">IFERROR(VALUE(SUBSTITUTE(TRIM('수출입 실적(품목별)'!E966),",","")),"")</f>
        <v>188701</v>
      </c>
      <c r="I962" s="18" t="n">
        <f aca="false">IFERROR(VALUE(SUBSTITUTE(TRIM('수출입 실적(품목별)'!F966),",","")),"")</f>
        <v>70.9</v>
      </c>
      <c r="J962" s="19" t="n">
        <f aca="false">IFERROR(VALUE(SUBSTITUTE(TRIM('수출입 실적(품목별)'!G966),",","")),"")</f>
        <v>22669</v>
      </c>
      <c r="K962" s="19" t="n">
        <f aca="false">IFERROR(VALUE(SUBSTITUTE(TRIM('수출입 실적(품목별)'!H966),",","")),"")</f>
        <v>166032</v>
      </c>
    </row>
    <row r="963" customFormat="false" ht="15" hidden="false" customHeight="true" outlineLevel="0" collapsed="false">
      <c r="A963" s="11" t="str">
        <f aca="false">TRIM('수출입 실적(품목별)'!A967)</f>
        <v>2024.10</v>
      </c>
      <c r="B963" s="17" t="n">
        <f aca="false">IFERROR(VALUE(LEFT($A963,4)),"")</f>
        <v>2024</v>
      </c>
      <c r="C963" s="17" t="n">
        <f aca="false">IFERROR(VALUE(RIGHT($A963,2)),"")</f>
        <v>10</v>
      </c>
      <c r="D963" s="17" t="n">
        <f aca="false">IFERROR(ROUNDUP($C963/3,0),"")</f>
        <v>4</v>
      </c>
      <c r="E963" s="11" t="str">
        <f aca="false">TRIM('수출입 실적(품목별)'!B967)</f>
        <v>94</v>
      </c>
      <c r="F963" s="11" t="str">
        <f aca="false">TRIM('수출입 실적(품목별)'!C967)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963" s="18" t="n">
        <f aca="false">IFERROR(VALUE(SUBSTITUTE(TRIM('수출입 실적(품목별)'!D967),",","")),"")</f>
        <v>17731.6</v>
      </c>
      <c r="H963" s="19" t="n">
        <f aca="false">IFERROR(VALUE(SUBSTITUTE(TRIM('수출입 실적(품목별)'!E967),",","")),"")</f>
        <v>124005</v>
      </c>
      <c r="I963" s="18" t="n">
        <f aca="false">IFERROR(VALUE(SUBSTITUTE(TRIM('수출입 실적(품목별)'!F967),",","")),"")</f>
        <v>78132.4</v>
      </c>
      <c r="J963" s="19" t="n">
        <f aca="false">IFERROR(VALUE(SUBSTITUTE(TRIM('수출입 실적(품목별)'!G967),",","")),"")</f>
        <v>348511</v>
      </c>
      <c r="K963" s="19" t="n">
        <f aca="false">IFERROR(VALUE(SUBSTITUTE(TRIM('수출입 실적(품목별)'!H967),",","")),"")</f>
        <v>-224506</v>
      </c>
    </row>
    <row r="964" customFormat="false" ht="15" hidden="false" customHeight="true" outlineLevel="0" collapsed="false">
      <c r="A964" s="11" t="str">
        <f aca="false">TRIM('수출입 실적(품목별)'!A968)</f>
        <v>2024.10</v>
      </c>
      <c r="B964" s="17" t="n">
        <f aca="false">IFERROR(VALUE(LEFT($A964,4)),"")</f>
        <v>2024</v>
      </c>
      <c r="C964" s="17" t="n">
        <f aca="false">IFERROR(VALUE(RIGHT($A964,2)),"")</f>
        <v>10</v>
      </c>
      <c r="D964" s="17" t="n">
        <f aca="false">IFERROR(ROUNDUP($C964/3,0),"")</f>
        <v>4</v>
      </c>
      <c r="E964" s="11" t="str">
        <f aca="false">TRIM('수출입 실적(품목별)'!B968)</f>
        <v>95</v>
      </c>
      <c r="F964" s="11" t="str">
        <f aca="false">TRIM('수출입 실적(품목별)'!C968)</f>
        <v>완구ㆍ게임용구ㆍ운동용구와 이들의 부분품과 부속품</v>
      </c>
      <c r="G964" s="18" t="n">
        <f aca="false">IFERROR(VALUE(SUBSTITUTE(TRIM('수출입 실적(품목별)'!D968),",","")),"")</f>
        <v>2435.1</v>
      </c>
      <c r="H964" s="19" t="n">
        <f aca="false">IFERROR(VALUE(SUBSTITUTE(TRIM('수출입 실적(품목별)'!E968),",","")),"")</f>
        <v>51730</v>
      </c>
      <c r="I964" s="18" t="n">
        <f aca="false">IFERROR(VALUE(SUBSTITUTE(TRIM('수출입 실적(품목별)'!F968),",","")),"")</f>
        <v>17290.9</v>
      </c>
      <c r="J964" s="19" t="n">
        <f aca="false">IFERROR(VALUE(SUBSTITUTE(TRIM('수출입 실적(품목별)'!G968),",","")),"")</f>
        <v>221825</v>
      </c>
      <c r="K964" s="19" t="n">
        <f aca="false">IFERROR(VALUE(SUBSTITUTE(TRIM('수출입 실적(품목별)'!H968),",","")),"")</f>
        <v>-170095</v>
      </c>
    </row>
    <row r="965" customFormat="false" ht="15" hidden="false" customHeight="true" outlineLevel="0" collapsed="false">
      <c r="A965" s="11" t="str">
        <f aca="false">TRIM('수출입 실적(품목별)'!A969)</f>
        <v>2024.10</v>
      </c>
      <c r="B965" s="17" t="n">
        <f aca="false">IFERROR(VALUE(LEFT($A965,4)),"")</f>
        <v>2024</v>
      </c>
      <c r="C965" s="17" t="n">
        <f aca="false">IFERROR(VALUE(RIGHT($A965,2)),"")</f>
        <v>10</v>
      </c>
      <c r="D965" s="17" t="n">
        <f aca="false">IFERROR(ROUNDUP($C965/3,0),"")</f>
        <v>4</v>
      </c>
      <c r="E965" s="11" t="str">
        <f aca="false">TRIM('수출입 실적(품목별)'!B969)</f>
        <v>96</v>
      </c>
      <c r="F965" s="11" t="str">
        <f aca="false">TRIM('수출입 실적(품목별)'!C969)</f>
        <v>잡품</v>
      </c>
      <c r="G965" s="18" t="n">
        <f aca="false">IFERROR(VALUE(SUBSTITUTE(TRIM('수출입 실적(품목별)'!D969),",","")),"")</f>
        <v>2365.8</v>
      </c>
      <c r="H965" s="19" t="n">
        <f aca="false">IFERROR(VALUE(SUBSTITUTE(TRIM('수출입 실적(품목별)'!E969),",","")),"")</f>
        <v>41675</v>
      </c>
      <c r="I965" s="18" t="n">
        <f aca="false">IFERROR(VALUE(SUBSTITUTE(TRIM('수출입 실적(품목별)'!F969),",","")),"")</f>
        <v>10664.2</v>
      </c>
      <c r="J965" s="19" t="n">
        <f aca="false">IFERROR(VALUE(SUBSTITUTE(TRIM('수출입 실적(품목별)'!G969),",","")),"")</f>
        <v>95507</v>
      </c>
      <c r="K965" s="19" t="n">
        <f aca="false">IFERROR(VALUE(SUBSTITUTE(TRIM('수출입 실적(품목별)'!H969),",","")),"")</f>
        <v>-53832</v>
      </c>
    </row>
    <row r="966" customFormat="false" ht="15" hidden="false" customHeight="true" outlineLevel="0" collapsed="false">
      <c r="A966" s="11" t="str">
        <f aca="false">TRIM('수출입 실적(품목별)'!A970)</f>
        <v>2024.10</v>
      </c>
      <c r="B966" s="17" t="n">
        <f aca="false">IFERROR(VALUE(LEFT($A966,4)),"")</f>
        <v>2024</v>
      </c>
      <c r="C966" s="17" t="n">
        <f aca="false">IFERROR(VALUE(RIGHT($A966,2)),"")</f>
        <v>10</v>
      </c>
      <c r="D966" s="17" t="n">
        <f aca="false">IFERROR(ROUNDUP($C966/3,0),"")</f>
        <v>4</v>
      </c>
      <c r="E966" s="11" t="str">
        <f aca="false">TRIM('수출입 실적(품목별)'!B970)</f>
        <v>97</v>
      </c>
      <c r="F966" s="11" t="str">
        <f aca="false">TRIM('수출입 실적(품목별)'!C970)</f>
        <v>예술품ㆍ수집품ㆍ골동품</v>
      </c>
      <c r="G966" s="18" t="n">
        <f aca="false">IFERROR(VALUE(SUBSTITUTE(TRIM('수출입 실적(품목별)'!D970),",","")),"")</f>
        <v>25.3</v>
      </c>
      <c r="H966" s="19" t="n">
        <f aca="false">IFERROR(VALUE(SUBSTITUTE(TRIM('수출입 실적(품목별)'!E970),",","")),"")</f>
        <v>59511</v>
      </c>
      <c r="I966" s="18" t="n">
        <f aca="false">IFERROR(VALUE(SUBSTITUTE(TRIM('수출입 실적(품목별)'!F970),",","")),"")</f>
        <v>64</v>
      </c>
      <c r="J966" s="19" t="n">
        <f aca="false">IFERROR(VALUE(SUBSTITUTE(TRIM('수출입 실적(품목별)'!G970),",","")),"")</f>
        <v>21506</v>
      </c>
      <c r="K966" s="19" t="n">
        <f aca="false">IFERROR(VALUE(SUBSTITUTE(TRIM('수출입 실적(품목별)'!H970),",","")),"")</f>
        <v>38005</v>
      </c>
    </row>
    <row r="967" customFormat="false" ht="15" hidden="false" customHeight="true" outlineLevel="0" collapsed="false">
      <c r="A967" s="11" t="str">
        <f aca="false">TRIM('수출입 실적(품목별)'!A971)</f>
        <v>2024.11</v>
      </c>
      <c r="B967" s="17" t="n">
        <f aca="false">IFERROR(VALUE(LEFT($A967,4)),"")</f>
        <v>2024</v>
      </c>
      <c r="C967" s="17" t="n">
        <f aca="false">IFERROR(VALUE(RIGHT($A967,2)),"")</f>
        <v>11</v>
      </c>
      <c r="D967" s="17" t="n">
        <f aca="false">IFERROR(ROUNDUP($C967/3,0),"")</f>
        <v>4</v>
      </c>
      <c r="E967" s="11" t="str">
        <f aca="false">TRIM('수출입 실적(품목별)'!B971)</f>
        <v>01</v>
      </c>
      <c r="F967" s="11" t="str">
        <f aca="false">TRIM('수출입 실적(품목별)'!C971)</f>
        <v>살아 있는 동물</v>
      </c>
      <c r="G967" s="18" t="n">
        <f aca="false">IFERROR(VALUE(SUBSTITUTE(TRIM('수출입 실적(품목별)'!D971),",","")),"")</f>
        <v>1.6</v>
      </c>
      <c r="H967" s="19" t="n">
        <f aca="false">IFERROR(VALUE(SUBSTITUTE(TRIM('수출입 실적(품목별)'!E971),",","")),"")</f>
        <v>530</v>
      </c>
      <c r="I967" s="18" t="n">
        <f aca="false">IFERROR(VALUE(SUBSTITUTE(TRIM('수출입 실적(품목별)'!F971),",","")),"")</f>
        <v>109.2</v>
      </c>
      <c r="J967" s="19" t="n">
        <f aca="false">IFERROR(VALUE(SUBSTITUTE(TRIM('수출입 실적(품목별)'!G971),",","")),"")</f>
        <v>7559</v>
      </c>
      <c r="K967" s="19" t="n">
        <f aca="false">IFERROR(VALUE(SUBSTITUTE(TRIM('수출입 실적(품목별)'!H971),",","")),"")</f>
        <v>-7029</v>
      </c>
    </row>
    <row r="968" customFormat="false" ht="15" hidden="false" customHeight="true" outlineLevel="0" collapsed="false">
      <c r="A968" s="11" t="str">
        <f aca="false">TRIM('수출입 실적(품목별)'!A972)</f>
        <v>2024.11</v>
      </c>
      <c r="B968" s="17" t="n">
        <f aca="false">IFERROR(VALUE(LEFT($A968,4)),"")</f>
        <v>2024</v>
      </c>
      <c r="C968" s="17" t="n">
        <f aca="false">IFERROR(VALUE(RIGHT($A968,2)),"")</f>
        <v>11</v>
      </c>
      <c r="D968" s="17" t="n">
        <f aca="false">IFERROR(ROUNDUP($C968/3,0),"")</f>
        <v>4</v>
      </c>
      <c r="E968" s="11" t="str">
        <f aca="false">TRIM('수출입 실적(품목별)'!B972)</f>
        <v>02</v>
      </c>
      <c r="F968" s="11" t="str">
        <f aca="false">TRIM('수출입 실적(품목별)'!C972)</f>
        <v>육과 식용 설육(屑肉)</v>
      </c>
      <c r="G968" s="18" t="n">
        <f aca="false">IFERROR(VALUE(SUBSTITUTE(TRIM('수출입 실적(품목별)'!D972),",","")),"")</f>
        <v>3520.8</v>
      </c>
      <c r="H968" s="19" t="n">
        <f aca="false">IFERROR(VALUE(SUBSTITUTE(TRIM('수출입 실적(품목별)'!E972),",","")),"")</f>
        <v>4944</v>
      </c>
      <c r="I968" s="18" t="n">
        <f aca="false">IFERROR(VALUE(SUBSTITUTE(TRIM('수출입 실적(품목별)'!F972),",","")),"")</f>
        <v>85154.1</v>
      </c>
      <c r="J968" s="19" t="n">
        <f aca="false">IFERROR(VALUE(SUBSTITUTE(TRIM('수출입 실적(품목별)'!G972),",","")),"")</f>
        <v>471663</v>
      </c>
      <c r="K968" s="19" t="n">
        <f aca="false">IFERROR(VALUE(SUBSTITUTE(TRIM('수출입 실적(품목별)'!H972),",","")),"")</f>
        <v>-466719</v>
      </c>
    </row>
    <row r="969" customFormat="false" ht="15" hidden="false" customHeight="true" outlineLevel="0" collapsed="false">
      <c r="A969" s="11" t="str">
        <f aca="false">TRIM('수출입 실적(품목별)'!A973)</f>
        <v>2024.11</v>
      </c>
      <c r="B969" s="17" t="n">
        <f aca="false">IFERROR(VALUE(LEFT($A969,4)),"")</f>
        <v>2024</v>
      </c>
      <c r="C969" s="17" t="n">
        <f aca="false">IFERROR(VALUE(RIGHT($A969,2)),"")</f>
        <v>11</v>
      </c>
      <c r="D969" s="17" t="n">
        <f aca="false">IFERROR(ROUNDUP($C969/3,0),"")</f>
        <v>4</v>
      </c>
      <c r="E969" s="11" t="str">
        <f aca="false">TRIM('수출입 실적(품목별)'!B973)</f>
        <v>03</v>
      </c>
      <c r="F969" s="11" t="str">
        <f aca="false">TRIM('수출입 실적(품목별)'!C973)</f>
        <v>어류ㆍ갑각류ㆍ연체동물과 그 밖의 수생(水生) 무척추동물</v>
      </c>
      <c r="G969" s="18" t="n">
        <f aca="false">IFERROR(VALUE(SUBSTITUTE(TRIM('수출입 실적(품목별)'!D973),",","")),"")</f>
        <v>64365.7</v>
      </c>
      <c r="H969" s="19" t="n">
        <f aca="false">IFERROR(VALUE(SUBSTITUTE(TRIM('수출입 실적(품목별)'!E973),",","")),"")</f>
        <v>162270</v>
      </c>
      <c r="I969" s="18" t="n">
        <f aca="false">IFERROR(VALUE(SUBSTITUTE(TRIM('수출입 실적(품목별)'!F973),",","")),"")</f>
        <v>103824</v>
      </c>
      <c r="J969" s="19" t="n">
        <f aca="false">IFERROR(VALUE(SUBSTITUTE(TRIM('수출입 실적(품목별)'!G973),",","")),"")</f>
        <v>418700</v>
      </c>
      <c r="K969" s="19" t="n">
        <f aca="false">IFERROR(VALUE(SUBSTITUTE(TRIM('수출입 실적(품목별)'!H973),",","")),"")</f>
        <v>-256431</v>
      </c>
    </row>
    <row r="970" customFormat="false" ht="15" hidden="false" customHeight="true" outlineLevel="0" collapsed="false">
      <c r="A970" s="11" t="str">
        <f aca="false">TRIM('수출입 실적(품목별)'!A974)</f>
        <v>2024.11</v>
      </c>
      <c r="B970" s="17" t="n">
        <f aca="false">IFERROR(VALUE(LEFT($A970,4)),"")</f>
        <v>2024</v>
      </c>
      <c r="C970" s="17" t="n">
        <f aca="false">IFERROR(VALUE(RIGHT($A970,2)),"")</f>
        <v>11</v>
      </c>
      <c r="D970" s="17" t="n">
        <f aca="false">IFERROR(ROUNDUP($C970/3,0),"")</f>
        <v>4</v>
      </c>
      <c r="E970" s="11" t="str">
        <f aca="false">TRIM('수출입 실적(품목별)'!B974)</f>
        <v>04</v>
      </c>
      <c r="F970" s="11" t="str">
        <f aca="false">TRIM('수출입 실적(품목별)'!C974)</f>
        <v>낙농품, 새의 알, 천연꿀, 다른 류로 분류되지 않은 식용인 동물성 생산품</v>
      </c>
      <c r="G970" s="18" t="n">
        <f aca="false">IFERROR(VALUE(SUBSTITUTE(TRIM('수출입 실적(품목별)'!D974),",","")),"")</f>
        <v>2076.1</v>
      </c>
      <c r="H970" s="19" t="n">
        <f aca="false">IFERROR(VALUE(SUBSTITUTE(TRIM('수출입 실적(품목별)'!E974),",","")),"")</f>
        <v>5362</v>
      </c>
      <c r="I970" s="18" t="n">
        <f aca="false">IFERROR(VALUE(SUBSTITUTE(TRIM('수출입 실적(품목별)'!F974),",","")),"")</f>
        <v>24755.5</v>
      </c>
      <c r="J970" s="19" t="n">
        <f aca="false">IFERROR(VALUE(SUBSTITUTE(TRIM('수출입 실적(품목별)'!G974),",","")),"")</f>
        <v>105637</v>
      </c>
      <c r="K970" s="19" t="n">
        <f aca="false">IFERROR(VALUE(SUBSTITUTE(TRIM('수출입 실적(품목별)'!H974),",","")),"")</f>
        <v>-100275</v>
      </c>
    </row>
    <row r="971" customFormat="false" ht="15" hidden="false" customHeight="true" outlineLevel="0" collapsed="false">
      <c r="A971" s="11" t="str">
        <f aca="false">TRIM('수출입 실적(품목별)'!A975)</f>
        <v>2024.11</v>
      </c>
      <c r="B971" s="17" t="n">
        <f aca="false">IFERROR(VALUE(LEFT($A971,4)),"")</f>
        <v>2024</v>
      </c>
      <c r="C971" s="17" t="n">
        <f aca="false">IFERROR(VALUE(RIGHT($A971,2)),"")</f>
        <v>11</v>
      </c>
      <c r="D971" s="17" t="n">
        <f aca="false">IFERROR(ROUNDUP($C971/3,0),"")</f>
        <v>4</v>
      </c>
      <c r="E971" s="11" t="str">
        <f aca="false">TRIM('수출입 실적(품목별)'!B975)</f>
        <v>05</v>
      </c>
      <c r="F971" s="11" t="str">
        <f aca="false">TRIM('수출입 실적(품목별)'!C975)</f>
        <v>다른 류로 분류되지 않은 동물성 생산품</v>
      </c>
      <c r="G971" s="18" t="n">
        <f aca="false">IFERROR(VALUE(SUBSTITUTE(TRIM('수출입 실적(품목별)'!D975),",","")),"")</f>
        <v>1414.5</v>
      </c>
      <c r="H971" s="19" t="n">
        <f aca="false">IFERROR(VALUE(SUBSTITUTE(TRIM('수출입 실적(품목별)'!E975),",","")),"")</f>
        <v>8529</v>
      </c>
      <c r="I971" s="18" t="n">
        <f aca="false">IFERROR(VALUE(SUBSTITUTE(TRIM('수출입 실적(품목별)'!F975),",","")),"")</f>
        <v>3280</v>
      </c>
      <c r="J971" s="19" t="n">
        <f aca="false">IFERROR(VALUE(SUBSTITUTE(TRIM('수출입 실적(품목별)'!G975),",","")),"")</f>
        <v>21052</v>
      </c>
      <c r="K971" s="19" t="n">
        <f aca="false">IFERROR(VALUE(SUBSTITUTE(TRIM('수출입 실적(품목별)'!H975),",","")),"")</f>
        <v>-12523</v>
      </c>
    </row>
    <row r="972" customFormat="false" ht="15" hidden="false" customHeight="true" outlineLevel="0" collapsed="false">
      <c r="A972" s="11" t="str">
        <f aca="false">TRIM('수출입 실적(품목별)'!A976)</f>
        <v>2024.11</v>
      </c>
      <c r="B972" s="17" t="n">
        <f aca="false">IFERROR(VALUE(LEFT($A972,4)),"")</f>
        <v>2024</v>
      </c>
      <c r="C972" s="17" t="n">
        <f aca="false">IFERROR(VALUE(RIGHT($A972,2)),"")</f>
        <v>11</v>
      </c>
      <c r="D972" s="17" t="n">
        <f aca="false">IFERROR(ROUNDUP($C972/3,0),"")</f>
        <v>4</v>
      </c>
      <c r="E972" s="11" t="str">
        <f aca="false">TRIM('수출입 실적(품목별)'!B976)</f>
        <v>06</v>
      </c>
      <c r="F972" s="11" t="str">
        <f aca="false">TRIM('수출입 실적(품목별)'!C976)</f>
        <v>살아 있는 수목과 그 밖의 식물, 인경(鱗莖)ㆍ뿌리와 이와 유사한 물품, 절화(切花)와 장식용 잎</v>
      </c>
      <c r="G972" s="18" t="n">
        <f aca="false">IFERROR(VALUE(SUBSTITUTE(TRIM('수출입 실적(품목별)'!D976),",","")),"")</f>
        <v>39.8</v>
      </c>
      <c r="H972" s="19" t="n">
        <f aca="false">IFERROR(VALUE(SUBSTITUTE(TRIM('수출입 실적(품목별)'!E976),",","")),"")</f>
        <v>545</v>
      </c>
      <c r="I972" s="18" t="n">
        <f aca="false">IFERROR(VALUE(SUBSTITUTE(TRIM('수출입 실적(품목별)'!F976),",","")),"")</f>
        <v>10125.4</v>
      </c>
      <c r="J972" s="19" t="n">
        <f aca="false">IFERROR(VALUE(SUBSTITUTE(TRIM('수출입 실적(품목별)'!G976),",","")),"")</f>
        <v>18309</v>
      </c>
      <c r="K972" s="19" t="n">
        <f aca="false">IFERROR(VALUE(SUBSTITUTE(TRIM('수출입 실적(품목별)'!H976),",","")),"")</f>
        <v>-17764</v>
      </c>
    </row>
    <row r="973" customFormat="false" ht="15" hidden="false" customHeight="true" outlineLevel="0" collapsed="false">
      <c r="A973" s="11" t="str">
        <f aca="false">TRIM('수출입 실적(품목별)'!A977)</f>
        <v>2024.11</v>
      </c>
      <c r="B973" s="17" t="n">
        <f aca="false">IFERROR(VALUE(LEFT($A973,4)),"")</f>
        <v>2024</v>
      </c>
      <c r="C973" s="17" t="n">
        <f aca="false">IFERROR(VALUE(RIGHT($A973,2)),"")</f>
        <v>11</v>
      </c>
      <c r="D973" s="17" t="n">
        <f aca="false">IFERROR(ROUNDUP($C973/3,0),"")</f>
        <v>4</v>
      </c>
      <c r="E973" s="11" t="str">
        <f aca="false">TRIM('수출입 실적(품목별)'!B977)</f>
        <v>07</v>
      </c>
      <c r="F973" s="11" t="str">
        <f aca="false">TRIM('수출입 실적(품목별)'!C977)</f>
        <v>식용의 채소ㆍ뿌리ㆍ괴경(塊莖)</v>
      </c>
      <c r="G973" s="18" t="n">
        <f aca="false">IFERROR(VALUE(SUBSTITUTE(TRIM('수출입 실적(품목별)'!D977),",","")),"")</f>
        <v>5866.4</v>
      </c>
      <c r="H973" s="19" t="n">
        <f aca="false">IFERROR(VALUE(SUBSTITUTE(TRIM('수출입 실적(품목별)'!E977),",","")),"")</f>
        <v>11691</v>
      </c>
      <c r="I973" s="18" t="n">
        <f aca="false">IFERROR(VALUE(SUBSTITUTE(TRIM('수출입 실적(품목별)'!F977),",","")),"")</f>
        <v>84325.2</v>
      </c>
      <c r="J973" s="19" t="n">
        <f aca="false">IFERROR(VALUE(SUBSTITUTE(TRIM('수출입 실적(품목별)'!G977),",","")),"")</f>
        <v>68938</v>
      </c>
      <c r="K973" s="19" t="n">
        <f aca="false">IFERROR(VALUE(SUBSTITUTE(TRIM('수출입 실적(품목별)'!H977),",","")),"")</f>
        <v>-57247</v>
      </c>
    </row>
    <row r="974" customFormat="false" ht="15" hidden="false" customHeight="true" outlineLevel="0" collapsed="false">
      <c r="A974" s="11" t="str">
        <f aca="false">TRIM('수출입 실적(품목별)'!A978)</f>
        <v>2024.11</v>
      </c>
      <c r="B974" s="17" t="n">
        <f aca="false">IFERROR(VALUE(LEFT($A974,4)),"")</f>
        <v>2024</v>
      </c>
      <c r="C974" s="17" t="n">
        <f aca="false">IFERROR(VALUE(RIGHT($A974,2)),"")</f>
        <v>11</v>
      </c>
      <c r="D974" s="17" t="n">
        <f aca="false">IFERROR(ROUNDUP($C974/3,0),"")</f>
        <v>4</v>
      </c>
      <c r="E974" s="11" t="str">
        <f aca="false">TRIM('수출입 실적(품목별)'!B978)</f>
        <v>08</v>
      </c>
      <c r="F974" s="11" t="str">
        <f aca="false">TRIM('수출입 실적(품목별)'!C978)</f>
        <v>식용의 과실과 견과류, 감귤류ㆍ멜론의 껍질</v>
      </c>
      <c r="G974" s="18" t="n">
        <f aca="false">IFERROR(VALUE(SUBSTITUTE(TRIM('수출입 실적(품목별)'!D978),",","")),"")</f>
        <v>8627.6</v>
      </c>
      <c r="H974" s="19" t="n">
        <f aca="false">IFERROR(VALUE(SUBSTITUTE(TRIM('수출입 실적(품목별)'!E978),",","")),"")</f>
        <v>31188</v>
      </c>
      <c r="I974" s="18" t="n">
        <f aca="false">IFERROR(VALUE(SUBSTITUTE(TRIM('수출입 실적(품목별)'!F978),",","")),"")</f>
        <v>58876.8</v>
      </c>
      <c r="J974" s="19" t="n">
        <f aca="false">IFERROR(VALUE(SUBSTITUTE(TRIM('수출입 실적(품목별)'!G978),",","")),"")</f>
        <v>123341</v>
      </c>
      <c r="K974" s="19" t="n">
        <f aca="false">IFERROR(VALUE(SUBSTITUTE(TRIM('수출입 실적(품목별)'!H978),",","")),"")</f>
        <v>-92153</v>
      </c>
    </row>
    <row r="975" customFormat="false" ht="15" hidden="false" customHeight="true" outlineLevel="0" collapsed="false">
      <c r="A975" s="11" t="str">
        <f aca="false">TRIM('수출입 실적(품목별)'!A979)</f>
        <v>2024.11</v>
      </c>
      <c r="B975" s="17" t="n">
        <f aca="false">IFERROR(VALUE(LEFT($A975,4)),"")</f>
        <v>2024</v>
      </c>
      <c r="C975" s="17" t="n">
        <f aca="false">IFERROR(VALUE(RIGHT($A975,2)),"")</f>
        <v>11</v>
      </c>
      <c r="D975" s="17" t="n">
        <f aca="false">IFERROR(ROUNDUP($C975/3,0),"")</f>
        <v>4</v>
      </c>
      <c r="E975" s="11" t="str">
        <f aca="false">TRIM('수출입 실적(품목별)'!B979)</f>
        <v>09</v>
      </c>
      <c r="F975" s="11" t="str">
        <f aca="false">TRIM('수출입 실적(품목별)'!C979)</f>
        <v>커피ㆍ차ㆍ마테(maté)ㆍ향신료</v>
      </c>
      <c r="G975" s="18" t="n">
        <f aca="false">IFERROR(VALUE(SUBSTITUTE(TRIM('수출입 실적(품목별)'!D979),",","")),"")</f>
        <v>545</v>
      </c>
      <c r="H975" s="19" t="n">
        <f aca="false">IFERROR(VALUE(SUBSTITUTE(TRIM('수출입 실적(품목별)'!E979),",","")),"")</f>
        <v>4164</v>
      </c>
      <c r="I975" s="18" t="n">
        <f aca="false">IFERROR(VALUE(SUBSTITUTE(TRIM('수출입 실적(품목별)'!F979),",","")),"")</f>
        <v>15133.4</v>
      </c>
      <c r="J975" s="19" t="n">
        <f aca="false">IFERROR(VALUE(SUBSTITUTE(TRIM('수출입 실적(품목별)'!G979),",","")),"")</f>
        <v>108304</v>
      </c>
      <c r="K975" s="19" t="n">
        <f aca="false">IFERROR(VALUE(SUBSTITUTE(TRIM('수출입 실적(품목별)'!H979),",","")),"")</f>
        <v>-104140</v>
      </c>
    </row>
    <row r="976" customFormat="false" ht="15" hidden="false" customHeight="true" outlineLevel="0" collapsed="false">
      <c r="A976" s="11" t="str">
        <f aca="false">TRIM('수출입 실적(품목별)'!A980)</f>
        <v>2024.11</v>
      </c>
      <c r="B976" s="17" t="n">
        <f aca="false">IFERROR(VALUE(LEFT($A976,4)),"")</f>
        <v>2024</v>
      </c>
      <c r="C976" s="17" t="n">
        <f aca="false">IFERROR(VALUE(RIGHT($A976,2)),"")</f>
        <v>11</v>
      </c>
      <c r="D976" s="17" t="n">
        <f aca="false">IFERROR(ROUNDUP($C976/3,0),"")</f>
        <v>4</v>
      </c>
      <c r="E976" s="11" t="str">
        <f aca="false">TRIM('수출입 실적(품목별)'!B980)</f>
        <v>10</v>
      </c>
      <c r="F976" s="11" t="str">
        <f aca="false">TRIM('수출입 실적(품목별)'!C980)</f>
        <v>곡물</v>
      </c>
      <c r="G976" s="18" t="n">
        <f aca="false">IFERROR(VALUE(SUBSTITUTE(TRIM('수출입 실적(품목별)'!D980),",","")),"")</f>
        <v>4367.3</v>
      </c>
      <c r="H976" s="19" t="n">
        <f aca="false">IFERROR(VALUE(SUBSTITUTE(TRIM('수출입 실적(품목별)'!E980),",","")),"")</f>
        <v>7463</v>
      </c>
      <c r="I976" s="18" t="n">
        <f aca="false">IFERROR(VALUE(SUBSTITUTE(TRIM('수출입 실적(품목별)'!F980),",","")),"")</f>
        <v>1408979.8</v>
      </c>
      <c r="J976" s="19" t="n">
        <f aca="false">IFERROR(VALUE(SUBSTITUTE(TRIM('수출입 실적(품목별)'!G980),",","")),"")</f>
        <v>402680</v>
      </c>
      <c r="K976" s="19" t="n">
        <f aca="false">IFERROR(VALUE(SUBSTITUTE(TRIM('수출입 실적(품목별)'!H980),",","")),"")</f>
        <v>-395217</v>
      </c>
    </row>
    <row r="977" customFormat="false" ht="15" hidden="false" customHeight="true" outlineLevel="0" collapsed="false">
      <c r="A977" s="11" t="str">
        <f aca="false">TRIM('수출입 실적(품목별)'!A981)</f>
        <v>2024.11</v>
      </c>
      <c r="B977" s="17" t="n">
        <f aca="false">IFERROR(VALUE(LEFT($A977,4)),"")</f>
        <v>2024</v>
      </c>
      <c r="C977" s="17" t="n">
        <f aca="false">IFERROR(VALUE(RIGHT($A977,2)),"")</f>
        <v>11</v>
      </c>
      <c r="D977" s="17" t="n">
        <f aca="false">IFERROR(ROUNDUP($C977/3,0),"")</f>
        <v>4</v>
      </c>
      <c r="E977" s="11" t="str">
        <f aca="false">TRIM('수출입 실적(품목별)'!B981)</f>
        <v>11</v>
      </c>
      <c r="F977" s="11" t="str">
        <f aca="false">TRIM('수출입 실적(품목별)'!C981)</f>
        <v>제분공업의 생산품과 맥아, 전분, 이눌린(inulin), 밀의 글루텐(gluten)</v>
      </c>
      <c r="G977" s="18" t="n">
        <f aca="false">IFERROR(VALUE(SUBSTITUTE(TRIM('수출입 실적(품목별)'!D981),",","")),"")</f>
        <v>5509.9</v>
      </c>
      <c r="H977" s="19" t="n">
        <f aca="false">IFERROR(VALUE(SUBSTITUTE(TRIM('수출입 실적(품목별)'!E981),",","")),"")</f>
        <v>4060</v>
      </c>
      <c r="I977" s="18" t="n">
        <f aca="false">IFERROR(VALUE(SUBSTITUTE(TRIM('수출입 실적(품목별)'!F981),",","")),"")</f>
        <v>31542.2</v>
      </c>
      <c r="J977" s="19" t="n">
        <f aca="false">IFERROR(VALUE(SUBSTITUTE(TRIM('수출입 실적(품목별)'!G981),",","")),"")</f>
        <v>28192</v>
      </c>
      <c r="K977" s="19" t="n">
        <f aca="false">IFERROR(VALUE(SUBSTITUTE(TRIM('수출입 실적(품목별)'!H981),",","")),"")</f>
        <v>-24132</v>
      </c>
    </row>
    <row r="978" customFormat="false" ht="15" hidden="false" customHeight="true" outlineLevel="0" collapsed="false">
      <c r="A978" s="11" t="str">
        <f aca="false">TRIM('수출입 실적(품목별)'!A982)</f>
        <v>2024.11</v>
      </c>
      <c r="B978" s="17" t="n">
        <f aca="false">IFERROR(VALUE(LEFT($A978,4)),"")</f>
        <v>2024</v>
      </c>
      <c r="C978" s="17" t="n">
        <f aca="false">IFERROR(VALUE(RIGHT($A978,2)),"")</f>
        <v>11</v>
      </c>
      <c r="D978" s="17" t="n">
        <f aca="false">IFERROR(ROUNDUP($C978/3,0),"")</f>
        <v>4</v>
      </c>
      <c r="E978" s="11" t="str">
        <f aca="false">TRIM('수출입 실적(품목별)'!B982)</f>
        <v>12</v>
      </c>
      <c r="F978" s="11" t="str">
        <f aca="false">TRIM('수출입 실적(품목별)'!C982)</f>
        <v>채유(採油)에 적합한 종자와 과실, 각종 종자와 과실, 공업용ㆍ의약용 식물, 짚과 사료용 식물</v>
      </c>
      <c r="G978" s="18" t="n">
        <f aca="false">IFERROR(VALUE(SUBSTITUTE(TRIM('수출입 실적(품목별)'!D982),",","")),"")</f>
        <v>1680.4</v>
      </c>
      <c r="H978" s="19" t="n">
        <f aca="false">IFERROR(VALUE(SUBSTITUTE(TRIM('수출입 실적(품목별)'!E982),",","")),"")</f>
        <v>35093</v>
      </c>
      <c r="I978" s="18" t="n">
        <f aca="false">IFERROR(VALUE(SUBSTITUTE(TRIM('수출입 실적(품목별)'!F982),",","")),"")</f>
        <v>244433.6</v>
      </c>
      <c r="J978" s="19" t="n">
        <f aca="false">IFERROR(VALUE(SUBSTITUTE(TRIM('수출입 실적(품목별)'!G982),",","")),"")</f>
        <v>157134</v>
      </c>
      <c r="K978" s="19" t="n">
        <f aca="false">IFERROR(VALUE(SUBSTITUTE(TRIM('수출입 실적(품목별)'!H982),",","")),"")</f>
        <v>-122041</v>
      </c>
    </row>
    <row r="979" customFormat="false" ht="15" hidden="false" customHeight="true" outlineLevel="0" collapsed="false">
      <c r="A979" s="11" t="str">
        <f aca="false">TRIM('수출입 실적(품목별)'!A983)</f>
        <v>2024.11</v>
      </c>
      <c r="B979" s="17" t="n">
        <f aca="false">IFERROR(VALUE(LEFT($A979,4)),"")</f>
        <v>2024</v>
      </c>
      <c r="C979" s="17" t="n">
        <f aca="false">IFERROR(VALUE(RIGHT($A979,2)),"")</f>
        <v>11</v>
      </c>
      <c r="D979" s="17" t="n">
        <f aca="false">IFERROR(ROUNDUP($C979/3,0),"")</f>
        <v>4</v>
      </c>
      <c r="E979" s="11" t="str">
        <f aca="false">TRIM('수출입 실적(품목별)'!B983)</f>
        <v>13</v>
      </c>
      <c r="F979" s="11" t="str">
        <f aca="false">TRIM('수출입 실적(품목별)'!C983)</f>
        <v>락(lac), 검ㆍ수지ㆍ그 밖의 식물성 수액과 추출물(extract)</v>
      </c>
      <c r="G979" s="18" t="n">
        <f aca="false">IFERROR(VALUE(SUBSTITUTE(TRIM('수출입 실적(품목별)'!D983),",","")),"")</f>
        <v>311.8</v>
      </c>
      <c r="H979" s="19" t="n">
        <f aca="false">IFERROR(VALUE(SUBSTITUTE(TRIM('수출입 실적(품목별)'!E983),",","")),"")</f>
        <v>8760</v>
      </c>
      <c r="I979" s="18" t="n">
        <f aca="false">IFERROR(VALUE(SUBSTITUTE(TRIM('수출입 실적(품목별)'!F983),",","")),"")</f>
        <v>11468.2</v>
      </c>
      <c r="J979" s="19" t="n">
        <f aca="false">IFERROR(VALUE(SUBSTITUTE(TRIM('수출입 실적(품목별)'!G983),",","")),"")</f>
        <v>26601</v>
      </c>
      <c r="K979" s="19" t="n">
        <f aca="false">IFERROR(VALUE(SUBSTITUTE(TRIM('수출입 실적(품목별)'!H983),",","")),"")</f>
        <v>-17841</v>
      </c>
    </row>
    <row r="980" customFormat="false" ht="15" hidden="false" customHeight="true" outlineLevel="0" collapsed="false">
      <c r="A980" s="11" t="str">
        <f aca="false">TRIM('수출입 실적(품목별)'!A984)</f>
        <v>2024.11</v>
      </c>
      <c r="B980" s="17" t="n">
        <f aca="false">IFERROR(VALUE(LEFT($A980,4)),"")</f>
        <v>2024</v>
      </c>
      <c r="C980" s="17" t="n">
        <f aca="false">IFERROR(VALUE(RIGHT($A980,2)),"")</f>
        <v>11</v>
      </c>
      <c r="D980" s="17" t="n">
        <f aca="false">IFERROR(ROUNDUP($C980/3,0),"")</f>
        <v>4</v>
      </c>
      <c r="E980" s="11" t="str">
        <f aca="false">TRIM('수출입 실적(품목별)'!B984)</f>
        <v>14</v>
      </c>
      <c r="F980" s="11" t="str">
        <f aca="false">TRIM('수출입 실적(품목별)'!C984)</f>
        <v>식물성 편조물(編組物)용 재료와 다른 류로 분류되지 않은 식물성 생산품</v>
      </c>
      <c r="G980" s="18" t="n">
        <f aca="false">IFERROR(VALUE(SUBSTITUTE(TRIM('수출입 실적(품목별)'!D984),",","")),"")</f>
        <v>16</v>
      </c>
      <c r="H980" s="19" t="n">
        <f aca="false">IFERROR(VALUE(SUBSTITUTE(TRIM('수출입 실적(품목별)'!E984),",","")),"")</f>
        <v>41</v>
      </c>
      <c r="I980" s="18" t="n">
        <f aca="false">IFERROR(VALUE(SUBSTITUTE(TRIM('수출입 실적(품목별)'!F984),",","")),"")</f>
        <v>12294.6</v>
      </c>
      <c r="J980" s="19" t="n">
        <f aca="false">IFERROR(VALUE(SUBSTITUTE(TRIM('수출입 실적(품목별)'!G984),",","")),"")</f>
        <v>3794</v>
      </c>
      <c r="K980" s="19" t="n">
        <f aca="false">IFERROR(VALUE(SUBSTITUTE(TRIM('수출입 실적(품목별)'!H984),",","")),"")</f>
        <v>-3753</v>
      </c>
    </row>
    <row r="981" customFormat="false" ht="15" hidden="false" customHeight="true" outlineLevel="0" collapsed="false">
      <c r="A981" s="11" t="str">
        <f aca="false">TRIM('수출입 실적(품목별)'!A985)</f>
        <v>2024.11</v>
      </c>
      <c r="B981" s="17" t="n">
        <f aca="false">IFERROR(VALUE(LEFT($A981,4)),"")</f>
        <v>2024</v>
      </c>
      <c r="C981" s="17" t="n">
        <f aca="false">IFERROR(VALUE(RIGHT($A981,2)),"")</f>
        <v>11</v>
      </c>
      <c r="D981" s="17" t="n">
        <f aca="false">IFERROR(ROUNDUP($C981/3,0),"")</f>
        <v>4</v>
      </c>
      <c r="E981" s="11" t="str">
        <f aca="false">TRIM('수출입 실적(품목별)'!B985)</f>
        <v>15</v>
      </c>
      <c r="F981" s="11" t="str">
        <f aca="false">TRIM('수출입 실적(품목별)'!C985)</f>
        <v>동물성ㆍ식물성ㆍ미생물성 지방과 기름 및이들의 분해생산물, 조제한 식용 지방과 동물성ㆍ식물성 왁스</v>
      </c>
      <c r="G981" s="18" t="n">
        <f aca="false">IFERROR(VALUE(SUBSTITUTE(TRIM('수출입 실적(품목별)'!D985),",","")),"")</f>
        <v>6416.2</v>
      </c>
      <c r="H981" s="19" t="n">
        <f aca="false">IFERROR(VALUE(SUBSTITUTE(TRIM('수출입 실적(품목별)'!E985),",","")),"")</f>
        <v>9574</v>
      </c>
      <c r="I981" s="18" t="n">
        <f aca="false">IFERROR(VALUE(SUBSTITUTE(TRIM('수출입 실적(품목별)'!F985),",","")),"")</f>
        <v>93890.5</v>
      </c>
      <c r="J981" s="19" t="n">
        <f aca="false">IFERROR(VALUE(SUBSTITUTE(TRIM('수출입 실적(품목별)'!G985),",","")),"")</f>
        <v>134836</v>
      </c>
      <c r="K981" s="19" t="n">
        <f aca="false">IFERROR(VALUE(SUBSTITUTE(TRIM('수출입 실적(품목별)'!H985),",","")),"")</f>
        <v>-125263</v>
      </c>
    </row>
    <row r="982" customFormat="false" ht="15" hidden="false" customHeight="true" outlineLevel="0" collapsed="false">
      <c r="A982" s="11" t="str">
        <f aca="false">TRIM('수출입 실적(품목별)'!A986)</f>
        <v>2024.11</v>
      </c>
      <c r="B982" s="17" t="n">
        <f aca="false">IFERROR(VALUE(LEFT($A982,4)),"")</f>
        <v>2024</v>
      </c>
      <c r="C982" s="17" t="n">
        <f aca="false">IFERROR(VALUE(RIGHT($A982,2)),"")</f>
        <v>11</v>
      </c>
      <c r="D982" s="17" t="n">
        <f aca="false">IFERROR(ROUNDUP($C982/3,0),"")</f>
        <v>4</v>
      </c>
      <c r="E982" s="11" t="str">
        <f aca="false">TRIM('수출입 실적(품목별)'!B986)</f>
        <v>16</v>
      </c>
      <c r="F982" s="11" t="str">
        <f aca="false">TRIM('수출입 실적(품목별)'!C986)</f>
        <v>육류ㆍ어류ㆍ갑각류ㆍ연체동물이나 그 밖의 수생(水生) 무척추동물 또는 곤충의 조제품</v>
      </c>
      <c r="G982" s="18" t="n">
        <f aca="false">IFERROR(VALUE(SUBSTITUTE(TRIM('수출입 실적(품목별)'!D986),",","")),"")</f>
        <v>4859.1</v>
      </c>
      <c r="H982" s="19" t="n">
        <f aca="false">IFERROR(VALUE(SUBSTITUTE(TRIM('수출입 실적(품목별)'!E986),",","")),"")</f>
        <v>29708</v>
      </c>
      <c r="I982" s="18" t="n">
        <f aca="false">IFERROR(VALUE(SUBSTITUTE(TRIM('수출입 실적(품목별)'!F986),",","")),"")</f>
        <v>15640</v>
      </c>
      <c r="J982" s="19" t="n">
        <f aca="false">IFERROR(VALUE(SUBSTITUTE(TRIM('수출입 실적(품목별)'!G986),",","")),"")</f>
        <v>86496</v>
      </c>
      <c r="K982" s="19" t="n">
        <f aca="false">IFERROR(VALUE(SUBSTITUTE(TRIM('수출입 실적(품목별)'!H986),",","")),"")</f>
        <v>-56788</v>
      </c>
    </row>
    <row r="983" customFormat="false" ht="15" hidden="false" customHeight="true" outlineLevel="0" collapsed="false">
      <c r="A983" s="11" t="str">
        <f aca="false">TRIM('수출입 실적(품목별)'!A987)</f>
        <v>2024.11</v>
      </c>
      <c r="B983" s="17" t="n">
        <f aca="false">IFERROR(VALUE(LEFT($A983,4)),"")</f>
        <v>2024</v>
      </c>
      <c r="C983" s="17" t="n">
        <f aca="false">IFERROR(VALUE(RIGHT($A983,2)),"")</f>
        <v>11</v>
      </c>
      <c r="D983" s="17" t="n">
        <f aca="false">IFERROR(ROUNDUP($C983/3,0),"")</f>
        <v>4</v>
      </c>
      <c r="E983" s="11" t="str">
        <f aca="false">TRIM('수출입 실적(품목별)'!B987)</f>
        <v>17</v>
      </c>
      <c r="F983" s="11" t="str">
        <f aca="false">TRIM('수출입 실적(품목별)'!C987)</f>
        <v>당류(糖類)와 설탕과자</v>
      </c>
      <c r="G983" s="18" t="n">
        <f aca="false">IFERROR(VALUE(SUBSTITUTE(TRIM('수출입 실적(품목별)'!D987),",","")),"")</f>
        <v>37227.2</v>
      </c>
      <c r="H983" s="19" t="n">
        <f aca="false">IFERROR(VALUE(SUBSTITUTE(TRIM('수출입 실적(품목별)'!E987),",","")),"")</f>
        <v>32849</v>
      </c>
      <c r="I983" s="18" t="n">
        <f aca="false">IFERROR(VALUE(SUBSTITUTE(TRIM('수출입 실적(품목별)'!F987),",","")),"")</f>
        <v>197140.5</v>
      </c>
      <c r="J983" s="19" t="n">
        <f aca="false">IFERROR(VALUE(SUBSTITUTE(TRIM('수출입 실적(품목별)'!G987),",","")),"")</f>
        <v>124859</v>
      </c>
      <c r="K983" s="19" t="n">
        <f aca="false">IFERROR(VALUE(SUBSTITUTE(TRIM('수출입 실적(품목별)'!H987),",","")),"")</f>
        <v>-92010</v>
      </c>
    </row>
    <row r="984" customFormat="false" ht="15" hidden="false" customHeight="true" outlineLevel="0" collapsed="false">
      <c r="A984" s="11" t="str">
        <f aca="false">TRIM('수출입 실적(품목별)'!A988)</f>
        <v>2024.11</v>
      </c>
      <c r="B984" s="17" t="n">
        <f aca="false">IFERROR(VALUE(LEFT($A984,4)),"")</f>
        <v>2024</v>
      </c>
      <c r="C984" s="17" t="n">
        <f aca="false">IFERROR(VALUE(RIGHT($A984,2)),"")</f>
        <v>11</v>
      </c>
      <c r="D984" s="17" t="n">
        <f aca="false">IFERROR(ROUNDUP($C984/3,0),"")</f>
        <v>4</v>
      </c>
      <c r="E984" s="11" t="str">
        <f aca="false">TRIM('수출입 실적(품목별)'!B988)</f>
        <v>18</v>
      </c>
      <c r="F984" s="11" t="str">
        <f aca="false">TRIM('수출입 실적(품목별)'!C988)</f>
        <v>코코아와 그 조제품</v>
      </c>
      <c r="G984" s="18" t="n">
        <f aca="false">IFERROR(VALUE(SUBSTITUTE(TRIM('수출입 실적(품목별)'!D988),",","")),"")</f>
        <v>3179.3</v>
      </c>
      <c r="H984" s="19" t="n">
        <f aca="false">IFERROR(VALUE(SUBSTITUTE(TRIM('수출입 실적(품목별)'!E988),",","")),"")</f>
        <v>10288</v>
      </c>
      <c r="I984" s="18" t="n">
        <f aca="false">IFERROR(VALUE(SUBSTITUTE(TRIM('수출입 실적(품목별)'!F988),",","")),"")</f>
        <v>5951.4</v>
      </c>
      <c r="J984" s="19" t="n">
        <f aca="false">IFERROR(VALUE(SUBSTITUTE(TRIM('수출입 실적(품목별)'!G988),",","")),"")</f>
        <v>49773</v>
      </c>
      <c r="K984" s="19" t="n">
        <f aca="false">IFERROR(VALUE(SUBSTITUTE(TRIM('수출입 실적(품목별)'!H988),",","")),"")</f>
        <v>-39485</v>
      </c>
    </row>
    <row r="985" customFormat="false" ht="15" hidden="false" customHeight="true" outlineLevel="0" collapsed="false">
      <c r="A985" s="11" t="str">
        <f aca="false">TRIM('수출입 실적(품목별)'!A989)</f>
        <v>2024.11</v>
      </c>
      <c r="B985" s="17" t="n">
        <f aca="false">IFERROR(VALUE(LEFT($A985,4)),"")</f>
        <v>2024</v>
      </c>
      <c r="C985" s="17" t="n">
        <f aca="false">IFERROR(VALUE(RIGHT($A985,2)),"")</f>
        <v>11</v>
      </c>
      <c r="D985" s="17" t="n">
        <f aca="false">IFERROR(ROUNDUP($C985/3,0),"")</f>
        <v>4</v>
      </c>
      <c r="E985" s="11" t="str">
        <f aca="false">TRIM('수출입 실적(품목별)'!B989)</f>
        <v>19</v>
      </c>
      <c r="F985" s="11" t="str">
        <f aca="false">TRIM('수출입 실적(품목별)'!C989)</f>
        <v>곡물ㆍ고운 가루ㆍ전분ㆍ밀크의 조제품과 베이커리 제품</v>
      </c>
      <c r="G985" s="18" t="n">
        <f aca="false">IFERROR(VALUE(SUBSTITUTE(TRIM('수출입 실적(품목별)'!D989),",","")),"")</f>
        <v>55433.6</v>
      </c>
      <c r="H985" s="19" t="n">
        <f aca="false">IFERROR(VALUE(SUBSTITUTE(TRIM('수출입 실적(품목별)'!E989),",","")),"")</f>
        <v>217351</v>
      </c>
      <c r="I985" s="18" t="n">
        <f aca="false">IFERROR(VALUE(SUBSTITUTE(TRIM('수출입 실적(품목별)'!F989),",","")),"")</f>
        <v>27938.2</v>
      </c>
      <c r="J985" s="19" t="n">
        <f aca="false">IFERROR(VALUE(SUBSTITUTE(TRIM('수출입 실적(품목별)'!G989),",","")),"")</f>
        <v>89038</v>
      </c>
      <c r="K985" s="19" t="n">
        <f aca="false">IFERROR(VALUE(SUBSTITUTE(TRIM('수출입 실적(품목별)'!H989),",","")),"")</f>
        <v>128313</v>
      </c>
    </row>
    <row r="986" customFormat="false" ht="15" hidden="false" customHeight="true" outlineLevel="0" collapsed="false">
      <c r="A986" s="11" t="str">
        <f aca="false">TRIM('수출입 실적(품목별)'!A990)</f>
        <v>2024.11</v>
      </c>
      <c r="B986" s="17" t="n">
        <f aca="false">IFERROR(VALUE(LEFT($A986,4)),"")</f>
        <v>2024</v>
      </c>
      <c r="C986" s="17" t="n">
        <f aca="false">IFERROR(VALUE(RIGHT($A986,2)),"")</f>
        <v>11</v>
      </c>
      <c r="D986" s="17" t="n">
        <f aca="false">IFERROR(ROUNDUP($C986/3,0),"")</f>
        <v>4</v>
      </c>
      <c r="E986" s="11" t="str">
        <f aca="false">TRIM('수출입 실적(품목별)'!B990)</f>
        <v>20</v>
      </c>
      <c r="F986" s="11" t="str">
        <f aca="false">TRIM('수출입 실적(품목별)'!C990)</f>
        <v>채소ㆍ과실ㆍ견과류나 식물의그 밖의 부분의 조제품</v>
      </c>
      <c r="G986" s="18" t="n">
        <f aca="false">IFERROR(VALUE(SUBSTITUTE(TRIM('수출입 실적(품목별)'!D990),",","")),"")</f>
        <v>9378.9</v>
      </c>
      <c r="H986" s="19" t="n">
        <f aca="false">IFERROR(VALUE(SUBSTITUTE(TRIM('수출입 실적(품목별)'!E990),",","")),"")</f>
        <v>82847</v>
      </c>
      <c r="I986" s="18" t="n">
        <f aca="false">IFERROR(VALUE(SUBSTITUTE(TRIM('수출입 실적(품목별)'!F990),",","")),"")</f>
        <v>99565.6</v>
      </c>
      <c r="J986" s="19" t="n">
        <f aca="false">IFERROR(VALUE(SUBSTITUTE(TRIM('수출입 실적(품목별)'!G990),",","")),"")</f>
        <v>148071</v>
      </c>
      <c r="K986" s="19" t="n">
        <f aca="false">IFERROR(VALUE(SUBSTITUTE(TRIM('수출입 실적(품목별)'!H990),",","")),"")</f>
        <v>-65224</v>
      </c>
    </row>
    <row r="987" customFormat="false" ht="15" hidden="false" customHeight="true" outlineLevel="0" collapsed="false">
      <c r="A987" s="11" t="str">
        <f aca="false">TRIM('수출입 실적(품목별)'!A991)</f>
        <v>2024.11</v>
      </c>
      <c r="B987" s="17" t="n">
        <f aca="false">IFERROR(VALUE(LEFT($A987,4)),"")</f>
        <v>2024</v>
      </c>
      <c r="C987" s="17" t="n">
        <f aca="false">IFERROR(VALUE(RIGHT($A987,2)),"")</f>
        <v>11</v>
      </c>
      <c r="D987" s="17" t="n">
        <f aca="false">IFERROR(ROUNDUP($C987/3,0),"")</f>
        <v>4</v>
      </c>
      <c r="E987" s="11" t="str">
        <f aca="false">TRIM('수출입 실적(품목별)'!B991)</f>
        <v>21</v>
      </c>
      <c r="F987" s="11" t="str">
        <f aca="false">TRIM('수출입 실적(품목별)'!C991)</f>
        <v>각종 조제 식료품</v>
      </c>
      <c r="G987" s="18" t="n">
        <f aca="false">IFERROR(VALUE(SUBSTITUTE(TRIM('수출입 실적(품목별)'!D991),",","")),"")</f>
        <v>36220.5</v>
      </c>
      <c r="H987" s="19" t="n">
        <f aca="false">IFERROR(VALUE(SUBSTITUTE(TRIM('수출입 실적(품목별)'!E991),",","")),"")</f>
        <v>144347</v>
      </c>
      <c r="I987" s="18" t="n">
        <f aca="false">IFERROR(VALUE(SUBSTITUTE(TRIM('수출입 실적(품목별)'!F991),",","")),"")</f>
        <v>29756.8</v>
      </c>
      <c r="J987" s="19" t="n">
        <f aca="false">IFERROR(VALUE(SUBSTITUTE(TRIM('수출입 실적(품목별)'!G991),",","")),"")</f>
        <v>216032</v>
      </c>
      <c r="K987" s="19" t="n">
        <f aca="false">IFERROR(VALUE(SUBSTITUTE(TRIM('수출입 실적(품목별)'!H991),",","")),"")</f>
        <v>-71685</v>
      </c>
    </row>
    <row r="988" customFormat="false" ht="15" hidden="false" customHeight="true" outlineLevel="0" collapsed="false">
      <c r="A988" s="11" t="str">
        <f aca="false">TRIM('수출입 실적(품목별)'!A992)</f>
        <v>2024.11</v>
      </c>
      <c r="B988" s="17" t="n">
        <f aca="false">IFERROR(VALUE(LEFT($A988,4)),"")</f>
        <v>2024</v>
      </c>
      <c r="C988" s="17" t="n">
        <f aca="false">IFERROR(VALUE(RIGHT($A988,2)),"")</f>
        <v>11</v>
      </c>
      <c r="D988" s="17" t="n">
        <f aca="false">IFERROR(ROUNDUP($C988/3,0),"")</f>
        <v>4</v>
      </c>
      <c r="E988" s="11" t="str">
        <f aca="false">TRIM('수출입 실적(품목별)'!B992)</f>
        <v>22</v>
      </c>
      <c r="F988" s="11" t="str">
        <f aca="false">TRIM('수출입 실적(품목별)'!C992)</f>
        <v>음료ㆍ주류ㆍ식초</v>
      </c>
      <c r="G988" s="18" t="n">
        <f aca="false">IFERROR(VALUE(SUBSTITUTE(TRIM('수출입 실적(품목별)'!D992),",","")),"")</f>
        <v>75432.3</v>
      </c>
      <c r="H988" s="19" t="n">
        <f aca="false">IFERROR(VALUE(SUBSTITUTE(TRIM('수출입 실적(품목별)'!E992),",","")),"")</f>
        <v>98868</v>
      </c>
      <c r="I988" s="18" t="n">
        <f aca="false">IFERROR(VALUE(SUBSTITUTE(TRIM('수출입 실적(품목별)'!F992),",","")),"")</f>
        <v>79339.9</v>
      </c>
      <c r="J988" s="19" t="n">
        <f aca="false">IFERROR(VALUE(SUBSTITUTE(TRIM('수출입 실적(품목별)'!G992),",","")),"")</f>
        <v>130320</v>
      </c>
      <c r="K988" s="19" t="n">
        <f aca="false">IFERROR(VALUE(SUBSTITUTE(TRIM('수출입 실적(품목별)'!H992),",","")),"")</f>
        <v>-31452</v>
      </c>
    </row>
    <row r="989" customFormat="false" ht="15" hidden="false" customHeight="true" outlineLevel="0" collapsed="false">
      <c r="A989" s="11" t="str">
        <f aca="false">TRIM('수출입 실적(품목별)'!A993)</f>
        <v>2024.11</v>
      </c>
      <c r="B989" s="17" t="n">
        <f aca="false">IFERROR(VALUE(LEFT($A989,4)),"")</f>
        <v>2024</v>
      </c>
      <c r="C989" s="17" t="n">
        <f aca="false">IFERROR(VALUE(RIGHT($A989,2)),"")</f>
        <v>11</v>
      </c>
      <c r="D989" s="17" t="n">
        <f aca="false">IFERROR(ROUNDUP($C989/3,0),"")</f>
        <v>4</v>
      </c>
      <c r="E989" s="11" t="str">
        <f aca="false">TRIM('수출입 실적(품목별)'!B993)</f>
        <v>23</v>
      </c>
      <c r="F989" s="11" t="str">
        <f aca="false">TRIM('수출입 실적(품목별)'!C993)</f>
        <v>식품 공업에서 생기는 잔재물과 웨이스트(waste), 조제 사료</v>
      </c>
      <c r="G989" s="18" t="n">
        <f aca="false">IFERROR(VALUE(SUBSTITUTE(TRIM('수출입 실적(품목별)'!D993),",","")),"")</f>
        <v>24725.6</v>
      </c>
      <c r="H989" s="19" t="n">
        <f aca="false">IFERROR(VALUE(SUBSTITUTE(TRIM('수출입 실적(품목별)'!E993),",","")),"")</f>
        <v>27494</v>
      </c>
      <c r="I989" s="18" t="n">
        <f aca="false">IFERROR(VALUE(SUBSTITUTE(TRIM('수출입 실적(품목별)'!F993),",","")),"")</f>
        <v>546998.4</v>
      </c>
      <c r="J989" s="19" t="n">
        <f aca="false">IFERROR(VALUE(SUBSTITUTE(TRIM('수출입 실적(품목별)'!G993),",","")),"")</f>
        <v>195081</v>
      </c>
      <c r="K989" s="19" t="n">
        <f aca="false">IFERROR(VALUE(SUBSTITUTE(TRIM('수출입 실적(품목별)'!H993),",","")),"")</f>
        <v>-167587</v>
      </c>
    </row>
    <row r="990" customFormat="false" ht="15" hidden="false" customHeight="true" outlineLevel="0" collapsed="false">
      <c r="A990" s="11" t="str">
        <f aca="false">TRIM('수출입 실적(품목별)'!A994)</f>
        <v>2024.11</v>
      </c>
      <c r="B990" s="17" t="n">
        <f aca="false">IFERROR(VALUE(LEFT($A990,4)),"")</f>
        <v>2024</v>
      </c>
      <c r="C990" s="17" t="n">
        <f aca="false">IFERROR(VALUE(RIGHT($A990,2)),"")</f>
        <v>11</v>
      </c>
      <c r="D990" s="17" t="n">
        <f aca="false">IFERROR(ROUNDUP($C990/3,0),"")</f>
        <v>4</v>
      </c>
      <c r="E990" s="11" t="str">
        <f aca="false">TRIM('수출입 실적(품목별)'!B994)</f>
        <v>24</v>
      </c>
      <c r="F990" s="11" t="str">
        <f aca="false">TRIM('수출입 실적(품목별)'!C994)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990" s="18" t="n">
        <f aca="false">IFERROR(VALUE(SUBSTITUTE(TRIM('수출입 실적(품목별)'!D994),",","")),"")</f>
        <v>8141.2</v>
      </c>
      <c r="H990" s="19" t="n">
        <f aca="false">IFERROR(VALUE(SUBSTITUTE(TRIM('수출입 실적(품목별)'!E994),",","")),"")</f>
        <v>97378</v>
      </c>
      <c r="I990" s="18" t="n">
        <f aca="false">IFERROR(VALUE(SUBSTITUTE(TRIM('수출입 실적(품목별)'!F994),",","")),"")</f>
        <v>4965.2</v>
      </c>
      <c r="J990" s="19" t="n">
        <f aca="false">IFERROR(VALUE(SUBSTITUTE(TRIM('수출입 실적(품목별)'!G994),",","")),"")</f>
        <v>43185</v>
      </c>
      <c r="K990" s="19" t="n">
        <f aca="false">IFERROR(VALUE(SUBSTITUTE(TRIM('수출입 실적(품목별)'!H994),",","")),"")</f>
        <v>54193</v>
      </c>
    </row>
    <row r="991" customFormat="false" ht="15" hidden="false" customHeight="true" outlineLevel="0" collapsed="false">
      <c r="A991" s="11" t="str">
        <f aca="false">TRIM('수출입 실적(품목별)'!A995)</f>
        <v>2024.11</v>
      </c>
      <c r="B991" s="17" t="n">
        <f aca="false">IFERROR(VALUE(LEFT($A991,4)),"")</f>
        <v>2024</v>
      </c>
      <c r="C991" s="17" t="n">
        <f aca="false">IFERROR(VALUE(RIGHT($A991,2)),"")</f>
        <v>11</v>
      </c>
      <c r="D991" s="17" t="n">
        <f aca="false">IFERROR(ROUNDUP($C991/3,0),"")</f>
        <v>4</v>
      </c>
      <c r="E991" s="11" t="str">
        <f aca="false">TRIM('수출입 실적(품목별)'!B995)</f>
        <v>25</v>
      </c>
      <c r="F991" s="11" t="str">
        <f aca="false">TRIM('수출입 실적(품목별)'!C995)</f>
        <v>소금, 황, 토석류(土石類), 석고ㆍ석회ㆍ시멘트</v>
      </c>
      <c r="G991" s="18" t="n">
        <f aca="false">IFERROR(VALUE(SUBSTITUTE(TRIM('수출입 실적(품목별)'!D995),",","")),"")</f>
        <v>557228.1</v>
      </c>
      <c r="H991" s="19" t="n">
        <f aca="false">IFERROR(VALUE(SUBSTITUTE(TRIM('수출입 실적(품목별)'!E995),",","")),"")</f>
        <v>31456</v>
      </c>
      <c r="I991" s="18" t="n">
        <f aca="false">IFERROR(VALUE(SUBSTITUTE(TRIM('수출입 실적(품목별)'!F995),",","")),"")</f>
        <v>890422.8</v>
      </c>
      <c r="J991" s="19" t="n">
        <f aca="false">IFERROR(VALUE(SUBSTITUTE(TRIM('수출입 실적(품목별)'!G995),",","")),"")</f>
        <v>73496</v>
      </c>
      <c r="K991" s="19" t="n">
        <f aca="false">IFERROR(VALUE(SUBSTITUTE(TRIM('수출입 실적(품목별)'!H995),",","")),"")</f>
        <v>-42041</v>
      </c>
    </row>
    <row r="992" customFormat="false" ht="15" hidden="false" customHeight="true" outlineLevel="0" collapsed="false">
      <c r="A992" s="11" t="str">
        <f aca="false">TRIM('수출입 실적(품목별)'!A996)</f>
        <v>2024.11</v>
      </c>
      <c r="B992" s="17" t="n">
        <f aca="false">IFERROR(VALUE(LEFT($A992,4)),"")</f>
        <v>2024</v>
      </c>
      <c r="C992" s="17" t="n">
        <f aca="false">IFERROR(VALUE(RIGHT($A992,2)),"")</f>
        <v>11</v>
      </c>
      <c r="D992" s="17" t="n">
        <f aca="false">IFERROR(ROUNDUP($C992/3,0),"")</f>
        <v>4</v>
      </c>
      <c r="E992" s="11" t="str">
        <f aca="false">TRIM('수출입 실적(품목별)'!B996)</f>
        <v>26</v>
      </c>
      <c r="F992" s="11" t="str">
        <f aca="false">TRIM('수출입 실적(품목별)'!C996)</f>
        <v>광(鑛)ㆍ슬래그(slag)ㆍ회(灰)</v>
      </c>
      <c r="G992" s="18" t="n">
        <f aca="false">IFERROR(VALUE(SUBSTITUTE(TRIM('수출입 실적(품목별)'!D996),",","")),"")</f>
        <v>203290.2</v>
      </c>
      <c r="H992" s="19" t="n">
        <f aca="false">IFERROR(VALUE(SUBSTITUTE(TRIM('수출입 실적(품목별)'!E996),",","")),"")</f>
        <v>65224</v>
      </c>
      <c r="I992" s="18" t="n">
        <f aca="false">IFERROR(VALUE(SUBSTITUTE(TRIM('수출입 실적(품목별)'!F996),",","")),"")</f>
        <v>6035459.8</v>
      </c>
      <c r="J992" s="19" t="n">
        <f aca="false">IFERROR(VALUE(SUBSTITUTE(TRIM('수출입 실적(품목별)'!G996),",","")),"")</f>
        <v>1364370</v>
      </c>
      <c r="K992" s="19" t="n">
        <f aca="false">IFERROR(VALUE(SUBSTITUTE(TRIM('수출입 실적(품목별)'!H996),",","")),"")</f>
        <v>-1299146</v>
      </c>
    </row>
    <row r="993" customFormat="false" ht="15" hidden="false" customHeight="true" outlineLevel="0" collapsed="false">
      <c r="A993" s="11" t="str">
        <f aca="false">TRIM('수출입 실적(품목별)'!A997)</f>
        <v>2024.11</v>
      </c>
      <c r="B993" s="17" t="n">
        <f aca="false">IFERROR(VALUE(LEFT($A993,4)),"")</f>
        <v>2024</v>
      </c>
      <c r="C993" s="17" t="n">
        <f aca="false">IFERROR(VALUE(RIGHT($A993,2)),"")</f>
        <v>11</v>
      </c>
      <c r="D993" s="17" t="n">
        <f aca="false">IFERROR(ROUNDUP($C993/3,0),"")</f>
        <v>4</v>
      </c>
      <c r="E993" s="11" t="str">
        <f aca="false">TRIM('수출입 실적(품목별)'!B997)</f>
        <v>27</v>
      </c>
      <c r="F993" s="11" t="str">
        <f aca="false">TRIM('수출입 실적(품목별)'!C997)</f>
        <v>광물성 연료ㆍ광물유(鑛物油)와 이들의 증류물, 역청(瀝靑)물질, 광물성 왁스</v>
      </c>
      <c r="G993" s="18" t="n">
        <f aca="false">IFERROR(VALUE(SUBSTITUTE(TRIM('수출입 실적(품목별)'!D997),",","")),"")</f>
        <v>5448979.1</v>
      </c>
      <c r="H993" s="19" t="n">
        <f aca="false">IFERROR(VALUE(SUBSTITUTE(TRIM('수출입 실적(품목별)'!E997),",","")),"")</f>
        <v>3835069</v>
      </c>
      <c r="I993" s="18" t="n">
        <f aca="false">IFERROR(VALUE(SUBSTITUTE(TRIM('수출입 실적(품목별)'!F997),",","")),"")</f>
        <v>27718566.5</v>
      </c>
      <c r="J993" s="19" t="n">
        <f aca="false">IFERROR(VALUE(SUBSTITUTE(TRIM('수출입 실적(품목별)'!G997),",","")),"")</f>
        <v>12526422</v>
      </c>
      <c r="K993" s="19" t="n">
        <f aca="false">IFERROR(VALUE(SUBSTITUTE(TRIM('수출입 실적(품목별)'!H997),",","")),"")</f>
        <v>-8691353</v>
      </c>
    </row>
    <row r="994" customFormat="false" ht="15" hidden="false" customHeight="true" outlineLevel="0" collapsed="false">
      <c r="A994" s="11" t="str">
        <f aca="false">TRIM('수출입 실적(품목별)'!A998)</f>
        <v>2024.11</v>
      </c>
      <c r="B994" s="17" t="n">
        <f aca="false">IFERROR(VALUE(LEFT($A994,4)),"")</f>
        <v>2024</v>
      </c>
      <c r="C994" s="17" t="n">
        <f aca="false">IFERROR(VALUE(RIGHT($A994,2)),"")</f>
        <v>11</v>
      </c>
      <c r="D994" s="17" t="n">
        <f aca="false">IFERROR(ROUNDUP($C994/3,0),"")</f>
        <v>4</v>
      </c>
      <c r="E994" s="11" t="str">
        <f aca="false">TRIM('수출입 실적(품목별)'!B998)</f>
        <v>28</v>
      </c>
      <c r="F994" s="11" t="str">
        <f aca="false">TRIM('수출입 실적(품목별)'!C998)</f>
        <v>무기화학품, 귀금속ㆍ희토류(稀土類)금속ㆍ방사성원소ㆍ동위원소의 유기화합물이나 무기화합물</v>
      </c>
      <c r="G994" s="18" t="n">
        <f aca="false">IFERROR(VALUE(SUBSTITUTE(TRIM('수출입 실적(품목별)'!D998),",","")),"")</f>
        <v>461522.3</v>
      </c>
      <c r="H994" s="19" t="n">
        <f aca="false">IFERROR(VALUE(SUBSTITUTE(TRIM('수출입 실적(품목별)'!E998),",","")),"")</f>
        <v>650386</v>
      </c>
      <c r="I994" s="18" t="n">
        <f aca="false">IFERROR(VALUE(SUBSTITUTE(TRIM('수출입 실적(품목별)'!F998),",","")),"")</f>
        <v>379231.8</v>
      </c>
      <c r="J994" s="19" t="n">
        <f aca="false">IFERROR(VALUE(SUBSTITUTE(TRIM('수출입 실적(품목별)'!G998),",","")),"")</f>
        <v>783060</v>
      </c>
      <c r="K994" s="19" t="n">
        <f aca="false">IFERROR(VALUE(SUBSTITUTE(TRIM('수출입 실적(품목별)'!H998),",","")),"")</f>
        <v>-132674</v>
      </c>
    </row>
    <row r="995" customFormat="false" ht="15" hidden="false" customHeight="true" outlineLevel="0" collapsed="false">
      <c r="A995" s="11" t="str">
        <f aca="false">TRIM('수출입 실적(품목별)'!A999)</f>
        <v>2024.11</v>
      </c>
      <c r="B995" s="17" t="n">
        <f aca="false">IFERROR(VALUE(LEFT($A995,4)),"")</f>
        <v>2024</v>
      </c>
      <c r="C995" s="17" t="n">
        <f aca="false">IFERROR(VALUE(RIGHT($A995,2)),"")</f>
        <v>11</v>
      </c>
      <c r="D995" s="17" t="n">
        <f aca="false">IFERROR(ROUNDUP($C995/3,0),"")</f>
        <v>4</v>
      </c>
      <c r="E995" s="11" t="str">
        <f aca="false">TRIM('수출입 실적(품목별)'!B999)</f>
        <v>29</v>
      </c>
      <c r="F995" s="11" t="str">
        <f aca="false">TRIM('수출입 실적(품목별)'!C999)</f>
        <v>유기화학품</v>
      </c>
      <c r="G995" s="18" t="n">
        <f aca="false">IFERROR(VALUE(SUBSTITUTE(TRIM('수출입 실적(품목별)'!D999),",","")),"")</f>
        <v>1449528.9</v>
      </c>
      <c r="H995" s="19" t="n">
        <f aca="false">IFERROR(VALUE(SUBSTITUTE(TRIM('수출입 실적(품목별)'!E999),",","")),"")</f>
        <v>1559880</v>
      </c>
      <c r="I995" s="18" t="n">
        <f aca="false">IFERROR(VALUE(SUBSTITUTE(TRIM('수출입 실적(품목별)'!F999),",","")),"")</f>
        <v>590995.1</v>
      </c>
      <c r="J995" s="19" t="n">
        <f aca="false">IFERROR(VALUE(SUBSTITUTE(TRIM('수출입 실적(품목별)'!G999),",","")),"")</f>
        <v>1063999</v>
      </c>
      <c r="K995" s="19" t="n">
        <f aca="false">IFERROR(VALUE(SUBSTITUTE(TRIM('수출입 실적(품목별)'!H999),",","")),"")</f>
        <v>495882</v>
      </c>
    </row>
    <row r="996" customFormat="false" ht="15" hidden="false" customHeight="true" outlineLevel="0" collapsed="false">
      <c r="A996" s="11" t="str">
        <f aca="false">TRIM('수출입 실적(품목별)'!A1000)</f>
        <v>2024.11</v>
      </c>
      <c r="B996" s="17" t="n">
        <f aca="false">IFERROR(VALUE(LEFT($A996,4)),"")</f>
        <v>2024</v>
      </c>
      <c r="C996" s="17" t="n">
        <f aca="false">IFERROR(VALUE(RIGHT($A996,2)),"")</f>
        <v>11</v>
      </c>
      <c r="D996" s="17" t="n">
        <f aca="false">IFERROR(ROUNDUP($C996/3,0),"")</f>
        <v>4</v>
      </c>
      <c r="E996" s="11" t="str">
        <f aca="false">TRIM('수출입 실적(품목별)'!B1000)</f>
        <v>30</v>
      </c>
      <c r="F996" s="11" t="str">
        <f aca="false">TRIM('수출입 실적(품목별)'!C1000)</f>
        <v>의료용품</v>
      </c>
      <c r="G996" s="18" t="n">
        <f aca="false">IFERROR(VALUE(SUBSTITUTE(TRIM('수출입 실적(품목별)'!D1000),",","")),"")</f>
        <v>3405.8</v>
      </c>
      <c r="H996" s="19" t="n">
        <f aca="false">IFERROR(VALUE(SUBSTITUTE(TRIM('수출입 실적(품목별)'!E1000),",","")),"")</f>
        <v>795287</v>
      </c>
      <c r="I996" s="18" t="n">
        <f aca="false">IFERROR(VALUE(SUBSTITUTE(TRIM('수출입 실적(품목별)'!F1000),",","")),"")</f>
        <v>7391.4</v>
      </c>
      <c r="J996" s="19" t="n">
        <f aca="false">IFERROR(VALUE(SUBSTITUTE(TRIM('수출입 실적(품목별)'!G1000),",","")),"")</f>
        <v>684230</v>
      </c>
      <c r="K996" s="19" t="n">
        <f aca="false">IFERROR(VALUE(SUBSTITUTE(TRIM('수출입 실적(품목별)'!H1000),",","")),"")</f>
        <v>111057</v>
      </c>
    </row>
    <row r="997" customFormat="false" ht="15" hidden="false" customHeight="true" outlineLevel="0" collapsed="false">
      <c r="A997" s="11" t="str">
        <f aca="false">TRIM('수출입 실적(품목별)'!A1001)</f>
        <v>2024.11</v>
      </c>
      <c r="B997" s="17" t="n">
        <f aca="false">IFERROR(VALUE(LEFT($A997,4)),"")</f>
        <v>2024</v>
      </c>
      <c r="C997" s="17" t="n">
        <f aca="false">IFERROR(VALUE(RIGHT($A997,2)),"")</f>
        <v>11</v>
      </c>
      <c r="D997" s="17" t="n">
        <f aca="false">IFERROR(ROUNDUP($C997/3,0),"")</f>
        <v>4</v>
      </c>
      <c r="E997" s="11" t="str">
        <f aca="false">TRIM('수출입 실적(품목별)'!B1001)</f>
        <v>31</v>
      </c>
      <c r="F997" s="11" t="str">
        <f aca="false">TRIM('수출입 실적(품목별)'!C1001)</f>
        <v>비료</v>
      </c>
      <c r="G997" s="18" t="n">
        <f aca="false">IFERROR(VALUE(SUBSTITUTE(TRIM('수출입 실적(품목별)'!D1001),",","")),"")</f>
        <v>44809.5</v>
      </c>
      <c r="H997" s="19" t="n">
        <f aca="false">IFERROR(VALUE(SUBSTITUTE(TRIM('수출입 실적(품목별)'!E1001),",","")),"")</f>
        <v>17311</v>
      </c>
      <c r="I997" s="18" t="n">
        <f aca="false">IFERROR(VALUE(SUBSTITUTE(TRIM('수출입 실적(품목별)'!F1001),",","")),"")</f>
        <v>145384.7</v>
      </c>
      <c r="J997" s="19" t="n">
        <f aca="false">IFERROR(VALUE(SUBSTITUTE(TRIM('수출입 실적(품목별)'!G1001),",","")),"")</f>
        <v>57486</v>
      </c>
      <c r="K997" s="19" t="n">
        <f aca="false">IFERROR(VALUE(SUBSTITUTE(TRIM('수출입 실적(품목별)'!H1001),",","")),"")</f>
        <v>-40175</v>
      </c>
    </row>
    <row r="998" customFormat="false" ht="15" hidden="false" customHeight="true" outlineLevel="0" collapsed="false">
      <c r="A998" s="11" t="str">
        <f aca="false">TRIM('수출입 실적(품목별)'!A1002)</f>
        <v>2024.11</v>
      </c>
      <c r="B998" s="17" t="n">
        <f aca="false">IFERROR(VALUE(LEFT($A998,4)),"")</f>
        <v>2024</v>
      </c>
      <c r="C998" s="17" t="n">
        <f aca="false">IFERROR(VALUE(RIGHT($A998,2)),"")</f>
        <v>11</v>
      </c>
      <c r="D998" s="17" t="n">
        <f aca="false">IFERROR(ROUNDUP($C998/3,0),"")</f>
        <v>4</v>
      </c>
      <c r="E998" s="11" t="str">
        <f aca="false">TRIM('수출입 실적(품목별)'!B1002)</f>
        <v>32</v>
      </c>
      <c r="F998" s="11" t="str">
        <f aca="false">TRIM('수출입 실적(품목별)'!C1002)</f>
        <v>유연용ㆍ염색용 추출물(extract), 탄닌과 이들의 유도체, 염료ㆍ안료와 그 밖의 착색제, 페인트ㆍ바니시(varnish), 퍼티(putty)와 그 밖의 매스틱(mastic), 잉크</v>
      </c>
      <c r="G998" s="18" t="n">
        <f aca="false">IFERROR(VALUE(SUBSTITUTE(TRIM('수출입 실적(품목별)'!D1002),",","")),"")</f>
        <v>29740.6</v>
      </c>
      <c r="H998" s="19" t="n">
        <f aca="false">IFERROR(VALUE(SUBSTITUTE(TRIM('수출입 실적(품목별)'!E1002),",","")),"")</f>
        <v>211725</v>
      </c>
      <c r="I998" s="18" t="n">
        <f aca="false">IFERROR(VALUE(SUBSTITUTE(TRIM('수출입 실적(품목별)'!F1002),",","")),"")</f>
        <v>21350.8</v>
      </c>
      <c r="J998" s="19" t="n">
        <f aca="false">IFERROR(VALUE(SUBSTITUTE(TRIM('수출입 실적(품목별)'!G1002),",","")),"")</f>
        <v>164446</v>
      </c>
      <c r="K998" s="19" t="n">
        <f aca="false">IFERROR(VALUE(SUBSTITUTE(TRIM('수출입 실적(품목별)'!H1002),",","")),"")</f>
        <v>47279</v>
      </c>
    </row>
    <row r="999" customFormat="false" ht="15" hidden="false" customHeight="true" outlineLevel="0" collapsed="false">
      <c r="A999" s="11" t="str">
        <f aca="false">TRIM('수출입 실적(품목별)'!A1003)</f>
        <v>2024.11</v>
      </c>
      <c r="B999" s="17" t="n">
        <f aca="false">IFERROR(VALUE(LEFT($A999,4)),"")</f>
        <v>2024</v>
      </c>
      <c r="C999" s="17" t="n">
        <f aca="false">IFERROR(VALUE(RIGHT($A999,2)),"")</f>
        <v>11</v>
      </c>
      <c r="D999" s="17" t="n">
        <f aca="false">IFERROR(ROUNDUP($C999/3,0),"")</f>
        <v>4</v>
      </c>
      <c r="E999" s="11" t="str">
        <f aca="false">TRIM('수출입 실적(품목별)'!B1003)</f>
        <v>33</v>
      </c>
      <c r="F999" s="11" t="str">
        <f aca="false">TRIM('수출입 실적(품목별)'!C1003)</f>
        <v>정유(essential oil)와 레지노이드(resinoid), 조제향료와 화장품ㆍ화장용품</v>
      </c>
      <c r="G999" s="18" t="n">
        <f aca="false">IFERROR(VALUE(SUBSTITUTE(TRIM('수출입 실적(품목별)'!D1003),",","")),"")</f>
        <v>36884.7</v>
      </c>
      <c r="H999" s="19" t="n">
        <f aca="false">IFERROR(VALUE(SUBSTITUTE(TRIM('수출입 실적(품목별)'!E1003),",","")),"")</f>
        <v>882072</v>
      </c>
      <c r="I999" s="18" t="n">
        <f aca="false">IFERROR(VALUE(SUBSTITUTE(TRIM('수출입 실적(품목별)'!F1003),",","")),"")</f>
        <v>8688.4</v>
      </c>
      <c r="J999" s="19" t="n">
        <f aca="false">IFERROR(VALUE(SUBSTITUTE(TRIM('수출입 실적(품목별)'!G1003),",","")),"")</f>
        <v>169315</v>
      </c>
      <c r="K999" s="19" t="n">
        <f aca="false">IFERROR(VALUE(SUBSTITUTE(TRIM('수출입 실적(품목별)'!H1003),",","")),"")</f>
        <v>712757</v>
      </c>
    </row>
    <row r="1000" customFormat="false" ht="15" hidden="false" customHeight="true" outlineLevel="0" collapsed="false">
      <c r="A1000" s="11" t="str">
        <f aca="false">TRIM('수출입 실적(품목별)'!A1004)</f>
        <v>2024.11</v>
      </c>
      <c r="B1000" s="17" t="n">
        <f aca="false">IFERROR(VALUE(LEFT($A1000,4)),"")</f>
        <v>2024</v>
      </c>
      <c r="C1000" s="17" t="n">
        <f aca="false">IFERROR(VALUE(RIGHT($A1000,2)),"")</f>
        <v>11</v>
      </c>
      <c r="D1000" s="17" t="n">
        <f aca="false">IFERROR(ROUNDUP($C1000/3,0),"")</f>
        <v>4</v>
      </c>
      <c r="E1000" s="11" t="str">
        <f aca="false">TRIM('수출입 실적(품목별)'!B1004)</f>
        <v>34</v>
      </c>
      <c r="F1000" s="11" t="str">
        <f aca="false">TRIM('수출입 실적(품목별)'!C1004)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000" s="18" t="n">
        <f aca="false">IFERROR(VALUE(SUBSTITUTE(TRIM('수출입 실적(품목별)'!D1004),",","")),"")</f>
        <v>63289</v>
      </c>
      <c r="H1000" s="19" t="n">
        <f aca="false">IFERROR(VALUE(SUBSTITUTE(TRIM('수출입 실적(품목별)'!E1004),",","")),"")</f>
        <v>159678</v>
      </c>
      <c r="I1000" s="18" t="n">
        <f aca="false">IFERROR(VALUE(SUBSTITUTE(TRIM('수출입 실적(품목별)'!F1004),",","")),"")</f>
        <v>23777.5</v>
      </c>
      <c r="J1000" s="19" t="n">
        <f aca="false">IFERROR(VALUE(SUBSTITUTE(TRIM('수출입 실적(품목별)'!G1004),",","")),"")</f>
        <v>86101</v>
      </c>
      <c r="K1000" s="19" t="n">
        <f aca="false">IFERROR(VALUE(SUBSTITUTE(TRIM('수출입 실적(품목별)'!H1004),",","")),"")</f>
        <v>73577</v>
      </c>
    </row>
    <row r="1001" customFormat="false" ht="15" hidden="false" customHeight="true" outlineLevel="0" collapsed="false">
      <c r="A1001" s="11" t="str">
        <f aca="false">TRIM('수출입 실적(품목별)'!A1005)</f>
        <v>2024.11</v>
      </c>
      <c r="B1001" s="17" t="n">
        <f aca="false">IFERROR(VALUE(LEFT($A1001,4)),"")</f>
        <v>2024</v>
      </c>
      <c r="C1001" s="17" t="n">
        <f aca="false">IFERROR(VALUE(RIGHT($A1001,2)),"")</f>
        <v>11</v>
      </c>
      <c r="D1001" s="17" t="n">
        <f aca="false">IFERROR(ROUNDUP($C1001/3,0),"")</f>
        <v>4</v>
      </c>
      <c r="E1001" s="11" t="str">
        <f aca="false">TRIM('수출입 실적(품목별)'!B1005)</f>
        <v>35</v>
      </c>
      <c r="F1001" s="11" t="str">
        <f aca="false">TRIM('수출입 실적(품목별)'!C1005)</f>
        <v>단백질계 물질, 변성전분, 글루(glue), 효소</v>
      </c>
      <c r="G1001" s="18" t="n">
        <f aca="false">IFERROR(VALUE(SUBSTITUTE(TRIM('수출입 실적(품목별)'!D1005),",","")),"")</f>
        <v>6077.3</v>
      </c>
      <c r="H1001" s="19" t="n">
        <f aca="false">IFERROR(VALUE(SUBSTITUTE(TRIM('수출입 실적(품목별)'!E1005),",","")),"")</f>
        <v>76828</v>
      </c>
      <c r="I1001" s="18" t="n">
        <f aca="false">IFERROR(VALUE(SUBSTITUTE(TRIM('수출입 실적(품목별)'!F1005),",","")),"")</f>
        <v>21277</v>
      </c>
      <c r="J1001" s="19" t="n">
        <f aca="false">IFERROR(VALUE(SUBSTITUTE(TRIM('수출입 실적(품목별)'!G1005),",","")),"")</f>
        <v>75703</v>
      </c>
      <c r="K1001" s="19" t="n">
        <f aca="false">IFERROR(VALUE(SUBSTITUTE(TRIM('수출입 실적(품목별)'!H1005),",","")),"")</f>
        <v>1126</v>
      </c>
    </row>
    <row r="1002" customFormat="false" ht="15" hidden="false" customHeight="true" outlineLevel="0" collapsed="false">
      <c r="A1002" s="11" t="str">
        <f aca="false">TRIM('수출입 실적(품목별)'!A1006)</f>
        <v>2024.11</v>
      </c>
      <c r="B1002" s="17" t="n">
        <f aca="false">IFERROR(VALUE(LEFT($A1002,4)),"")</f>
        <v>2024</v>
      </c>
      <c r="C1002" s="17" t="n">
        <f aca="false">IFERROR(VALUE(RIGHT($A1002,2)),"")</f>
        <v>11</v>
      </c>
      <c r="D1002" s="17" t="n">
        <f aca="false">IFERROR(ROUNDUP($C1002/3,0),"")</f>
        <v>4</v>
      </c>
      <c r="E1002" s="11" t="str">
        <f aca="false">TRIM('수출입 실적(품목별)'!B1006)</f>
        <v>36</v>
      </c>
      <c r="F1002" s="11" t="str">
        <f aca="false">TRIM('수출입 실적(품목별)'!C1006)</f>
        <v>화약류, 화공품, 성냥, 발화성 합금, 특정 가연성 조제품</v>
      </c>
      <c r="G1002" s="18" t="n">
        <f aca="false">IFERROR(VALUE(SUBSTITUTE(TRIM('수출입 실적(품목별)'!D1006),",","")),"")</f>
        <v>352.9</v>
      </c>
      <c r="H1002" s="19" t="n">
        <f aca="false">IFERROR(VALUE(SUBSTITUTE(TRIM('수출입 실적(품목별)'!E1006),",","")),"")</f>
        <v>8794</v>
      </c>
      <c r="I1002" s="18" t="n">
        <f aca="false">IFERROR(VALUE(SUBSTITUTE(TRIM('수출입 실적(품목별)'!F1006),",","")),"")</f>
        <v>416.5</v>
      </c>
      <c r="J1002" s="19" t="n">
        <f aca="false">IFERROR(VALUE(SUBSTITUTE(TRIM('수출입 실적(품목별)'!G1006),",","")),"")</f>
        <v>9825</v>
      </c>
      <c r="K1002" s="19" t="n">
        <f aca="false">IFERROR(VALUE(SUBSTITUTE(TRIM('수출입 실적(품목별)'!H1006),",","")),"")</f>
        <v>-1031</v>
      </c>
    </row>
    <row r="1003" customFormat="false" ht="15" hidden="false" customHeight="true" outlineLevel="0" collapsed="false">
      <c r="A1003" s="11" t="str">
        <f aca="false">TRIM('수출입 실적(품목별)'!A1007)</f>
        <v>2024.11</v>
      </c>
      <c r="B1003" s="17" t="n">
        <f aca="false">IFERROR(VALUE(LEFT($A1003,4)),"")</f>
        <v>2024</v>
      </c>
      <c r="C1003" s="17" t="n">
        <f aca="false">IFERROR(VALUE(RIGHT($A1003,2)),"")</f>
        <v>11</v>
      </c>
      <c r="D1003" s="17" t="n">
        <f aca="false">IFERROR(ROUNDUP($C1003/3,0),"")</f>
        <v>4</v>
      </c>
      <c r="E1003" s="11" t="str">
        <f aca="false">TRIM('수출입 실적(품목별)'!B1007)</f>
        <v>37</v>
      </c>
      <c r="F1003" s="11" t="str">
        <f aca="false">TRIM('수출입 실적(품목별)'!C1007)</f>
        <v>사진용이나 영화용 재료</v>
      </c>
      <c r="G1003" s="18" t="n">
        <f aca="false">IFERROR(VALUE(SUBSTITUTE(TRIM('수출입 실적(품목별)'!D1007),",","")),"")</f>
        <v>1751.9</v>
      </c>
      <c r="H1003" s="19" t="n">
        <f aca="false">IFERROR(VALUE(SUBSTITUTE(TRIM('수출입 실적(품목별)'!E1007),",","")),"")</f>
        <v>90144</v>
      </c>
      <c r="I1003" s="18" t="n">
        <f aca="false">IFERROR(VALUE(SUBSTITUTE(TRIM('수출입 실적(품목별)'!F1007),",","")),"")</f>
        <v>2887.7</v>
      </c>
      <c r="J1003" s="19" t="n">
        <f aca="false">IFERROR(VALUE(SUBSTITUTE(TRIM('수출입 실적(품목별)'!G1007),",","")),"")</f>
        <v>80673</v>
      </c>
      <c r="K1003" s="19" t="n">
        <f aca="false">IFERROR(VALUE(SUBSTITUTE(TRIM('수출입 실적(품목별)'!H1007),",","")),"")</f>
        <v>9471</v>
      </c>
    </row>
    <row r="1004" customFormat="false" ht="15" hidden="false" customHeight="true" outlineLevel="0" collapsed="false">
      <c r="A1004" s="11" t="str">
        <f aca="false">TRIM('수출입 실적(품목별)'!A1008)</f>
        <v>2024.11</v>
      </c>
      <c r="B1004" s="17" t="n">
        <f aca="false">IFERROR(VALUE(LEFT($A1004,4)),"")</f>
        <v>2024</v>
      </c>
      <c r="C1004" s="17" t="n">
        <f aca="false">IFERROR(VALUE(RIGHT($A1004,2)),"")</f>
        <v>11</v>
      </c>
      <c r="D1004" s="17" t="n">
        <f aca="false">IFERROR(ROUNDUP($C1004/3,0),"")</f>
        <v>4</v>
      </c>
      <c r="E1004" s="11" t="str">
        <f aca="false">TRIM('수출입 실적(품목별)'!B1008)</f>
        <v>38</v>
      </c>
      <c r="F1004" s="11" t="str">
        <f aca="false">TRIM('수출입 실적(품목별)'!C1008)</f>
        <v>각종 화학공업 생산품</v>
      </c>
      <c r="G1004" s="18" t="n">
        <f aca="false">IFERROR(VALUE(SUBSTITUTE(TRIM('수출입 실적(품목별)'!D1008),",","")),"")</f>
        <v>100230.6</v>
      </c>
      <c r="H1004" s="19" t="n">
        <f aca="false">IFERROR(VALUE(SUBSTITUTE(TRIM('수출입 실적(품목별)'!E1008),",","")),"")</f>
        <v>568551</v>
      </c>
      <c r="I1004" s="18" t="n">
        <f aca="false">IFERROR(VALUE(SUBSTITUTE(TRIM('수출입 실적(품목별)'!F1008),",","")),"")</f>
        <v>214930.1</v>
      </c>
      <c r="J1004" s="19" t="n">
        <f aca="false">IFERROR(VALUE(SUBSTITUTE(TRIM('수출입 실적(품목별)'!G1008),",","")),"")</f>
        <v>771008</v>
      </c>
      <c r="K1004" s="19" t="n">
        <f aca="false">IFERROR(VALUE(SUBSTITUTE(TRIM('수출입 실적(품목별)'!H1008),",","")),"")</f>
        <v>-202457</v>
      </c>
    </row>
    <row r="1005" customFormat="false" ht="15" hidden="false" customHeight="true" outlineLevel="0" collapsed="false">
      <c r="A1005" s="11" t="str">
        <f aca="false">TRIM('수출입 실적(품목별)'!A1009)</f>
        <v>2024.11</v>
      </c>
      <c r="B1005" s="17" t="n">
        <f aca="false">IFERROR(VALUE(LEFT($A1005,4)),"")</f>
        <v>2024</v>
      </c>
      <c r="C1005" s="17" t="n">
        <f aca="false">IFERROR(VALUE(RIGHT($A1005,2)),"")</f>
        <v>11</v>
      </c>
      <c r="D1005" s="17" t="n">
        <f aca="false">IFERROR(ROUNDUP($C1005/3,0),"")</f>
        <v>4</v>
      </c>
      <c r="E1005" s="11" t="str">
        <f aca="false">TRIM('수출입 실적(품목별)'!B1009)</f>
        <v>39</v>
      </c>
      <c r="F1005" s="11" t="str">
        <f aca="false">TRIM('수출입 실적(품목별)'!C1009)</f>
        <v>플라스틱과 그 제품</v>
      </c>
      <c r="G1005" s="18" t="n">
        <f aca="false">IFERROR(VALUE(SUBSTITUTE(TRIM('수출입 실적(품목별)'!D1009),",","")),"")</f>
        <v>1428183.2</v>
      </c>
      <c r="H1005" s="19" t="n">
        <f aca="false">IFERROR(VALUE(SUBSTITUTE(TRIM('수출입 실적(품목별)'!E1009),",","")),"")</f>
        <v>2845165</v>
      </c>
      <c r="I1005" s="18" t="n">
        <f aca="false">IFERROR(VALUE(SUBSTITUTE(TRIM('수출입 실적(품목별)'!F1009),",","")),"")</f>
        <v>256751.9</v>
      </c>
      <c r="J1005" s="19" t="n">
        <f aca="false">IFERROR(VALUE(SUBSTITUTE(TRIM('수출입 실적(품목별)'!G1009),",","")),"")</f>
        <v>1057834</v>
      </c>
      <c r="K1005" s="19" t="n">
        <f aca="false">IFERROR(VALUE(SUBSTITUTE(TRIM('수출입 실적(품목별)'!H1009),",","")),"")</f>
        <v>1787331</v>
      </c>
    </row>
    <row r="1006" customFormat="false" ht="15" hidden="false" customHeight="true" outlineLevel="0" collapsed="false">
      <c r="A1006" s="11" t="str">
        <f aca="false">TRIM('수출입 실적(품목별)'!A1010)</f>
        <v>2024.11</v>
      </c>
      <c r="B1006" s="17" t="n">
        <f aca="false">IFERROR(VALUE(LEFT($A1006,4)),"")</f>
        <v>2024</v>
      </c>
      <c r="C1006" s="17" t="n">
        <f aca="false">IFERROR(VALUE(RIGHT($A1006,2)),"")</f>
        <v>11</v>
      </c>
      <c r="D1006" s="17" t="n">
        <f aca="false">IFERROR(ROUNDUP($C1006/3,0),"")</f>
        <v>4</v>
      </c>
      <c r="E1006" s="11" t="str">
        <f aca="false">TRIM('수출입 실적(품목별)'!B1010)</f>
        <v>40</v>
      </c>
      <c r="F1006" s="11" t="str">
        <f aca="false">TRIM('수출입 실적(품목별)'!C1010)</f>
        <v>고무와 그 제품</v>
      </c>
      <c r="G1006" s="18" t="n">
        <f aca="false">IFERROR(VALUE(SUBSTITUTE(TRIM('수출입 실적(품목별)'!D1010),",","")),"")</f>
        <v>222738.9</v>
      </c>
      <c r="H1006" s="19" t="n">
        <f aca="false">IFERROR(VALUE(SUBSTITUTE(TRIM('수출입 실적(품목별)'!E1010),",","")),"")</f>
        <v>619527</v>
      </c>
      <c r="I1006" s="18" t="n">
        <f aca="false">IFERROR(VALUE(SUBSTITUTE(TRIM('수출입 실적(품목별)'!F1010),",","")),"")</f>
        <v>88097.6</v>
      </c>
      <c r="J1006" s="19" t="n">
        <f aca="false">IFERROR(VALUE(SUBSTITUTE(TRIM('수출입 실적(품목별)'!G1010),",","")),"")</f>
        <v>268967</v>
      </c>
      <c r="K1006" s="19" t="n">
        <f aca="false">IFERROR(VALUE(SUBSTITUTE(TRIM('수출입 실적(품목별)'!H1010),",","")),"")</f>
        <v>350561</v>
      </c>
    </row>
    <row r="1007" customFormat="false" ht="15" hidden="false" customHeight="true" outlineLevel="0" collapsed="false">
      <c r="A1007" s="11" t="str">
        <f aca="false">TRIM('수출입 실적(품목별)'!A1011)</f>
        <v>2024.11</v>
      </c>
      <c r="B1007" s="17" t="n">
        <f aca="false">IFERROR(VALUE(LEFT($A1007,4)),"")</f>
        <v>2024</v>
      </c>
      <c r="C1007" s="17" t="n">
        <f aca="false">IFERROR(VALUE(RIGHT($A1007,2)),"")</f>
        <v>11</v>
      </c>
      <c r="D1007" s="17" t="n">
        <f aca="false">IFERROR(ROUNDUP($C1007/3,0),"")</f>
        <v>4</v>
      </c>
      <c r="E1007" s="11" t="str">
        <f aca="false">TRIM('수출입 실적(품목별)'!B1011)</f>
        <v>41</v>
      </c>
      <c r="F1007" s="11" t="str">
        <f aca="false">TRIM('수출입 실적(품목별)'!C1011)</f>
        <v>원피(모피는 제외한다)와 가죽</v>
      </c>
      <c r="G1007" s="18" t="n">
        <f aca="false">IFERROR(VALUE(SUBSTITUTE(TRIM('수출입 실적(품목별)'!D1011),",","")),"")</f>
        <v>2908.1</v>
      </c>
      <c r="H1007" s="19" t="n">
        <f aca="false">IFERROR(VALUE(SUBSTITUTE(TRIM('수출입 실적(품목별)'!E1011),",","")),"")</f>
        <v>24179</v>
      </c>
      <c r="I1007" s="18" t="n">
        <f aca="false">IFERROR(VALUE(SUBSTITUTE(TRIM('수출입 실적(품목별)'!F1011),",","")),"")</f>
        <v>7212.8</v>
      </c>
      <c r="J1007" s="19" t="n">
        <f aca="false">IFERROR(VALUE(SUBSTITUTE(TRIM('수출입 실적(품목별)'!G1011),",","")),"")</f>
        <v>17818</v>
      </c>
      <c r="K1007" s="19" t="n">
        <f aca="false">IFERROR(VALUE(SUBSTITUTE(TRIM('수출입 실적(품목별)'!H1011),",","")),"")</f>
        <v>6360</v>
      </c>
    </row>
    <row r="1008" customFormat="false" ht="15" hidden="false" customHeight="true" outlineLevel="0" collapsed="false">
      <c r="A1008" s="11" t="str">
        <f aca="false">TRIM('수출입 실적(품목별)'!A1012)</f>
        <v>2024.11</v>
      </c>
      <c r="B1008" s="17" t="n">
        <f aca="false">IFERROR(VALUE(LEFT($A1008,4)),"")</f>
        <v>2024</v>
      </c>
      <c r="C1008" s="17" t="n">
        <f aca="false">IFERROR(VALUE(RIGHT($A1008,2)),"")</f>
        <v>11</v>
      </c>
      <c r="D1008" s="17" t="n">
        <f aca="false">IFERROR(ROUNDUP($C1008/3,0),"")</f>
        <v>4</v>
      </c>
      <c r="E1008" s="11" t="str">
        <f aca="false">TRIM('수출입 실적(품목별)'!B1012)</f>
        <v>42</v>
      </c>
      <c r="F1008" s="11" t="str">
        <f aca="false">TRIM('수출입 실적(품목별)'!C1012)</f>
        <v>가죽제품, 마구, 여행용구ㆍ핸드백과 이와 유사한 용기, 동물 거트(gut)[누에의 거트(gut)는 제외한다]의 제품</v>
      </c>
      <c r="G1008" s="18" t="n">
        <f aca="false">IFERROR(VALUE(SUBSTITUTE(TRIM('수출입 실적(품목별)'!D1012),",","")),"")</f>
        <v>843.8</v>
      </c>
      <c r="H1008" s="19" t="n">
        <f aca="false">IFERROR(VALUE(SUBSTITUTE(TRIM('수출입 실적(품목별)'!E1012),",","")),"")</f>
        <v>36618</v>
      </c>
      <c r="I1008" s="18" t="n">
        <f aca="false">IFERROR(VALUE(SUBSTITUTE(TRIM('수출입 실적(품목별)'!F1012),",","")),"")</f>
        <v>8953.8</v>
      </c>
      <c r="J1008" s="19" t="n">
        <f aca="false">IFERROR(VALUE(SUBSTITUTE(TRIM('수출입 실적(품목별)'!G1012),",","")),"")</f>
        <v>279306</v>
      </c>
      <c r="K1008" s="19" t="n">
        <f aca="false">IFERROR(VALUE(SUBSTITUTE(TRIM('수출입 실적(품목별)'!H1012),",","")),"")</f>
        <v>-242688</v>
      </c>
    </row>
    <row r="1009" customFormat="false" ht="15" hidden="false" customHeight="true" outlineLevel="0" collapsed="false">
      <c r="A1009" s="11" t="str">
        <f aca="false">TRIM('수출입 실적(품목별)'!A1013)</f>
        <v>2024.11</v>
      </c>
      <c r="B1009" s="17" t="n">
        <f aca="false">IFERROR(VALUE(LEFT($A1009,4)),"")</f>
        <v>2024</v>
      </c>
      <c r="C1009" s="17" t="n">
        <f aca="false">IFERROR(VALUE(RIGHT($A1009,2)),"")</f>
        <v>11</v>
      </c>
      <c r="D1009" s="17" t="n">
        <f aca="false">IFERROR(ROUNDUP($C1009/3,0),"")</f>
        <v>4</v>
      </c>
      <c r="E1009" s="11" t="str">
        <f aca="false">TRIM('수출입 실적(품목별)'!B1013)</f>
        <v>43</v>
      </c>
      <c r="F1009" s="11" t="str">
        <f aca="false">TRIM('수출입 실적(품목별)'!C1013)</f>
        <v>모피ㆍ인조모피와 이들의 제품</v>
      </c>
      <c r="G1009" s="18" t="n">
        <f aca="false">IFERROR(VALUE(SUBSTITUTE(TRIM('수출입 실적(품목별)'!D1013),",","")),"")</f>
        <v>6.7</v>
      </c>
      <c r="H1009" s="19" t="n">
        <f aca="false">IFERROR(VALUE(SUBSTITUTE(TRIM('수출입 실적(품목별)'!E1013),",","")),"")</f>
        <v>608</v>
      </c>
      <c r="I1009" s="18" t="n">
        <f aca="false">IFERROR(VALUE(SUBSTITUTE(TRIM('수출입 실적(품목별)'!F1013),",","")),"")</f>
        <v>89.7</v>
      </c>
      <c r="J1009" s="19" t="n">
        <f aca="false">IFERROR(VALUE(SUBSTITUTE(TRIM('수출입 실적(품목별)'!G1013),",","")),"")</f>
        <v>12714</v>
      </c>
      <c r="K1009" s="19" t="n">
        <f aca="false">IFERROR(VALUE(SUBSTITUTE(TRIM('수출입 실적(품목별)'!H1013),",","")),"")</f>
        <v>-12106</v>
      </c>
    </row>
    <row r="1010" customFormat="false" ht="15" hidden="false" customHeight="true" outlineLevel="0" collapsed="false">
      <c r="A1010" s="11" t="str">
        <f aca="false">TRIM('수출입 실적(품목별)'!A1014)</f>
        <v>2024.11</v>
      </c>
      <c r="B1010" s="17" t="n">
        <f aca="false">IFERROR(VALUE(LEFT($A1010,4)),"")</f>
        <v>2024</v>
      </c>
      <c r="C1010" s="17" t="n">
        <f aca="false">IFERROR(VALUE(RIGHT($A1010,2)),"")</f>
        <v>11</v>
      </c>
      <c r="D1010" s="17" t="n">
        <f aca="false">IFERROR(ROUNDUP($C1010/3,0),"")</f>
        <v>4</v>
      </c>
      <c r="E1010" s="11" t="str">
        <f aca="false">TRIM('수출입 실적(품목별)'!B1014)</f>
        <v>44</v>
      </c>
      <c r="F1010" s="11" t="str">
        <f aca="false">TRIM('수출입 실적(품목별)'!C1014)</f>
        <v>목재와 그 제품, 목탄</v>
      </c>
      <c r="G1010" s="18" t="n">
        <f aca="false">IFERROR(VALUE(SUBSTITUTE(TRIM('수출입 실적(품목별)'!D1014),",","")),"")</f>
        <v>4383.9</v>
      </c>
      <c r="H1010" s="19" t="n">
        <f aca="false">IFERROR(VALUE(SUBSTITUTE(TRIM('수출입 실적(품목별)'!E1014),",","")),"")</f>
        <v>7089</v>
      </c>
      <c r="I1010" s="18" t="n">
        <f aca="false">IFERROR(VALUE(SUBSTITUTE(TRIM('수출입 실적(품목별)'!F1014),",","")),"")</f>
        <v>795954.4</v>
      </c>
      <c r="J1010" s="19" t="n">
        <f aca="false">IFERROR(VALUE(SUBSTITUTE(TRIM('수출입 실적(품목별)'!G1014),",","")),"")</f>
        <v>232631</v>
      </c>
      <c r="K1010" s="19" t="n">
        <f aca="false">IFERROR(VALUE(SUBSTITUTE(TRIM('수출입 실적(품목별)'!H1014),",","")),"")</f>
        <v>-225542</v>
      </c>
    </row>
    <row r="1011" customFormat="false" ht="15" hidden="false" customHeight="true" outlineLevel="0" collapsed="false">
      <c r="A1011" s="11" t="str">
        <f aca="false">TRIM('수출입 실적(품목별)'!A1015)</f>
        <v>2024.11</v>
      </c>
      <c r="B1011" s="17" t="n">
        <f aca="false">IFERROR(VALUE(LEFT($A1011,4)),"")</f>
        <v>2024</v>
      </c>
      <c r="C1011" s="17" t="n">
        <f aca="false">IFERROR(VALUE(RIGHT($A1011,2)),"")</f>
        <v>11</v>
      </c>
      <c r="D1011" s="17" t="n">
        <f aca="false">IFERROR(ROUNDUP($C1011/3,0),"")</f>
        <v>4</v>
      </c>
      <c r="E1011" s="11" t="str">
        <f aca="false">TRIM('수출입 실적(품목별)'!B1015)</f>
        <v>45</v>
      </c>
      <c r="F1011" s="11" t="str">
        <f aca="false">TRIM('수출입 실적(품목별)'!C1015)</f>
        <v>코르크(cork)와 그 제품</v>
      </c>
      <c r="G1011" s="18" t="n">
        <f aca="false">IFERROR(VALUE(SUBSTITUTE(TRIM('수출입 실적(품목별)'!D1015),",","")),"")</f>
        <v>6.2</v>
      </c>
      <c r="H1011" s="19" t="n">
        <f aca="false">IFERROR(VALUE(SUBSTITUTE(TRIM('수출입 실적(품목별)'!E1015),",","")),"")</f>
        <v>29</v>
      </c>
      <c r="I1011" s="18" t="n">
        <f aca="false">IFERROR(VALUE(SUBSTITUTE(TRIM('수출입 실적(품목별)'!F1015),",","")),"")</f>
        <v>35.4</v>
      </c>
      <c r="J1011" s="19" t="n">
        <f aca="false">IFERROR(VALUE(SUBSTITUTE(TRIM('수출입 실적(품목별)'!G1015),",","")),"")</f>
        <v>213</v>
      </c>
      <c r="K1011" s="19" t="n">
        <f aca="false">IFERROR(VALUE(SUBSTITUTE(TRIM('수출입 실적(품목별)'!H1015),",","")),"")</f>
        <v>-184</v>
      </c>
    </row>
    <row r="1012" customFormat="false" ht="15" hidden="false" customHeight="true" outlineLevel="0" collapsed="false">
      <c r="A1012" s="11" t="str">
        <f aca="false">TRIM('수출입 실적(품목별)'!A1016)</f>
        <v>2024.11</v>
      </c>
      <c r="B1012" s="17" t="n">
        <f aca="false">IFERROR(VALUE(LEFT($A1012,4)),"")</f>
        <v>2024</v>
      </c>
      <c r="C1012" s="17" t="n">
        <f aca="false">IFERROR(VALUE(RIGHT($A1012,2)),"")</f>
        <v>11</v>
      </c>
      <c r="D1012" s="17" t="n">
        <f aca="false">IFERROR(ROUNDUP($C1012/3,0),"")</f>
        <v>4</v>
      </c>
      <c r="E1012" s="11" t="str">
        <f aca="false">TRIM('수출입 실적(품목별)'!B1016)</f>
        <v>46</v>
      </c>
      <c r="F1012" s="11" t="str">
        <f aca="false">TRIM('수출입 실적(품목별)'!C1016)</f>
        <v>짚ㆍ에스파르토(esparto)나 그 밖의 조물 재료의 제품, 바구니 세공물(basketware)과 지조세공물(枝條細工物)</v>
      </c>
      <c r="G1012" s="18" t="n">
        <f aca="false">IFERROR(VALUE(SUBSTITUTE(TRIM('수출입 실적(품목별)'!D1016),",","")),"")</f>
        <v>2.1</v>
      </c>
      <c r="H1012" s="19" t="n">
        <f aca="false">IFERROR(VALUE(SUBSTITUTE(TRIM('수출입 실적(품목별)'!E1016),",","")),"")</f>
        <v>76</v>
      </c>
      <c r="I1012" s="18" t="n">
        <f aca="false">IFERROR(VALUE(SUBSTITUTE(TRIM('수출입 실적(품목별)'!F1016),",","")),"")</f>
        <v>346.4</v>
      </c>
      <c r="J1012" s="19" t="n">
        <f aca="false">IFERROR(VALUE(SUBSTITUTE(TRIM('수출입 실적(품목별)'!G1016),",","")),"")</f>
        <v>1160</v>
      </c>
      <c r="K1012" s="19" t="n">
        <f aca="false">IFERROR(VALUE(SUBSTITUTE(TRIM('수출입 실적(품목별)'!H1016),",","")),"")</f>
        <v>-1084</v>
      </c>
    </row>
    <row r="1013" customFormat="false" ht="15" hidden="false" customHeight="true" outlineLevel="0" collapsed="false">
      <c r="A1013" s="11" t="str">
        <f aca="false">TRIM('수출입 실적(품목별)'!A1017)</f>
        <v>2024.11</v>
      </c>
      <c r="B1013" s="17" t="n">
        <f aca="false">IFERROR(VALUE(LEFT($A1013,4)),"")</f>
        <v>2024</v>
      </c>
      <c r="C1013" s="17" t="n">
        <f aca="false">IFERROR(VALUE(RIGHT($A1013,2)),"")</f>
        <v>11</v>
      </c>
      <c r="D1013" s="17" t="n">
        <f aca="false">IFERROR(ROUNDUP($C1013/3,0),"")</f>
        <v>4</v>
      </c>
      <c r="E1013" s="11" t="str">
        <f aca="false">TRIM('수출입 실적(품목별)'!B1017)</f>
        <v>47</v>
      </c>
      <c r="F1013" s="11" t="str">
        <f aca="false">TRIM('수출입 실적(품목별)'!C1017)</f>
        <v>목재나 그 밖의 섬유질 셀룰로오스재료의 펄프, 회수한 종이ㆍ판지[웨이스트(waste)와 스크랩(scrap)]</v>
      </c>
      <c r="G1013" s="18" t="n">
        <f aca="false">IFERROR(VALUE(SUBSTITUTE(TRIM('수출입 실적(품목별)'!D1017),",","")),"")</f>
        <v>33709.4</v>
      </c>
      <c r="H1013" s="19" t="n">
        <f aca="false">IFERROR(VALUE(SUBSTITUTE(TRIM('수출입 실적(품목별)'!E1017),",","")),"")</f>
        <v>7315</v>
      </c>
      <c r="I1013" s="18" t="n">
        <f aca="false">IFERROR(VALUE(SUBSTITUTE(TRIM('수출입 실적(품목별)'!F1017),",","")),"")</f>
        <v>208434.8</v>
      </c>
      <c r="J1013" s="19" t="n">
        <f aca="false">IFERROR(VALUE(SUBSTITUTE(TRIM('수출입 실적(품목별)'!G1017),",","")),"")</f>
        <v>112959</v>
      </c>
      <c r="K1013" s="19" t="n">
        <f aca="false">IFERROR(VALUE(SUBSTITUTE(TRIM('수출입 실적(품목별)'!H1017),",","")),"")</f>
        <v>-105644</v>
      </c>
    </row>
    <row r="1014" customFormat="false" ht="15" hidden="false" customHeight="true" outlineLevel="0" collapsed="false">
      <c r="A1014" s="11" t="str">
        <f aca="false">TRIM('수출입 실적(품목별)'!A1018)</f>
        <v>2024.11</v>
      </c>
      <c r="B1014" s="17" t="n">
        <f aca="false">IFERROR(VALUE(LEFT($A1014,4)),"")</f>
        <v>2024</v>
      </c>
      <c r="C1014" s="17" t="n">
        <f aca="false">IFERROR(VALUE(RIGHT($A1014,2)),"")</f>
        <v>11</v>
      </c>
      <c r="D1014" s="17" t="n">
        <f aca="false">IFERROR(ROUNDUP($C1014/3,0),"")</f>
        <v>4</v>
      </c>
      <c r="E1014" s="11" t="str">
        <f aca="false">TRIM('수출입 실적(품목별)'!B1018)</f>
        <v>48</v>
      </c>
      <c r="F1014" s="11" t="str">
        <f aca="false">TRIM('수출입 실적(품목별)'!C1018)</f>
        <v>종이와 판지, 제지용 펄프ㆍ종이ㆍ판지의 제품</v>
      </c>
      <c r="G1014" s="18" t="n">
        <f aca="false">IFERROR(VALUE(SUBSTITUTE(TRIM('수출입 실적(품목별)'!D1018),",","")),"")</f>
        <v>209064.8</v>
      </c>
      <c r="H1014" s="19" t="n">
        <f aca="false">IFERROR(VALUE(SUBSTITUTE(TRIM('수출입 실적(품목별)'!E1018),",","")),"")</f>
        <v>214513</v>
      </c>
      <c r="I1014" s="18" t="n">
        <f aca="false">IFERROR(VALUE(SUBSTITUTE(TRIM('수출입 실적(품목별)'!F1018),",","")),"")</f>
        <v>126969.6</v>
      </c>
      <c r="J1014" s="19" t="n">
        <f aca="false">IFERROR(VALUE(SUBSTITUTE(TRIM('수출입 실적(품목별)'!G1018),",","")),"")</f>
        <v>190373</v>
      </c>
      <c r="K1014" s="19" t="n">
        <f aca="false">IFERROR(VALUE(SUBSTITUTE(TRIM('수출입 실적(품목별)'!H1018),",","")),"")</f>
        <v>24139</v>
      </c>
    </row>
    <row r="1015" customFormat="false" ht="15" hidden="false" customHeight="true" outlineLevel="0" collapsed="false">
      <c r="A1015" s="11" t="str">
        <f aca="false">TRIM('수출입 실적(품목별)'!A1019)</f>
        <v>2024.11</v>
      </c>
      <c r="B1015" s="17" t="n">
        <f aca="false">IFERROR(VALUE(LEFT($A1015,4)),"")</f>
        <v>2024</v>
      </c>
      <c r="C1015" s="17" t="n">
        <f aca="false">IFERROR(VALUE(RIGHT($A1015,2)),"")</f>
        <v>11</v>
      </c>
      <c r="D1015" s="17" t="n">
        <f aca="false">IFERROR(ROUNDUP($C1015/3,0),"")</f>
        <v>4</v>
      </c>
      <c r="E1015" s="11" t="str">
        <f aca="false">TRIM('수출입 실적(품목별)'!B1019)</f>
        <v>49</v>
      </c>
      <c r="F1015" s="11" t="str">
        <f aca="false">TRIM('수출입 실적(품목별)'!C1019)</f>
        <v>인쇄서적ㆍ신문ㆍ회화ㆍ그 밖의 인쇄물, 수제(手製)문서ㆍ타자문서ㆍ도면</v>
      </c>
      <c r="G1015" s="18" t="n">
        <f aca="false">IFERROR(VALUE(SUBSTITUTE(TRIM('수출입 실적(품목별)'!D1019),",","")),"")</f>
        <v>4776.9</v>
      </c>
      <c r="H1015" s="19" t="n">
        <f aca="false">IFERROR(VALUE(SUBSTITUTE(TRIM('수출입 실적(품목별)'!E1019),",","")),"")</f>
        <v>44417</v>
      </c>
      <c r="I1015" s="18" t="n">
        <f aca="false">IFERROR(VALUE(SUBSTITUTE(TRIM('수출입 실적(품목별)'!F1019),",","")),"")</f>
        <v>1190.4</v>
      </c>
      <c r="J1015" s="19" t="n">
        <f aca="false">IFERROR(VALUE(SUBSTITUTE(TRIM('수출입 실적(품목별)'!G1019),",","")),"")</f>
        <v>23925</v>
      </c>
      <c r="K1015" s="19" t="n">
        <f aca="false">IFERROR(VALUE(SUBSTITUTE(TRIM('수출입 실적(품목별)'!H1019),",","")),"")</f>
        <v>20492</v>
      </c>
    </row>
    <row r="1016" customFormat="false" ht="15" hidden="false" customHeight="true" outlineLevel="0" collapsed="false">
      <c r="A1016" s="11" t="str">
        <f aca="false">TRIM('수출입 실적(품목별)'!A1020)</f>
        <v>2024.11</v>
      </c>
      <c r="B1016" s="17" t="n">
        <f aca="false">IFERROR(VALUE(LEFT($A1016,4)),"")</f>
        <v>2024</v>
      </c>
      <c r="C1016" s="17" t="n">
        <f aca="false">IFERROR(VALUE(RIGHT($A1016,2)),"")</f>
        <v>11</v>
      </c>
      <c r="D1016" s="17" t="n">
        <f aca="false">IFERROR(ROUNDUP($C1016/3,0),"")</f>
        <v>4</v>
      </c>
      <c r="E1016" s="11" t="str">
        <f aca="false">TRIM('수출입 실적(품목별)'!B1020)</f>
        <v>50</v>
      </c>
      <c r="F1016" s="11" t="str">
        <f aca="false">TRIM('수출입 실적(품목별)'!C1020)</f>
        <v>견</v>
      </c>
      <c r="G1016" s="18" t="n">
        <f aca="false">IFERROR(VALUE(SUBSTITUTE(TRIM('수출입 실적(품목별)'!D1020),",","")),"")</f>
        <v>12</v>
      </c>
      <c r="H1016" s="19" t="n">
        <f aca="false">IFERROR(VALUE(SUBSTITUTE(TRIM('수출입 실적(품목별)'!E1020),",","")),"")</f>
        <v>1866</v>
      </c>
      <c r="I1016" s="18" t="n">
        <f aca="false">IFERROR(VALUE(SUBSTITUTE(TRIM('수출입 실적(품목별)'!F1020),",","")),"")</f>
        <v>27.7</v>
      </c>
      <c r="J1016" s="19" t="n">
        <f aca="false">IFERROR(VALUE(SUBSTITUTE(TRIM('수출입 실적(품목별)'!G1020),",","")),"")</f>
        <v>2519</v>
      </c>
      <c r="K1016" s="19" t="n">
        <f aca="false">IFERROR(VALUE(SUBSTITUTE(TRIM('수출입 실적(품목별)'!H1020),",","")),"")</f>
        <v>-653</v>
      </c>
    </row>
    <row r="1017" customFormat="false" ht="15" hidden="false" customHeight="true" outlineLevel="0" collapsed="false">
      <c r="A1017" s="11" t="str">
        <f aca="false">TRIM('수출입 실적(품목별)'!A1021)</f>
        <v>2024.11</v>
      </c>
      <c r="B1017" s="17" t="n">
        <f aca="false">IFERROR(VALUE(LEFT($A1017,4)),"")</f>
        <v>2024</v>
      </c>
      <c r="C1017" s="17" t="n">
        <f aca="false">IFERROR(VALUE(RIGHT($A1017,2)),"")</f>
        <v>11</v>
      </c>
      <c r="D1017" s="17" t="n">
        <f aca="false">IFERROR(ROUNDUP($C1017/3,0),"")</f>
        <v>4</v>
      </c>
      <c r="E1017" s="11" t="str">
        <f aca="false">TRIM('수출입 실적(품목별)'!B1021)</f>
        <v>51</v>
      </c>
      <c r="F1017" s="11" t="str">
        <f aca="false">TRIM('수출입 실적(품목별)'!C1021)</f>
        <v>양모ㆍ동물의 부드러운 털이나 거친 털ㆍ말의 털로 만든 실과 직물</v>
      </c>
      <c r="G1017" s="18" t="n">
        <f aca="false">IFERROR(VALUE(SUBSTITUTE(TRIM('수출입 실적(품목별)'!D1021),",","")),"")</f>
        <v>176.4</v>
      </c>
      <c r="H1017" s="19" t="n">
        <f aca="false">IFERROR(VALUE(SUBSTITUTE(TRIM('수출입 실적(품목별)'!E1021),",","")),"")</f>
        <v>2410</v>
      </c>
      <c r="I1017" s="18" t="n">
        <f aca="false">IFERROR(VALUE(SUBSTITUTE(TRIM('수출입 실적(품목별)'!F1021),",","")),"")</f>
        <v>960.4</v>
      </c>
      <c r="J1017" s="19" t="n">
        <f aca="false">IFERROR(VALUE(SUBSTITUTE(TRIM('수출입 실적(품목별)'!G1021),",","")),"")</f>
        <v>16304</v>
      </c>
      <c r="K1017" s="19" t="n">
        <f aca="false">IFERROR(VALUE(SUBSTITUTE(TRIM('수출입 실적(품목별)'!H1021),",","")),"")</f>
        <v>-13894</v>
      </c>
    </row>
    <row r="1018" customFormat="false" ht="15" hidden="false" customHeight="true" outlineLevel="0" collapsed="false">
      <c r="A1018" s="11" t="str">
        <f aca="false">TRIM('수출입 실적(품목별)'!A1022)</f>
        <v>2024.11</v>
      </c>
      <c r="B1018" s="17" t="n">
        <f aca="false">IFERROR(VALUE(LEFT($A1018,4)),"")</f>
        <v>2024</v>
      </c>
      <c r="C1018" s="17" t="n">
        <f aca="false">IFERROR(VALUE(RIGHT($A1018,2)),"")</f>
        <v>11</v>
      </c>
      <c r="D1018" s="17" t="n">
        <f aca="false">IFERROR(ROUNDUP($C1018/3,0),"")</f>
        <v>4</v>
      </c>
      <c r="E1018" s="11" t="str">
        <f aca="false">TRIM('수출입 실적(품목별)'!B1022)</f>
        <v>52</v>
      </c>
      <c r="F1018" s="11" t="str">
        <f aca="false">TRIM('수출입 실적(품목별)'!C1022)</f>
        <v>면</v>
      </c>
      <c r="G1018" s="18" t="n">
        <f aca="false">IFERROR(VALUE(SUBSTITUTE(TRIM('수출입 실적(품목별)'!D1022),",","")),"")</f>
        <v>3020.6</v>
      </c>
      <c r="H1018" s="19" t="n">
        <f aca="false">IFERROR(VALUE(SUBSTITUTE(TRIM('수출입 실적(품목별)'!E1022),",","")),"")</f>
        <v>27465</v>
      </c>
      <c r="I1018" s="18" t="n">
        <f aca="false">IFERROR(VALUE(SUBSTITUTE(TRIM('수출입 실적(품목별)'!F1022),",","")),"")</f>
        <v>16601.4</v>
      </c>
      <c r="J1018" s="19" t="n">
        <f aca="false">IFERROR(VALUE(SUBSTITUTE(TRIM('수출입 실적(품목별)'!G1022),",","")),"")</f>
        <v>54505</v>
      </c>
      <c r="K1018" s="19" t="n">
        <f aca="false">IFERROR(VALUE(SUBSTITUTE(TRIM('수출입 실적(품목별)'!H1022),",","")),"")</f>
        <v>-27040</v>
      </c>
    </row>
    <row r="1019" customFormat="false" ht="15" hidden="false" customHeight="true" outlineLevel="0" collapsed="false">
      <c r="A1019" s="11" t="str">
        <f aca="false">TRIM('수출입 실적(품목별)'!A1023)</f>
        <v>2024.11</v>
      </c>
      <c r="B1019" s="17" t="n">
        <f aca="false">IFERROR(VALUE(LEFT($A1019,4)),"")</f>
        <v>2024</v>
      </c>
      <c r="C1019" s="17" t="n">
        <f aca="false">IFERROR(VALUE(RIGHT($A1019,2)),"")</f>
        <v>11</v>
      </c>
      <c r="D1019" s="17" t="n">
        <f aca="false">IFERROR(ROUNDUP($C1019/3,0),"")</f>
        <v>4</v>
      </c>
      <c r="E1019" s="11" t="str">
        <f aca="false">TRIM('수출입 실적(품목별)'!B1023)</f>
        <v>53</v>
      </c>
      <c r="F1019" s="11" t="str">
        <f aca="false">TRIM('수출입 실적(품목별)'!C1023)</f>
        <v>그 밖의 식물성 방직용 섬유, 종이실(paper yarn)과 종이실로 만든 직물</v>
      </c>
      <c r="G1019" s="18" t="n">
        <f aca="false">IFERROR(VALUE(SUBSTITUTE(TRIM('수출입 실적(품목별)'!D1023),",","")),"")</f>
        <v>77.5</v>
      </c>
      <c r="H1019" s="19" t="n">
        <f aca="false">IFERROR(VALUE(SUBSTITUTE(TRIM('수출입 실적(품목별)'!E1023),",","")),"")</f>
        <v>1663</v>
      </c>
      <c r="I1019" s="18" t="n">
        <f aca="false">IFERROR(VALUE(SUBSTITUTE(TRIM('수출입 실적(품목별)'!F1023),",","")),"")</f>
        <v>1291.5</v>
      </c>
      <c r="J1019" s="19" t="n">
        <f aca="false">IFERROR(VALUE(SUBSTITUTE(TRIM('수출입 실적(품목별)'!G1023),",","")),"")</f>
        <v>4280</v>
      </c>
      <c r="K1019" s="19" t="n">
        <f aca="false">IFERROR(VALUE(SUBSTITUTE(TRIM('수출입 실적(품목별)'!H1023),",","")),"")</f>
        <v>-2618</v>
      </c>
    </row>
    <row r="1020" customFormat="false" ht="15" hidden="false" customHeight="true" outlineLevel="0" collapsed="false">
      <c r="A1020" s="11" t="str">
        <f aca="false">TRIM('수출입 실적(품목별)'!A1024)</f>
        <v>2024.11</v>
      </c>
      <c r="B1020" s="17" t="n">
        <f aca="false">IFERROR(VALUE(LEFT($A1020,4)),"")</f>
        <v>2024</v>
      </c>
      <c r="C1020" s="17" t="n">
        <f aca="false">IFERROR(VALUE(RIGHT($A1020,2)),"")</f>
        <v>11</v>
      </c>
      <c r="D1020" s="17" t="n">
        <f aca="false">IFERROR(ROUNDUP($C1020/3,0),"")</f>
        <v>4</v>
      </c>
      <c r="E1020" s="11" t="str">
        <f aca="false">TRIM('수출입 실적(품목별)'!B1024)</f>
        <v>54</v>
      </c>
      <c r="F1020" s="11" t="str">
        <f aca="false">TRIM('수출입 실적(품목별)'!C1024)</f>
        <v>인조필라멘트, 인조방직용 섬유재료의 스트립(strip)과 이와 유사한 것</v>
      </c>
      <c r="G1020" s="18" t="n">
        <f aca="false">IFERROR(VALUE(SUBSTITUTE(TRIM('수출입 실적(품목별)'!D1024),",","")),"")</f>
        <v>24406</v>
      </c>
      <c r="H1020" s="19" t="n">
        <f aca="false">IFERROR(VALUE(SUBSTITUTE(TRIM('수출입 실적(품목별)'!E1024),",","")),"")</f>
        <v>174225</v>
      </c>
      <c r="I1020" s="18" t="n">
        <f aca="false">IFERROR(VALUE(SUBSTITUTE(TRIM('수출입 실적(품목별)'!F1024),",","")),"")</f>
        <v>38983.5</v>
      </c>
      <c r="J1020" s="19" t="n">
        <f aca="false">IFERROR(VALUE(SUBSTITUTE(TRIM('수출입 실적(품목별)'!G1024),",","")),"")</f>
        <v>87010</v>
      </c>
      <c r="K1020" s="19" t="n">
        <f aca="false">IFERROR(VALUE(SUBSTITUTE(TRIM('수출입 실적(품목별)'!H1024),",","")),"")</f>
        <v>87215</v>
      </c>
    </row>
    <row r="1021" customFormat="false" ht="15" hidden="false" customHeight="true" outlineLevel="0" collapsed="false">
      <c r="A1021" s="11" t="str">
        <f aca="false">TRIM('수출입 실적(품목별)'!A1025)</f>
        <v>2024.11</v>
      </c>
      <c r="B1021" s="17" t="n">
        <f aca="false">IFERROR(VALUE(LEFT($A1021,4)),"")</f>
        <v>2024</v>
      </c>
      <c r="C1021" s="17" t="n">
        <f aca="false">IFERROR(VALUE(RIGHT($A1021,2)),"")</f>
        <v>11</v>
      </c>
      <c r="D1021" s="17" t="n">
        <f aca="false">IFERROR(ROUNDUP($C1021/3,0),"")</f>
        <v>4</v>
      </c>
      <c r="E1021" s="11" t="str">
        <f aca="false">TRIM('수출입 실적(품목별)'!B1025)</f>
        <v>55</v>
      </c>
      <c r="F1021" s="11" t="str">
        <f aca="false">TRIM('수출입 실적(품목별)'!C1025)</f>
        <v>인조스테이플섬유</v>
      </c>
      <c r="G1021" s="18" t="n">
        <f aca="false">IFERROR(VALUE(SUBSTITUTE(TRIM('수출입 실적(품목별)'!D1025),",","")),"")</f>
        <v>56710.7</v>
      </c>
      <c r="H1021" s="19" t="n">
        <f aca="false">IFERROR(VALUE(SUBSTITUTE(TRIM('수출입 실적(품목별)'!E1025),",","")),"")</f>
        <v>106688</v>
      </c>
      <c r="I1021" s="18" t="n">
        <f aca="false">IFERROR(VALUE(SUBSTITUTE(TRIM('수출입 실적(품목별)'!F1025),",","")),"")</f>
        <v>12653.3</v>
      </c>
      <c r="J1021" s="19" t="n">
        <f aca="false">IFERROR(VALUE(SUBSTITUTE(TRIM('수출입 실적(품목별)'!G1025),",","")),"")</f>
        <v>46866</v>
      </c>
      <c r="K1021" s="19" t="n">
        <f aca="false">IFERROR(VALUE(SUBSTITUTE(TRIM('수출입 실적(품목별)'!H1025),",","")),"")</f>
        <v>59822</v>
      </c>
    </row>
    <row r="1022" customFormat="false" ht="15" hidden="false" customHeight="true" outlineLevel="0" collapsed="false">
      <c r="A1022" s="11" t="str">
        <f aca="false">TRIM('수출입 실적(품목별)'!A1026)</f>
        <v>2024.11</v>
      </c>
      <c r="B1022" s="17" t="n">
        <f aca="false">IFERROR(VALUE(LEFT($A1022,4)),"")</f>
        <v>2024</v>
      </c>
      <c r="C1022" s="17" t="n">
        <f aca="false">IFERROR(VALUE(RIGHT($A1022,2)),"")</f>
        <v>11</v>
      </c>
      <c r="D1022" s="17" t="n">
        <f aca="false">IFERROR(ROUNDUP($C1022/3,0),"")</f>
        <v>4</v>
      </c>
      <c r="E1022" s="11" t="str">
        <f aca="false">TRIM('수출입 실적(품목별)'!B1026)</f>
        <v>56</v>
      </c>
      <c r="F1022" s="11" t="str">
        <f aca="false">TRIM('수출입 실적(품목별)'!C1026)</f>
        <v>워딩(wadding)ㆍ펠트(felt)ㆍ부직포, 특수사, 끈ㆍ배의 밧줄(cordage)ㆍ로프ㆍ케이블과 이들의 제품</v>
      </c>
      <c r="G1022" s="18" t="n">
        <f aca="false">IFERROR(VALUE(SUBSTITUTE(TRIM('수출입 실적(품목별)'!D1026),",","")),"")</f>
        <v>10135.1</v>
      </c>
      <c r="H1022" s="19" t="n">
        <f aca="false">IFERROR(VALUE(SUBSTITUTE(TRIM('수출입 실적(품목별)'!E1026),",","")),"")</f>
        <v>68902</v>
      </c>
      <c r="I1022" s="18" t="n">
        <f aca="false">IFERROR(VALUE(SUBSTITUTE(TRIM('수출입 실적(품목별)'!F1026),",","")),"")</f>
        <v>16796.8</v>
      </c>
      <c r="J1022" s="19" t="n">
        <f aca="false">IFERROR(VALUE(SUBSTITUTE(TRIM('수출입 실적(품목별)'!G1026),",","")),"")</f>
        <v>50154</v>
      </c>
      <c r="K1022" s="19" t="n">
        <f aca="false">IFERROR(VALUE(SUBSTITUTE(TRIM('수출입 실적(품목별)'!H1026),",","")),"")</f>
        <v>18748</v>
      </c>
    </row>
    <row r="1023" customFormat="false" ht="15" hidden="false" customHeight="true" outlineLevel="0" collapsed="false">
      <c r="A1023" s="11" t="str">
        <f aca="false">TRIM('수출입 실적(품목별)'!A1027)</f>
        <v>2024.11</v>
      </c>
      <c r="B1023" s="17" t="n">
        <f aca="false">IFERROR(VALUE(LEFT($A1023,4)),"")</f>
        <v>2024</v>
      </c>
      <c r="C1023" s="17" t="n">
        <f aca="false">IFERROR(VALUE(RIGHT($A1023,2)),"")</f>
        <v>11</v>
      </c>
      <c r="D1023" s="17" t="n">
        <f aca="false">IFERROR(ROUNDUP($C1023/3,0),"")</f>
        <v>4</v>
      </c>
      <c r="E1023" s="11" t="str">
        <f aca="false">TRIM('수출입 실적(품목별)'!B1027)</f>
        <v>57</v>
      </c>
      <c r="F1023" s="11" t="str">
        <f aca="false">TRIM('수출입 실적(품목별)'!C1027)</f>
        <v>양탄자류와 그 밖의 방직용 섬유로 만든 바닥깔개</v>
      </c>
      <c r="G1023" s="18" t="n">
        <f aca="false">IFERROR(VALUE(SUBSTITUTE(TRIM('수출입 실적(품목별)'!D1027),",","")),"")</f>
        <v>594.3</v>
      </c>
      <c r="H1023" s="19" t="n">
        <f aca="false">IFERROR(VALUE(SUBSTITUTE(TRIM('수출입 실적(품목별)'!E1027),",","")),"")</f>
        <v>6449</v>
      </c>
      <c r="I1023" s="18" t="n">
        <f aca="false">IFERROR(VALUE(SUBSTITUTE(TRIM('수출입 실적(품목별)'!F1027),",","")),"")</f>
        <v>5452.6</v>
      </c>
      <c r="J1023" s="19" t="n">
        <f aca="false">IFERROR(VALUE(SUBSTITUTE(TRIM('수출입 실적(품목별)'!G1027),",","")),"")</f>
        <v>11791</v>
      </c>
      <c r="K1023" s="19" t="n">
        <f aca="false">IFERROR(VALUE(SUBSTITUTE(TRIM('수출입 실적(품목별)'!H1027),",","")),"")</f>
        <v>-5342</v>
      </c>
    </row>
    <row r="1024" customFormat="false" ht="15" hidden="false" customHeight="true" outlineLevel="0" collapsed="false">
      <c r="A1024" s="11" t="str">
        <f aca="false">TRIM('수출입 실적(품목별)'!A1028)</f>
        <v>2024.11</v>
      </c>
      <c r="B1024" s="17" t="n">
        <f aca="false">IFERROR(VALUE(LEFT($A1024,4)),"")</f>
        <v>2024</v>
      </c>
      <c r="C1024" s="17" t="n">
        <f aca="false">IFERROR(VALUE(RIGHT($A1024,2)),"")</f>
        <v>11</v>
      </c>
      <c r="D1024" s="17" t="n">
        <f aca="false">IFERROR(ROUNDUP($C1024/3,0),"")</f>
        <v>4</v>
      </c>
      <c r="E1024" s="11" t="str">
        <f aca="false">TRIM('수출입 실적(품목별)'!B1028)</f>
        <v>58</v>
      </c>
      <c r="F1024" s="11" t="str">
        <f aca="false">TRIM('수출입 실적(품목별)'!C1028)</f>
        <v>특수직물, 터프트(tuft)한 직물, 레이스, 태피스트리(tapestry), 트리밍(trimming), 자수천</v>
      </c>
      <c r="G1024" s="18" t="n">
        <f aca="false">IFERROR(VALUE(SUBSTITUTE(TRIM('수출입 실적(품목별)'!D1028),",","")),"")</f>
        <v>1292.3</v>
      </c>
      <c r="H1024" s="19" t="n">
        <f aca="false">IFERROR(VALUE(SUBSTITUTE(TRIM('수출입 실적(품목별)'!E1028),",","")),"")</f>
        <v>18164</v>
      </c>
      <c r="I1024" s="18" t="n">
        <f aca="false">IFERROR(VALUE(SUBSTITUTE(TRIM('수출입 실적(품목별)'!F1028),",","")),"")</f>
        <v>1172.6</v>
      </c>
      <c r="J1024" s="19" t="n">
        <f aca="false">IFERROR(VALUE(SUBSTITUTE(TRIM('수출입 실적(품목별)'!G1028),",","")),"")</f>
        <v>8033</v>
      </c>
      <c r="K1024" s="19" t="n">
        <f aca="false">IFERROR(VALUE(SUBSTITUTE(TRIM('수출입 실적(품목별)'!H1028),",","")),"")</f>
        <v>10131</v>
      </c>
    </row>
    <row r="1025" customFormat="false" ht="15" hidden="false" customHeight="true" outlineLevel="0" collapsed="false">
      <c r="A1025" s="11" t="str">
        <f aca="false">TRIM('수출입 실적(품목별)'!A1029)</f>
        <v>2024.11</v>
      </c>
      <c r="B1025" s="17" t="n">
        <f aca="false">IFERROR(VALUE(LEFT($A1025,4)),"")</f>
        <v>2024</v>
      </c>
      <c r="C1025" s="17" t="n">
        <f aca="false">IFERROR(VALUE(RIGHT($A1025,2)),"")</f>
        <v>11</v>
      </c>
      <c r="D1025" s="17" t="n">
        <f aca="false">IFERROR(ROUNDUP($C1025/3,0),"")</f>
        <v>4</v>
      </c>
      <c r="E1025" s="11" t="str">
        <f aca="false">TRIM('수출입 실적(품목별)'!B1029)</f>
        <v>59</v>
      </c>
      <c r="F1025" s="11" t="str">
        <f aca="false">TRIM('수출입 실적(품목별)'!C1029)</f>
        <v>침투ㆍ도포ㆍ피복하거나 적층한 방직용 섬유의 직물, 공업용인 방직용 섬유제품</v>
      </c>
      <c r="G1025" s="18" t="n">
        <f aca="false">IFERROR(VALUE(SUBSTITUTE(TRIM('수출입 실적(품목별)'!D1029),",","")),"")</f>
        <v>9469.7</v>
      </c>
      <c r="H1025" s="19" t="n">
        <f aca="false">IFERROR(VALUE(SUBSTITUTE(TRIM('수출입 실적(품목별)'!E1029),",","")),"")</f>
        <v>95666</v>
      </c>
      <c r="I1025" s="18" t="n">
        <f aca="false">IFERROR(VALUE(SUBSTITUTE(TRIM('수출입 실적(품목별)'!F1029),",","")),"")</f>
        <v>6447.9</v>
      </c>
      <c r="J1025" s="19" t="n">
        <f aca="false">IFERROR(VALUE(SUBSTITUTE(TRIM('수출입 실적(품목별)'!G1029),",","")),"")</f>
        <v>39908</v>
      </c>
      <c r="K1025" s="19" t="n">
        <f aca="false">IFERROR(VALUE(SUBSTITUTE(TRIM('수출입 실적(품목별)'!H1029),",","")),"")</f>
        <v>55757</v>
      </c>
    </row>
    <row r="1026" customFormat="false" ht="15" hidden="false" customHeight="true" outlineLevel="0" collapsed="false">
      <c r="A1026" s="11" t="str">
        <f aca="false">TRIM('수출입 실적(품목별)'!A1030)</f>
        <v>2024.11</v>
      </c>
      <c r="B1026" s="17" t="n">
        <f aca="false">IFERROR(VALUE(LEFT($A1026,4)),"")</f>
        <v>2024</v>
      </c>
      <c r="C1026" s="17" t="n">
        <f aca="false">IFERROR(VALUE(RIGHT($A1026,2)),"")</f>
        <v>11</v>
      </c>
      <c r="D1026" s="17" t="n">
        <f aca="false">IFERROR(ROUNDUP($C1026/3,0),"")</f>
        <v>4</v>
      </c>
      <c r="E1026" s="11" t="str">
        <f aca="false">TRIM('수출입 실적(품목별)'!B1030)</f>
        <v>60</v>
      </c>
      <c r="F1026" s="11" t="str">
        <f aca="false">TRIM('수출입 실적(품목별)'!C1030)</f>
        <v>메리야스 편물과 뜨개질 편물</v>
      </c>
      <c r="G1026" s="18" t="n">
        <f aca="false">IFERROR(VALUE(SUBSTITUTE(TRIM('수출입 실적(품목별)'!D1030),",","")),"")</f>
        <v>18295.6</v>
      </c>
      <c r="H1026" s="19" t="n">
        <f aca="false">IFERROR(VALUE(SUBSTITUTE(TRIM('수출입 실적(품목별)'!E1030),",","")),"")</f>
        <v>147536</v>
      </c>
      <c r="I1026" s="18" t="n">
        <f aca="false">IFERROR(VALUE(SUBSTITUTE(TRIM('수출입 실적(품목별)'!F1030),",","")),"")</f>
        <v>2044.9</v>
      </c>
      <c r="J1026" s="19" t="n">
        <f aca="false">IFERROR(VALUE(SUBSTITUTE(TRIM('수출입 실적(품목별)'!G1030),",","")),"")</f>
        <v>10893</v>
      </c>
      <c r="K1026" s="19" t="n">
        <f aca="false">IFERROR(VALUE(SUBSTITUTE(TRIM('수출입 실적(품목별)'!H1030),",","")),"")</f>
        <v>136643</v>
      </c>
    </row>
    <row r="1027" customFormat="false" ht="15" hidden="false" customHeight="true" outlineLevel="0" collapsed="false">
      <c r="A1027" s="11" t="str">
        <f aca="false">TRIM('수출입 실적(품목별)'!A1031)</f>
        <v>2024.11</v>
      </c>
      <c r="B1027" s="17" t="n">
        <f aca="false">IFERROR(VALUE(LEFT($A1027,4)),"")</f>
        <v>2024</v>
      </c>
      <c r="C1027" s="17" t="n">
        <f aca="false">IFERROR(VALUE(RIGHT($A1027,2)),"")</f>
        <v>11</v>
      </c>
      <c r="D1027" s="17" t="n">
        <f aca="false">IFERROR(ROUNDUP($C1027/3,0),"")</f>
        <v>4</v>
      </c>
      <c r="E1027" s="11" t="str">
        <f aca="false">TRIM('수출입 실적(품목별)'!B1031)</f>
        <v>61</v>
      </c>
      <c r="F1027" s="11" t="str">
        <f aca="false">TRIM('수출입 실적(품목별)'!C1031)</f>
        <v>의류와 그 부속품(메리야스 편물이나 뜨개질 편물로 한정한다)</v>
      </c>
      <c r="G1027" s="18" t="n">
        <f aca="false">IFERROR(VALUE(SUBSTITUTE(TRIM('수출입 실적(품목별)'!D1031),",","")),"")</f>
        <v>2988</v>
      </c>
      <c r="H1027" s="19" t="n">
        <f aca="false">IFERROR(VALUE(SUBSTITUTE(TRIM('수출입 실적(품목별)'!E1031),",","")),"")</f>
        <v>74201</v>
      </c>
      <c r="I1027" s="18" t="n">
        <f aca="false">IFERROR(VALUE(SUBSTITUTE(TRIM('수출입 실적(품목별)'!F1031),",","")),"")</f>
        <v>22895.3</v>
      </c>
      <c r="J1027" s="19" t="n">
        <f aca="false">IFERROR(VALUE(SUBSTITUTE(TRIM('수출입 실적(품목별)'!G1031),",","")),"")</f>
        <v>367472</v>
      </c>
      <c r="K1027" s="19" t="n">
        <f aca="false">IFERROR(VALUE(SUBSTITUTE(TRIM('수출입 실적(품목별)'!H1031),",","")),"")</f>
        <v>-293272</v>
      </c>
    </row>
    <row r="1028" customFormat="false" ht="15" hidden="false" customHeight="true" outlineLevel="0" collapsed="false">
      <c r="A1028" s="11" t="str">
        <f aca="false">TRIM('수출입 실적(품목별)'!A1032)</f>
        <v>2024.11</v>
      </c>
      <c r="B1028" s="17" t="n">
        <f aca="false">IFERROR(VALUE(LEFT($A1028,4)),"")</f>
        <v>2024</v>
      </c>
      <c r="C1028" s="17" t="n">
        <f aca="false">IFERROR(VALUE(RIGHT($A1028,2)),"")</f>
        <v>11</v>
      </c>
      <c r="D1028" s="17" t="n">
        <f aca="false">IFERROR(ROUNDUP($C1028/3,0),"")</f>
        <v>4</v>
      </c>
      <c r="E1028" s="11" t="str">
        <f aca="false">TRIM('수출입 실적(품목별)'!B1032)</f>
        <v>62</v>
      </c>
      <c r="F1028" s="11" t="str">
        <f aca="false">TRIM('수출입 실적(품목별)'!C1032)</f>
        <v>의류와 그 부속품(메리야스 편물이나 뜨개질편물은 제외한다)</v>
      </c>
      <c r="G1028" s="18" t="n">
        <f aca="false">IFERROR(VALUE(SUBSTITUTE(TRIM('수출입 실적(품목별)'!D1032),",","")),"")</f>
        <v>3987.3</v>
      </c>
      <c r="H1028" s="19" t="n">
        <f aca="false">IFERROR(VALUE(SUBSTITUTE(TRIM('수출입 실적(품목별)'!E1032),",","")),"")</f>
        <v>103493</v>
      </c>
      <c r="I1028" s="18" t="n">
        <f aca="false">IFERROR(VALUE(SUBSTITUTE(TRIM('수출입 실적(품목별)'!F1032),",","")),"")</f>
        <v>22450.5</v>
      </c>
      <c r="J1028" s="19" t="n">
        <f aca="false">IFERROR(VALUE(SUBSTITUTE(TRIM('수출입 실적(품목별)'!G1032),",","")),"")</f>
        <v>540066</v>
      </c>
      <c r="K1028" s="19" t="n">
        <f aca="false">IFERROR(VALUE(SUBSTITUTE(TRIM('수출입 실적(품목별)'!H1032),",","")),"")</f>
        <v>-436573</v>
      </c>
    </row>
    <row r="1029" customFormat="false" ht="15" hidden="false" customHeight="true" outlineLevel="0" collapsed="false">
      <c r="A1029" s="11" t="str">
        <f aca="false">TRIM('수출입 실적(품목별)'!A1033)</f>
        <v>2024.11</v>
      </c>
      <c r="B1029" s="17" t="n">
        <f aca="false">IFERROR(VALUE(LEFT($A1029,4)),"")</f>
        <v>2024</v>
      </c>
      <c r="C1029" s="17" t="n">
        <f aca="false">IFERROR(VALUE(RIGHT($A1029,2)),"")</f>
        <v>11</v>
      </c>
      <c r="D1029" s="17" t="n">
        <f aca="false">IFERROR(ROUNDUP($C1029/3,0),"")</f>
        <v>4</v>
      </c>
      <c r="E1029" s="11" t="str">
        <f aca="false">TRIM('수출입 실적(품목별)'!B1033)</f>
        <v>63</v>
      </c>
      <c r="F1029" s="11" t="str">
        <f aca="false">TRIM('수출입 실적(품목별)'!C1033)</f>
        <v>제품으로 된 방직용 섬유의 그 밖의 물품, 세트, 사용하던 의류ㆍ방직용 섬유제품, 넝마</v>
      </c>
      <c r="G1029" s="18" t="n">
        <f aca="false">IFERROR(VALUE(SUBSTITUTE(TRIM('수출입 실적(품목별)'!D1033),",","")),"")</f>
        <v>23981.2</v>
      </c>
      <c r="H1029" s="19" t="n">
        <f aca="false">IFERROR(VALUE(SUBSTITUTE(TRIM('수출입 실적(품목별)'!E1033),",","")),"")</f>
        <v>51744</v>
      </c>
      <c r="I1029" s="18" t="n">
        <f aca="false">IFERROR(VALUE(SUBSTITUTE(TRIM('수출입 실적(품목별)'!F1033),",","")),"")</f>
        <v>26884.2</v>
      </c>
      <c r="J1029" s="19" t="n">
        <f aca="false">IFERROR(VALUE(SUBSTITUTE(TRIM('수출입 실적(품목별)'!G1033),",","")),"")</f>
        <v>107564</v>
      </c>
      <c r="K1029" s="19" t="n">
        <f aca="false">IFERROR(VALUE(SUBSTITUTE(TRIM('수출입 실적(품목별)'!H1033),",","")),"")</f>
        <v>-55820</v>
      </c>
    </row>
    <row r="1030" customFormat="false" ht="15" hidden="false" customHeight="true" outlineLevel="0" collapsed="false">
      <c r="A1030" s="11" t="str">
        <f aca="false">TRIM('수출입 실적(품목별)'!A1034)</f>
        <v>2024.11</v>
      </c>
      <c r="B1030" s="17" t="n">
        <f aca="false">IFERROR(VALUE(LEFT($A1030,4)),"")</f>
        <v>2024</v>
      </c>
      <c r="C1030" s="17" t="n">
        <f aca="false">IFERROR(VALUE(RIGHT($A1030,2)),"")</f>
        <v>11</v>
      </c>
      <c r="D1030" s="17" t="n">
        <f aca="false">IFERROR(ROUNDUP($C1030/3,0),"")</f>
        <v>4</v>
      </c>
      <c r="E1030" s="11" t="str">
        <f aca="false">TRIM('수출입 실적(품목별)'!B1034)</f>
        <v>64</v>
      </c>
      <c r="F1030" s="11" t="str">
        <f aca="false">TRIM('수출입 실적(품목별)'!C1034)</f>
        <v>신발류ㆍ각반과 이와 유사한 것, 이들의 부분품</v>
      </c>
      <c r="G1030" s="18" t="n">
        <f aca="false">IFERROR(VALUE(SUBSTITUTE(TRIM('수출입 실적(품목별)'!D1034),",","")),"")</f>
        <v>1466.4</v>
      </c>
      <c r="H1030" s="19" t="n">
        <f aca="false">IFERROR(VALUE(SUBSTITUTE(TRIM('수출입 실적(품목별)'!E1034),",","")),"")</f>
        <v>30910</v>
      </c>
      <c r="I1030" s="18" t="n">
        <f aca="false">IFERROR(VALUE(SUBSTITUTE(TRIM('수출입 실적(품목별)'!F1034),",","")),"")</f>
        <v>10523.4</v>
      </c>
      <c r="J1030" s="19" t="n">
        <f aca="false">IFERROR(VALUE(SUBSTITUTE(TRIM('수출입 실적(품목별)'!G1034),",","")),"")</f>
        <v>271027</v>
      </c>
      <c r="K1030" s="19" t="n">
        <f aca="false">IFERROR(VALUE(SUBSTITUTE(TRIM('수출입 실적(품목별)'!H1034),",","")),"")</f>
        <v>-240117</v>
      </c>
    </row>
    <row r="1031" customFormat="false" ht="15" hidden="false" customHeight="true" outlineLevel="0" collapsed="false">
      <c r="A1031" s="11" t="str">
        <f aca="false">TRIM('수출입 실적(품목별)'!A1035)</f>
        <v>2024.11</v>
      </c>
      <c r="B1031" s="17" t="n">
        <f aca="false">IFERROR(VALUE(LEFT($A1031,4)),"")</f>
        <v>2024</v>
      </c>
      <c r="C1031" s="17" t="n">
        <f aca="false">IFERROR(VALUE(RIGHT($A1031,2)),"")</f>
        <v>11</v>
      </c>
      <c r="D1031" s="17" t="n">
        <f aca="false">IFERROR(ROUNDUP($C1031/3,0),"")</f>
        <v>4</v>
      </c>
      <c r="E1031" s="11" t="str">
        <f aca="false">TRIM('수출입 실적(품목별)'!B1035)</f>
        <v>65</v>
      </c>
      <c r="F1031" s="11" t="str">
        <f aca="false">TRIM('수출입 실적(품목별)'!C1035)</f>
        <v>모자류와 그 부분품</v>
      </c>
      <c r="G1031" s="18" t="n">
        <f aca="false">IFERROR(VALUE(SUBSTITUTE(TRIM('수출입 실적(품목별)'!D1035),",","")),"")</f>
        <v>312.7</v>
      </c>
      <c r="H1031" s="19" t="n">
        <f aca="false">IFERROR(VALUE(SUBSTITUTE(TRIM('수출입 실적(품목별)'!E1035),",","")),"")</f>
        <v>9097</v>
      </c>
      <c r="I1031" s="18" t="n">
        <f aca="false">IFERROR(VALUE(SUBSTITUTE(TRIM('수출입 실적(품목별)'!F1035),",","")),"")</f>
        <v>908</v>
      </c>
      <c r="J1031" s="19" t="n">
        <f aca="false">IFERROR(VALUE(SUBSTITUTE(TRIM('수출입 실적(품목별)'!G1035),",","")),"")</f>
        <v>21277</v>
      </c>
      <c r="K1031" s="19" t="n">
        <f aca="false">IFERROR(VALUE(SUBSTITUTE(TRIM('수출입 실적(품목별)'!H1035),",","")),"")</f>
        <v>-12179</v>
      </c>
    </row>
    <row r="1032" customFormat="false" ht="15" hidden="false" customHeight="true" outlineLevel="0" collapsed="false">
      <c r="A1032" s="11" t="str">
        <f aca="false">TRIM('수출입 실적(품목별)'!A1036)</f>
        <v>2024.11</v>
      </c>
      <c r="B1032" s="17" t="n">
        <f aca="false">IFERROR(VALUE(LEFT($A1032,4)),"")</f>
        <v>2024</v>
      </c>
      <c r="C1032" s="17" t="n">
        <f aca="false">IFERROR(VALUE(RIGHT($A1032,2)),"")</f>
        <v>11</v>
      </c>
      <c r="D1032" s="17" t="n">
        <f aca="false">IFERROR(ROUNDUP($C1032/3,0),"")</f>
        <v>4</v>
      </c>
      <c r="E1032" s="11" t="str">
        <f aca="false">TRIM('수출입 실적(품목별)'!B1036)</f>
        <v>66</v>
      </c>
      <c r="F1032" s="11" t="str">
        <f aca="false">TRIM('수출입 실적(품목별)'!C1036)</f>
        <v>산류(傘類)ㆍ지팡이ㆍ시트스틱(seat-stick)ㆍ채찍ㆍ승마용 채찍과 이들의 부분품</v>
      </c>
      <c r="G1032" s="18" t="n">
        <f aca="false">IFERROR(VALUE(SUBSTITUTE(TRIM('수출입 실적(품목별)'!D1036),",","")),"")</f>
        <v>4.7</v>
      </c>
      <c r="H1032" s="19" t="n">
        <f aca="false">IFERROR(VALUE(SUBSTITUTE(TRIM('수출입 실적(품목별)'!E1036),",","")),"")</f>
        <v>199</v>
      </c>
      <c r="I1032" s="18" t="n">
        <f aca="false">IFERROR(VALUE(SUBSTITUTE(TRIM('수출입 실적(품목별)'!F1036),",","")),"")</f>
        <v>920.3</v>
      </c>
      <c r="J1032" s="19" t="n">
        <f aca="false">IFERROR(VALUE(SUBSTITUTE(TRIM('수출입 실적(품목별)'!G1036),",","")),"")</f>
        <v>6160</v>
      </c>
      <c r="K1032" s="19" t="n">
        <f aca="false">IFERROR(VALUE(SUBSTITUTE(TRIM('수출입 실적(품목별)'!H1036),",","")),"")</f>
        <v>-5961</v>
      </c>
    </row>
    <row r="1033" customFormat="false" ht="15" hidden="false" customHeight="true" outlineLevel="0" collapsed="false">
      <c r="A1033" s="11" t="str">
        <f aca="false">TRIM('수출입 실적(품목별)'!A1037)</f>
        <v>2024.11</v>
      </c>
      <c r="B1033" s="17" t="n">
        <f aca="false">IFERROR(VALUE(LEFT($A1033,4)),"")</f>
        <v>2024</v>
      </c>
      <c r="C1033" s="17" t="n">
        <f aca="false">IFERROR(VALUE(RIGHT($A1033,2)),"")</f>
        <v>11</v>
      </c>
      <c r="D1033" s="17" t="n">
        <f aca="false">IFERROR(ROUNDUP($C1033/3,0),"")</f>
        <v>4</v>
      </c>
      <c r="E1033" s="11" t="str">
        <f aca="false">TRIM('수출입 실적(품목별)'!B1037)</f>
        <v>67</v>
      </c>
      <c r="F1033" s="11" t="str">
        <f aca="false">TRIM('수출입 실적(품목별)'!C1037)</f>
        <v>조제 깃털ㆍ솜털과 그 제품, 조화, 사람 머리카락으로 된 제품</v>
      </c>
      <c r="G1033" s="18" t="n">
        <f aca="false">IFERROR(VALUE(SUBSTITUTE(TRIM('수출입 실적(품목별)'!D1037),",","")),"")</f>
        <v>30.4</v>
      </c>
      <c r="H1033" s="19" t="n">
        <f aca="false">IFERROR(VALUE(SUBSTITUTE(TRIM('수출입 실적(품목별)'!E1037),",","")),"")</f>
        <v>1814</v>
      </c>
      <c r="I1033" s="18" t="n">
        <f aca="false">IFERROR(VALUE(SUBSTITUTE(TRIM('수출입 실적(품목별)'!F1037),",","")),"")</f>
        <v>509.3</v>
      </c>
      <c r="J1033" s="19" t="n">
        <f aca="false">IFERROR(VALUE(SUBSTITUTE(TRIM('수출입 실적(품목별)'!G1037),",","")),"")</f>
        <v>6867</v>
      </c>
      <c r="K1033" s="19" t="n">
        <f aca="false">IFERROR(VALUE(SUBSTITUTE(TRIM('수출입 실적(품목별)'!H1037),",","")),"")</f>
        <v>-5054</v>
      </c>
    </row>
    <row r="1034" customFormat="false" ht="15" hidden="false" customHeight="true" outlineLevel="0" collapsed="false">
      <c r="A1034" s="11" t="str">
        <f aca="false">TRIM('수출입 실적(품목별)'!A1038)</f>
        <v>2024.11</v>
      </c>
      <c r="B1034" s="17" t="n">
        <f aca="false">IFERROR(VALUE(LEFT($A1034,4)),"")</f>
        <v>2024</v>
      </c>
      <c r="C1034" s="17" t="n">
        <f aca="false">IFERROR(VALUE(RIGHT($A1034,2)),"")</f>
        <v>11</v>
      </c>
      <c r="D1034" s="17" t="n">
        <f aca="false">IFERROR(ROUNDUP($C1034/3,0),"")</f>
        <v>4</v>
      </c>
      <c r="E1034" s="11" t="str">
        <f aca="false">TRIM('수출입 실적(품목별)'!B1038)</f>
        <v>68</v>
      </c>
      <c r="F1034" s="11" t="str">
        <f aca="false">TRIM('수출입 실적(품목별)'!C1038)</f>
        <v>돌ㆍ플라스터(plaster)ㆍ시멘트ㆍ석면ㆍ운모나 이와 유사한 재료의 제품</v>
      </c>
      <c r="G1034" s="18" t="n">
        <f aca="false">IFERROR(VALUE(SUBSTITUTE(TRIM('수출입 실적(품목별)'!D1038),",","")),"")</f>
        <v>10802.2</v>
      </c>
      <c r="H1034" s="19" t="n">
        <f aca="false">IFERROR(VALUE(SUBSTITUTE(TRIM('수출입 실적(품목별)'!E1038),",","")),"")</f>
        <v>76275</v>
      </c>
      <c r="I1034" s="18" t="n">
        <f aca="false">IFERROR(VALUE(SUBSTITUTE(TRIM('수출입 실적(품목별)'!F1038),",","")),"")</f>
        <v>213764.3</v>
      </c>
      <c r="J1034" s="19" t="n">
        <f aca="false">IFERROR(VALUE(SUBSTITUTE(TRIM('수출입 실적(품목별)'!G1038),",","")),"")</f>
        <v>105370</v>
      </c>
      <c r="K1034" s="19" t="n">
        <f aca="false">IFERROR(VALUE(SUBSTITUTE(TRIM('수출입 실적(품목별)'!H1038),",","")),"")</f>
        <v>-29095</v>
      </c>
    </row>
    <row r="1035" customFormat="false" ht="15" hidden="false" customHeight="true" outlineLevel="0" collapsed="false">
      <c r="A1035" s="11" t="str">
        <f aca="false">TRIM('수출입 실적(품목별)'!A1039)</f>
        <v>2024.11</v>
      </c>
      <c r="B1035" s="17" t="n">
        <f aca="false">IFERROR(VALUE(LEFT($A1035,4)),"")</f>
        <v>2024</v>
      </c>
      <c r="C1035" s="17" t="n">
        <f aca="false">IFERROR(VALUE(RIGHT($A1035,2)),"")</f>
        <v>11</v>
      </c>
      <c r="D1035" s="17" t="n">
        <f aca="false">IFERROR(ROUNDUP($C1035/3,0),"")</f>
        <v>4</v>
      </c>
      <c r="E1035" s="11" t="str">
        <f aca="false">TRIM('수출입 실적(품목별)'!B1039)</f>
        <v>69</v>
      </c>
      <c r="F1035" s="11" t="str">
        <f aca="false">TRIM('수출입 실적(품목별)'!C1039)</f>
        <v>도자제품</v>
      </c>
      <c r="G1035" s="18" t="n">
        <f aca="false">IFERROR(VALUE(SUBSTITUTE(TRIM('수출입 실적(품목별)'!D1039),",","")),"")</f>
        <v>3263.1</v>
      </c>
      <c r="H1035" s="19" t="n">
        <f aca="false">IFERROR(VALUE(SUBSTITUTE(TRIM('수출입 실적(품목별)'!E1039),",","")),"")</f>
        <v>29628</v>
      </c>
      <c r="I1035" s="18" t="n">
        <f aca="false">IFERROR(VALUE(SUBSTITUTE(TRIM('수출입 실적(품목별)'!F1039),",","")),"")</f>
        <v>140612</v>
      </c>
      <c r="J1035" s="19" t="n">
        <f aca="false">IFERROR(VALUE(SUBSTITUTE(TRIM('수출입 실적(품목별)'!G1039),",","")),"")</f>
        <v>120560</v>
      </c>
      <c r="K1035" s="19" t="n">
        <f aca="false">IFERROR(VALUE(SUBSTITUTE(TRIM('수출입 실적(품목별)'!H1039),",","")),"")</f>
        <v>-90932</v>
      </c>
    </row>
    <row r="1036" customFormat="false" ht="15" hidden="false" customHeight="true" outlineLevel="0" collapsed="false">
      <c r="A1036" s="11" t="str">
        <f aca="false">TRIM('수출입 실적(품목별)'!A1040)</f>
        <v>2024.11</v>
      </c>
      <c r="B1036" s="17" t="n">
        <f aca="false">IFERROR(VALUE(LEFT($A1036,4)),"")</f>
        <v>2024</v>
      </c>
      <c r="C1036" s="17" t="n">
        <f aca="false">IFERROR(VALUE(RIGHT($A1036,2)),"")</f>
        <v>11</v>
      </c>
      <c r="D1036" s="17" t="n">
        <f aca="false">IFERROR(ROUNDUP($C1036/3,0),"")</f>
        <v>4</v>
      </c>
      <c r="E1036" s="11" t="str">
        <f aca="false">TRIM('수출입 실적(품목별)'!B1040)</f>
        <v>70</v>
      </c>
      <c r="F1036" s="11" t="str">
        <f aca="false">TRIM('수출입 실적(품목별)'!C1040)</f>
        <v>유리와 유리제품</v>
      </c>
      <c r="G1036" s="18" t="n">
        <f aca="false">IFERROR(VALUE(SUBSTITUTE(TRIM('수출입 실적(품목별)'!D1040),",","")),"")</f>
        <v>29462.1</v>
      </c>
      <c r="H1036" s="19" t="n">
        <f aca="false">IFERROR(VALUE(SUBSTITUTE(TRIM('수출입 실적(품목별)'!E1040),",","")),"")</f>
        <v>163804</v>
      </c>
      <c r="I1036" s="18" t="n">
        <f aca="false">IFERROR(VALUE(SUBSTITUTE(TRIM('수출입 실적(품목별)'!F1040),",","")),"")</f>
        <v>83936.2</v>
      </c>
      <c r="J1036" s="19" t="n">
        <f aca="false">IFERROR(VALUE(SUBSTITUTE(TRIM('수출입 실적(품목별)'!G1040),",","")),"")</f>
        <v>203795</v>
      </c>
      <c r="K1036" s="19" t="n">
        <f aca="false">IFERROR(VALUE(SUBSTITUTE(TRIM('수출입 실적(품목별)'!H1040),",","")),"")</f>
        <v>-39990</v>
      </c>
    </row>
    <row r="1037" customFormat="false" ht="15" hidden="false" customHeight="true" outlineLevel="0" collapsed="false">
      <c r="A1037" s="11" t="str">
        <f aca="false">TRIM('수출입 실적(품목별)'!A1041)</f>
        <v>2024.11</v>
      </c>
      <c r="B1037" s="17" t="n">
        <f aca="false">IFERROR(VALUE(LEFT($A1037,4)),"")</f>
        <v>2024</v>
      </c>
      <c r="C1037" s="17" t="n">
        <f aca="false">IFERROR(VALUE(RIGHT($A1037,2)),"")</f>
        <v>11</v>
      </c>
      <c r="D1037" s="17" t="n">
        <f aca="false">IFERROR(ROUNDUP($C1037/3,0),"")</f>
        <v>4</v>
      </c>
      <c r="E1037" s="11" t="str">
        <f aca="false">TRIM('수출입 실적(품목별)'!B1041)</f>
        <v>71</v>
      </c>
      <c r="F1037" s="11" t="str">
        <f aca="false">TRIM('수출입 실적(품목별)'!C1041)</f>
        <v>천연진주ㆍ양식진주ㆍ귀석ㆍ반귀석ㆍ귀금속ㆍ귀금속을 입힌 금속과 이들의 제품, 모조 신변장식용품, 주화</v>
      </c>
      <c r="G1037" s="18" t="n">
        <f aca="false">IFERROR(VALUE(SUBSTITUTE(TRIM('수출입 실적(품목별)'!D1041),",","")),"")</f>
        <v>643.7</v>
      </c>
      <c r="H1037" s="19" t="n">
        <f aca="false">IFERROR(VALUE(SUBSTITUTE(TRIM('수출입 실적(품목별)'!E1041),",","")),"")</f>
        <v>404168</v>
      </c>
      <c r="I1037" s="18" t="n">
        <f aca="false">IFERROR(VALUE(SUBSTITUTE(TRIM('수출입 실적(품목별)'!F1041),",","")),"")</f>
        <v>1050.7</v>
      </c>
      <c r="J1037" s="19" t="n">
        <f aca="false">IFERROR(VALUE(SUBSTITUTE(TRIM('수출입 실적(품목별)'!G1041),",","")),"")</f>
        <v>555701</v>
      </c>
      <c r="K1037" s="19" t="n">
        <f aca="false">IFERROR(VALUE(SUBSTITUTE(TRIM('수출입 실적(품목별)'!H1041),",","")),"")</f>
        <v>-151532</v>
      </c>
    </row>
    <row r="1038" customFormat="false" ht="15" hidden="false" customHeight="true" outlineLevel="0" collapsed="false">
      <c r="A1038" s="11" t="str">
        <f aca="false">TRIM('수출입 실적(품목별)'!A1042)</f>
        <v>2024.11</v>
      </c>
      <c r="B1038" s="17" t="n">
        <f aca="false">IFERROR(VALUE(LEFT($A1038,4)),"")</f>
        <v>2024</v>
      </c>
      <c r="C1038" s="17" t="n">
        <f aca="false">IFERROR(VALUE(RIGHT($A1038,2)),"")</f>
        <v>11</v>
      </c>
      <c r="D1038" s="17" t="n">
        <f aca="false">IFERROR(ROUNDUP($C1038/3,0),"")</f>
        <v>4</v>
      </c>
      <c r="E1038" s="11" t="str">
        <f aca="false">TRIM('수출입 실적(품목별)'!B1042)</f>
        <v>72</v>
      </c>
      <c r="F1038" s="11" t="str">
        <f aca="false">TRIM('수출입 실적(품목별)'!C1042)</f>
        <v>철강</v>
      </c>
      <c r="G1038" s="18" t="n">
        <f aca="false">IFERROR(VALUE(SUBSTITUTE(TRIM('수출입 실적(품목별)'!D1042),",","")),"")</f>
        <v>2280514.1</v>
      </c>
      <c r="H1038" s="19" t="n">
        <f aca="false">IFERROR(VALUE(SUBSTITUTE(TRIM('수출입 실적(품목별)'!E1042),",","")),"")</f>
        <v>1962108</v>
      </c>
      <c r="I1038" s="18" t="n">
        <f aca="false">IFERROR(VALUE(SUBSTITUTE(TRIM('수출입 실적(품목별)'!F1042),",","")),"")</f>
        <v>1402037.3</v>
      </c>
      <c r="J1038" s="19" t="n">
        <f aca="false">IFERROR(VALUE(SUBSTITUTE(TRIM('수출입 실적(품목별)'!G1042),",","")),"")</f>
        <v>1058574</v>
      </c>
      <c r="K1038" s="19" t="n">
        <f aca="false">IFERROR(VALUE(SUBSTITUTE(TRIM('수출입 실적(품목별)'!H1042),",","")),"")</f>
        <v>903534</v>
      </c>
    </row>
    <row r="1039" customFormat="false" ht="15" hidden="false" customHeight="true" outlineLevel="0" collapsed="false">
      <c r="A1039" s="11" t="str">
        <f aca="false">TRIM('수출입 실적(품목별)'!A1043)</f>
        <v>2024.11</v>
      </c>
      <c r="B1039" s="17" t="n">
        <f aca="false">IFERROR(VALUE(LEFT($A1039,4)),"")</f>
        <v>2024</v>
      </c>
      <c r="C1039" s="17" t="n">
        <f aca="false">IFERROR(VALUE(RIGHT($A1039,2)),"")</f>
        <v>11</v>
      </c>
      <c r="D1039" s="17" t="n">
        <f aca="false">IFERROR(ROUNDUP($C1039/3,0),"")</f>
        <v>4</v>
      </c>
      <c r="E1039" s="11" t="str">
        <f aca="false">TRIM('수출입 실적(품목별)'!B1043)</f>
        <v>73</v>
      </c>
      <c r="F1039" s="11" t="str">
        <f aca="false">TRIM('수출입 실적(품목별)'!C1043)</f>
        <v>철강의 제품</v>
      </c>
      <c r="G1039" s="18" t="n">
        <f aca="false">IFERROR(VALUE(SUBSTITUTE(TRIM('수출입 실적(품목별)'!D1043),",","")),"")</f>
        <v>313336.4</v>
      </c>
      <c r="H1039" s="19" t="n">
        <f aca="false">IFERROR(VALUE(SUBSTITUTE(TRIM('수출입 실적(품목별)'!E1043),",","")),"")</f>
        <v>829367</v>
      </c>
      <c r="I1039" s="18" t="n">
        <f aca="false">IFERROR(VALUE(SUBSTITUTE(TRIM('수출입 실적(품목별)'!F1043),",","")),"")</f>
        <v>235641.9</v>
      </c>
      <c r="J1039" s="19" t="n">
        <f aca="false">IFERROR(VALUE(SUBSTITUTE(TRIM('수출입 실적(품목별)'!G1043),",","")),"")</f>
        <v>840015</v>
      </c>
      <c r="K1039" s="19" t="n">
        <f aca="false">IFERROR(VALUE(SUBSTITUTE(TRIM('수출입 실적(품목별)'!H1043),",","")),"")</f>
        <v>-10648</v>
      </c>
    </row>
    <row r="1040" customFormat="false" ht="15" hidden="false" customHeight="true" outlineLevel="0" collapsed="false">
      <c r="A1040" s="11" t="str">
        <f aca="false">TRIM('수출입 실적(품목별)'!A1044)</f>
        <v>2024.11</v>
      </c>
      <c r="B1040" s="17" t="n">
        <f aca="false">IFERROR(VALUE(LEFT($A1040,4)),"")</f>
        <v>2024</v>
      </c>
      <c r="C1040" s="17" t="n">
        <f aca="false">IFERROR(VALUE(RIGHT($A1040,2)),"")</f>
        <v>11</v>
      </c>
      <c r="D1040" s="17" t="n">
        <f aca="false">IFERROR(ROUNDUP($C1040/3,0),"")</f>
        <v>4</v>
      </c>
      <c r="E1040" s="11" t="str">
        <f aca="false">TRIM('수출입 실적(품목별)'!B1044)</f>
        <v>74</v>
      </c>
      <c r="F1040" s="11" t="str">
        <f aca="false">TRIM('수출입 실적(품목별)'!C1044)</f>
        <v>구리와 그 제품</v>
      </c>
      <c r="G1040" s="18" t="n">
        <f aca="false">IFERROR(VALUE(SUBSTITUTE(TRIM('수출입 실적(품목별)'!D1044),",","")),"")</f>
        <v>52391</v>
      </c>
      <c r="H1040" s="19" t="n">
        <f aca="false">IFERROR(VALUE(SUBSTITUTE(TRIM('수출입 실적(품목별)'!E1044),",","")),"")</f>
        <v>455328</v>
      </c>
      <c r="I1040" s="18" t="n">
        <f aca="false">IFERROR(VALUE(SUBSTITUTE(TRIM('수출입 실적(품목별)'!F1044),",","")),"")</f>
        <v>55673.3</v>
      </c>
      <c r="J1040" s="19" t="n">
        <f aca="false">IFERROR(VALUE(SUBSTITUTE(TRIM('수출입 실적(품목별)'!G1044),",","")),"")</f>
        <v>524430</v>
      </c>
      <c r="K1040" s="19" t="n">
        <f aca="false">IFERROR(VALUE(SUBSTITUTE(TRIM('수출입 실적(품목별)'!H1044),",","")),"")</f>
        <v>-69102</v>
      </c>
    </row>
    <row r="1041" customFormat="false" ht="15" hidden="false" customHeight="true" outlineLevel="0" collapsed="false">
      <c r="A1041" s="11" t="str">
        <f aca="false">TRIM('수출입 실적(품목별)'!A1045)</f>
        <v>2024.11</v>
      </c>
      <c r="B1041" s="17" t="n">
        <f aca="false">IFERROR(VALUE(LEFT($A1041,4)),"")</f>
        <v>2024</v>
      </c>
      <c r="C1041" s="17" t="n">
        <f aca="false">IFERROR(VALUE(RIGHT($A1041,2)),"")</f>
        <v>11</v>
      </c>
      <c r="D1041" s="17" t="n">
        <f aca="false">IFERROR(ROUNDUP($C1041/3,0),"")</f>
        <v>4</v>
      </c>
      <c r="E1041" s="11" t="str">
        <f aca="false">TRIM('수출입 실적(품목별)'!B1045)</f>
        <v>75</v>
      </c>
      <c r="F1041" s="11" t="str">
        <f aca="false">TRIM('수출입 실적(품목별)'!C1045)</f>
        <v>니켈과 그 제품</v>
      </c>
      <c r="G1041" s="18" t="n">
        <f aca="false">IFERROR(VALUE(SUBSTITUTE(TRIM('수출입 실적(품목별)'!D1045),",","")),"")</f>
        <v>1191</v>
      </c>
      <c r="H1041" s="19" t="n">
        <f aca="false">IFERROR(VALUE(SUBSTITUTE(TRIM('수출입 실적(품목별)'!E1045),",","")),"")</f>
        <v>15585</v>
      </c>
      <c r="I1041" s="18" t="n">
        <f aca="false">IFERROR(VALUE(SUBSTITUTE(TRIM('수출입 실적(품목별)'!F1045),",","")),"")</f>
        <v>5182.8</v>
      </c>
      <c r="J1041" s="19" t="n">
        <f aca="false">IFERROR(VALUE(SUBSTITUTE(TRIM('수출입 실적(품목별)'!G1045),",","")),"")</f>
        <v>105324</v>
      </c>
      <c r="K1041" s="19" t="n">
        <f aca="false">IFERROR(VALUE(SUBSTITUTE(TRIM('수출입 실적(품목별)'!H1045),",","")),"")</f>
        <v>-89739</v>
      </c>
    </row>
    <row r="1042" customFormat="false" ht="15" hidden="false" customHeight="true" outlineLevel="0" collapsed="false">
      <c r="A1042" s="11" t="str">
        <f aca="false">TRIM('수출입 실적(품목별)'!A1046)</f>
        <v>2024.11</v>
      </c>
      <c r="B1042" s="17" t="n">
        <f aca="false">IFERROR(VALUE(LEFT($A1042,4)),"")</f>
        <v>2024</v>
      </c>
      <c r="C1042" s="17" t="n">
        <f aca="false">IFERROR(VALUE(RIGHT($A1042,2)),"")</f>
        <v>11</v>
      </c>
      <c r="D1042" s="17" t="n">
        <f aca="false">IFERROR(ROUNDUP($C1042/3,0),"")</f>
        <v>4</v>
      </c>
      <c r="E1042" s="11" t="str">
        <f aca="false">TRIM('수출입 실적(품목별)'!B1046)</f>
        <v>76</v>
      </c>
      <c r="F1042" s="11" t="str">
        <f aca="false">TRIM('수출입 실적(품목별)'!C1046)</f>
        <v>알루미늄과 그 제품</v>
      </c>
      <c r="G1042" s="18" t="n">
        <f aca="false">IFERROR(VALUE(SUBSTITUTE(TRIM('수출입 실적(품목별)'!D1046),",","")),"")</f>
        <v>112072.3</v>
      </c>
      <c r="H1042" s="19" t="n">
        <f aca="false">IFERROR(VALUE(SUBSTITUTE(TRIM('수출입 실적(품목별)'!E1046),",","")),"")</f>
        <v>430599</v>
      </c>
      <c r="I1042" s="18" t="n">
        <f aca="false">IFERROR(VALUE(SUBSTITUTE(TRIM('수출입 실적(품목별)'!F1046),",","")),"")</f>
        <v>246424.5</v>
      </c>
      <c r="J1042" s="19" t="n">
        <f aca="false">IFERROR(VALUE(SUBSTITUTE(TRIM('수출입 실적(품목별)'!G1046),",","")),"")</f>
        <v>739857</v>
      </c>
      <c r="K1042" s="19" t="n">
        <f aca="false">IFERROR(VALUE(SUBSTITUTE(TRIM('수출입 실적(품목별)'!H1046),",","")),"")</f>
        <v>-309258</v>
      </c>
    </row>
    <row r="1043" customFormat="false" ht="15" hidden="false" customHeight="true" outlineLevel="0" collapsed="false">
      <c r="A1043" s="11" t="str">
        <f aca="false">TRIM('수출입 실적(품목별)'!A1047)</f>
        <v>2024.11</v>
      </c>
      <c r="B1043" s="17" t="n">
        <f aca="false">IFERROR(VALUE(LEFT($A1043,4)),"")</f>
        <v>2024</v>
      </c>
      <c r="C1043" s="17" t="n">
        <f aca="false">IFERROR(VALUE(RIGHT($A1043,2)),"")</f>
        <v>11</v>
      </c>
      <c r="D1043" s="17" t="n">
        <f aca="false">IFERROR(ROUNDUP($C1043/3,0),"")</f>
        <v>4</v>
      </c>
      <c r="E1043" s="11" t="str">
        <f aca="false">TRIM('수출입 실적(품목별)'!B1047)</f>
        <v>78</v>
      </c>
      <c r="F1043" s="11" t="str">
        <f aca="false">TRIM('수출입 실적(품목별)'!C1047)</f>
        <v>납과 그 제품</v>
      </c>
      <c r="G1043" s="18" t="n">
        <f aca="false">IFERROR(VALUE(SUBSTITUTE(TRIM('수출입 실적(품목별)'!D1047),",","")),"")</f>
        <v>20995.5</v>
      </c>
      <c r="H1043" s="19" t="n">
        <f aca="false">IFERROR(VALUE(SUBSTITUTE(TRIM('수출입 실적(품목별)'!E1047),",","")),"")</f>
        <v>47977</v>
      </c>
      <c r="I1043" s="18" t="n">
        <f aca="false">IFERROR(VALUE(SUBSTITUTE(TRIM('수출입 실적(품목별)'!F1047),",","")),"")</f>
        <v>11603.3</v>
      </c>
      <c r="J1043" s="19" t="n">
        <f aca="false">IFERROR(VALUE(SUBSTITUTE(TRIM('수출입 실적(품목별)'!G1047),",","")),"")</f>
        <v>26107</v>
      </c>
      <c r="K1043" s="19" t="n">
        <f aca="false">IFERROR(VALUE(SUBSTITUTE(TRIM('수출입 실적(품목별)'!H1047),",","")),"")</f>
        <v>21871</v>
      </c>
    </row>
    <row r="1044" customFormat="false" ht="15" hidden="false" customHeight="true" outlineLevel="0" collapsed="false">
      <c r="A1044" s="11" t="str">
        <f aca="false">TRIM('수출입 실적(품목별)'!A1048)</f>
        <v>2024.11</v>
      </c>
      <c r="B1044" s="17" t="n">
        <f aca="false">IFERROR(VALUE(LEFT($A1044,4)),"")</f>
        <v>2024</v>
      </c>
      <c r="C1044" s="17" t="n">
        <f aca="false">IFERROR(VALUE(RIGHT($A1044,2)),"")</f>
        <v>11</v>
      </c>
      <c r="D1044" s="17" t="n">
        <f aca="false">IFERROR(ROUNDUP($C1044/3,0),"")</f>
        <v>4</v>
      </c>
      <c r="E1044" s="11" t="str">
        <f aca="false">TRIM('수출입 실적(품목별)'!B1048)</f>
        <v>79</v>
      </c>
      <c r="F1044" s="11" t="str">
        <f aca="false">TRIM('수출입 실적(품목별)'!C1048)</f>
        <v>아연과 그 제품</v>
      </c>
      <c r="G1044" s="18" t="n">
        <f aca="false">IFERROR(VALUE(SUBSTITUTE(TRIM('수출입 실적(품목별)'!D1048),",","")),"")</f>
        <v>37054.9</v>
      </c>
      <c r="H1044" s="19" t="n">
        <f aca="false">IFERROR(VALUE(SUBSTITUTE(TRIM('수출입 실적(품목별)'!E1048),",","")),"")</f>
        <v>117486</v>
      </c>
      <c r="I1044" s="18" t="n">
        <f aca="false">IFERROR(VALUE(SUBSTITUTE(TRIM('수출입 실적(품목별)'!F1048),",","")),"")</f>
        <v>5587.3</v>
      </c>
      <c r="J1044" s="19" t="n">
        <f aca="false">IFERROR(VALUE(SUBSTITUTE(TRIM('수출입 실적(품목별)'!G1048),",","")),"")</f>
        <v>18756</v>
      </c>
      <c r="K1044" s="19" t="n">
        <f aca="false">IFERROR(VALUE(SUBSTITUTE(TRIM('수출입 실적(품목별)'!H1048),",","")),"")</f>
        <v>98729</v>
      </c>
    </row>
    <row r="1045" customFormat="false" ht="15" hidden="false" customHeight="true" outlineLevel="0" collapsed="false">
      <c r="A1045" s="11" t="str">
        <f aca="false">TRIM('수출입 실적(품목별)'!A1049)</f>
        <v>2024.11</v>
      </c>
      <c r="B1045" s="17" t="n">
        <f aca="false">IFERROR(VALUE(LEFT($A1045,4)),"")</f>
        <v>2024</v>
      </c>
      <c r="C1045" s="17" t="n">
        <f aca="false">IFERROR(VALUE(RIGHT($A1045,2)),"")</f>
        <v>11</v>
      </c>
      <c r="D1045" s="17" t="n">
        <f aca="false">IFERROR(ROUNDUP($C1045/3,0),"")</f>
        <v>4</v>
      </c>
      <c r="E1045" s="11" t="str">
        <f aca="false">TRIM('수출입 실적(품목별)'!B1049)</f>
        <v>80</v>
      </c>
      <c r="F1045" s="11" t="str">
        <f aca="false">TRIM('수출입 실적(품목별)'!C1049)</f>
        <v>주석과 그 제품</v>
      </c>
      <c r="G1045" s="18" t="n">
        <f aca="false">IFERROR(VALUE(SUBSTITUTE(TRIM('수출입 실적(품목별)'!D1049),",","")),"")</f>
        <v>242.5</v>
      </c>
      <c r="H1045" s="19" t="n">
        <f aca="false">IFERROR(VALUE(SUBSTITUTE(TRIM('수출입 실적(품목별)'!E1049),",","")),"")</f>
        <v>5631</v>
      </c>
      <c r="I1045" s="18" t="n">
        <f aca="false">IFERROR(VALUE(SUBSTITUTE(TRIM('수출입 실적(품목별)'!F1049),",","")),"")</f>
        <v>1326.7</v>
      </c>
      <c r="J1045" s="19" t="n">
        <f aca="false">IFERROR(VALUE(SUBSTITUTE(TRIM('수출입 실적(품목별)'!G1049),",","")),"")</f>
        <v>42878</v>
      </c>
      <c r="K1045" s="19" t="n">
        <f aca="false">IFERROR(VALUE(SUBSTITUTE(TRIM('수출입 실적(품목별)'!H1049),",","")),"")</f>
        <v>-37246</v>
      </c>
    </row>
    <row r="1046" customFormat="false" ht="15" hidden="false" customHeight="true" outlineLevel="0" collapsed="false">
      <c r="A1046" s="11" t="str">
        <f aca="false">TRIM('수출입 실적(품목별)'!A1050)</f>
        <v>2024.11</v>
      </c>
      <c r="B1046" s="17" t="n">
        <f aca="false">IFERROR(VALUE(LEFT($A1046,4)),"")</f>
        <v>2024</v>
      </c>
      <c r="C1046" s="17" t="n">
        <f aca="false">IFERROR(VALUE(RIGHT($A1046,2)),"")</f>
        <v>11</v>
      </c>
      <c r="D1046" s="17" t="n">
        <f aca="false">IFERROR(ROUNDUP($C1046/3,0),"")</f>
        <v>4</v>
      </c>
      <c r="E1046" s="11" t="str">
        <f aca="false">TRIM('수출입 실적(품목별)'!B1050)</f>
        <v>81</v>
      </c>
      <c r="F1046" s="11" t="str">
        <f aca="false">TRIM('수출입 실적(품목별)'!C1050)</f>
        <v>그 밖의 비금속(卑金屬), 서멧(cermet), 이들의 제품</v>
      </c>
      <c r="G1046" s="18" t="n">
        <f aca="false">IFERROR(VALUE(SUBSTITUTE(TRIM('수출입 실적(품목별)'!D1050),",","")),"")</f>
        <v>3048.2</v>
      </c>
      <c r="H1046" s="19" t="n">
        <f aca="false">IFERROR(VALUE(SUBSTITUTE(TRIM('수출입 실적(품목별)'!E1050),",","")),"")</f>
        <v>35896</v>
      </c>
      <c r="I1046" s="18" t="n">
        <f aca="false">IFERROR(VALUE(SUBSTITUTE(TRIM('수출입 실적(품목별)'!F1050),",","")),"")</f>
        <v>15383.5</v>
      </c>
      <c r="J1046" s="19" t="n">
        <f aca="false">IFERROR(VALUE(SUBSTITUTE(TRIM('수출입 실적(품목별)'!G1050),",","")),"")</f>
        <v>113566</v>
      </c>
      <c r="K1046" s="19" t="n">
        <f aca="false">IFERROR(VALUE(SUBSTITUTE(TRIM('수출입 실적(품목별)'!H1050),",","")),"")</f>
        <v>-77670</v>
      </c>
    </row>
    <row r="1047" customFormat="false" ht="15" hidden="false" customHeight="true" outlineLevel="0" collapsed="false">
      <c r="A1047" s="11" t="str">
        <f aca="false">TRIM('수출입 실적(품목별)'!A1051)</f>
        <v>2024.11</v>
      </c>
      <c r="B1047" s="17" t="n">
        <f aca="false">IFERROR(VALUE(LEFT($A1047,4)),"")</f>
        <v>2024</v>
      </c>
      <c r="C1047" s="17" t="n">
        <f aca="false">IFERROR(VALUE(RIGHT($A1047,2)),"")</f>
        <v>11</v>
      </c>
      <c r="D1047" s="17" t="n">
        <f aca="false">IFERROR(ROUNDUP($C1047/3,0),"")</f>
        <v>4</v>
      </c>
      <c r="E1047" s="11" t="str">
        <f aca="false">TRIM('수출입 실적(품목별)'!B1051)</f>
        <v>82</v>
      </c>
      <c r="F1047" s="11" t="str">
        <f aca="false">TRIM('수출입 실적(품목별)'!C1051)</f>
        <v>비금속(卑金屬)으로 만든 공구ㆍ도구ㆍ칼붙이ㆍ스푼ㆍ포크, 이들의 부분품</v>
      </c>
      <c r="G1047" s="18" t="n">
        <f aca="false">IFERROR(VALUE(SUBSTITUTE(TRIM('수출입 실적(품목별)'!D1051),",","")),"")</f>
        <v>6720</v>
      </c>
      <c r="H1047" s="19" t="n">
        <f aca="false">IFERROR(VALUE(SUBSTITUTE(TRIM('수출입 실적(품목별)'!E1051),",","")),"")</f>
        <v>143225</v>
      </c>
      <c r="I1047" s="18" t="n">
        <f aca="false">IFERROR(VALUE(SUBSTITUTE(TRIM('수출입 실적(품목별)'!F1051),",","")),"")</f>
        <v>4428.4</v>
      </c>
      <c r="J1047" s="19" t="n">
        <f aca="false">IFERROR(VALUE(SUBSTITUTE(TRIM('수출입 실적(품목별)'!G1051),",","")),"")</f>
        <v>79968</v>
      </c>
      <c r="K1047" s="19" t="n">
        <f aca="false">IFERROR(VALUE(SUBSTITUTE(TRIM('수출입 실적(품목별)'!H1051),",","")),"")</f>
        <v>63257</v>
      </c>
    </row>
    <row r="1048" customFormat="false" ht="15" hidden="false" customHeight="true" outlineLevel="0" collapsed="false">
      <c r="A1048" s="11" t="str">
        <f aca="false">TRIM('수출입 실적(품목별)'!A1052)</f>
        <v>2024.11</v>
      </c>
      <c r="B1048" s="17" t="n">
        <f aca="false">IFERROR(VALUE(LEFT($A1048,4)),"")</f>
        <v>2024</v>
      </c>
      <c r="C1048" s="17" t="n">
        <f aca="false">IFERROR(VALUE(RIGHT($A1048,2)),"")</f>
        <v>11</v>
      </c>
      <c r="D1048" s="17" t="n">
        <f aca="false">IFERROR(ROUNDUP($C1048/3,0),"")</f>
        <v>4</v>
      </c>
      <c r="E1048" s="11" t="str">
        <f aca="false">TRIM('수출입 실적(품목별)'!B1052)</f>
        <v>83</v>
      </c>
      <c r="F1048" s="11" t="str">
        <f aca="false">TRIM('수출입 실적(품목별)'!C1052)</f>
        <v>비금속(卑金屬)으로 만든 각종 제품</v>
      </c>
      <c r="G1048" s="18" t="n">
        <f aca="false">IFERROR(VALUE(SUBSTITUTE(TRIM('수출입 실적(품목별)'!D1052),",","")),"")</f>
        <v>24414.7</v>
      </c>
      <c r="H1048" s="19" t="n">
        <f aca="false">IFERROR(VALUE(SUBSTITUTE(TRIM('수출입 실적(품목별)'!E1052),",","")),"")</f>
        <v>133836</v>
      </c>
      <c r="I1048" s="18" t="n">
        <f aca="false">IFERROR(VALUE(SUBSTITUTE(TRIM('수출입 실적(품목별)'!F1052),",","")),"")</f>
        <v>11173.5</v>
      </c>
      <c r="J1048" s="19" t="n">
        <f aca="false">IFERROR(VALUE(SUBSTITUTE(TRIM('수출입 실적(품목별)'!G1052),",","")),"")</f>
        <v>78560</v>
      </c>
      <c r="K1048" s="19" t="n">
        <f aca="false">IFERROR(VALUE(SUBSTITUTE(TRIM('수출입 실적(품목별)'!H1052),",","")),"")</f>
        <v>55276</v>
      </c>
    </row>
    <row r="1049" customFormat="false" ht="15" hidden="false" customHeight="true" outlineLevel="0" collapsed="false">
      <c r="A1049" s="11" t="str">
        <f aca="false">TRIM('수출입 실적(품목별)'!A1053)</f>
        <v>2024.11</v>
      </c>
      <c r="B1049" s="17" t="n">
        <f aca="false">IFERROR(VALUE(LEFT($A1049,4)),"")</f>
        <v>2024</v>
      </c>
      <c r="C1049" s="17" t="n">
        <f aca="false">IFERROR(VALUE(RIGHT($A1049,2)),"")</f>
        <v>11</v>
      </c>
      <c r="D1049" s="17" t="n">
        <f aca="false">IFERROR(ROUNDUP($C1049/3,0),"")</f>
        <v>4</v>
      </c>
      <c r="E1049" s="11" t="str">
        <f aca="false">TRIM('수출입 실적(품목별)'!B1053)</f>
        <v>84</v>
      </c>
      <c r="F1049" s="11" t="str">
        <f aca="false">TRIM('수출입 실적(품목별)'!C1053)</f>
        <v>원자로ㆍ보일러ㆍ기계류와 이들의 부분품</v>
      </c>
      <c r="G1049" s="18" t="n">
        <f aca="false">IFERROR(VALUE(SUBSTITUTE(TRIM('수출입 실적(품목별)'!D1053),",","")),"")</f>
        <v>336312.7</v>
      </c>
      <c r="H1049" s="19" t="n">
        <f aca="false">IFERROR(VALUE(SUBSTITUTE(TRIM('수출입 실적(품목별)'!E1053),",","")),"")</f>
        <v>6654815</v>
      </c>
      <c r="I1049" s="18" t="n">
        <f aca="false">IFERROR(VALUE(SUBSTITUTE(TRIM('수출입 실적(품목별)'!F1053),",","")),"")</f>
        <v>192753.8</v>
      </c>
      <c r="J1049" s="19" t="n">
        <f aca="false">IFERROR(VALUE(SUBSTITUTE(TRIM('수출입 실적(품목별)'!G1053),",","")),"")</f>
        <v>5751126</v>
      </c>
      <c r="K1049" s="19" t="n">
        <f aca="false">IFERROR(VALUE(SUBSTITUTE(TRIM('수출입 실적(품목별)'!H1053),",","")),"")</f>
        <v>903689</v>
      </c>
    </row>
    <row r="1050" customFormat="false" ht="15" hidden="false" customHeight="true" outlineLevel="0" collapsed="false">
      <c r="A1050" s="11" t="str">
        <f aca="false">TRIM('수출입 실적(품목별)'!A1054)</f>
        <v>2024.11</v>
      </c>
      <c r="B1050" s="17" t="n">
        <f aca="false">IFERROR(VALUE(LEFT($A1050,4)),"")</f>
        <v>2024</v>
      </c>
      <c r="C1050" s="17" t="n">
        <f aca="false">IFERROR(VALUE(RIGHT($A1050,2)),"")</f>
        <v>11</v>
      </c>
      <c r="D1050" s="17" t="n">
        <f aca="false">IFERROR(ROUNDUP($C1050/3,0),"")</f>
        <v>4</v>
      </c>
      <c r="E1050" s="11" t="str">
        <f aca="false">TRIM('수출입 실적(품목별)'!B1054)</f>
        <v>85</v>
      </c>
      <c r="F1050" s="11" t="str">
        <f aca="false">TRIM('수출입 실적(품목별)'!C1054)</f>
        <v>전기기기와 그 부분품, 녹음기ㆍ음성 재생기ㆍ텔레비전의 영상과 음성의 기록기ㆍ재생기와 이들의 부분품ㆍ부속품</v>
      </c>
      <c r="G1050" s="18" t="n">
        <f aca="false">IFERROR(VALUE(SUBSTITUTE(TRIM('수출입 실적(품목별)'!D1054),",","")),"")</f>
        <v>209785.9</v>
      </c>
      <c r="H1050" s="19" t="n">
        <f aca="false">IFERROR(VALUE(SUBSTITUTE(TRIM('수출입 실적(품목별)'!E1054),",","")),"")</f>
        <v>18411009</v>
      </c>
      <c r="I1050" s="18" t="n">
        <f aca="false">IFERROR(VALUE(SUBSTITUTE(TRIM('수출입 실적(품목별)'!F1054),",","")),"")</f>
        <v>204788.7</v>
      </c>
      <c r="J1050" s="19" t="n">
        <f aca="false">IFERROR(VALUE(SUBSTITUTE(TRIM('수출입 실적(품목별)'!G1054),",","")),"")</f>
        <v>10716169</v>
      </c>
      <c r="K1050" s="19" t="n">
        <f aca="false">IFERROR(VALUE(SUBSTITUTE(TRIM('수출입 실적(품목별)'!H1054),",","")),"")</f>
        <v>7694840</v>
      </c>
    </row>
    <row r="1051" customFormat="false" ht="15" hidden="false" customHeight="true" outlineLevel="0" collapsed="false">
      <c r="A1051" s="11" t="str">
        <f aca="false">TRIM('수출입 실적(품목별)'!A1055)</f>
        <v>2024.11</v>
      </c>
      <c r="B1051" s="17" t="n">
        <f aca="false">IFERROR(VALUE(LEFT($A1051,4)),"")</f>
        <v>2024</v>
      </c>
      <c r="C1051" s="17" t="n">
        <f aca="false">IFERROR(VALUE(RIGHT($A1051,2)),"")</f>
        <v>11</v>
      </c>
      <c r="D1051" s="17" t="n">
        <f aca="false">IFERROR(ROUNDUP($C1051/3,0),"")</f>
        <v>4</v>
      </c>
      <c r="E1051" s="11" t="str">
        <f aca="false">TRIM('수출입 실적(품목별)'!B1055)</f>
        <v>86</v>
      </c>
      <c r="F1051" s="11" t="str">
        <f aca="false">TRIM('수출입 실적(품목별)'!C1055)</f>
        <v>철도용이나 궤도용 기관차ㆍ차량과 이들의 부분품, 철도용이나 궤도용 장비품과 그 부분품, 기계식(전기기계식을 포함한다) 각종 교통신호용 기기</v>
      </c>
      <c r="G1051" s="18" t="n">
        <f aca="false">IFERROR(VALUE(SUBSTITUTE(TRIM('수출입 실적(품목별)'!D1055),",","")),"")</f>
        <v>10379.8</v>
      </c>
      <c r="H1051" s="19" t="n">
        <f aca="false">IFERROR(VALUE(SUBSTITUTE(TRIM('수출입 실적(품목별)'!E1055),",","")),"")</f>
        <v>55659</v>
      </c>
      <c r="I1051" s="18" t="n">
        <f aca="false">IFERROR(VALUE(SUBSTITUTE(TRIM('수출입 실적(품목별)'!F1055),",","")),"")</f>
        <v>11116.1</v>
      </c>
      <c r="J1051" s="19" t="n">
        <f aca="false">IFERROR(VALUE(SUBSTITUTE(TRIM('수출입 실적(품목별)'!G1055),",","")),"")</f>
        <v>44709</v>
      </c>
      <c r="K1051" s="19" t="n">
        <f aca="false">IFERROR(VALUE(SUBSTITUTE(TRIM('수출입 실적(품목별)'!H1055),",","")),"")</f>
        <v>10950</v>
      </c>
    </row>
    <row r="1052" customFormat="false" ht="15" hidden="false" customHeight="true" outlineLevel="0" collapsed="false">
      <c r="A1052" s="11" t="str">
        <f aca="false">TRIM('수출입 실적(품목별)'!A1056)</f>
        <v>2024.11</v>
      </c>
      <c r="B1052" s="17" t="n">
        <f aca="false">IFERROR(VALUE(LEFT($A1052,4)),"")</f>
        <v>2024</v>
      </c>
      <c r="C1052" s="17" t="n">
        <f aca="false">IFERROR(VALUE(RIGHT($A1052,2)),"")</f>
        <v>11</v>
      </c>
      <c r="D1052" s="17" t="n">
        <f aca="false">IFERROR(ROUNDUP($C1052/3,0),"")</f>
        <v>4</v>
      </c>
      <c r="E1052" s="11" t="str">
        <f aca="false">TRIM('수출입 실적(품목별)'!B1056)</f>
        <v>87</v>
      </c>
      <c r="F1052" s="11" t="str">
        <f aca="false">TRIM('수출입 실적(품목별)'!C1056)</f>
        <v>철도용이나 궤도용 외의 차량과 그 부분품ㆍ부속품</v>
      </c>
      <c r="G1052" s="18" t="n">
        <f aca="false">IFERROR(VALUE(SUBSTITUTE(TRIM('수출입 실적(품목별)'!D1056),",","")),"")</f>
        <v>665082.9</v>
      </c>
      <c r="H1052" s="19" t="n">
        <f aca="false">IFERROR(VALUE(SUBSTITUTE(TRIM('수출입 실적(품목별)'!E1056),",","")),"")</f>
        <v>7197545</v>
      </c>
      <c r="I1052" s="18" t="n">
        <f aca="false">IFERROR(VALUE(SUBSTITUTE(TRIM('수출입 실적(품목별)'!F1056),",","")),"")</f>
        <v>91498.8</v>
      </c>
      <c r="J1052" s="19" t="n">
        <f aca="false">IFERROR(VALUE(SUBSTITUTE(TRIM('수출입 실적(품목별)'!G1056),",","")),"")</f>
        <v>1428467</v>
      </c>
      <c r="K1052" s="19" t="n">
        <f aca="false">IFERROR(VALUE(SUBSTITUTE(TRIM('수출입 실적(품목별)'!H1056),",","")),"")</f>
        <v>5769078</v>
      </c>
    </row>
    <row r="1053" customFormat="false" ht="15" hidden="false" customHeight="true" outlineLevel="0" collapsed="false">
      <c r="A1053" s="11" t="str">
        <f aca="false">TRIM('수출입 실적(품목별)'!A1057)</f>
        <v>2024.11</v>
      </c>
      <c r="B1053" s="17" t="n">
        <f aca="false">IFERROR(VALUE(LEFT($A1053,4)),"")</f>
        <v>2024</v>
      </c>
      <c r="C1053" s="17" t="n">
        <f aca="false">IFERROR(VALUE(RIGHT($A1053,2)),"")</f>
        <v>11</v>
      </c>
      <c r="D1053" s="17" t="n">
        <f aca="false">IFERROR(ROUNDUP($C1053/3,0),"")</f>
        <v>4</v>
      </c>
      <c r="E1053" s="11" t="str">
        <f aca="false">TRIM('수출입 실적(품목별)'!B1057)</f>
        <v>88</v>
      </c>
      <c r="F1053" s="11" t="str">
        <f aca="false">TRIM('수출입 실적(품목별)'!C1057)</f>
        <v>항공기와 우주선, 이들의 부분품</v>
      </c>
      <c r="G1053" s="18" t="n">
        <f aca="false">IFERROR(VALUE(SUBSTITUTE(TRIM('수출입 실적(품목별)'!D1057),",","")),"")</f>
        <v>355.5</v>
      </c>
      <c r="H1053" s="19" t="n">
        <f aca="false">IFERROR(VALUE(SUBSTITUTE(TRIM('수출입 실적(품목별)'!E1057),",","")),"")</f>
        <v>106761</v>
      </c>
      <c r="I1053" s="18" t="n">
        <f aca="false">IFERROR(VALUE(SUBSTITUTE(TRIM('수출입 실적(품목별)'!F1057),",","")),"")</f>
        <v>437.5</v>
      </c>
      <c r="J1053" s="19" t="n">
        <f aca="false">IFERROR(VALUE(SUBSTITUTE(TRIM('수출입 실적(품목별)'!G1057),",","")),"")</f>
        <v>344801</v>
      </c>
      <c r="K1053" s="19" t="n">
        <f aca="false">IFERROR(VALUE(SUBSTITUTE(TRIM('수출입 실적(품목별)'!H1057),",","")),"")</f>
        <v>-238040</v>
      </c>
    </row>
    <row r="1054" customFormat="false" ht="15" hidden="false" customHeight="true" outlineLevel="0" collapsed="false">
      <c r="A1054" s="11" t="str">
        <f aca="false">TRIM('수출입 실적(품목별)'!A1058)</f>
        <v>2024.11</v>
      </c>
      <c r="B1054" s="17" t="n">
        <f aca="false">IFERROR(VALUE(LEFT($A1054,4)),"")</f>
        <v>2024</v>
      </c>
      <c r="C1054" s="17" t="n">
        <f aca="false">IFERROR(VALUE(RIGHT($A1054,2)),"")</f>
        <v>11</v>
      </c>
      <c r="D1054" s="17" t="n">
        <f aca="false">IFERROR(ROUNDUP($C1054/3,0),"")</f>
        <v>4</v>
      </c>
      <c r="E1054" s="11" t="str">
        <f aca="false">TRIM('수출입 실적(품목별)'!B1058)</f>
        <v>89</v>
      </c>
      <c r="F1054" s="11" t="str">
        <f aca="false">TRIM('수출입 실적(품목별)'!C1058)</f>
        <v>선박과 수상 구조물</v>
      </c>
      <c r="G1054" s="18" t="n">
        <f aca="false">IFERROR(VALUE(SUBSTITUTE(TRIM('수출입 실적(품목별)'!D1058),",","")),"")</f>
        <v>879225.6</v>
      </c>
      <c r="H1054" s="19" t="n">
        <f aca="false">IFERROR(VALUE(SUBSTITUTE(TRIM('수출입 실적(품목별)'!E1058),",","")),"")</f>
        <v>2397600</v>
      </c>
      <c r="I1054" s="18" t="n">
        <f aca="false">IFERROR(VALUE(SUBSTITUTE(TRIM('수출입 실적(품목별)'!F1058),",","")),"")</f>
        <v>94151.2</v>
      </c>
      <c r="J1054" s="19" t="n">
        <f aca="false">IFERROR(VALUE(SUBSTITUTE(TRIM('수출입 실적(품목별)'!G1058),",","")),"")</f>
        <v>156225</v>
      </c>
      <c r="K1054" s="19" t="n">
        <f aca="false">IFERROR(VALUE(SUBSTITUTE(TRIM('수출입 실적(품목별)'!H1058),",","")),"")</f>
        <v>2241375</v>
      </c>
    </row>
    <row r="1055" customFormat="false" ht="15" hidden="false" customHeight="true" outlineLevel="0" collapsed="false">
      <c r="A1055" s="11" t="str">
        <f aca="false">TRIM('수출입 실적(품목별)'!A1059)</f>
        <v>2024.11</v>
      </c>
      <c r="B1055" s="17" t="n">
        <f aca="false">IFERROR(VALUE(LEFT($A1055,4)),"")</f>
        <v>2024</v>
      </c>
      <c r="C1055" s="17" t="n">
        <f aca="false">IFERROR(VALUE(RIGHT($A1055,2)),"")</f>
        <v>11</v>
      </c>
      <c r="D1055" s="17" t="n">
        <f aca="false">IFERROR(ROUNDUP($C1055/3,0),"")</f>
        <v>4</v>
      </c>
      <c r="E1055" s="11" t="str">
        <f aca="false">TRIM('수출입 실적(품목별)'!B1059)</f>
        <v>90</v>
      </c>
      <c r="F1055" s="11" t="str">
        <f aca="false">TRIM('수출입 실적(품목별)'!C1059)</f>
        <v>광학기기ㆍ사진용 기기ㆍ영화용 기기ㆍ측정기기ㆍ검사기기ㆍ정밀기기ㆍ의료용 기기, 이들의 부분품과 부속품</v>
      </c>
      <c r="G1055" s="18" t="n">
        <f aca="false">IFERROR(VALUE(SUBSTITUTE(TRIM('수출입 실적(품목별)'!D1059),",","")),"")</f>
        <v>17162.4</v>
      </c>
      <c r="H1055" s="19" t="n">
        <f aca="false">IFERROR(VALUE(SUBSTITUTE(TRIM('수출입 실적(품목별)'!E1059),",","")),"")</f>
        <v>1410786</v>
      </c>
      <c r="I1055" s="18" t="n">
        <f aca="false">IFERROR(VALUE(SUBSTITUTE(TRIM('수출입 실적(품목별)'!F1059),",","")),"")</f>
        <v>15401.2</v>
      </c>
      <c r="J1055" s="19" t="n">
        <f aca="false">IFERROR(VALUE(SUBSTITUTE(TRIM('수출입 실적(품목별)'!G1059),",","")),"")</f>
        <v>1928130</v>
      </c>
      <c r="K1055" s="19" t="n">
        <f aca="false">IFERROR(VALUE(SUBSTITUTE(TRIM('수출입 실적(품목별)'!H1059),",","")),"")</f>
        <v>-517344</v>
      </c>
    </row>
    <row r="1056" customFormat="false" ht="15" hidden="false" customHeight="true" outlineLevel="0" collapsed="false">
      <c r="A1056" s="11" t="str">
        <f aca="false">TRIM('수출입 실적(품목별)'!A1060)</f>
        <v>2024.11</v>
      </c>
      <c r="B1056" s="17" t="n">
        <f aca="false">IFERROR(VALUE(LEFT($A1056,4)),"")</f>
        <v>2024</v>
      </c>
      <c r="C1056" s="17" t="n">
        <f aca="false">IFERROR(VALUE(RIGHT($A1056,2)),"")</f>
        <v>11</v>
      </c>
      <c r="D1056" s="17" t="n">
        <f aca="false">IFERROR(ROUNDUP($C1056/3,0),"")</f>
        <v>4</v>
      </c>
      <c r="E1056" s="11" t="str">
        <f aca="false">TRIM('수출입 실적(품목별)'!B1060)</f>
        <v>91</v>
      </c>
      <c r="F1056" s="11" t="str">
        <f aca="false">TRIM('수출입 실적(품목별)'!C1060)</f>
        <v>시계와 그 부분품</v>
      </c>
      <c r="G1056" s="18" t="n">
        <f aca="false">IFERROR(VALUE(SUBSTITUTE(TRIM('수출입 실적(품목별)'!D1060),",","")),"")</f>
        <v>10.9</v>
      </c>
      <c r="H1056" s="19" t="n">
        <f aca="false">IFERROR(VALUE(SUBSTITUTE(TRIM('수출입 실적(품목별)'!E1060),",","")),"")</f>
        <v>15508</v>
      </c>
      <c r="I1056" s="18" t="n">
        <f aca="false">IFERROR(VALUE(SUBSTITUTE(TRIM('수출입 실적(품목별)'!F1060),",","")),"")</f>
        <v>308.9</v>
      </c>
      <c r="J1056" s="19" t="n">
        <f aca="false">IFERROR(VALUE(SUBSTITUTE(TRIM('수출입 실적(품목별)'!G1060),",","")),"")</f>
        <v>100082</v>
      </c>
      <c r="K1056" s="19" t="n">
        <f aca="false">IFERROR(VALUE(SUBSTITUTE(TRIM('수출입 실적(품목별)'!H1060),",","")),"")</f>
        <v>-84574</v>
      </c>
    </row>
    <row r="1057" customFormat="false" ht="15" hidden="false" customHeight="true" outlineLevel="0" collapsed="false">
      <c r="A1057" s="11" t="str">
        <f aca="false">TRIM('수출입 실적(품목별)'!A1061)</f>
        <v>2024.11</v>
      </c>
      <c r="B1057" s="17" t="n">
        <f aca="false">IFERROR(VALUE(LEFT($A1057,4)),"")</f>
        <v>2024</v>
      </c>
      <c r="C1057" s="17" t="n">
        <f aca="false">IFERROR(VALUE(RIGHT($A1057,2)),"")</f>
        <v>11</v>
      </c>
      <c r="D1057" s="17" t="n">
        <f aca="false">IFERROR(ROUNDUP($C1057/3,0),"")</f>
        <v>4</v>
      </c>
      <c r="E1057" s="11" t="str">
        <f aca="false">TRIM('수출입 실적(품목별)'!B1061)</f>
        <v>92</v>
      </c>
      <c r="F1057" s="11" t="str">
        <f aca="false">TRIM('수출입 실적(품목별)'!C1061)</f>
        <v>악기와 그 부분품과 부속품</v>
      </c>
      <c r="G1057" s="18" t="n">
        <f aca="false">IFERROR(VALUE(SUBSTITUTE(TRIM('수출입 실적(품목별)'!D1061),",","")),"")</f>
        <v>474.7</v>
      </c>
      <c r="H1057" s="19" t="n">
        <f aca="false">IFERROR(VALUE(SUBSTITUTE(TRIM('수출입 실적(품목별)'!E1061),",","")),"")</f>
        <v>8438</v>
      </c>
      <c r="I1057" s="18" t="n">
        <f aca="false">IFERROR(VALUE(SUBSTITUTE(TRIM('수출입 실적(품목별)'!F1061),",","")),"")</f>
        <v>720.1</v>
      </c>
      <c r="J1057" s="19" t="n">
        <f aca="false">IFERROR(VALUE(SUBSTITUTE(TRIM('수출입 실적(품목별)'!G1061),",","")),"")</f>
        <v>17977</v>
      </c>
      <c r="K1057" s="19" t="n">
        <f aca="false">IFERROR(VALUE(SUBSTITUTE(TRIM('수출입 실적(품목별)'!H1061),",","")),"")</f>
        <v>-9539</v>
      </c>
    </row>
    <row r="1058" customFormat="false" ht="15" hidden="false" customHeight="true" outlineLevel="0" collapsed="false">
      <c r="A1058" s="11" t="str">
        <f aca="false">TRIM('수출입 실적(품목별)'!A1062)</f>
        <v>2024.11</v>
      </c>
      <c r="B1058" s="17" t="n">
        <f aca="false">IFERROR(VALUE(LEFT($A1058,4)),"")</f>
        <v>2024</v>
      </c>
      <c r="C1058" s="17" t="n">
        <f aca="false">IFERROR(VALUE(RIGHT($A1058,2)),"")</f>
        <v>11</v>
      </c>
      <c r="D1058" s="17" t="n">
        <f aca="false">IFERROR(ROUNDUP($C1058/3,0),"")</f>
        <v>4</v>
      </c>
      <c r="E1058" s="11" t="str">
        <f aca="false">TRIM('수출입 실적(품목별)'!B1062)</f>
        <v>93</v>
      </c>
      <c r="F1058" s="11" t="str">
        <f aca="false">TRIM('수출입 실적(품목별)'!C1062)</f>
        <v>무기ㆍ총포탄과 이들의 부분품과 부속품</v>
      </c>
      <c r="G1058" s="18" t="n">
        <f aca="false">IFERROR(VALUE(SUBSTITUTE(TRIM('수출입 실적(품목별)'!D1062),",","")),"")</f>
        <v>2396.3</v>
      </c>
      <c r="H1058" s="19" t="n">
        <f aca="false">IFERROR(VALUE(SUBSTITUTE(TRIM('수출입 실적(품목별)'!E1062),",","")),"")</f>
        <v>218257</v>
      </c>
      <c r="I1058" s="18" t="n">
        <f aca="false">IFERROR(VALUE(SUBSTITUTE(TRIM('수출입 실적(품목별)'!F1062),",","")),"")</f>
        <v>146.4</v>
      </c>
      <c r="J1058" s="19" t="n">
        <f aca="false">IFERROR(VALUE(SUBSTITUTE(TRIM('수출입 실적(품목별)'!G1062),",","")),"")</f>
        <v>16935</v>
      </c>
      <c r="K1058" s="19" t="n">
        <f aca="false">IFERROR(VALUE(SUBSTITUTE(TRIM('수출입 실적(품목별)'!H1062),",","")),"")</f>
        <v>201322</v>
      </c>
    </row>
    <row r="1059" customFormat="false" ht="15" hidden="false" customHeight="true" outlineLevel="0" collapsed="false">
      <c r="A1059" s="11" t="str">
        <f aca="false">TRIM('수출입 실적(품목별)'!A1063)</f>
        <v>2024.11</v>
      </c>
      <c r="B1059" s="17" t="n">
        <f aca="false">IFERROR(VALUE(LEFT($A1059,4)),"")</f>
        <v>2024</v>
      </c>
      <c r="C1059" s="17" t="n">
        <f aca="false">IFERROR(VALUE(RIGHT($A1059,2)),"")</f>
        <v>11</v>
      </c>
      <c r="D1059" s="17" t="n">
        <f aca="false">IFERROR(ROUNDUP($C1059/3,0),"")</f>
        <v>4</v>
      </c>
      <c r="E1059" s="11" t="str">
        <f aca="false">TRIM('수출입 실적(품목별)'!B1063)</f>
        <v>94</v>
      </c>
      <c r="F1059" s="11" t="str">
        <f aca="false">TRIM('수출입 실적(품목별)'!C1063)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059" s="18" t="n">
        <f aca="false">IFERROR(VALUE(SUBSTITUTE(TRIM('수출입 실적(품목별)'!D1063),",","")),"")</f>
        <v>16948</v>
      </c>
      <c r="H1059" s="19" t="n">
        <f aca="false">IFERROR(VALUE(SUBSTITUTE(TRIM('수출입 실적(품목별)'!E1063),",","")),"")</f>
        <v>125918</v>
      </c>
      <c r="I1059" s="18" t="n">
        <f aca="false">IFERROR(VALUE(SUBSTITUTE(TRIM('수출입 실적(품목별)'!F1063),",","")),"")</f>
        <v>76526.1</v>
      </c>
      <c r="J1059" s="19" t="n">
        <f aca="false">IFERROR(VALUE(SUBSTITUTE(TRIM('수출입 실적(품목별)'!G1063),",","")),"")</f>
        <v>333018</v>
      </c>
      <c r="K1059" s="19" t="n">
        <f aca="false">IFERROR(VALUE(SUBSTITUTE(TRIM('수출입 실적(품목별)'!H1063),",","")),"")</f>
        <v>-207100</v>
      </c>
    </row>
    <row r="1060" customFormat="false" ht="15" hidden="false" customHeight="true" outlineLevel="0" collapsed="false">
      <c r="A1060" s="11" t="str">
        <f aca="false">TRIM('수출입 실적(품목별)'!A1064)</f>
        <v>2024.11</v>
      </c>
      <c r="B1060" s="17" t="n">
        <f aca="false">IFERROR(VALUE(LEFT($A1060,4)),"")</f>
        <v>2024</v>
      </c>
      <c r="C1060" s="17" t="n">
        <f aca="false">IFERROR(VALUE(RIGHT($A1060,2)),"")</f>
        <v>11</v>
      </c>
      <c r="D1060" s="17" t="n">
        <f aca="false">IFERROR(ROUNDUP($C1060/3,0),"")</f>
        <v>4</v>
      </c>
      <c r="E1060" s="11" t="str">
        <f aca="false">TRIM('수출입 실적(품목별)'!B1064)</f>
        <v>95</v>
      </c>
      <c r="F1060" s="11" t="str">
        <f aca="false">TRIM('수출입 실적(품목별)'!C1064)</f>
        <v>완구ㆍ게임용구ㆍ운동용구와 이들의 부분품과 부속품</v>
      </c>
      <c r="G1060" s="18" t="n">
        <f aca="false">IFERROR(VALUE(SUBSTITUTE(TRIM('수출입 실적(품목별)'!D1064),",","")),"")</f>
        <v>2082.2</v>
      </c>
      <c r="H1060" s="19" t="n">
        <f aca="false">IFERROR(VALUE(SUBSTITUTE(TRIM('수출입 실적(품목별)'!E1064),",","")),"")</f>
        <v>48032</v>
      </c>
      <c r="I1060" s="18" t="n">
        <f aca="false">IFERROR(VALUE(SUBSTITUTE(TRIM('수출입 실적(품목별)'!F1064),",","")),"")</f>
        <v>15452.5</v>
      </c>
      <c r="J1060" s="19" t="n">
        <f aca="false">IFERROR(VALUE(SUBSTITUTE(TRIM('수출입 실적(품목별)'!G1064),",","")),"")</f>
        <v>196362</v>
      </c>
      <c r="K1060" s="19" t="n">
        <f aca="false">IFERROR(VALUE(SUBSTITUTE(TRIM('수출입 실적(품목별)'!H1064),",","")),"")</f>
        <v>-148329</v>
      </c>
    </row>
    <row r="1061" customFormat="false" ht="15" hidden="false" customHeight="true" outlineLevel="0" collapsed="false">
      <c r="A1061" s="11" t="str">
        <f aca="false">TRIM('수출입 실적(품목별)'!A1065)</f>
        <v>2024.11</v>
      </c>
      <c r="B1061" s="17" t="n">
        <f aca="false">IFERROR(VALUE(LEFT($A1061,4)),"")</f>
        <v>2024</v>
      </c>
      <c r="C1061" s="17" t="n">
        <f aca="false">IFERROR(VALUE(RIGHT($A1061,2)),"")</f>
        <v>11</v>
      </c>
      <c r="D1061" s="17" t="n">
        <f aca="false">IFERROR(ROUNDUP($C1061/3,0),"")</f>
        <v>4</v>
      </c>
      <c r="E1061" s="11" t="str">
        <f aca="false">TRIM('수출입 실적(품목별)'!B1065)</f>
        <v>96</v>
      </c>
      <c r="F1061" s="11" t="str">
        <f aca="false">TRIM('수출입 실적(품목별)'!C1065)</f>
        <v>잡품</v>
      </c>
      <c r="G1061" s="18" t="n">
        <f aca="false">IFERROR(VALUE(SUBSTITUTE(TRIM('수출입 실적(품목별)'!D1065),",","")),"")</f>
        <v>2125.8</v>
      </c>
      <c r="H1061" s="19" t="n">
        <f aca="false">IFERROR(VALUE(SUBSTITUTE(TRIM('수출입 실적(품목별)'!E1065),",","")),"")</f>
        <v>39394</v>
      </c>
      <c r="I1061" s="18" t="n">
        <f aca="false">IFERROR(VALUE(SUBSTITUTE(TRIM('수출입 실적(품목별)'!F1065),",","")),"")</f>
        <v>10090.5</v>
      </c>
      <c r="J1061" s="19" t="n">
        <f aca="false">IFERROR(VALUE(SUBSTITUTE(TRIM('수출입 실적(품목별)'!G1065),",","")),"")</f>
        <v>87701</v>
      </c>
      <c r="K1061" s="19" t="n">
        <f aca="false">IFERROR(VALUE(SUBSTITUTE(TRIM('수출입 실적(품목별)'!H1065),",","")),"")</f>
        <v>-48307</v>
      </c>
    </row>
    <row r="1062" customFormat="false" ht="15" hidden="false" customHeight="true" outlineLevel="0" collapsed="false">
      <c r="A1062" s="11" t="str">
        <f aca="false">TRIM('수출입 실적(품목별)'!A1066)</f>
        <v>2024.11</v>
      </c>
      <c r="B1062" s="17" t="n">
        <f aca="false">IFERROR(VALUE(LEFT($A1062,4)),"")</f>
        <v>2024</v>
      </c>
      <c r="C1062" s="17" t="n">
        <f aca="false">IFERROR(VALUE(RIGHT($A1062,2)),"")</f>
        <v>11</v>
      </c>
      <c r="D1062" s="17" t="n">
        <f aca="false">IFERROR(ROUNDUP($C1062/3,0),"")</f>
        <v>4</v>
      </c>
      <c r="E1062" s="11" t="str">
        <f aca="false">TRIM('수출입 실적(품목별)'!B1066)</f>
        <v>97</v>
      </c>
      <c r="F1062" s="11" t="str">
        <f aca="false">TRIM('수출입 실적(품목별)'!C1066)</f>
        <v>예술품ㆍ수집품ㆍ골동품</v>
      </c>
      <c r="G1062" s="18" t="n">
        <f aca="false">IFERROR(VALUE(SUBSTITUTE(TRIM('수출입 실적(품목별)'!D1066),",","")),"")</f>
        <v>14.2</v>
      </c>
      <c r="H1062" s="19" t="n">
        <f aca="false">IFERROR(VALUE(SUBSTITUTE(TRIM('수출입 실적(품목별)'!E1066),",","")),"")</f>
        <v>13667</v>
      </c>
      <c r="I1062" s="18" t="n">
        <f aca="false">IFERROR(VALUE(SUBSTITUTE(TRIM('수출입 실적(품목별)'!F1066),",","")),"")</f>
        <v>43.2</v>
      </c>
      <c r="J1062" s="19" t="n">
        <f aca="false">IFERROR(VALUE(SUBSTITUTE(TRIM('수출입 실적(품목별)'!G1066),",","")),"")</f>
        <v>30589</v>
      </c>
      <c r="K1062" s="19" t="n">
        <f aca="false">IFERROR(VALUE(SUBSTITUTE(TRIM('수출입 실적(품목별)'!H1066),",","")),"")</f>
        <v>-16922</v>
      </c>
    </row>
    <row r="1063" customFormat="false" ht="15" hidden="false" customHeight="true" outlineLevel="0" collapsed="false">
      <c r="A1063" s="11" t="str">
        <f aca="false">TRIM('수출입 실적(품목별)'!A1067)</f>
        <v>2024.12</v>
      </c>
      <c r="B1063" s="17" t="n">
        <f aca="false">IFERROR(VALUE(LEFT($A1063,4)),"")</f>
        <v>2024</v>
      </c>
      <c r="C1063" s="17" t="n">
        <f aca="false">IFERROR(VALUE(RIGHT($A1063,2)),"")</f>
        <v>12</v>
      </c>
      <c r="D1063" s="17" t="n">
        <f aca="false">IFERROR(ROUNDUP($C1063/3,0),"")</f>
        <v>4</v>
      </c>
      <c r="E1063" s="11" t="str">
        <f aca="false">TRIM('수출입 실적(품목별)'!B1067)</f>
        <v>01</v>
      </c>
      <c r="F1063" s="11" t="str">
        <f aca="false">TRIM('수출입 실적(품목별)'!C1067)</f>
        <v>살아 있는 동물</v>
      </c>
      <c r="G1063" s="18" t="n">
        <f aca="false">IFERROR(VALUE(SUBSTITUTE(TRIM('수출입 실적(품목별)'!D1067),",","")),"")</f>
        <v>1.4</v>
      </c>
      <c r="H1063" s="19" t="n">
        <f aca="false">IFERROR(VALUE(SUBSTITUTE(TRIM('수출입 실적(품목별)'!E1067),",","")),"")</f>
        <v>523</v>
      </c>
      <c r="I1063" s="18" t="n">
        <f aca="false">IFERROR(VALUE(SUBSTITUTE(TRIM('수출입 실적(품목별)'!F1067),",","")),"")</f>
        <v>102</v>
      </c>
      <c r="J1063" s="19" t="n">
        <f aca="false">IFERROR(VALUE(SUBSTITUTE(TRIM('수출입 실적(품목별)'!G1067),",","")),"")</f>
        <v>5666</v>
      </c>
      <c r="K1063" s="19" t="n">
        <f aca="false">IFERROR(VALUE(SUBSTITUTE(TRIM('수출입 실적(품목별)'!H1067),",","")),"")</f>
        <v>-5143</v>
      </c>
    </row>
    <row r="1064" customFormat="false" ht="15" hidden="false" customHeight="true" outlineLevel="0" collapsed="false">
      <c r="A1064" s="11" t="str">
        <f aca="false">TRIM('수출입 실적(품목별)'!A1068)</f>
        <v>2024.12</v>
      </c>
      <c r="B1064" s="17" t="n">
        <f aca="false">IFERROR(VALUE(LEFT($A1064,4)),"")</f>
        <v>2024</v>
      </c>
      <c r="C1064" s="17" t="n">
        <f aca="false">IFERROR(VALUE(RIGHT($A1064,2)),"")</f>
        <v>12</v>
      </c>
      <c r="D1064" s="17" t="n">
        <f aca="false">IFERROR(ROUNDUP($C1064/3,0),"")</f>
        <v>4</v>
      </c>
      <c r="E1064" s="11" t="str">
        <f aca="false">TRIM('수출입 실적(품목별)'!B1068)</f>
        <v>02</v>
      </c>
      <c r="F1064" s="11" t="str">
        <f aca="false">TRIM('수출입 실적(품목별)'!C1068)</f>
        <v>육과 식용 설육(屑肉)</v>
      </c>
      <c r="G1064" s="18" t="n">
        <f aca="false">IFERROR(VALUE(SUBSTITUTE(TRIM('수출입 실적(품목별)'!D1068),",","")),"")</f>
        <v>4707.3</v>
      </c>
      <c r="H1064" s="19" t="n">
        <f aca="false">IFERROR(VALUE(SUBSTITUTE(TRIM('수출입 실적(품목별)'!E1068),",","")),"")</f>
        <v>6482</v>
      </c>
      <c r="I1064" s="18" t="n">
        <f aca="false">IFERROR(VALUE(SUBSTITUTE(TRIM('수출입 실적(품목별)'!F1068),",","")),"")</f>
        <v>79910.3</v>
      </c>
      <c r="J1064" s="19" t="n">
        <f aca="false">IFERROR(VALUE(SUBSTITUTE(TRIM('수출입 실적(품목별)'!G1068),",","")),"")</f>
        <v>371229</v>
      </c>
      <c r="K1064" s="19" t="n">
        <f aca="false">IFERROR(VALUE(SUBSTITUTE(TRIM('수출입 실적(품목별)'!H1068),",","")),"")</f>
        <v>-364747</v>
      </c>
    </row>
    <row r="1065" customFormat="false" ht="15" hidden="false" customHeight="true" outlineLevel="0" collapsed="false">
      <c r="A1065" s="11" t="str">
        <f aca="false">TRIM('수출입 실적(품목별)'!A1069)</f>
        <v>2024.12</v>
      </c>
      <c r="B1065" s="17" t="n">
        <f aca="false">IFERROR(VALUE(LEFT($A1065,4)),"")</f>
        <v>2024</v>
      </c>
      <c r="C1065" s="17" t="n">
        <f aca="false">IFERROR(VALUE(RIGHT($A1065,2)),"")</f>
        <v>12</v>
      </c>
      <c r="D1065" s="17" t="n">
        <f aca="false">IFERROR(ROUNDUP($C1065/3,0),"")</f>
        <v>4</v>
      </c>
      <c r="E1065" s="11" t="str">
        <f aca="false">TRIM('수출입 실적(품목별)'!B1069)</f>
        <v>03</v>
      </c>
      <c r="F1065" s="11" t="str">
        <f aca="false">TRIM('수출입 실적(품목별)'!C1069)</f>
        <v>어류ㆍ갑각류ㆍ연체동물과 그 밖의 수생(水生) 무척추동물</v>
      </c>
      <c r="G1065" s="18" t="n">
        <f aca="false">IFERROR(VALUE(SUBSTITUTE(TRIM('수출입 실적(품목별)'!D1069),",","")),"")</f>
        <v>45932.5</v>
      </c>
      <c r="H1065" s="19" t="n">
        <f aca="false">IFERROR(VALUE(SUBSTITUTE(TRIM('수출입 실적(품목별)'!E1069),",","")),"")</f>
        <v>143073</v>
      </c>
      <c r="I1065" s="18" t="n">
        <f aca="false">IFERROR(VALUE(SUBSTITUTE(TRIM('수출입 실적(품목별)'!F1069),",","")),"")</f>
        <v>107915</v>
      </c>
      <c r="J1065" s="19" t="n">
        <f aca="false">IFERROR(VALUE(SUBSTITUTE(TRIM('수출입 실적(품목별)'!G1069),",","")),"")</f>
        <v>507303</v>
      </c>
      <c r="K1065" s="19" t="n">
        <f aca="false">IFERROR(VALUE(SUBSTITUTE(TRIM('수출입 실적(품목별)'!H1069),",","")),"")</f>
        <v>-364230</v>
      </c>
    </row>
    <row r="1066" customFormat="false" ht="15" hidden="false" customHeight="true" outlineLevel="0" collapsed="false">
      <c r="A1066" s="11" t="str">
        <f aca="false">TRIM('수출입 실적(품목별)'!A1070)</f>
        <v>2024.12</v>
      </c>
      <c r="B1066" s="17" t="n">
        <f aca="false">IFERROR(VALUE(LEFT($A1066,4)),"")</f>
        <v>2024</v>
      </c>
      <c r="C1066" s="17" t="n">
        <f aca="false">IFERROR(VALUE(RIGHT($A1066,2)),"")</f>
        <v>12</v>
      </c>
      <c r="D1066" s="17" t="n">
        <f aca="false">IFERROR(ROUNDUP($C1066/3,0),"")</f>
        <v>4</v>
      </c>
      <c r="E1066" s="11" t="str">
        <f aca="false">TRIM('수출입 실적(품목별)'!B1070)</f>
        <v>04</v>
      </c>
      <c r="F1066" s="11" t="str">
        <f aca="false">TRIM('수출입 실적(품목별)'!C1070)</f>
        <v>낙농품, 새의 알, 천연꿀, 다른 류로 분류되지 않은 식용인 동물성 생산품</v>
      </c>
      <c r="G1066" s="18" t="n">
        <f aca="false">IFERROR(VALUE(SUBSTITUTE(TRIM('수출입 실적(품목별)'!D1070),",","")),"")</f>
        <v>2634.8</v>
      </c>
      <c r="H1066" s="19" t="n">
        <f aca="false">IFERROR(VALUE(SUBSTITUTE(TRIM('수출입 실적(품목별)'!E1070),",","")),"")</f>
        <v>6654</v>
      </c>
      <c r="I1066" s="18" t="n">
        <f aca="false">IFERROR(VALUE(SUBSTITUTE(TRIM('수출입 실적(품목별)'!F1070),",","")),"")</f>
        <v>27244.9</v>
      </c>
      <c r="J1066" s="19" t="n">
        <f aca="false">IFERROR(VALUE(SUBSTITUTE(TRIM('수출입 실적(품목별)'!G1070),",","")),"")</f>
        <v>118240</v>
      </c>
      <c r="K1066" s="19" t="n">
        <f aca="false">IFERROR(VALUE(SUBSTITUTE(TRIM('수출입 실적(품목별)'!H1070),",","")),"")</f>
        <v>-111585</v>
      </c>
    </row>
    <row r="1067" customFormat="false" ht="15" hidden="false" customHeight="true" outlineLevel="0" collapsed="false">
      <c r="A1067" s="11" t="str">
        <f aca="false">TRIM('수출입 실적(품목별)'!A1071)</f>
        <v>2024.12</v>
      </c>
      <c r="B1067" s="17" t="n">
        <f aca="false">IFERROR(VALUE(LEFT($A1067,4)),"")</f>
        <v>2024</v>
      </c>
      <c r="C1067" s="17" t="n">
        <f aca="false">IFERROR(VALUE(RIGHT($A1067,2)),"")</f>
        <v>12</v>
      </c>
      <c r="D1067" s="17" t="n">
        <f aca="false">IFERROR(ROUNDUP($C1067/3,0),"")</f>
        <v>4</v>
      </c>
      <c r="E1067" s="11" t="str">
        <f aca="false">TRIM('수출입 실적(품목별)'!B1071)</f>
        <v>05</v>
      </c>
      <c r="F1067" s="11" t="str">
        <f aca="false">TRIM('수출입 실적(품목별)'!C1071)</f>
        <v>다른 류로 분류되지 않은 동물성 생산품</v>
      </c>
      <c r="G1067" s="18" t="n">
        <f aca="false">IFERROR(VALUE(SUBSTITUTE(TRIM('수출입 실적(품목별)'!D1071),",","")),"")</f>
        <v>1299.2</v>
      </c>
      <c r="H1067" s="19" t="n">
        <f aca="false">IFERROR(VALUE(SUBSTITUTE(TRIM('수출입 실적(품목별)'!E1071),",","")),"")</f>
        <v>4054</v>
      </c>
      <c r="I1067" s="18" t="n">
        <f aca="false">IFERROR(VALUE(SUBSTITUTE(TRIM('수출입 실적(품목별)'!F1071),",","")),"")</f>
        <v>3493.1</v>
      </c>
      <c r="J1067" s="19" t="n">
        <f aca="false">IFERROR(VALUE(SUBSTITUTE(TRIM('수출입 실적(품목별)'!G1071),",","")),"")</f>
        <v>15733</v>
      </c>
      <c r="K1067" s="19" t="n">
        <f aca="false">IFERROR(VALUE(SUBSTITUTE(TRIM('수출입 실적(품목별)'!H1071),",","")),"")</f>
        <v>-11679</v>
      </c>
    </row>
    <row r="1068" customFormat="false" ht="15" hidden="false" customHeight="true" outlineLevel="0" collapsed="false">
      <c r="A1068" s="11" t="str">
        <f aca="false">TRIM('수출입 실적(품목별)'!A1072)</f>
        <v>2024.12</v>
      </c>
      <c r="B1068" s="17" t="n">
        <f aca="false">IFERROR(VALUE(LEFT($A1068,4)),"")</f>
        <v>2024</v>
      </c>
      <c r="C1068" s="17" t="n">
        <f aca="false">IFERROR(VALUE(RIGHT($A1068,2)),"")</f>
        <v>12</v>
      </c>
      <c r="D1068" s="17" t="n">
        <f aca="false">IFERROR(ROUNDUP($C1068/3,0),"")</f>
        <v>4</v>
      </c>
      <c r="E1068" s="11" t="str">
        <f aca="false">TRIM('수출입 실적(품목별)'!B1072)</f>
        <v>06</v>
      </c>
      <c r="F1068" s="11" t="str">
        <f aca="false">TRIM('수출입 실적(품목별)'!C1072)</f>
        <v>살아 있는 수목과 그 밖의 식물, 인경(鱗莖)ㆍ뿌리와 이와 유사한 물품, 절화(切花)와 장식용 잎</v>
      </c>
      <c r="G1068" s="18" t="n">
        <f aca="false">IFERROR(VALUE(SUBSTITUTE(TRIM('수출입 실적(품목별)'!D1072),",","")),"")</f>
        <v>181.9</v>
      </c>
      <c r="H1068" s="19" t="n">
        <f aca="false">IFERROR(VALUE(SUBSTITUTE(TRIM('수출입 실적(품목별)'!E1072),",","")),"")</f>
        <v>995</v>
      </c>
      <c r="I1068" s="18" t="n">
        <f aca="false">IFERROR(VALUE(SUBSTITUTE(TRIM('수출입 실적(품목별)'!F1072),",","")),"")</f>
        <v>11764</v>
      </c>
      <c r="J1068" s="19" t="n">
        <f aca="false">IFERROR(VALUE(SUBSTITUTE(TRIM('수출입 실적(품목별)'!G1072),",","")),"")</f>
        <v>17837</v>
      </c>
      <c r="K1068" s="19" t="n">
        <f aca="false">IFERROR(VALUE(SUBSTITUTE(TRIM('수출입 실적(품목별)'!H1072),",","")),"")</f>
        <v>-16843</v>
      </c>
    </row>
    <row r="1069" customFormat="false" ht="15" hidden="false" customHeight="true" outlineLevel="0" collapsed="false">
      <c r="A1069" s="11" t="str">
        <f aca="false">TRIM('수출입 실적(품목별)'!A1073)</f>
        <v>2024.12</v>
      </c>
      <c r="B1069" s="17" t="n">
        <f aca="false">IFERROR(VALUE(LEFT($A1069,4)),"")</f>
        <v>2024</v>
      </c>
      <c r="C1069" s="17" t="n">
        <f aca="false">IFERROR(VALUE(RIGHT($A1069,2)),"")</f>
        <v>12</v>
      </c>
      <c r="D1069" s="17" t="n">
        <f aca="false">IFERROR(ROUNDUP($C1069/3,0),"")</f>
        <v>4</v>
      </c>
      <c r="E1069" s="11" t="str">
        <f aca="false">TRIM('수출입 실적(품목별)'!B1073)</f>
        <v>07</v>
      </c>
      <c r="F1069" s="11" t="str">
        <f aca="false">TRIM('수출입 실적(품목별)'!C1073)</f>
        <v>식용의 채소ㆍ뿌리ㆍ괴경(塊莖)</v>
      </c>
      <c r="G1069" s="18" t="n">
        <f aca="false">IFERROR(VALUE(SUBSTITUTE(TRIM('수출입 실적(품목별)'!D1073),",","")),"")</f>
        <v>6436.2</v>
      </c>
      <c r="H1069" s="19" t="n">
        <f aca="false">IFERROR(VALUE(SUBSTITUTE(TRIM('수출입 실적(품목별)'!E1073),",","")),"")</f>
        <v>12484</v>
      </c>
      <c r="I1069" s="18" t="n">
        <f aca="false">IFERROR(VALUE(SUBSTITUTE(TRIM('수출입 실적(품목별)'!F1073),",","")),"")</f>
        <v>108839.2</v>
      </c>
      <c r="J1069" s="19" t="n">
        <f aca="false">IFERROR(VALUE(SUBSTITUTE(TRIM('수출입 실적(품목별)'!G1073),",","")),"")</f>
        <v>86828</v>
      </c>
      <c r="K1069" s="19" t="n">
        <f aca="false">IFERROR(VALUE(SUBSTITUTE(TRIM('수출입 실적(품목별)'!H1073),",","")),"")</f>
        <v>-74344</v>
      </c>
    </row>
    <row r="1070" customFormat="false" ht="15" hidden="false" customHeight="true" outlineLevel="0" collapsed="false">
      <c r="A1070" s="11" t="str">
        <f aca="false">TRIM('수출입 실적(품목별)'!A1074)</f>
        <v>2024.12</v>
      </c>
      <c r="B1070" s="17" t="n">
        <f aca="false">IFERROR(VALUE(LEFT($A1070,4)),"")</f>
        <v>2024</v>
      </c>
      <c r="C1070" s="17" t="n">
        <f aca="false">IFERROR(VALUE(RIGHT($A1070,2)),"")</f>
        <v>12</v>
      </c>
      <c r="D1070" s="17" t="n">
        <f aca="false">IFERROR(ROUNDUP($C1070/3,0),"")</f>
        <v>4</v>
      </c>
      <c r="E1070" s="11" t="str">
        <f aca="false">TRIM('수출입 실적(품목별)'!B1074)</f>
        <v>08</v>
      </c>
      <c r="F1070" s="11" t="str">
        <f aca="false">TRIM('수출입 실적(품목별)'!C1074)</f>
        <v>식용의 과실과 견과류, 감귤류ㆍ멜론의 껍질</v>
      </c>
      <c r="G1070" s="18" t="n">
        <f aca="false">IFERROR(VALUE(SUBSTITUTE(TRIM('수출입 실적(품목별)'!D1074),",","")),"")</f>
        <v>6265.7</v>
      </c>
      <c r="H1070" s="19" t="n">
        <f aca="false">IFERROR(VALUE(SUBSTITUTE(TRIM('수출입 실적(품목별)'!E1074),",","")),"")</f>
        <v>40052</v>
      </c>
      <c r="I1070" s="18" t="n">
        <f aca="false">IFERROR(VALUE(SUBSTITUTE(TRIM('수출입 실적(품목별)'!F1074),",","")),"")</f>
        <v>62327</v>
      </c>
      <c r="J1070" s="19" t="n">
        <f aca="false">IFERROR(VALUE(SUBSTITUTE(TRIM('수출입 실적(품목별)'!G1074),",","")),"")</f>
        <v>130791</v>
      </c>
      <c r="K1070" s="19" t="n">
        <f aca="false">IFERROR(VALUE(SUBSTITUTE(TRIM('수출입 실적(품목별)'!H1074),",","")),"")</f>
        <v>-90739</v>
      </c>
    </row>
    <row r="1071" customFormat="false" ht="15" hidden="false" customHeight="true" outlineLevel="0" collapsed="false">
      <c r="A1071" s="11" t="str">
        <f aca="false">TRIM('수출입 실적(품목별)'!A1075)</f>
        <v>2024.12</v>
      </c>
      <c r="B1071" s="17" t="n">
        <f aca="false">IFERROR(VALUE(LEFT($A1071,4)),"")</f>
        <v>2024</v>
      </c>
      <c r="C1071" s="17" t="n">
        <f aca="false">IFERROR(VALUE(RIGHT($A1071,2)),"")</f>
        <v>12</v>
      </c>
      <c r="D1071" s="17" t="n">
        <f aca="false">IFERROR(ROUNDUP($C1071/3,0),"")</f>
        <v>4</v>
      </c>
      <c r="E1071" s="11" t="str">
        <f aca="false">TRIM('수출입 실적(품목별)'!B1075)</f>
        <v>09</v>
      </c>
      <c r="F1071" s="11" t="str">
        <f aca="false">TRIM('수출입 실적(품목별)'!C1075)</f>
        <v>커피ㆍ차ㆍ마테(maté)ㆍ향신료</v>
      </c>
      <c r="G1071" s="18" t="n">
        <f aca="false">IFERROR(VALUE(SUBSTITUTE(TRIM('수출입 실적(품목별)'!D1075),",","")),"")</f>
        <v>592.5</v>
      </c>
      <c r="H1071" s="19" t="n">
        <f aca="false">IFERROR(VALUE(SUBSTITUTE(TRIM('수출입 실적(품목별)'!E1075),",","")),"")</f>
        <v>4472</v>
      </c>
      <c r="I1071" s="18" t="n">
        <f aca="false">IFERROR(VALUE(SUBSTITUTE(TRIM('수출입 실적(품목별)'!F1075),",","")),"")</f>
        <v>16229.2</v>
      </c>
      <c r="J1071" s="19" t="n">
        <f aca="false">IFERROR(VALUE(SUBSTITUTE(TRIM('수출입 실적(품목별)'!G1075),",","")),"")</f>
        <v>112476</v>
      </c>
      <c r="K1071" s="19" t="n">
        <f aca="false">IFERROR(VALUE(SUBSTITUTE(TRIM('수출입 실적(품목별)'!H1075),",","")),"")</f>
        <v>-108004</v>
      </c>
    </row>
    <row r="1072" customFormat="false" ht="15" hidden="false" customHeight="true" outlineLevel="0" collapsed="false">
      <c r="A1072" s="11" t="str">
        <f aca="false">TRIM('수출입 실적(품목별)'!A1076)</f>
        <v>2024.12</v>
      </c>
      <c r="B1072" s="17" t="n">
        <f aca="false">IFERROR(VALUE(LEFT($A1072,4)),"")</f>
        <v>2024</v>
      </c>
      <c r="C1072" s="17" t="n">
        <f aca="false">IFERROR(VALUE(RIGHT($A1072,2)),"")</f>
        <v>12</v>
      </c>
      <c r="D1072" s="17" t="n">
        <f aca="false">IFERROR(ROUNDUP($C1072/3,0),"")</f>
        <v>4</v>
      </c>
      <c r="E1072" s="11" t="str">
        <f aca="false">TRIM('수출입 실적(품목별)'!B1076)</f>
        <v>10</v>
      </c>
      <c r="F1072" s="11" t="str">
        <f aca="false">TRIM('수출입 실적(품목별)'!C1076)</f>
        <v>곡물</v>
      </c>
      <c r="G1072" s="18" t="n">
        <f aca="false">IFERROR(VALUE(SUBSTITUTE(TRIM('수출입 실적(품목별)'!D1076),",","")),"")</f>
        <v>8700.4</v>
      </c>
      <c r="H1072" s="19" t="n">
        <f aca="false">IFERROR(VALUE(SUBSTITUTE(TRIM('수출입 실적(품목별)'!E1076),",","")),"")</f>
        <v>13100</v>
      </c>
      <c r="I1072" s="18" t="n">
        <f aca="false">IFERROR(VALUE(SUBSTITUTE(TRIM('수출입 실적(품목별)'!F1076),",","")),"")</f>
        <v>1451534.8</v>
      </c>
      <c r="J1072" s="19" t="n">
        <f aca="false">IFERROR(VALUE(SUBSTITUTE(TRIM('수출입 실적(품목별)'!G1076),",","")),"")</f>
        <v>388990</v>
      </c>
      <c r="K1072" s="19" t="n">
        <f aca="false">IFERROR(VALUE(SUBSTITUTE(TRIM('수출입 실적(품목별)'!H1076),",","")),"")</f>
        <v>-375890</v>
      </c>
    </row>
    <row r="1073" customFormat="false" ht="15" hidden="false" customHeight="true" outlineLevel="0" collapsed="false">
      <c r="A1073" s="11" t="str">
        <f aca="false">TRIM('수출입 실적(품목별)'!A1077)</f>
        <v>2024.12</v>
      </c>
      <c r="B1073" s="17" t="n">
        <f aca="false">IFERROR(VALUE(LEFT($A1073,4)),"")</f>
        <v>2024</v>
      </c>
      <c r="C1073" s="17" t="n">
        <f aca="false">IFERROR(VALUE(RIGHT($A1073,2)),"")</f>
        <v>12</v>
      </c>
      <c r="D1073" s="17" t="n">
        <f aca="false">IFERROR(ROUNDUP($C1073/3,0),"")</f>
        <v>4</v>
      </c>
      <c r="E1073" s="11" t="str">
        <f aca="false">TRIM('수출입 실적(품목별)'!B1077)</f>
        <v>11</v>
      </c>
      <c r="F1073" s="11" t="str">
        <f aca="false">TRIM('수출입 실적(품목별)'!C1077)</f>
        <v>제분공업의 생산품과 맥아, 전분, 이눌린(inulin), 밀의 글루텐(gluten)</v>
      </c>
      <c r="G1073" s="18" t="n">
        <f aca="false">IFERROR(VALUE(SUBSTITUTE(TRIM('수출입 실적(품목별)'!D1077),",","")),"")</f>
        <v>5980.1</v>
      </c>
      <c r="H1073" s="19" t="n">
        <f aca="false">IFERROR(VALUE(SUBSTITUTE(TRIM('수출입 실적(품목별)'!E1077),",","")),"")</f>
        <v>4123</v>
      </c>
      <c r="I1073" s="18" t="n">
        <f aca="false">IFERROR(VALUE(SUBSTITUTE(TRIM('수출입 실적(품목별)'!F1077),",","")),"")</f>
        <v>36940.1</v>
      </c>
      <c r="J1073" s="19" t="n">
        <f aca="false">IFERROR(VALUE(SUBSTITUTE(TRIM('수출입 실적(품목별)'!G1077),",","")),"")</f>
        <v>30652</v>
      </c>
      <c r="K1073" s="19" t="n">
        <f aca="false">IFERROR(VALUE(SUBSTITUTE(TRIM('수출입 실적(품목별)'!H1077),",","")),"")</f>
        <v>-26529</v>
      </c>
    </row>
    <row r="1074" customFormat="false" ht="15" hidden="false" customHeight="true" outlineLevel="0" collapsed="false">
      <c r="A1074" s="11" t="str">
        <f aca="false">TRIM('수출입 실적(품목별)'!A1078)</f>
        <v>2024.12</v>
      </c>
      <c r="B1074" s="17" t="n">
        <f aca="false">IFERROR(VALUE(LEFT($A1074,4)),"")</f>
        <v>2024</v>
      </c>
      <c r="C1074" s="17" t="n">
        <f aca="false">IFERROR(VALUE(RIGHT($A1074,2)),"")</f>
        <v>12</v>
      </c>
      <c r="D1074" s="17" t="n">
        <f aca="false">IFERROR(ROUNDUP($C1074/3,0),"")</f>
        <v>4</v>
      </c>
      <c r="E1074" s="11" t="str">
        <f aca="false">TRIM('수출입 실적(품목별)'!B1078)</f>
        <v>12</v>
      </c>
      <c r="F1074" s="11" t="str">
        <f aca="false">TRIM('수출입 실적(품목별)'!C1078)</f>
        <v>채유(採油)에 적합한 종자와 과실, 각종 종자와 과실, 공업용ㆍ의약용 식물, 짚과 사료용 식물</v>
      </c>
      <c r="G1074" s="18" t="n">
        <f aca="false">IFERROR(VALUE(SUBSTITUTE(TRIM('수출입 실적(품목별)'!D1078),",","")),"")</f>
        <v>2377.9</v>
      </c>
      <c r="H1074" s="19" t="n">
        <f aca="false">IFERROR(VALUE(SUBSTITUTE(TRIM('수출입 실적(품목별)'!E1078),",","")),"")</f>
        <v>55279</v>
      </c>
      <c r="I1074" s="18" t="n">
        <f aca="false">IFERROR(VALUE(SUBSTITUTE(TRIM('수출입 실적(품목별)'!F1078),",","")),"")</f>
        <v>213249</v>
      </c>
      <c r="J1074" s="19" t="n">
        <f aca="false">IFERROR(VALUE(SUBSTITUTE(TRIM('수출입 실적(품목별)'!G1078),",","")),"")</f>
        <v>132826</v>
      </c>
      <c r="K1074" s="19" t="n">
        <f aca="false">IFERROR(VALUE(SUBSTITUTE(TRIM('수출입 실적(품목별)'!H1078),",","")),"")</f>
        <v>-77547</v>
      </c>
    </row>
    <row r="1075" customFormat="false" ht="15" hidden="false" customHeight="true" outlineLevel="0" collapsed="false">
      <c r="A1075" s="11" t="str">
        <f aca="false">TRIM('수출입 실적(품목별)'!A1079)</f>
        <v>2024.12</v>
      </c>
      <c r="B1075" s="17" t="n">
        <f aca="false">IFERROR(VALUE(LEFT($A1075,4)),"")</f>
        <v>2024</v>
      </c>
      <c r="C1075" s="17" t="n">
        <f aca="false">IFERROR(VALUE(RIGHT($A1075,2)),"")</f>
        <v>12</v>
      </c>
      <c r="D1075" s="17" t="n">
        <f aca="false">IFERROR(ROUNDUP($C1075/3,0),"")</f>
        <v>4</v>
      </c>
      <c r="E1075" s="11" t="str">
        <f aca="false">TRIM('수출입 실적(품목별)'!B1079)</f>
        <v>13</v>
      </c>
      <c r="F1075" s="11" t="str">
        <f aca="false">TRIM('수출입 실적(품목별)'!C1079)</f>
        <v>락(lac), 검ㆍ수지ㆍ그 밖의 식물성 수액과 추출물(extract)</v>
      </c>
      <c r="G1075" s="18" t="n">
        <f aca="false">IFERROR(VALUE(SUBSTITUTE(TRIM('수출입 실적(품목별)'!D1079),",","")),"")</f>
        <v>358</v>
      </c>
      <c r="H1075" s="19" t="n">
        <f aca="false">IFERROR(VALUE(SUBSTITUTE(TRIM('수출입 실적(품목별)'!E1079),",","")),"")</f>
        <v>7306</v>
      </c>
      <c r="I1075" s="18" t="n">
        <f aca="false">IFERROR(VALUE(SUBSTITUTE(TRIM('수출입 실적(품목별)'!F1079),",","")),"")</f>
        <v>9950.5</v>
      </c>
      <c r="J1075" s="19" t="n">
        <f aca="false">IFERROR(VALUE(SUBSTITUTE(TRIM('수출입 실적(품목별)'!G1079),",","")),"")</f>
        <v>26185</v>
      </c>
      <c r="K1075" s="19" t="n">
        <f aca="false">IFERROR(VALUE(SUBSTITUTE(TRIM('수출입 실적(품목별)'!H1079),",","")),"")</f>
        <v>-18880</v>
      </c>
    </row>
    <row r="1076" customFormat="false" ht="15" hidden="false" customHeight="true" outlineLevel="0" collapsed="false">
      <c r="A1076" s="11" t="str">
        <f aca="false">TRIM('수출입 실적(품목별)'!A1080)</f>
        <v>2024.12</v>
      </c>
      <c r="B1076" s="17" t="n">
        <f aca="false">IFERROR(VALUE(LEFT($A1076,4)),"")</f>
        <v>2024</v>
      </c>
      <c r="C1076" s="17" t="n">
        <f aca="false">IFERROR(VALUE(RIGHT($A1076,2)),"")</f>
        <v>12</v>
      </c>
      <c r="D1076" s="17" t="n">
        <f aca="false">IFERROR(ROUNDUP($C1076/3,0),"")</f>
        <v>4</v>
      </c>
      <c r="E1076" s="11" t="str">
        <f aca="false">TRIM('수출입 실적(품목별)'!B1080)</f>
        <v>14</v>
      </c>
      <c r="F1076" s="11" t="str">
        <f aca="false">TRIM('수출입 실적(품목별)'!C1080)</f>
        <v>식물성 편조물(編組物)용 재료와 다른 류로 분류되지 않은 식물성 생산품</v>
      </c>
      <c r="G1076" s="18" t="n">
        <f aca="false">IFERROR(VALUE(SUBSTITUTE(TRIM('수출입 실적(품목별)'!D1080),",","")),"")</f>
        <v>13.4</v>
      </c>
      <c r="H1076" s="19" t="n">
        <f aca="false">IFERROR(VALUE(SUBSTITUTE(TRIM('수출입 실적(품목별)'!E1080),",","")),"")</f>
        <v>39</v>
      </c>
      <c r="I1076" s="18" t="n">
        <f aca="false">IFERROR(VALUE(SUBSTITUTE(TRIM('수출입 실적(품목별)'!F1080),",","")),"")</f>
        <v>9673.7</v>
      </c>
      <c r="J1076" s="19" t="n">
        <f aca="false">IFERROR(VALUE(SUBSTITUTE(TRIM('수출입 실적(품목별)'!G1080),",","")),"")</f>
        <v>2866</v>
      </c>
      <c r="K1076" s="19" t="n">
        <f aca="false">IFERROR(VALUE(SUBSTITUTE(TRIM('수출입 실적(품목별)'!H1080),",","")),"")</f>
        <v>-2827</v>
      </c>
    </row>
    <row r="1077" customFormat="false" ht="15" hidden="false" customHeight="true" outlineLevel="0" collapsed="false">
      <c r="A1077" s="11" t="str">
        <f aca="false">TRIM('수출입 실적(품목별)'!A1081)</f>
        <v>2024.12</v>
      </c>
      <c r="B1077" s="17" t="n">
        <f aca="false">IFERROR(VALUE(LEFT($A1077,4)),"")</f>
        <v>2024</v>
      </c>
      <c r="C1077" s="17" t="n">
        <f aca="false">IFERROR(VALUE(RIGHT($A1077,2)),"")</f>
        <v>12</v>
      </c>
      <c r="D1077" s="17" t="n">
        <f aca="false">IFERROR(ROUNDUP($C1077/3,0),"")</f>
        <v>4</v>
      </c>
      <c r="E1077" s="11" t="str">
        <f aca="false">TRIM('수출입 실적(품목별)'!B1081)</f>
        <v>15</v>
      </c>
      <c r="F1077" s="11" t="str">
        <f aca="false">TRIM('수출입 실적(품목별)'!C1081)</f>
        <v>동물성ㆍ식물성ㆍ미생물성 지방과 기름 및이들의 분해생산물, 조제한 식용 지방과 동물성ㆍ식물성 왁스</v>
      </c>
      <c r="G1077" s="18" t="n">
        <f aca="false">IFERROR(VALUE(SUBSTITUTE(TRIM('수출입 실적(품목별)'!D1081),",","")),"")</f>
        <v>26960.3</v>
      </c>
      <c r="H1077" s="19" t="n">
        <f aca="false">IFERROR(VALUE(SUBSTITUTE(TRIM('수출입 실적(품목별)'!E1081),",","")),"")</f>
        <v>30530</v>
      </c>
      <c r="I1077" s="18" t="n">
        <f aca="false">IFERROR(VALUE(SUBSTITUTE(TRIM('수출입 실적(품목별)'!F1081),",","")),"")</f>
        <v>126380.8</v>
      </c>
      <c r="J1077" s="19" t="n">
        <f aca="false">IFERROR(VALUE(SUBSTITUTE(TRIM('수출입 실적(품목별)'!G1081),",","")),"")</f>
        <v>178094</v>
      </c>
      <c r="K1077" s="19" t="n">
        <f aca="false">IFERROR(VALUE(SUBSTITUTE(TRIM('수출입 실적(품목별)'!H1081),",","")),"")</f>
        <v>-147564</v>
      </c>
    </row>
    <row r="1078" customFormat="false" ht="15" hidden="false" customHeight="true" outlineLevel="0" collapsed="false">
      <c r="A1078" s="11" t="str">
        <f aca="false">TRIM('수출입 실적(품목별)'!A1082)</f>
        <v>2024.12</v>
      </c>
      <c r="B1078" s="17" t="n">
        <f aca="false">IFERROR(VALUE(LEFT($A1078,4)),"")</f>
        <v>2024</v>
      </c>
      <c r="C1078" s="17" t="n">
        <f aca="false">IFERROR(VALUE(RIGHT($A1078,2)),"")</f>
        <v>12</v>
      </c>
      <c r="D1078" s="17" t="n">
        <f aca="false">IFERROR(ROUNDUP($C1078/3,0),"")</f>
        <v>4</v>
      </c>
      <c r="E1078" s="11" t="str">
        <f aca="false">TRIM('수출입 실적(품목별)'!B1082)</f>
        <v>16</v>
      </c>
      <c r="F1078" s="11" t="str">
        <f aca="false">TRIM('수출입 실적(품목별)'!C1082)</f>
        <v>육류ㆍ어류ㆍ갑각류ㆍ연체동물이나 그 밖의 수생(水生) 무척추동물 또는 곤충의 조제품</v>
      </c>
      <c r="G1078" s="18" t="n">
        <f aca="false">IFERROR(VALUE(SUBSTITUTE(TRIM('수출입 실적(품목별)'!D1082),",","")),"")</f>
        <v>4421.1</v>
      </c>
      <c r="H1078" s="19" t="n">
        <f aca="false">IFERROR(VALUE(SUBSTITUTE(TRIM('수출입 실적(품목별)'!E1082),",","")),"")</f>
        <v>27344</v>
      </c>
      <c r="I1078" s="18" t="n">
        <f aca="false">IFERROR(VALUE(SUBSTITUTE(TRIM('수출입 실적(품목별)'!F1082),",","")),"")</f>
        <v>15969.4</v>
      </c>
      <c r="J1078" s="19" t="n">
        <f aca="false">IFERROR(VALUE(SUBSTITUTE(TRIM('수출입 실적(품목별)'!G1082),",","")),"")</f>
        <v>87918</v>
      </c>
      <c r="K1078" s="19" t="n">
        <f aca="false">IFERROR(VALUE(SUBSTITUTE(TRIM('수출입 실적(품목별)'!H1082),",","")),"")</f>
        <v>-60574</v>
      </c>
    </row>
    <row r="1079" customFormat="false" ht="15" hidden="false" customHeight="true" outlineLevel="0" collapsed="false">
      <c r="A1079" s="11" t="str">
        <f aca="false">TRIM('수출입 실적(품목별)'!A1083)</f>
        <v>2024.12</v>
      </c>
      <c r="B1079" s="17" t="n">
        <f aca="false">IFERROR(VALUE(LEFT($A1079,4)),"")</f>
        <v>2024</v>
      </c>
      <c r="C1079" s="17" t="n">
        <f aca="false">IFERROR(VALUE(RIGHT($A1079,2)),"")</f>
        <v>12</v>
      </c>
      <c r="D1079" s="17" t="n">
        <f aca="false">IFERROR(ROUNDUP($C1079/3,0),"")</f>
        <v>4</v>
      </c>
      <c r="E1079" s="11" t="str">
        <f aca="false">TRIM('수출입 실적(품목별)'!B1083)</f>
        <v>17</v>
      </c>
      <c r="F1079" s="11" t="str">
        <f aca="false">TRIM('수출입 실적(품목별)'!C1083)</f>
        <v>당류(糖類)와 설탕과자</v>
      </c>
      <c r="G1079" s="18" t="n">
        <f aca="false">IFERROR(VALUE(SUBSTITUTE(TRIM('수출입 실적(품목별)'!D1083),",","")),"")</f>
        <v>35489.1</v>
      </c>
      <c r="H1079" s="19" t="n">
        <f aca="false">IFERROR(VALUE(SUBSTITUTE(TRIM('수출입 실적(품목별)'!E1083),",","")),"")</f>
        <v>31956</v>
      </c>
      <c r="I1079" s="18" t="n">
        <f aca="false">IFERROR(VALUE(SUBSTITUTE(TRIM('수출입 실적(품목별)'!F1083),",","")),"")</f>
        <v>255866.8</v>
      </c>
      <c r="J1079" s="19" t="n">
        <f aca="false">IFERROR(VALUE(SUBSTITUTE(TRIM('수출입 실적(품목별)'!G1083),",","")),"")</f>
        <v>163564</v>
      </c>
      <c r="K1079" s="19" t="n">
        <f aca="false">IFERROR(VALUE(SUBSTITUTE(TRIM('수출입 실적(품목별)'!H1083),",","")),"")</f>
        <v>-131608</v>
      </c>
    </row>
    <row r="1080" customFormat="false" ht="15" hidden="false" customHeight="true" outlineLevel="0" collapsed="false">
      <c r="A1080" s="11" t="str">
        <f aca="false">TRIM('수출입 실적(품목별)'!A1084)</f>
        <v>2024.12</v>
      </c>
      <c r="B1080" s="17" t="n">
        <f aca="false">IFERROR(VALUE(LEFT($A1080,4)),"")</f>
        <v>2024</v>
      </c>
      <c r="C1080" s="17" t="n">
        <f aca="false">IFERROR(VALUE(RIGHT($A1080,2)),"")</f>
        <v>12</v>
      </c>
      <c r="D1080" s="17" t="n">
        <f aca="false">IFERROR(ROUNDUP($C1080/3,0),"")</f>
        <v>4</v>
      </c>
      <c r="E1080" s="11" t="str">
        <f aca="false">TRIM('수출입 실적(품목별)'!B1084)</f>
        <v>18</v>
      </c>
      <c r="F1080" s="11" t="str">
        <f aca="false">TRIM('수출입 실적(품목별)'!C1084)</f>
        <v>코코아와 그 조제품</v>
      </c>
      <c r="G1080" s="18" t="n">
        <f aca="false">IFERROR(VALUE(SUBSTITUTE(TRIM('수출입 실적(품목별)'!D1084),",","")),"")</f>
        <v>2720.7</v>
      </c>
      <c r="H1080" s="19" t="n">
        <f aca="false">IFERROR(VALUE(SUBSTITUTE(TRIM('수출입 실적(품목별)'!E1084),",","")),"")</f>
        <v>9930</v>
      </c>
      <c r="I1080" s="18" t="n">
        <f aca="false">IFERROR(VALUE(SUBSTITUTE(TRIM('수출입 실적(품목별)'!F1084),",","")),"")</f>
        <v>6726.4</v>
      </c>
      <c r="J1080" s="19" t="n">
        <f aca="false">IFERROR(VALUE(SUBSTITUTE(TRIM('수출입 실적(품목별)'!G1084),",","")),"")</f>
        <v>57415</v>
      </c>
      <c r="K1080" s="19" t="n">
        <f aca="false">IFERROR(VALUE(SUBSTITUTE(TRIM('수출입 실적(품목별)'!H1084),",","")),"")</f>
        <v>-47485</v>
      </c>
    </row>
    <row r="1081" customFormat="false" ht="15" hidden="false" customHeight="true" outlineLevel="0" collapsed="false">
      <c r="A1081" s="11" t="str">
        <f aca="false">TRIM('수출입 실적(품목별)'!A1085)</f>
        <v>2024.12</v>
      </c>
      <c r="B1081" s="17" t="n">
        <f aca="false">IFERROR(VALUE(LEFT($A1081,4)),"")</f>
        <v>2024</v>
      </c>
      <c r="C1081" s="17" t="n">
        <f aca="false">IFERROR(VALUE(RIGHT($A1081,2)),"")</f>
        <v>12</v>
      </c>
      <c r="D1081" s="17" t="n">
        <f aca="false">IFERROR(ROUNDUP($C1081/3,0),"")</f>
        <v>4</v>
      </c>
      <c r="E1081" s="11" t="str">
        <f aca="false">TRIM('수출입 실적(품목별)'!B1085)</f>
        <v>19</v>
      </c>
      <c r="F1081" s="11" t="str">
        <f aca="false">TRIM('수출입 실적(품목별)'!C1085)</f>
        <v>곡물ㆍ고운 가루ㆍ전분ㆍ밀크의 조제품과 베이커리 제품</v>
      </c>
      <c r="G1081" s="18" t="n">
        <f aca="false">IFERROR(VALUE(SUBSTITUTE(TRIM('수출입 실적(품목별)'!D1085),",","")),"")</f>
        <v>52847.1</v>
      </c>
      <c r="H1081" s="19" t="n">
        <f aca="false">IFERROR(VALUE(SUBSTITUTE(TRIM('수출입 실적(품목별)'!E1085),",","")),"")</f>
        <v>207896</v>
      </c>
      <c r="I1081" s="18" t="n">
        <f aca="false">IFERROR(VALUE(SUBSTITUTE(TRIM('수출입 실적(품목별)'!F1085),",","")),"")</f>
        <v>29499.3</v>
      </c>
      <c r="J1081" s="19" t="n">
        <f aca="false">IFERROR(VALUE(SUBSTITUTE(TRIM('수출입 실적(품목별)'!G1085),",","")),"")</f>
        <v>94831</v>
      </c>
      <c r="K1081" s="19" t="n">
        <f aca="false">IFERROR(VALUE(SUBSTITUTE(TRIM('수출입 실적(품목별)'!H1085),",","")),"")</f>
        <v>113065</v>
      </c>
    </row>
    <row r="1082" customFormat="false" ht="15" hidden="false" customHeight="true" outlineLevel="0" collapsed="false">
      <c r="A1082" s="11" t="str">
        <f aca="false">TRIM('수출입 실적(품목별)'!A1086)</f>
        <v>2024.12</v>
      </c>
      <c r="B1082" s="17" t="n">
        <f aca="false">IFERROR(VALUE(LEFT($A1082,4)),"")</f>
        <v>2024</v>
      </c>
      <c r="C1082" s="17" t="n">
        <f aca="false">IFERROR(VALUE(RIGHT($A1082,2)),"")</f>
        <v>12</v>
      </c>
      <c r="D1082" s="17" t="n">
        <f aca="false">IFERROR(ROUNDUP($C1082/3,0),"")</f>
        <v>4</v>
      </c>
      <c r="E1082" s="11" t="str">
        <f aca="false">TRIM('수출입 실적(품목별)'!B1086)</f>
        <v>20</v>
      </c>
      <c r="F1082" s="11" t="str">
        <f aca="false">TRIM('수출입 실적(품목별)'!C1086)</f>
        <v>채소ㆍ과실ㆍ견과류나 식물의그 밖의 부분의 조제품</v>
      </c>
      <c r="G1082" s="18" t="n">
        <f aca="false">IFERROR(VALUE(SUBSTITUTE(TRIM('수출입 실적(품목별)'!D1086),",","")),"")</f>
        <v>10993.1</v>
      </c>
      <c r="H1082" s="19" t="n">
        <f aca="false">IFERROR(VALUE(SUBSTITUTE(TRIM('수출입 실적(품목별)'!E1086),",","")),"")</f>
        <v>90747</v>
      </c>
      <c r="I1082" s="18" t="n">
        <f aca="false">IFERROR(VALUE(SUBSTITUTE(TRIM('수출입 실적(품목별)'!F1086),",","")),"")</f>
        <v>113352</v>
      </c>
      <c r="J1082" s="19" t="n">
        <f aca="false">IFERROR(VALUE(SUBSTITUTE(TRIM('수출입 실적(품목별)'!G1086),",","")),"")</f>
        <v>157477</v>
      </c>
      <c r="K1082" s="19" t="n">
        <f aca="false">IFERROR(VALUE(SUBSTITUTE(TRIM('수출입 실적(품목별)'!H1086),",","")),"")</f>
        <v>-66730</v>
      </c>
    </row>
    <row r="1083" customFormat="false" ht="15" hidden="false" customHeight="true" outlineLevel="0" collapsed="false">
      <c r="A1083" s="11" t="str">
        <f aca="false">TRIM('수출입 실적(품목별)'!A1087)</f>
        <v>2024.12</v>
      </c>
      <c r="B1083" s="17" t="n">
        <f aca="false">IFERROR(VALUE(LEFT($A1083,4)),"")</f>
        <v>2024</v>
      </c>
      <c r="C1083" s="17" t="n">
        <f aca="false">IFERROR(VALUE(RIGHT($A1083,2)),"")</f>
        <v>12</v>
      </c>
      <c r="D1083" s="17" t="n">
        <f aca="false">IFERROR(ROUNDUP($C1083/3,0),"")</f>
        <v>4</v>
      </c>
      <c r="E1083" s="11" t="str">
        <f aca="false">TRIM('수출입 실적(품목별)'!B1087)</f>
        <v>21</v>
      </c>
      <c r="F1083" s="11" t="str">
        <f aca="false">TRIM('수출입 실적(품목별)'!C1087)</f>
        <v>각종 조제 식료품</v>
      </c>
      <c r="G1083" s="18" t="n">
        <f aca="false">IFERROR(VALUE(SUBSTITUTE(TRIM('수출입 실적(품목별)'!D1087),",","")),"")</f>
        <v>34427.4</v>
      </c>
      <c r="H1083" s="19" t="n">
        <f aca="false">IFERROR(VALUE(SUBSTITUTE(TRIM('수출입 실적(품목별)'!E1087),",","")),"")</f>
        <v>157399</v>
      </c>
      <c r="I1083" s="18" t="n">
        <f aca="false">IFERROR(VALUE(SUBSTITUTE(TRIM('수출입 실적(품목별)'!F1087),",","")),"")</f>
        <v>31437.9</v>
      </c>
      <c r="J1083" s="19" t="n">
        <f aca="false">IFERROR(VALUE(SUBSTITUTE(TRIM('수출입 실적(품목별)'!G1087),",","")),"")</f>
        <v>219621</v>
      </c>
      <c r="K1083" s="19" t="n">
        <f aca="false">IFERROR(VALUE(SUBSTITUTE(TRIM('수출입 실적(품목별)'!H1087),",","")),"")</f>
        <v>-62222</v>
      </c>
    </row>
    <row r="1084" customFormat="false" ht="15" hidden="false" customHeight="true" outlineLevel="0" collapsed="false">
      <c r="A1084" s="11" t="str">
        <f aca="false">TRIM('수출입 실적(품목별)'!A1088)</f>
        <v>2024.12</v>
      </c>
      <c r="B1084" s="17" t="n">
        <f aca="false">IFERROR(VALUE(LEFT($A1084,4)),"")</f>
        <v>2024</v>
      </c>
      <c r="C1084" s="17" t="n">
        <f aca="false">IFERROR(VALUE(RIGHT($A1084,2)),"")</f>
        <v>12</v>
      </c>
      <c r="D1084" s="17" t="n">
        <f aca="false">IFERROR(ROUNDUP($C1084/3,0),"")</f>
        <v>4</v>
      </c>
      <c r="E1084" s="11" t="str">
        <f aca="false">TRIM('수출입 실적(품목별)'!B1088)</f>
        <v>22</v>
      </c>
      <c r="F1084" s="11" t="str">
        <f aca="false">TRIM('수출입 실적(품목별)'!C1088)</f>
        <v>음료ㆍ주류ㆍ식초</v>
      </c>
      <c r="G1084" s="18" t="n">
        <f aca="false">IFERROR(VALUE(SUBSTITUTE(TRIM('수출입 실적(품목별)'!D1088),",","")),"")</f>
        <v>69980.4</v>
      </c>
      <c r="H1084" s="19" t="n">
        <f aca="false">IFERROR(VALUE(SUBSTITUTE(TRIM('수출입 실적(품목별)'!E1088),",","")),"")</f>
        <v>89744</v>
      </c>
      <c r="I1084" s="18" t="n">
        <f aca="false">IFERROR(VALUE(SUBSTITUTE(TRIM('수출입 실적(품목별)'!F1088),",","")),"")</f>
        <v>81197.7</v>
      </c>
      <c r="J1084" s="19" t="n">
        <f aca="false">IFERROR(VALUE(SUBSTITUTE(TRIM('수출입 실적(품목별)'!G1088),",","")),"")</f>
        <v>131406</v>
      </c>
      <c r="K1084" s="19" t="n">
        <f aca="false">IFERROR(VALUE(SUBSTITUTE(TRIM('수출입 실적(품목별)'!H1088),",","")),"")</f>
        <v>-41662</v>
      </c>
    </row>
    <row r="1085" customFormat="false" ht="15" hidden="false" customHeight="true" outlineLevel="0" collapsed="false">
      <c r="A1085" s="11" t="str">
        <f aca="false">TRIM('수출입 실적(품목별)'!A1089)</f>
        <v>2024.12</v>
      </c>
      <c r="B1085" s="17" t="n">
        <f aca="false">IFERROR(VALUE(LEFT($A1085,4)),"")</f>
        <v>2024</v>
      </c>
      <c r="C1085" s="17" t="n">
        <f aca="false">IFERROR(VALUE(RIGHT($A1085,2)),"")</f>
        <v>12</v>
      </c>
      <c r="D1085" s="17" t="n">
        <f aca="false">IFERROR(ROUNDUP($C1085/3,0),"")</f>
        <v>4</v>
      </c>
      <c r="E1085" s="11" t="str">
        <f aca="false">TRIM('수출입 실적(품목별)'!B1089)</f>
        <v>23</v>
      </c>
      <c r="F1085" s="11" t="str">
        <f aca="false">TRIM('수출입 실적(품목별)'!C1089)</f>
        <v>식품 공업에서 생기는 잔재물과 웨이스트(waste), 조제 사료</v>
      </c>
      <c r="G1085" s="18" t="n">
        <f aca="false">IFERROR(VALUE(SUBSTITUTE(TRIM('수출입 실적(품목별)'!D1089),",","")),"")</f>
        <v>29132.4</v>
      </c>
      <c r="H1085" s="19" t="n">
        <f aca="false">IFERROR(VALUE(SUBSTITUTE(TRIM('수출입 실적(품목별)'!E1089),",","")),"")</f>
        <v>27319</v>
      </c>
      <c r="I1085" s="18" t="n">
        <f aca="false">IFERROR(VALUE(SUBSTITUTE(TRIM('수출입 실적(품목별)'!F1089),",","")),"")</f>
        <v>545216.9</v>
      </c>
      <c r="J1085" s="19" t="n">
        <f aca="false">IFERROR(VALUE(SUBSTITUTE(TRIM('수출입 실적(품목별)'!G1089),",","")),"")</f>
        <v>186635</v>
      </c>
      <c r="K1085" s="19" t="n">
        <f aca="false">IFERROR(VALUE(SUBSTITUTE(TRIM('수출입 실적(품목별)'!H1089),",","")),"")</f>
        <v>-159316</v>
      </c>
    </row>
    <row r="1086" customFormat="false" ht="15" hidden="false" customHeight="true" outlineLevel="0" collapsed="false">
      <c r="A1086" s="11" t="str">
        <f aca="false">TRIM('수출입 실적(품목별)'!A1090)</f>
        <v>2024.12</v>
      </c>
      <c r="B1086" s="17" t="n">
        <f aca="false">IFERROR(VALUE(LEFT($A1086,4)),"")</f>
        <v>2024</v>
      </c>
      <c r="C1086" s="17" t="n">
        <f aca="false">IFERROR(VALUE(RIGHT($A1086,2)),"")</f>
        <v>12</v>
      </c>
      <c r="D1086" s="17" t="n">
        <f aca="false">IFERROR(ROUNDUP($C1086/3,0),"")</f>
        <v>4</v>
      </c>
      <c r="E1086" s="11" t="str">
        <f aca="false">TRIM('수출입 실적(품목별)'!B1090)</f>
        <v>24</v>
      </c>
      <c r="F1086" s="11" t="str">
        <f aca="false">TRIM('수출입 실적(품목별)'!C1090)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086" s="18" t="n">
        <f aca="false">IFERROR(VALUE(SUBSTITUTE(TRIM('수출입 실적(품목별)'!D1090),",","")),"")</f>
        <v>10714</v>
      </c>
      <c r="H1086" s="19" t="n">
        <f aca="false">IFERROR(VALUE(SUBSTITUTE(TRIM('수출입 실적(품목별)'!E1090),",","")),"")</f>
        <v>109040</v>
      </c>
      <c r="I1086" s="18" t="n">
        <f aca="false">IFERROR(VALUE(SUBSTITUTE(TRIM('수출입 실적(품목별)'!F1090),",","")),"")</f>
        <v>5007.8</v>
      </c>
      <c r="J1086" s="19" t="n">
        <f aca="false">IFERROR(VALUE(SUBSTITUTE(TRIM('수출입 실적(품목별)'!G1090),",","")),"")</f>
        <v>53078</v>
      </c>
      <c r="K1086" s="19" t="n">
        <f aca="false">IFERROR(VALUE(SUBSTITUTE(TRIM('수출입 실적(품목별)'!H1090),",","")),"")</f>
        <v>55963</v>
      </c>
    </row>
    <row r="1087" customFormat="false" ht="15" hidden="false" customHeight="true" outlineLevel="0" collapsed="false">
      <c r="A1087" s="11" t="str">
        <f aca="false">TRIM('수출입 실적(품목별)'!A1091)</f>
        <v>2024.12</v>
      </c>
      <c r="B1087" s="17" t="n">
        <f aca="false">IFERROR(VALUE(LEFT($A1087,4)),"")</f>
        <v>2024</v>
      </c>
      <c r="C1087" s="17" t="n">
        <f aca="false">IFERROR(VALUE(RIGHT($A1087,2)),"")</f>
        <v>12</v>
      </c>
      <c r="D1087" s="17" t="n">
        <f aca="false">IFERROR(ROUNDUP($C1087/3,0),"")</f>
        <v>4</v>
      </c>
      <c r="E1087" s="11" t="str">
        <f aca="false">TRIM('수출입 실적(품목별)'!B1091)</f>
        <v>25</v>
      </c>
      <c r="F1087" s="11" t="str">
        <f aca="false">TRIM('수출입 실적(품목별)'!C1091)</f>
        <v>소금, 황, 토석류(土石類), 석고ㆍ석회ㆍ시멘트</v>
      </c>
      <c r="G1087" s="18" t="n">
        <f aca="false">IFERROR(VALUE(SUBSTITUTE(TRIM('수출입 실적(품목별)'!D1091),",","")),"")</f>
        <v>559223.8</v>
      </c>
      <c r="H1087" s="19" t="n">
        <f aca="false">IFERROR(VALUE(SUBSTITUTE(TRIM('수출입 실적(품목별)'!E1091),",","")),"")</f>
        <v>34432</v>
      </c>
      <c r="I1087" s="18" t="n">
        <f aca="false">IFERROR(VALUE(SUBSTITUTE(TRIM('수출입 실적(품목별)'!F1091),",","")),"")</f>
        <v>1033112.5</v>
      </c>
      <c r="J1087" s="19" t="n">
        <f aca="false">IFERROR(VALUE(SUBSTITUTE(TRIM('수출입 실적(품목별)'!G1091),",","")),"")</f>
        <v>93648</v>
      </c>
      <c r="K1087" s="19" t="n">
        <f aca="false">IFERROR(VALUE(SUBSTITUTE(TRIM('수출입 실적(품목별)'!H1091),",","")),"")</f>
        <v>-59216</v>
      </c>
    </row>
    <row r="1088" customFormat="false" ht="15" hidden="false" customHeight="true" outlineLevel="0" collapsed="false">
      <c r="A1088" s="11" t="str">
        <f aca="false">TRIM('수출입 실적(품목별)'!A1092)</f>
        <v>2024.12</v>
      </c>
      <c r="B1088" s="17" t="n">
        <f aca="false">IFERROR(VALUE(LEFT($A1088,4)),"")</f>
        <v>2024</v>
      </c>
      <c r="C1088" s="17" t="n">
        <f aca="false">IFERROR(VALUE(RIGHT($A1088,2)),"")</f>
        <v>12</v>
      </c>
      <c r="D1088" s="17" t="n">
        <f aca="false">IFERROR(ROUNDUP($C1088/3,0),"")</f>
        <v>4</v>
      </c>
      <c r="E1088" s="11" t="str">
        <f aca="false">TRIM('수출입 실적(품목별)'!B1092)</f>
        <v>26</v>
      </c>
      <c r="F1088" s="11" t="str">
        <f aca="false">TRIM('수출입 실적(품목별)'!C1092)</f>
        <v>광(鑛)ㆍ슬래그(slag)ㆍ회(灰)</v>
      </c>
      <c r="G1088" s="18" t="n">
        <f aca="false">IFERROR(VALUE(SUBSTITUTE(TRIM('수출입 실적(품목별)'!D1092),",","")),"")</f>
        <v>235064.7</v>
      </c>
      <c r="H1088" s="19" t="n">
        <f aca="false">IFERROR(VALUE(SUBSTITUTE(TRIM('수출입 실적(품목별)'!E1092),",","")),"")</f>
        <v>75310</v>
      </c>
      <c r="I1088" s="18" t="n">
        <f aca="false">IFERROR(VALUE(SUBSTITUTE(TRIM('수출입 실적(품목별)'!F1092),",","")),"")</f>
        <v>6686095.5</v>
      </c>
      <c r="J1088" s="19" t="n">
        <f aca="false">IFERROR(VALUE(SUBSTITUTE(TRIM('수출입 실적(품목별)'!G1092),",","")),"")</f>
        <v>1552457</v>
      </c>
      <c r="K1088" s="19" t="n">
        <f aca="false">IFERROR(VALUE(SUBSTITUTE(TRIM('수출입 실적(품목별)'!H1092),",","")),"")</f>
        <v>-1477146</v>
      </c>
    </row>
    <row r="1089" customFormat="false" ht="15" hidden="false" customHeight="true" outlineLevel="0" collapsed="false">
      <c r="A1089" s="11" t="str">
        <f aca="false">TRIM('수출입 실적(품목별)'!A1093)</f>
        <v>2024.12</v>
      </c>
      <c r="B1089" s="17" t="n">
        <f aca="false">IFERROR(VALUE(LEFT($A1089,4)),"")</f>
        <v>2024</v>
      </c>
      <c r="C1089" s="17" t="n">
        <f aca="false">IFERROR(VALUE(RIGHT($A1089,2)),"")</f>
        <v>12</v>
      </c>
      <c r="D1089" s="17" t="n">
        <f aca="false">IFERROR(ROUNDUP($C1089/3,0),"")</f>
        <v>4</v>
      </c>
      <c r="E1089" s="11" t="str">
        <f aca="false">TRIM('수출입 실적(품목별)'!B1093)</f>
        <v>27</v>
      </c>
      <c r="F1089" s="11" t="str">
        <f aca="false">TRIM('수출입 실적(품목별)'!C1093)</f>
        <v>광물성 연료ㆍ광물유(鑛物油)와 이들의 증류물, 역청(瀝靑)물질, 광물성 왁스</v>
      </c>
      <c r="G1089" s="18" t="n">
        <f aca="false">IFERROR(VALUE(SUBSTITUTE(TRIM('수출입 실적(품목별)'!D1093),",","")),"")</f>
        <v>5901974.4</v>
      </c>
      <c r="H1089" s="19" t="n">
        <f aca="false">IFERROR(VALUE(SUBSTITUTE(TRIM('수출입 실적(품목별)'!E1093),",","")),"")</f>
        <v>4124226</v>
      </c>
      <c r="I1089" s="18" t="n">
        <f aca="false">IFERROR(VALUE(SUBSTITUTE(TRIM('수출입 실적(품목별)'!F1093),",","")),"")</f>
        <v>29735448.1</v>
      </c>
      <c r="J1089" s="19" t="n">
        <f aca="false">IFERROR(VALUE(SUBSTITUTE(TRIM('수출입 실적(품목별)'!G1093),",","")),"")</f>
        <v>12757191</v>
      </c>
      <c r="K1089" s="19" t="n">
        <f aca="false">IFERROR(VALUE(SUBSTITUTE(TRIM('수출입 실적(품목별)'!H1093),",","")),"")</f>
        <v>-8632965</v>
      </c>
    </row>
    <row r="1090" customFormat="false" ht="15" hidden="false" customHeight="true" outlineLevel="0" collapsed="false">
      <c r="A1090" s="11" t="str">
        <f aca="false">TRIM('수출입 실적(품목별)'!A1094)</f>
        <v>2024.12</v>
      </c>
      <c r="B1090" s="17" t="n">
        <f aca="false">IFERROR(VALUE(LEFT($A1090,4)),"")</f>
        <v>2024</v>
      </c>
      <c r="C1090" s="17" t="n">
        <f aca="false">IFERROR(VALUE(RIGHT($A1090,2)),"")</f>
        <v>12</v>
      </c>
      <c r="D1090" s="17" t="n">
        <f aca="false">IFERROR(ROUNDUP($C1090/3,0),"")</f>
        <v>4</v>
      </c>
      <c r="E1090" s="11" t="str">
        <f aca="false">TRIM('수출입 실적(품목별)'!B1094)</f>
        <v>28</v>
      </c>
      <c r="F1090" s="11" t="str">
        <f aca="false">TRIM('수출입 실적(품목별)'!C1094)</f>
        <v>무기화학품, 귀금속ㆍ희토류(稀土類)금속ㆍ방사성원소ㆍ동위원소의 유기화합물이나 무기화합물</v>
      </c>
      <c r="G1090" s="18" t="n">
        <f aca="false">IFERROR(VALUE(SUBSTITUTE(TRIM('수출입 실적(품목별)'!D1094),",","")),"")</f>
        <v>503446</v>
      </c>
      <c r="H1090" s="19" t="n">
        <f aca="false">IFERROR(VALUE(SUBSTITUTE(TRIM('수출입 실적(품목별)'!E1094),",","")),"")</f>
        <v>785044</v>
      </c>
      <c r="I1090" s="18" t="n">
        <f aca="false">IFERROR(VALUE(SUBSTITUTE(TRIM('수출입 실적(품목별)'!F1094),",","")),"")</f>
        <v>404296.9</v>
      </c>
      <c r="J1090" s="19" t="n">
        <f aca="false">IFERROR(VALUE(SUBSTITUTE(TRIM('수출입 실적(품목별)'!G1094),",","")),"")</f>
        <v>842996</v>
      </c>
      <c r="K1090" s="19" t="n">
        <f aca="false">IFERROR(VALUE(SUBSTITUTE(TRIM('수출입 실적(품목별)'!H1094),",","")),"")</f>
        <v>-57952</v>
      </c>
    </row>
    <row r="1091" customFormat="false" ht="15" hidden="false" customHeight="true" outlineLevel="0" collapsed="false">
      <c r="A1091" s="11" t="str">
        <f aca="false">TRIM('수출입 실적(품목별)'!A1095)</f>
        <v>2024.12</v>
      </c>
      <c r="B1091" s="17" t="n">
        <f aca="false">IFERROR(VALUE(LEFT($A1091,4)),"")</f>
        <v>2024</v>
      </c>
      <c r="C1091" s="17" t="n">
        <f aca="false">IFERROR(VALUE(RIGHT($A1091,2)),"")</f>
        <v>12</v>
      </c>
      <c r="D1091" s="17" t="n">
        <f aca="false">IFERROR(ROUNDUP($C1091/3,0),"")</f>
        <v>4</v>
      </c>
      <c r="E1091" s="11" t="str">
        <f aca="false">TRIM('수출입 실적(품목별)'!B1095)</f>
        <v>29</v>
      </c>
      <c r="F1091" s="11" t="str">
        <f aca="false">TRIM('수출입 실적(품목별)'!C1095)</f>
        <v>유기화학품</v>
      </c>
      <c r="G1091" s="18" t="n">
        <f aca="false">IFERROR(VALUE(SUBSTITUTE(TRIM('수출입 실적(품목별)'!D1095),",","")),"")</f>
        <v>1825672.2</v>
      </c>
      <c r="H1091" s="19" t="n">
        <f aca="false">IFERROR(VALUE(SUBSTITUTE(TRIM('수출입 실적(품목별)'!E1095),",","")),"")</f>
        <v>1829133</v>
      </c>
      <c r="I1091" s="18" t="n">
        <f aca="false">IFERROR(VALUE(SUBSTITUTE(TRIM('수출입 실적(품목별)'!F1095),",","")),"")</f>
        <v>682784.9</v>
      </c>
      <c r="J1091" s="19" t="n">
        <f aca="false">IFERROR(VALUE(SUBSTITUTE(TRIM('수출입 실적(품목별)'!G1095),",","")),"")</f>
        <v>1134399</v>
      </c>
      <c r="K1091" s="19" t="n">
        <f aca="false">IFERROR(VALUE(SUBSTITUTE(TRIM('수출입 실적(품목별)'!H1095),",","")),"")</f>
        <v>694734</v>
      </c>
    </row>
    <row r="1092" customFormat="false" ht="15" hidden="false" customHeight="true" outlineLevel="0" collapsed="false">
      <c r="A1092" s="11" t="str">
        <f aca="false">TRIM('수출입 실적(품목별)'!A1096)</f>
        <v>2024.12</v>
      </c>
      <c r="B1092" s="17" t="n">
        <f aca="false">IFERROR(VALUE(LEFT($A1092,4)),"")</f>
        <v>2024</v>
      </c>
      <c r="C1092" s="17" t="n">
        <f aca="false">IFERROR(VALUE(RIGHT($A1092,2)),"")</f>
        <v>12</v>
      </c>
      <c r="D1092" s="17" t="n">
        <f aca="false">IFERROR(ROUNDUP($C1092/3,0),"")</f>
        <v>4</v>
      </c>
      <c r="E1092" s="11" t="str">
        <f aca="false">TRIM('수출입 실적(품목별)'!B1096)</f>
        <v>30</v>
      </c>
      <c r="F1092" s="11" t="str">
        <f aca="false">TRIM('수출입 실적(품목별)'!C1096)</f>
        <v>의료용품</v>
      </c>
      <c r="G1092" s="18" t="n">
        <f aca="false">IFERROR(VALUE(SUBSTITUTE(TRIM('수출입 실적(품목별)'!D1096),",","")),"")</f>
        <v>3550.1</v>
      </c>
      <c r="H1092" s="19" t="n">
        <f aca="false">IFERROR(VALUE(SUBSTITUTE(TRIM('수출입 실적(품목별)'!E1096),",","")),"")</f>
        <v>611814</v>
      </c>
      <c r="I1092" s="18" t="n">
        <f aca="false">IFERROR(VALUE(SUBSTITUTE(TRIM('수출입 실적(품목별)'!F1096),",","")),"")</f>
        <v>6348.2</v>
      </c>
      <c r="J1092" s="19" t="n">
        <f aca="false">IFERROR(VALUE(SUBSTITUTE(TRIM('수출입 실적(품목별)'!G1096),",","")),"")</f>
        <v>706141</v>
      </c>
      <c r="K1092" s="19" t="n">
        <f aca="false">IFERROR(VALUE(SUBSTITUTE(TRIM('수출입 실적(품목별)'!H1096),",","")),"")</f>
        <v>-94327</v>
      </c>
    </row>
    <row r="1093" customFormat="false" ht="15" hidden="false" customHeight="true" outlineLevel="0" collapsed="false">
      <c r="A1093" s="11" t="str">
        <f aca="false">TRIM('수출입 실적(품목별)'!A1097)</f>
        <v>2024.12</v>
      </c>
      <c r="B1093" s="17" t="n">
        <f aca="false">IFERROR(VALUE(LEFT($A1093,4)),"")</f>
        <v>2024</v>
      </c>
      <c r="C1093" s="17" t="n">
        <f aca="false">IFERROR(VALUE(RIGHT($A1093,2)),"")</f>
        <v>12</v>
      </c>
      <c r="D1093" s="17" t="n">
        <f aca="false">IFERROR(ROUNDUP($C1093/3,0),"")</f>
        <v>4</v>
      </c>
      <c r="E1093" s="11" t="str">
        <f aca="false">TRIM('수출입 실적(품목별)'!B1097)</f>
        <v>31</v>
      </c>
      <c r="F1093" s="11" t="str">
        <f aca="false">TRIM('수출입 실적(품목별)'!C1097)</f>
        <v>비료</v>
      </c>
      <c r="G1093" s="18" t="n">
        <f aca="false">IFERROR(VALUE(SUBSTITUTE(TRIM('수출입 실적(품목별)'!D1097),",","")),"")</f>
        <v>139174.1</v>
      </c>
      <c r="H1093" s="19" t="n">
        <f aca="false">IFERROR(VALUE(SUBSTITUTE(TRIM('수출입 실적(품목별)'!E1097),",","")),"")</f>
        <v>53825</v>
      </c>
      <c r="I1093" s="18" t="n">
        <f aca="false">IFERROR(VALUE(SUBSTITUTE(TRIM('수출입 실적(품목별)'!F1097),",","")),"")</f>
        <v>175252</v>
      </c>
      <c r="J1093" s="19" t="n">
        <f aca="false">IFERROR(VALUE(SUBSTITUTE(TRIM('수출입 실적(품목별)'!G1097),",","")),"")</f>
        <v>68491</v>
      </c>
      <c r="K1093" s="19" t="n">
        <f aca="false">IFERROR(VALUE(SUBSTITUTE(TRIM('수출입 실적(품목별)'!H1097),",","")),"")</f>
        <v>-14666</v>
      </c>
    </row>
    <row r="1094" customFormat="false" ht="15" hidden="false" customHeight="true" outlineLevel="0" collapsed="false">
      <c r="A1094" s="11" t="str">
        <f aca="false">TRIM('수출입 실적(품목별)'!A1098)</f>
        <v>2024.12</v>
      </c>
      <c r="B1094" s="17" t="n">
        <f aca="false">IFERROR(VALUE(LEFT($A1094,4)),"")</f>
        <v>2024</v>
      </c>
      <c r="C1094" s="17" t="n">
        <f aca="false">IFERROR(VALUE(RIGHT($A1094,2)),"")</f>
        <v>12</v>
      </c>
      <c r="D1094" s="17" t="n">
        <f aca="false">IFERROR(ROUNDUP($C1094/3,0),"")</f>
        <v>4</v>
      </c>
      <c r="E1094" s="11" t="str">
        <f aca="false">TRIM('수출입 실적(품목별)'!B1098)</f>
        <v>32</v>
      </c>
      <c r="F1094" s="11" t="str">
        <f aca="false">TRIM('수출입 실적(품목별)'!C1098)</f>
        <v>유연용ㆍ염색용 추출물(extract), 탄닌과 이들의 유도체, 염료ㆍ안료와 그 밖의 착색제, 페인트ㆍ바니시(varnish), 퍼티(putty)와 그 밖의 매스틱(mastic), 잉크</v>
      </c>
      <c r="G1094" s="18" t="n">
        <f aca="false">IFERROR(VALUE(SUBSTITUTE(TRIM('수출입 실적(품목별)'!D1098),",","")),"")</f>
        <v>30676.4</v>
      </c>
      <c r="H1094" s="19" t="n">
        <f aca="false">IFERROR(VALUE(SUBSTITUTE(TRIM('수출입 실적(품목별)'!E1098),",","")),"")</f>
        <v>221921</v>
      </c>
      <c r="I1094" s="18" t="n">
        <f aca="false">IFERROR(VALUE(SUBSTITUTE(TRIM('수출입 실적(품목별)'!F1098),",","")),"")</f>
        <v>25001.6</v>
      </c>
      <c r="J1094" s="19" t="n">
        <f aca="false">IFERROR(VALUE(SUBSTITUTE(TRIM('수출입 실적(품목별)'!G1098),",","")),"")</f>
        <v>186435</v>
      </c>
      <c r="K1094" s="19" t="n">
        <f aca="false">IFERROR(VALUE(SUBSTITUTE(TRIM('수출입 실적(품목별)'!H1098),",","")),"")</f>
        <v>35486</v>
      </c>
    </row>
    <row r="1095" customFormat="false" ht="15" hidden="false" customHeight="true" outlineLevel="0" collapsed="false">
      <c r="A1095" s="11" t="str">
        <f aca="false">TRIM('수출입 실적(품목별)'!A1099)</f>
        <v>2024.12</v>
      </c>
      <c r="B1095" s="17" t="n">
        <f aca="false">IFERROR(VALUE(LEFT($A1095,4)),"")</f>
        <v>2024</v>
      </c>
      <c r="C1095" s="17" t="n">
        <f aca="false">IFERROR(VALUE(RIGHT($A1095,2)),"")</f>
        <v>12</v>
      </c>
      <c r="D1095" s="17" t="n">
        <f aca="false">IFERROR(ROUNDUP($C1095/3,0),"")</f>
        <v>4</v>
      </c>
      <c r="E1095" s="11" t="str">
        <f aca="false">TRIM('수출입 실적(품목별)'!B1099)</f>
        <v>33</v>
      </c>
      <c r="F1095" s="11" t="str">
        <f aca="false">TRIM('수출입 실적(품목별)'!C1099)</f>
        <v>정유(essential oil)와 레지노이드(resinoid), 조제향료와 화장품ㆍ화장용품</v>
      </c>
      <c r="G1095" s="18" t="n">
        <f aca="false">IFERROR(VALUE(SUBSTITUTE(TRIM('수출입 실적(품목별)'!D1099),",","")),"")</f>
        <v>39697.9</v>
      </c>
      <c r="H1095" s="19" t="n">
        <f aca="false">IFERROR(VALUE(SUBSTITUTE(TRIM('수출입 실적(품목별)'!E1099),",","")),"")</f>
        <v>850607</v>
      </c>
      <c r="I1095" s="18" t="n">
        <f aca="false">IFERROR(VALUE(SUBSTITUTE(TRIM('수출입 실적(품목별)'!F1099),",","")),"")</f>
        <v>9377.5</v>
      </c>
      <c r="J1095" s="19" t="n">
        <f aca="false">IFERROR(VALUE(SUBSTITUTE(TRIM('수출입 실적(품목별)'!G1099),",","")),"")</f>
        <v>166997</v>
      </c>
      <c r="K1095" s="19" t="n">
        <f aca="false">IFERROR(VALUE(SUBSTITUTE(TRIM('수출입 실적(품목별)'!H1099),",","")),"")</f>
        <v>683610</v>
      </c>
    </row>
    <row r="1096" customFormat="false" ht="15" hidden="false" customHeight="true" outlineLevel="0" collapsed="false">
      <c r="A1096" s="11" t="str">
        <f aca="false">TRIM('수출입 실적(품목별)'!A1100)</f>
        <v>2024.12</v>
      </c>
      <c r="B1096" s="17" t="n">
        <f aca="false">IFERROR(VALUE(LEFT($A1096,4)),"")</f>
        <v>2024</v>
      </c>
      <c r="C1096" s="17" t="n">
        <f aca="false">IFERROR(VALUE(RIGHT($A1096,2)),"")</f>
        <v>12</v>
      </c>
      <c r="D1096" s="17" t="n">
        <f aca="false">IFERROR(ROUNDUP($C1096/3,0),"")</f>
        <v>4</v>
      </c>
      <c r="E1096" s="11" t="str">
        <f aca="false">TRIM('수출입 실적(품목별)'!B1100)</f>
        <v>34</v>
      </c>
      <c r="F1096" s="11" t="str">
        <f aca="false">TRIM('수출입 실적(품목별)'!C1100)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096" s="18" t="n">
        <f aca="false">IFERROR(VALUE(SUBSTITUTE(TRIM('수출입 실적(품목별)'!D1100),",","")),"")</f>
        <v>59305.1</v>
      </c>
      <c r="H1096" s="19" t="n">
        <f aca="false">IFERROR(VALUE(SUBSTITUTE(TRIM('수출입 실적(품목별)'!E1100),",","")),"")</f>
        <v>155605</v>
      </c>
      <c r="I1096" s="18" t="n">
        <f aca="false">IFERROR(VALUE(SUBSTITUTE(TRIM('수출입 실적(품목별)'!F1100),",","")),"")</f>
        <v>28463</v>
      </c>
      <c r="J1096" s="19" t="n">
        <f aca="false">IFERROR(VALUE(SUBSTITUTE(TRIM('수출입 실적(품목별)'!G1100),",","")),"")</f>
        <v>102076</v>
      </c>
      <c r="K1096" s="19" t="n">
        <f aca="false">IFERROR(VALUE(SUBSTITUTE(TRIM('수출입 실적(품목별)'!H1100),",","")),"")</f>
        <v>53529</v>
      </c>
    </row>
    <row r="1097" customFormat="false" ht="15" hidden="false" customHeight="true" outlineLevel="0" collapsed="false">
      <c r="A1097" s="11" t="str">
        <f aca="false">TRIM('수출입 실적(품목별)'!A1101)</f>
        <v>2024.12</v>
      </c>
      <c r="B1097" s="17" t="n">
        <f aca="false">IFERROR(VALUE(LEFT($A1097,4)),"")</f>
        <v>2024</v>
      </c>
      <c r="C1097" s="17" t="n">
        <f aca="false">IFERROR(VALUE(RIGHT($A1097,2)),"")</f>
        <v>12</v>
      </c>
      <c r="D1097" s="17" t="n">
        <f aca="false">IFERROR(ROUNDUP($C1097/3,0),"")</f>
        <v>4</v>
      </c>
      <c r="E1097" s="11" t="str">
        <f aca="false">TRIM('수출입 실적(품목별)'!B1101)</f>
        <v>35</v>
      </c>
      <c r="F1097" s="11" t="str">
        <f aca="false">TRIM('수출입 실적(품목별)'!C1101)</f>
        <v>단백질계 물질, 변성전분, 글루(glue), 효소</v>
      </c>
      <c r="G1097" s="18" t="n">
        <f aca="false">IFERROR(VALUE(SUBSTITUTE(TRIM('수출입 실적(품목별)'!D1101),",","")),"")</f>
        <v>6679.1</v>
      </c>
      <c r="H1097" s="19" t="n">
        <f aca="false">IFERROR(VALUE(SUBSTITUTE(TRIM('수출입 실적(품목별)'!E1101),",","")),"")</f>
        <v>82342</v>
      </c>
      <c r="I1097" s="18" t="n">
        <f aca="false">IFERROR(VALUE(SUBSTITUTE(TRIM('수출입 실적(품목별)'!F1101),",","")),"")</f>
        <v>29274.7</v>
      </c>
      <c r="J1097" s="19" t="n">
        <f aca="false">IFERROR(VALUE(SUBSTITUTE(TRIM('수출입 실적(품목별)'!G1101),",","")),"")</f>
        <v>83574</v>
      </c>
      <c r="K1097" s="19" t="n">
        <f aca="false">IFERROR(VALUE(SUBSTITUTE(TRIM('수출입 실적(품목별)'!H1101),",","")),"")</f>
        <v>-1232</v>
      </c>
    </row>
    <row r="1098" customFormat="false" ht="15" hidden="false" customHeight="true" outlineLevel="0" collapsed="false">
      <c r="A1098" s="11" t="str">
        <f aca="false">TRIM('수출입 실적(품목별)'!A1102)</f>
        <v>2024.12</v>
      </c>
      <c r="B1098" s="17" t="n">
        <f aca="false">IFERROR(VALUE(LEFT($A1098,4)),"")</f>
        <v>2024</v>
      </c>
      <c r="C1098" s="17" t="n">
        <f aca="false">IFERROR(VALUE(RIGHT($A1098,2)),"")</f>
        <v>12</v>
      </c>
      <c r="D1098" s="17" t="n">
        <f aca="false">IFERROR(ROUNDUP($C1098/3,0),"")</f>
        <v>4</v>
      </c>
      <c r="E1098" s="11" t="str">
        <f aca="false">TRIM('수출입 실적(품목별)'!B1102)</f>
        <v>36</v>
      </c>
      <c r="F1098" s="11" t="str">
        <f aca="false">TRIM('수출입 실적(품목별)'!C1102)</f>
        <v>화약류, 화공품, 성냥, 발화성 합금, 특정 가연성 조제품</v>
      </c>
      <c r="G1098" s="18" t="n">
        <f aca="false">IFERROR(VALUE(SUBSTITUTE(TRIM('수출입 실적(품목별)'!D1102),",","")),"")</f>
        <v>267.7</v>
      </c>
      <c r="H1098" s="19" t="n">
        <f aca="false">IFERROR(VALUE(SUBSTITUTE(TRIM('수출입 실적(품목별)'!E1102),",","")),"")</f>
        <v>8579</v>
      </c>
      <c r="I1098" s="18" t="n">
        <f aca="false">IFERROR(VALUE(SUBSTITUTE(TRIM('수출입 실적(품목별)'!F1102),",","")),"")</f>
        <v>428.2</v>
      </c>
      <c r="J1098" s="19" t="n">
        <f aca="false">IFERROR(VALUE(SUBSTITUTE(TRIM('수출입 실적(품목별)'!G1102),",","")),"")</f>
        <v>8469</v>
      </c>
      <c r="K1098" s="19" t="n">
        <f aca="false">IFERROR(VALUE(SUBSTITUTE(TRIM('수출입 실적(품목별)'!H1102),",","")),"")</f>
        <v>111</v>
      </c>
    </row>
    <row r="1099" customFormat="false" ht="15" hidden="false" customHeight="true" outlineLevel="0" collapsed="false">
      <c r="A1099" s="11" t="str">
        <f aca="false">TRIM('수출입 실적(품목별)'!A1103)</f>
        <v>2024.12</v>
      </c>
      <c r="B1099" s="17" t="n">
        <f aca="false">IFERROR(VALUE(LEFT($A1099,4)),"")</f>
        <v>2024</v>
      </c>
      <c r="C1099" s="17" t="n">
        <f aca="false">IFERROR(VALUE(RIGHT($A1099,2)),"")</f>
        <v>12</v>
      </c>
      <c r="D1099" s="17" t="n">
        <f aca="false">IFERROR(ROUNDUP($C1099/3,0),"")</f>
        <v>4</v>
      </c>
      <c r="E1099" s="11" t="str">
        <f aca="false">TRIM('수출입 실적(품목별)'!B1103)</f>
        <v>37</v>
      </c>
      <c r="F1099" s="11" t="str">
        <f aca="false">TRIM('수출입 실적(품목별)'!C1103)</f>
        <v>사진용이나 영화용 재료</v>
      </c>
      <c r="G1099" s="18" t="n">
        <f aca="false">IFERROR(VALUE(SUBSTITUTE(TRIM('수출입 실적(품목별)'!D1103),",","")),"")</f>
        <v>1851.2</v>
      </c>
      <c r="H1099" s="19" t="n">
        <f aca="false">IFERROR(VALUE(SUBSTITUTE(TRIM('수출입 실적(품목별)'!E1103),",","")),"")</f>
        <v>93107</v>
      </c>
      <c r="I1099" s="18" t="n">
        <f aca="false">IFERROR(VALUE(SUBSTITUTE(TRIM('수출입 실적(품목별)'!F1103),",","")),"")</f>
        <v>3816.3</v>
      </c>
      <c r="J1099" s="19" t="n">
        <f aca="false">IFERROR(VALUE(SUBSTITUTE(TRIM('수출입 실적(품목별)'!G1103),",","")),"")</f>
        <v>86400</v>
      </c>
      <c r="K1099" s="19" t="n">
        <f aca="false">IFERROR(VALUE(SUBSTITUTE(TRIM('수출입 실적(품목별)'!H1103),",","")),"")</f>
        <v>6708</v>
      </c>
    </row>
    <row r="1100" customFormat="false" ht="15" hidden="false" customHeight="true" outlineLevel="0" collapsed="false">
      <c r="A1100" s="11" t="str">
        <f aca="false">TRIM('수출입 실적(품목별)'!A1104)</f>
        <v>2024.12</v>
      </c>
      <c r="B1100" s="17" t="n">
        <f aca="false">IFERROR(VALUE(LEFT($A1100,4)),"")</f>
        <v>2024</v>
      </c>
      <c r="C1100" s="17" t="n">
        <f aca="false">IFERROR(VALUE(RIGHT($A1100,2)),"")</f>
        <v>12</v>
      </c>
      <c r="D1100" s="17" t="n">
        <f aca="false">IFERROR(ROUNDUP($C1100/3,0),"")</f>
        <v>4</v>
      </c>
      <c r="E1100" s="11" t="str">
        <f aca="false">TRIM('수출입 실적(품목별)'!B1104)</f>
        <v>38</v>
      </c>
      <c r="F1100" s="11" t="str">
        <f aca="false">TRIM('수출입 실적(품목별)'!C1104)</f>
        <v>각종 화학공업 생산품</v>
      </c>
      <c r="G1100" s="18" t="n">
        <f aca="false">IFERROR(VALUE(SUBSTITUTE(TRIM('수출입 실적(품목별)'!D1104),",","")),"")</f>
        <v>99504.8</v>
      </c>
      <c r="H1100" s="19" t="n">
        <f aca="false">IFERROR(VALUE(SUBSTITUTE(TRIM('수출입 실적(품목별)'!E1104),",","")),"")</f>
        <v>589876</v>
      </c>
      <c r="I1100" s="18" t="n">
        <f aca="false">IFERROR(VALUE(SUBSTITUTE(TRIM('수출입 실적(품목별)'!F1104),",","")),"")</f>
        <v>232933</v>
      </c>
      <c r="J1100" s="19" t="n">
        <f aca="false">IFERROR(VALUE(SUBSTITUTE(TRIM('수출입 실적(품목별)'!G1104),",","")),"")</f>
        <v>798507</v>
      </c>
      <c r="K1100" s="19" t="n">
        <f aca="false">IFERROR(VALUE(SUBSTITUTE(TRIM('수출입 실적(품목별)'!H1104),",","")),"")</f>
        <v>-208631</v>
      </c>
    </row>
    <row r="1101" customFormat="false" ht="15" hidden="false" customHeight="true" outlineLevel="0" collapsed="false">
      <c r="A1101" s="11" t="str">
        <f aca="false">TRIM('수출입 실적(품목별)'!A1105)</f>
        <v>2024.12</v>
      </c>
      <c r="B1101" s="17" t="n">
        <f aca="false">IFERROR(VALUE(LEFT($A1101,4)),"")</f>
        <v>2024</v>
      </c>
      <c r="C1101" s="17" t="n">
        <f aca="false">IFERROR(VALUE(RIGHT($A1101,2)),"")</f>
        <v>12</v>
      </c>
      <c r="D1101" s="17" t="n">
        <f aca="false">IFERROR(ROUNDUP($C1101/3,0),"")</f>
        <v>4</v>
      </c>
      <c r="E1101" s="11" t="str">
        <f aca="false">TRIM('수출입 실적(품목별)'!B1105)</f>
        <v>39</v>
      </c>
      <c r="F1101" s="11" t="str">
        <f aca="false">TRIM('수출입 실적(품목별)'!C1105)</f>
        <v>플라스틱과 그 제품</v>
      </c>
      <c r="G1101" s="18" t="n">
        <f aca="false">IFERROR(VALUE(SUBSTITUTE(TRIM('수출입 실적(품목별)'!D1105),",","")),"")</f>
        <v>1473580.1</v>
      </c>
      <c r="H1101" s="19" t="n">
        <f aca="false">IFERROR(VALUE(SUBSTITUTE(TRIM('수출입 실적(품목별)'!E1105),",","")),"")</f>
        <v>2887852</v>
      </c>
      <c r="I1101" s="18" t="n">
        <f aca="false">IFERROR(VALUE(SUBSTITUTE(TRIM('수출입 실적(품목별)'!F1105),",","")),"")</f>
        <v>257438.2</v>
      </c>
      <c r="J1101" s="19" t="n">
        <f aca="false">IFERROR(VALUE(SUBSTITUTE(TRIM('수출입 실적(품목별)'!G1105),",","")),"")</f>
        <v>1135449</v>
      </c>
      <c r="K1101" s="19" t="n">
        <f aca="false">IFERROR(VALUE(SUBSTITUTE(TRIM('수출입 실적(품목별)'!H1105),",","")),"")</f>
        <v>1752402</v>
      </c>
    </row>
    <row r="1102" customFormat="false" ht="15" hidden="false" customHeight="true" outlineLevel="0" collapsed="false">
      <c r="A1102" s="11" t="str">
        <f aca="false">TRIM('수출입 실적(품목별)'!A1106)</f>
        <v>2024.12</v>
      </c>
      <c r="B1102" s="17" t="n">
        <f aca="false">IFERROR(VALUE(LEFT($A1102,4)),"")</f>
        <v>2024</v>
      </c>
      <c r="C1102" s="17" t="n">
        <f aca="false">IFERROR(VALUE(RIGHT($A1102,2)),"")</f>
        <v>12</v>
      </c>
      <c r="D1102" s="17" t="n">
        <f aca="false">IFERROR(ROUNDUP($C1102/3,0),"")</f>
        <v>4</v>
      </c>
      <c r="E1102" s="11" t="str">
        <f aca="false">TRIM('수출입 실적(품목별)'!B1106)</f>
        <v>40</v>
      </c>
      <c r="F1102" s="11" t="str">
        <f aca="false">TRIM('수출입 실적(품목별)'!C1106)</f>
        <v>고무와 그 제품</v>
      </c>
      <c r="G1102" s="18" t="n">
        <f aca="false">IFERROR(VALUE(SUBSTITUTE(TRIM('수출입 실적(품목별)'!D1106),",","")),"")</f>
        <v>247984.8</v>
      </c>
      <c r="H1102" s="19" t="n">
        <f aca="false">IFERROR(VALUE(SUBSTITUTE(TRIM('수출입 실적(품목별)'!E1106),",","")),"")</f>
        <v>637026</v>
      </c>
      <c r="I1102" s="18" t="n">
        <f aca="false">IFERROR(VALUE(SUBSTITUTE(TRIM('수출입 실적(품목별)'!F1106),",","")),"")</f>
        <v>85302.7</v>
      </c>
      <c r="J1102" s="19" t="n">
        <f aca="false">IFERROR(VALUE(SUBSTITUTE(TRIM('수출입 실적(품목별)'!G1106),",","")),"")</f>
        <v>277441</v>
      </c>
      <c r="K1102" s="19" t="n">
        <f aca="false">IFERROR(VALUE(SUBSTITUTE(TRIM('수출입 실적(품목별)'!H1106),",","")),"")</f>
        <v>359585</v>
      </c>
    </row>
    <row r="1103" customFormat="false" ht="15" hidden="false" customHeight="true" outlineLevel="0" collapsed="false">
      <c r="A1103" s="11" t="str">
        <f aca="false">TRIM('수출입 실적(품목별)'!A1107)</f>
        <v>2024.12</v>
      </c>
      <c r="B1103" s="17" t="n">
        <f aca="false">IFERROR(VALUE(LEFT($A1103,4)),"")</f>
        <v>2024</v>
      </c>
      <c r="C1103" s="17" t="n">
        <f aca="false">IFERROR(VALUE(RIGHT($A1103,2)),"")</f>
        <v>12</v>
      </c>
      <c r="D1103" s="17" t="n">
        <f aca="false">IFERROR(ROUNDUP($C1103/3,0),"")</f>
        <v>4</v>
      </c>
      <c r="E1103" s="11" t="str">
        <f aca="false">TRIM('수출입 실적(품목별)'!B1107)</f>
        <v>41</v>
      </c>
      <c r="F1103" s="11" t="str">
        <f aca="false">TRIM('수출입 실적(품목별)'!C1107)</f>
        <v>원피(모피는 제외한다)와 가죽</v>
      </c>
      <c r="G1103" s="18" t="n">
        <f aca="false">IFERROR(VALUE(SUBSTITUTE(TRIM('수출입 실적(품목별)'!D1107),",","")),"")</f>
        <v>2650.2</v>
      </c>
      <c r="H1103" s="19" t="n">
        <f aca="false">IFERROR(VALUE(SUBSTITUTE(TRIM('수출입 실적(품목별)'!E1107),",","")),"")</f>
        <v>24663</v>
      </c>
      <c r="I1103" s="18" t="n">
        <f aca="false">IFERROR(VALUE(SUBSTITUTE(TRIM('수출입 실적(품목별)'!F1107),",","")),"")</f>
        <v>6626.4</v>
      </c>
      <c r="J1103" s="19" t="n">
        <f aca="false">IFERROR(VALUE(SUBSTITUTE(TRIM('수출입 실적(품목별)'!G1107),",","")),"")</f>
        <v>19981</v>
      </c>
      <c r="K1103" s="19" t="n">
        <f aca="false">IFERROR(VALUE(SUBSTITUTE(TRIM('수출입 실적(품목별)'!H1107),",","")),"")</f>
        <v>4682</v>
      </c>
    </row>
    <row r="1104" customFormat="false" ht="15" hidden="false" customHeight="true" outlineLevel="0" collapsed="false">
      <c r="A1104" s="11" t="str">
        <f aca="false">TRIM('수출입 실적(품목별)'!A1108)</f>
        <v>2024.12</v>
      </c>
      <c r="B1104" s="17" t="n">
        <f aca="false">IFERROR(VALUE(LEFT($A1104,4)),"")</f>
        <v>2024</v>
      </c>
      <c r="C1104" s="17" t="n">
        <f aca="false">IFERROR(VALUE(RIGHT($A1104,2)),"")</f>
        <v>12</v>
      </c>
      <c r="D1104" s="17" t="n">
        <f aca="false">IFERROR(ROUNDUP($C1104/3,0),"")</f>
        <v>4</v>
      </c>
      <c r="E1104" s="11" t="str">
        <f aca="false">TRIM('수출입 실적(품목별)'!B1108)</f>
        <v>42</v>
      </c>
      <c r="F1104" s="11" t="str">
        <f aca="false">TRIM('수출입 실적(품목별)'!C1108)</f>
        <v>가죽제품, 마구, 여행용구ㆍ핸드백과 이와 유사한 용기, 동물 거트(gut)[누에의 거트(gut)는 제외한다]의 제품</v>
      </c>
      <c r="G1104" s="18" t="n">
        <f aca="false">IFERROR(VALUE(SUBSTITUTE(TRIM('수출입 실적(품목별)'!D1108),",","")),"")</f>
        <v>924.1</v>
      </c>
      <c r="H1104" s="19" t="n">
        <f aca="false">IFERROR(VALUE(SUBSTITUTE(TRIM('수출입 실적(품목별)'!E1108),",","")),"")</f>
        <v>36781</v>
      </c>
      <c r="I1104" s="18" t="n">
        <f aca="false">IFERROR(VALUE(SUBSTITUTE(TRIM('수출입 실적(품목별)'!F1108),",","")),"")</f>
        <v>10226.1</v>
      </c>
      <c r="J1104" s="19" t="n">
        <f aca="false">IFERROR(VALUE(SUBSTITUTE(TRIM('수출입 실적(품목별)'!G1108),",","")),"")</f>
        <v>325771</v>
      </c>
      <c r="K1104" s="19" t="n">
        <f aca="false">IFERROR(VALUE(SUBSTITUTE(TRIM('수출입 실적(품목별)'!H1108),",","")),"")</f>
        <v>-288990</v>
      </c>
    </row>
    <row r="1105" customFormat="false" ht="15" hidden="false" customHeight="true" outlineLevel="0" collapsed="false">
      <c r="A1105" s="11" t="str">
        <f aca="false">TRIM('수출입 실적(품목별)'!A1109)</f>
        <v>2024.12</v>
      </c>
      <c r="B1105" s="17" t="n">
        <f aca="false">IFERROR(VALUE(LEFT($A1105,4)),"")</f>
        <v>2024</v>
      </c>
      <c r="C1105" s="17" t="n">
        <f aca="false">IFERROR(VALUE(RIGHT($A1105,2)),"")</f>
        <v>12</v>
      </c>
      <c r="D1105" s="17" t="n">
        <f aca="false">IFERROR(ROUNDUP($C1105/3,0),"")</f>
        <v>4</v>
      </c>
      <c r="E1105" s="11" t="str">
        <f aca="false">TRIM('수출입 실적(품목별)'!B1109)</f>
        <v>43</v>
      </c>
      <c r="F1105" s="11" t="str">
        <f aca="false">TRIM('수출입 실적(품목별)'!C1109)</f>
        <v>모피ㆍ인조모피와 이들의 제품</v>
      </c>
      <c r="G1105" s="18" t="n">
        <f aca="false">IFERROR(VALUE(SUBSTITUTE(TRIM('수출입 실적(품목별)'!D1109),",","")),"")</f>
        <v>7</v>
      </c>
      <c r="H1105" s="19" t="n">
        <f aca="false">IFERROR(VALUE(SUBSTITUTE(TRIM('수출입 실적(품목별)'!E1109),",","")),"")</f>
        <v>912</v>
      </c>
      <c r="I1105" s="18" t="n">
        <f aca="false">IFERROR(VALUE(SUBSTITUTE(TRIM('수출입 실적(품목별)'!F1109),",","")),"")</f>
        <v>83.4</v>
      </c>
      <c r="J1105" s="19" t="n">
        <f aca="false">IFERROR(VALUE(SUBSTITUTE(TRIM('수출입 실적(품목별)'!G1109),",","")),"")</f>
        <v>8672</v>
      </c>
      <c r="K1105" s="19" t="n">
        <f aca="false">IFERROR(VALUE(SUBSTITUTE(TRIM('수출입 실적(품목별)'!H1109),",","")),"")</f>
        <v>-7760</v>
      </c>
    </row>
    <row r="1106" customFormat="false" ht="15" hidden="false" customHeight="true" outlineLevel="0" collapsed="false">
      <c r="A1106" s="11" t="str">
        <f aca="false">TRIM('수출입 실적(품목별)'!A1110)</f>
        <v>2024.12</v>
      </c>
      <c r="B1106" s="17" t="n">
        <f aca="false">IFERROR(VALUE(LEFT($A1106,4)),"")</f>
        <v>2024</v>
      </c>
      <c r="C1106" s="17" t="n">
        <f aca="false">IFERROR(VALUE(RIGHT($A1106,2)),"")</f>
        <v>12</v>
      </c>
      <c r="D1106" s="17" t="n">
        <f aca="false">IFERROR(ROUNDUP($C1106/3,0),"")</f>
        <v>4</v>
      </c>
      <c r="E1106" s="11" t="str">
        <f aca="false">TRIM('수출입 실적(품목별)'!B1110)</f>
        <v>44</v>
      </c>
      <c r="F1106" s="11" t="str">
        <f aca="false">TRIM('수출입 실적(품목별)'!C1110)</f>
        <v>목재와 그 제품, 목탄</v>
      </c>
      <c r="G1106" s="18" t="n">
        <f aca="false">IFERROR(VALUE(SUBSTITUTE(TRIM('수출입 실적(품목별)'!D1110),",","")),"")</f>
        <v>3219</v>
      </c>
      <c r="H1106" s="19" t="n">
        <f aca="false">IFERROR(VALUE(SUBSTITUTE(TRIM('수출입 실적(품목별)'!E1110),",","")),"")</f>
        <v>4779</v>
      </c>
      <c r="I1106" s="18" t="n">
        <f aca="false">IFERROR(VALUE(SUBSTITUTE(TRIM('수출입 실적(품목별)'!F1110),",","")),"")</f>
        <v>956983</v>
      </c>
      <c r="J1106" s="19" t="n">
        <f aca="false">IFERROR(VALUE(SUBSTITUTE(TRIM('수출입 실적(품목별)'!G1110),",","")),"")</f>
        <v>273544</v>
      </c>
      <c r="K1106" s="19" t="n">
        <f aca="false">IFERROR(VALUE(SUBSTITUTE(TRIM('수출입 실적(품목별)'!H1110),",","")),"")</f>
        <v>-268766</v>
      </c>
    </row>
    <row r="1107" customFormat="false" ht="15" hidden="false" customHeight="true" outlineLevel="0" collapsed="false">
      <c r="A1107" s="11" t="str">
        <f aca="false">TRIM('수출입 실적(품목별)'!A1111)</f>
        <v>2024.12</v>
      </c>
      <c r="B1107" s="17" t="n">
        <f aca="false">IFERROR(VALUE(LEFT($A1107,4)),"")</f>
        <v>2024</v>
      </c>
      <c r="C1107" s="17" t="n">
        <f aca="false">IFERROR(VALUE(RIGHT($A1107,2)),"")</f>
        <v>12</v>
      </c>
      <c r="D1107" s="17" t="n">
        <f aca="false">IFERROR(ROUNDUP($C1107/3,0),"")</f>
        <v>4</v>
      </c>
      <c r="E1107" s="11" t="str">
        <f aca="false">TRIM('수출입 실적(품목별)'!B1111)</f>
        <v>45</v>
      </c>
      <c r="F1107" s="11" t="str">
        <f aca="false">TRIM('수출입 실적(품목별)'!C1111)</f>
        <v>코르크(cork)와 그 제품</v>
      </c>
      <c r="G1107" s="18" t="n">
        <f aca="false">IFERROR(VALUE(SUBSTITUTE(TRIM('수출입 실적(품목별)'!D1111),",","")),"")</f>
        <v>0.6</v>
      </c>
      <c r="H1107" s="19" t="n">
        <f aca="false">IFERROR(VALUE(SUBSTITUTE(TRIM('수출입 실적(품목별)'!E1111),",","")),"")</f>
        <v>17</v>
      </c>
      <c r="I1107" s="18" t="n">
        <f aca="false">IFERROR(VALUE(SUBSTITUTE(TRIM('수출입 실적(품목별)'!F1111),",","")),"")</f>
        <v>77.8</v>
      </c>
      <c r="J1107" s="19" t="n">
        <f aca="false">IFERROR(VALUE(SUBSTITUTE(TRIM('수출입 실적(품목별)'!G1111),",","")),"")</f>
        <v>607</v>
      </c>
      <c r="K1107" s="19" t="n">
        <f aca="false">IFERROR(VALUE(SUBSTITUTE(TRIM('수출입 실적(품목별)'!H1111),",","")),"")</f>
        <v>-590</v>
      </c>
    </row>
    <row r="1108" customFormat="false" ht="15" hidden="false" customHeight="true" outlineLevel="0" collapsed="false">
      <c r="A1108" s="11" t="str">
        <f aca="false">TRIM('수출입 실적(품목별)'!A1112)</f>
        <v>2024.12</v>
      </c>
      <c r="B1108" s="17" t="n">
        <f aca="false">IFERROR(VALUE(LEFT($A1108,4)),"")</f>
        <v>2024</v>
      </c>
      <c r="C1108" s="17" t="n">
        <f aca="false">IFERROR(VALUE(RIGHT($A1108,2)),"")</f>
        <v>12</v>
      </c>
      <c r="D1108" s="17" t="n">
        <f aca="false">IFERROR(ROUNDUP($C1108/3,0),"")</f>
        <v>4</v>
      </c>
      <c r="E1108" s="11" t="str">
        <f aca="false">TRIM('수출입 실적(품목별)'!B1112)</f>
        <v>46</v>
      </c>
      <c r="F1108" s="11" t="str">
        <f aca="false">TRIM('수출입 실적(품목별)'!C1112)</f>
        <v>짚ㆍ에스파르토(esparto)나 그 밖의 조물 재료의 제품, 바구니 세공물(basketware)과 지조세공물(枝條細工物)</v>
      </c>
      <c r="G1108" s="18" t="n">
        <f aca="false">IFERROR(VALUE(SUBSTITUTE(TRIM('수출입 실적(품목별)'!D1112),",","")),"")</f>
        <v>4.7</v>
      </c>
      <c r="H1108" s="19" t="n">
        <f aca="false">IFERROR(VALUE(SUBSTITUTE(TRIM('수출입 실적(품목별)'!E1112),",","")),"")</f>
        <v>157</v>
      </c>
      <c r="I1108" s="18" t="n">
        <f aca="false">IFERROR(VALUE(SUBSTITUTE(TRIM('수출입 실적(품목별)'!F1112),",","")),"")</f>
        <v>337.4</v>
      </c>
      <c r="J1108" s="19" t="n">
        <f aca="false">IFERROR(VALUE(SUBSTITUTE(TRIM('수출입 실적(품목별)'!G1112),",","")),"")</f>
        <v>1395</v>
      </c>
      <c r="K1108" s="19" t="n">
        <f aca="false">IFERROR(VALUE(SUBSTITUTE(TRIM('수출입 실적(품목별)'!H1112),",","")),"")</f>
        <v>-1238</v>
      </c>
    </row>
    <row r="1109" customFormat="false" ht="15" hidden="false" customHeight="true" outlineLevel="0" collapsed="false">
      <c r="A1109" s="11" t="str">
        <f aca="false">TRIM('수출입 실적(품목별)'!A1113)</f>
        <v>2024.12</v>
      </c>
      <c r="B1109" s="17" t="n">
        <f aca="false">IFERROR(VALUE(LEFT($A1109,4)),"")</f>
        <v>2024</v>
      </c>
      <c r="C1109" s="17" t="n">
        <f aca="false">IFERROR(VALUE(RIGHT($A1109,2)),"")</f>
        <v>12</v>
      </c>
      <c r="D1109" s="17" t="n">
        <f aca="false">IFERROR(ROUNDUP($C1109/3,0),"")</f>
        <v>4</v>
      </c>
      <c r="E1109" s="11" t="str">
        <f aca="false">TRIM('수출입 실적(품목별)'!B1113)</f>
        <v>47</v>
      </c>
      <c r="F1109" s="11" t="str">
        <f aca="false">TRIM('수출입 실적(품목별)'!C1113)</f>
        <v>목재나 그 밖의 섬유질 셀룰로오스재료의 펄프, 회수한 종이ㆍ판지[웨이스트(waste)와 스크랩(scrap)]</v>
      </c>
      <c r="G1109" s="18" t="n">
        <f aca="false">IFERROR(VALUE(SUBSTITUTE(TRIM('수출입 실적(품목별)'!D1113),",","")),"")</f>
        <v>40304.8</v>
      </c>
      <c r="H1109" s="19" t="n">
        <f aca="false">IFERROR(VALUE(SUBSTITUTE(TRIM('수출입 실적(품목별)'!E1113),",","")),"")</f>
        <v>8289</v>
      </c>
      <c r="I1109" s="18" t="n">
        <f aca="false">IFERROR(VALUE(SUBSTITUTE(TRIM('수출입 실적(품목별)'!F1113),",","")),"")</f>
        <v>204647</v>
      </c>
      <c r="J1109" s="19" t="n">
        <f aca="false">IFERROR(VALUE(SUBSTITUTE(TRIM('수출입 실적(품목별)'!G1113),",","")),"")</f>
        <v>108667</v>
      </c>
      <c r="K1109" s="19" t="n">
        <f aca="false">IFERROR(VALUE(SUBSTITUTE(TRIM('수출입 실적(품목별)'!H1113),",","")),"")</f>
        <v>-100378</v>
      </c>
    </row>
    <row r="1110" customFormat="false" ht="15" hidden="false" customHeight="true" outlineLevel="0" collapsed="false">
      <c r="A1110" s="11" t="str">
        <f aca="false">TRIM('수출입 실적(품목별)'!A1114)</f>
        <v>2024.12</v>
      </c>
      <c r="B1110" s="17" t="n">
        <f aca="false">IFERROR(VALUE(LEFT($A1110,4)),"")</f>
        <v>2024</v>
      </c>
      <c r="C1110" s="17" t="n">
        <f aca="false">IFERROR(VALUE(RIGHT($A1110,2)),"")</f>
        <v>12</v>
      </c>
      <c r="D1110" s="17" t="n">
        <f aca="false">IFERROR(ROUNDUP($C1110/3,0),"")</f>
        <v>4</v>
      </c>
      <c r="E1110" s="11" t="str">
        <f aca="false">TRIM('수출입 실적(품목별)'!B1114)</f>
        <v>48</v>
      </c>
      <c r="F1110" s="11" t="str">
        <f aca="false">TRIM('수출입 실적(품목별)'!C1114)</f>
        <v>종이와 판지, 제지용 펄프ㆍ종이ㆍ판지의 제품</v>
      </c>
      <c r="G1110" s="18" t="n">
        <f aca="false">IFERROR(VALUE(SUBSTITUTE(TRIM('수출입 실적(품목별)'!D1114),",","")),"")</f>
        <v>235486.9</v>
      </c>
      <c r="H1110" s="19" t="n">
        <f aca="false">IFERROR(VALUE(SUBSTITUTE(TRIM('수출입 실적(품목별)'!E1114),",","")),"")</f>
        <v>225238</v>
      </c>
      <c r="I1110" s="18" t="n">
        <f aca="false">IFERROR(VALUE(SUBSTITUTE(TRIM('수출입 실적(품목별)'!F1114),",","")),"")</f>
        <v>129419.5</v>
      </c>
      <c r="J1110" s="19" t="n">
        <f aca="false">IFERROR(VALUE(SUBSTITUTE(TRIM('수출입 실적(품목별)'!G1114),",","")),"")</f>
        <v>197456</v>
      </c>
      <c r="K1110" s="19" t="n">
        <f aca="false">IFERROR(VALUE(SUBSTITUTE(TRIM('수출입 실적(품목별)'!H1114),",","")),"")</f>
        <v>27783</v>
      </c>
    </row>
    <row r="1111" customFormat="false" ht="15" hidden="false" customHeight="true" outlineLevel="0" collapsed="false">
      <c r="A1111" s="11" t="str">
        <f aca="false">TRIM('수출입 실적(품목별)'!A1115)</f>
        <v>2024.12</v>
      </c>
      <c r="B1111" s="17" t="n">
        <f aca="false">IFERROR(VALUE(LEFT($A1111,4)),"")</f>
        <v>2024</v>
      </c>
      <c r="C1111" s="17" t="n">
        <f aca="false">IFERROR(VALUE(RIGHT($A1111,2)),"")</f>
        <v>12</v>
      </c>
      <c r="D1111" s="17" t="n">
        <f aca="false">IFERROR(ROUNDUP($C1111/3,0),"")</f>
        <v>4</v>
      </c>
      <c r="E1111" s="11" t="str">
        <f aca="false">TRIM('수출입 실적(품목별)'!B1115)</f>
        <v>49</v>
      </c>
      <c r="F1111" s="11" t="str">
        <f aca="false">TRIM('수출입 실적(품목별)'!C1115)</f>
        <v>인쇄서적ㆍ신문ㆍ회화ㆍ그 밖의 인쇄물, 수제(手製)문서ㆍ타자문서ㆍ도면</v>
      </c>
      <c r="G1111" s="18" t="n">
        <f aca="false">IFERROR(VALUE(SUBSTITUTE(TRIM('수출입 실적(품목별)'!D1115),",","")),"")</f>
        <v>2793.4</v>
      </c>
      <c r="H1111" s="19" t="n">
        <f aca="false">IFERROR(VALUE(SUBSTITUTE(TRIM('수출입 실적(품목별)'!E1115),",","")),"")</f>
        <v>43605</v>
      </c>
      <c r="I1111" s="18" t="n">
        <f aca="false">IFERROR(VALUE(SUBSTITUTE(TRIM('수출입 실적(품목별)'!F1115),",","")),"")</f>
        <v>1466.9</v>
      </c>
      <c r="J1111" s="19" t="n">
        <f aca="false">IFERROR(VALUE(SUBSTITUTE(TRIM('수출입 실적(품목별)'!G1115),",","")),"")</f>
        <v>29541</v>
      </c>
      <c r="K1111" s="19" t="n">
        <f aca="false">IFERROR(VALUE(SUBSTITUTE(TRIM('수출입 실적(품목별)'!H1115),",","")),"")</f>
        <v>14064</v>
      </c>
    </row>
    <row r="1112" customFormat="false" ht="15" hidden="false" customHeight="true" outlineLevel="0" collapsed="false">
      <c r="A1112" s="11" t="str">
        <f aca="false">TRIM('수출입 실적(품목별)'!A1116)</f>
        <v>2024.12</v>
      </c>
      <c r="B1112" s="17" t="n">
        <f aca="false">IFERROR(VALUE(LEFT($A1112,4)),"")</f>
        <v>2024</v>
      </c>
      <c r="C1112" s="17" t="n">
        <f aca="false">IFERROR(VALUE(RIGHT($A1112,2)),"")</f>
        <v>12</v>
      </c>
      <c r="D1112" s="17" t="n">
        <f aca="false">IFERROR(ROUNDUP($C1112/3,0),"")</f>
        <v>4</v>
      </c>
      <c r="E1112" s="11" t="str">
        <f aca="false">TRIM('수출입 실적(품목별)'!B1116)</f>
        <v>50</v>
      </c>
      <c r="F1112" s="11" t="str">
        <f aca="false">TRIM('수출입 실적(품목별)'!C1116)</f>
        <v>견</v>
      </c>
      <c r="G1112" s="18" t="n">
        <f aca="false">IFERROR(VALUE(SUBSTITUTE(TRIM('수출입 실적(품목별)'!D1116),",","")),"")</f>
        <v>7.8</v>
      </c>
      <c r="H1112" s="19" t="n">
        <f aca="false">IFERROR(VALUE(SUBSTITUTE(TRIM('수출입 실적(품목별)'!E1116),",","")),"")</f>
        <v>1093</v>
      </c>
      <c r="I1112" s="18" t="n">
        <f aca="false">IFERROR(VALUE(SUBSTITUTE(TRIM('수출입 실적(품목별)'!F1116),",","")),"")</f>
        <v>38.9</v>
      </c>
      <c r="J1112" s="19" t="n">
        <f aca="false">IFERROR(VALUE(SUBSTITUTE(TRIM('수출입 실적(품목별)'!G1116),",","")),"")</f>
        <v>2513</v>
      </c>
      <c r="K1112" s="19" t="n">
        <f aca="false">IFERROR(VALUE(SUBSTITUTE(TRIM('수출입 실적(품목별)'!H1116),",","")),"")</f>
        <v>-1419</v>
      </c>
    </row>
    <row r="1113" customFormat="false" ht="15" hidden="false" customHeight="true" outlineLevel="0" collapsed="false">
      <c r="A1113" s="11" t="str">
        <f aca="false">TRIM('수출입 실적(품목별)'!A1117)</f>
        <v>2024.12</v>
      </c>
      <c r="B1113" s="17" t="n">
        <f aca="false">IFERROR(VALUE(LEFT($A1113,4)),"")</f>
        <v>2024</v>
      </c>
      <c r="C1113" s="17" t="n">
        <f aca="false">IFERROR(VALUE(RIGHT($A1113,2)),"")</f>
        <v>12</v>
      </c>
      <c r="D1113" s="17" t="n">
        <f aca="false">IFERROR(ROUNDUP($C1113/3,0),"")</f>
        <v>4</v>
      </c>
      <c r="E1113" s="11" t="str">
        <f aca="false">TRIM('수출입 실적(품목별)'!B1117)</f>
        <v>51</v>
      </c>
      <c r="F1113" s="11" t="str">
        <f aca="false">TRIM('수출입 실적(품목별)'!C1117)</f>
        <v>양모ㆍ동물의 부드러운 털이나 거친 털ㆍ말의 털로 만든 실과 직물</v>
      </c>
      <c r="G1113" s="18" t="n">
        <f aca="false">IFERROR(VALUE(SUBSTITUTE(TRIM('수출입 실적(품목별)'!D1117),",","")),"")</f>
        <v>90.9</v>
      </c>
      <c r="H1113" s="19" t="n">
        <f aca="false">IFERROR(VALUE(SUBSTITUTE(TRIM('수출입 실적(품목별)'!E1117),",","")),"")</f>
        <v>1548</v>
      </c>
      <c r="I1113" s="18" t="n">
        <f aca="false">IFERROR(VALUE(SUBSTITUTE(TRIM('수출입 실적(품목별)'!F1117),",","")),"")</f>
        <v>746.1</v>
      </c>
      <c r="J1113" s="19" t="n">
        <f aca="false">IFERROR(VALUE(SUBSTITUTE(TRIM('수출입 실적(품목별)'!G1117),",","")),"")</f>
        <v>14937</v>
      </c>
      <c r="K1113" s="19" t="n">
        <f aca="false">IFERROR(VALUE(SUBSTITUTE(TRIM('수출입 실적(품목별)'!H1117),",","")),"")</f>
        <v>-13388</v>
      </c>
    </row>
    <row r="1114" customFormat="false" ht="15" hidden="false" customHeight="true" outlineLevel="0" collapsed="false">
      <c r="A1114" s="11" t="str">
        <f aca="false">TRIM('수출입 실적(품목별)'!A1118)</f>
        <v>2024.12</v>
      </c>
      <c r="B1114" s="17" t="n">
        <f aca="false">IFERROR(VALUE(LEFT($A1114,4)),"")</f>
        <v>2024</v>
      </c>
      <c r="C1114" s="17" t="n">
        <f aca="false">IFERROR(VALUE(RIGHT($A1114,2)),"")</f>
        <v>12</v>
      </c>
      <c r="D1114" s="17" t="n">
        <f aca="false">IFERROR(ROUNDUP($C1114/3,0),"")</f>
        <v>4</v>
      </c>
      <c r="E1114" s="11" t="str">
        <f aca="false">TRIM('수출입 실적(품목별)'!B1118)</f>
        <v>52</v>
      </c>
      <c r="F1114" s="11" t="str">
        <f aca="false">TRIM('수출입 실적(품목별)'!C1118)</f>
        <v>면</v>
      </c>
      <c r="G1114" s="18" t="n">
        <f aca="false">IFERROR(VALUE(SUBSTITUTE(TRIM('수출입 실적(품목별)'!D1118),",","")),"")</f>
        <v>3534</v>
      </c>
      <c r="H1114" s="19" t="n">
        <f aca="false">IFERROR(VALUE(SUBSTITUTE(TRIM('수출입 실적(품목별)'!E1118),",","")),"")</f>
        <v>27162</v>
      </c>
      <c r="I1114" s="18" t="n">
        <f aca="false">IFERROR(VALUE(SUBSTITUTE(TRIM('수출입 실적(품목별)'!F1118),",","")),"")</f>
        <v>18509.8</v>
      </c>
      <c r="J1114" s="19" t="n">
        <f aca="false">IFERROR(VALUE(SUBSTITUTE(TRIM('수출입 실적(품목별)'!G1118),",","")),"")</f>
        <v>58950</v>
      </c>
      <c r="K1114" s="19" t="n">
        <f aca="false">IFERROR(VALUE(SUBSTITUTE(TRIM('수출입 실적(품목별)'!H1118),",","")),"")</f>
        <v>-31788</v>
      </c>
    </row>
    <row r="1115" customFormat="false" ht="15" hidden="false" customHeight="true" outlineLevel="0" collapsed="false">
      <c r="A1115" s="11" t="str">
        <f aca="false">TRIM('수출입 실적(품목별)'!A1119)</f>
        <v>2024.12</v>
      </c>
      <c r="B1115" s="17" t="n">
        <f aca="false">IFERROR(VALUE(LEFT($A1115,4)),"")</f>
        <v>2024</v>
      </c>
      <c r="C1115" s="17" t="n">
        <f aca="false">IFERROR(VALUE(RIGHT($A1115,2)),"")</f>
        <v>12</v>
      </c>
      <c r="D1115" s="17" t="n">
        <f aca="false">IFERROR(ROUNDUP($C1115/3,0),"")</f>
        <v>4</v>
      </c>
      <c r="E1115" s="11" t="str">
        <f aca="false">TRIM('수출입 실적(품목별)'!B1119)</f>
        <v>53</v>
      </c>
      <c r="F1115" s="11" t="str">
        <f aca="false">TRIM('수출입 실적(품목별)'!C1119)</f>
        <v>그 밖의 식물성 방직용 섬유, 종이실(paper yarn)과 종이실로 만든 직물</v>
      </c>
      <c r="G1115" s="18" t="n">
        <f aca="false">IFERROR(VALUE(SUBSTITUTE(TRIM('수출입 실적(품목별)'!D1119),",","")),"")</f>
        <v>68.7</v>
      </c>
      <c r="H1115" s="19" t="n">
        <f aca="false">IFERROR(VALUE(SUBSTITUTE(TRIM('수출입 실적(품목별)'!E1119),",","")),"")</f>
        <v>1344</v>
      </c>
      <c r="I1115" s="18" t="n">
        <f aca="false">IFERROR(VALUE(SUBSTITUTE(TRIM('수출입 실적(품목별)'!F1119),",","")),"")</f>
        <v>1287.4</v>
      </c>
      <c r="J1115" s="19" t="n">
        <f aca="false">IFERROR(VALUE(SUBSTITUTE(TRIM('수출입 실적(품목별)'!G1119),",","")),"")</f>
        <v>4126</v>
      </c>
      <c r="K1115" s="19" t="n">
        <f aca="false">IFERROR(VALUE(SUBSTITUTE(TRIM('수출입 실적(품목별)'!H1119),",","")),"")</f>
        <v>-2782</v>
      </c>
    </row>
    <row r="1116" customFormat="false" ht="15" hidden="false" customHeight="true" outlineLevel="0" collapsed="false">
      <c r="A1116" s="11" t="str">
        <f aca="false">TRIM('수출입 실적(품목별)'!A1120)</f>
        <v>2024.12</v>
      </c>
      <c r="B1116" s="17" t="n">
        <f aca="false">IFERROR(VALUE(LEFT($A1116,4)),"")</f>
        <v>2024</v>
      </c>
      <c r="C1116" s="17" t="n">
        <f aca="false">IFERROR(VALUE(RIGHT($A1116,2)),"")</f>
        <v>12</v>
      </c>
      <c r="D1116" s="17" t="n">
        <f aca="false">IFERROR(ROUNDUP($C1116/3,0),"")</f>
        <v>4</v>
      </c>
      <c r="E1116" s="11" t="str">
        <f aca="false">TRIM('수출입 실적(품목별)'!B1120)</f>
        <v>54</v>
      </c>
      <c r="F1116" s="11" t="str">
        <f aca="false">TRIM('수출입 실적(품목별)'!C1120)</f>
        <v>인조필라멘트, 인조방직용 섬유재료의 스트립(strip)과 이와 유사한 것</v>
      </c>
      <c r="G1116" s="18" t="n">
        <f aca="false">IFERROR(VALUE(SUBSTITUTE(TRIM('수출입 실적(품목별)'!D1120),",","")),"")</f>
        <v>26191.6</v>
      </c>
      <c r="H1116" s="19" t="n">
        <f aca="false">IFERROR(VALUE(SUBSTITUTE(TRIM('수출입 실적(품목별)'!E1120),",","")),"")</f>
        <v>168568</v>
      </c>
      <c r="I1116" s="18" t="n">
        <f aca="false">IFERROR(VALUE(SUBSTITUTE(TRIM('수출입 실적(품목별)'!F1120),",","")),"")</f>
        <v>43322.8</v>
      </c>
      <c r="J1116" s="19" t="n">
        <f aca="false">IFERROR(VALUE(SUBSTITUTE(TRIM('수출입 실적(품목별)'!G1120),",","")),"")</f>
        <v>97474</v>
      </c>
      <c r="K1116" s="19" t="n">
        <f aca="false">IFERROR(VALUE(SUBSTITUTE(TRIM('수출입 실적(품목별)'!H1120),",","")),"")</f>
        <v>71094</v>
      </c>
    </row>
    <row r="1117" customFormat="false" ht="15" hidden="false" customHeight="true" outlineLevel="0" collapsed="false">
      <c r="A1117" s="11" t="str">
        <f aca="false">TRIM('수출입 실적(품목별)'!A1121)</f>
        <v>2024.12</v>
      </c>
      <c r="B1117" s="17" t="n">
        <f aca="false">IFERROR(VALUE(LEFT($A1117,4)),"")</f>
        <v>2024</v>
      </c>
      <c r="C1117" s="17" t="n">
        <f aca="false">IFERROR(VALUE(RIGHT($A1117,2)),"")</f>
        <v>12</v>
      </c>
      <c r="D1117" s="17" t="n">
        <f aca="false">IFERROR(ROUNDUP($C1117/3,0),"")</f>
        <v>4</v>
      </c>
      <c r="E1117" s="11" t="str">
        <f aca="false">TRIM('수출입 실적(품목별)'!B1121)</f>
        <v>55</v>
      </c>
      <c r="F1117" s="11" t="str">
        <f aca="false">TRIM('수출입 실적(품목별)'!C1121)</f>
        <v>인조스테이플섬유</v>
      </c>
      <c r="G1117" s="18" t="n">
        <f aca="false">IFERROR(VALUE(SUBSTITUTE(TRIM('수출입 실적(품목별)'!D1121),",","")),"")</f>
        <v>59306.6</v>
      </c>
      <c r="H1117" s="19" t="n">
        <f aca="false">IFERROR(VALUE(SUBSTITUTE(TRIM('수출입 실적(품목별)'!E1121),",","")),"")</f>
        <v>108584</v>
      </c>
      <c r="I1117" s="18" t="n">
        <f aca="false">IFERROR(VALUE(SUBSTITUTE(TRIM('수출입 실적(품목별)'!F1121),",","")),"")</f>
        <v>14497</v>
      </c>
      <c r="J1117" s="19" t="n">
        <f aca="false">IFERROR(VALUE(SUBSTITUTE(TRIM('수출입 실적(품목별)'!G1121),",","")),"")</f>
        <v>49934</v>
      </c>
      <c r="K1117" s="19" t="n">
        <f aca="false">IFERROR(VALUE(SUBSTITUTE(TRIM('수출입 실적(품목별)'!H1121),",","")),"")</f>
        <v>58649</v>
      </c>
    </row>
    <row r="1118" customFormat="false" ht="15" hidden="false" customHeight="true" outlineLevel="0" collapsed="false">
      <c r="A1118" s="11" t="str">
        <f aca="false">TRIM('수출입 실적(품목별)'!A1122)</f>
        <v>2024.12</v>
      </c>
      <c r="B1118" s="17" t="n">
        <f aca="false">IFERROR(VALUE(LEFT($A1118,4)),"")</f>
        <v>2024</v>
      </c>
      <c r="C1118" s="17" t="n">
        <f aca="false">IFERROR(VALUE(RIGHT($A1118,2)),"")</f>
        <v>12</v>
      </c>
      <c r="D1118" s="17" t="n">
        <f aca="false">IFERROR(ROUNDUP($C1118/3,0),"")</f>
        <v>4</v>
      </c>
      <c r="E1118" s="11" t="str">
        <f aca="false">TRIM('수출입 실적(품목별)'!B1122)</f>
        <v>56</v>
      </c>
      <c r="F1118" s="11" t="str">
        <f aca="false">TRIM('수출입 실적(품목별)'!C1122)</f>
        <v>워딩(wadding)ㆍ펠트(felt)ㆍ부직포, 특수사, 끈ㆍ배의 밧줄(cordage)ㆍ로프ㆍ케이블과 이들의 제품</v>
      </c>
      <c r="G1118" s="18" t="n">
        <f aca="false">IFERROR(VALUE(SUBSTITUTE(TRIM('수출입 실적(품목별)'!D1122),",","")),"")</f>
        <v>9827.8</v>
      </c>
      <c r="H1118" s="19" t="n">
        <f aca="false">IFERROR(VALUE(SUBSTITUTE(TRIM('수출입 실적(품목별)'!E1122),",","")),"")</f>
        <v>63888</v>
      </c>
      <c r="I1118" s="18" t="n">
        <f aca="false">IFERROR(VALUE(SUBSTITUTE(TRIM('수출입 실적(품목별)'!F1122),",","")),"")</f>
        <v>18338.2</v>
      </c>
      <c r="J1118" s="19" t="n">
        <f aca="false">IFERROR(VALUE(SUBSTITUTE(TRIM('수출입 실적(품목별)'!G1122),",","")),"")</f>
        <v>53391</v>
      </c>
      <c r="K1118" s="19" t="n">
        <f aca="false">IFERROR(VALUE(SUBSTITUTE(TRIM('수출입 실적(품목별)'!H1122),",","")),"")</f>
        <v>10497</v>
      </c>
    </row>
    <row r="1119" customFormat="false" ht="15" hidden="false" customHeight="true" outlineLevel="0" collapsed="false">
      <c r="A1119" s="11" t="str">
        <f aca="false">TRIM('수출입 실적(품목별)'!A1123)</f>
        <v>2024.12</v>
      </c>
      <c r="B1119" s="17" t="n">
        <f aca="false">IFERROR(VALUE(LEFT($A1119,4)),"")</f>
        <v>2024</v>
      </c>
      <c r="C1119" s="17" t="n">
        <f aca="false">IFERROR(VALUE(RIGHT($A1119,2)),"")</f>
        <v>12</v>
      </c>
      <c r="D1119" s="17" t="n">
        <f aca="false">IFERROR(ROUNDUP($C1119/3,0),"")</f>
        <v>4</v>
      </c>
      <c r="E1119" s="11" t="str">
        <f aca="false">TRIM('수출입 실적(품목별)'!B1123)</f>
        <v>57</v>
      </c>
      <c r="F1119" s="11" t="str">
        <f aca="false">TRIM('수출입 실적(품목별)'!C1123)</f>
        <v>양탄자류와 그 밖의 방직용 섬유로 만든 바닥깔개</v>
      </c>
      <c r="G1119" s="18" t="n">
        <f aca="false">IFERROR(VALUE(SUBSTITUTE(TRIM('수출입 실적(품목별)'!D1123),",","")),"")</f>
        <v>592</v>
      </c>
      <c r="H1119" s="19" t="n">
        <f aca="false">IFERROR(VALUE(SUBSTITUTE(TRIM('수출입 실적(품목별)'!E1123),",","")),"")</f>
        <v>6597</v>
      </c>
      <c r="I1119" s="18" t="n">
        <f aca="false">IFERROR(VALUE(SUBSTITUTE(TRIM('수출입 실적(품목별)'!F1123),",","")),"")</f>
        <v>5734</v>
      </c>
      <c r="J1119" s="19" t="n">
        <f aca="false">IFERROR(VALUE(SUBSTITUTE(TRIM('수출입 실적(품목별)'!G1123),",","")),"")</f>
        <v>9711</v>
      </c>
      <c r="K1119" s="19" t="n">
        <f aca="false">IFERROR(VALUE(SUBSTITUTE(TRIM('수출입 실적(품목별)'!H1123),",","")),"")</f>
        <v>-3113</v>
      </c>
    </row>
    <row r="1120" customFormat="false" ht="15" hidden="false" customHeight="true" outlineLevel="0" collapsed="false">
      <c r="A1120" s="11" t="str">
        <f aca="false">TRIM('수출입 실적(품목별)'!A1124)</f>
        <v>2024.12</v>
      </c>
      <c r="B1120" s="17" t="n">
        <f aca="false">IFERROR(VALUE(LEFT($A1120,4)),"")</f>
        <v>2024</v>
      </c>
      <c r="C1120" s="17" t="n">
        <f aca="false">IFERROR(VALUE(RIGHT($A1120,2)),"")</f>
        <v>12</v>
      </c>
      <c r="D1120" s="17" t="n">
        <f aca="false">IFERROR(ROUNDUP($C1120/3,0),"")</f>
        <v>4</v>
      </c>
      <c r="E1120" s="11" t="str">
        <f aca="false">TRIM('수출입 실적(품목별)'!B1124)</f>
        <v>58</v>
      </c>
      <c r="F1120" s="11" t="str">
        <f aca="false">TRIM('수출입 실적(품목별)'!C1124)</f>
        <v>특수직물, 터프트(tuft)한 직물, 레이스, 태피스트리(tapestry), 트리밍(trimming), 자수천</v>
      </c>
      <c r="G1120" s="18" t="n">
        <f aca="false">IFERROR(VALUE(SUBSTITUTE(TRIM('수출입 실적(품목별)'!D1124),",","")),"")</f>
        <v>1242.4</v>
      </c>
      <c r="H1120" s="19" t="n">
        <f aca="false">IFERROR(VALUE(SUBSTITUTE(TRIM('수출입 실적(품목별)'!E1124),",","")),"")</f>
        <v>16080</v>
      </c>
      <c r="I1120" s="18" t="n">
        <f aca="false">IFERROR(VALUE(SUBSTITUTE(TRIM('수출입 실적(품목별)'!F1124),",","")),"")</f>
        <v>1008.3</v>
      </c>
      <c r="J1120" s="19" t="n">
        <f aca="false">IFERROR(VALUE(SUBSTITUTE(TRIM('수출입 실적(품목별)'!G1124),",","")),"")</f>
        <v>7877</v>
      </c>
      <c r="K1120" s="19" t="n">
        <f aca="false">IFERROR(VALUE(SUBSTITUTE(TRIM('수출입 실적(품목별)'!H1124),",","")),"")</f>
        <v>8203</v>
      </c>
    </row>
    <row r="1121" customFormat="false" ht="15" hidden="false" customHeight="true" outlineLevel="0" collapsed="false">
      <c r="A1121" s="11" t="str">
        <f aca="false">TRIM('수출입 실적(품목별)'!A1125)</f>
        <v>2024.12</v>
      </c>
      <c r="B1121" s="17" t="n">
        <f aca="false">IFERROR(VALUE(LEFT($A1121,4)),"")</f>
        <v>2024</v>
      </c>
      <c r="C1121" s="17" t="n">
        <f aca="false">IFERROR(VALUE(RIGHT($A1121,2)),"")</f>
        <v>12</v>
      </c>
      <c r="D1121" s="17" t="n">
        <f aca="false">IFERROR(ROUNDUP($C1121/3,0),"")</f>
        <v>4</v>
      </c>
      <c r="E1121" s="11" t="str">
        <f aca="false">TRIM('수출입 실적(품목별)'!B1125)</f>
        <v>59</v>
      </c>
      <c r="F1121" s="11" t="str">
        <f aca="false">TRIM('수출입 실적(품목별)'!C1125)</f>
        <v>침투ㆍ도포ㆍ피복하거나 적층한 방직용 섬유의 직물, 공업용인 방직용 섬유제품</v>
      </c>
      <c r="G1121" s="18" t="n">
        <f aca="false">IFERROR(VALUE(SUBSTITUTE(TRIM('수출입 실적(품목별)'!D1125),",","")),"")</f>
        <v>9198.7</v>
      </c>
      <c r="H1121" s="19" t="n">
        <f aca="false">IFERROR(VALUE(SUBSTITUTE(TRIM('수출입 실적(품목별)'!E1125),",","")),"")</f>
        <v>93200</v>
      </c>
      <c r="I1121" s="18" t="n">
        <f aca="false">IFERROR(VALUE(SUBSTITUTE(TRIM('수출입 실적(품목별)'!F1125),",","")),"")</f>
        <v>6137.6</v>
      </c>
      <c r="J1121" s="19" t="n">
        <f aca="false">IFERROR(VALUE(SUBSTITUTE(TRIM('수출입 실적(품목별)'!G1125),",","")),"")</f>
        <v>38620</v>
      </c>
      <c r="K1121" s="19" t="n">
        <f aca="false">IFERROR(VALUE(SUBSTITUTE(TRIM('수출입 실적(품목별)'!H1125),",","")),"")</f>
        <v>54580</v>
      </c>
    </row>
    <row r="1122" customFormat="false" ht="15" hidden="false" customHeight="true" outlineLevel="0" collapsed="false">
      <c r="A1122" s="11" t="str">
        <f aca="false">TRIM('수출입 실적(품목별)'!A1126)</f>
        <v>2024.12</v>
      </c>
      <c r="B1122" s="17" t="n">
        <f aca="false">IFERROR(VALUE(LEFT($A1122,4)),"")</f>
        <v>2024</v>
      </c>
      <c r="C1122" s="17" t="n">
        <f aca="false">IFERROR(VALUE(RIGHT($A1122,2)),"")</f>
        <v>12</v>
      </c>
      <c r="D1122" s="17" t="n">
        <f aca="false">IFERROR(ROUNDUP($C1122/3,0),"")</f>
        <v>4</v>
      </c>
      <c r="E1122" s="11" t="str">
        <f aca="false">TRIM('수출입 실적(품목별)'!B1126)</f>
        <v>60</v>
      </c>
      <c r="F1122" s="11" t="str">
        <f aca="false">TRIM('수출입 실적(품목별)'!C1126)</f>
        <v>메리야스 편물과 뜨개질 편물</v>
      </c>
      <c r="G1122" s="18" t="n">
        <f aca="false">IFERROR(VALUE(SUBSTITUTE(TRIM('수출입 실적(품목별)'!D1126),",","")),"")</f>
        <v>17906.6</v>
      </c>
      <c r="H1122" s="19" t="n">
        <f aca="false">IFERROR(VALUE(SUBSTITUTE(TRIM('수출입 실적(품목별)'!E1126),",","")),"")</f>
        <v>140035</v>
      </c>
      <c r="I1122" s="18" t="n">
        <f aca="false">IFERROR(VALUE(SUBSTITUTE(TRIM('수출입 실적(품목별)'!F1126),",","")),"")</f>
        <v>1987.6</v>
      </c>
      <c r="J1122" s="19" t="n">
        <f aca="false">IFERROR(VALUE(SUBSTITUTE(TRIM('수출입 실적(품목별)'!G1126),",","")),"")</f>
        <v>10372</v>
      </c>
      <c r="K1122" s="19" t="n">
        <f aca="false">IFERROR(VALUE(SUBSTITUTE(TRIM('수출입 실적(품목별)'!H1126),",","")),"")</f>
        <v>129664</v>
      </c>
    </row>
    <row r="1123" customFormat="false" ht="15" hidden="false" customHeight="true" outlineLevel="0" collapsed="false">
      <c r="A1123" s="11" t="str">
        <f aca="false">TRIM('수출입 실적(품목별)'!A1127)</f>
        <v>2024.12</v>
      </c>
      <c r="B1123" s="17" t="n">
        <f aca="false">IFERROR(VALUE(LEFT($A1123,4)),"")</f>
        <v>2024</v>
      </c>
      <c r="C1123" s="17" t="n">
        <f aca="false">IFERROR(VALUE(RIGHT($A1123,2)),"")</f>
        <v>12</v>
      </c>
      <c r="D1123" s="17" t="n">
        <f aca="false">IFERROR(ROUNDUP($C1123/3,0),"")</f>
        <v>4</v>
      </c>
      <c r="E1123" s="11" t="str">
        <f aca="false">TRIM('수출입 실적(품목별)'!B1127)</f>
        <v>61</v>
      </c>
      <c r="F1123" s="11" t="str">
        <f aca="false">TRIM('수출입 실적(품목별)'!C1127)</f>
        <v>의류와 그 부속품(메리야스 편물이나 뜨개질 편물로 한정한다)</v>
      </c>
      <c r="G1123" s="18" t="n">
        <f aca="false">IFERROR(VALUE(SUBSTITUTE(TRIM('수출입 실적(품목별)'!D1127),",","")),"")</f>
        <v>3257.6</v>
      </c>
      <c r="H1123" s="19" t="n">
        <f aca="false">IFERROR(VALUE(SUBSTITUTE(TRIM('수출입 실적(품목별)'!E1127),",","")),"")</f>
        <v>78740</v>
      </c>
      <c r="I1123" s="18" t="n">
        <f aca="false">IFERROR(VALUE(SUBSTITUTE(TRIM('수출입 실적(품목별)'!F1127),",","")),"")</f>
        <v>23932.8</v>
      </c>
      <c r="J1123" s="19" t="n">
        <f aca="false">IFERROR(VALUE(SUBSTITUTE(TRIM('수출입 실적(품목별)'!G1127),",","")),"")</f>
        <v>401618</v>
      </c>
      <c r="K1123" s="19" t="n">
        <f aca="false">IFERROR(VALUE(SUBSTITUTE(TRIM('수출입 실적(품목별)'!H1127),",","")),"")</f>
        <v>-322878</v>
      </c>
    </row>
    <row r="1124" customFormat="false" ht="15" hidden="false" customHeight="true" outlineLevel="0" collapsed="false">
      <c r="A1124" s="11" t="str">
        <f aca="false">TRIM('수출입 실적(품목별)'!A1128)</f>
        <v>2024.12</v>
      </c>
      <c r="B1124" s="17" t="n">
        <f aca="false">IFERROR(VALUE(LEFT($A1124,4)),"")</f>
        <v>2024</v>
      </c>
      <c r="C1124" s="17" t="n">
        <f aca="false">IFERROR(VALUE(RIGHT($A1124,2)),"")</f>
        <v>12</v>
      </c>
      <c r="D1124" s="17" t="n">
        <f aca="false">IFERROR(ROUNDUP($C1124/3,0),"")</f>
        <v>4</v>
      </c>
      <c r="E1124" s="11" t="str">
        <f aca="false">TRIM('수출입 실적(품목별)'!B1128)</f>
        <v>62</v>
      </c>
      <c r="F1124" s="11" t="str">
        <f aca="false">TRIM('수출입 실적(품목별)'!C1128)</f>
        <v>의류와 그 부속품(메리야스 편물이나 뜨개질편물은 제외한다)</v>
      </c>
      <c r="G1124" s="18" t="n">
        <f aca="false">IFERROR(VALUE(SUBSTITUTE(TRIM('수출입 실적(품목별)'!D1128),",","")),"")</f>
        <v>3382.6</v>
      </c>
      <c r="H1124" s="19" t="n">
        <f aca="false">IFERROR(VALUE(SUBSTITUTE(TRIM('수출입 실적(품목별)'!E1128),",","")),"")</f>
        <v>90817</v>
      </c>
      <c r="I1124" s="18" t="n">
        <f aca="false">IFERROR(VALUE(SUBSTITUTE(TRIM('수출입 실적(품목별)'!F1128),",","")),"")</f>
        <v>22362.3</v>
      </c>
      <c r="J1124" s="19" t="n">
        <f aca="false">IFERROR(VALUE(SUBSTITUTE(TRIM('수출입 실적(품목별)'!G1128),",","")),"")</f>
        <v>534050</v>
      </c>
      <c r="K1124" s="19" t="n">
        <f aca="false">IFERROR(VALUE(SUBSTITUTE(TRIM('수출입 실적(품목별)'!H1128),",","")),"")</f>
        <v>-443233</v>
      </c>
    </row>
    <row r="1125" customFormat="false" ht="15" hidden="false" customHeight="true" outlineLevel="0" collapsed="false">
      <c r="A1125" s="11" t="str">
        <f aca="false">TRIM('수출입 실적(품목별)'!A1129)</f>
        <v>2024.12</v>
      </c>
      <c r="B1125" s="17" t="n">
        <f aca="false">IFERROR(VALUE(LEFT($A1125,4)),"")</f>
        <v>2024</v>
      </c>
      <c r="C1125" s="17" t="n">
        <f aca="false">IFERROR(VALUE(RIGHT($A1125,2)),"")</f>
        <v>12</v>
      </c>
      <c r="D1125" s="17" t="n">
        <f aca="false">IFERROR(ROUNDUP($C1125/3,0),"")</f>
        <v>4</v>
      </c>
      <c r="E1125" s="11" t="str">
        <f aca="false">TRIM('수출입 실적(품목별)'!B1129)</f>
        <v>63</v>
      </c>
      <c r="F1125" s="11" t="str">
        <f aca="false">TRIM('수출입 실적(품목별)'!C1129)</f>
        <v>제품으로 된 방직용 섬유의 그 밖의 물품, 세트, 사용하던 의류ㆍ방직용 섬유제품, 넝마</v>
      </c>
      <c r="G1125" s="18" t="n">
        <f aca="false">IFERROR(VALUE(SUBSTITUTE(TRIM('수출입 실적(품목별)'!D1129),",","")),"")</f>
        <v>27297.2</v>
      </c>
      <c r="H1125" s="19" t="n">
        <f aca="false">IFERROR(VALUE(SUBSTITUTE(TRIM('수출입 실적(품목별)'!E1129),",","")),"")</f>
        <v>51292</v>
      </c>
      <c r="I1125" s="18" t="n">
        <f aca="false">IFERROR(VALUE(SUBSTITUTE(TRIM('수출입 실적(품목별)'!F1129),",","")),"")</f>
        <v>28869</v>
      </c>
      <c r="J1125" s="19" t="n">
        <f aca="false">IFERROR(VALUE(SUBSTITUTE(TRIM('수출입 실적(품목별)'!G1129),",","")),"")</f>
        <v>118669</v>
      </c>
      <c r="K1125" s="19" t="n">
        <f aca="false">IFERROR(VALUE(SUBSTITUTE(TRIM('수출입 실적(품목별)'!H1129),",","")),"")</f>
        <v>-67378</v>
      </c>
    </row>
    <row r="1126" customFormat="false" ht="15" hidden="false" customHeight="true" outlineLevel="0" collapsed="false">
      <c r="A1126" s="11" t="str">
        <f aca="false">TRIM('수출입 실적(품목별)'!A1130)</f>
        <v>2024.12</v>
      </c>
      <c r="B1126" s="17" t="n">
        <f aca="false">IFERROR(VALUE(LEFT($A1126,4)),"")</f>
        <v>2024</v>
      </c>
      <c r="C1126" s="17" t="n">
        <f aca="false">IFERROR(VALUE(RIGHT($A1126,2)),"")</f>
        <v>12</v>
      </c>
      <c r="D1126" s="17" t="n">
        <f aca="false">IFERROR(ROUNDUP($C1126/3,0),"")</f>
        <v>4</v>
      </c>
      <c r="E1126" s="11" t="str">
        <f aca="false">TRIM('수출입 실적(품목별)'!B1130)</f>
        <v>64</v>
      </c>
      <c r="F1126" s="11" t="str">
        <f aca="false">TRIM('수출입 실적(품목별)'!C1130)</f>
        <v>신발류ㆍ각반과 이와 유사한 것, 이들의 부분품</v>
      </c>
      <c r="G1126" s="18" t="n">
        <f aca="false">IFERROR(VALUE(SUBSTITUTE(TRIM('수출입 실적(품목별)'!D1130),",","")),"")</f>
        <v>1414.4</v>
      </c>
      <c r="H1126" s="19" t="n">
        <f aca="false">IFERROR(VALUE(SUBSTITUTE(TRIM('수출입 실적(품목별)'!E1130),",","")),"")</f>
        <v>34175</v>
      </c>
      <c r="I1126" s="18" t="n">
        <f aca="false">IFERROR(VALUE(SUBSTITUTE(TRIM('수출입 실적(품목별)'!F1130),",","")),"")</f>
        <v>12235.4</v>
      </c>
      <c r="J1126" s="19" t="n">
        <f aca="false">IFERROR(VALUE(SUBSTITUTE(TRIM('수출입 실적(품목별)'!G1130),",","")),"")</f>
        <v>334017</v>
      </c>
      <c r="K1126" s="19" t="n">
        <f aca="false">IFERROR(VALUE(SUBSTITUTE(TRIM('수출입 실적(품목별)'!H1130),",","")),"")</f>
        <v>-299842</v>
      </c>
    </row>
    <row r="1127" customFormat="false" ht="15" hidden="false" customHeight="true" outlineLevel="0" collapsed="false">
      <c r="A1127" s="11" t="str">
        <f aca="false">TRIM('수출입 실적(품목별)'!A1131)</f>
        <v>2024.12</v>
      </c>
      <c r="B1127" s="17" t="n">
        <f aca="false">IFERROR(VALUE(LEFT($A1127,4)),"")</f>
        <v>2024</v>
      </c>
      <c r="C1127" s="17" t="n">
        <f aca="false">IFERROR(VALUE(RIGHT($A1127,2)),"")</f>
        <v>12</v>
      </c>
      <c r="D1127" s="17" t="n">
        <f aca="false">IFERROR(ROUNDUP($C1127/3,0),"")</f>
        <v>4</v>
      </c>
      <c r="E1127" s="11" t="str">
        <f aca="false">TRIM('수출입 실적(품목별)'!B1131)</f>
        <v>65</v>
      </c>
      <c r="F1127" s="11" t="str">
        <f aca="false">TRIM('수출입 실적(품목별)'!C1131)</f>
        <v>모자류와 그 부분품</v>
      </c>
      <c r="G1127" s="18" t="n">
        <f aca="false">IFERROR(VALUE(SUBSTITUTE(TRIM('수출입 실적(품목별)'!D1131),",","")),"")</f>
        <v>295.4</v>
      </c>
      <c r="H1127" s="19" t="n">
        <f aca="false">IFERROR(VALUE(SUBSTITUTE(TRIM('수출입 실적(품목별)'!E1131),",","")),"")</f>
        <v>8118</v>
      </c>
      <c r="I1127" s="18" t="n">
        <f aca="false">IFERROR(VALUE(SUBSTITUTE(TRIM('수출입 실적(품목별)'!F1131),",","")),"")</f>
        <v>993.9</v>
      </c>
      <c r="J1127" s="19" t="n">
        <f aca="false">IFERROR(VALUE(SUBSTITUTE(TRIM('수출입 실적(품목별)'!G1131),",","")),"")</f>
        <v>24868</v>
      </c>
      <c r="K1127" s="19" t="n">
        <f aca="false">IFERROR(VALUE(SUBSTITUTE(TRIM('수출입 실적(품목별)'!H1131),",","")),"")</f>
        <v>-16750</v>
      </c>
    </row>
    <row r="1128" customFormat="false" ht="15" hidden="false" customHeight="true" outlineLevel="0" collapsed="false">
      <c r="A1128" s="11" t="str">
        <f aca="false">TRIM('수출입 실적(품목별)'!A1132)</f>
        <v>2024.12</v>
      </c>
      <c r="B1128" s="17" t="n">
        <f aca="false">IFERROR(VALUE(LEFT($A1128,4)),"")</f>
        <v>2024</v>
      </c>
      <c r="C1128" s="17" t="n">
        <f aca="false">IFERROR(VALUE(RIGHT($A1128,2)),"")</f>
        <v>12</v>
      </c>
      <c r="D1128" s="17" t="n">
        <f aca="false">IFERROR(ROUNDUP($C1128/3,0),"")</f>
        <v>4</v>
      </c>
      <c r="E1128" s="11" t="str">
        <f aca="false">TRIM('수출입 실적(품목별)'!B1132)</f>
        <v>66</v>
      </c>
      <c r="F1128" s="11" t="str">
        <f aca="false">TRIM('수출입 실적(품목별)'!C1132)</f>
        <v>산류(傘類)ㆍ지팡이ㆍ시트스틱(seat-stick)ㆍ채찍ㆍ승마용 채찍과 이들의 부분품</v>
      </c>
      <c r="G1128" s="18" t="n">
        <f aca="false">IFERROR(VALUE(SUBSTITUTE(TRIM('수출입 실적(품목별)'!D1132),",","")),"")</f>
        <v>9.2</v>
      </c>
      <c r="H1128" s="19" t="n">
        <f aca="false">IFERROR(VALUE(SUBSTITUTE(TRIM('수출입 실적(품목별)'!E1132),",","")),"")</f>
        <v>527</v>
      </c>
      <c r="I1128" s="18" t="n">
        <f aca="false">IFERROR(VALUE(SUBSTITUTE(TRIM('수출입 실적(품목별)'!F1132),",","")),"")</f>
        <v>1025</v>
      </c>
      <c r="J1128" s="19" t="n">
        <f aca="false">IFERROR(VALUE(SUBSTITUTE(TRIM('수출입 실적(품목별)'!G1132),",","")),"")</f>
        <v>7435</v>
      </c>
      <c r="K1128" s="19" t="n">
        <f aca="false">IFERROR(VALUE(SUBSTITUTE(TRIM('수출입 실적(품목별)'!H1132),",","")),"")</f>
        <v>-6907</v>
      </c>
    </row>
    <row r="1129" customFormat="false" ht="15" hidden="false" customHeight="true" outlineLevel="0" collapsed="false">
      <c r="A1129" s="11" t="str">
        <f aca="false">TRIM('수출입 실적(품목별)'!A1133)</f>
        <v>2024.12</v>
      </c>
      <c r="B1129" s="17" t="n">
        <f aca="false">IFERROR(VALUE(LEFT($A1129,4)),"")</f>
        <v>2024</v>
      </c>
      <c r="C1129" s="17" t="n">
        <f aca="false">IFERROR(VALUE(RIGHT($A1129,2)),"")</f>
        <v>12</v>
      </c>
      <c r="D1129" s="17" t="n">
        <f aca="false">IFERROR(ROUNDUP($C1129/3,0),"")</f>
        <v>4</v>
      </c>
      <c r="E1129" s="11" t="str">
        <f aca="false">TRIM('수출입 실적(품목별)'!B1133)</f>
        <v>67</v>
      </c>
      <c r="F1129" s="11" t="str">
        <f aca="false">TRIM('수출입 실적(품목별)'!C1133)</f>
        <v>조제 깃털ㆍ솜털과 그 제품, 조화, 사람 머리카락으로 된 제품</v>
      </c>
      <c r="G1129" s="18" t="n">
        <f aca="false">IFERROR(VALUE(SUBSTITUTE(TRIM('수출입 실적(품목별)'!D1133),",","")),"")</f>
        <v>34.3</v>
      </c>
      <c r="H1129" s="19" t="n">
        <f aca="false">IFERROR(VALUE(SUBSTITUTE(TRIM('수출입 실적(품목별)'!E1133),",","")),"")</f>
        <v>1484</v>
      </c>
      <c r="I1129" s="18" t="n">
        <f aca="false">IFERROR(VALUE(SUBSTITUTE(TRIM('수출입 실적(품목별)'!F1133),",","")),"")</f>
        <v>567.5</v>
      </c>
      <c r="J1129" s="19" t="n">
        <f aca="false">IFERROR(VALUE(SUBSTITUTE(TRIM('수출입 실적(품목별)'!G1133),",","")),"")</f>
        <v>9166</v>
      </c>
      <c r="K1129" s="19" t="n">
        <f aca="false">IFERROR(VALUE(SUBSTITUTE(TRIM('수출입 실적(품목별)'!H1133),",","")),"")</f>
        <v>-7683</v>
      </c>
    </row>
    <row r="1130" customFormat="false" ht="15" hidden="false" customHeight="true" outlineLevel="0" collapsed="false">
      <c r="A1130" s="11" t="str">
        <f aca="false">TRIM('수출입 실적(품목별)'!A1134)</f>
        <v>2024.12</v>
      </c>
      <c r="B1130" s="17" t="n">
        <f aca="false">IFERROR(VALUE(LEFT($A1130,4)),"")</f>
        <v>2024</v>
      </c>
      <c r="C1130" s="17" t="n">
        <f aca="false">IFERROR(VALUE(RIGHT($A1130,2)),"")</f>
        <v>12</v>
      </c>
      <c r="D1130" s="17" t="n">
        <f aca="false">IFERROR(ROUNDUP($C1130/3,0),"")</f>
        <v>4</v>
      </c>
      <c r="E1130" s="11" t="str">
        <f aca="false">TRIM('수출입 실적(품목별)'!B1134)</f>
        <v>68</v>
      </c>
      <c r="F1130" s="11" t="str">
        <f aca="false">TRIM('수출입 실적(품목별)'!C1134)</f>
        <v>돌ㆍ플라스터(plaster)ㆍ시멘트ㆍ석면ㆍ운모나 이와 유사한 재료의 제품</v>
      </c>
      <c r="G1130" s="18" t="n">
        <f aca="false">IFERROR(VALUE(SUBSTITUTE(TRIM('수출입 실적(품목별)'!D1134),",","")),"")</f>
        <v>10782.6</v>
      </c>
      <c r="H1130" s="19" t="n">
        <f aca="false">IFERROR(VALUE(SUBSTITUTE(TRIM('수출입 실적(품목별)'!E1134),",","")),"")</f>
        <v>78810</v>
      </c>
      <c r="I1130" s="18" t="n">
        <f aca="false">IFERROR(VALUE(SUBSTITUTE(TRIM('수출입 실적(품목별)'!F1134),",","")),"")</f>
        <v>232537.3</v>
      </c>
      <c r="J1130" s="19" t="n">
        <f aca="false">IFERROR(VALUE(SUBSTITUTE(TRIM('수출입 실적(품목별)'!G1134),",","")),"")</f>
        <v>112514</v>
      </c>
      <c r="K1130" s="19" t="n">
        <f aca="false">IFERROR(VALUE(SUBSTITUTE(TRIM('수출입 실적(품목별)'!H1134),",","")),"")</f>
        <v>-33703</v>
      </c>
    </row>
    <row r="1131" customFormat="false" ht="15" hidden="false" customHeight="true" outlineLevel="0" collapsed="false">
      <c r="A1131" s="11" t="str">
        <f aca="false">TRIM('수출입 실적(품목별)'!A1135)</f>
        <v>2024.12</v>
      </c>
      <c r="B1131" s="17" t="n">
        <f aca="false">IFERROR(VALUE(LEFT($A1131,4)),"")</f>
        <v>2024</v>
      </c>
      <c r="C1131" s="17" t="n">
        <f aca="false">IFERROR(VALUE(RIGHT($A1131,2)),"")</f>
        <v>12</v>
      </c>
      <c r="D1131" s="17" t="n">
        <f aca="false">IFERROR(ROUNDUP($C1131/3,0),"")</f>
        <v>4</v>
      </c>
      <c r="E1131" s="11" t="str">
        <f aca="false">TRIM('수출입 실적(품목별)'!B1135)</f>
        <v>69</v>
      </c>
      <c r="F1131" s="11" t="str">
        <f aca="false">TRIM('수출입 실적(품목별)'!C1135)</f>
        <v>도자제품</v>
      </c>
      <c r="G1131" s="18" t="n">
        <f aca="false">IFERROR(VALUE(SUBSTITUTE(TRIM('수출입 실적(품목별)'!D1135),",","")),"")</f>
        <v>2224.1</v>
      </c>
      <c r="H1131" s="19" t="n">
        <f aca="false">IFERROR(VALUE(SUBSTITUTE(TRIM('수출입 실적(품목별)'!E1135),",","")),"")</f>
        <v>27516</v>
      </c>
      <c r="I1131" s="18" t="n">
        <f aca="false">IFERROR(VALUE(SUBSTITUTE(TRIM('수출입 실적(품목별)'!F1135),",","")),"")</f>
        <v>162693.2</v>
      </c>
      <c r="J1131" s="19" t="n">
        <f aca="false">IFERROR(VALUE(SUBSTITUTE(TRIM('수출입 실적(품목별)'!G1135),",","")),"")</f>
        <v>148122</v>
      </c>
      <c r="K1131" s="19" t="n">
        <f aca="false">IFERROR(VALUE(SUBSTITUTE(TRIM('수출입 실적(품목별)'!H1135),",","")),"")</f>
        <v>-120607</v>
      </c>
    </row>
    <row r="1132" customFormat="false" ht="15" hidden="false" customHeight="true" outlineLevel="0" collapsed="false">
      <c r="A1132" s="11" t="str">
        <f aca="false">TRIM('수출입 실적(품목별)'!A1136)</f>
        <v>2024.12</v>
      </c>
      <c r="B1132" s="17" t="n">
        <f aca="false">IFERROR(VALUE(LEFT($A1132,4)),"")</f>
        <v>2024</v>
      </c>
      <c r="C1132" s="17" t="n">
        <f aca="false">IFERROR(VALUE(RIGHT($A1132,2)),"")</f>
        <v>12</v>
      </c>
      <c r="D1132" s="17" t="n">
        <f aca="false">IFERROR(ROUNDUP($C1132/3,0),"")</f>
        <v>4</v>
      </c>
      <c r="E1132" s="11" t="str">
        <f aca="false">TRIM('수출입 실적(품목별)'!B1136)</f>
        <v>70</v>
      </c>
      <c r="F1132" s="11" t="str">
        <f aca="false">TRIM('수출입 실적(품목별)'!C1136)</f>
        <v>유리와 유리제품</v>
      </c>
      <c r="G1132" s="18" t="n">
        <f aca="false">IFERROR(VALUE(SUBSTITUTE(TRIM('수출입 실적(품목별)'!D1136),",","")),"")</f>
        <v>30528</v>
      </c>
      <c r="H1132" s="19" t="n">
        <f aca="false">IFERROR(VALUE(SUBSTITUTE(TRIM('수출입 실적(품목별)'!E1136),",","")),"")</f>
        <v>175753</v>
      </c>
      <c r="I1132" s="18" t="n">
        <f aca="false">IFERROR(VALUE(SUBSTITUTE(TRIM('수출입 실적(품목별)'!F1136),",","")),"")</f>
        <v>87527.2</v>
      </c>
      <c r="J1132" s="19" t="n">
        <f aca="false">IFERROR(VALUE(SUBSTITUTE(TRIM('수출입 실적(품목별)'!G1136),",","")),"")</f>
        <v>219791</v>
      </c>
      <c r="K1132" s="19" t="n">
        <f aca="false">IFERROR(VALUE(SUBSTITUTE(TRIM('수출입 실적(품목별)'!H1136),",","")),"")</f>
        <v>-44038</v>
      </c>
    </row>
    <row r="1133" customFormat="false" ht="15" hidden="false" customHeight="true" outlineLevel="0" collapsed="false">
      <c r="A1133" s="11" t="str">
        <f aca="false">TRIM('수출입 실적(품목별)'!A1137)</f>
        <v>2024.12</v>
      </c>
      <c r="B1133" s="17" t="n">
        <f aca="false">IFERROR(VALUE(LEFT($A1133,4)),"")</f>
        <v>2024</v>
      </c>
      <c r="C1133" s="17" t="n">
        <f aca="false">IFERROR(VALUE(RIGHT($A1133,2)),"")</f>
        <v>12</v>
      </c>
      <c r="D1133" s="17" t="n">
        <f aca="false">IFERROR(ROUNDUP($C1133/3,0),"")</f>
        <v>4</v>
      </c>
      <c r="E1133" s="11" t="str">
        <f aca="false">TRIM('수출입 실적(품목별)'!B1137)</f>
        <v>71</v>
      </c>
      <c r="F1133" s="11" t="str">
        <f aca="false">TRIM('수출입 실적(품목별)'!C1137)</f>
        <v>천연진주ㆍ양식진주ㆍ귀석ㆍ반귀석ㆍ귀금속ㆍ귀금속을 입힌 금속과 이들의 제품, 모조 신변장식용품, 주화</v>
      </c>
      <c r="G1133" s="18" t="n">
        <f aca="false">IFERROR(VALUE(SUBSTITUTE(TRIM('수출입 실적(품목별)'!D1137),",","")),"")</f>
        <v>578.9</v>
      </c>
      <c r="H1133" s="19" t="n">
        <f aca="false">IFERROR(VALUE(SUBSTITUTE(TRIM('수출입 실적(품목별)'!E1137),",","")),"")</f>
        <v>407576</v>
      </c>
      <c r="I1133" s="18" t="n">
        <f aca="false">IFERROR(VALUE(SUBSTITUTE(TRIM('수출입 실적(품목별)'!F1137),",","")),"")</f>
        <v>910.3</v>
      </c>
      <c r="J1133" s="19" t="n">
        <f aca="false">IFERROR(VALUE(SUBSTITUTE(TRIM('수출입 실적(품목별)'!G1137),",","")),"")</f>
        <v>487820</v>
      </c>
      <c r="K1133" s="19" t="n">
        <f aca="false">IFERROR(VALUE(SUBSTITUTE(TRIM('수출입 실적(품목별)'!H1137),",","")),"")</f>
        <v>-80244</v>
      </c>
    </row>
    <row r="1134" customFormat="false" ht="15" hidden="false" customHeight="true" outlineLevel="0" collapsed="false">
      <c r="A1134" s="11" t="str">
        <f aca="false">TRIM('수출입 실적(품목별)'!A1138)</f>
        <v>2024.12</v>
      </c>
      <c r="B1134" s="17" t="n">
        <f aca="false">IFERROR(VALUE(LEFT($A1134,4)),"")</f>
        <v>2024</v>
      </c>
      <c r="C1134" s="17" t="n">
        <f aca="false">IFERROR(VALUE(RIGHT($A1134,2)),"")</f>
        <v>12</v>
      </c>
      <c r="D1134" s="17" t="n">
        <f aca="false">IFERROR(ROUNDUP($C1134/3,0),"")</f>
        <v>4</v>
      </c>
      <c r="E1134" s="11" t="str">
        <f aca="false">TRIM('수출입 실적(품목별)'!B1138)</f>
        <v>72</v>
      </c>
      <c r="F1134" s="11" t="str">
        <f aca="false">TRIM('수출입 실적(품목별)'!C1138)</f>
        <v>철강</v>
      </c>
      <c r="G1134" s="18" t="n">
        <f aca="false">IFERROR(VALUE(SUBSTITUTE(TRIM('수출입 실적(품목별)'!D1138),",","")),"")</f>
        <v>2459228.4</v>
      </c>
      <c r="H1134" s="19" t="n">
        <f aca="false">IFERROR(VALUE(SUBSTITUTE(TRIM('수출입 실적(품목별)'!E1138),",","")),"")</f>
        <v>2069818</v>
      </c>
      <c r="I1134" s="18" t="n">
        <f aca="false">IFERROR(VALUE(SUBSTITUTE(TRIM('수출입 실적(품목별)'!F1138),",","")),"")</f>
        <v>1308926.6</v>
      </c>
      <c r="J1134" s="19" t="n">
        <f aca="false">IFERROR(VALUE(SUBSTITUTE(TRIM('수출입 실적(품목별)'!G1138),",","")),"")</f>
        <v>1039294</v>
      </c>
      <c r="K1134" s="19" t="n">
        <f aca="false">IFERROR(VALUE(SUBSTITUTE(TRIM('수출입 실적(품목별)'!H1138),",","")),"")</f>
        <v>1030524</v>
      </c>
    </row>
    <row r="1135" customFormat="false" ht="15" hidden="false" customHeight="true" outlineLevel="0" collapsed="false">
      <c r="A1135" s="11" t="str">
        <f aca="false">TRIM('수출입 실적(품목별)'!A1139)</f>
        <v>2024.12</v>
      </c>
      <c r="B1135" s="17" t="n">
        <f aca="false">IFERROR(VALUE(LEFT($A1135,4)),"")</f>
        <v>2024</v>
      </c>
      <c r="C1135" s="17" t="n">
        <f aca="false">IFERROR(VALUE(RIGHT($A1135,2)),"")</f>
        <v>12</v>
      </c>
      <c r="D1135" s="17" t="n">
        <f aca="false">IFERROR(ROUNDUP($C1135/3,0),"")</f>
        <v>4</v>
      </c>
      <c r="E1135" s="11" t="str">
        <f aca="false">TRIM('수출입 실적(품목별)'!B1139)</f>
        <v>73</v>
      </c>
      <c r="F1135" s="11" t="str">
        <f aca="false">TRIM('수출입 실적(품목별)'!C1139)</f>
        <v>철강의 제품</v>
      </c>
      <c r="G1135" s="18" t="n">
        <f aca="false">IFERROR(VALUE(SUBSTITUTE(TRIM('수출입 실적(품목별)'!D1139),",","")),"")</f>
        <v>297121.7</v>
      </c>
      <c r="H1135" s="19" t="n">
        <f aca="false">IFERROR(VALUE(SUBSTITUTE(TRIM('수출입 실적(품목별)'!E1139),",","")),"")</f>
        <v>823416</v>
      </c>
      <c r="I1135" s="18" t="n">
        <f aca="false">IFERROR(VALUE(SUBSTITUTE(TRIM('수출입 실적(품목별)'!F1139),",","")),"")</f>
        <v>264659.7</v>
      </c>
      <c r="J1135" s="19" t="n">
        <f aca="false">IFERROR(VALUE(SUBSTITUTE(TRIM('수출입 실적(품목별)'!G1139),",","")),"")</f>
        <v>868381</v>
      </c>
      <c r="K1135" s="19" t="n">
        <f aca="false">IFERROR(VALUE(SUBSTITUTE(TRIM('수출입 실적(품목별)'!H1139),",","")),"")</f>
        <v>-44965</v>
      </c>
    </row>
    <row r="1136" customFormat="false" ht="15" hidden="false" customHeight="true" outlineLevel="0" collapsed="false">
      <c r="A1136" s="11" t="str">
        <f aca="false">TRIM('수출입 실적(품목별)'!A1140)</f>
        <v>2024.12</v>
      </c>
      <c r="B1136" s="17" t="n">
        <f aca="false">IFERROR(VALUE(LEFT($A1136,4)),"")</f>
        <v>2024</v>
      </c>
      <c r="C1136" s="17" t="n">
        <f aca="false">IFERROR(VALUE(RIGHT($A1136,2)),"")</f>
        <v>12</v>
      </c>
      <c r="D1136" s="17" t="n">
        <f aca="false">IFERROR(ROUNDUP($C1136/3,0),"")</f>
        <v>4</v>
      </c>
      <c r="E1136" s="11" t="str">
        <f aca="false">TRIM('수출입 실적(품목별)'!B1140)</f>
        <v>74</v>
      </c>
      <c r="F1136" s="11" t="str">
        <f aca="false">TRIM('수출입 실적(품목별)'!C1140)</f>
        <v>구리와 그 제품</v>
      </c>
      <c r="G1136" s="18" t="n">
        <f aca="false">IFERROR(VALUE(SUBSTITUTE(TRIM('수출입 실적(품목별)'!D1140),",","")),"")</f>
        <v>62525.9</v>
      </c>
      <c r="H1136" s="19" t="n">
        <f aca="false">IFERROR(VALUE(SUBSTITUTE(TRIM('수출입 실적(품목별)'!E1140),",","")),"")</f>
        <v>565743</v>
      </c>
      <c r="I1136" s="18" t="n">
        <f aca="false">IFERROR(VALUE(SUBSTITUTE(TRIM('수출입 실적(품목별)'!F1140),",","")),"")</f>
        <v>67864.1</v>
      </c>
      <c r="J1136" s="19" t="n">
        <f aca="false">IFERROR(VALUE(SUBSTITUTE(TRIM('수출입 실적(품목별)'!G1140),",","")),"")</f>
        <v>611734</v>
      </c>
      <c r="K1136" s="19" t="n">
        <f aca="false">IFERROR(VALUE(SUBSTITUTE(TRIM('수출입 실적(품목별)'!H1140),",","")),"")</f>
        <v>-45990</v>
      </c>
    </row>
    <row r="1137" customFormat="false" ht="15" hidden="false" customHeight="true" outlineLevel="0" collapsed="false">
      <c r="A1137" s="11" t="str">
        <f aca="false">TRIM('수출입 실적(품목별)'!A1141)</f>
        <v>2024.12</v>
      </c>
      <c r="B1137" s="17" t="n">
        <f aca="false">IFERROR(VALUE(LEFT($A1137,4)),"")</f>
        <v>2024</v>
      </c>
      <c r="C1137" s="17" t="n">
        <f aca="false">IFERROR(VALUE(RIGHT($A1137,2)),"")</f>
        <v>12</v>
      </c>
      <c r="D1137" s="17" t="n">
        <f aca="false">IFERROR(ROUNDUP($C1137/3,0),"")</f>
        <v>4</v>
      </c>
      <c r="E1137" s="11" t="str">
        <f aca="false">TRIM('수출입 실적(품목별)'!B1141)</f>
        <v>75</v>
      </c>
      <c r="F1137" s="11" t="str">
        <f aca="false">TRIM('수출입 실적(품목별)'!C1141)</f>
        <v>니켈과 그 제품</v>
      </c>
      <c r="G1137" s="18" t="n">
        <f aca="false">IFERROR(VALUE(SUBSTITUTE(TRIM('수출입 실적(품목별)'!D1141),",","")),"")</f>
        <v>1376.1</v>
      </c>
      <c r="H1137" s="19" t="n">
        <f aca="false">IFERROR(VALUE(SUBSTITUTE(TRIM('수출입 실적(품목별)'!E1141),",","")),"")</f>
        <v>16242</v>
      </c>
      <c r="I1137" s="18" t="n">
        <f aca="false">IFERROR(VALUE(SUBSTITUTE(TRIM('수출입 실적(품목별)'!F1141),",","")),"")</f>
        <v>5931.8</v>
      </c>
      <c r="J1137" s="19" t="n">
        <f aca="false">IFERROR(VALUE(SUBSTITUTE(TRIM('수출입 실적(품목별)'!G1141),",","")),"")</f>
        <v>118273</v>
      </c>
      <c r="K1137" s="19" t="n">
        <f aca="false">IFERROR(VALUE(SUBSTITUTE(TRIM('수출입 실적(품목별)'!H1141),",","")),"")</f>
        <v>-102031</v>
      </c>
    </row>
    <row r="1138" customFormat="false" ht="15" hidden="false" customHeight="true" outlineLevel="0" collapsed="false">
      <c r="A1138" s="11" t="str">
        <f aca="false">TRIM('수출입 실적(품목별)'!A1142)</f>
        <v>2024.12</v>
      </c>
      <c r="B1138" s="17" t="n">
        <f aca="false">IFERROR(VALUE(LEFT($A1138,4)),"")</f>
        <v>2024</v>
      </c>
      <c r="C1138" s="17" t="n">
        <f aca="false">IFERROR(VALUE(RIGHT($A1138,2)),"")</f>
        <v>12</v>
      </c>
      <c r="D1138" s="17" t="n">
        <f aca="false">IFERROR(ROUNDUP($C1138/3,0),"")</f>
        <v>4</v>
      </c>
      <c r="E1138" s="11" t="str">
        <f aca="false">TRIM('수출입 실적(품목별)'!B1142)</f>
        <v>76</v>
      </c>
      <c r="F1138" s="11" t="str">
        <f aca="false">TRIM('수출입 실적(품목별)'!C1142)</f>
        <v>알루미늄과 그 제품</v>
      </c>
      <c r="G1138" s="18" t="n">
        <f aca="false">IFERROR(VALUE(SUBSTITUTE(TRIM('수출입 실적(품목별)'!D1142),",","")),"")</f>
        <v>123619.8</v>
      </c>
      <c r="H1138" s="19" t="n">
        <f aca="false">IFERROR(VALUE(SUBSTITUTE(TRIM('수출입 실적(품목별)'!E1142),",","")),"")</f>
        <v>481104</v>
      </c>
      <c r="I1138" s="18" t="n">
        <f aca="false">IFERROR(VALUE(SUBSTITUTE(TRIM('수출입 실적(품목별)'!F1142),",","")),"")</f>
        <v>240057.3</v>
      </c>
      <c r="J1138" s="19" t="n">
        <f aca="false">IFERROR(VALUE(SUBSTITUTE(TRIM('수출입 실적(품목별)'!G1142),",","")),"")</f>
        <v>733047</v>
      </c>
      <c r="K1138" s="19" t="n">
        <f aca="false">IFERROR(VALUE(SUBSTITUTE(TRIM('수출입 실적(품목별)'!H1142),",","")),"")</f>
        <v>-251943</v>
      </c>
    </row>
    <row r="1139" customFormat="false" ht="15" hidden="false" customHeight="true" outlineLevel="0" collapsed="false">
      <c r="A1139" s="11" t="str">
        <f aca="false">TRIM('수출입 실적(품목별)'!A1143)</f>
        <v>2024.12</v>
      </c>
      <c r="B1139" s="17" t="n">
        <f aca="false">IFERROR(VALUE(LEFT($A1139,4)),"")</f>
        <v>2024</v>
      </c>
      <c r="C1139" s="17" t="n">
        <f aca="false">IFERROR(VALUE(RIGHT($A1139,2)),"")</f>
        <v>12</v>
      </c>
      <c r="D1139" s="17" t="n">
        <f aca="false">IFERROR(ROUNDUP($C1139/3,0),"")</f>
        <v>4</v>
      </c>
      <c r="E1139" s="11" t="str">
        <f aca="false">TRIM('수출입 실적(품목별)'!B1143)</f>
        <v>78</v>
      </c>
      <c r="F1139" s="11" t="str">
        <f aca="false">TRIM('수출입 실적(품목별)'!C1143)</f>
        <v>납과 그 제품</v>
      </c>
      <c r="G1139" s="18" t="n">
        <f aca="false">IFERROR(VALUE(SUBSTITUTE(TRIM('수출입 실적(품목별)'!D1143),",","")),"")</f>
        <v>33310.8</v>
      </c>
      <c r="H1139" s="19" t="n">
        <f aca="false">IFERROR(VALUE(SUBSTITUTE(TRIM('수출입 실적(품목별)'!E1143),",","")),"")</f>
        <v>72731</v>
      </c>
      <c r="I1139" s="18" t="n">
        <f aca="false">IFERROR(VALUE(SUBSTITUTE(TRIM('수출입 실적(품목별)'!F1143),",","")),"")</f>
        <v>16810</v>
      </c>
      <c r="J1139" s="19" t="n">
        <f aca="false">IFERROR(VALUE(SUBSTITUTE(TRIM('수출입 실적(품목별)'!G1143),",","")),"")</f>
        <v>35862</v>
      </c>
      <c r="K1139" s="19" t="n">
        <f aca="false">IFERROR(VALUE(SUBSTITUTE(TRIM('수출입 실적(품목별)'!H1143),",","")),"")</f>
        <v>36869</v>
      </c>
    </row>
    <row r="1140" customFormat="false" ht="15" hidden="false" customHeight="true" outlineLevel="0" collapsed="false">
      <c r="A1140" s="11" t="str">
        <f aca="false">TRIM('수출입 실적(품목별)'!A1144)</f>
        <v>2024.12</v>
      </c>
      <c r="B1140" s="17" t="n">
        <f aca="false">IFERROR(VALUE(LEFT($A1140,4)),"")</f>
        <v>2024</v>
      </c>
      <c r="C1140" s="17" t="n">
        <f aca="false">IFERROR(VALUE(RIGHT($A1140,2)),"")</f>
        <v>12</v>
      </c>
      <c r="D1140" s="17" t="n">
        <f aca="false">IFERROR(ROUNDUP($C1140/3,0),"")</f>
        <v>4</v>
      </c>
      <c r="E1140" s="11" t="str">
        <f aca="false">TRIM('수출입 실적(품목별)'!B1144)</f>
        <v>79</v>
      </c>
      <c r="F1140" s="11" t="str">
        <f aca="false">TRIM('수출입 실적(품목별)'!C1144)</f>
        <v>아연과 그 제품</v>
      </c>
      <c r="G1140" s="18" t="n">
        <f aca="false">IFERROR(VALUE(SUBSTITUTE(TRIM('수출입 실적(품목별)'!D1144),",","")),"")</f>
        <v>43170.9</v>
      </c>
      <c r="H1140" s="19" t="n">
        <f aca="false">IFERROR(VALUE(SUBSTITUTE(TRIM('수출입 실적(품목별)'!E1144),",","")),"")</f>
        <v>135900</v>
      </c>
      <c r="I1140" s="18" t="n">
        <f aca="false">IFERROR(VALUE(SUBSTITUTE(TRIM('수출입 실적(품목별)'!F1144),",","")),"")</f>
        <v>4646.4</v>
      </c>
      <c r="J1140" s="19" t="n">
        <f aca="false">IFERROR(VALUE(SUBSTITUTE(TRIM('수출입 실적(품목별)'!G1144),",","")),"")</f>
        <v>15882</v>
      </c>
      <c r="K1140" s="19" t="n">
        <f aca="false">IFERROR(VALUE(SUBSTITUTE(TRIM('수출입 실적(품목별)'!H1144),",","")),"")</f>
        <v>120018</v>
      </c>
    </row>
    <row r="1141" customFormat="false" ht="15" hidden="false" customHeight="true" outlineLevel="0" collapsed="false">
      <c r="A1141" s="11" t="str">
        <f aca="false">TRIM('수출입 실적(품목별)'!A1145)</f>
        <v>2024.12</v>
      </c>
      <c r="B1141" s="17" t="n">
        <f aca="false">IFERROR(VALUE(LEFT($A1141,4)),"")</f>
        <v>2024</v>
      </c>
      <c r="C1141" s="17" t="n">
        <f aca="false">IFERROR(VALUE(RIGHT($A1141,2)),"")</f>
        <v>12</v>
      </c>
      <c r="D1141" s="17" t="n">
        <f aca="false">IFERROR(ROUNDUP($C1141/3,0),"")</f>
        <v>4</v>
      </c>
      <c r="E1141" s="11" t="str">
        <f aca="false">TRIM('수출입 실적(품목별)'!B1145)</f>
        <v>80</v>
      </c>
      <c r="F1141" s="11" t="str">
        <f aca="false">TRIM('수출입 실적(품목별)'!C1145)</f>
        <v>주석과 그 제품</v>
      </c>
      <c r="G1141" s="18" t="n">
        <f aca="false">IFERROR(VALUE(SUBSTITUTE(TRIM('수출입 실적(품목별)'!D1145),",","")),"")</f>
        <v>151.1</v>
      </c>
      <c r="H1141" s="19" t="n">
        <f aca="false">IFERROR(VALUE(SUBSTITUTE(TRIM('수출입 실적(품목별)'!E1145),",","")),"")</f>
        <v>5161</v>
      </c>
      <c r="I1141" s="18" t="n">
        <f aca="false">IFERROR(VALUE(SUBSTITUTE(TRIM('수출입 실적(품목별)'!F1145),",","")),"")</f>
        <v>1057.1</v>
      </c>
      <c r="J1141" s="19" t="n">
        <f aca="false">IFERROR(VALUE(SUBSTITUTE(TRIM('수출입 실적(품목별)'!G1145),",","")),"")</f>
        <v>37074</v>
      </c>
      <c r="K1141" s="19" t="n">
        <f aca="false">IFERROR(VALUE(SUBSTITUTE(TRIM('수출입 실적(품목별)'!H1145),",","")),"")</f>
        <v>-31913</v>
      </c>
    </row>
    <row r="1142" customFormat="false" ht="15" hidden="false" customHeight="true" outlineLevel="0" collapsed="false">
      <c r="A1142" s="11" t="str">
        <f aca="false">TRIM('수출입 실적(품목별)'!A1146)</f>
        <v>2024.12</v>
      </c>
      <c r="B1142" s="17" t="n">
        <f aca="false">IFERROR(VALUE(LEFT($A1142,4)),"")</f>
        <v>2024</v>
      </c>
      <c r="C1142" s="17" t="n">
        <f aca="false">IFERROR(VALUE(RIGHT($A1142,2)),"")</f>
        <v>12</v>
      </c>
      <c r="D1142" s="17" t="n">
        <f aca="false">IFERROR(ROUNDUP($C1142/3,0),"")</f>
        <v>4</v>
      </c>
      <c r="E1142" s="11" t="str">
        <f aca="false">TRIM('수출입 실적(품목별)'!B1146)</f>
        <v>81</v>
      </c>
      <c r="F1142" s="11" t="str">
        <f aca="false">TRIM('수출입 실적(품목별)'!C1146)</f>
        <v>그 밖의 비금속(卑金屬), 서멧(cermet), 이들의 제품</v>
      </c>
      <c r="G1142" s="18" t="n">
        <f aca="false">IFERROR(VALUE(SUBSTITUTE(TRIM('수출입 실적(품목별)'!D1146),",","")),"")</f>
        <v>3212.8</v>
      </c>
      <c r="H1142" s="19" t="n">
        <f aca="false">IFERROR(VALUE(SUBSTITUTE(TRIM('수출입 실적(품목별)'!E1146),",","")),"")</f>
        <v>39032</v>
      </c>
      <c r="I1142" s="18" t="n">
        <f aca="false">IFERROR(VALUE(SUBSTITUTE(TRIM('수출입 실적(품목별)'!F1146),",","")),"")</f>
        <v>15852.6</v>
      </c>
      <c r="J1142" s="19" t="n">
        <f aca="false">IFERROR(VALUE(SUBSTITUTE(TRIM('수출입 실적(품목별)'!G1146),",","")),"")</f>
        <v>126476</v>
      </c>
      <c r="K1142" s="19" t="n">
        <f aca="false">IFERROR(VALUE(SUBSTITUTE(TRIM('수출입 실적(품목별)'!H1146),",","")),"")</f>
        <v>-87444</v>
      </c>
    </row>
    <row r="1143" customFormat="false" ht="15" hidden="false" customHeight="true" outlineLevel="0" collapsed="false">
      <c r="A1143" s="11" t="str">
        <f aca="false">TRIM('수출입 실적(품목별)'!A1147)</f>
        <v>2024.12</v>
      </c>
      <c r="B1143" s="17" t="n">
        <f aca="false">IFERROR(VALUE(LEFT($A1143,4)),"")</f>
        <v>2024</v>
      </c>
      <c r="C1143" s="17" t="n">
        <f aca="false">IFERROR(VALUE(RIGHT($A1143,2)),"")</f>
        <v>12</v>
      </c>
      <c r="D1143" s="17" t="n">
        <f aca="false">IFERROR(ROUNDUP($C1143/3,0),"")</f>
        <v>4</v>
      </c>
      <c r="E1143" s="11" t="str">
        <f aca="false">TRIM('수출입 실적(품목별)'!B1147)</f>
        <v>82</v>
      </c>
      <c r="F1143" s="11" t="str">
        <f aca="false">TRIM('수출입 실적(품목별)'!C1147)</f>
        <v>비금속(卑金屬)으로 만든 공구ㆍ도구ㆍ칼붙이ㆍ스푼ㆍ포크, 이들의 부분품</v>
      </c>
      <c r="G1143" s="18" t="n">
        <f aca="false">IFERROR(VALUE(SUBSTITUTE(TRIM('수출입 실적(품목별)'!D1147),",","")),"")</f>
        <v>6268.7</v>
      </c>
      <c r="H1143" s="19" t="n">
        <f aca="false">IFERROR(VALUE(SUBSTITUTE(TRIM('수출입 실적(품목별)'!E1147),",","")),"")</f>
        <v>137173</v>
      </c>
      <c r="I1143" s="18" t="n">
        <f aca="false">IFERROR(VALUE(SUBSTITUTE(TRIM('수출입 실적(품목별)'!F1147),",","")),"")</f>
        <v>5841.4</v>
      </c>
      <c r="J1143" s="19" t="n">
        <f aca="false">IFERROR(VALUE(SUBSTITUTE(TRIM('수출입 실적(품목별)'!G1147),",","")),"")</f>
        <v>92512</v>
      </c>
      <c r="K1143" s="19" t="n">
        <f aca="false">IFERROR(VALUE(SUBSTITUTE(TRIM('수출입 실적(품목별)'!H1147),",","")),"")</f>
        <v>44660</v>
      </c>
    </row>
    <row r="1144" customFormat="false" ht="15" hidden="false" customHeight="true" outlineLevel="0" collapsed="false">
      <c r="A1144" s="11" t="str">
        <f aca="false">TRIM('수출입 실적(품목별)'!A1148)</f>
        <v>2024.12</v>
      </c>
      <c r="B1144" s="17" t="n">
        <f aca="false">IFERROR(VALUE(LEFT($A1144,4)),"")</f>
        <v>2024</v>
      </c>
      <c r="C1144" s="17" t="n">
        <f aca="false">IFERROR(VALUE(RIGHT($A1144,2)),"")</f>
        <v>12</v>
      </c>
      <c r="D1144" s="17" t="n">
        <f aca="false">IFERROR(ROUNDUP($C1144/3,0),"")</f>
        <v>4</v>
      </c>
      <c r="E1144" s="11" t="str">
        <f aca="false">TRIM('수출입 실적(품목별)'!B1148)</f>
        <v>83</v>
      </c>
      <c r="F1144" s="11" t="str">
        <f aca="false">TRIM('수출입 실적(품목별)'!C1148)</f>
        <v>비금속(卑金屬)으로 만든 각종 제품</v>
      </c>
      <c r="G1144" s="18" t="n">
        <f aca="false">IFERROR(VALUE(SUBSTITUTE(TRIM('수출입 실적(품목별)'!D1148),",","")),"")</f>
        <v>25843.8</v>
      </c>
      <c r="H1144" s="19" t="n">
        <f aca="false">IFERROR(VALUE(SUBSTITUTE(TRIM('수출입 실적(품목별)'!E1148),",","")),"")</f>
        <v>144909</v>
      </c>
      <c r="I1144" s="18" t="n">
        <f aca="false">IFERROR(VALUE(SUBSTITUTE(TRIM('수출입 실적(품목별)'!F1148),",","")),"")</f>
        <v>13253.9</v>
      </c>
      <c r="J1144" s="19" t="n">
        <f aca="false">IFERROR(VALUE(SUBSTITUTE(TRIM('수출입 실적(품목별)'!G1148),",","")),"")</f>
        <v>89189</v>
      </c>
      <c r="K1144" s="19" t="n">
        <f aca="false">IFERROR(VALUE(SUBSTITUTE(TRIM('수출입 실적(품목별)'!H1148),",","")),"")</f>
        <v>55720</v>
      </c>
    </row>
    <row r="1145" customFormat="false" ht="15" hidden="false" customHeight="true" outlineLevel="0" collapsed="false">
      <c r="A1145" s="11" t="str">
        <f aca="false">TRIM('수출입 실적(품목별)'!A1149)</f>
        <v>2024.12</v>
      </c>
      <c r="B1145" s="17" t="n">
        <f aca="false">IFERROR(VALUE(LEFT($A1145,4)),"")</f>
        <v>2024</v>
      </c>
      <c r="C1145" s="17" t="n">
        <f aca="false">IFERROR(VALUE(RIGHT($A1145,2)),"")</f>
        <v>12</v>
      </c>
      <c r="D1145" s="17" t="n">
        <f aca="false">IFERROR(ROUNDUP($C1145/3,0),"")</f>
        <v>4</v>
      </c>
      <c r="E1145" s="11" t="str">
        <f aca="false">TRIM('수출입 실적(품목별)'!B1149)</f>
        <v>84</v>
      </c>
      <c r="F1145" s="11" t="str">
        <f aca="false">TRIM('수출입 실적(품목별)'!C1149)</f>
        <v>원자로ㆍ보일러ㆍ기계류와 이들의 부분품</v>
      </c>
      <c r="G1145" s="18" t="n">
        <f aca="false">IFERROR(VALUE(SUBSTITUTE(TRIM('수출입 실적(품목별)'!D1149),",","")),"")</f>
        <v>366389.4</v>
      </c>
      <c r="H1145" s="19" t="n">
        <f aca="false">IFERROR(VALUE(SUBSTITUTE(TRIM('수출입 실적(품목별)'!E1149),",","")),"")</f>
        <v>7773055</v>
      </c>
      <c r="I1145" s="18" t="n">
        <f aca="false">IFERROR(VALUE(SUBSTITUTE(TRIM('수출입 실적(품목별)'!F1149),",","")),"")</f>
        <v>203976.4</v>
      </c>
      <c r="J1145" s="19" t="n">
        <f aca="false">IFERROR(VALUE(SUBSTITUTE(TRIM('수출입 실적(품목별)'!G1149),",","")),"")</f>
        <v>6579785</v>
      </c>
      <c r="K1145" s="19" t="n">
        <f aca="false">IFERROR(VALUE(SUBSTITUTE(TRIM('수출입 실적(품목별)'!H1149),",","")),"")</f>
        <v>1193271</v>
      </c>
    </row>
    <row r="1146" customFormat="false" ht="15" hidden="false" customHeight="true" outlineLevel="0" collapsed="false">
      <c r="A1146" s="11" t="str">
        <f aca="false">TRIM('수출입 실적(품목별)'!A1150)</f>
        <v>2024.12</v>
      </c>
      <c r="B1146" s="17" t="n">
        <f aca="false">IFERROR(VALUE(LEFT($A1146,4)),"")</f>
        <v>2024</v>
      </c>
      <c r="C1146" s="17" t="n">
        <f aca="false">IFERROR(VALUE(RIGHT($A1146,2)),"")</f>
        <v>12</v>
      </c>
      <c r="D1146" s="17" t="n">
        <f aca="false">IFERROR(ROUNDUP($C1146/3,0),"")</f>
        <v>4</v>
      </c>
      <c r="E1146" s="11" t="str">
        <f aca="false">TRIM('수출입 실적(품목별)'!B1150)</f>
        <v>85</v>
      </c>
      <c r="F1146" s="11" t="str">
        <f aca="false">TRIM('수출입 실적(품목별)'!C1150)</f>
        <v>전기기기와 그 부분품, 녹음기ㆍ음성 재생기ㆍ텔레비전의 영상과 음성의 기록기ㆍ재생기와 이들의 부분품ㆍ부속품</v>
      </c>
      <c r="G1146" s="18" t="n">
        <f aca="false">IFERROR(VALUE(SUBSTITUTE(TRIM('수출입 실적(품목별)'!D1150),",","")),"")</f>
        <v>229624.2</v>
      </c>
      <c r="H1146" s="19" t="n">
        <f aca="false">IFERROR(VALUE(SUBSTITUTE(TRIM('수출입 실적(품목별)'!E1150),",","")),"")</f>
        <v>19866706</v>
      </c>
      <c r="I1146" s="18" t="n">
        <f aca="false">IFERROR(VALUE(SUBSTITUTE(TRIM('수출입 실적(품목별)'!F1150),",","")),"")</f>
        <v>206797.7</v>
      </c>
      <c r="J1146" s="19" t="n">
        <f aca="false">IFERROR(VALUE(SUBSTITUTE(TRIM('수출입 실적(품목별)'!G1150),",","")),"")</f>
        <v>11272882</v>
      </c>
      <c r="K1146" s="19" t="n">
        <f aca="false">IFERROR(VALUE(SUBSTITUTE(TRIM('수출입 실적(품목별)'!H1150),",","")),"")</f>
        <v>8593824</v>
      </c>
    </row>
    <row r="1147" customFormat="false" ht="15" hidden="false" customHeight="true" outlineLevel="0" collapsed="false">
      <c r="A1147" s="11" t="str">
        <f aca="false">TRIM('수출입 실적(품목별)'!A1151)</f>
        <v>2024.12</v>
      </c>
      <c r="B1147" s="17" t="n">
        <f aca="false">IFERROR(VALUE(LEFT($A1147,4)),"")</f>
        <v>2024</v>
      </c>
      <c r="C1147" s="17" t="n">
        <f aca="false">IFERROR(VALUE(RIGHT($A1147,2)),"")</f>
        <v>12</v>
      </c>
      <c r="D1147" s="17" t="n">
        <f aca="false">IFERROR(ROUNDUP($C1147/3,0),"")</f>
        <v>4</v>
      </c>
      <c r="E1147" s="11" t="str">
        <f aca="false">TRIM('수출입 실적(품목별)'!B1151)</f>
        <v>86</v>
      </c>
      <c r="F1147" s="11" t="str">
        <f aca="false">TRIM('수출입 실적(품목별)'!C1151)</f>
        <v>철도용이나 궤도용 기관차ㆍ차량과 이들의 부분품, 철도용이나 궤도용 장비품과 그 부분품, 기계식(전기기계식을 포함한다) 각종 교통신호용 기기</v>
      </c>
      <c r="G1147" s="18" t="n">
        <f aca="false">IFERROR(VALUE(SUBSTITUTE(TRIM('수출입 실적(품목별)'!D1151),",","")),"")</f>
        <v>12239.4</v>
      </c>
      <c r="H1147" s="19" t="n">
        <f aca="false">IFERROR(VALUE(SUBSTITUTE(TRIM('수출입 실적(품목별)'!E1151),",","")),"")</f>
        <v>102466</v>
      </c>
      <c r="I1147" s="18" t="n">
        <f aca="false">IFERROR(VALUE(SUBSTITUTE(TRIM('수출입 실적(품목별)'!F1151),",","")),"")</f>
        <v>12698.5</v>
      </c>
      <c r="J1147" s="19" t="n">
        <f aca="false">IFERROR(VALUE(SUBSTITUTE(TRIM('수출입 실적(품목별)'!G1151),",","")),"")</f>
        <v>38503</v>
      </c>
      <c r="K1147" s="19" t="n">
        <f aca="false">IFERROR(VALUE(SUBSTITUTE(TRIM('수출입 실적(품목별)'!H1151),",","")),"")</f>
        <v>63963</v>
      </c>
    </row>
    <row r="1148" customFormat="false" ht="15" hidden="false" customHeight="true" outlineLevel="0" collapsed="false">
      <c r="A1148" s="11" t="str">
        <f aca="false">TRIM('수출입 실적(품목별)'!A1152)</f>
        <v>2024.12</v>
      </c>
      <c r="B1148" s="17" t="n">
        <f aca="false">IFERROR(VALUE(LEFT($A1148,4)),"")</f>
        <v>2024</v>
      </c>
      <c r="C1148" s="17" t="n">
        <f aca="false">IFERROR(VALUE(RIGHT($A1148,2)),"")</f>
        <v>12</v>
      </c>
      <c r="D1148" s="17" t="n">
        <f aca="false">IFERROR(ROUNDUP($C1148/3,0),"")</f>
        <v>4</v>
      </c>
      <c r="E1148" s="11" t="str">
        <f aca="false">TRIM('수출입 실적(품목별)'!B1152)</f>
        <v>87</v>
      </c>
      <c r="F1148" s="11" t="str">
        <f aca="false">TRIM('수출입 실적(품목별)'!C1152)</f>
        <v>철도용이나 궤도용 외의 차량과 그 부분품ㆍ부속품</v>
      </c>
      <c r="G1148" s="18" t="n">
        <f aca="false">IFERROR(VALUE(SUBSTITUTE(TRIM('수출입 실적(품목별)'!D1152),",","")),"")</f>
        <v>745346.7</v>
      </c>
      <c r="H1148" s="19" t="n">
        <f aca="false">IFERROR(VALUE(SUBSTITUTE(TRIM('수출입 실적(품목별)'!E1152),",","")),"")</f>
        <v>7972166</v>
      </c>
      <c r="I1148" s="18" t="n">
        <f aca="false">IFERROR(VALUE(SUBSTITUTE(TRIM('수출입 실적(품목별)'!F1152),",","")),"")</f>
        <v>109998</v>
      </c>
      <c r="J1148" s="19" t="n">
        <f aca="false">IFERROR(VALUE(SUBSTITUTE(TRIM('수출입 실적(품목별)'!G1152),",","")),"")</f>
        <v>1718654</v>
      </c>
      <c r="K1148" s="19" t="n">
        <f aca="false">IFERROR(VALUE(SUBSTITUTE(TRIM('수출입 실적(품목별)'!H1152),",","")),"")</f>
        <v>6253512</v>
      </c>
    </row>
    <row r="1149" customFormat="false" ht="15" hidden="false" customHeight="true" outlineLevel="0" collapsed="false">
      <c r="A1149" s="11" t="str">
        <f aca="false">TRIM('수출입 실적(품목별)'!A1153)</f>
        <v>2024.12</v>
      </c>
      <c r="B1149" s="17" t="n">
        <f aca="false">IFERROR(VALUE(LEFT($A1149,4)),"")</f>
        <v>2024</v>
      </c>
      <c r="C1149" s="17" t="n">
        <f aca="false">IFERROR(VALUE(RIGHT($A1149,2)),"")</f>
        <v>12</v>
      </c>
      <c r="D1149" s="17" t="n">
        <f aca="false">IFERROR(ROUNDUP($C1149/3,0),"")</f>
        <v>4</v>
      </c>
      <c r="E1149" s="11" t="str">
        <f aca="false">TRIM('수출입 실적(품목별)'!B1153)</f>
        <v>88</v>
      </c>
      <c r="F1149" s="11" t="str">
        <f aca="false">TRIM('수출입 실적(품목별)'!C1153)</f>
        <v>항공기와 우주선, 이들의 부분품</v>
      </c>
      <c r="G1149" s="18" t="n">
        <f aca="false">IFERROR(VALUE(SUBSTITUTE(TRIM('수출입 실적(품목별)'!D1153),",","")),"")</f>
        <v>396.5</v>
      </c>
      <c r="H1149" s="19" t="n">
        <f aca="false">IFERROR(VALUE(SUBSTITUTE(TRIM('수출입 실적(품목별)'!E1153),",","")),"")</f>
        <v>119762</v>
      </c>
      <c r="I1149" s="18" t="n">
        <f aca="false">IFERROR(VALUE(SUBSTITUTE(TRIM('수출입 실적(품목별)'!F1153),",","")),"")</f>
        <v>951</v>
      </c>
      <c r="J1149" s="19" t="n">
        <f aca="false">IFERROR(VALUE(SUBSTITUTE(TRIM('수출입 실적(품목별)'!G1153),",","")),"")</f>
        <v>683631</v>
      </c>
      <c r="K1149" s="19" t="n">
        <f aca="false">IFERROR(VALUE(SUBSTITUTE(TRIM('수출입 실적(품목별)'!H1153),",","")),"")</f>
        <v>-563870</v>
      </c>
    </row>
    <row r="1150" customFormat="false" ht="15" hidden="false" customHeight="true" outlineLevel="0" collapsed="false">
      <c r="A1150" s="11" t="str">
        <f aca="false">TRIM('수출입 실적(품목별)'!A1154)</f>
        <v>2024.12</v>
      </c>
      <c r="B1150" s="17" t="n">
        <f aca="false">IFERROR(VALUE(LEFT($A1150,4)),"")</f>
        <v>2024</v>
      </c>
      <c r="C1150" s="17" t="n">
        <f aca="false">IFERROR(VALUE(RIGHT($A1150,2)),"")</f>
        <v>12</v>
      </c>
      <c r="D1150" s="17" t="n">
        <f aca="false">IFERROR(ROUNDUP($C1150/3,0),"")</f>
        <v>4</v>
      </c>
      <c r="E1150" s="11" t="str">
        <f aca="false">TRIM('수출입 실적(품목별)'!B1154)</f>
        <v>89</v>
      </c>
      <c r="F1150" s="11" t="str">
        <f aca="false">TRIM('수출입 실적(품목별)'!C1154)</f>
        <v>선박과 수상 구조물</v>
      </c>
      <c r="G1150" s="18" t="n">
        <f aca="false">IFERROR(VALUE(SUBSTITUTE(TRIM('수출입 실적(품목별)'!D1154),",","")),"")</f>
        <v>1158206.6</v>
      </c>
      <c r="H1150" s="19" t="n">
        <f aca="false">IFERROR(VALUE(SUBSTITUTE(TRIM('수출입 실적(품목별)'!E1154),",","")),"")</f>
        <v>2942884</v>
      </c>
      <c r="I1150" s="18" t="n">
        <f aca="false">IFERROR(VALUE(SUBSTITUTE(TRIM('수출입 실적(품목별)'!F1154),",","")),"")</f>
        <v>590960</v>
      </c>
      <c r="J1150" s="19" t="n">
        <f aca="false">IFERROR(VALUE(SUBSTITUTE(TRIM('수출입 실적(품목별)'!G1154),",","")),"")</f>
        <v>608800</v>
      </c>
      <c r="K1150" s="19" t="n">
        <f aca="false">IFERROR(VALUE(SUBSTITUTE(TRIM('수출입 실적(품목별)'!H1154),",","")),"")</f>
        <v>2334083</v>
      </c>
    </row>
    <row r="1151" customFormat="false" ht="15" hidden="false" customHeight="true" outlineLevel="0" collapsed="false">
      <c r="A1151" s="11" t="str">
        <f aca="false">TRIM('수출입 실적(품목별)'!A1155)</f>
        <v>2024.12</v>
      </c>
      <c r="B1151" s="17" t="n">
        <f aca="false">IFERROR(VALUE(LEFT($A1151,4)),"")</f>
        <v>2024</v>
      </c>
      <c r="C1151" s="17" t="n">
        <f aca="false">IFERROR(VALUE(RIGHT($A1151,2)),"")</f>
        <v>12</v>
      </c>
      <c r="D1151" s="17" t="n">
        <f aca="false">IFERROR(ROUNDUP($C1151/3,0),"")</f>
        <v>4</v>
      </c>
      <c r="E1151" s="11" t="str">
        <f aca="false">TRIM('수출입 실적(품목별)'!B1155)</f>
        <v>90</v>
      </c>
      <c r="F1151" s="11" t="str">
        <f aca="false">TRIM('수출입 실적(품목별)'!C1155)</f>
        <v>광학기기ㆍ사진용 기기ㆍ영화용 기기ㆍ측정기기ㆍ검사기기ㆍ정밀기기ㆍ의료용 기기, 이들의 부분품과 부속품</v>
      </c>
      <c r="G1151" s="18" t="n">
        <f aca="false">IFERROR(VALUE(SUBSTITUTE(TRIM('수출입 실적(품목별)'!D1155),",","")),"")</f>
        <v>18686.5</v>
      </c>
      <c r="H1151" s="19" t="n">
        <f aca="false">IFERROR(VALUE(SUBSTITUTE(TRIM('수출입 실적(품목별)'!E1155),",","")),"")</f>
        <v>1483211</v>
      </c>
      <c r="I1151" s="18" t="n">
        <f aca="false">IFERROR(VALUE(SUBSTITUTE(TRIM('수출입 실적(품목별)'!F1155),",","")),"")</f>
        <v>18101.4</v>
      </c>
      <c r="J1151" s="19" t="n">
        <f aca="false">IFERROR(VALUE(SUBSTITUTE(TRIM('수출입 실적(품목별)'!G1155),",","")),"")</f>
        <v>2348159</v>
      </c>
      <c r="K1151" s="19" t="n">
        <f aca="false">IFERROR(VALUE(SUBSTITUTE(TRIM('수출입 실적(품목별)'!H1155),",","")),"")</f>
        <v>-864948</v>
      </c>
    </row>
    <row r="1152" customFormat="false" ht="15" hidden="false" customHeight="true" outlineLevel="0" collapsed="false">
      <c r="A1152" s="11" t="str">
        <f aca="false">TRIM('수출입 실적(품목별)'!A1156)</f>
        <v>2024.12</v>
      </c>
      <c r="B1152" s="17" t="n">
        <f aca="false">IFERROR(VALUE(LEFT($A1152,4)),"")</f>
        <v>2024</v>
      </c>
      <c r="C1152" s="17" t="n">
        <f aca="false">IFERROR(VALUE(RIGHT($A1152,2)),"")</f>
        <v>12</v>
      </c>
      <c r="D1152" s="17" t="n">
        <f aca="false">IFERROR(ROUNDUP($C1152/3,0),"")</f>
        <v>4</v>
      </c>
      <c r="E1152" s="11" t="str">
        <f aca="false">TRIM('수출입 실적(품목별)'!B1156)</f>
        <v>91</v>
      </c>
      <c r="F1152" s="11" t="str">
        <f aca="false">TRIM('수출입 실적(품목별)'!C1156)</f>
        <v>시계와 그 부분품</v>
      </c>
      <c r="G1152" s="18" t="n">
        <f aca="false">IFERROR(VALUE(SUBSTITUTE(TRIM('수출입 실적(품목별)'!D1156),",","")),"")</f>
        <v>15.3</v>
      </c>
      <c r="H1152" s="19" t="n">
        <f aca="false">IFERROR(VALUE(SUBSTITUTE(TRIM('수출입 실적(품목별)'!E1156),",","")),"")</f>
        <v>13824</v>
      </c>
      <c r="I1152" s="18" t="n">
        <f aca="false">IFERROR(VALUE(SUBSTITUTE(TRIM('수출입 실적(품목별)'!F1156),",","")),"")</f>
        <v>277.3</v>
      </c>
      <c r="J1152" s="19" t="n">
        <f aca="false">IFERROR(VALUE(SUBSTITUTE(TRIM('수출입 실적(품목별)'!G1156),",","")),"")</f>
        <v>86412</v>
      </c>
      <c r="K1152" s="19" t="n">
        <f aca="false">IFERROR(VALUE(SUBSTITUTE(TRIM('수출입 실적(품목별)'!H1156),",","")),"")</f>
        <v>-72588</v>
      </c>
    </row>
    <row r="1153" customFormat="false" ht="15" hidden="false" customHeight="true" outlineLevel="0" collapsed="false">
      <c r="A1153" s="11" t="str">
        <f aca="false">TRIM('수출입 실적(품목별)'!A1157)</f>
        <v>2024.12</v>
      </c>
      <c r="B1153" s="17" t="n">
        <f aca="false">IFERROR(VALUE(LEFT($A1153,4)),"")</f>
        <v>2024</v>
      </c>
      <c r="C1153" s="17" t="n">
        <f aca="false">IFERROR(VALUE(RIGHT($A1153,2)),"")</f>
        <v>12</v>
      </c>
      <c r="D1153" s="17" t="n">
        <f aca="false">IFERROR(ROUNDUP($C1153/3,0),"")</f>
        <v>4</v>
      </c>
      <c r="E1153" s="11" t="str">
        <f aca="false">TRIM('수출입 실적(품목별)'!B1157)</f>
        <v>92</v>
      </c>
      <c r="F1153" s="11" t="str">
        <f aca="false">TRIM('수출입 실적(품목별)'!C1157)</f>
        <v>악기와 그 부분품과 부속품</v>
      </c>
      <c r="G1153" s="18" t="n">
        <f aca="false">IFERROR(VALUE(SUBSTITUTE(TRIM('수출입 실적(품목별)'!D1157),",","")),"")</f>
        <v>408.1</v>
      </c>
      <c r="H1153" s="19" t="n">
        <f aca="false">IFERROR(VALUE(SUBSTITUTE(TRIM('수출입 실적(품목별)'!E1157),",","")),"")</f>
        <v>9808</v>
      </c>
      <c r="I1153" s="18" t="n">
        <f aca="false">IFERROR(VALUE(SUBSTITUTE(TRIM('수출입 실적(품목별)'!F1157),",","")),"")</f>
        <v>743.2</v>
      </c>
      <c r="J1153" s="19" t="n">
        <f aca="false">IFERROR(VALUE(SUBSTITUTE(TRIM('수출입 실적(품목별)'!G1157),",","")),"")</f>
        <v>18694</v>
      </c>
      <c r="K1153" s="19" t="n">
        <f aca="false">IFERROR(VALUE(SUBSTITUTE(TRIM('수출입 실적(품목별)'!H1157),",","")),"")</f>
        <v>-8886</v>
      </c>
    </row>
    <row r="1154" customFormat="false" ht="15" hidden="false" customHeight="true" outlineLevel="0" collapsed="false">
      <c r="A1154" s="11" t="str">
        <f aca="false">TRIM('수출입 실적(품목별)'!A1158)</f>
        <v>2024.12</v>
      </c>
      <c r="B1154" s="17" t="n">
        <f aca="false">IFERROR(VALUE(LEFT($A1154,4)),"")</f>
        <v>2024</v>
      </c>
      <c r="C1154" s="17" t="n">
        <f aca="false">IFERROR(VALUE(RIGHT($A1154,2)),"")</f>
        <v>12</v>
      </c>
      <c r="D1154" s="17" t="n">
        <f aca="false">IFERROR(ROUNDUP($C1154/3,0),"")</f>
        <v>4</v>
      </c>
      <c r="E1154" s="11" t="str">
        <f aca="false">TRIM('수출입 실적(품목별)'!B1158)</f>
        <v>93</v>
      </c>
      <c r="F1154" s="11" t="str">
        <f aca="false">TRIM('수출입 실적(품목별)'!C1158)</f>
        <v>무기ㆍ총포탄과 이들의 부분품과 부속품</v>
      </c>
      <c r="G1154" s="18" t="n">
        <f aca="false">IFERROR(VALUE(SUBSTITUTE(TRIM('수출입 실적(품목별)'!D1158),",","")),"")</f>
        <v>3800.7</v>
      </c>
      <c r="H1154" s="19" t="n">
        <f aca="false">IFERROR(VALUE(SUBSTITUTE(TRIM('수출입 실적(품목별)'!E1158),",","")),"")</f>
        <v>282517</v>
      </c>
      <c r="I1154" s="18" t="n">
        <f aca="false">IFERROR(VALUE(SUBSTITUTE(TRIM('수출입 실적(품목별)'!F1158),",","")),"")</f>
        <v>219</v>
      </c>
      <c r="J1154" s="19" t="n">
        <f aca="false">IFERROR(VALUE(SUBSTITUTE(TRIM('수출입 실적(품목별)'!G1158),",","")),"")</f>
        <v>11991</v>
      </c>
      <c r="K1154" s="19" t="n">
        <f aca="false">IFERROR(VALUE(SUBSTITUTE(TRIM('수출입 실적(품목별)'!H1158),",","")),"")</f>
        <v>270526</v>
      </c>
    </row>
    <row r="1155" customFormat="false" ht="15" hidden="false" customHeight="true" outlineLevel="0" collapsed="false">
      <c r="A1155" s="11" t="str">
        <f aca="false">TRIM('수출입 실적(품목별)'!A1159)</f>
        <v>2024.12</v>
      </c>
      <c r="B1155" s="17" t="n">
        <f aca="false">IFERROR(VALUE(LEFT($A1155,4)),"")</f>
        <v>2024</v>
      </c>
      <c r="C1155" s="17" t="n">
        <f aca="false">IFERROR(VALUE(RIGHT($A1155,2)),"")</f>
        <v>12</v>
      </c>
      <c r="D1155" s="17" t="n">
        <f aca="false">IFERROR(ROUNDUP($C1155/3,0),"")</f>
        <v>4</v>
      </c>
      <c r="E1155" s="11" t="str">
        <f aca="false">TRIM('수출입 실적(품목별)'!B1159)</f>
        <v>94</v>
      </c>
      <c r="F1155" s="11" t="str">
        <f aca="false">TRIM('수출입 실적(품목별)'!C1159)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155" s="18" t="n">
        <f aca="false">IFERROR(VALUE(SUBSTITUTE(TRIM('수출입 실적(품목별)'!D1159),",","")),"")</f>
        <v>15826.2</v>
      </c>
      <c r="H1155" s="19" t="n">
        <f aca="false">IFERROR(VALUE(SUBSTITUTE(TRIM('수출입 실적(품목별)'!E1159),",","")),"")</f>
        <v>116556</v>
      </c>
      <c r="I1155" s="18" t="n">
        <f aca="false">IFERROR(VALUE(SUBSTITUTE(TRIM('수출입 실적(품목별)'!F1159),",","")),"")</f>
        <v>85102.8</v>
      </c>
      <c r="J1155" s="19" t="n">
        <f aca="false">IFERROR(VALUE(SUBSTITUTE(TRIM('수출입 실적(품목별)'!G1159),",","")),"")</f>
        <v>366008</v>
      </c>
      <c r="K1155" s="19" t="n">
        <f aca="false">IFERROR(VALUE(SUBSTITUTE(TRIM('수출입 실적(품목별)'!H1159),",","")),"")</f>
        <v>-249452</v>
      </c>
    </row>
    <row r="1156" customFormat="false" ht="15" hidden="false" customHeight="true" outlineLevel="0" collapsed="false">
      <c r="A1156" s="11" t="str">
        <f aca="false">TRIM('수출입 실적(품목별)'!A1160)</f>
        <v>2024.12</v>
      </c>
      <c r="B1156" s="17" t="n">
        <f aca="false">IFERROR(VALUE(LEFT($A1156,4)),"")</f>
        <v>2024</v>
      </c>
      <c r="C1156" s="17" t="n">
        <f aca="false">IFERROR(VALUE(RIGHT($A1156,2)),"")</f>
        <v>12</v>
      </c>
      <c r="D1156" s="17" t="n">
        <f aca="false">IFERROR(ROUNDUP($C1156/3,0),"")</f>
        <v>4</v>
      </c>
      <c r="E1156" s="11" t="str">
        <f aca="false">TRIM('수출입 실적(품목별)'!B1160)</f>
        <v>95</v>
      </c>
      <c r="F1156" s="11" t="str">
        <f aca="false">TRIM('수출입 실적(품목별)'!C1160)</f>
        <v>완구ㆍ게임용구ㆍ운동용구와 이들의 부분품과 부속품</v>
      </c>
      <c r="G1156" s="18" t="n">
        <f aca="false">IFERROR(VALUE(SUBSTITUTE(TRIM('수출입 실적(품목별)'!D1160),",","")),"")</f>
        <v>2260.1</v>
      </c>
      <c r="H1156" s="19" t="n">
        <f aca="false">IFERROR(VALUE(SUBSTITUTE(TRIM('수출입 실적(품목별)'!E1160),",","")),"")</f>
        <v>58339</v>
      </c>
      <c r="I1156" s="18" t="n">
        <f aca="false">IFERROR(VALUE(SUBSTITUTE(TRIM('수출입 실적(품목별)'!F1160),",","")),"")</f>
        <v>16394.5</v>
      </c>
      <c r="J1156" s="19" t="n">
        <f aca="false">IFERROR(VALUE(SUBSTITUTE(TRIM('수출입 실적(품목별)'!G1160),",","")),"")</f>
        <v>206143</v>
      </c>
      <c r="K1156" s="19" t="n">
        <f aca="false">IFERROR(VALUE(SUBSTITUTE(TRIM('수출입 실적(품목별)'!H1160),",","")),"")</f>
        <v>-147805</v>
      </c>
    </row>
    <row r="1157" customFormat="false" ht="15" hidden="false" customHeight="true" outlineLevel="0" collapsed="false">
      <c r="A1157" s="11" t="str">
        <f aca="false">TRIM('수출입 실적(품목별)'!A1161)</f>
        <v>2024.12</v>
      </c>
      <c r="B1157" s="17" t="n">
        <f aca="false">IFERROR(VALUE(LEFT($A1157,4)),"")</f>
        <v>2024</v>
      </c>
      <c r="C1157" s="17" t="n">
        <f aca="false">IFERROR(VALUE(RIGHT($A1157,2)),"")</f>
        <v>12</v>
      </c>
      <c r="D1157" s="17" t="n">
        <f aca="false">IFERROR(ROUNDUP($C1157/3,0),"")</f>
        <v>4</v>
      </c>
      <c r="E1157" s="11" t="str">
        <f aca="false">TRIM('수출입 실적(품목별)'!B1161)</f>
        <v>96</v>
      </c>
      <c r="F1157" s="11" t="str">
        <f aca="false">TRIM('수출입 실적(품목별)'!C1161)</f>
        <v>잡품</v>
      </c>
      <c r="G1157" s="18" t="n">
        <f aca="false">IFERROR(VALUE(SUBSTITUTE(TRIM('수출입 실적(품목별)'!D1161),",","")),"")</f>
        <v>2229.8</v>
      </c>
      <c r="H1157" s="19" t="n">
        <f aca="false">IFERROR(VALUE(SUBSTITUTE(TRIM('수출입 실적(품목별)'!E1161),",","")),"")</f>
        <v>37626</v>
      </c>
      <c r="I1157" s="18" t="n">
        <f aca="false">IFERROR(VALUE(SUBSTITUTE(TRIM('수출입 실적(품목별)'!F1161),",","")),"")</f>
        <v>12318.1</v>
      </c>
      <c r="J1157" s="19" t="n">
        <f aca="false">IFERROR(VALUE(SUBSTITUTE(TRIM('수출입 실적(품목별)'!G1161),",","")),"")</f>
        <v>101348</v>
      </c>
      <c r="K1157" s="19" t="n">
        <f aca="false">IFERROR(VALUE(SUBSTITUTE(TRIM('수출입 실적(품목별)'!H1161),",","")),"")</f>
        <v>-63722</v>
      </c>
    </row>
    <row r="1158" customFormat="false" ht="15" hidden="false" customHeight="true" outlineLevel="0" collapsed="false">
      <c r="A1158" s="11" t="str">
        <f aca="false">TRIM('수출입 실적(품목별)'!A1162)</f>
        <v>2024.12</v>
      </c>
      <c r="B1158" s="17" t="n">
        <f aca="false">IFERROR(VALUE(LEFT($A1158,4)),"")</f>
        <v>2024</v>
      </c>
      <c r="C1158" s="17" t="n">
        <f aca="false">IFERROR(VALUE(RIGHT($A1158,2)),"")</f>
        <v>12</v>
      </c>
      <c r="D1158" s="17" t="n">
        <f aca="false">IFERROR(ROUNDUP($C1158/3,0),"")</f>
        <v>4</v>
      </c>
      <c r="E1158" s="11" t="str">
        <f aca="false">TRIM('수출입 실적(품목별)'!B1162)</f>
        <v>97</v>
      </c>
      <c r="F1158" s="11" t="str">
        <f aca="false">TRIM('수출입 실적(품목별)'!C1162)</f>
        <v>예술품ㆍ수집품ㆍ골동품</v>
      </c>
      <c r="G1158" s="18" t="n">
        <f aca="false">IFERROR(VALUE(SUBSTITUTE(TRIM('수출입 실적(품목별)'!D1162),",","")),"")</f>
        <v>19.9</v>
      </c>
      <c r="H1158" s="19" t="n">
        <f aca="false">IFERROR(VALUE(SUBSTITUTE(TRIM('수출입 실적(품목별)'!E1162),",","")),"")</f>
        <v>16463</v>
      </c>
      <c r="I1158" s="18" t="n">
        <f aca="false">IFERROR(VALUE(SUBSTITUTE(TRIM('수출입 실적(품목별)'!F1162),",","")),"")</f>
        <v>79.1</v>
      </c>
      <c r="J1158" s="19" t="n">
        <f aca="false">IFERROR(VALUE(SUBSTITUTE(TRIM('수출입 실적(품목별)'!G1162),",","")),"")</f>
        <v>45097</v>
      </c>
      <c r="K1158" s="19" t="n">
        <f aca="false">IFERROR(VALUE(SUBSTITUTE(TRIM('수출입 실적(품목별)'!H1162),",","")),"")</f>
        <v>-28634</v>
      </c>
    </row>
    <row r="1159" customFormat="false" ht="15" hidden="false" customHeight="true" outlineLevel="0" collapsed="false">
      <c r="A1159" s="11" t="str">
        <f aca="false">TRIM('수출입 실적(품목별)'!A1163)</f>
        <v>2025.01</v>
      </c>
      <c r="B1159" s="17" t="n">
        <f aca="false">IFERROR(VALUE(LEFT($A1159,4)),"")</f>
        <v>2025</v>
      </c>
      <c r="C1159" s="17" t="n">
        <f aca="false">IFERROR(VALUE(RIGHT($A1159,2)),"")</f>
        <v>1</v>
      </c>
      <c r="D1159" s="17" t="n">
        <f aca="false">IFERROR(ROUNDUP($C1159/3,0),"")</f>
        <v>1</v>
      </c>
      <c r="E1159" s="11" t="str">
        <f aca="false">TRIM('수출입 실적(품목별)'!B1163)</f>
        <v>01</v>
      </c>
      <c r="F1159" s="11" t="str">
        <f aca="false">TRIM('수출입 실적(품목별)'!C1163)</f>
        <v>살아 있는 동물</v>
      </c>
      <c r="G1159" s="18" t="n">
        <f aca="false">IFERROR(VALUE(SUBSTITUTE(TRIM('수출입 실적(품목별)'!D1163),",","")),"")</f>
        <v>3.4</v>
      </c>
      <c r="H1159" s="19" t="n">
        <f aca="false">IFERROR(VALUE(SUBSTITUTE(TRIM('수출입 실적(품목별)'!E1163),",","")),"")</f>
        <v>511</v>
      </c>
      <c r="I1159" s="18" t="n">
        <f aca="false">IFERROR(VALUE(SUBSTITUTE(TRIM('수출입 실적(품목별)'!F1163),",","")),"")</f>
        <v>44.7</v>
      </c>
      <c r="J1159" s="19" t="n">
        <f aca="false">IFERROR(VALUE(SUBSTITUTE(TRIM('수출입 실적(품목별)'!G1163),",","")),"")</f>
        <v>4460</v>
      </c>
      <c r="K1159" s="19" t="n">
        <f aca="false">IFERROR(VALUE(SUBSTITUTE(TRIM('수출입 실적(품목별)'!H1163),",","")),"")</f>
        <v>-3948</v>
      </c>
    </row>
    <row r="1160" customFormat="false" ht="15" hidden="false" customHeight="true" outlineLevel="0" collapsed="false">
      <c r="A1160" s="11" t="str">
        <f aca="false">TRIM('수출입 실적(품목별)'!A1164)</f>
        <v>2025.01</v>
      </c>
      <c r="B1160" s="17" t="n">
        <f aca="false">IFERROR(VALUE(LEFT($A1160,4)),"")</f>
        <v>2025</v>
      </c>
      <c r="C1160" s="17" t="n">
        <f aca="false">IFERROR(VALUE(RIGHT($A1160,2)),"")</f>
        <v>1</v>
      </c>
      <c r="D1160" s="17" t="n">
        <f aca="false">IFERROR(ROUNDUP($C1160/3,0),"")</f>
        <v>1</v>
      </c>
      <c r="E1160" s="11" t="str">
        <f aca="false">TRIM('수출입 실적(품목별)'!B1164)</f>
        <v>02</v>
      </c>
      <c r="F1160" s="11" t="str">
        <f aca="false">TRIM('수출입 실적(품목별)'!C1164)</f>
        <v>육과 식용 설육(屑肉)</v>
      </c>
      <c r="G1160" s="18" t="n">
        <f aca="false">IFERROR(VALUE(SUBSTITUTE(TRIM('수출입 실적(품목별)'!D1164),",","")),"")</f>
        <v>4211.3</v>
      </c>
      <c r="H1160" s="19" t="n">
        <f aca="false">IFERROR(VALUE(SUBSTITUTE(TRIM('수출입 실적(품목별)'!E1164),",","")),"")</f>
        <v>5868</v>
      </c>
      <c r="I1160" s="18" t="n">
        <f aca="false">IFERROR(VALUE(SUBSTITUTE(TRIM('수출입 실적(품목별)'!F1164),",","")),"")</f>
        <v>128765.3</v>
      </c>
      <c r="J1160" s="19" t="n">
        <f aca="false">IFERROR(VALUE(SUBSTITUTE(TRIM('수출입 실적(품목별)'!G1164),",","")),"")</f>
        <v>728984</v>
      </c>
      <c r="K1160" s="19" t="n">
        <f aca="false">IFERROR(VALUE(SUBSTITUTE(TRIM('수출입 실적(품목별)'!H1164),",","")),"")</f>
        <v>-723116</v>
      </c>
    </row>
    <row r="1161" customFormat="false" ht="15" hidden="false" customHeight="true" outlineLevel="0" collapsed="false">
      <c r="A1161" s="11" t="str">
        <f aca="false">TRIM('수출입 실적(품목별)'!A1165)</f>
        <v>2025.01</v>
      </c>
      <c r="B1161" s="17" t="n">
        <f aca="false">IFERROR(VALUE(LEFT($A1161,4)),"")</f>
        <v>2025</v>
      </c>
      <c r="C1161" s="17" t="n">
        <f aca="false">IFERROR(VALUE(RIGHT($A1161,2)),"")</f>
        <v>1</v>
      </c>
      <c r="D1161" s="17" t="n">
        <f aca="false">IFERROR(ROUNDUP($C1161/3,0),"")</f>
        <v>1</v>
      </c>
      <c r="E1161" s="11" t="str">
        <f aca="false">TRIM('수출입 실적(품목별)'!B1165)</f>
        <v>03</v>
      </c>
      <c r="F1161" s="11" t="str">
        <f aca="false">TRIM('수출입 실적(품목별)'!C1165)</f>
        <v>어류ㆍ갑각류ㆍ연체동물과 그 밖의 수생(水生) 무척추동물</v>
      </c>
      <c r="G1161" s="18" t="n">
        <f aca="false">IFERROR(VALUE(SUBSTITUTE(TRIM('수출입 실적(품목별)'!D1165),",","")),"")</f>
        <v>32173.3</v>
      </c>
      <c r="H1161" s="19" t="n">
        <f aca="false">IFERROR(VALUE(SUBSTITUTE(TRIM('수출입 실적(품목별)'!E1165),",","")),"")</f>
        <v>98077</v>
      </c>
      <c r="I1161" s="18" t="n">
        <f aca="false">IFERROR(VALUE(SUBSTITUTE(TRIM('수출입 실적(품목별)'!F1165),",","")),"")</f>
        <v>100376.1</v>
      </c>
      <c r="J1161" s="19" t="n">
        <f aca="false">IFERROR(VALUE(SUBSTITUTE(TRIM('수출입 실적(품목별)'!G1165),",","")),"")</f>
        <v>406964</v>
      </c>
      <c r="K1161" s="19" t="n">
        <f aca="false">IFERROR(VALUE(SUBSTITUTE(TRIM('수출입 실적(품목별)'!H1165),",","")),"")</f>
        <v>-308888</v>
      </c>
    </row>
    <row r="1162" customFormat="false" ht="15" hidden="false" customHeight="true" outlineLevel="0" collapsed="false">
      <c r="A1162" s="11" t="str">
        <f aca="false">TRIM('수출입 실적(품목별)'!A1166)</f>
        <v>2025.01</v>
      </c>
      <c r="B1162" s="17" t="n">
        <f aca="false">IFERROR(VALUE(LEFT($A1162,4)),"")</f>
        <v>2025</v>
      </c>
      <c r="C1162" s="17" t="n">
        <f aca="false">IFERROR(VALUE(RIGHT($A1162,2)),"")</f>
        <v>1</v>
      </c>
      <c r="D1162" s="17" t="n">
        <f aca="false">IFERROR(ROUNDUP($C1162/3,0),"")</f>
        <v>1</v>
      </c>
      <c r="E1162" s="11" t="str">
        <f aca="false">TRIM('수출입 실적(품목별)'!B1166)</f>
        <v>04</v>
      </c>
      <c r="F1162" s="11" t="str">
        <f aca="false">TRIM('수출입 실적(품목별)'!C1166)</f>
        <v>낙농품, 새의 알, 천연꿀, 다른 류로 분류되지 않은 식용인 동물성 생산품</v>
      </c>
      <c r="G1162" s="18" t="n">
        <f aca="false">IFERROR(VALUE(SUBSTITUTE(TRIM('수출입 실적(품목별)'!D1166),",","")),"")</f>
        <v>3019.3</v>
      </c>
      <c r="H1162" s="19" t="n">
        <f aca="false">IFERROR(VALUE(SUBSTITUTE(TRIM('수출입 실적(품목별)'!E1166),",","")),"")</f>
        <v>6510</v>
      </c>
      <c r="I1162" s="18" t="n">
        <f aca="false">IFERROR(VALUE(SUBSTITUTE(TRIM('수출입 실적(품목별)'!F1166),",","")),"")</f>
        <v>26697.6</v>
      </c>
      <c r="J1162" s="19" t="n">
        <f aca="false">IFERROR(VALUE(SUBSTITUTE(TRIM('수출입 실적(품목별)'!G1166),",","")),"")</f>
        <v>110511</v>
      </c>
      <c r="K1162" s="19" t="n">
        <f aca="false">IFERROR(VALUE(SUBSTITUTE(TRIM('수출입 실적(품목별)'!H1166),",","")),"")</f>
        <v>-104002</v>
      </c>
    </row>
    <row r="1163" customFormat="false" ht="15" hidden="false" customHeight="true" outlineLevel="0" collapsed="false">
      <c r="A1163" s="11" t="str">
        <f aca="false">TRIM('수출입 실적(품목별)'!A1167)</f>
        <v>2025.01</v>
      </c>
      <c r="B1163" s="17" t="n">
        <f aca="false">IFERROR(VALUE(LEFT($A1163,4)),"")</f>
        <v>2025</v>
      </c>
      <c r="C1163" s="17" t="n">
        <f aca="false">IFERROR(VALUE(RIGHT($A1163,2)),"")</f>
        <v>1</v>
      </c>
      <c r="D1163" s="17" t="n">
        <f aca="false">IFERROR(ROUNDUP($C1163/3,0),"")</f>
        <v>1</v>
      </c>
      <c r="E1163" s="11" t="str">
        <f aca="false">TRIM('수출입 실적(품목별)'!B1167)</f>
        <v>05</v>
      </c>
      <c r="F1163" s="11" t="str">
        <f aca="false">TRIM('수출입 실적(품목별)'!C1167)</f>
        <v>다른 류로 분류되지 않은 동물성 생산품</v>
      </c>
      <c r="G1163" s="18" t="n">
        <f aca="false">IFERROR(VALUE(SUBSTITUTE(TRIM('수출입 실적(품목별)'!D1167),",","")),"")</f>
        <v>1109</v>
      </c>
      <c r="H1163" s="19" t="n">
        <f aca="false">IFERROR(VALUE(SUBSTITUTE(TRIM('수출입 실적(품목별)'!E1167),",","")),"")</f>
        <v>2877</v>
      </c>
      <c r="I1163" s="18" t="n">
        <f aca="false">IFERROR(VALUE(SUBSTITUTE(TRIM('수출입 실적(품목별)'!F1167),",","")),"")</f>
        <v>4815.5</v>
      </c>
      <c r="J1163" s="19" t="n">
        <f aca="false">IFERROR(VALUE(SUBSTITUTE(TRIM('수출입 실적(품목별)'!G1167),",","")),"")</f>
        <v>20120</v>
      </c>
      <c r="K1163" s="19" t="n">
        <f aca="false">IFERROR(VALUE(SUBSTITUTE(TRIM('수출입 실적(품목별)'!H1167),",","")),"")</f>
        <v>-17243</v>
      </c>
    </row>
    <row r="1164" customFormat="false" ht="15" hidden="false" customHeight="true" outlineLevel="0" collapsed="false">
      <c r="A1164" s="11" t="str">
        <f aca="false">TRIM('수출입 실적(품목별)'!A1168)</f>
        <v>2025.01</v>
      </c>
      <c r="B1164" s="17" t="n">
        <f aca="false">IFERROR(VALUE(LEFT($A1164,4)),"")</f>
        <v>2025</v>
      </c>
      <c r="C1164" s="17" t="n">
        <f aca="false">IFERROR(VALUE(RIGHT($A1164,2)),"")</f>
        <v>1</v>
      </c>
      <c r="D1164" s="17" t="n">
        <f aca="false">IFERROR(ROUNDUP($C1164/3,0),"")</f>
        <v>1</v>
      </c>
      <c r="E1164" s="11" t="str">
        <f aca="false">TRIM('수출입 실적(품목별)'!B1168)</f>
        <v>06</v>
      </c>
      <c r="F1164" s="11" t="str">
        <f aca="false">TRIM('수출입 실적(품목별)'!C1168)</f>
        <v>살아 있는 수목과 그 밖의 식물, 인경(鱗莖)ㆍ뿌리와 이와 유사한 물품, 절화(切花)와 장식용 잎</v>
      </c>
      <c r="G1164" s="18" t="n">
        <f aca="false">IFERROR(VALUE(SUBSTITUTE(TRIM('수출입 실적(품목별)'!D1168),",","")),"")</f>
        <v>126.8</v>
      </c>
      <c r="H1164" s="19" t="n">
        <f aca="false">IFERROR(VALUE(SUBSTITUTE(TRIM('수출입 실적(품목별)'!E1168),",","")),"")</f>
        <v>418</v>
      </c>
      <c r="I1164" s="18" t="n">
        <f aca="false">IFERROR(VALUE(SUBSTITUTE(TRIM('수출입 실적(품목별)'!F1168),",","")),"")</f>
        <v>6543</v>
      </c>
      <c r="J1164" s="19" t="n">
        <f aca="false">IFERROR(VALUE(SUBSTITUTE(TRIM('수출입 실적(품목별)'!G1168),",","")),"")</f>
        <v>13617</v>
      </c>
      <c r="K1164" s="19" t="n">
        <f aca="false">IFERROR(VALUE(SUBSTITUTE(TRIM('수출입 실적(품목별)'!H1168),",","")),"")</f>
        <v>-13199</v>
      </c>
    </row>
    <row r="1165" customFormat="false" ht="15" hidden="false" customHeight="true" outlineLevel="0" collapsed="false">
      <c r="A1165" s="11" t="str">
        <f aca="false">TRIM('수출입 실적(품목별)'!A1169)</f>
        <v>2025.01</v>
      </c>
      <c r="B1165" s="17" t="n">
        <f aca="false">IFERROR(VALUE(LEFT($A1165,4)),"")</f>
        <v>2025</v>
      </c>
      <c r="C1165" s="17" t="n">
        <f aca="false">IFERROR(VALUE(RIGHT($A1165,2)),"")</f>
        <v>1</v>
      </c>
      <c r="D1165" s="17" t="n">
        <f aca="false">IFERROR(ROUNDUP($C1165/3,0),"")</f>
        <v>1</v>
      </c>
      <c r="E1165" s="11" t="str">
        <f aca="false">TRIM('수출입 실적(품목별)'!B1169)</f>
        <v>07</v>
      </c>
      <c r="F1165" s="11" t="str">
        <f aca="false">TRIM('수출입 실적(품목별)'!C1169)</f>
        <v>식용의 채소ㆍ뿌리ㆍ괴경(塊莖)</v>
      </c>
      <c r="G1165" s="18" t="n">
        <f aca="false">IFERROR(VALUE(SUBSTITUTE(TRIM('수출입 실적(품목별)'!D1169),",","")),"")</f>
        <v>3458.9</v>
      </c>
      <c r="H1165" s="19" t="n">
        <f aca="false">IFERROR(VALUE(SUBSTITUTE(TRIM('수출입 실적(품목별)'!E1169),",","")),"")</f>
        <v>9802</v>
      </c>
      <c r="I1165" s="18" t="n">
        <f aca="false">IFERROR(VALUE(SUBSTITUTE(TRIM('수출입 실적(품목별)'!F1169),",","")),"")</f>
        <v>92844.8</v>
      </c>
      <c r="J1165" s="19" t="n">
        <f aca="false">IFERROR(VALUE(SUBSTITUTE(TRIM('수출입 실적(품목별)'!G1169),",","")),"")</f>
        <v>75650</v>
      </c>
      <c r="K1165" s="19" t="n">
        <f aca="false">IFERROR(VALUE(SUBSTITUTE(TRIM('수출입 실적(품목별)'!H1169),",","")),"")</f>
        <v>-65848</v>
      </c>
    </row>
    <row r="1166" customFormat="false" ht="15" hidden="false" customHeight="true" outlineLevel="0" collapsed="false">
      <c r="A1166" s="11" t="str">
        <f aca="false">TRIM('수출입 실적(품목별)'!A1170)</f>
        <v>2025.01</v>
      </c>
      <c r="B1166" s="17" t="n">
        <f aca="false">IFERROR(VALUE(LEFT($A1166,4)),"")</f>
        <v>2025</v>
      </c>
      <c r="C1166" s="17" t="n">
        <f aca="false">IFERROR(VALUE(RIGHT($A1166,2)),"")</f>
        <v>1</v>
      </c>
      <c r="D1166" s="17" t="n">
        <f aca="false">IFERROR(ROUNDUP($C1166/3,0),"")</f>
        <v>1</v>
      </c>
      <c r="E1166" s="11" t="str">
        <f aca="false">TRIM('수출입 실적(품목별)'!B1170)</f>
        <v>08</v>
      </c>
      <c r="F1166" s="11" t="str">
        <f aca="false">TRIM('수출입 실적(품목별)'!C1170)</f>
        <v>식용의 과실과 견과류, 감귤류ㆍ멜론의 껍질</v>
      </c>
      <c r="G1166" s="18" t="n">
        <f aca="false">IFERROR(VALUE(SUBSTITUTE(TRIM('수출입 실적(품목별)'!D1170),",","")),"")</f>
        <v>2811.1</v>
      </c>
      <c r="H1166" s="19" t="n">
        <f aca="false">IFERROR(VALUE(SUBSTITUTE(TRIM('수출입 실적(품목별)'!E1170),",","")),"")</f>
        <v>26837</v>
      </c>
      <c r="I1166" s="18" t="n">
        <f aca="false">IFERROR(VALUE(SUBSTITUTE(TRIM('수출입 실적(품목별)'!F1170),",","")),"")</f>
        <v>61028</v>
      </c>
      <c r="J1166" s="19" t="n">
        <f aca="false">IFERROR(VALUE(SUBSTITUTE(TRIM('수출입 실적(품목별)'!G1170),",","")),"")</f>
        <v>144994</v>
      </c>
      <c r="K1166" s="19" t="n">
        <f aca="false">IFERROR(VALUE(SUBSTITUTE(TRIM('수출입 실적(품목별)'!H1170),",","")),"")</f>
        <v>-118157</v>
      </c>
    </row>
    <row r="1167" customFormat="false" ht="15" hidden="false" customHeight="true" outlineLevel="0" collapsed="false">
      <c r="A1167" s="11" t="str">
        <f aca="false">TRIM('수출입 실적(품목별)'!A1171)</f>
        <v>2025.01</v>
      </c>
      <c r="B1167" s="17" t="n">
        <f aca="false">IFERROR(VALUE(LEFT($A1167,4)),"")</f>
        <v>2025</v>
      </c>
      <c r="C1167" s="17" t="n">
        <f aca="false">IFERROR(VALUE(RIGHT($A1167,2)),"")</f>
        <v>1</v>
      </c>
      <c r="D1167" s="17" t="n">
        <f aca="false">IFERROR(ROUNDUP($C1167/3,0),"")</f>
        <v>1</v>
      </c>
      <c r="E1167" s="11" t="str">
        <f aca="false">TRIM('수출입 실적(품목별)'!B1171)</f>
        <v>09</v>
      </c>
      <c r="F1167" s="11" t="str">
        <f aca="false">TRIM('수출입 실적(품목별)'!C1171)</f>
        <v>커피ㆍ차ㆍ마테(maté)ㆍ향신료</v>
      </c>
      <c r="G1167" s="18" t="n">
        <f aca="false">IFERROR(VALUE(SUBSTITUTE(TRIM('수출입 실적(품목별)'!D1171),",","")),"")</f>
        <v>367.7</v>
      </c>
      <c r="H1167" s="19" t="n">
        <f aca="false">IFERROR(VALUE(SUBSTITUTE(TRIM('수출입 실적(품목별)'!E1171),",","")),"")</f>
        <v>2706</v>
      </c>
      <c r="I1167" s="18" t="n">
        <f aca="false">IFERROR(VALUE(SUBSTITUTE(TRIM('수출입 실적(품목별)'!F1171),",","")),"")</f>
        <v>16153.9</v>
      </c>
      <c r="J1167" s="19" t="n">
        <f aca="false">IFERROR(VALUE(SUBSTITUTE(TRIM('수출입 실적(품목별)'!G1171),",","")),"")</f>
        <v>109715</v>
      </c>
      <c r="K1167" s="19" t="n">
        <f aca="false">IFERROR(VALUE(SUBSTITUTE(TRIM('수출입 실적(품목별)'!H1171),",","")),"")</f>
        <v>-107009</v>
      </c>
    </row>
    <row r="1168" customFormat="false" ht="15" hidden="false" customHeight="true" outlineLevel="0" collapsed="false">
      <c r="A1168" s="11" t="str">
        <f aca="false">TRIM('수출입 실적(품목별)'!A1172)</f>
        <v>2025.01</v>
      </c>
      <c r="B1168" s="17" t="n">
        <f aca="false">IFERROR(VALUE(LEFT($A1168,4)),"")</f>
        <v>2025</v>
      </c>
      <c r="C1168" s="17" t="n">
        <f aca="false">IFERROR(VALUE(RIGHT($A1168,2)),"")</f>
        <v>1</v>
      </c>
      <c r="D1168" s="17" t="n">
        <f aca="false">IFERROR(ROUNDUP($C1168/3,0),"")</f>
        <v>1</v>
      </c>
      <c r="E1168" s="11" t="str">
        <f aca="false">TRIM('수출입 실적(품목별)'!B1172)</f>
        <v>10</v>
      </c>
      <c r="F1168" s="11" t="str">
        <f aca="false">TRIM('수출입 실적(품목별)'!C1172)</f>
        <v>곡물</v>
      </c>
      <c r="G1168" s="18" t="n">
        <f aca="false">IFERROR(VALUE(SUBSTITUTE(TRIM('수출입 실적(품목별)'!D1172),",","")),"")</f>
        <v>1786.8</v>
      </c>
      <c r="H1168" s="19" t="n">
        <f aca="false">IFERROR(VALUE(SUBSTITUTE(TRIM('수출입 실적(품목별)'!E1172),",","")),"")</f>
        <v>3159</v>
      </c>
      <c r="I1168" s="18" t="n">
        <f aca="false">IFERROR(VALUE(SUBSTITUTE(TRIM('수출입 실적(품목별)'!F1172),",","")),"")</f>
        <v>1324476.1</v>
      </c>
      <c r="J1168" s="19" t="n">
        <f aca="false">IFERROR(VALUE(SUBSTITUTE(TRIM('수출입 실적(품목별)'!G1172),",","")),"")</f>
        <v>363115</v>
      </c>
      <c r="K1168" s="19" t="n">
        <f aca="false">IFERROR(VALUE(SUBSTITUTE(TRIM('수출입 실적(품목별)'!H1172),",","")),"")</f>
        <v>-359956</v>
      </c>
    </row>
    <row r="1169" customFormat="false" ht="15" hidden="false" customHeight="true" outlineLevel="0" collapsed="false">
      <c r="A1169" s="11" t="str">
        <f aca="false">TRIM('수출입 실적(품목별)'!A1173)</f>
        <v>2025.01</v>
      </c>
      <c r="B1169" s="17" t="n">
        <f aca="false">IFERROR(VALUE(LEFT($A1169,4)),"")</f>
        <v>2025</v>
      </c>
      <c r="C1169" s="17" t="n">
        <f aca="false">IFERROR(VALUE(RIGHT($A1169,2)),"")</f>
        <v>1</v>
      </c>
      <c r="D1169" s="17" t="n">
        <f aca="false">IFERROR(ROUNDUP($C1169/3,0),"")</f>
        <v>1</v>
      </c>
      <c r="E1169" s="11" t="str">
        <f aca="false">TRIM('수출입 실적(품목별)'!B1173)</f>
        <v>11</v>
      </c>
      <c r="F1169" s="11" t="str">
        <f aca="false">TRIM('수출입 실적(품목별)'!C1173)</f>
        <v>제분공업의 생산품과 맥아, 전분, 이눌린(inulin), 밀의 글루텐(gluten)</v>
      </c>
      <c r="G1169" s="18" t="n">
        <f aca="false">IFERROR(VALUE(SUBSTITUTE(TRIM('수출입 실적(품목별)'!D1173),",","")),"")</f>
        <v>4838.7</v>
      </c>
      <c r="H1169" s="19" t="n">
        <f aca="false">IFERROR(VALUE(SUBSTITUTE(TRIM('수출입 실적(품목별)'!E1173),",","")),"")</f>
        <v>3474</v>
      </c>
      <c r="I1169" s="18" t="n">
        <f aca="false">IFERROR(VALUE(SUBSTITUTE(TRIM('수출입 실적(품목별)'!F1173),",","")),"")</f>
        <v>27034.5</v>
      </c>
      <c r="J1169" s="19" t="n">
        <f aca="false">IFERROR(VALUE(SUBSTITUTE(TRIM('수출입 실적(품목별)'!G1173),",","")),"")</f>
        <v>23263</v>
      </c>
      <c r="K1169" s="19" t="n">
        <f aca="false">IFERROR(VALUE(SUBSTITUTE(TRIM('수출입 실적(품목별)'!H1173),",","")),"")</f>
        <v>-19789</v>
      </c>
    </row>
    <row r="1170" customFormat="false" ht="15" hidden="false" customHeight="true" outlineLevel="0" collapsed="false">
      <c r="A1170" s="11" t="str">
        <f aca="false">TRIM('수출입 실적(품목별)'!A1174)</f>
        <v>2025.01</v>
      </c>
      <c r="B1170" s="17" t="n">
        <f aca="false">IFERROR(VALUE(LEFT($A1170,4)),"")</f>
        <v>2025</v>
      </c>
      <c r="C1170" s="17" t="n">
        <f aca="false">IFERROR(VALUE(RIGHT($A1170,2)),"")</f>
        <v>1</v>
      </c>
      <c r="D1170" s="17" t="n">
        <f aca="false">IFERROR(ROUNDUP($C1170/3,0),"")</f>
        <v>1</v>
      </c>
      <c r="E1170" s="11" t="str">
        <f aca="false">TRIM('수출입 실적(품목별)'!B1174)</f>
        <v>12</v>
      </c>
      <c r="F1170" s="11" t="str">
        <f aca="false">TRIM('수출입 실적(품목별)'!C1174)</f>
        <v>채유(採油)에 적합한 종자와 과실, 각종 종자와 과실, 공업용ㆍ의약용 식물, 짚과 사료용 식물</v>
      </c>
      <c r="G1170" s="18" t="n">
        <f aca="false">IFERROR(VALUE(SUBSTITUTE(TRIM('수출입 실적(품목별)'!D1174),",","")),"")</f>
        <v>2129.8</v>
      </c>
      <c r="H1170" s="19" t="n">
        <f aca="false">IFERROR(VALUE(SUBSTITUTE(TRIM('수출입 실적(품목별)'!E1174),",","")),"")</f>
        <v>53582</v>
      </c>
      <c r="I1170" s="18" t="n">
        <f aca="false">IFERROR(VALUE(SUBSTITUTE(TRIM('수출입 실적(품목별)'!F1174),",","")),"")</f>
        <v>255381.1</v>
      </c>
      <c r="J1170" s="19" t="n">
        <f aca="false">IFERROR(VALUE(SUBSTITUTE(TRIM('수출입 실적(품목별)'!G1174),",","")),"")</f>
        <v>141767</v>
      </c>
      <c r="K1170" s="19" t="n">
        <f aca="false">IFERROR(VALUE(SUBSTITUTE(TRIM('수출입 실적(품목별)'!H1174),",","")),"")</f>
        <v>-88185</v>
      </c>
    </row>
    <row r="1171" customFormat="false" ht="15" hidden="false" customHeight="true" outlineLevel="0" collapsed="false">
      <c r="A1171" s="11" t="str">
        <f aca="false">TRIM('수출입 실적(품목별)'!A1175)</f>
        <v>2025.01</v>
      </c>
      <c r="B1171" s="17" t="n">
        <f aca="false">IFERROR(VALUE(LEFT($A1171,4)),"")</f>
        <v>2025</v>
      </c>
      <c r="C1171" s="17" t="n">
        <f aca="false">IFERROR(VALUE(RIGHT($A1171,2)),"")</f>
        <v>1</v>
      </c>
      <c r="D1171" s="17" t="n">
        <f aca="false">IFERROR(ROUNDUP($C1171/3,0),"")</f>
        <v>1</v>
      </c>
      <c r="E1171" s="11" t="str">
        <f aca="false">TRIM('수출입 실적(품목별)'!B1175)</f>
        <v>13</v>
      </c>
      <c r="F1171" s="11" t="str">
        <f aca="false">TRIM('수출입 실적(품목별)'!C1175)</f>
        <v>락(lac), 검ㆍ수지ㆍ그 밖의 식물성 수액과 추출물(extract)</v>
      </c>
      <c r="G1171" s="18" t="n">
        <f aca="false">IFERROR(VALUE(SUBSTITUTE(TRIM('수출입 실적(품목별)'!D1175),",","")),"")</f>
        <v>362.5</v>
      </c>
      <c r="H1171" s="19" t="n">
        <f aca="false">IFERROR(VALUE(SUBSTITUTE(TRIM('수출입 실적(품목별)'!E1175),",","")),"")</f>
        <v>8220</v>
      </c>
      <c r="I1171" s="18" t="n">
        <f aca="false">IFERROR(VALUE(SUBSTITUTE(TRIM('수출입 실적(품목별)'!F1175),",","")),"")</f>
        <v>9954.3</v>
      </c>
      <c r="J1171" s="19" t="n">
        <f aca="false">IFERROR(VALUE(SUBSTITUTE(TRIM('수출입 실적(품목별)'!G1175),",","")),"")</f>
        <v>25611</v>
      </c>
      <c r="K1171" s="19" t="n">
        <f aca="false">IFERROR(VALUE(SUBSTITUTE(TRIM('수출입 실적(품목별)'!H1175),",","")),"")</f>
        <v>-17391</v>
      </c>
    </row>
    <row r="1172" customFormat="false" ht="15" hidden="false" customHeight="true" outlineLevel="0" collapsed="false">
      <c r="A1172" s="11" t="str">
        <f aca="false">TRIM('수출입 실적(품목별)'!A1176)</f>
        <v>2025.01</v>
      </c>
      <c r="B1172" s="17" t="n">
        <f aca="false">IFERROR(VALUE(LEFT($A1172,4)),"")</f>
        <v>2025</v>
      </c>
      <c r="C1172" s="17" t="n">
        <f aca="false">IFERROR(VALUE(RIGHT($A1172,2)),"")</f>
        <v>1</v>
      </c>
      <c r="D1172" s="17" t="n">
        <f aca="false">IFERROR(ROUNDUP($C1172/3,0),"")</f>
        <v>1</v>
      </c>
      <c r="E1172" s="11" t="str">
        <f aca="false">TRIM('수출입 실적(품목별)'!B1176)</f>
        <v>14</v>
      </c>
      <c r="F1172" s="11" t="str">
        <f aca="false">TRIM('수출입 실적(품목별)'!C1176)</f>
        <v>식물성 편조물(編組物)용 재료와 다른 류로 분류되지 않은 식물성 생산품</v>
      </c>
      <c r="G1172" s="18" t="n">
        <f aca="false">IFERROR(VALUE(SUBSTITUTE(TRIM('수출입 실적(품목별)'!D1176),",","")),"")</f>
        <v>8.7</v>
      </c>
      <c r="H1172" s="19" t="n">
        <f aca="false">IFERROR(VALUE(SUBSTITUTE(TRIM('수출입 실적(품목별)'!E1176),",","")),"")</f>
        <v>14</v>
      </c>
      <c r="I1172" s="18" t="n">
        <f aca="false">IFERROR(VALUE(SUBSTITUTE(TRIM('수출입 실적(품목별)'!F1176),",","")),"")</f>
        <v>8691.9</v>
      </c>
      <c r="J1172" s="19" t="n">
        <f aca="false">IFERROR(VALUE(SUBSTITUTE(TRIM('수출입 실적(품목별)'!G1176),",","")),"")</f>
        <v>3244</v>
      </c>
      <c r="K1172" s="19" t="n">
        <f aca="false">IFERROR(VALUE(SUBSTITUTE(TRIM('수출입 실적(품목별)'!H1176),",","")),"")</f>
        <v>-3230</v>
      </c>
    </row>
    <row r="1173" customFormat="false" ht="15" hidden="false" customHeight="true" outlineLevel="0" collapsed="false">
      <c r="A1173" s="11" t="str">
        <f aca="false">TRIM('수출입 실적(품목별)'!A1177)</f>
        <v>2025.01</v>
      </c>
      <c r="B1173" s="17" t="n">
        <f aca="false">IFERROR(VALUE(LEFT($A1173,4)),"")</f>
        <v>2025</v>
      </c>
      <c r="C1173" s="17" t="n">
        <f aca="false">IFERROR(VALUE(RIGHT($A1173,2)),"")</f>
        <v>1</v>
      </c>
      <c r="D1173" s="17" t="n">
        <f aca="false">IFERROR(ROUNDUP($C1173/3,0),"")</f>
        <v>1</v>
      </c>
      <c r="E1173" s="11" t="str">
        <f aca="false">TRIM('수출입 실적(품목별)'!B1177)</f>
        <v>15</v>
      </c>
      <c r="F1173" s="11" t="str">
        <f aca="false">TRIM('수출입 실적(품목별)'!C1177)</f>
        <v>동물성ㆍ식물성ㆍ미생물성 지방과 기름 및이들의 분해생산물, 조제한 식용 지방과 동물성ㆍ식물성 왁스</v>
      </c>
      <c r="G1173" s="18" t="n">
        <f aca="false">IFERROR(VALUE(SUBSTITUTE(TRIM('수출입 실적(품목별)'!D1177),",","")),"")</f>
        <v>32441.7</v>
      </c>
      <c r="H1173" s="19" t="n">
        <f aca="false">IFERROR(VALUE(SUBSTITUTE(TRIM('수출입 실적(품목별)'!E1177),",","")),"")</f>
        <v>36907</v>
      </c>
      <c r="I1173" s="18" t="n">
        <f aca="false">IFERROR(VALUE(SUBSTITUTE(TRIM('수출입 실적(품목별)'!F1177),",","")),"")</f>
        <v>124840</v>
      </c>
      <c r="J1173" s="19" t="n">
        <f aca="false">IFERROR(VALUE(SUBSTITUTE(TRIM('수출입 실적(품목별)'!G1177),",","")),"")</f>
        <v>179198</v>
      </c>
      <c r="K1173" s="19" t="n">
        <f aca="false">IFERROR(VALUE(SUBSTITUTE(TRIM('수출입 실적(품목별)'!H1177),",","")),"")</f>
        <v>-142290</v>
      </c>
    </row>
    <row r="1174" customFormat="false" ht="15" hidden="false" customHeight="true" outlineLevel="0" collapsed="false">
      <c r="A1174" s="11" t="str">
        <f aca="false">TRIM('수출입 실적(품목별)'!A1178)</f>
        <v>2025.01</v>
      </c>
      <c r="B1174" s="17" t="n">
        <f aca="false">IFERROR(VALUE(LEFT($A1174,4)),"")</f>
        <v>2025</v>
      </c>
      <c r="C1174" s="17" t="n">
        <f aca="false">IFERROR(VALUE(RIGHT($A1174,2)),"")</f>
        <v>1</v>
      </c>
      <c r="D1174" s="17" t="n">
        <f aca="false">IFERROR(ROUNDUP($C1174/3,0),"")</f>
        <v>1</v>
      </c>
      <c r="E1174" s="11" t="str">
        <f aca="false">TRIM('수출입 실적(품목별)'!B1178)</f>
        <v>16</v>
      </c>
      <c r="F1174" s="11" t="str">
        <f aca="false">TRIM('수출입 실적(품목별)'!C1178)</f>
        <v>육류ㆍ어류ㆍ갑각류ㆍ연체동물이나 그 밖의 수생(水生) 무척추동물 또는 곤충의 조제품</v>
      </c>
      <c r="G1174" s="18" t="n">
        <f aca="false">IFERROR(VALUE(SUBSTITUTE(TRIM('수출입 실적(품목별)'!D1178),",","")),"")</f>
        <v>3572</v>
      </c>
      <c r="H1174" s="19" t="n">
        <f aca="false">IFERROR(VALUE(SUBSTITUTE(TRIM('수출입 실적(품목별)'!E1178),",","")),"")</f>
        <v>20531</v>
      </c>
      <c r="I1174" s="18" t="n">
        <f aca="false">IFERROR(VALUE(SUBSTITUTE(TRIM('수출입 실적(품목별)'!F1178),",","")),"")</f>
        <v>12879.7</v>
      </c>
      <c r="J1174" s="19" t="n">
        <f aca="false">IFERROR(VALUE(SUBSTITUTE(TRIM('수출입 실적(품목별)'!G1178),",","")),"")</f>
        <v>72361</v>
      </c>
      <c r="K1174" s="19" t="n">
        <f aca="false">IFERROR(VALUE(SUBSTITUTE(TRIM('수출입 실적(품목별)'!H1178),",","")),"")</f>
        <v>-51830</v>
      </c>
    </row>
    <row r="1175" customFormat="false" ht="15" hidden="false" customHeight="true" outlineLevel="0" collapsed="false">
      <c r="A1175" s="11" t="str">
        <f aca="false">TRIM('수출입 실적(품목별)'!A1179)</f>
        <v>2025.01</v>
      </c>
      <c r="B1175" s="17" t="n">
        <f aca="false">IFERROR(VALUE(LEFT($A1175,4)),"")</f>
        <v>2025</v>
      </c>
      <c r="C1175" s="17" t="n">
        <f aca="false">IFERROR(VALUE(RIGHT($A1175,2)),"")</f>
        <v>1</v>
      </c>
      <c r="D1175" s="17" t="n">
        <f aca="false">IFERROR(ROUNDUP($C1175/3,0),"")</f>
        <v>1</v>
      </c>
      <c r="E1175" s="11" t="str">
        <f aca="false">TRIM('수출입 실적(품목별)'!B1179)</f>
        <v>17</v>
      </c>
      <c r="F1175" s="11" t="str">
        <f aca="false">TRIM('수출입 실적(품목별)'!C1179)</f>
        <v>당류(糖類)와 설탕과자</v>
      </c>
      <c r="G1175" s="18" t="n">
        <f aca="false">IFERROR(VALUE(SUBSTITUTE(TRIM('수출입 실적(품목별)'!D1179),",","")),"")</f>
        <v>17914.5</v>
      </c>
      <c r="H1175" s="19" t="n">
        <f aca="false">IFERROR(VALUE(SUBSTITUTE(TRIM('수출입 실적(품목별)'!E1179),",","")),"")</f>
        <v>19752</v>
      </c>
      <c r="I1175" s="18" t="n">
        <f aca="false">IFERROR(VALUE(SUBSTITUTE(TRIM('수출입 실적(품목별)'!F1179),",","")),"")</f>
        <v>164906.3</v>
      </c>
      <c r="J1175" s="19" t="n">
        <f aca="false">IFERROR(VALUE(SUBSTITUTE(TRIM('수출입 실적(품목별)'!G1179),",","")),"")</f>
        <v>114976</v>
      </c>
      <c r="K1175" s="19" t="n">
        <f aca="false">IFERROR(VALUE(SUBSTITUTE(TRIM('수출입 실적(품목별)'!H1179),",","")),"")</f>
        <v>-95223</v>
      </c>
    </row>
    <row r="1176" customFormat="false" ht="15" hidden="false" customHeight="true" outlineLevel="0" collapsed="false">
      <c r="A1176" s="11" t="str">
        <f aca="false">TRIM('수출입 실적(품목별)'!A1180)</f>
        <v>2025.01</v>
      </c>
      <c r="B1176" s="17" t="n">
        <f aca="false">IFERROR(VALUE(LEFT($A1176,4)),"")</f>
        <v>2025</v>
      </c>
      <c r="C1176" s="17" t="n">
        <f aca="false">IFERROR(VALUE(RIGHT($A1176,2)),"")</f>
        <v>1</v>
      </c>
      <c r="D1176" s="17" t="n">
        <f aca="false">IFERROR(ROUNDUP($C1176/3,0),"")</f>
        <v>1</v>
      </c>
      <c r="E1176" s="11" t="str">
        <f aca="false">TRIM('수출입 실적(품목별)'!B1180)</f>
        <v>18</v>
      </c>
      <c r="F1176" s="11" t="str">
        <f aca="false">TRIM('수출입 실적(품목별)'!C1180)</f>
        <v>코코아와 그 조제품</v>
      </c>
      <c r="G1176" s="18" t="n">
        <f aca="false">IFERROR(VALUE(SUBSTITUTE(TRIM('수출입 실적(품목별)'!D1180),",","")),"")</f>
        <v>2334.3</v>
      </c>
      <c r="H1176" s="19" t="n">
        <f aca="false">IFERROR(VALUE(SUBSTITUTE(TRIM('수출입 실적(품목별)'!E1180),",","")),"")</f>
        <v>8048</v>
      </c>
      <c r="I1176" s="18" t="n">
        <f aca="false">IFERROR(VALUE(SUBSTITUTE(TRIM('수출입 실적(품목별)'!F1180),",","")),"")</f>
        <v>6203.5</v>
      </c>
      <c r="J1176" s="19" t="n">
        <f aca="false">IFERROR(VALUE(SUBSTITUTE(TRIM('수출입 실적(품목별)'!G1180),",","")),"")</f>
        <v>55733</v>
      </c>
      <c r="K1176" s="19" t="n">
        <f aca="false">IFERROR(VALUE(SUBSTITUTE(TRIM('수출입 실적(품목별)'!H1180),",","")),"")</f>
        <v>-47685</v>
      </c>
    </row>
    <row r="1177" customFormat="false" ht="15" hidden="false" customHeight="true" outlineLevel="0" collapsed="false">
      <c r="A1177" s="11" t="str">
        <f aca="false">TRIM('수출입 실적(품목별)'!A1181)</f>
        <v>2025.01</v>
      </c>
      <c r="B1177" s="17" t="n">
        <f aca="false">IFERROR(VALUE(LEFT($A1177,4)),"")</f>
        <v>2025</v>
      </c>
      <c r="C1177" s="17" t="n">
        <f aca="false">IFERROR(VALUE(RIGHT($A1177,2)),"")</f>
        <v>1</v>
      </c>
      <c r="D1177" s="17" t="n">
        <f aca="false">IFERROR(ROUNDUP($C1177/3,0),"")</f>
        <v>1</v>
      </c>
      <c r="E1177" s="11" t="str">
        <f aca="false">TRIM('수출입 실적(품목별)'!B1181)</f>
        <v>19</v>
      </c>
      <c r="F1177" s="11" t="str">
        <f aca="false">TRIM('수출입 실적(품목별)'!C1181)</f>
        <v>곡물ㆍ고운 가루ㆍ전분ㆍ밀크의 조제품과 베이커리 제품</v>
      </c>
      <c r="G1177" s="18" t="n">
        <f aca="false">IFERROR(VALUE(SUBSTITUTE(TRIM('수출입 실적(품목별)'!D1181),",","")),"")</f>
        <v>48005.9</v>
      </c>
      <c r="H1177" s="19" t="n">
        <f aca="false">IFERROR(VALUE(SUBSTITUTE(TRIM('수출입 실적(품목별)'!E1181),",","")),"")</f>
        <v>186330</v>
      </c>
      <c r="I1177" s="18" t="n">
        <f aca="false">IFERROR(VALUE(SUBSTITUTE(TRIM('수출입 실적(품목별)'!F1181),",","")),"")</f>
        <v>27822</v>
      </c>
      <c r="J1177" s="19" t="n">
        <f aca="false">IFERROR(VALUE(SUBSTITUTE(TRIM('수출입 실적(품목별)'!G1181),",","")),"")</f>
        <v>87188</v>
      </c>
      <c r="K1177" s="19" t="n">
        <f aca="false">IFERROR(VALUE(SUBSTITUTE(TRIM('수출입 실적(품목별)'!H1181),",","")),"")</f>
        <v>99143</v>
      </c>
    </row>
    <row r="1178" customFormat="false" ht="15" hidden="false" customHeight="true" outlineLevel="0" collapsed="false">
      <c r="A1178" s="11" t="str">
        <f aca="false">TRIM('수출입 실적(품목별)'!A1182)</f>
        <v>2025.01</v>
      </c>
      <c r="B1178" s="17" t="n">
        <f aca="false">IFERROR(VALUE(LEFT($A1178,4)),"")</f>
        <v>2025</v>
      </c>
      <c r="C1178" s="17" t="n">
        <f aca="false">IFERROR(VALUE(RIGHT($A1178,2)),"")</f>
        <v>1</v>
      </c>
      <c r="D1178" s="17" t="n">
        <f aca="false">IFERROR(ROUNDUP($C1178/3,0),"")</f>
        <v>1</v>
      </c>
      <c r="E1178" s="11" t="str">
        <f aca="false">TRIM('수출입 실적(품목별)'!B1182)</f>
        <v>20</v>
      </c>
      <c r="F1178" s="11" t="str">
        <f aca="false">TRIM('수출입 실적(품목별)'!C1182)</f>
        <v>채소ㆍ과실ㆍ견과류나 식물의그 밖의 부분의 조제품</v>
      </c>
      <c r="G1178" s="18" t="n">
        <f aca="false">IFERROR(VALUE(SUBSTITUTE(TRIM('수출입 실적(품목별)'!D1182),",","")),"")</f>
        <v>9203.6</v>
      </c>
      <c r="H1178" s="19" t="n">
        <f aca="false">IFERROR(VALUE(SUBSTITUTE(TRIM('수출입 실적(품목별)'!E1182),",","")),"")</f>
        <v>73316</v>
      </c>
      <c r="I1178" s="18" t="n">
        <f aca="false">IFERROR(VALUE(SUBSTITUTE(TRIM('수출입 실적(품목별)'!F1182),",","")),"")</f>
        <v>88431.7</v>
      </c>
      <c r="J1178" s="19" t="n">
        <f aca="false">IFERROR(VALUE(SUBSTITUTE(TRIM('수출입 실적(품목별)'!G1182),",","")),"")</f>
        <v>130294</v>
      </c>
      <c r="K1178" s="19" t="n">
        <f aca="false">IFERROR(VALUE(SUBSTITUTE(TRIM('수출입 실적(품목별)'!H1182),",","")),"")</f>
        <v>-56978</v>
      </c>
    </row>
    <row r="1179" customFormat="false" ht="15" hidden="false" customHeight="true" outlineLevel="0" collapsed="false">
      <c r="A1179" s="11" t="str">
        <f aca="false">TRIM('수출입 실적(품목별)'!A1183)</f>
        <v>2025.01</v>
      </c>
      <c r="B1179" s="17" t="n">
        <f aca="false">IFERROR(VALUE(LEFT($A1179,4)),"")</f>
        <v>2025</v>
      </c>
      <c r="C1179" s="17" t="n">
        <f aca="false">IFERROR(VALUE(RIGHT($A1179,2)),"")</f>
        <v>1</v>
      </c>
      <c r="D1179" s="17" t="n">
        <f aca="false">IFERROR(ROUNDUP($C1179/3,0),"")</f>
        <v>1</v>
      </c>
      <c r="E1179" s="11" t="str">
        <f aca="false">TRIM('수출입 실적(품목별)'!B1183)</f>
        <v>21</v>
      </c>
      <c r="F1179" s="11" t="str">
        <f aca="false">TRIM('수출입 실적(품목별)'!C1183)</f>
        <v>각종 조제 식료품</v>
      </c>
      <c r="G1179" s="18" t="n">
        <f aca="false">IFERROR(VALUE(SUBSTITUTE(TRIM('수출입 실적(품목별)'!D1183),",","")),"")</f>
        <v>31199.2</v>
      </c>
      <c r="H1179" s="19" t="n">
        <f aca="false">IFERROR(VALUE(SUBSTITUTE(TRIM('수출입 실적(품목별)'!E1183),",","")),"")</f>
        <v>125355</v>
      </c>
      <c r="I1179" s="18" t="n">
        <f aca="false">IFERROR(VALUE(SUBSTITUTE(TRIM('수출입 실적(품목별)'!F1183),",","")),"")</f>
        <v>28341.2</v>
      </c>
      <c r="J1179" s="19" t="n">
        <f aca="false">IFERROR(VALUE(SUBSTITUTE(TRIM('수출입 실적(품목별)'!G1183),",","")),"")</f>
        <v>209252</v>
      </c>
      <c r="K1179" s="19" t="n">
        <f aca="false">IFERROR(VALUE(SUBSTITUTE(TRIM('수출입 실적(품목별)'!H1183),",","")),"")</f>
        <v>-83898</v>
      </c>
    </row>
    <row r="1180" customFormat="false" ht="15" hidden="false" customHeight="true" outlineLevel="0" collapsed="false">
      <c r="A1180" s="11" t="str">
        <f aca="false">TRIM('수출입 실적(품목별)'!A1184)</f>
        <v>2025.01</v>
      </c>
      <c r="B1180" s="17" t="n">
        <f aca="false">IFERROR(VALUE(LEFT($A1180,4)),"")</f>
        <v>2025</v>
      </c>
      <c r="C1180" s="17" t="n">
        <f aca="false">IFERROR(VALUE(RIGHT($A1180,2)),"")</f>
        <v>1</v>
      </c>
      <c r="D1180" s="17" t="n">
        <f aca="false">IFERROR(ROUNDUP($C1180/3,0),"")</f>
        <v>1</v>
      </c>
      <c r="E1180" s="11" t="str">
        <f aca="false">TRIM('수출입 실적(품목별)'!B1184)</f>
        <v>22</v>
      </c>
      <c r="F1180" s="11" t="str">
        <f aca="false">TRIM('수출입 실적(품목별)'!C1184)</f>
        <v>음료ㆍ주류ㆍ식초</v>
      </c>
      <c r="G1180" s="18" t="n">
        <f aca="false">IFERROR(VALUE(SUBSTITUTE(TRIM('수출입 실적(품목별)'!D1184),",","")),"")</f>
        <v>55764.5</v>
      </c>
      <c r="H1180" s="19" t="n">
        <f aca="false">IFERROR(VALUE(SUBSTITUTE(TRIM('수출입 실적(품목별)'!E1184),",","")),"")</f>
        <v>67192</v>
      </c>
      <c r="I1180" s="18" t="n">
        <f aca="false">IFERROR(VALUE(SUBSTITUTE(TRIM('수출입 실적(품목별)'!F1184),",","")),"")</f>
        <v>80304.5</v>
      </c>
      <c r="J1180" s="19" t="n">
        <f aca="false">IFERROR(VALUE(SUBSTITUTE(TRIM('수출입 실적(품목별)'!G1184),",","")),"")</f>
        <v>117458</v>
      </c>
      <c r="K1180" s="19" t="n">
        <f aca="false">IFERROR(VALUE(SUBSTITUTE(TRIM('수출입 실적(품목별)'!H1184),",","")),"")</f>
        <v>-50266</v>
      </c>
    </row>
    <row r="1181" customFormat="false" ht="15" hidden="false" customHeight="true" outlineLevel="0" collapsed="false">
      <c r="A1181" s="11" t="str">
        <f aca="false">TRIM('수출입 실적(품목별)'!A1185)</f>
        <v>2025.01</v>
      </c>
      <c r="B1181" s="17" t="n">
        <f aca="false">IFERROR(VALUE(LEFT($A1181,4)),"")</f>
        <v>2025</v>
      </c>
      <c r="C1181" s="17" t="n">
        <f aca="false">IFERROR(VALUE(RIGHT($A1181,2)),"")</f>
        <v>1</v>
      </c>
      <c r="D1181" s="17" t="n">
        <f aca="false">IFERROR(ROUNDUP($C1181/3,0),"")</f>
        <v>1</v>
      </c>
      <c r="E1181" s="11" t="str">
        <f aca="false">TRIM('수출입 실적(품목별)'!B1185)</f>
        <v>23</v>
      </c>
      <c r="F1181" s="11" t="str">
        <f aca="false">TRIM('수출입 실적(품목별)'!C1185)</f>
        <v>식품 공업에서 생기는 잔재물과 웨이스트(waste), 조제 사료</v>
      </c>
      <c r="G1181" s="18" t="n">
        <f aca="false">IFERROR(VALUE(SUBSTITUTE(TRIM('수출입 실적(품목별)'!D1185),",","")),"")</f>
        <v>28738.6</v>
      </c>
      <c r="H1181" s="19" t="n">
        <f aca="false">IFERROR(VALUE(SUBSTITUTE(TRIM('수출입 실적(품목별)'!E1185),",","")),"")</f>
        <v>27711</v>
      </c>
      <c r="I1181" s="18" t="n">
        <f aca="false">IFERROR(VALUE(SUBSTITUTE(TRIM('수출입 실적(품목별)'!F1185),",","")),"")</f>
        <v>569877.2</v>
      </c>
      <c r="J1181" s="19" t="n">
        <f aca="false">IFERROR(VALUE(SUBSTITUTE(TRIM('수출입 실적(품목별)'!G1185),",","")),"")</f>
        <v>186195</v>
      </c>
      <c r="K1181" s="19" t="n">
        <f aca="false">IFERROR(VALUE(SUBSTITUTE(TRIM('수출입 실적(품목별)'!H1185),",","")),"")</f>
        <v>-158484</v>
      </c>
    </row>
    <row r="1182" customFormat="false" ht="15" hidden="false" customHeight="true" outlineLevel="0" collapsed="false">
      <c r="A1182" s="11" t="str">
        <f aca="false">TRIM('수출입 실적(품목별)'!A1186)</f>
        <v>2025.01</v>
      </c>
      <c r="B1182" s="17" t="n">
        <f aca="false">IFERROR(VALUE(LEFT($A1182,4)),"")</f>
        <v>2025</v>
      </c>
      <c r="C1182" s="17" t="n">
        <f aca="false">IFERROR(VALUE(RIGHT($A1182,2)),"")</f>
        <v>1</v>
      </c>
      <c r="D1182" s="17" t="n">
        <f aca="false">IFERROR(ROUNDUP($C1182/3,0),"")</f>
        <v>1</v>
      </c>
      <c r="E1182" s="11" t="str">
        <f aca="false">TRIM('수출입 실적(품목별)'!B1186)</f>
        <v>24</v>
      </c>
      <c r="F1182" s="11" t="str">
        <f aca="false">TRIM('수출입 실적(품목별)'!C1186)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182" s="18" t="n">
        <f aca="false">IFERROR(VALUE(SUBSTITUTE(TRIM('수출입 실적(품목별)'!D1186),",","")),"")</f>
        <v>8004.7</v>
      </c>
      <c r="H1182" s="19" t="n">
        <f aca="false">IFERROR(VALUE(SUBSTITUTE(TRIM('수출입 실적(품목별)'!E1186),",","")),"")</f>
        <v>76365</v>
      </c>
      <c r="I1182" s="18" t="n">
        <f aca="false">IFERROR(VALUE(SUBSTITUTE(TRIM('수출입 실적(품목별)'!F1186),",","")),"")</f>
        <v>4863.9</v>
      </c>
      <c r="J1182" s="19" t="n">
        <f aca="false">IFERROR(VALUE(SUBSTITUTE(TRIM('수출입 실적(품목별)'!G1186),",","")),"")</f>
        <v>37590</v>
      </c>
      <c r="K1182" s="19" t="n">
        <f aca="false">IFERROR(VALUE(SUBSTITUTE(TRIM('수출입 실적(품목별)'!H1186),",","")),"")</f>
        <v>38775</v>
      </c>
    </row>
    <row r="1183" customFormat="false" ht="15" hidden="false" customHeight="true" outlineLevel="0" collapsed="false">
      <c r="A1183" s="11" t="str">
        <f aca="false">TRIM('수출입 실적(품목별)'!A1187)</f>
        <v>2025.01</v>
      </c>
      <c r="B1183" s="17" t="n">
        <f aca="false">IFERROR(VALUE(LEFT($A1183,4)),"")</f>
        <v>2025</v>
      </c>
      <c r="C1183" s="17" t="n">
        <f aca="false">IFERROR(VALUE(RIGHT($A1183,2)),"")</f>
        <v>1</v>
      </c>
      <c r="D1183" s="17" t="n">
        <f aca="false">IFERROR(ROUNDUP($C1183/3,0),"")</f>
        <v>1</v>
      </c>
      <c r="E1183" s="11" t="str">
        <f aca="false">TRIM('수출입 실적(품목별)'!B1187)</f>
        <v>25</v>
      </c>
      <c r="F1183" s="11" t="str">
        <f aca="false">TRIM('수출입 실적(품목별)'!C1187)</f>
        <v>소금, 황, 토석류(土石類), 석고ㆍ석회ㆍ시멘트</v>
      </c>
      <c r="G1183" s="18" t="n">
        <f aca="false">IFERROR(VALUE(SUBSTITUTE(TRIM('수출입 실적(품목별)'!D1187),",","")),"")</f>
        <v>458839.8</v>
      </c>
      <c r="H1183" s="19" t="n">
        <f aca="false">IFERROR(VALUE(SUBSTITUTE(TRIM('수출입 실적(품목별)'!E1187),",","")),"")</f>
        <v>31425</v>
      </c>
      <c r="I1183" s="18" t="n">
        <f aca="false">IFERROR(VALUE(SUBSTITUTE(TRIM('수출입 실적(품목별)'!F1187),",","")),"")</f>
        <v>1161552.2</v>
      </c>
      <c r="J1183" s="19" t="n">
        <f aca="false">IFERROR(VALUE(SUBSTITUTE(TRIM('수출입 실적(품목별)'!G1187),",","")),"")</f>
        <v>82092</v>
      </c>
      <c r="K1183" s="19" t="n">
        <f aca="false">IFERROR(VALUE(SUBSTITUTE(TRIM('수출입 실적(품목별)'!H1187),",","")),"")</f>
        <v>-50667</v>
      </c>
    </row>
    <row r="1184" customFormat="false" ht="15" hidden="false" customHeight="true" outlineLevel="0" collapsed="false">
      <c r="A1184" s="11" t="str">
        <f aca="false">TRIM('수출입 실적(품목별)'!A1188)</f>
        <v>2025.01</v>
      </c>
      <c r="B1184" s="17" t="n">
        <f aca="false">IFERROR(VALUE(LEFT($A1184,4)),"")</f>
        <v>2025</v>
      </c>
      <c r="C1184" s="17" t="n">
        <f aca="false">IFERROR(VALUE(RIGHT($A1184,2)),"")</f>
        <v>1</v>
      </c>
      <c r="D1184" s="17" t="n">
        <f aca="false">IFERROR(ROUNDUP($C1184/3,0),"")</f>
        <v>1</v>
      </c>
      <c r="E1184" s="11" t="str">
        <f aca="false">TRIM('수출입 실적(품목별)'!B1188)</f>
        <v>26</v>
      </c>
      <c r="F1184" s="11" t="str">
        <f aca="false">TRIM('수출입 실적(품목별)'!C1188)</f>
        <v>광(鑛)ㆍ슬래그(slag)ㆍ회(灰)</v>
      </c>
      <c r="G1184" s="18" t="n">
        <f aca="false">IFERROR(VALUE(SUBSTITUTE(TRIM('수출입 실적(품목별)'!D1188),",","")),"")</f>
        <v>127149.1</v>
      </c>
      <c r="H1184" s="19" t="n">
        <f aca="false">IFERROR(VALUE(SUBSTITUTE(TRIM('수출입 실적(품목별)'!E1188),",","")),"")</f>
        <v>38549</v>
      </c>
      <c r="I1184" s="18" t="n">
        <f aca="false">IFERROR(VALUE(SUBSTITUTE(TRIM('수출입 실적(품목별)'!F1188),",","")),"")</f>
        <v>6250464.4</v>
      </c>
      <c r="J1184" s="19" t="n">
        <f aca="false">IFERROR(VALUE(SUBSTITUTE(TRIM('수출입 실적(품목별)'!G1188),",","")),"")</f>
        <v>1930784</v>
      </c>
      <c r="K1184" s="19" t="n">
        <f aca="false">IFERROR(VALUE(SUBSTITUTE(TRIM('수출입 실적(품목별)'!H1188),",","")),"")</f>
        <v>-1892235</v>
      </c>
    </row>
    <row r="1185" customFormat="false" ht="15" hidden="false" customHeight="true" outlineLevel="0" collapsed="false">
      <c r="A1185" s="11" t="str">
        <f aca="false">TRIM('수출입 실적(품목별)'!A1189)</f>
        <v>2025.01</v>
      </c>
      <c r="B1185" s="17" t="n">
        <f aca="false">IFERROR(VALUE(LEFT($A1185,4)),"")</f>
        <v>2025</v>
      </c>
      <c r="C1185" s="17" t="n">
        <f aca="false">IFERROR(VALUE(RIGHT($A1185,2)),"")</f>
        <v>1</v>
      </c>
      <c r="D1185" s="17" t="n">
        <f aca="false">IFERROR(ROUNDUP($C1185/3,0),"")</f>
        <v>1</v>
      </c>
      <c r="E1185" s="11" t="str">
        <f aca="false">TRIM('수출입 실적(품목별)'!B1189)</f>
        <v>27</v>
      </c>
      <c r="F1185" s="11" t="str">
        <f aca="false">TRIM('수출입 실적(품목별)'!C1189)</f>
        <v>광물성 연료ㆍ광물유(鑛物油)와 이들의 증류물, 역청(瀝靑)물질, 광물성 왁스</v>
      </c>
      <c r="G1185" s="18" t="n">
        <f aca="false">IFERROR(VALUE(SUBSTITUTE(TRIM('수출입 실적(품목별)'!D1189),",","")),"")</f>
        <v>4982652.8</v>
      </c>
      <c r="H1185" s="19" t="n">
        <f aca="false">IFERROR(VALUE(SUBSTITUTE(TRIM('수출입 실적(품목별)'!E1189),",","")),"")</f>
        <v>3606096</v>
      </c>
      <c r="I1185" s="18" t="n">
        <f aca="false">IFERROR(VALUE(SUBSTITUTE(TRIM('수출입 실적(품목별)'!F1189),",","")),"")</f>
        <v>30954267.7</v>
      </c>
      <c r="J1185" s="19" t="n">
        <f aca="false">IFERROR(VALUE(SUBSTITUTE(TRIM('수출입 실적(품목별)'!G1189),",","")),"")</f>
        <v>13854140</v>
      </c>
      <c r="K1185" s="19" t="n">
        <f aca="false">IFERROR(VALUE(SUBSTITUTE(TRIM('수출입 실적(품목별)'!H1189),",","")),"")</f>
        <v>-10248044</v>
      </c>
    </row>
    <row r="1186" customFormat="false" ht="15" hidden="false" customHeight="true" outlineLevel="0" collapsed="false">
      <c r="A1186" s="11" t="str">
        <f aca="false">TRIM('수출입 실적(품목별)'!A1190)</f>
        <v>2025.01</v>
      </c>
      <c r="B1186" s="17" t="n">
        <f aca="false">IFERROR(VALUE(LEFT($A1186,4)),"")</f>
        <v>2025</v>
      </c>
      <c r="C1186" s="17" t="n">
        <f aca="false">IFERROR(VALUE(RIGHT($A1186,2)),"")</f>
        <v>1</v>
      </c>
      <c r="D1186" s="17" t="n">
        <f aca="false">IFERROR(ROUNDUP($C1186/3,0),"")</f>
        <v>1</v>
      </c>
      <c r="E1186" s="11" t="str">
        <f aca="false">TRIM('수출입 실적(품목별)'!B1190)</f>
        <v>28</v>
      </c>
      <c r="F1186" s="11" t="str">
        <f aca="false">TRIM('수출입 실적(품목별)'!C1190)</f>
        <v>무기화학품, 귀금속ㆍ희토류(稀土類)금속ㆍ방사성원소ㆍ동위원소의 유기화합물이나 무기화합물</v>
      </c>
      <c r="G1186" s="18" t="n">
        <f aca="false">IFERROR(VALUE(SUBSTITUTE(TRIM('수출입 실적(품목별)'!D1190),",","")),"")</f>
        <v>468342.4</v>
      </c>
      <c r="H1186" s="19" t="n">
        <f aca="false">IFERROR(VALUE(SUBSTITUTE(TRIM('수출입 실적(품목별)'!E1190),",","")),"")</f>
        <v>663940</v>
      </c>
      <c r="I1186" s="18" t="n">
        <f aca="false">IFERROR(VALUE(SUBSTITUTE(TRIM('수출입 실적(품목별)'!F1190),",","")),"")</f>
        <v>456092.3</v>
      </c>
      <c r="J1186" s="19" t="n">
        <f aca="false">IFERROR(VALUE(SUBSTITUTE(TRIM('수출입 실적(품목별)'!G1190),",","")),"")</f>
        <v>807069</v>
      </c>
      <c r="K1186" s="19" t="n">
        <f aca="false">IFERROR(VALUE(SUBSTITUTE(TRIM('수출입 실적(품목별)'!H1190),",","")),"")</f>
        <v>-143130</v>
      </c>
    </row>
    <row r="1187" customFormat="false" ht="15" hidden="false" customHeight="true" outlineLevel="0" collapsed="false">
      <c r="A1187" s="11" t="str">
        <f aca="false">TRIM('수출입 실적(품목별)'!A1191)</f>
        <v>2025.01</v>
      </c>
      <c r="B1187" s="17" t="n">
        <f aca="false">IFERROR(VALUE(LEFT($A1187,4)),"")</f>
        <v>2025</v>
      </c>
      <c r="C1187" s="17" t="n">
        <f aca="false">IFERROR(VALUE(RIGHT($A1187,2)),"")</f>
        <v>1</v>
      </c>
      <c r="D1187" s="17" t="n">
        <f aca="false">IFERROR(ROUNDUP($C1187/3,0),"")</f>
        <v>1</v>
      </c>
      <c r="E1187" s="11" t="str">
        <f aca="false">TRIM('수출입 실적(품목별)'!B1191)</f>
        <v>29</v>
      </c>
      <c r="F1187" s="11" t="str">
        <f aca="false">TRIM('수출입 실적(품목별)'!C1191)</f>
        <v>유기화학품</v>
      </c>
      <c r="G1187" s="18" t="n">
        <f aca="false">IFERROR(VALUE(SUBSTITUTE(TRIM('수출입 실적(품목별)'!D1191),",","")),"")</f>
        <v>1609094.3</v>
      </c>
      <c r="H1187" s="19" t="n">
        <f aca="false">IFERROR(VALUE(SUBSTITUTE(TRIM('수출입 실적(품목별)'!E1191),",","")),"")</f>
        <v>1618152</v>
      </c>
      <c r="I1187" s="18" t="n">
        <f aca="false">IFERROR(VALUE(SUBSTITUTE(TRIM('수출입 실적(품목별)'!F1191),",","")),"")</f>
        <v>718892.5</v>
      </c>
      <c r="J1187" s="19" t="n">
        <f aca="false">IFERROR(VALUE(SUBSTITUTE(TRIM('수출입 실적(품목별)'!G1191),",","")),"")</f>
        <v>1160904</v>
      </c>
      <c r="K1187" s="19" t="n">
        <f aca="false">IFERROR(VALUE(SUBSTITUTE(TRIM('수출입 실적(품목별)'!H1191),",","")),"")</f>
        <v>457248</v>
      </c>
    </row>
    <row r="1188" customFormat="false" ht="15" hidden="false" customHeight="true" outlineLevel="0" collapsed="false">
      <c r="A1188" s="11" t="str">
        <f aca="false">TRIM('수출입 실적(품목별)'!A1192)</f>
        <v>2025.01</v>
      </c>
      <c r="B1188" s="17" t="n">
        <f aca="false">IFERROR(VALUE(LEFT($A1188,4)),"")</f>
        <v>2025</v>
      </c>
      <c r="C1188" s="17" t="n">
        <f aca="false">IFERROR(VALUE(RIGHT($A1188,2)),"")</f>
        <v>1</v>
      </c>
      <c r="D1188" s="17" t="n">
        <f aca="false">IFERROR(ROUNDUP($C1188/3,0),"")</f>
        <v>1</v>
      </c>
      <c r="E1188" s="11" t="str">
        <f aca="false">TRIM('수출입 실적(품목별)'!B1192)</f>
        <v>30</v>
      </c>
      <c r="F1188" s="11" t="str">
        <f aca="false">TRIM('수출입 실적(품목별)'!C1192)</f>
        <v>의료용품</v>
      </c>
      <c r="G1188" s="18" t="n">
        <f aca="false">IFERROR(VALUE(SUBSTITUTE(TRIM('수출입 실적(품목별)'!D1192),",","")),"")</f>
        <v>1788.8</v>
      </c>
      <c r="H1188" s="19" t="n">
        <f aca="false">IFERROR(VALUE(SUBSTITUTE(TRIM('수출입 실적(품목별)'!E1192),",","")),"")</f>
        <v>681649</v>
      </c>
      <c r="I1188" s="18" t="n">
        <f aca="false">IFERROR(VALUE(SUBSTITUTE(TRIM('수출입 실적(품목별)'!F1192),",","")),"")</f>
        <v>7407.8</v>
      </c>
      <c r="J1188" s="19" t="n">
        <f aca="false">IFERROR(VALUE(SUBSTITUTE(TRIM('수출입 실적(품목별)'!G1192),",","")),"")</f>
        <v>659667</v>
      </c>
      <c r="K1188" s="19" t="n">
        <f aca="false">IFERROR(VALUE(SUBSTITUTE(TRIM('수출입 실적(품목별)'!H1192),",","")),"")</f>
        <v>21982</v>
      </c>
    </row>
    <row r="1189" customFormat="false" ht="15" hidden="false" customHeight="true" outlineLevel="0" collapsed="false">
      <c r="A1189" s="11" t="str">
        <f aca="false">TRIM('수출입 실적(품목별)'!A1193)</f>
        <v>2025.01</v>
      </c>
      <c r="B1189" s="17" t="n">
        <f aca="false">IFERROR(VALUE(LEFT($A1189,4)),"")</f>
        <v>2025</v>
      </c>
      <c r="C1189" s="17" t="n">
        <f aca="false">IFERROR(VALUE(RIGHT($A1189,2)),"")</f>
        <v>1</v>
      </c>
      <c r="D1189" s="17" t="n">
        <f aca="false">IFERROR(ROUNDUP($C1189/3,0),"")</f>
        <v>1</v>
      </c>
      <c r="E1189" s="11" t="str">
        <f aca="false">TRIM('수출입 실적(품목별)'!B1193)</f>
        <v>31</v>
      </c>
      <c r="F1189" s="11" t="str">
        <f aca="false">TRIM('수출입 실적(품목별)'!C1193)</f>
        <v>비료</v>
      </c>
      <c r="G1189" s="18" t="n">
        <f aca="false">IFERROR(VALUE(SUBSTITUTE(TRIM('수출입 실적(품목별)'!D1193),",","")),"")</f>
        <v>93778.6</v>
      </c>
      <c r="H1189" s="19" t="n">
        <f aca="false">IFERROR(VALUE(SUBSTITUTE(TRIM('수출입 실적(품목별)'!E1193),",","")),"")</f>
        <v>42099</v>
      </c>
      <c r="I1189" s="18" t="n">
        <f aca="false">IFERROR(VALUE(SUBSTITUTE(TRIM('수출입 실적(품목별)'!F1193),",","")),"")</f>
        <v>140059.3</v>
      </c>
      <c r="J1189" s="19" t="n">
        <f aca="false">IFERROR(VALUE(SUBSTITUTE(TRIM('수출입 실적(품목별)'!G1193),",","")),"")</f>
        <v>61539</v>
      </c>
      <c r="K1189" s="19" t="n">
        <f aca="false">IFERROR(VALUE(SUBSTITUTE(TRIM('수출입 실적(품목별)'!H1193),",","")),"")</f>
        <v>-19441</v>
      </c>
    </row>
    <row r="1190" customFormat="false" ht="15" hidden="false" customHeight="true" outlineLevel="0" collapsed="false">
      <c r="A1190" s="11" t="str">
        <f aca="false">TRIM('수출입 실적(품목별)'!A1194)</f>
        <v>2025.01</v>
      </c>
      <c r="B1190" s="17" t="n">
        <f aca="false">IFERROR(VALUE(LEFT($A1190,4)),"")</f>
        <v>2025</v>
      </c>
      <c r="C1190" s="17" t="n">
        <f aca="false">IFERROR(VALUE(RIGHT($A1190,2)),"")</f>
        <v>1</v>
      </c>
      <c r="D1190" s="17" t="n">
        <f aca="false">IFERROR(ROUNDUP($C1190/3,0),"")</f>
        <v>1</v>
      </c>
      <c r="E1190" s="11" t="str">
        <f aca="false">TRIM('수출입 실적(품목별)'!B1194)</f>
        <v>32</v>
      </c>
      <c r="F1190" s="11" t="str">
        <f aca="false">TRIM('수출입 실적(품목별)'!C1194)</f>
        <v>유연용ㆍ염색용 추출물(extract), 탄닌과 이들의 유도체, 염료ㆍ안료와 그 밖의 착색제, 페인트ㆍ바니시(varnish), 퍼티(putty)와 그 밖의 매스틱(mastic), 잉크</v>
      </c>
      <c r="G1190" s="18" t="n">
        <f aca="false">IFERROR(VALUE(SUBSTITUTE(TRIM('수출입 실적(품목별)'!D1194),",","")),"")</f>
        <v>23545.8</v>
      </c>
      <c r="H1190" s="19" t="n">
        <f aca="false">IFERROR(VALUE(SUBSTITUTE(TRIM('수출입 실적(품목별)'!E1194),",","")),"")</f>
        <v>190642</v>
      </c>
      <c r="I1190" s="18" t="n">
        <f aca="false">IFERROR(VALUE(SUBSTITUTE(TRIM('수출입 실적(품목별)'!F1194),",","")),"")</f>
        <v>22728.4</v>
      </c>
      <c r="J1190" s="19" t="n">
        <f aca="false">IFERROR(VALUE(SUBSTITUTE(TRIM('수출입 실적(품목별)'!G1194),",","")),"")</f>
        <v>172779</v>
      </c>
      <c r="K1190" s="19" t="n">
        <f aca="false">IFERROR(VALUE(SUBSTITUTE(TRIM('수출입 실적(품목별)'!H1194),",","")),"")</f>
        <v>17862</v>
      </c>
    </row>
    <row r="1191" customFormat="false" ht="15" hidden="false" customHeight="true" outlineLevel="0" collapsed="false">
      <c r="A1191" s="11" t="str">
        <f aca="false">TRIM('수출입 실적(품목별)'!A1195)</f>
        <v>2025.01</v>
      </c>
      <c r="B1191" s="17" t="n">
        <f aca="false">IFERROR(VALUE(LEFT($A1191,4)),"")</f>
        <v>2025</v>
      </c>
      <c r="C1191" s="17" t="n">
        <f aca="false">IFERROR(VALUE(RIGHT($A1191,2)),"")</f>
        <v>1</v>
      </c>
      <c r="D1191" s="17" t="n">
        <f aca="false">IFERROR(ROUNDUP($C1191/3,0),"")</f>
        <v>1</v>
      </c>
      <c r="E1191" s="11" t="str">
        <f aca="false">TRIM('수출입 실적(품목별)'!B1195)</f>
        <v>33</v>
      </c>
      <c r="F1191" s="11" t="str">
        <f aca="false">TRIM('수출입 실적(품목별)'!C1195)</f>
        <v>정유(essential oil)와 레지노이드(resinoid), 조제향료와 화장품ㆍ화장용품</v>
      </c>
      <c r="G1191" s="18" t="n">
        <f aca="false">IFERROR(VALUE(SUBSTITUTE(TRIM('수출입 실적(품목별)'!D1195),",","")),"")</f>
        <v>31870.5</v>
      </c>
      <c r="H1191" s="19" t="n">
        <f aca="false">IFERROR(VALUE(SUBSTITUTE(TRIM('수출입 실적(품목별)'!E1195),",","")),"")</f>
        <v>732310</v>
      </c>
      <c r="I1191" s="18" t="n">
        <f aca="false">IFERROR(VALUE(SUBSTITUTE(TRIM('수출입 실적(품목별)'!F1195),",","")),"")</f>
        <v>8827</v>
      </c>
      <c r="J1191" s="19" t="n">
        <f aca="false">IFERROR(VALUE(SUBSTITUTE(TRIM('수출입 실적(품목별)'!G1195),",","")),"")</f>
        <v>149071</v>
      </c>
      <c r="K1191" s="19" t="n">
        <f aca="false">IFERROR(VALUE(SUBSTITUTE(TRIM('수출입 실적(품목별)'!H1195),",","")),"")</f>
        <v>583239</v>
      </c>
    </row>
    <row r="1192" customFormat="false" ht="15" hidden="false" customHeight="true" outlineLevel="0" collapsed="false">
      <c r="A1192" s="11" t="str">
        <f aca="false">TRIM('수출입 실적(품목별)'!A1196)</f>
        <v>2025.01</v>
      </c>
      <c r="B1192" s="17" t="n">
        <f aca="false">IFERROR(VALUE(LEFT($A1192,4)),"")</f>
        <v>2025</v>
      </c>
      <c r="C1192" s="17" t="n">
        <f aca="false">IFERROR(VALUE(RIGHT($A1192,2)),"")</f>
        <v>1</v>
      </c>
      <c r="D1192" s="17" t="n">
        <f aca="false">IFERROR(ROUNDUP($C1192/3,0),"")</f>
        <v>1</v>
      </c>
      <c r="E1192" s="11" t="str">
        <f aca="false">TRIM('수출입 실적(품목별)'!B1196)</f>
        <v>34</v>
      </c>
      <c r="F1192" s="11" t="str">
        <f aca="false">TRIM('수출입 실적(품목별)'!C1196)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192" s="18" t="n">
        <f aca="false">IFERROR(VALUE(SUBSTITUTE(TRIM('수출입 실적(품목별)'!D1196),",","")),"")</f>
        <v>49591.3</v>
      </c>
      <c r="H1192" s="19" t="n">
        <f aca="false">IFERROR(VALUE(SUBSTITUTE(TRIM('수출입 실적(품목별)'!E1196),",","")),"")</f>
        <v>137521</v>
      </c>
      <c r="I1192" s="18" t="n">
        <f aca="false">IFERROR(VALUE(SUBSTITUTE(TRIM('수출입 실적(품목별)'!F1196),",","")),"")</f>
        <v>23840.4</v>
      </c>
      <c r="J1192" s="19" t="n">
        <f aca="false">IFERROR(VALUE(SUBSTITUTE(TRIM('수출입 실적(품목별)'!G1196),",","")),"")</f>
        <v>86970</v>
      </c>
      <c r="K1192" s="19" t="n">
        <f aca="false">IFERROR(VALUE(SUBSTITUTE(TRIM('수출입 실적(품목별)'!H1196),",","")),"")</f>
        <v>50551</v>
      </c>
    </row>
    <row r="1193" customFormat="false" ht="15" hidden="false" customHeight="true" outlineLevel="0" collapsed="false">
      <c r="A1193" s="11" t="str">
        <f aca="false">TRIM('수출입 실적(품목별)'!A1197)</f>
        <v>2025.01</v>
      </c>
      <c r="B1193" s="17" t="n">
        <f aca="false">IFERROR(VALUE(LEFT($A1193,4)),"")</f>
        <v>2025</v>
      </c>
      <c r="C1193" s="17" t="n">
        <f aca="false">IFERROR(VALUE(RIGHT($A1193,2)),"")</f>
        <v>1</v>
      </c>
      <c r="D1193" s="17" t="n">
        <f aca="false">IFERROR(ROUNDUP($C1193/3,0),"")</f>
        <v>1</v>
      </c>
      <c r="E1193" s="11" t="str">
        <f aca="false">TRIM('수출입 실적(품목별)'!B1197)</f>
        <v>35</v>
      </c>
      <c r="F1193" s="11" t="str">
        <f aca="false">TRIM('수출입 실적(품목별)'!C1197)</f>
        <v>단백질계 물질, 변성전분, 글루(glue), 효소</v>
      </c>
      <c r="G1193" s="18" t="n">
        <f aca="false">IFERROR(VALUE(SUBSTITUTE(TRIM('수출입 실적(품목별)'!D1197),",","")),"")</f>
        <v>6376.2</v>
      </c>
      <c r="H1193" s="19" t="n">
        <f aca="false">IFERROR(VALUE(SUBSTITUTE(TRIM('수출입 실적(품목별)'!E1197),",","")),"")</f>
        <v>75103</v>
      </c>
      <c r="I1193" s="18" t="n">
        <f aca="false">IFERROR(VALUE(SUBSTITUTE(TRIM('수출입 실적(품목별)'!F1197),",","")),"")</f>
        <v>14467.3</v>
      </c>
      <c r="J1193" s="19" t="n">
        <f aca="false">IFERROR(VALUE(SUBSTITUTE(TRIM('수출입 실적(품목별)'!G1197),",","")),"")</f>
        <v>75196</v>
      </c>
      <c r="K1193" s="19" t="n">
        <f aca="false">IFERROR(VALUE(SUBSTITUTE(TRIM('수출입 실적(품목별)'!H1197),",","")),"")</f>
        <v>-94</v>
      </c>
    </row>
    <row r="1194" customFormat="false" ht="15" hidden="false" customHeight="true" outlineLevel="0" collapsed="false">
      <c r="A1194" s="11" t="str">
        <f aca="false">TRIM('수출입 실적(품목별)'!A1198)</f>
        <v>2025.01</v>
      </c>
      <c r="B1194" s="17" t="n">
        <f aca="false">IFERROR(VALUE(LEFT($A1194,4)),"")</f>
        <v>2025</v>
      </c>
      <c r="C1194" s="17" t="n">
        <f aca="false">IFERROR(VALUE(RIGHT($A1194,2)),"")</f>
        <v>1</v>
      </c>
      <c r="D1194" s="17" t="n">
        <f aca="false">IFERROR(ROUNDUP($C1194/3,0),"")</f>
        <v>1</v>
      </c>
      <c r="E1194" s="11" t="str">
        <f aca="false">TRIM('수출입 실적(품목별)'!B1198)</f>
        <v>36</v>
      </c>
      <c r="F1194" s="11" t="str">
        <f aca="false">TRIM('수출입 실적(품목별)'!C1198)</f>
        <v>화약류, 화공품, 성냥, 발화성 합금, 특정 가연성 조제품</v>
      </c>
      <c r="G1194" s="18" t="n">
        <f aca="false">IFERROR(VALUE(SUBSTITUTE(TRIM('수출입 실적(품목별)'!D1198),",","")),"")</f>
        <v>55.5</v>
      </c>
      <c r="H1194" s="19" t="n">
        <f aca="false">IFERROR(VALUE(SUBSTITUTE(TRIM('수출입 실적(품목별)'!E1198),",","")),"")</f>
        <v>1929</v>
      </c>
      <c r="I1194" s="18" t="n">
        <f aca="false">IFERROR(VALUE(SUBSTITUTE(TRIM('수출입 실적(품목별)'!F1198),",","")),"")</f>
        <v>201.2</v>
      </c>
      <c r="J1194" s="19" t="n">
        <f aca="false">IFERROR(VALUE(SUBSTITUTE(TRIM('수출입 실적(품목별)'!G1198),",","")),"")</f>
        <v>3614</v>
      </c>
      <c r="K1194" s="19" t="n">
        <f aca="false">IFERROR(VALUE(SUBSTITUTE(TRIM('수출입 실적(품목별)'!H1198),",","")),"")</f>
        <v>-1685</v>
      </c>
    </row>
    <row r="1195" customFormat="false" ht="15" hidden="false" customHeight="true" outlineLevel="0" collapsed="false">
      <c r="A1195" s="11" t="str">
        <f aca="false">TRIM('수출입 실적(품목별)'!A1199)</f>
        <v>2025.01</v>
      </c>
      <c r="B1195" s="17" t="n">
        <f aca="false">IFERROR(VALUE(LEFT($A1195,4)),"")</f>
        <v>2025</v>
      </c>
      <c r="C1195" s="17" t="n">
        <f aca="false">IFERROR(VALUE(RIGHT($A1195,2)),"")</f>
        <v>1</v>
      </c>
      <c r="D1195" s="17" t="n">
        <f aca="false">IFERROR(ROUNDUP($C1195/3,0),"")</f>
        <v>1</v>
      </c>
      <c r="E1195" s="11" t="str">
        <f aca="false">TRIM('수출입 실적(품목별)'!B1199)</f>
        <v>37</v>
      </c>
      <c r="F1195" s="11" t="str">
        <f aca="false">TRIM('수출입 실적(품목별)'!C1199)</f>
        <v>사진용이나 영화용 재료</v>
      </c>
      <c r="G1195" s="18" t="n">
        <f aca="false">IFERROR(VALUE(SUBSTITUTE(TRIM('수출입 실적(품목별)'!D1199),",","")),"")</f>
        <v>1675.1</v>
      </c>
      <c r="H1195" s="19" t="n">
        <f aca="false">IFERROR(VALUE(SUBSTITUTE(TRIM('수출입 실적(품목별)'!E1199),",","")),"")</f>
        <v>92061</v>
      </c>
      <c r="I1195" s="18" t="n">
        <f aca="false">IFERROR(VALUE(SUBSTITUTE(TRIM('수출입 실적(품목별)'!F1199),",","")),"")</f>
        <v>3153.5</v>
      </c>
      <c r="J1195" s="19" t="n">
        <f aca="false">IFERROR(VALUE(SUBSTITUTE(TRIM('수출입 실적(품목별)'!G1199),",","")),"")</f>
        <v>69926</v>
      </c>
      <c r="K1195" s="19" t="n">
        <f aca="false">IFERROR(VALUE(SUBSTITUTE(TRIM('수출입 실적(품목별)'!H1199),",","")),"")</f>
        <v>22136</v>
      </c>
    </row>
    <row r="1196" customFormat="false" ht="15" hidden="false" customHeight="true" outlineLevel="0" collapsed="false">
      <c r="A1196" s="11" t="str">
        <f aca="false">TRIM('수출입 실적(품목별)'!A1200)</f>
        <v>2025.01</v>
      </c>
      <c r="B1196" s="17" t="n">
        <f aca="false">IFERROR(VALUE(LEFT($A1196,4)),"")</f>
        <v>2025</v>
      </c>
      <c r="C1196" s="17" t="n">
        <f aca="false">IFERROR(VALUE(RIGHT($A1196,2)),"")</f>
        <v>1</v>
      </c>
      <c r="D1196" s="17" t="n">
        <f aca="false">IFERROR(ROUNDUP($C1196/3,0),"")</f>
        <v>1</v>
      </c>
      <c r="E1196" s="11" t="str">
        <f aca="false">TRIM('수출입 실적(품목별)'!B1200)</f>
        <v>38</v>
      </c>
      <c r="F1196" s="11" t="str">
        <f aca="false">TRIM('수출입 실적(품목별)'!C1200)</f>
        <v>각종 화학공업 생산품</v>
      </c>
      <c r="G1196" s="18" t="n">
        <f aca="false">IFERROR(VALUE(SUBSTITUTE(TRIM('수출입 실적(품목별)'!D1200),",","")),"")</f>
        <v>81563.8</v>
      </c>
      <c r="H1196" s="19" t="n">
        <f aca="false">IFERROR(VALUE(SUBSTITUTE(TRIM('수출입 실적(품목별)'!E1200),",","")),"")</f>
        <v>527030</v>
      </c>
      <c r="I1196" s="18" t="n">
        <f aca="false">IFERROR(VALUE(SUBSTITUTE(TRIM('수출입 실적(품목별)'!F1200),",","")),"")</f>
        <v>236165.5</v>
      </c>
      <c r="J1196" s="19" t="n">
        <f aca="false">IFERROR(VALUE(SUBSTITUTE(TRIM('수출입 실적(품목별)'!G1200),",","")),"")</f>
        <v>749063</v>
      </c>
      <c r="K1196" s="19" t="n">
        <f aca="false">IFERROR(VALUE(SUBSTITUTE(TRIM('수출입 실적(품목별)'!H1200),",","")),"")</f>
        <v>-222033</v>
      </c>
    </row>
    <row r="1197" customFormat="false" ht="15" hidden="false" customHeight="true" outlineLevel="0" collapsed="false">
      <c r="A1197" s="11" t="str">
        <f aca="false">TRIM('수출입 실적(품목별)'!A1201)</f>
        <v>2025.01</v>
      </c>
      <c r="B1197" s="17" t="n">
        <f aca="false">IFERROR(VALUE(LEFT($A1197,4)),"")</f>
        <v>2025</v>
      </c>
      <c r="C1197" s="17" t="n">
        <f aca="false">IFERROR(VALUE(RIGHT($A1197,2)),"")</f>
        <v>1</v>
      </c>
      <c r="D1197" s="17" t="n">
        <f aca="false">IFERROR(ROUNDUP($C1197/3,0),"")</f>
        <v>1</v>
      </c>
      <c r="E1197" s="11" t="str">
        <f aca="false">TRIM('수출입 실적(품목별)'!B1201)</f>
        <v>39</v>
      </c>
      <c r="F1197" s="11" t="str">
        <f aca="false">TRIM('수출입 실적(품목별)'!C1201)</f>
        <v>플라스틱과 그 제품</v>
      </c>
      <c r="G1197" s="18" t="n">
        <f aca="false">IFERROR(VALUE(SUBSTITUTE(TRIM('수출입 실적(품목별)'!D1201),",","")),"")</f>
        <v>1353190.5</v>
      </c>
      <c r="H1197" s="19" t="n">
        <f aca="false">IFERROR(VALUE(SUBSTITUTE(TRIM('수출입 실적(품목별)'!E1201),",","")),"")</f>
        <v>2634109</v>
      </c>
      <c r="I1197" s="18" t="n">
        <f aca="false">IFERROR(VALUE(SUBSTITUTE(TRIM('수출입 실적(품목별)'!F1201),",","")),"")</f>
        <v>245439</v>
      </c>
      <c r="J1197" s="19" t="n">
        <f aca="false">IFERROR(VALUE(SUBSTITUTE(TRIM('수출입 실적(품목별)'!G1201),",","")),"")</f>
        <v>1000692</v>
      </c>
      <c r="K1197" s="19" t="n">
        <f aca="false">IFERROR(VALUE(SUBSTITUTE(TRIM('수출입 실적(품목별)'!H1201),",","")),"")</f>
        <v>1633417</v>
      </c>
    </row>
    <row r="1198" customFormat="false" ht="15" hidden="false" customHeight="true" outlineLevel="0" collapsed="false">
      <c r="A1198" s="11" t="str">
        <f aca="false">TRIM('수출입 실적(품목별)'!A1202)</f>
        <v>2025.01</v>
      </c>
      <c r="B1198" s="17" t="n">
        <f aca="false">IFERROR(VALUE(LEFT($A1198,4)),"")</f>
        <v>2025</v>
      </c>
      <c r="C1198" s="17" t="n">
        <f aca="false">IFERROR(VALUE(RIGHT($A1198,2)),"")</f>
        <v>1</v>
      </c>
      <c r="D1198" s="17" t="n">
        <f aca="false">IFERROR(ROUNDUP($C1198/3,0),"")</f>
        <v>1</v>
      </c>
      <c r="E1198" s="11" t="str">
        <f aca="false">TRIM('수출입 실적(품목별)'!B1202)</f>
        <v>40</v>
      </c>
      <c r="F1198" s="11" t="str">
        <f aca="false">TRIM('수출입 실적(품목별)'!C1202)</f>
        <v>고무와 그 제품</v>
      </c>
      <c r="G1198" s="18" t="n">
        <f aca="false">IFERROR(VALUE(SUBSTITUTE(TRIM('수출입 실적(품목별)'!D1202),",","")),"")</f>
        <v>255585.7</v>
      </c>
      <c r="H1198" s="19" t="n">
        <f aca="false">IFERROR(VALUE(SUBSTITUTE(TRIM('수출입 실적(품목별)'!E1202),",","")),"")</f>
        <v>628364</v>
      </c>
      <c r="I1198" s="18" t="n">
        <f aca="false">IFERROR(VALUE(SUBSTITUTE(TRIM('수출입 실적(품목별)'!F1202),",","")),"")</f>
        <v>78763.3</v>
      </c>
      <c r="J1198" s="19" t="n">
        <f aca="false">IFERROR(VALUE(SUBSTITUTE(TRIM('수출입 실적(품목별)'!G1202),",","")),"")</f>
        <v>239060</v>
      </c>
      <c r="K1198" s="19" t="n">
        <f aca="false">IFERROR(VALUE(SUBSTITUTE(TRIM('수출입 실적(품목별)'!H1202),",","")),"")</f>
        <v>389304</v>
      </c>
    </row>
    <row r="1199" customFormat="false" ht="15" hidden="false" customHeight="true" outlineLevel="0" collapsed="false">
      <c r="A1199" s="11" t="str">
        <f aca="false">TRIM('수출입 실적(품목별)'!A1203)</f>
        <v>2025.01</v>
      </c>
      <c r="B1199" s="17" t="n">
        <f aca="false">IFERROR(VALUE(LEFT($A1199,4)),"")</f>
        <v>2025</v>
      </c>
      <c r="C1199" s="17" t="n">
        <f aca="false">IFERROR(VALUE(RIGHT($A1199,2)),"")</f>
        <v>1</v>
      </c>
      <c r="D1199" s="17" t="n">
        <f aca="false">IFERROR(ROUNDUP($C1199/3,0),"")</f>
        <v>1</v>
      </c>
      <c r="E1199" s="11" t="str">
        <f aca="false">TRIM('수출입 실적(품목별)'!B1203)</f>
        <v>41</v>
      </c>
      <c r="F1199" s="11" t="str">
        <f aca="false">TRIM('수출입 실적(품목별)'!C1203)</f>
        <v>원피(모피는 제외한다)와 가죽</v>
      </c>
      <c r="G1199" s="18" t="n">
        <f aca="false">IFERROR(VALUE(SUBSTITUTE(TRIM('수출입 실적(품목별)'!D1203),",","")),"")</f>
        <v>2942.3</v>
      </c>
      <c r="H1199" s="19" t="n">
        <f aca="false">IFERROR(VALUE(SUBSTITUTE(TRIM('수출입 실적(품목별)'!E1203),",","")),"")</f>
        <v>24264</v>
      </c>
      <c r="I1199" s="18" t="n">
        <f aca="false">IFERROR(VALUE(SUBSTITUTE(TRIM('수출입 실적(품목별)'!F1203),",","")),"")</f>
        <v>5864.4</v>
      </c>
      <c r="J1199" s="19" t="n">
        <f aca="false">IFERROR(VALUE(SUBSTITUTE(TRIM('수출입 실적(품목별)'!G1203),",","")),"")</f>
        <v>17194</v>
      </c>
      <c r="K1199" s="19" t="n">
        <f aca="false">IFERROR(VALUE(SUBSTITUTE(TRIM('수출입 실적(품목별)'!H1203),",","")),"")</f>
        <v>7070</v>
      </c>
    </row>
    <row r="1200" customFormat="false" ht="15" hidden="false" customHeight="true" outlineLevel="0" collapsed="false">
      <c r="A1200" s="11" t="str">
        <f aca="false">TRIM('수출입 실적(품목별)'!A1204)</f>
        <v>2025.01</v>
      </c>
      <c r="B1200" s="17" t="n">
        <f aca="false">IFERROR(VALUE(LEFT($A1200,4)),"")</f>
        <v>2025</v>
      </c>
      <c r="C1200" s="17" t="n">
        <f aca="false">IFERROR(VALUE(RIGHT($A1200,2)),"")</f>
        <v>1</v>
      </c>
      <c r="D1200" s="17" t="n">
        <f aca="false">IFERROR(ROUNDUP($C1200/3,0),"")</f>
        <v>1</v>
      </c>
      <c r="E1200" s="11" t="str">
        <f aca="false">TRIM('수출입 실적(품목별)'!B1204)</f>
        <v>42</v>
      </c>
      <c r="F1200" s="11" t="str">
        <f aca="false">TRIM('수출입 실적(품목별)'!C1204)</f>
        <v>가죽제품, 마구, 여행용구ㆍ핸드백과 이와 유사한 용기, 동물 거트(gut)[누에의 거트(gut)는 제외한다]의 제품</v>
      </c>
      <c r="G1200" s="18" t="n">
        <f aca="false">IFERROR(VALUE(SUBSTITUTE(TRIM('수출입 실적(품목별)'!D1204),",","")),"")</f>
        <v>790.2</v>
      </c>
      <c r="H1200" s="19" t="n">
        <f aca="false">IFERROR(VALUE(SUBSTITUTE(TRIM('수출입 실적(품목별)'!E1204),",","")),"")</f>
        <v>32138</v>
      </c>
      <c r="I1200" s="18" t="n">
        <f aca="false">IFERROR(VALUE(SUBSTITUTE(TRIM('수출입 실적(품목별)'!F1204),",","")),"")</f>
        <v>9987</v>
      </c>
      <c r="J1200" s="19" t="n">
        <f aca="false">IFERROR(VALUE(SUBSTITUTE(TRIM('수출입 실적(품목별)'!G1204),",","")),"")</f>
        <v>278334</v>
      </c>
      <c r="K1200" s="19" t="n">
        <f aca="false">IFERROR(VALUE(SUBSTITUTE(TRIM('수출입 실적(품목별)'!H1204),",","")),"")</f>
        <v>-246196</v>
      </c>
    </row>
    <row r="1201" customFormat="false" ht="15" hidden="false" customHeight="true" outlineLevel="0" collapsed="false">
      <c r="A1201" s="11" t="str">
        <f aca="false">TRIM('수출입 실적(품목별)'!A1205)</f>
        <v>2025.01</v>
      </c>
      <c r="B1201" s="17" t="n">
        <f aca="false">IFERROR(VALUE(LEFT($A1201,4)),"")</f>
        <v>2025</v>
      </c>
      <c r="C1201" s="17" t="n">
        <f aca="false">IFERROR(VALUE(RIGHT($A1201,2)),"")</f>
        <v>1</v>
      </c>
      <c r="D1201" s="17" t="n">
        <f aca="false">IFERROR(ROUNDUP($C1201/3,0),"")</f>
        <v>1</v>
      </c>
      <c r="E1201" s="11" t="str">
        <f aca="false">TRIM('수출입 실적(품목별)'!B1205)</f>
        <v>43</v>
      </c>
      <c r="F1201" s="11" t="str">
        <f aca="false">TRIM('수출입 실적(품목별)'!C1205)</f>
        <v>모피ㆍ인조모피와 이들의 제품</v>
      </c>
      <c r="G1201" s="18" t="n">
        <f aca="false">IFERROR(VALUE(SUBSTITUTE(TRIM('수출입 실적(품목별)'!D1205),",","")),"")</f>
        <v>5.4</v>
      </c>
      <c r="H1201" s="19" t="n">
        <f aca="false">IFERROR(VALUE(SUBSTITUTE(TRIM('수출입 실적(품목별)'!E1205),",","")),"")</f>
        <v>393</v>
      </c>
      <c r="I1201" s="18" t="n">
        <f aca="false">IFERROR(VALUE(SUBSTITUTE(TRIM('수출입 실적(품목별)'!F1205),",","")),"")</f>
        <v>33</v>
      </c>
      <c r="J1201" s="19" t="n">
        <f aca="false">IFERROR(VALUE(SUBSTITUTE(TRIM('수출입 실적(품목별)'!G1205),",","")),"")</f>
        <v>3643</v>
      </c>
      <c r="K1201" s="19" t="n">
        <f aca="false">IFERROR(VALUE(SUBSTITUTE(TRIM('수출입 실적(품목별)'!H1205),",","")),"")</f>
        <v>-3249</v>
      </c>
    </row>
    <row r="1202" customFormat="false" ht="15" hidden="false" customHeight="true" outlineLevel="0" collapsed="false">
      <c r="A1202" s="11" t="str">
        <f aca="false">TRIM('수출입 실적(품목별)'!A1206)</f>
        <v>2025.01</v>
      </c>
      <c r="B1202" s="17" t="n">
        <f aca="false">IFERROR(VALUE(LEFT($A1202,4)),"")</f>
        <v>2025</v>
      </c>
      <c r="C1202" s="17" t="n">
        <f aca="false">IFERROR(VALUE(RIGHT($A1202,2)),"")</f>
        <v>1</v>
      </c>
      <c r="D1202" s="17" t="n">
        <f aca="false">IFERROR(ROUNDUP($C1202/3,0),"")</f>
        <v>1</v>
      </c>
      <c r="E1202" s="11" t="str">
        <f aca="false">TRIM('수출입 실적(품목별)'!B1206)</f>
        <v>44</v>
      </c>
      <c r="F1202" s="11" t="str">
        <f aca="false">TRIM('수출입 실적(품목별)'!C1206)</f>
        <v>목재와 그 제품, 목탄</v>
      </c>
      <c r="G1202" s="18" t="n">
        <f aca="false">IFERROR(VALUE(SUBSTITUTE(TRIM('수출입 실적(품목별)'!D1206),",","")),"")</f>
        <v>4803</v>
      </c>
      <c r="H1202" s="19" t="n">
        <f aca="false">IFERROR(VALUE(SUBSTITUTE(TRIM('수출입 실적(품목별)'!E1206),",","")),"")</f>
        <v>4723</v>
      </c>
      <c r="I1202" s="18" t="n">
        <f aca="false">IFERROR(VALUE(SUBSTITUTE(TRIM('수출입 실적(품목별)'!F1206),",","")),"")</f>
        <v>835717.1</v>
      </c>
      <c r="J1202" s="19" t="n">
        <f aca="false">IFERROR(VALUE(SUBSTITUTE(TRIM('수출입 실적(품목별)'!G1206),",","")),"")</f>
        <v>246826</v>
      </c>
      <c r="K1202" s="19" t="n">
        <f aca="false">IFERROR(VALUE(SUBSTITUTE(TRIM('수출입 실적(품목별)'!H1206),",","")),"")</f>
        <v>-242103</v>
      </c>
    </row>
    <row r="1203" customFormat="false" ht="15" hidden="false" customHeight="true" outlineLevel="0" collapsed="false">
      <c r="A1203" s="11" t="str">
        <f aca="false">TRIM('수출입 실적(품목별)'!A1207)</f>
        <v>2025.01</v>
      </c>
      <c r="B1203" s="17" t="n">
        <f aca="false">IFERROR(VALUE(LEFT($A1203,4)),"")</f>
        <v>2025</v>
      </c>
      <c r="C1203" s="17" t="n">
        <f aca="false">IFERROR(VALUE(RIGHT($A1203,2)),"")</f>
        <v>1</v>
      </c>
      <c r="D1203" s="17" t="n">
        <f aca="false">IFERROR(ROUNDUP($C1203/3,0),"")</f>
        <v>1</v>
      </c>
      <c r="E1203" s="11" t="str">
        <f aca="false">TRIM('수출입 실적(품목별)'!B1207)</f>
        <v>45</v>
      </c>
      <c r="F1203" s="11" t="str">
        <f aca="false">TRIM('수출입 실적(품목별)'!C1207)</f>
        <v>코르크(cork)와 그 제품</v>
      </c>
      <c r="G1203" s="18" t="n">
        <f aca="false">IFERROR(VALUE(SUBSTITUTE(TRIM('수출입 실적(품목별)'!D1207),",","")),"")</f>
        <v>0.7</v>
      </c>
      <c r="H1203" s="19" t="n">
        <f aca="false">IFERROR(VALUE(SUBSTITUTE(TRIM('수출입 실적(품목별)'!E1207),",","")),"")</f>
        <v>19</v>
      </c>
      <c r="I1203" s="18" t="n">
        <f aca="false">IFERROR(VALUE(SUBSTITUTE(TRIM('수출입 실적(품목별)'!F1207),",","")),"")</f>
        <v>75.1</v>
      </c>
      <c r="J1203" s="19" t="n">
        <f aca="false">IFERROR(VALUE(SUBSTITUTE(TRIM('수출입 실적(품목별)'!G1207),",","")),"")</f>
        <v>400</v>
      </c>
      <c r="K1203" s="19" t="n">
        <f aca="false">IFERROR(VALUE(SUBSTITUTE(TRIM('수출입 실적(품목별)'!H1207),",","")),"")</f>
        <v>-381</v>
      </c>
    </row>
    <row r="1204" customFormat="false" ht="15" hidden="false" customHeight="true" outlineLevel="0" collapsed="false">
      <c r="A1204" s="11" t="str">
        <f aca="false">TRIM('수출입 실적(품목별)'!A1208)</f>
        <v>2025.01</v>
      </c>
      <c r="B1204" s="17" t="n">
        <f aca="false">IFERROR(VALUE(LEFT($A1204,4)),"")</f>
        <v>2025</v>
      </c>
      <c r="C1204" s="17" t="n">
        <f aca="false">IFERROR(VALUE(RIGHT($A1204,2)),"")</f>
        <v>1</v>
      </c>
      <c r="D1204" s="17" t="n">
        <f aca="false">IFERROR(ROUNDUP($C1204/3,0),"")</f>
        <v>1</v>
      </c>
      <c r="E1204" s="11" t="str">
        <f aca="false">TRIM('수출입 실적(품목별)'!B1208)</f>
        <v>46</v>
      </c>
      <c r="F1204" s="11" t="str">
        <f aca="false">TRIM('수출입 실적(품목별)'!C1208)</f>
        <v>짚ㆍ에스파르토(esparto)나 그 밖의 조물 재료의 제품, 바구니 세공물(basketware)과 지조세공물(枝條細工物)</v>
      </c>
      <c r="G1204" s="18" t="n">
        <f aca="false">IFERROR(VALUE(SUBSTITUTE(TRIM('수출입 실적(품목별)'!D1208),",","")),"")</f>
        <v>1.4</v>
      </c>
      <c r="H1204" s="19" t="n">
        <f aca="false">IFERROR(VALUE(SUBSTITUTE(TRIM('수출입 실적(품목별)'!E1208),",","")),"")</f>
        <v>67</v>
      </c>
      <c r="I1204" s="18" t="n">
        <f aca="false">IFERROR(VALUE(SUBSTITUTE(TRIM('수출입 실적(품목별)'!F1208),",","")),"")</f>
        <v>292.2</v>
      </c>
      <c r="J1204" s="19" t="n">
        <f aca="false">IFERROR(VALUE(SUBSTITUTE(TRIM('수출입 실적(품목별)'!G1208),",","")),"")</f>
        <v>1621</v>
      </c>
      <c r="K1204" s="19" t="n">
        <f aca="false">IFERROR(VALUE(SUBSTITUTE(TRIM('수출입 실적(품목별)'!H1208),",","")),"")</f>
        <v>-1554</v>
      </c>
    </row>
    <row r="1205" customFormat="false" ht="15" hidden="false" customHeight="true" outlineLevel="0" collapsed="false">
      <c r="A1205" s="11" t="str">
        <f aca="false">TRIM('수출입 실적(품목별)'!A1209)</f>
        <v>2025.01</v>
      </c>
      <c r="B1205" s="17" t="n">
        <f aca="false">IFERROR(VALUE(LEFT($A1205,4)),"")</f>
        <v>2025</v>
      </c>
      <c r="C1205" s="17" t="n">
        <f aca="false">IFERROR(VALUE(RIGHT($A1205,2)),"")</f>
        <v>1</v>
      </c>
      <c r="D1205" s="17" t="n">
        <f aca="false">IFERROR(ROUNDUP($C1205/3,0),"")</f>
        <v>1</v>
      </c>
      <c r="E1205" s="11" t="str">
        <f aca="false">TRIM('수출입 실적(품목별)'!B1209)</f>
        <v>47</v>
      </c>
      <c r="F1205" s="11" t="str">
        <f aca="false">TRIM('수출입 실적(품목별)'!C1209)</f>
        <v>목재나 그 밖의 섬유질 셀룰로오스재료의 펄프, 회수한 종이ㆍ판지[웨이스트(waste)와 스크랩(scrap)]</v>
      </c>
      <c r="G1205" s="18" t="n">
        <f aca="false">IFERROR(VALUE(SUBSTITUTE(TRIM('수출입 실적(품목별)'!D1209),",","")),"")</f>
        <v>37708.2</v>
      </c>
      <c r="H1205" s="19" t="n">
        <f aca="false">IFERROR(VALUE(SUBSTITUTE(TRIM('수출입 실적(품목별)'!E1209),",","")),"")</f>
        <v>6780</v>
      </c>
      <c r="I1205" s="18" t="n">
        <f aca="false">IFERROR(VALUE(SUBSTITUTE(TRIM('수출입 실적(품목별)'!F1209),",","")),"")</f>
        <v>271905.3</v>
      </c>
      <c r="J1205" s="19" t="n">
        <f aca="false">IFERROR(VALUE(SUBSTITUTE(TRIM('수출입 실적(품목별)'!G1209),",","")),"")</f>
        <v>153235</v>
      </c>
      <c r="K1205" s="19" t="n">
        <f aca="false">IFERROR(VALUE(SUBSTITUTE(TRIM('수출입 실적(품목별)'!H1209),",","")),"")</f>
        <v>-146455</v>
      </c>
    </row>
    <row r="1206" customFormat="false" ht="15" hidden="false" customHeight="true" outlineLevel="0" collapsed="false">
      <c r="A1206" s="11" t="str">
        <f aca="false">TRIM('수출입 실적(품목별)'!A1210)</f>
        <v>2025.01</v>
      </c>
      <c r="B1206" s="17" t="n">
        <f aca="false">IFERROR(VALUE(LEFT($A1206,4)),"")</f>
        <v>2025</v>
      </c>
      <c r="C1206" s="17" t="n">
        <f aca="false">IFERROR(VALUE(RIGHT($A1206,2)),"")</f>
        <v>1</v>
      </c>
      <c r="D1206" s="17" t="n">
        <f aca="false">IFERROR(ROUNDUP($C1206/3,0),"")</f>
        <v>1</v>
      </c>
      <c r="E1206" s="11" t="str">
        <f aca="false">TRIM('수출입 실적(품목별)'!B1210)</f>
        <v>48</v>
      </c>
      <c r="F1206" s="11" t="str">
        <f aca="false">TRIM('수출입 실적(품목별)'!C1210)</f>
        <v>종이와 판지, 제지용 펄프ㆍ종이ㆍ판지의 제품</v>
      </c>
      <c r="G1206" s="18" t="n">
        <f aca="false">IFERROR(VALUE(SUBSTITUTE(TRIM('수출입 실적(품목별)'!D1210),",","")),"")</f>
        <v>212120.5</v>
      </c>
      <c r="H1206" s="19" t="n">
        <f aca="false">IFERROR(VALUE(SUBSTITUTE(TRIM('수출입 실적(품목별)'!E1210),",","")),"")</f>
        <v>208453</v>
      </c>
      <c r="I1206" s="18" t="n">
        <f aca="false">IFERROR(VALUE(SUBSTITUTE(TRIM('수출입 실적(품목별)'!F1210),",","")),"")</f>
        <v>120146.4</v>
      </c>
      <c r="J1206" s="19" t="n">
        <f aca="false">IFERROR(VALUE(SUBSTITUTE(TRIM('수출입 실적(품목별)'!G1210),",","")),"")</f>
        <v>182325</v>
      </c>
      <c r="K1206" s="19" t="n">
        <f aca="false">IFERROR(VALUE(SUBSTITUTE(TRIM('수출입 실적(품목별)'!H1210),",","")),"")</f>
        <v>26128</v>
      </c>
    </row>
    <row r="1207" customFormat="false" ht="15" hidden="false" customHeight="true" outlineLevel="0" collapsed="false">
      <c r="A1207" s="11" t="str">
        <f aca="false">TRIM('수출입 실적(품목별)'!A1211)</f>
        <v>2025.01</v>
      </c>
      <c r="B1207" s="17" t="n">
        <f aca="false">IFERROR(VALUE(LEFT($A1207,4)),"")</f>
        <v>2025</v>
      </c>
      <c r="C1207" s="17" t="n">
        <f aca="false">IFERROR(VALUE(RIGHT($A1207,2)),"")</f>
        <v>1</v>
      </c>
      <c r="D1207" s="17" t="n">
        <f aca="false">IFERROR(ROUNDUP($C1207/3,0),"")</f>
        <v>1</v>
      </c>
      <c r="E1207" s="11" t="str">
        <f aca="false">TRIM('수출입 실적(품목별)'!B1211)</f>
        <v>49</v>
      </c>
      <c r="F1207" s="11" t="str">
        <f aca="false">TRIM('수출입 실적(품목별)'!C1211)</f>
        <v>인쇄서적ㆍ신문ㆍ회화ㆍ그 밖의 인쇄물, 수제(手製)문서ㆍ타자문서ㆍ도면</v>
      </c>
      <c r="G1207" s="18" t="n">
        <f aca="false">IFERROR(VALUE(SUBSTITUTE(TRIM('수출입 실적(품목별)'!D1211),",","")),"")</f>
        <v>1704.1</v>
      </c>
      <c r="H1207" s="19" t="n">
        <f aca="false">IFERROR(VALUE(SUBSTITUTE(TRIM('수출입 실적(품목별)'!E1211),",","")),"")</f>
        <v>22594</v>
      </c>
      <c r="I1207" s="18" t="n">
        <f aca="false">IFERROR(VALUE(SUBSTITUTE(TRIM('수출입 실적(품목별)'!F1211),",","")),"")</f>
        <v>1334.8</v>
      </c>
      <c r="J1207" s="19" t="n">
        <f aca="false">IFERROR(VALUE(SUBSTITUTE(TRIM('수출입 실적(품목별)'!G1211),",","")),"")</f>
        <v>18666</v>
      </c>
      <c r="K1207" s="19" t="n">
        <f aca="false">IFERROR(VALUE(SUBSTITUTE(TRIM('수출입 실적(품목별)'!H1211),",","")),"")</f>
        <v>3928</v>
      </c>
    </row>
    <row r="1208" customFormat="false" ht="15" hidden="false" customHeight="true" outlineLevel="0" collapsed="false">
      <c r="A1208" s="11" t="str">
        <f aca="false">TRIM('수출입 실적(품목별)'!A1212)</f>
        <v>2025.01</v>
      </c>
      <c r="B1208" s="17" t="n">
        <f aca="false">IFERROR(VALUE(LEFT($A1208,4)),"")</f>
        <v>2025</v>
      </c>
      <c r="C1208" s="17" t="n">
        <f aca="false">IFERROR(VALUE(RIGHT($A1208,2)),"")</f>
        <v>1</v>
      </c>
      <c r="D1208" s="17" t="n">
        <f aca="false">IFERROR(ROUNDUP($C1208/3,0),"")</f>
        <v>1</v>
      </c>
      <c r="E1208" s="11" t="str">
        <f aca="false">TRIM('수출입 실적(품목별)'!B1212)</f>
        <v>50</v>
      </c>
      <c r="F1208" s="11" t="str">
        <f aca="false">TRIM('수출입 실적(품목별)'!C1212)</f>
        <v>견</v>
      </c>
      <c r="G1208" s="18" t="n">
        <f aca="false">IFERROR(VALUE(SUBSTITUTE(TRIM('수출입 실적(품목별)'!D1212),",","")),"")</f>
        <v>9.1</v>
      </c>
      <c r="H1208" s="19" t="n">
        <f aca="false">IFERROR(VALUE(SUBSTITUTE(TRIM('수출입 실적(품목별)'!E1212),",","")),"")</f>
        <v>1291</v>
      </c>
      <c r="I1208" s="18" t="n">
        <f aca="false">IFERROR(VALUE(SUBSTITUTE(TRIM('수출입 실적(품목별)'!F1212),",","")),"")</f>
        <v>21.8</v>
      </c>
      <c r="J1208" s="19" t="n">
        <f aca="false">IFERROR(VALUE(SUBSTITUTE(TRIM('수출입 실적(품목별)'!G1212),",","")),"")</f>
        <v>2203</v>
      </c>
      <c r="K1208" s="19" t="n">
        <f aca="false">IFERROR(VALUE(SUBSTITUTE(TRIM('수출입 실적(품목별)'!H1212),",","")),"")</f>
        <v>-912</v>
      </c>
    </row>
    <row r="1209" customFormat="false" ht="15" hidden="false" customHeight="true" outlineLevel="0" collapsed="false">
      <c r="A1209" s="11" t="str">
        <f aca="false">TRIM('수출입 실적(품목별)'!A1213)</f>
        <v>2025.01</v>
      </c>
      <c r="B1209" s="17" t="n">
        <f aca="false">IFERROR(VALUE(LEFT($A1209,4)),"")</f>
        <v>2025</v>
      </c>
      <c r="C1209" s="17" t="n">
        <f aca="false">IFERROR(VALUE(RIGHT($A1209,2)),"")</f>
        <v>1</v>
      </c>
      <c r="D1209" s="17" t="n">
        <f aca="false">IFERROR(ROUNDUP($C1209/3,0),"")</f>
        <v>1</v>
      </c>
      <c r="E1209" s="11" t="str">
        <f aca="false">TRIM('수출입 실적(품목별)'!B1213)</f>
        <v>51</v>
      </c>
      <c r="F1209" s="11" t="str">
        <f aca="false">TRIM('수출입 실적(품목별)'!C1213)</f>
        <v>양모ㆍ동물의 부드러운 털이나 거친 털ㆍ말의 털로 만든 실과 직물</v>
      </c>
      <c r="G1209" s="18" t="n">
        <f aca="false">IFERROR(VALUE(SUBSTITUTE(TRIM('수출입 실적(품목별)'!D1213),",","")),"")</f>
        <v>93</v>
      </c>
      <c r="H1209" s="19" t="n">
        <f aca="false">IFERROR(VALUE(SUBSTITUTE(TRIM('수출입 실적(품목별)'!E1213),",","")),"")</f>
        <v>2214</v>
      </c>
      <c r="I1209" s="18" t="n">
        <f aca="false">IFERROR(VALUE(SUBSTITUTE(TRIM('수출입 실적(품목별)'!F1213),",","")),"")</f>
        <v>671.9</v>
      </c>
      <c r="J1209" s="19" t="n">
        <f aca="false">IFERROR(VALUE(SUBSTITUTE(TRIM('수출입 실적(품목별)'!G1213),",","")),"")</f>
        <v>11731</v>
      </c>
      <c r="K1209" s="19" t="n">
        <f aca="false">IFERROR(VALUE(SUBSTITUTE(TRIM('수출입 실적(품목별)'!H1213),",","")),"")</f>
        <v>-9517</v>
      </c>
    </row>
    <row r="1210" customFormat="false" ht="15" hidden="false" customHeight="true" outlineLevel="0" collapsed="false">
      <c r="A1210" s="11" t="str">
        <f aca="false">TRIM('수출입 실적(품목별)'!A1214)</f>
        <v>2025.01</v>
      </c>
      <c r="B1210" s="17" t="n">
        <f aca="false">IFERROR(VALUE(LEFT($A1210,4)),"")</f>
        <v>2025</v>
      </c>
      <c r="C1210" s="17" t="n">
        <f aca="false">IFERROR(VALUE(RIGHT($A1210,2)),"")</f>
        <v>1</v>
      </c>
      <c r="D1210" s="17" t="n">
        <f aca="false">IFERROR(ROUNDUP($C1210/3,0),"")</f>
        <v>1</v>
      </c>
      <c r="E1210" s="11" t="str">
        <f aca="false">TRIM('수출입 실적(품목별)'!B1214)</f>
        <v>52</v>
      </c>
      <c r="F1210" s="11" t="str">
        <f aca="false">TRIM('수출입 실적(품목별)'!C1214)</f>
        <v>면</v>
      </c>
      <c r="G1210" s="18" t="n">
        <f aca="false">IFERROR(VALUE(SUBSTITUTE(TRIM('수출입 실적(품목별)'!D1214),",","")),"")</f>
        <v>2633.1</v>
      </c>
      <c r="H1210" s="19" t="n">
        <f aca="false">IFERROR(VALUE(SUBSTITUTE(TRIM('수출입 실적(품목별)'!E1214),",","")),"")</f>
        <v>20928</v>
      </c>
      <c r="I1210" s="18" t="n">
        <f aca="false">IFERROR(VALUE(SUBSTITUTE(TRIM('수출입 실적(품목별)'!F1214),",","")),"")</f>
        <v>17573.8</v>
      </c>
      <c r="J1210" s="19" t="n">
        <f aca="false">IFERROR(VALUE(SUBSTITUTE(TRIM('수출입 실적(품목별)'!G1214),",","")),"")</f>
        <v>53739</v>
      </c>
      <c r="K1210" s="19" t="n">
        <f aca="false">IFERROR(VALUE(SUBSTITUTE(TRIM('수출입 실적(품목별)'!H1214),",","")),"")</f>
        <v>-32810</v>
      </c>
    </row>
    <row r="1211" customFormat="false" ht="15" hidden="false" customHeight="true" outlineLevel="0" collapsed="false">
      <c r="A1211" s="11" t="str">
        <f aca="false">TRIM('수출입 실적(품목별)'!A1215)</f>
        <v>2025.01</v>
      </c>
      <c r="B1211" s="17" t="n">
        <f aca="false">IFERROR(VALUE(LEFT($A1211,4)),"")</f>
        <v>2025</v>
      </c>
      <c r="C1211" s="17" t="n">
        <f aca="false">IFERROR(VALUE(RIGHT($A1211,2)),"")</f>
        <v>1</v>
      </c>
      <c r="D1211" s="17" t="n">
        <f aca="false">IFERROR(ROUNDUP($C1211/3,0),"")</f>
        <v>1</v>
      </c>
      <c r="E1211" s="11" t="str">
        <f aca="false">TRIM('수출입 실적(품목별)'!B1215)</f>
        <v>53</v>
      </c>
      <c r="F1211" s="11" t="str">
        <f aca="false">TRIM('수출입 실적(품목별)'!C1215)</f>
        <v>그 밖의 식물성 방직용 섬유, 종이실(paper yarn)과 종이실로 만든 직물</v>
      </c>
      <c r="G1211" s="18" t="n">
        <f aca="false">IFERROR(VALUE(SUBSTITUTE(TRIM('수출입 실적(품목별)'!D1215),",","")),"")</f>
        <v>35.1</v>
      </c>
      <c r="H1211" s="19" t="n">
        <f aca="false">IFERROR(VALUE(SUBSTITUTE(TRIM('수출입 실적(품목별)'!E1215),",","")),"")</f>
        <v>1182</v>
      </c>
      <c r="I1211" s="18" t="n">
        <f aca="false">IFERROR(VALUE(SUBSTITUTE(TRIM('수출입 실적(품목별)'!F1215),",","")),"")</f>
        <v>651.5</v>
      </c>
      <c r="J1211" s="19" t="n">
        <f aca="false">IFERROR(VALUE(SUBSTITUTE(TRIM('수출입 실적(품목별)'!G1215),",","")),"")</f>
        <v>3734</v>
      </c>
      <c r="K1211" s="19" t="n">
        <f aca="false">IFERROR(VALUE(SUBSTITUTE(TRIM('수출입 실적(품목별)'!H1215),",","")),"")</f>
        <v>-2552</v>
      </c>
    </row>
    <row r="1212" customFormat="false" ht="15" hidden="false" customHeight="true" outlineLevel="0" collapsed="false">
      <c r="A1212" s="11" t="str">
        <f aca="false">TRIM('수출입 실적(품목별)'!A1216)</f>
        <v>2025.01</v>
      </c>
      <c r="B1212" s="17" t="n">
        <f aca="false">IFERROR(VALUE(LEFT($A1212,4)),"")</f>
        <v>2025</v>
      </c>
      <c r="C1212" s="17" t="n">
        <f aca="false">IFERROR(VALUE(RIGHT($A1212,2)),"")</f>
        <v>1</v>
      </c>
      <c r="D1212" s="17" t="n">
        <f aca="false">IFERROR(ROUNDUP($C1212/3,0),"")</f>
        <v>1</v>
      </c>
      <c r="E1212" s="11" t="str">
        <f aca="false">TRIM('수출입 실적(품목별)'!B1216)</f>
        <v>54</v>
      </c>
      <c r="F1212" s="11" t="str">
        <f aca="false">TRIM('수출입 실적(품목별)'!C1216)</f>
        <v>인조필라멘트, 인조방직용 섬유재료의 스트립(strip)과 이와 유사한 것</v>
      </c>
      <c r="G1212" s="18" t="n">
        <f aca="false">IFERROR(VALUE(SUBSTITUTE(TRIM('수출입 실적(품목별)'!D1216),",","")),"")</f>
        <v>22119.6</v>
      </c>
      <c r="H1212" s="19" t="n">
        <f aca="false">IFERROR(VALUE(SUBSTITUTE(TRIM('수출입 실적(품목별)'!E1216),",","")),"")</f>
        <v>138707</v>
      </c>
      <c r="I1212" s="18" t="n">
        <f aca="false">IFERROR(VALUE(SUBSTITUTE(TRIM('수출입 실적(품목별)'!F1216),",","")),"")</f>
        <v>40975.7</v>
      </c>
      <c r="J1212" s="19" t="n">
        <f aca="false">IFERROR(VALUE(SUBSTITUTE(TRIM('수출입 실적(품목별)'!G1216),",","")),"")</f>
        <v>84615</v>
      </c>
      <c r="K1212" s="19" t="n">
        <f aca="false">IFERROR(VALUE(SUBSTITUTE(TRIM('수출입 실적(품목별)'!H1216),",","")),"")</f>
        <v>54092</v>
      </c>
    </row>
    <row r="1213" customFormat="false" ht="15" hidden="false" customHeight="true" outlineLevel="0" collapsed="false">
      <c r="A1213" s="11" t="str">
        <f aca="false">TRIM('수출입 실적(품목별)'!A1217)</f>
        <v>2025.01</v>
      </c>
      <c r="B1213" s="17" t="n">
        <f aca="false">IFERROR(VALUE(LEFT($A1213,4)),"")</f>
        <v>2025</v>
      </c>
      <c r="C1213" s="17" t="n">
        <f aca="false">IFERROR(VALUE(RIGHT($A1213,2)),"")</f>
        <v>1</v>
      </c>
      <c r="D1213" s="17" t="n">
        <f aca="false">IFERROR(ROUNDUP($C1213/3,0),"")</f>
        <v>1</v>
      </c>
      <c r="E1213" s="11" t="str">
        <f aca="false">TRIM('수출입 실적(품목별)'!B1217)</f>
        <v>55</v>
      </c>
      <c r="F1213" s="11" t="str">
        <f aca="false">TRIM('수출입 실적(품목별)'!C1217)</f>
        <v>인조스테이플섬유</v>
      </c>
      <c r="G1213" s="18" t="n">
        <f aca="false">IFERROR(VALUE(SUBSTITUTE(TRIM('수출입 실적(품목별)'!D1217),",","")),"")</f>
        <v>52676.2</v>
      </c>
      <c r="H1213" s="19" t="n">
        <f aca="false">IFERROR(VALUE(SUBSTITUTE(TRIM('수출입 실적(품목별)'!E1217),",","")),"")</f>
        <v>92665</v>
      </c>
      <c r="I1213" s="18" t="n">
        <f aca="false">IFERROR(VALUE(SUBSTITUTE(TRIM('수출입 실적(품목별)'!F1217),",","")),"")</f>
        <v>12971.8</v>
      </c>
      <c r="J1213" s="19" t="n">
        <f aca="false">IFERROR(VALUE(SUBSTITUTE(TRIM('수출입 실적(품목별)'!G1217),",","")),"")</f>
        <v>44013</v>
      </c>
      <c r="K1213" s="19" t="n">
        <f aca="false">IFERROR(VALUE(SUBSTITUTE(TRIM('수출입 실적(품목별)'!H1217),",","")),"")</f>
        <v>48652</v>
      </c>
    </row>
    <row r="1214" customFormat="false" ht="15" hidden="false" customHeight="true" outlineLevel="0" collapsed="false">
      <c r="A1214" s="11" t="str">
        <f aca="false">TRIM('수출입 실적(품목별)'!A1218)</f>
        <v>2025.01</v>
      </c>
      <c r="B1214" s="17" t="n">
        <f aca="false">IFERROR(VALUE(LEFT($A1214,4)),"")</f>
        <v>2025</v>
      </c>
      <c r="C1214" s="17" t="n">
        <f aca="false">IFERROR(VALUE(RIGHT($A1214,2)),"")</f>
        <v>1</v>
      </c>
      <c r="D1214" s="17" t="n">
        <f aca="false">IFERROR(ROUNDUP($C1214/3,0),"")</f>
        <v>1</v>
      </c>
      <c r="E1214" s="11" t="str">
        <f aca="false">TRIM('수출입 실적(품목별)'!B1218)</f>
        <v>56</v>
      </c>
      <c r="F1214" s="11" t="str">
        <f aca="false">TRIM('수출입 실적(품목별)'!C1218)</f>
        <v>워딩(wadding)ㆍ펠트(felt)ㆍ부직포, 특수사, 끈ㆍ배의 밧줄(cordage)ㆍ로프ㆍ케이블과 이들의 제품</v>
      </c>
      <c r="G1214" s="18" t="n">
        <f aca="false">IFERROR(VALUE(SUBSTITUTE(TRIM('수출입 실적(품목별)'!D1218),",","")),"")</f>
        <v>8857.9</v>
      </c>
      <c r="H1214" s="19" t="n">
        <f aca="false">IFERROR(VALUE(SUBSTITUTE(TRIM('수출입 실적(품목별)'!E1218),",","")),"")</f>
        <v>55119</v>
      </c>
      <c r="I1214" s="18" t="n">
        <f aca="false">IFERROR(VALUE(SUBSTITUTE(TRIM('수출입 실적(품목별)'!F1218),",","")),"")</f>
        <v>17213</v>
      </c>
      <c r="J1214" s="19" t="n">
        <f aca="false">IFERROR(VALUE(SUBSTITUTE(TRIM('수출입 실적(품목별)'!G1218),",","")),"")</f>
        <v>51412</v>
      </c>
      <c r="K1214" s="19" t="n">
        <f aca="false">IFERROR(VALUE(SUBSTITUTE(TRIM('수출입 실적(품목별)'!H1218),",","")),"")</f>
        <v>3708</v>
      </c>
    </row>
    <row r="1215" customFormat="false" ht="15" hidden="false" customHeight="true" outlineLevel="0" collapsed="false">
      <c r="A1215" s="11" t="str">
        <f aca="false">TRIM('수출입 실적(품목별)'!A1219)</f>
        <v>2025.01</v>
      </c>
      <c r="B1215" s="17" t="n">
        <f aca="false">IFERROR(VALUE(LEFT($A1215,4)),"")</f>
        <v>2025</v>
      </c>
      <c r="C1215" s="17" t="n">
        <f aca="false">IFERROR(VALUE(RIGHT($A1215,2)),"")</f>
        <v>1</v>
      </c>
      <c r="D1215" s="17" t="n">
        <f aca="false">IFERROR(ROUNDUP($C1215/3,0),"")</f>
        <v>1</v>
      </c>
      <c r="E1215" s="11" t="str">
        <f aca="false">TRIM('수출입 실적(품목별)'!B1219)</f>
        <v>57</v>
      </c>
      <c r="F1215" s="11" t="str">
        <f aca="false">TRIM('수출입 실적(품목별)'!C1219)</f>
        <v>양탄자류와 그 밖의 방직용 섬유로 만든 바닥깔개</v>
      </c>
      <c r="G1215" s="18" t="n">
        <f aca="false">IFERROR(VALUE(SUBSTITUTE(TRIM('수출입 실적(품목별)'!D1219),",","")),"")</f>
        <v>500.3</v>
      </c>
      <c r="H1215" s="19" t="n">
        <f aca="false">IFERROR(VALUE(SUBSTITUTE(TRIM('수출입 실적(품목별)'!E1219),",","")),"")</f>
        <v>6235</v>
      </c>
      <c r="I1215" s="18" t="n">
        <f aca="false">IFERROR(VALUE(SUBSTITUTE(TRIM('수출입 실적(품목별)'!F1219),",","")),"")</f>
        <v>3913.2</v>
      </c>
      <c r="J1215" s="19" t="n">
        <f aca="false">IFERROR(VALUE(SUBSTITUTE(TRIM('수출입 실적(품목별)'!G1219),",","")),"")</f>
        <v>8528</v>
      </c>
      <c r="K1215" s="19" t="n">
        <f aca="false">IFERROR(VALUE(SUBSTITUTE(TRIM('수출입 실적(품목별)'!H1219),",","")),"")</f>
        <v>-2293</v>
      </c>
    </row>
    <row r="1216" customFormat="false" ht="15" hidden="false" customHeight="true" outlineLevel="0" collapsed="false">
      <c r="A1216" s="11" t="str">
        <f aca="false">TRIM('수출입 실적(품목별)'!A1220)</f>
        <v>2025.01</v>
      </c>
      <c r="B1216" s="17" t="n">
        <f aca="false">IFERROR(VALUE(LEFT($A1216,4)),"")</f>
        <v>2025</v>
      </c>
      <c r="C1216" s="17" t="n">
        <f aca="false">IFERROR(VALUE(RIGHT($A1216,2)),"")</f>
        <v>1</v>
      </c>
      <c r="D1216" s="17" t="n">
        <f aca="false">IFERROR(ROUNDUP($C1216/3,0),"")</f>
        <v>1</v>
      </c>
      <c r="E1216" s="11" t="str">
        <f aca="false">TRIM('수출입 실적(품목별)'!B1220)</f>
        <v>58</v>
      </c>
      <c r="F1216" s="11" t="str">
        <f aca="false">TRIM('수출입 실적(품목별)'!C1220)</f>
        <v>특수직물, 터프트(tuft)한 직물, 레이스, 태피스트리(tapestry), 트리밍(trimming), 자수천</v>
      </c>
      <c r="G1216" s="18" t="n">
        <f aca="false">IFERROR(VALUE(SUBSTITUTE(TRIM('수출입 실적(품목별)'!D1220),",","")),"")</f>
        <v>1219</v>
      </c>
      <c r="H1216" s="19" t="n">
        <f aca="false">IFERROR(VALUE(SUBSTITUTE(TRIM('수출입 실적(품목별)'!E1220),",","")),"")</f>
        <v>14184</v>
      </c>
      <c r="I1216" s="18" t="n">
        <f aca="false">IFERROR(VALUE(SUBSTITUTE(TRIM('수출입 실적(품목별)'!F1220),",","")),"")</f>
        <v>709.6</v>
      </c>
      <c r="J1216" s="19" t="n">
        <f aca="false">IFERROR(VALUE(SUBSTITUTE(TRIM('수출입 실적(품목별)'!G1220),",","")),"")</f>
        <v>5954</v>
      </c>
      <c r="K1216" s="19" t="n">
        <f aca="false">IFERROR(VALUE(SUBSTITUTE(TRIM('수출입 실적(품목별)'!H1220),",","")),"")</f>
        <v>8230</v>
      </c>
    </row>
    <row r="1217" customFormat="false" ht="15" hidden="false" customHeight="true" outlineLevel="0" collapsed="false">
      <c r="A1217" s="11" t="str">
        <f aca="false">TRIM('수출입 실적(품목별)'!A1221)</f>
        <v>2025.01</v>
      </c>
      <c r="B1217" s="17" t="n">
        <f aca="false">IFERROR(VALUE(LEFT($A1217,4)),"")</f>
        <v>2025</v>
      </c>
      <c r="C1217" s="17" t="n">
        <f aca="false">IFERROR(VALUE(RIGHT($A1217,2)),"")</f>
        <v>1</v>
      </c>
      <c r="D1217" s="17" t="n">
        <f aca="false">IFERROR(ROUNDUP($C1217/3,0),"")</f>
        <v>1</v>
      </c>
      <c r="E1217" s="11" t="str">
        <f aca="false">TRIM('수출입 실적(품목별)'!B1221)</f>
        <v>59</v>
      </c>
      <c r="F1217" s="11" t="str">
        <f aca="false">TRIM('수출입 실적(품목별)'!C1221)</f>
        <v>침투ㆍ도포ㆍ피복하거나 적층한 방직용 섬유의 직물, 공업용인 방직용 섬유제품</v>
      </c>
      <c r="G1217" s="18" t="n">
        <f aca="false">IFERROR(VALUE(SUBSTITUTE(TRIM('수출입 실적(품목별)'!D1221),",","")),"")</f>
        <v>8264.5</v>
      </c>
      <c r="H1217" s="19" t="n">
        <f aca="false">IFERROR(VALUE(SUBSTITUTE(TRIM('수출입 실적(품목별)'!E1221),",","")),"")</f>
        <v>84895</v>
      </c>
      <c r="I1217" s="18" t="n">
        <f aca="false">IFERROR(VALUE(SUBSTITUTE(TRIM('수출입 실적(품목별)'!F1221),",","")),"")</f>
        <v>6009.1</v>
      </c>
      <c r="J1217" s="19" t="n">
        <f aca="false">IFERROR(VALUE(SUBSTITUTE(TRIM('수출입 실적(품목별)'!G1221),",","")),"")</f>
        <v>35233</v>
      </c>
      <c r="K1217" s="19" t="n">
        <f aca="false">IFERROR(VALUE(SUBSTITUTE(TRIM('수출입 실적(품목별)'!H1221),",","")),"")</f>
        <v>49663</v>
      </c>
    </row>
    <row r="1218" customFormat="false" ht="15" hidden="false" customHeight="true" outlineLevel="0" collapsed="false">
      <c r="A1218" s="11" t="str">
        <f aca="false">TRIM('수출입 실적(품목별)'!A1222)</f>
        <v>2025.01</v>
      </c>
      <c r="B1218" s="17" t="n">
        <f aca="false">IFERROR(VALUE(LEFT($A1218,4)),"")</f>
        <v>2025</v>
      </c>
      <c r="C1218" s="17" t="n">
        <f aca="false">IFERROR(VALUE(RIGHT($A1218,2)),"")</f>
        <v>1</v>
      </c>
      <c r="D1218" s="17" t="n">
        <f aca="false">IFERROR(ROUNDUP($C1218/3,0),"")</f>
        <v>1</v>
      </c>
      <c r="E1218" s="11" t="str">
        <f aca="false">TRIM('수출입 실적(품목별)'!B1222)</f>
        <v>60</v>
      </c>
      <c r="F1218" s="11" t="str">
        <f aca="false">TRIM('수출입 실적(품목별)'!C1222)</f>
        <v>메리야스 편물과 뜨개질 편물</v>
      </c>
      <c r="G1218" s="18" t="n">
        <f aca="false">IFERROR(VALUE(SUBSTITUTE(TRIM('수출입 실적(품목별)'!D1222),",","")),"")</f>
        <v>14663.9</v>
      </c>
      <c r="H1218" s="19" t="n">
        <f aca="false">IFERROR(VALUE(SUBSTITUTE(TRIM('수출입 실적(품목별)'!E1222),",","")),"")</f>
        <v>110973</v>
      </c>
      <c r="I1218" s="18" t="n">
        <f aca="false">IFERROR(VALUE(SUBSTITUTE(TRIM('수출입 실적(품목별)'!F1222),",","")),"")</f>
        <v>1568.4</v>
      </c>
      <c r="J1218" s="19" t="n">
        <f aca="false">IFERROR(VALUE(SUBSTITUTE(TRIM('수출입 실적(품목별)'!G1222),",","")),"")</f>
        <v>8132</v>
      </c>
      <c r="K1218" s="19" t="n">
        <f aca="false">IFERROR(VALUE(SUBSTITUTE(TRIM('수출입 실적(품목별)'!H1222),",","")),"")</f>
        <v>102841</v>
      </c>
    </row>
    <row r="1219" customFormat="false" ht="15" hidden="false" customHeight="true" outlineLevel="0" collapsed="false">
      <c r="A1219" s="11" t="str">
        <f aca="false">TRIM('수출입 실적(품목별)'!A1223)</f>
        <v>2025.01</v>
      </c>
      <c r="B1219" s="17" t="n">
        <f aca="false">IFERROR(VALUE(LEFT($A1219,4)),"")</f>
        <v>2025</v>
      </c>
      <c r="C1219" s="17" t="n">
        <f aca="false">IFERROR(VALUE(RIGHT($A1219,2)),"")</f>
        <v>1</v>
      </c>
      <c r="D1219" s="17" t="n">
        <f aca="false">IFERROR(ROUNDUP($C1219/3,0),"")</f>
        <v>1</v>
      </c>
      <c r="E1219" s="11" t="str">
        <f aca="false">TRIM('수출입 실적(품목별)'!B1223)</f>
        <v>61</v>
      </c>
      <c r="F1219" s="11" t="str">
        <f aca="false">TRIM('수출입 실적(품목별)'!C1223)</f>
        <v>의류와 그 부속품(메리야스 편물이나 뜨개질 편물로 한정한다)</v>
      </c>
      <c r="G1219" s="18" t="n">
        <f aca="false">IFERROR(VALUE(SUBSTITUTE(TRIM('수출입 실적(품목별)'!D1223),",","")),"")</f>
        <v>2374.9</v>
      </c>
      <c r="H1219" s="19" t="n">
        <f aca="false">IFERROR(VALUE(SUBSTITUTE(TRIM('수출입 실적(품목별)'!E1223),",","")),"")</f>
        <v>56447</v>
      </c>
      <c r="I1219" s="18" t="n">
        <f aca="false">IFERROR(VALUE(SUBSTITUTE(TRIM('수출입 실적(품목별)'!F1223),",","")),"")</f>
        <v>21973.4</v>
      </c>
      <c r="J1219" s="19" t="n">
        <f aca="false">IFERROR(VALUE(SUBSTITUTE(TRIM('수출입 실적(품목별)'!G1223),",","")),"")</f>
        <v>429283</v>
      </c>
      <c r="K1219" s="19" t="n">
        <f aca="false">IFERROR(VALUE(SUBSTITUTE(TRIM('수출입 실적(품목별)'!H1223),",","")),"")</f>
        <v>-372835</v>
      </c>
    </row>
    <row r="1220" customFormat="false" ht="15" hidden="false" customHeight="true" outlineLevel="0" collapsed="false">
      <c r="A1220" s="11" t="str">
        <f aca="false">TRIM('수출입 실적(품목별)'!A1224)</f>
        <v>2025.01</v>
      </c>
      <c r="B1220" s="17" t="n">
        <f aca="false">IFERROR(VALUE(LEFT($A1220,4)),"")</f>
        <v>2025</v>
      </c>
      <c r="C1220" s="17" t="n">
        <f aca="false">IFERROR(VALUE(RIGHT($A1220,2)),"")</f>
        <v>1</v>
      </c>
      <c r="D1220" s="17" t="n">
        <f aca="false">IFERROR(ROUNDUP($C1220/3,0),"")</f>
        <v>1</v>
      </c>
      <c r="E1220" s="11" t="str">
        <f aca="false">TRIM('수출입 실적(품목별)'!B1224)</f>
        <v>62</v>
      </c>
      <c r="F1220" s="11" t="str">
        <f aca="false">TRIM('수출입 실적(품목별)'!C1224)</f>
        <v>의류와 그 부속품(메리야스 편물이나 뜨개질편물은 제외한다)</v>
      </c>
      <c r="G1220" s="18" t="n">
        <f aca="false">IFERROR(VALUE(SUBSTITUTE(TRIM('수출입 실적(품목별)'!D1224),",","")),"")</f>
        <v>2282.6</v>
      </c>
      <c r="H1220" s="19" t="n">
        <f aca="false">IFERROR(VALUE(SUBSTITUTE(TRIM('수출입 실적(품목별)'!E1224),",","")),"")</f>
        <v>59089</v>
      </c>
      <c r="I1220" s="18" t="n">
        <f aca="false">IFERROR(VALUE(SUBSTITUTE(TRIM('수출입 실적(품목별)'!F1224),",","")),"")</f>
        <v>19465.1</v>
      </c>
      <c r="J1220" s="19" t="n">
        <f aca="false">IFERROR(VALUE(SUBSTITUTE(TRIM('수출입 실적(품목별)'!G1224),",","")),"")</f>
        <v>597522</v>
      </c>
      <c r="K1220" s="19" t="n">
        <f aca="false">IFERROR(VALUE(SUBSTITUTE(TRIM('수출입 실적(품목별)'!H1224),",","")),"")</f>
        <v>-538433</v>
      </c>
    </row>
    <row r="1221" customFormat="false" ht="15" hidden="false" customHeight="true" outlineLevel="0" collapsed="false">
      <c r="A1221" s="11" t="str">
        <f aca="false">TRIM('수출입 실적(품목별)'!A1225)</f>
        <v>2025.01</v>
      </c>
      <c r="B1221" s="17" t="n">
        <f aca="false">IFERROR(VALUE(LEFT($A1221,4)),"")</f>
        <v>2025</v>
      </c>
      <c r="C1221" s="17" t="n">
        <f aca="false">IFERROR(VALUE(RIGHT($A1221,2)),"")</f>
        <v>1</v>
      </c>
      <c r="D1221" s="17" t="n">
        <f aca="false">IFERROR(ROUNDUP($C1221/3,0),"")</f>
        <v>1</v>
      </c>
      <c r="E1221" s="11" t="str">
        <f aca="false">TRIM('수출입 실적(품목별)'!B1225)</f>
        <v>63</v>
      </c>
      <c r="F1221" s="11" t="str">
        <f aca="false">TRIM('수출입 실적(품목별)'!C1225)</f>
        <v>제품으로 된 방직용 섬유의 그 밖의 물품, 세트, 사용하던 의류ㆍ방직용 섬유제품, 넝마</v>
      </c>
      <c r="G1221" s="18" t="n">
        <f aca="false">IFERROR(VALUE(SUBSTITUTE(TRIM('수출입 실적(품목별)'!D1225),",","")),"")</f>
        <v>24479.1</v>
      </c>
      <c r="H1221" s="19" t="n">
        <f aca="false">IFERROR(VALUE(SUBSTITUTE(TRIM('수출입 실적(품목별)'!E1225),",","")),"")</f>
        <v>45391</v>
      </c>
      <c r="I1221" s="18" t="n">
        <f aca="false">IFERROR(VALUE(SUBSTITUTE(TRIM('수출입 실적(품목별)'!F1225),",","")),"")</f>
        <v>23934</v>
      </c>
      <c r="J1221" s="19" t="n">
        <f aca="false">IFERROR(VALUE(SUBSTITUTE(TRIM('수출입 실적(품목별)'!G1225),",","")),"")</f>
        <v>97922</v>
      </c>
      <c r="K1221" s="19" t="n">
        <f aca="false">IFERROR(VALUE(SUBSTITUTE(TRIM('수출입 실적(품목별)'!H1225),",","")),"")</f>
        <v>-52530</v>
      </c>
    </row>
    <row r="1222" customFormat="false" ht="15" hidden="false" customHeight="true" outlineLevel="0" collapsed="false">
      <c r="A1222" s="11" t="str">
        <f aca="false">TRIM('수출입 실적(품목별)'!A1226)</f>
        <v>2025.01</v>
      </c>
      <c r="B1222" s="17" t="n">
        <f aca="false">IFERROR(VALUE(LEFT($A1222,4)),"")</f>
        <v>2025</v>
      </c>
      <c r="C1222" s="17" t="n">
        <f aca="false">IFERROR(VALUE(RIGHT($A1222,2)),"")</f>
        <v>1</v>
      </c>
      <c r="D1222" s="17" t="n">
        <f aca="false">IFERROR(ROUNDUP($C1222/3,0),"")</f>
        <v>1</v>
      </c>
      <c r="E1222" s="11" t="str">
        <f aca="false">TRIM('수출입 실적(품목별)'!B1226)</f>
        <v>64</v>
      </c>
      <c r="F1222" s="11" t="str">
        <f aca="false">TRIM('수출입 실적(품목별)'!C1226)</f>
        <v>신발류ㆍ각반과 이와 유사한 것, 이들의 부분품</v>
      </c>
      <c r="G1222" s="18" t="n">
        <f aca="false">IFERROR(VALUE(SUBSTITUTE(TRIM('수출입 실적(품목별)'!D1226),",","")),"")</f>
        <v>1099.2</v>
      </c>
      <c r="H1222" s="19" t="n">
        <f aca="false">IFERROR(VALUE(SUBSTITUTE(TRIM('수출입 실적(품목별)'!E1226),",","")),"")</f>
        <v>26876</v>
      </c>
      <c r="I1222" s="18" t="n">
        <f aca="false">IFERROR(VALUE(SUBSTITUTE(TRIM('수출입 실적(품목별)'!F1226),",","")),"")</f>
        <v>11836</v>
      </c>
      <c r="J1222" s="19" t="n">
        <f aca="false">IFERROR(VALUE(SUBSTITUTE(TRIM('수출입 실적(품목별)'!G1226),",","")),"")</f>
        <v>321593</v>
      </c>
      <c r="K1222" s="19" t="n">
        <f aca="false">IFERROR(VALUE(SUBSTITUTE(TRIM('수출입 실적(품목별)'!H1226),",","")),"")</f>
        <v>-294717</v>
      </c>
    </row>
    <row r="1223" customFormat="false" ht="15" hidden="false" customHeight="true" outlineLevel="0" collapsed="false">
      <c r="A1223" s="11" t="str">
        <f aca="false">TRIM('수출입 실적(품목별)'!A1227)</f>
        <v>2025.01</v>
      </c>
      <c r="B1223" s="17" t="n">
        <f aca="false">IFERROR(VALUE(LEFT($A1223,4)),"")</f>
        <v>2025</v>
      </c>
      <c r="C1223" s="17" t="n">
        <f aca="false">IFERROR(VALUE(RIGHT($A1223,2)),"")</f>
        <v>1</v>
      </c>
      <c r="D1223" s="17" t="n">
        <f aca="false">IFERROR(ROUNDUP($C1223/3,0),"")</f>
        <v>1</v>
      </c>
      <c r="E1223" s="11" t="str">
        <f aca="false">TRIM('수출입 실적(품목별)'!B1227)</f>
        <v>65</v>
      </c>
      <c r="F1223" s="11" t="str">
        <f aca="false">TRIM('수출입 실적(품목별)'!C1227)</f>
        <v>모자류와 그 부분품</v>
      </c>
      <c r="G1223" s="18" t="n">
        <f aca="false">IFERROR(VALUE(SUBSTITUTE(TRIM('수출입 실적(품목별)'!D1227),",","")),"")</f>
        <v>243.5</v>
      </c>
      <c r="H1223" s="19" t="n">
        <f aca="false">IFERROR(VALUE(SUBSTITUTE(TRIM('수출입 실적(품목별)'!E1227),",","")),"")</f>
        <v>6988</v>
      </c>
      <c r="I1223" s="18" t="n">
        <f aca="false">IFERROR(VALUE(SUBSTITUTE(TRIM('수출입 실적(품목별)'!F1227),",","")),"")</f>
        <v>804</v>
      </c>
      <c r="J1223" s="19" t="n">
        <f aca="false">IFERROR(VALUE(SUBSTITUTE(TRIM('수출입 실적(품목별)'!G1227),",","")),"")</f>
        <v>23324</v>
      </c>
      <c r="K1223" s="19" t="n">
        <f aca="false">IFERROR(VALUE(SUBSTITUTE(TRIM('수출입 실적(품목별)'!H1227),",","")),"")</f>
        <v>-16336</v>
      </c>
    </row>
    <row r="1224" customFormat="false" ht="15" hidden="false" customHeight="true" outlineLevel="0" collapsed="false">
      <c r="A1224" s="11" t="str">
        <f aca="false">TRIM('수출입 실적(품목별)'!A1228)</f>
        <v>2025.01</v>
      </c>
      <c r="B1224" s="17" t="n">
        <f aca="false">IFERROR(VALUE(LEFT($A1224,4)),"")</f>
        <v>2025</v>
      </c>
      <c r="C1224" s="17" t="n">
        <f aca="false">IFERROR(VALUE(RIGHT($A1224,2)),"")</f>
        <v>1</v>
      </c>
      <c r="D1224" s="17" t="n">
        <f aca="false">IFERROR(ROUNDUP($C1224/3,0),"")</f>
        <v>1</v>
      </c>
      <c r="E1224" s="11" t="str">
        <f aca="false">TRIM('수출입 실적(품목별)'!B1228)</f>
        <v>66</v>
      </c>
      <c r="F1224" s="11" t="str">
        <f aca="false">TRIM('수출입 실적(품목별)'!C1228)</f>
        <v>산류(傘類)ㆍ지팡이ㆍ시트스틱(seat-stick)ㆍ채찍ㆍ승마용 채찍과 이들의 부분품</v>
      </c>
      <c r="G1224" s="18" t="n">
        <f aca="false">IFERROR(VALUE(SUBSTITUTE(TRIM('수출입 실적(품목별)'!D1228),",","")),"")</f>
        <v>7.1</v>
      </c>
      <c r="H1224" s="19" t="n">
        <f aca="false">IFERROR(VALUE(SUBSTITUTE(TRIM('수출입 실적(품목별)'!E1228),",","")),"")</f>
        <v>50</v>
      </c>
      <c r="I1224" s="18" t="n">
        <f aca="false">IFERROR(VALUE(SUBSTITUTE(TRIM('수출입 실적(품목별)'!F1228),",","")),"")</f>
        <v>974.2</v>
      </c>
      <c r="J1224" s="19" t="n">
        <f aca="false">IFERROR(VALUE(SUBSTITUTE(TRIM('수출입 실적(품목별)'!G1228),",","")),"")</f>
        <v>6487</v>
      </c>
      <c r="K1224" s="19" t="n">
        <f aca="false">IFERROR(VALUE(SUBSTITUTE(TRIM('수출입 실적(품목별)'!H1228),",","")),"")</f>
        <v>-6437</v>
      </c>
    </row>
    <row r="1225" customFormat="false" ht="15" hidden="false" customHeight="true" outlineLevel="0" collapsed="false">
      <c r="A1225" s="11" t="str">
        <f aca="false">TRIM('수출입 실적(품목별)'!A1229)</f>
        <v>2025.01</v>
      </c>
      <c r="B1225" s="17" t="n">
        <f aca="false">IFERROR(VALUE(LEFT($A1225,4)),"")</f>
        <v>2025</v>
      </c>
      <c r="C1225" s="17" t="n">
        <f aca="false">IFERROR(VALUE(RIGHT($A1225,2)),"")</f>
        <v>1</v>
      </c>
      <c r="D1225" s="17" t="n">
        <f aca="false">IFERROR(ROUNDUP($C1225/3,0),"")</f>
        <v>1</v>
      </c>
      <c r="E1225" s="11" t="str">
        <f aca="false">TRIM('수출입 실적(품목별)'!B1229)</f>
        <v>67</v>
      </c>
      <c r="F1225" s="11" t="str">
        <f aca="false">TRIM('수출입 실적(품목별)'!C1229)</f>
        <v>조제 깃털ㆍ솜털과 그 제품, 조화, 사람 머리카락으로 된 제품</v>
      </c>
      <c r="G1225" s="18" t="n">
        <f aca="false">IFERROR(VALUE(SUBSTITUTE(TRIM('수출입 실적(품목별)'!D1229),",","")),"")</f>
        <v>12.9</v>
      </c>
      <c r="H1225" s="19" t="n">
        <f aca="false">IFERROR(VALUE(SUBSTITUTE(TRIM('수출입 실적(품목별)'!E1229),",","")),"")</f>
        <v>1389</v>
      </c>
      <c r="I1225" s="18" t="n">
        <f aca="false">IFERROR(VALUE(SUBSTITUTE(TRIM('수출입 실적(품목별)'!F1229),",","")),"")</f>
        <v>596.5</v>
      </c>
      <c r="J1225" s="19" t="n">
        <f aca="false">IFERROR(VALUE(SUBSTITUTE(TRIM('수출입 실적(품목별)'!G1229),",","")),"")</f>
        <v>8501</v>
      </c>
      <c r="K1225" s="19" t="n">
        <f aca="false">IFERROR(VALUE(SUBSTITUTE(TRIM('수출입 실적(품목별)'!H1229),",","")),"")</f>
        <v>-7113</v>
      </c>
    </row>
    <row r="1226" customFormat="false" ht="15" hidden="false" customHeight="true" outlineLevel="0" collapsed="false">
      <c r="A1226" s="11" t="str">
        <f aca="false">TRIM('수출입 실적(품목별)'!A1230)</f>
        <v>2025.01</v>
      </c>
      <c r="B1226" s="17" t="n">
        <f aca="false">IFERROR(VALUE(LEFT($A1226,4)),"")</f>
        <v>2025</v>
      </c>
      <c r="C1226" s="17" t="n">
        <f aca="false">IFERROR(VALUE(RIGHT($A1226,2)),"")</f>
        <v>1</v>
      </c>
      <c r="D1226" s="17" t="n">
        <f aca="false">IFERROR(ROUNDUP($C1226/3,0),"")</f>
        <v>1</v>
      </c>
      <c r="E1226" s="11" t="str">
        <f aca="false">TRIM('수출입 실적(품목별)'!B1230)</f>
        <v>68</v>
      </c>
      <c r="F1226" s="11" t="str">
        <f aca="false">TRIM('수출입 실적(품목별)'!C1230)</f>
        <v>돌ㆍ플라스터(plaster)ㆍ시멘트ㆍ석면ㆍ운모나 이와 유사한 재료의 제품</v>
      </c>
      <c r="G1226" s="18" t="n">
        <f aca="false">IFERROR(VALUE(SUBSTITUTE(TRIM('수출입 실적(품목별)'!D1230),",","")),"")</f>
        <v>9438.2</v>
      </c>
      <c r="H1226" s="19" t="n">
        <f aca="false">IFERROR(VALUE(SUBSTITUTE(TRIM('수출입 실적(품목별)'!E1230),",","")),"")</f>
        <v>69005</v>
      </c>
      <c r="I1226" s="18" t="n">
        <f aca="false">IFERROR(VALUE(SUBSTITUTE(TRIM('수출입 실적(품목별)'!F1230),",","")),"")</f>
        <v>189410.7</v>
      </c>
      <c r="J1226" s="19" t="n">
        <f aca="false">IFERROR(VALUE(SUBSTITUTE(TRIM('수출입 실적(품목별)'!G1230),",","")),"")</f>
        <v>103700</v>
      </c>
      <c r="K1226" s="19" t="n">
        <f aca="false">IFERROR(VALUE(SUBSTITUTE(TRIM('수출입 실적(품목별)'!H1230),",","")),"")</f>
        <v>-34695</v>
      </c>
    </row>
    <row r="1227" customFormat="false" ht="15" hidden="false" customHeight="true" outlineLevel="0" collapsed="false">
      <c r="A1227" s="11" t="str">
        <f aca="false">TRIM('수출입 실적(품목별)'!A1231)</f>
        <v>2025.01</v>
      </c>
      <c r="B1227" s="17" t="n">
        <f aca="false">IFERROR(VALUE(LEFT($A1227,4)),"")</f>
        <v>2025</v>
      </c>
      <c r="C1227" s="17" t="n">
        <f aca="false">IFERROR(VALUE(RIGHT($A1227,2)),"")</f>
        <v>1</v>
      </c>
      <c r="D1227" s="17" t="n">
        <f aca="false">IFERROR(ROUNDUP($C1227/3,0),"")</f>
        <v>1</v>
      </c>
      <c r="E1227" s="11" t="str">
        <f aca="false">TRIM('수출입 실적(품목별)'!B1231)</f>
        <v>69</v>
      </c>
      <c r="F1227" s="11" t="str">
        <f aca="false">TRIM('수출입 실적(품목별)'!C1231)</f>
        <v>도자제품</v>
      </c>
      <c r="G1227" s="18" t="n">
        <f aca="false">IFERROR(VALUE(SUBSTITUTE(TRIM('수출입 실적(품목별)'!D1231),",","")),"")</f>
        <v>1978.9</v>
      </c>
      <c r="H1227" s="19" t="n">
        <f aca="false">IFERROR(VALUE(SUBSTITUTE(TRIM('수출입 실적(품목별)'!E1231),",","")),"")</f>
        <v>25796</v>
      </c>
      <c r="I1227" s="18" t="n">
        <f aca="false">IFERROR(VALUE(SUBSTITUTE(TRIM('수출입 실적(품목별)'!F1231),",","")),"")</f>
        <v>122858.5</v>
      </c>
      <c r="J1227" s="19" t="n">
        <f aca="false">IFERROR(VALUE(SUBSTITUTE(TRIM('수출입 실적(품목별)'!G1231),",","")),"")</f>
        <v>128803</v>
      </c>
      <c r="K1227" s="19" t="n">
        <f aca="false">IFERROR(VALUE(SUBSTITUTE(TRIM('수출입 실적(품목별)'!H1231),",","")),"")</f>
        <v>-103007</v>
      </c>
    </row>
    <row r="1228" customFormat="false" ht="15" hidden="false" customHeight="true" outlineLevel="0" collapsed="false">
      <c r="A1228" s="11" t="str">
        <f aca="false">TRIM('수출입 실적(품목별)'!A1232)</f>
        <v>2025.01</v>
      </c>
      <c r="B1228" s="17" t="n">
        <f aca="false">IFERROR(VALUE(LEFT($A1228,4)),"")</f>
        <v>2025</v>
      </c>
      <c r="C1228" s="17" t="n">
        <f aca="false">IFERROR(VALUE(RIGHT($A1228,2)),"")</f>
        <v>1</v>
      </c>
      <c r="D1228" s="17" t="n">
        <f aca="false">IFERROR(ROUNDUP($C1228/3,0),"")</f>
        <v>1</v>
      </c>
      <c r="E1228" s="11" t="str">
        <f aca="false">TRIM('수출입 실적(품목별)'!B1232)</f>
        <v>70</v>
      </c>
      <c r="F1228" s="11" t="str">
        <f aca="false">TRIM('수출입 실적(품목별)'!C1232)</f>
        <v>유리와 유리제품</v>
      </c>
      <c r="G1228" s="18" t="n">
        <f aca="false">IFERROR(VALUE(SUBSTITUTE(TRIM('수출입 실적(품목별)'!D1232),",","")),"")</f>
        <v>29989.8</v>
      </c>
      <c r="H1228" s="19" t="n">
        <f aca="false">IFERROR(VALUE(SUBSTITUTE(TRIM('수출입 실적(품목별)'!E1232),",","")),"")</f>
        <v>160348</v>
      </c>
      <c r="I1228" s="18" t="n">
        <f aca="false">IFERROR(VALUE(SUBSTITUTE(TRIM('수출입 실적(품목별)'!F1232),",","")),"")</f>
        <v>96213.7</v>
      </c>
      <c r="J1228" s="19" t="n">
        <f aca="false">IFERROR(VALUE(SUBSTITUTE(TRIM('수출입 실적(품목별)'!G1232),",","")),"")</f>
        <v>194150</v>
      </c>
      <c r="K1228" s="19" t="n">
        <f aca="false">IFERROR(VALUE(SUBSTITUTE(TRIM('수출입 실적(품목별)'!H1232),",","")),"")</f>
        <v>-33801</v>
      </c>
    </row>
    <row r="1229" customFormat="false" ht="15" hidden="false" customHeight="true" outlineLevel="0" collapsed="false">
      <c r="A1229" s="11" t="str">
        <f aca="false">TRIM('수출입 실적(품목별)'!A1233)</f>
        <v>2025.01</v>
      </c>
      <c r="B1229" s="17" t="n">
        <f aca="false">IFERROR(VALUE(LEFT($A1229,4)),"")</f>
        <v>2025</v>
      </c>
      <c r="C1229" s="17" t="n">
        <f aca="false">IFERROR(VALUE(RIGHT($A1229,2)),"")</f>
        <v>1</v>
      </c>
      <c r="D1229" s="17" t="n">
        <f aca="false">IFERROR(ROUNDUP($C1229/3,0),"")</f>
        <v>1</v>
      </c>
      <c r="E1229" s="11" t="str">
        <f aca="false">TRIM('수출입 실적(품목별)'!B1233)</f>
        <v>71</v>
      </c>
      <c r="F1229" s="11" t="str">
        <f aca="false">TRIM('수출입 실적(품목별)'!C1233)</f>
        <v>천연진주ㆍ양식진주ㆍ귀석ㆍ반귀석ㆍ귀금속ㆍ귀금속을 입힌 금속과 이들의 제품, 모조 신변장식용품, 주화</v>
      </c>
      <c r="G1229" s="18" t="n">
        <f aca="false">IFERROR(VALUE(SUBSTITUTE(TRIM('수출입 실적(품목별)'!D1233),",","")),"")</f>
        <v>974.6</v>
      </c>
      <c r="H1229" s="19" t="n">
        <f aca="false">IFERROR(VALUE(SUBSTITUTE(TRIM('수출입 실적(품목별)'!E1233),",","")),"")</f>
        <v>367564</v>
      </c>
      <c r="I1229" s="18" t="n">
        <f aca="false">IFERROR(VALUE(SUBSTITUTE(TRIM('수출입 실적(품목별)'!F1233),",","")),"")</f>
        <v>1044.5</v>
      </c>
      <c r="J1229" s="19" t="n">
        <f aca="false">IFERROR(VALUE(SUBSTITUTE(TRIM('수출입 실적(품목별)'!G1233),",","")),"")</f>
        <v>594367</v>
      </c>
      <c r="K1229" s="19" t="n">
        <f aca="false">IFERROR(VALUE(SUBSTITUTE(TRIM('수출입 실적(품목별)'!H1233),",","")),"")</f>
        <v>-226804</v>
      </c>
    </row>
    <row r="1230" customFormat="false" ht="15" hidden="false" customHeight="true" outlineLevel="0" collapsed="false">
      <c r="A1230" s="11" t="str">
        <f aca="false">TRIM('수출입 실적(품목별)'!A1234)</f>
        <v>2025.01</v>
      </c>
      <c r="B1230" s="17" t="n">
        <f aca="false">IFERROR(VALUE(LEFT($A1230,4)),"")</f>
        <v>2025</v>
      </c>
      <c r="C1230" s="17" t="n">
        <f aca="false">IFERROR(VALUE(RIGHT($A1230,2)),"")</f>
        <v>1</v>
      </c>
      <c r="D1230" s="17" t="n">
        <f aca="false">IFERROR(ROUNDUP($C1230/3,0),"")</f>
        <v>1</v>
      </c>
      <c r="E1230" s="11" t="str">
        <f aca="false">TRIM('수출입 실적(품목별)'!B1234)</f>
        <v>72</v>
      </c>
      <c r="F1230" s="11" t="str">
        <f aca="false">TRIM('수출입 실적(품목별)'!C1234)</f>
        <v>철강</v>
      </c>
      <c r="G1230" s="18" t="n">
        <f aca="false">IFERROR(VALUE(SUBSTITUTE(TRIM('수출입 실적(품목별)'!D1234),",","")),"")</f>
        <v>2289964.8</v>
      </c>
      <c r="H1230" s="19" t="n">
        <f aca="false">IFERROR(VALUE(SUBSTITUTE(TRIM('수출입 실적(품목별)'!E1234),",","")),"")</f>
        <v>1929700</v>
      </c>
      <c r="I1230" s="18" t="n">
        <f aca="false">IFERROR(VALUE(SUBSTITUTE(TRIM('수출입 실적(품목별)'!F1234),",","")),"")</f>
        <v>1200379.3</v>
      </c>
      <c r="J1230" s="19" t="n">
        <f aca="false">IFERROR(VALUE(SUBSTITUTE(TRIM('수출입 실적(품목별)'!G1234),",","")),"")</f>
        <v>932362</v>
      </c>
      <c r="K1230" s="19" t="n">
        <f aca="false">IFERROR(VALUE(SUBSTITUTE(TRIM('수출입 실적(품목별)'!H1234),",","")),"")</f>
        <v>997338</v>
      </c>
    </row>
    <row r="1231" customFormat="false" ht="15" hidden="false" customHeight="true" outlineLevel="0" collapsed="false">
      <c r="A1231" s="11" t="str">
        <f aca="false">TRIM('수출입 실적(품목별)'!A1235)</f>
        <v>2025.01</v>
      </c>
      <c r="B1231" s="17" t="n">
        <f aca="false">IFERROR(VALUE(LEFT($A1231,4)),"")</f>
        <v>2025</v>
      </c>
      <c r="C1231" s="17" t="n">
        <f aca="false">IFERROR(VALUE(RIGHT($A1231,2)),"")</f>
        <v>1</v>
      </c>
      <c r="D1231" s="17" t="n">
        <f aca="false">IFERROR(ROUNDUP($C1231/3,0),"")</f>
        <v>1</v>
      </c>
      <c r="E1231" s="11" t="str">
        <f aca="false">TRIM('수출입 실적(품목별)'!B1235)</f>
        <v>73</v>
      </c>
      <c r="F1231" s="11" t="str">
        <f aca="false">TRIM('수출입 실적(품목별)'!C1235)</f>
        <v>철강의 제품</v>
      </c>
      <c r="G1231" s="18" t="n">
        <f aca="false">IFERROR(VALUE(SUBSTITUTE(TRIM('수출입 실적(품목별)'!D1235),",","")),"")</f>
        <v>279252</v>
      </c>
      <c r="H1231" s="19" t="n">
        <f aca="false">IFERROR(VALUE(SUBSTITUTE(TRIM('수출입 실적(품목별)'!E1235),",","")),"")</f>
        <v>799882</v>
      </c>
      <c r="I1231" s="18" t="n">
        <f aca="false">IFERROR(VALUE(SUBSTITUTE(TRIM('수출입 실적(품목별)'!F1235),",","")),"")</f>
        <v>268304.9</v>
      </c>
      <c r="J1231" s="19" t="n">
        <f aca="false">IFERROR(VALUE(SUBSTITUTE(TRIM('수출입 실적(품목별)'!G1235),",","")),"")</f>
        <v>769413</v>
      </c>
      <c r="K1231" s="19" t="n">
        <f aca="false">IFERROR(VALUE(SUBSTITUTE(TRIM('수출입 실적(품목별)'!H1235),",","")),"")</f>
        <v>30469</v>
      </c>
    </row>
    <row r="1232" customFormat="false" ht="15" hidden="false" customHeight="true" outlineLevel="0" collapsed="false">
      <c r="A1232" s="11" t="str">
        <f aca="false">TRIM('수출입 실적(품목별)'!A1236)</f>
        <v>2025.01</v>
      </c>
      <c r="B1232" s="17" t="n">
        <f aca="false">IFERROR(VALUE(LEFT($A1232,4)),"")</f>
        <v>2025</v>
      </c>
      <c r="C1232" s="17" t="n">
        <f aca="false">IFERROR(VALUE(RIGHT($A1232,2)),"")</f>
        <v>1</v>
      </c>
      <c r="D1232" s="17" t="n">
        <f aca="false">IFERROR(ROUNDUP($C1232/3,0),"")</f>
        <v>1</v>
      </c>
      <c r="E1232" s="11" t="str">
        <f aca="false">TRIM('수출입 실적(품목별)'!B1236)</f>
        <v>74</v>
      </c>
      <c r="F1232" s="11" t="str">
        <f aca="false">TRIM('수출입 실적(품목별)'!C1236)</f>
        <v>구리와 그 제품</v>
      </c>
      <c r="G1232" s="18" t="n">
        <f aca="false">IFERROR(VALUE(SUBSTITUTE(TRIM('수출입 실적(품목별)'!D1236),",","")),"")</f>
        <v>48087</v>
      </c>
      <c r="H1232" s="19" t="n">
        <f aca="false">IFERROR(VALUE(SUBSTITUTE(TRIM('수출입 실적(품목별)'!E1236),",","")),"")</f>
        <v>422977</v>
      </c>
      <c r="I1232" s="18" t="n">
        <f aca="false">IFERROR(VALUE(SUBSTITUTE(TRIM('수출입 실적(품목별)'!F1236),",","")),"")</f>
        <v>53568.7</v>
      </c>
      <c r="J1232" s="19" t="n">
        <f aca="false">IFERROR(VALUE(SUBSTITUTE(TRIM('수출입 실적(품목별)'!G1236),",","")),"")</f>
        <v>496111</v>
      </c>
      <c r="K1232" s="19" t="n">
        <f aca="false">IFERROR(VALUE(SUBSTITUTE(TRIM('수출입 실적(품목별)'!H1236),",","")),"")</f>
        <v>-73134</v>
      </c>
    </row>
    <row r="1233" customFormat="false" ht="15" hidden="false" customHeight="true" outlineLevel="0" collapsed="false">
      <c r="A1233" s="11" t="str">
        <f aca="false">TRIM('수출입 실적(품목별)'!A1237)</f>
        <v>2025.01</v>
      </c>
      <c r="B1233" s="17" t="n">
        <f aca="false">IFERROR(VALUE(LEFT($A1233,4)),"")</f>
        <v>2025</v>
      </c>
      <c r="C1233" s="17" t="n">
        <f aca="false">IFERROR(VALUE(RIGHT($A1233,2)),"")</f>
        <v>1</v>
      </c>
      <c r="D1233" s="17" t="n">
        <f aca="false">IFERROR(ROUNDUP($C1233/3,0),"")</f>
        <v>1</v>
      </c>
      <c r="E1233" s="11" t="str">
        <f aca="false">TRIM('수출입 실적(품목별)'!B1237)</f>
        <v>75</v>
      </c>
      <c r="F1233" s="11" t="str">
        <f aca="false">TRIM('수출입 실적(품목별)'!C1237)</f>
        <v>니켈과 그 제품</v>
      </c>
      <c r="G1233" s="18" t="n">
        <f aca="false">IFERROR(VALUE(SUBSTITUTE(TRIM('수출입 실적(품목별)'!D1237),",","")),"")</f>
        <v>1507.8</v>
      </c>
      <c r="H1233" s="19" t="n">
        <f aca="false">IFERROR(VALUE(SUBSTITUTE(TRIM('수출입 실적(품목별)'!E1237),",","")),"")</f>
        <v>13897</v>
      </c>
      <c r="I1233" s="18" t="n">
        <f aca="false">IFERROR(VALUE(SUBSTITUTE(TRIM('수출입 실적(품목별)'!F1237),",","")),"")</f>
        <v>5526.8</v>
      </c>
      <c r="J1233" s="19" t="n">
        <f aca="false">IFERROR(VALUE(SUBSTITUTE(TRIM('수출입 실적(품목별)'!G1237),",","")),"")</f>
        <v>113575</v>
      </c>
      <c r="K1233" s="19" t="n">
        <f aca="false">IFERROR(VALUE(SUBSTITUTE(TRIM('수출입 실적(품목별)'!H1237),",","")),"")</f>
        <v>-99678</v>
      </c>
    </row>
    <row r="1234" customFormat="false" ht="15" hidden="false" customHeight="true" outlineLevel="0" collapsed="false">
      <c r="A1234" s="11" t="str">
        <f aca="false">TRIM('수출입 실적(품목별)'!A1238)</f>
        <v>2025.01</v>
      </c>
      <c r="B1234" s="17" t="n">
        <f aca="false">IFERROR(VALUE(LEFT($A1234,4)),"")</f>
        <v>2025</v>
      </c>
      <c r="C1234" s="17" t="n">
        <f aca="false">IFERROR(VALUE(RIGHT($A1234,2)),"")</f>
        <v>1</v>
      </c>
      <c r="D1234" s="17" t="n">
        <f aca="false">IFERROR(ROUNDUP($C1234/3,0),"")</f>
        <v>1</v>
      </c>
      <c r="E1234" s="11" t="str">
        <f aca="false">TRIM('수출입 실적(품목별)'!B1238)</f>
        <v>76</v>
      </c>
      <c r="F1234" s="11" t="str">
        <f aca="false">TRIM('수출입 실적(품목별)'!C1238)</f>
        <v>알루미늄과 그 제품</v>
      </c>
      <c r="G1234" s="18" t="n">
        <f aca="false">IFERROR(VALUE(SUBSTITUTE(TRIM('수출입 실적(품목별)'!D1238),",","")),"")</f>
        <v>98291.8</v>
      </c>
      <c r="H1234" s="19" t="n">
        <f aca="false">IFERROR(VALUE(SUBSTITUTE(TRIM('수출입 실적(품목별)'!E1238),",","")),"")</f>
        <v>392994</v>
      </c>
      <c r="I1234" s="18" t="n">
        <f aca="false">IFERROR(VALUE(SUBSTITUTE(TRIM('수출입 실적(품목별)'!F1238),",","")),"")</f>
        <v>238330.4</v>
      </c>
      <c r="J1234" s="19" t="n">
        <f aca="false">IFERROR(VALUE(SUBSTITUTE(TRIM('수출입 실적(품목별)'!G1238),",","")),"")</f>
        <v>715108</v>
      </c>
      <c r="K1234" s="19" t="n">
        <f aca="false">IFERROR(VALUE(SUBSTITUTE(TRIM('수출입 실적(품목별)'!H1238),",","")),"")</f>
        <v>-322114</v>
      </c>
    </row>
    <row r="1235" customFormat="false" ht="15" hidden="false" customHeight="true" outlineLevel="0" collapsed="false">
      <c r="A1235" s="11" t="str">
        <f aca="false">TRIM('수출입 실적(품목별)'!A1239)</f>
        <v>2025.01</v>
      </c>
      <c r="B1235" s="17" t="n">
        <f aca="false">IFERROR(VALUE(LEFT($A1235,4)),"")</f>
        <v>2025</v>
      </c>
      <c r="C1235" s="17" t="n">
        <f aca="false">IFERROR(VALUE(RIGHT($A1235,2)),"")</f>
        <v>1</v>
      </c>
      <c r="D1235" s="17" t="n">
        <f aca="false">IFERROR(ROUNDUP($C1235/3,0),"")</f>
        <v>1</v>
      </c>
      <c r="E1235" s="11" t="str">
        <f aca="false">TRIM('수출입 실적(품목별)'!B1239)</f>
        <v>78</v>
      </c>
      <c r="F1235" s="11" t="str">
        <f aca="false">TRIM('수출입 실적(품목별)'!C1239)</f>
        <v>납과 그 제품</v>
      </c>
      <c r="G1235" s="18" t="n">
        <f aca="false">IFERROR(VALUE(SUBSTITUTE(TRIM('수출입 실적(품목별)'!D1239),",","")),"")</f>
        <v>23509.5</v>
      </c>
      <c r="H1235" s="19" t="n">
        <f aca="false">IFERROR(VALUE(SUBSTITUTE(TRIM('수출입 실적(품목별)'!E1239),",","")),"")</f>
        <v>52286</v>
      </c>
      <c r="I1235" s="18" t="n">
        <f aca="false">IFERROR(VALUE(SUBSTITUTE(TRIM('수출입 실적(품목별)'!F1239),",","")),"")</f>
        <v>14900.9</v>
      </c>
      <c r="J1235" s="19" t="n">
        <f aca="false">IFERROR(VALUE(SUBSTITUTE(TRIM('수출입 실적(품목별)'!G1239),",","")),"")</f>
        <v>33870</v>
      </c>
      <c r="K1235" s="19" t="n">
        <f aca="false">IFERROR(VALUE(SUBSTITUTE(TRIM('수출입 실적(품목별)'!H1239),",","")),"")</f>
        <v>18416</v>
      </c>
    </row>
    <row r="1236" customFormat="false" ht="15" hidden="false" customHeight="true" outlineLevel="0" collapsed="false">
      <c r="A1236" s="11" t="str">
        <f aca="false">TRIM('수출입 실적(품목별)'!A1240)</f>
        <v>2025.01</v>
      </c>
      <c r="B1236" s="17" t="n">
        <f aca="false">IFERROR(VALUE(LEFT($A1236,4)),"")</f>
        <v>2025</v>
      </c>
      <c r="C1236" s="17" t="n">
        <f aca="false">IFERROR(VALUE(RIGHT($A1236,2)),"")</f>
        <v>1</v>
      </c>
      <c r="D1236" s="17" t="n">
        <f aca="false">IFERROR(ROUNDUP($C1236/3,0),"")</f>
        <v>1</v>
      </c>
      <c r="E1236" s="11" t="str">
        <f aca="false">TRIM('수출입 실적(품목별)'!B1240)</f>
        <v>79</v>
      </c>
      <c r="F1236" s="11" t="str">
        <f aca="false">TRIM('수출입 실적(품목별)'!C1240)</f>
        <v>아연과 그 제품</v>
      </c>
      <c r="G1236" s="18" t="n">
        <f aca="false">IFERROR(VALUE(SUBSTITUTE(TRIM('수출입 실적(품목별)'!D1240),",","")),"")</f>
        <v>28786.1</v>
      </c>
      <c r="H1236" s="19" t="n">
        <f aca="false">IFERROR(VALUE(SUBSTITUTE(TRIM('수출입 실적(품목별)'!E1240),",","")),"")</f>
        <v>90076</v>
      </c>
      <c r="I1236" s="18" t="n">
        <f aca="false">IFERROR(VALUE(SUBSTITUTE(TRIM('수출입 실적(품목별)'!F1240),",","")),"")</f>
        <v>2591.4</v>
      </c>
      <c r="J1236" s="19" t="n">
        <f aca="false">IFERROR(VALUE(SUBSTITUTE(TRIM('수출입 실적(품목별)'!G1240),",","")),"")</f>
        <v>8585</v>
      </c>
      <c r="K1236" s="19" t="n">
        <f aca="false">IFERROR(VALUE(SUBSTITUTE(TRIM('수출입 실적(품목별)'!H1240),",","")),"")</f>
        <v>81492</v>
      </c>
    </row>
    <row r="1237" customFormat="false" ht="15" hidden="false" customHeight="true" outlineLevel="0" collapsed="false">
      <c r="A1237" s="11" t="str">
        <f aca="false">TRIM('수출입 실적(품목별)'!A1241)</f>
        <v>2025.01</v>
      </c>
      <c r="B1237" s="17" t="n">
        <f aca="false">IFERROR(VALUE(LEFT($A1237,4)),"")</f>
        <v>2025</v>
      </c>
      <c r="C1237" s="17" t="n">
        <f aca="false">IFERROR(VALUE(RIGHT($A1237,2)),"")</f>
        <v>1</v>
      </c>
      <c r="D1237" s="17" t="n">
        <f aca="false">IFERROR(ROUNDUP($C1237/3,0),"")</f>
        <v>1</v>
      </c>
      <c r="E1237" s="11" t="str">
        <f aca="false">TRIM('수출입 실적(품목별)'!B1241)</f>
        <v>80</v>
      </c>
      <c r="F1237" s="11" t="str">
        <f aca="false">TRIM('수출입 실적(품목별)'!C1241)</f>
        <v>주석과 그 제품</v>
      </c>
      <c r="G1237" s="18" t="n">
        <f aca="false">IFERROR(VALUE(SUBSTITUTE(TRIM('수출입 실적(품목별)'!D1241),",","")),"")</f>
        <v>187.6</v>
      </c>
      <c r="H1237" s="19" t="n">
        <f aca="false">IFERROR(VALUE(SUBSTITUTE(TRIM('수출입 실적(품목별)'!E1241),",","")),"")</f>
        <v>5592</v>
      </c>
      <c r="I1237" s="18" t="n">
        <f aca="false">IFERROR(VALUE(SUBSTITUTE(TRIM('수출입 실적(품목별)'!F1241),",","")),"")</f>
        <v>1349.9</v>
      </c>
      <c r="J1237" s="19" t="n">
        <f aca="false">IFERROR(VALUE(SUBSTITUTE(TRIM('수출입 실적(품목별)'!G1241),",","")),"")</f>
        <v>43666</v>
      </c>
      <c r="K1237" s="19" t="n">
        <f aca="false">IFERROR(VALUE(SUBSTITUTE(TRIM('수출입 실적(품목별)'!H1241),",","")),"")</f>
        <v>-38074</v>
      </c>
    </row>
    <row r="1238" customFormat="false" ht="15" hidden="false" customHeight="true" outlineLevel="0" collapsed="false">
      <c r="A1238" s="11" t="str">
        <f aca="false">TRIM('수출입 실적(품목별)'!A1242)</f>
        <v>2025.01</v>
      </c>
      <c r="B1238" s="17" t="n">
        <f aca="false">IFERROR(VALUE(LEFT($A1238,4)),"")</f>
        <v>2025</v>
      </c>
      <c r="C1238" s="17" t="n">
        <f aca="false">IFERROR(VALUE(RIGHT($A1238,2)),"")</f>
        <v>1</v>
      </c>
      <c r="D1238" s="17" t="n">
        <f aca="false">IFERROR(ROUNDUP($C1238/3,0),"")</f>
        <v>1</v>
      </c>
      <c r="E1238" s="11" t="str">
        <f aca="false">TRIM('수출입 실적(품목별)'!B1242)</f>
        <v>81</v>
      </c>
      <c r="F1238" s="11" t="str">
        <f aca="false">TRIM('수출입 실적(품목별)'!C1242)</f>
        <v>그 밖의 비금속(卑金屬), 서멧(cermet), 이들의 제품</v>
      </c>
      <c r="G1238" s="18" t="n">
        <f aca="false">IFERROR(VALUE(SUBSTITUTE(TRIM('수출입 실적(품목별)'!D1242),",","")),"")</f>
        <v>2282.9</v>
      </c>
      <c r="H1238" s="19" t="n">
        <f aca="false">IFERROR(VALUE(SUBSTITUTE(TRIM('수출입 실적(품목별)'!E1242),",","")),"")</f>
        <v>31993</v>
      </c>
      <c r="I1238" s="18" t="n">
        <f aca="false">IFERROR(VALUE(SUBSTITUTE(TRIM('수출입 실적(품목별)'!F1242),",","")),"")</f>
        <v>12752.4</v>
      </c>
      <c r="J1238" s="19" t="n">
        <f aca="false">IFERROR(VALUE(SUBSTITUTE(TRIM('수출입 실적(품목별)'!G1242),",","")),"")</f>
        <v>99100</v>
      </c>
      <c r="K1238" s="19" t="n">
        <f aca="false">IFERROR(VALUE(SUBSTITUTE(TRIM('수출입 실적(품목별)'!H1242),",","")),"")</f>
        <v>-67106</v>
      </c>
    </row>
    <row r="1239" customFormat="false" ht="15" hidden="false" customHeight="true" outlineLevel="0" collapsed="false">
      <c r="A1239" s="11" t="str">
        <f aca="false">TRIM('수출입 실적(품목별)'!A1243)</f>
        <v>2025.01</v>
      </c>
      <c r="B1239" s="17" t="n">
        <f aca="false">IFERROR(VALUE(LEFT($A1239,4)),"")</f>
        <v>2025</v>
      </c>
      <c r="C1239" s="17" t="n">
        <f aca="false">IFERROR(VALUE(RIGHT($A1239,2)),"")</f>
        <v>1</v>
      </c>
      <c r="D1239" s="17" t="n">
        <f aca="false">IFERROR(ROUNDUP($C1239/3,0),"")</f>
        <v>1</v>
      </c>
      <c r="E1239" s="11" t="str">
        <f aca="false">TRIM('수출입 실적(품목별)'!B1243)</f>
        <v>82</v>
      </c>
      <c r="F1239" s="11" t="str">
        <f aca="false">TRIM('수출입 실적(품목별)'!C1243)</f>
        <v>비금속(卑金屬)으로 만든 공구ㆍ도구ㆍ칼붙이ㆍ스푼ㆍ포크, 이들의 부분품</v>
      </c>
      <c r="G1239" s="18" t="n">
        <f aca="false">IFERROR(VALUE(SUBSTITUTE(TRIM('수출입 실적(품목별)'!D1243),",","")),"")</f>
        <v>6054</v>
      </c>
      <c r="H1239" s="19" t="n">
        <f aca="false">IFERROR(VALUE(SUBSTITUTE(TRIM('수출입 실적(품목별)'!E1243),",","")),"")</f>
        <v>132347</v>
      </c>
      <c r="I1239" s="18" t="n">
        <f aca="false">IFERROR(VALUE(SUBSTITUTE(TRIM('수출입 실적(품목별)'!F1243),",","")),"")</f>
        <v>5251.3</v>
      </c>
      <c r="J1239" s="19" t="n">
        <f aca="false">IFERROR(VALUE(SUBSTITUTE(TRIM('수출입 실적(품목별)'!G1243),",","")),"")</f>
        <v>77631</v>
      </c>
      <c r="K1239" s="19" t="n">
        <f aca="false">IFERROR(VALUE(SUBSTITUTE(TRIM('수출입 실적(품목별)'!H1243),",","")),"")</f>
        <v>54716</v>
      </c>
    </row>
    <row r="1240" customFormat="false" ht="15" hidden="false" customHeight="true" outlineLevel="0" collapsed="false">
      <c r="A1240" s="11" t="str">
        <f aca="false">TRIM('수출입 실적(품목별)'!A1244)</f>
        <v>2025.01</v>
      </c>
      <c r="B1240" s="17" t="n">
        <f aca="false">IFERROR(VALUE(LEFT($A1240,4)),"")</f>
        <v>2025</v>
      </c>
      <c r="C1240" s="17" t="n">
        <f aca="false">IFERROR(VALUE(RIGHT($A1240,2)),"")</f>
        <v>1</v>
      </c>
      <c r="D1240" s="17" t="n">
        <f aca="false">IFERROR(ROUNDUP($C1240/3,0),"")</f>
        <v>1</v>
      </c>
      <c r="E1240" s="11" t="str">
        <f aca="false">TRIM('수출입 실적(품목별)'!B1244)</f>
        <v>83</v>
      </c>
      <c r="F1240" s="11" t="str">
        <f aca="false">TRIM('수출입 실적(품목별)'!C1244)</f>
        <v>비금속(卑金屬)으로 만든 각종 제품</v>
      </c>
      <c r="G1240" s="18" t="n">
        <f aca="false">IFERROR(VALUE(SUBSTITUTE(TRIM('수출입 실적(품목별)'!D1244),",","")),"")</f>
        <v>21861.9</v>
      </c>
      <c r="H1240" s="19" t="n">
        <f aca="false">IFERROR(VALUE(SUBSTITUTE(TRIM('수출입 실적(품목별)'!E1244),",","")),"")</f>
        <v>121902</v>
      </c>
      <c r="I1240" s="18" t="n">
        <f aca="false">IFERROR(VALUE(SUBSTITUTE(TRIM('수출입 실적(품목별)'!F1244),",","")),"")</f>
        <v>12617.4</v>
      </c>
      <c r="J1240" s="19" t="n">
        <f aca="false">IFERROR(VALUE(SUBSTITUTE(TRIM('수출입 실적(품목별)'!G1244),",","")),"")</f>
        <v>79844</v>
      </c>
      <c r="K1240" s="19" t="n">
        <f aca="false">IFERROR(VALUE(SUBSTITUTE(TRIM('수출입 실적(품목별)'!H1244),",","")),"")</f>
        <v>42058</v>
      </c>
    </row>
    <row r="1241" customFormat="false" ht="15" hidden="false" customHeight="true" outlineLevel="0" collapsed="false">
      <c r="A1241" s="11" t="str">
        <f aca="false">TRIM('수출입 실적(품목별)'!A1245)</f>
        <v>2025.01</v>
      </c>
      <c r="B1241" s="17" t="n">
        <f aca="false">IFERROR(VALUE(LEFT($A1241,4)),"")</f>
        <v>2025</v>
      </c>
      <c r="C1241" s="17" t="n">
        <f aca="false">IFERROR(VALUE(RIGHT($A1241,2)),"")</f>
        <v>1</v>
      </c>
      <c r="D1241" s="17" t="n">
        <f aca="false">IFERROR(ROUNDUP($C1241/3,0),"")</f>
        <v>1</v>
      </c>
      <c r="E1241" s="11" t="str">
        <f aca="false">TRIM('수출입 실적(품목별)'!B1245)</f>
        <v>84</v>
      </c>
      <c r="F1241" s="11" t="str">
        <f aca="false">TRIM('수출입 실적(품목별)'!C1245)</f>
        <v>원자로ㆍ보일러ㆍ기계류와 이들의 부분품</v>
      </c>
      <c r="G1241" s="18" t="n">
        <f aca="false">IFERROR(VALUE(SUBSTITUTE(TRIM('수출입 실적(품목별)'!D1245),",","")),"")</f>
        <v>322110.2</v>
      </c>
      <c r="H1241" s="19" t="n">
        <f aca="false">IFERROR(VALUE(SUBSTITUTE(TRIM('수출입 실적(품목별)'!E1245),",","")),"")</f>
        <v>5702602</v>
      </c>
      <c r="I1241" s="18" t="n">
        <f aca="false">IFERROR(VALUE(SUBSTITUTE(TRIM('수출입 실적(품목별)'!F1245),",","")),"")</f>
        <v>192812.5</v>
      </c>
      <c r="J1241" s="19" t="n">
        <f aca="false">IFERROR(VALUE(SUBSTITUTE(TRIM('수출입 실적(품목별)'!G1245),",","")),"")</f>
        <v>5592162</v>
      </c>
      <c r="K1241" s="19" t="n">
        <f aca="false">IFERROR(VALUE(SUBSTITUTE(TRIM('수출입 실적(품목별)'!H1245),",","")),"")</f>
        <v>110440</v>
      </c>
    </row>
    <row r="1242" customFormat="false" ht="15" hidden="false" customHeight="true" outlineLevel="0" collapsed="false">
      <c r="A1242" s="11" t="str">
        <f aca="false">TRIM('수출입 실적(품목별)'!A1246)</f>
        <v>2025.01</v>
      </c>
      <c r="B1242" s="17" t="n">
        <f aca="false">IFERROR(VALUE(LEFT($A1242,4)),"")</f>
        <v>2025</v>
      </c>
      <c r="C1242" s="17" t="n">
        <f aca="false">IFERROR(VALUE(RIGHT($A1242,2)),"")</f>
        <v>1</v>
      </c>
      <c r="D1242" s="17" t="n">
        <f aca="false">IFERROR(ROUNDUP($C1242/3,0),"")</f>
        <v>1</v>
      </c>
      <c r="E1242" s="11" t="str">
        <f aca="false">TRIM('수출입 실적(품목별)'!B1246)</f>
        <v>85</v>
      </c>
      <c r="F1242" s="11" t="str">
        <f aca="false">TRIM('수출입 실적(품목별)'!C1246)</f>
        <v>전기기기와 그 부분품, 녹음기ㆍ음성 재생기ㆍ텔레비전의 영상과 음성의 기록기ㆍ재생기와 이들의 부분품ㆍ부속품</v>
      </c>
      <c r="G1242" s="18" t="n">
        <f aca="false">IFERROR(VALUE(SUBSTITUTE(TRIM('수출입 실적(품목별)'!D1246),",","")),"")</f>
        <v>187901.8</v>
      </c>
      <c r="H1242" s="19" t="n">
        <f aca="false">IFERROR(VALUE(SUBSTITUTE(TRIM('수출입 실적(품목별)'!E1246),",","")),"")</f>
        <v>14503290</v>
      </c>
      <c r="I1242" s="18" t="n">
        <f aca="false">IFERROR(VALUE(SUBSTITUTE(TRIM('수출입 실적(품목별)'!F1246),",","")),"")</f>
        <v>195196</v>
      </c>
      <c r="J1242" s="19" t="n">
        <f aca="false">IFERROR(VALUE(SUBSTITUTE(TRIM('수출입 실적(품목별)'!G1246),",","")),"")</f>
        <v>9761366</v>
      </c>
      <c r="K1242" s="19" t="n">
        <f aca="false">IFERROR(VALUE(SUBSTITUTE(TRIM('수출입 실적(품목별)'!H1246),",","")),"")</f>
        <v>4741923</v>
      </c>
    </row>
    <row r="1243" customFormat="false" ht="15" hidden="false" customHeight="true" outlineLevel="0" collapsed="false">
      <c r="A1243" s="11" t="str">
        <f aca="false">TRIM('수출입 실적(품목별)'!A1247)</f>
        <v>2025.01</v>
      </c>
      <c r="B1243" s="17" t="n">
        <f aca="false">IFERROR(VALUE(LEFT($A1243,4)),"")</f>
        <v>2025</v>
      </c>
      <c r="C1243" s="17" t="n">
        <f aca="false">IFERROR(VALUE(RIGHT($A1243,2)),"")</f>
        <v>1</v>
      </c>
      <c r="D1243" s="17" t="n">
        <f aca="false">IFERROR(ROUNDUP($C1243/3,0),"")</f>
        <v>1</v>
      </c>
      <c r="E1243" s="11" t="str">
        <f aca="false">TRIM('수출입 실적(품목별)'!B1247)</f>
        <v>86</v>
      </c>
      <c r="F1243" s="11" t="str">
        <f aca="false">TRIM('수출입 실적(품목별)'!C1247)</f>
        <v>철도용이나 궤도용 기관차ㆍ차량과 이들의 부분품, 철도용이나 궤도용 장비품과 그 부분품, 기계식(전기기계식을 포함한다) 각종 교통신호용 기기</v>
      </c>
      <c r="G1243" s="18" t="n">
        <f aca="false">IFERROR(VALUE(SUBSTITUTE(TRIM('수출입 실적(품목별)'!D1247),",","")),"")</f>
        <v>10153.3</v>
      </c>
      <c r="H1243" s="19" t="n">
        <f aca="false">IFERROR(VALUE(SUBSTITUTE(TRIM('수출입 실적(품목별)'!E1247),",","")),"")</f>
        <v>41332</v>
      </c>
      <c r="I1243" s="18" t="n">
        <f aca="false">IFERROR(VALUE(SUBSTITUTE(TRIM('수출입 실적(품목별)'!F1247),",","")),"")</f>
        <v>10731.5</v>
      </c>
      <c r="J1243" s="19" t="n">
        <f aca="false">IFERROR(VALUE(SUBSTITUTE(TRIM('수출입 실적(품목별)'!G1247),",","")),"")</f>
        <v>29130</v>
      </c>
      <c r="K1243" s="19" t="n">
        <f aca="false">IFERROR(VALUE(SUBSTITUTE(TRIM('수출입 실적(품목별)'!H1247),",","")),"")</f>
        <v>12202</v>
      </c>
    </row>
    <row r="1244" customFormat="false" ht="15" hidden="false" customHeight="true" outlineLevel="0" collapsed="false">
      <c r="A1244" s="11" t="str">
        <f aca="false">TRIM('수출입 실적(품목별)'!A1248)</f>
        <v>2025.01</v>
      </c>
      <c r="B1244" s="17" t="n">
        <f aca="false">IFERROR(VALUE(LEFT($A1244,4)),"")</f>
        <v>2025</v>
      </c>
      <c r="C1244" s="17" t="n">
        <f aca="false">IFERROR(VALUE(RIGHT($A1244,2)),"")</f>
        <v>1</v>
      </c>
      <c r="D1244" s="17" t="n">
        <f aca="false">IFERROR(ROUNDUP($C1244/3,0),"")</f>
        <v>1</v>
      </c>
      <c r="E1244" s="11" t="str">
        <f aca="false">TRIM('수출입 실적(품목별)'!B1248)</f>
        <v>87</v>
      </c>
      <c r="F1244" s="11" t="str">
        <f aca="false">TRIM('수출입 실적(품목별)'!C1248)</f>
        <v>철도용이나 궤도용 외의 차량과 그 부분품ㆍ부속품</v>
      </c>
      <c r="G1244" s="18" t="n">
        <f aca="false">IFERROR(VALUE(SUBSTITUTE(TRIM('수출입 실적(품목별)'!D1248),",","")),"")</f>
        <v>610420.5</v>
      </c>
      <c r="H1244" s="19" t="n">
        <f aca="false">IFERROR(VALUE(SUBSTITUTE(TRIM('수출입 실적(품목별)'!E1248),",","")),"")</f>
        <v>6545132</v>
      </c>
      <c r="I1244" s="18" t="n">
        <f aca="false">IFERROR(VALUE(SUBSTITUTE(TRIM('수출입 실적(품목별)'!F1248),",","")),"")</f>
        <v>85906.2</v>
      </c>
      <c r="J1244" s="19" t="n">
        <f aca="false">IFERROR(VALUE(SUBSTITUTE(TRIM('수출입 실적(품목별)'!G1248),",","")),"")</f>
        <v>1221744</v>
      </c>
      <c r="K1244" s="19" t="n">
        <f aca="false">IFERROR(VALUE(SUBSTITUTE(TRIM('수출입 실적(품목별)'!H1248),",","")),"")</f>
        <v>5323388</v>
      </c>
    </row>
    <row r="1245" customFormat="false" ht="15" hidden="false" customHeight="true" outlineLevel="0" collapsed="false">
      <c r="A1245" s="11" t="str">
        <f aca="false">TRIM('수출입 실적(품목별)'!A1249)</f>
        <v>2025.01</v>
      </c>
      <c r="B1245" s="17" t="n">
        <f aca="false">IFERROR(VALUE(LEFT($A1245,4)),"")</f>
        <v>2025</v>
      </c>
      <c r="C1245" s="17" t="n">
        <f aca="false">IFERROR(VALUE(RIGHT($A1245,2)),"")</f>
        <v>1</v>
      </c>
      <c r="D1245" s="17" t="n">
        <f aca="false">IFERROR(ROUNDUP($C1245/3,0),"")</f>
        <v>1</v>
      </c>
      <c r="E1245" s="11" t="str">
        <f aca="false">TRIM('수출입 실적(품목별)'!B1249)</f>
        <v>88</v>
      </c>
      <c r="F1245" s="11" t="str">
        <f aca="false">TRIM('수출입 실적(품목별)'!C1249)</f>
        <v>항공기와 우주선, 이들의 부분품</v>
      </c>
      <c r="G1245" s="18" t="n">
        <f aca="false">IFERROR(VALUE(SUBSTITUTE(TRIM('수출입 실적(품목별)'!D1249),",","")),"")</f>
        <v>576.9</v>
      </c>
      <c r="H1245" s="19" t="n">
        <f aca="false">IFERROR(VALUE(SUBSTITUTE(TRIM('수출입 실적(품목별)'!E1249),",","")),"")</f>
        <v>321057</v>
      </c>
      <c r="I1245" s="18" t="n">
        <f aca="false">IFERROR(VALUE(SUBSTITUTE(TRIM('수출입 실적(품목별)'!F1249),",","")),"")</f>
        <v>319.1</v>
      </c>
      <c r="J1245" s="19" t="n">
        <f aca="false">IFERROR(VALUE(SUBSTITUTE(TRIM('수출입 실적(품목별)'!G1249),",","")),"")</f>
        <v>257265</v>
      </c>
      <c r="K1245" s="19" t="n">
        <f aca="false">IFERROR(VALUE(SUBSTITUTE(TRIM('수출입 실적(품목별)'!H1249),",","")),"")</f>
        <v>63792</v>
      </c>
    </row>
    <row r="1246" customFormat="false" ht="15" hidden="false" customHeight="true" outlineLevel="0" collapsed="false">
      <c r="A1246" s="11" t="str">
        <f aca="false">TRIM('수출입 실적(품목별)'!A1250)</f>
        <v>2025.01</v>
      </c>
      <c r="B1246" s="17" t="n">
        <f aca="false">IFERROR(VALUE(LEFT($A1246,4)),"")</f>
        <v>2025</v>
      </c>
      <c r="C1246" s="17" t="n">
        <f aca="false">IFERROR(VALUE(RIGHT($A1246,2)),"")</f>
        <v>1</v>
      </c>
      <c r="D1246" s="17" t="n">
        <f aca="false">IFERROR(ROUNDUP($C1246/3,0),"")</f>
        <v>1</v>
      </c>
      <c r="E1246" s="11" t="str">
        <f aca="false">TRIM('수출입 실적(품목별)'!B1250)</f>
        <v>89</v>
      </c>
      <c r="F1246" s="11" t="str">
        <f aca="false">TRIM('수출입 실적(품목별)'!C1250)</f>
        <v>선박과 수상 구조물</v>
      </c>
      <c r="G1246" s="18" t="n">
        <f aca="false">IFERROR(VALUE(SUBSTITUTE(TRIM('수출입 실적(품목별)'!D1250),",","")),"")</f>
        <v>711468.3</v>
      </c>
      <c r="H1246" s="19" t="n">
        <f aca="false">IFERROR(VALUE(SUBSTITUTE(TRIM('수출입 실적(품목별)'!E1250),",","")),"")</f>
        <v>2356716</v>
      </c>
      <c r="I1246" s="18" t="n">
        <f aca="false">IFERROR(VALUE(SUBSTITUTE(TRIM('수출입 실적(품목별)'!F1250),",","")),"")</f>
        <v>132747.4</v>
      </c>
      <c r="J1246" s="19" t="n">
        <f aca="false">IFERROR(VALUE(SUBSTITUTE(TRIM('수출입 실적(품목별)'!G1250),",","")),"")</f>
        <v>261339</v>
      </c>
      <c r="K1246" s="19" t="n">
        <f aca="false">IFERROR(VALUE(SUBSTITUTE(TRIM('수출입 실적(품목별)'!H1250),",","")),"")</f>
        <v>2095377</v>
      </c>
    </row>
    <row r="1247" customFormat="false" ht="15" hidden="false" customHeight="true" outlineLevel="0" collapsed="false">
      <c r="A1247" s="11" t="str">
        <f aca="false">TRIM('수출입 실적(품목별)'!A1251)</f>
        <v>2025.01</v>
      </c>
      <c r="B1247" s="17" t="n">
        <f aca="false">IFERROR(VALUE(LEFT($A1247,4)),"")</f>
        <v>2025</v>
      </c>
      <c r="C1247" s="17" t="n">
        <f aca="false">IFERROR(VALUE(RIGHT($A1247,2)),"")</f>
        <v>1</v>
      </c>
      <c r="D1247" s="17" t="n">
        <f aca="false">IFERROR(ROUNDUP($C1247/3,0),"")</f>
        <v>1</v>
      </c>
      <c r="E1247" s="11" t="str">
        <f aca="false">TRIM('수출입 실적(품목별)'!B1251)</f>
        <v>90</v>
      </c>
      <c r="F1247" s="11" t="str">
        <f aca="false">TRIM('수출입 실적(품목별)'!C1251)</f>
        <v>광학기기ㆍ사진용 기기ㆍ영화용 기기ㆍ측정기기ㆍ검사기기ㆍ정밀기기ㆍ의료용 기기, 이들의 부분품과 부속품</v>
      </c>
      <c r="G1247" s="18" t="n">
        <f aca="false">IFERROR(VALUE(SUBSTITUTE(TRIM('수출입 실적(품목별)'!D1251),",","")),"")</f>
        <v>15345.6</v>
      </c>
      <c r="H1247" s="19" t="n">
        <f aca="false">IFERROR(VALUE(SUBSTITUTE(TRIM('수출입 실적(품목별)'!E1251),",","")),"")</f>
        <v>1133879</v>
      </c>
      <c r="I1247" s="18" t="n">
        <f aca="false">IFERROR(VALUE(SUBSTITUTE(TRIM('수출입 실적(품목별)'!F1251),",","")),"")</f>
        <v>17266.6</v>
      </c>
      <c r="J1247" s="19" t="n">
        <f aca="false">IFERROR(VALUE(SUBSTITUTE(TRIM('수출입 실적(품목별)'!G1251),",","")),"")</f>
        <v>1747222</v>
      </c>
      <c r="K1247" s="19" t="n">
        <f aca="false">IFERROR(VALUE(SUBSTITUTE(TRIM('수출입 실적(품목별)'!H1251),",","")),"")</f>
        <v>-613343</v>
      </c>
    </row>
    <row r="1248" customFormat="false" ht="15" hidden="false" customHeight="true" outlineLevel="0" collapsed="false">
      <c r="A1248" s="11" t="str">
        <f aca="false">TRIM('수출입 실적(품목별)'!A1252)</f>
        <v>2025.01</v>
      </c>
      <c r="B1248" s="17" t="n">
        <f aca="false">IFERROR(VALUE(LEFT($A1248,4)),"")</f>
        <v>2025</v>
      </c>
      <c r="C1248" s="17" t="n">
        <f aca="false">IFERROR(VALUE(RIGHT($A1248,2)),"")</f>
        <v>1</v>
      </c>
      <c r="D1248" s="17" t="n">
        <f aca="false">IFERROR(ROUNDUP($C1248/3,0),"")</f>
        <v>1</v>
      </c>
      <c r="E1248" s="11" t="str">
        <f aca="false">TRIM('수출입 실적(품목별)'!B1252)</f>
        <v>91</v>
      </c>
      <c r="F1248" s="11" t="str">
        <f aca="false">TRIM('수출입 실적(품목별)'!C1252)</f>
        <v>시계와 그 부분품</v>
      </c>
      <c r="G1248" s="18" t="n">
        <f aca="false">IFERROR(VALUE(SUBSTITUTE(TRIM('수출입 실적(품목별)'!D1252),",","")),"")</f>
        <v>16.8</v>
      </c>
      <c r="H1248" s="19" t="n">
        <f aca="false">IFERROR(VALUE(SUBSTITUTE(TRIM('수출입 실적(품목별)'!E1252),",","")),"")</f>
        <v>14422</v>
      </c>
      <c r="I1248" s="18" t="n">
        <f aca="false">IFERROR(VALUE(SUBSTITUTE(TRIM('수출입 실적(품목별)'!F1252),",","")),"")</f>
        <v>409.2</v>
      </c>
      <c r="J1248" s="19" t="n">
        <f aca="false">IFERROR(VALUE(SUBSTITUTE(TRIM('수출입 실적(품목별)'!G1252),",","")),"")</f>
        <v>66332</v>
      </c>
      <c r="K1248" s="19" t="n">
        <f aca="false">IFERROR(VALUE(SUBSTITUTE(TRIM('수출입 실적(품목별)'!H1252),",","")),"")</f>
        <v>-51910</v>
      </c>
    </row>
    <row r="1249" customFormat="false" ht="15" hidden="false" customHeight="true" outlineLevel="0" collapsed="false">
      <c r="A1249" s="11" t="str">
        <f aca="false">TRIM('수출입 실적(품목별)'!A1253)</f>
        <v>2025.01</v>
      </c>
      <c r="B1249" s="17" t="n">
        <f aca="false">IFERROR(VALUE(LEFT($A1249,4)),"")</f>
        <v>2025</v>
      </c>
      <c r="C1249" s="17" t="n">
        <f aca="false">IFERROR(VALUE(RIGHT($A1249,2)),"")</f>
        <v>1</v>
      </c>
      <c r="D1249" s="17" t="n">
        <f aca="false">IFERROR(ROUNDUP($C1249/3,0),"")</f>
        <v>1</v>
      </c>
      <c r="E1249" s="11" t="str">
        <f aca="false">TRIM('수출입 실적(품목별)'!B1253)</f>
        <v>92</v>
      </c>
      <c r="F1249" s="11" t="str">
        <f aca="false">TRIM('수출입 실적(품목별)'!C1253)</f>
        <v>악기와 그 부분품과 부속품</v>
      </c>
      <c r="G1249" s="18" t="n">
        <f aca="false">IFERROR(VALUE(SUBSTITUTE(TRIM('수출입 실적(품목별)'!D1253),",","")),"")</f>
        <v>244.3</v>
      </c>
      <c r="H1249" s="19" t="n">
        <f aca="false">IFERROR(VALUE(SUBSTITUTE(TRIM('수출입 실적(품목별)'!E1253),",","")),"")</f>
        <v>7712</v>
      </c>
      <c r="I1249" s="18" t="n">
        <f aca="false">IFERROR(VALUE(SUBSTITUTE(TRIM('수출입 실적(품목별)'!F1253),",","")),"")</f>
        <v>614.4</v>
      </c>
      <c r="J1249" s="19" t="n">
        <f aca="false">IFERROR(VALUE(SUBSTITUTE(TRIM('수출입 실적(품목별)'!G1253),",","")),"")</f>
        <v>13773</v>
      </c>
      <c r="K1249" s="19" t="n">
        <f aca="false">IFERROR(VALUE(SUBSTITUTE(TRIM('수출입 실적(품목별)'!H1253),",","")),"")</f>
        <v>-6061</v>
      </c>
    </row>
    <row r="1250" customFormat="false" ht="15" hidden="false" customHeight="true" outlineLevel="0" collapsed="false">
      <c r="A1250" s="11" t="str">
        <f aca="false">TRIM('수출입 실적(품목별)'!A1254)</f>
        <v>2025.01</v>
      </c>
      <c r="B1250" s="17" t="n">
        <f aca="false">IFERROR(VALUE(LEFT($A1250,4)),"")</f>
        <v>2025</v>
      </c>
      <c r="C1250" s="17" t="n">
        <f aca="false">IFERROR(VALUE(RIGHT($A1250,2)),"")</f>
        <v>1</v>
      </c>
      <c r="D1250" s="17" t="n">
        <f aca="false">IFERROR(ROUNDUP($C1250/3,0),"")</f>
        <v>1</v>
      </c>
      <c r="E1250" s="11" t="str">
        <f aca="false">TRIM('수출입 실적(품목별)'!B1254)</f>
        <v>93</v>
      </c>
      <c r="F1250" s="11" t="str">
        <f aca="false">TRIM('수출입 실적(품목별)'!C1254)</f>
        <v>무기ㆍ총포탄과 이들의 부분품과 부속품</v>
      </c>
      <c r="G1250" s="18" t="n">
        <f aca="false">IFERROR(VALUE(SUBSTITUTE(TRIM('수출입 실적(품목별)'!D1254),",","")),"")</f>
        <v>935.5</v>
      </c>
      <c r="H1250" s="19" t="n">
        <f aca="false">IFERROR(VALUE(SUBSTITUTE(TRIM('수출입 실적(품목별)'!E1254),",","")),"")</f>
        <v>131749</v>
      </c>
      <c r="I1250" s="18" t="n">
        <f aca="false">IFERROR(VALUE(SUBSTITUTE(TRIM('수출입 실적(품목별)'!F1254),",","")),"")</f>
        <v>190.8</v>
      </c>
      <c r="J1250" s="19" t="n">
        <f aca="false">IFERROR(VALUE(SUBSTITUTE(TRIM('수출입 실적(품목별)'!G1254),",","")),"")</f>
        <v>36972</v>
      </c>
      <c r="K1250" s="19" t="n">
        <f aca="false">IFERROR(VALUE(SUBSTITUTE(TRIM('수출입 실적(품목별)'!H1254),",","")),"")</f>
        <v>94776</v>
      </c>
    </row>
    <row r="1251" customFormat="false" ht="15" hidden="false" customHeight="true" outlineLevel="0" collapsed="false">
      <c r="A1251" s="11" t="str">
        <f aca="false">TRIM('수출입 실적(품목별)'!A1255)</f>
        <v>2025.01</v>
      </c>
      <c r="B1251" s="17" t="n">
        <f aca="false">IFERROR(VALUE(LEFT($A1251,4)),"")</f>
        <v>2025</v>
      </c>
      <c r="C1251" s="17" t="n">
        <f aca="false">IFERROR(VALUE(RIGHT($A1251,2)),"")</f>
        <v>1</v>
      </c>
      <c r="D1251" s="17" t="n">
        <f aca="false">IFERROR(ROUNDUP($C1251/3,0),"")</f>
        <v>1</v>
      </c>
      <c r="E1251" s="11" t="str">
        <f aca="false">TRIM('수출입 실적(품목별)'!B1255)</f>
        <v>94</v>
      </c>
      <c r="F1251" s="11" t="str">
        <f aca="false">TRIM('수출입 실적(품목별)'!C1255)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251" s="18" t="n">
        <f aca="false">IFERROR(VALUE(SUBSTITUTE(TRIM('수출입 실적(품목별)'!D1255),",","")),"")</f>
        <v>13808.4</v>
      </c>
      <c r="H1251" s="19" t="n">
        <f aca="false">IFERROR(VALUE(SUBSTITUTE(TRIM('수출입 실적(품목별)'!E1255),",","")),"")</f>
        <v>94556</v>
      </c>
      <c r="I1251" s="18" t="n">
        <f aca="false">IFERROR(VALUE(SUBSTITUTE(TRIM('수출입 실적(품목별)'!F1255),",","")),"")</f>
        <v>81894.5</v>
      </c>
      <c r="J1251" s="19" t="n">
        <f aca="false">IFERROR(VALUE(SUBSTITUTE(TRIM('수출입 실적(품목별)'!G1255),",","")),"")</f>
        <v>326575</v>
      </c>
      <c r="K1251" s="19" t="n">
        <f aca="false">IFERROR(VALUE(SUBSTITUTE(TRIM('수출입 실적(품목별)'!H1255),",","")),"")</f>
        <v>-232020</v>
      </c>
    </row>
    <row r="1252" customFormat="false" ht="15" hidden="false" customHeight="true" outlineLevel="0" collapsed="false">
      <c r="A1252" s="11" t="str">
        <f aca="false">TRIM('수출입 실적(품목별)'!A1256)</f>
        <v>2025.01</v>
      </c>
      <c r="B1252" s="17" t="n">
        <f aca="false">IFERROR(VALUE(LEFT($A1252,4)),"")</f>
        <v>2025</v>
      </c>
      <c r="C1252" s="17" t="n">
        <f aca="false">IFERROR(VALUE(RIGHT($A1252,2)),"")</f>
        <v>1</v>
      </c>
      <c r="D1252" s="17" t="n">
        <f aca="false">IFERROR(ROUNDUP($C1252/3,0),"")</f>
        <v>1</v>
      </c>
      <c r="E1252" s="11" t="str">
        <f aca="false">TRIM('수출입 실적(품목별)'!B1256)</f>
        <v>95</v>
      </c>
      <c r="F1252" s="11" t="str">
        <f aca="false">TRIM('수출입 실적(품목별)'!C1256)</f>
        <v>완구ㆍ게임용구ㆍ운동용구와 이들의 부분품과 부속품</v>
      </c>
      <c r="G1252" s="18" t="n">
        <f aca="false">IFERROR(VALUE(SUBSTITUTE(TRIM('수출입 실적(품목별)'!D1256),",","")),"")</f>
        <v>2077.5</v>
      </c>
      <c r="H1252" s="19" t="n">
        <f aca="false">IFERROR(VALUE(SUBSTITUTE(TRIM('수출입 실적(품목별)'!E1256),",","")),"")</f>
        <v>42783</v>
      </c>
      <c r="I1252" s="18" t="n">
        <f aca="false">IFERROR(VALUE(SUBSTITUTE(TRIM('수출입 실적(품목별)'!F1256),",","")),"")</f>
        <v>14612.6</v>
      </c>
      <c r="J1252" s="19" t="n">
        <f aca="false">IFERROR(VALUE(SUBSTITUTE(TRIM('수출입 실적(품목별)'!G1256),",","")),"")</f>
        <v>180489</v>
      </c>
      <c r="K1252" s="19" t="n">
        <f aca="false">IFERROR(VALUE(SUBSTITUTE(TRIM('수출입 실적(품목별)'!H1256),",","")),"")</f>
        <v>-137705</v>
      </c>
    </row>
    <row r="1253" customFormat="false" ht="15" hidden="false" customHeight="true" outlineLevel="0" collapsed="false">
      <c r="A1253" s="11" t="str">
        <f aca="false">TRIM('수출입 실적(품목별)'!A1257)</f>
        <v>2025.01</v>
      </c>
      <c r="B1253" s="17" t="n">
        <f aca="false">IFERROR(VALUE(LEFT($A1253,4)),"")</f>
        <v>2025</v>
      </c>
      <c r="C1253" s="17" t="n">
        <f aca="false">IFERROR(VALUE(RIGHT($A1253,2)),"")</f>
        <v>1</v>
      </c>
      <c r="D1253" s="17" t="n">
        <f aca="false">IFERROR(ROUNDUP($C1253/3,0),"")</f>
        <v>1</v>
      </c>
      <c r="E1253" s="11" t="str">
        <f aca="false">TRIM('수출입 실적(품목별)'!B1257)</f>
        <v>96</v>
      </c>
      <c r="F1253" s="11" t="str">
        <f aca="false">TRIM('수출입 실적(품목별)'!C1257)</f>
        <v>잡품</v>
      </c>
      <c r="G1253" s="18" t="n">
        <f aca="false">IFERROR(VALUE(SUBSTITUTE(TRIM('수출입 실적(품목별)'!D1257),",","")),"")</f>
        <v>1911.2</v>
      </c>
      <c r="H1253" s="19" t="n">
        <f aca="false">IFERROR(VALUE(SUBSTITUTE(TRIM('수출입 실적(품목별)'!E1257),",","")),"")</f>
        <v>31615</v>
      </c>
      <c r="I1253" s="18" t="n">
        <f aca="false">IFERROR(VALUE(SUBSTITUTE(TRIM('수출입 실적(품목별)'!F1257),",","")),"")</f>
        <v>11354.7</v>
      </c>
      <c r="J1253" s="19" t="n">
        <f aca="false">IFERROR(VALUE(SUBSTITUTE(TRIM('수출입 실적(품목별)'!G1257),",","")),"")</f>
        <v>93112</v>
      </c>
      <c r="K1253" s="19" t="n">
        <f aca="false">IFERROR(VALUE(SUBSTITUTE(TRIM('수출입 실적(품목별)'!H1257),",","")),"")</f>
        <v>-61497</v>
      </c>
    </row>
    <row r="1254" customFormat="false" ht="15" hidden="false" customHeight="true" outlineLevel="0" collapsed="false">
      <c r="A1254" s="11" t="str">
        <f aca="false">TRIM('수출입 실적(품목별)'!A1258)</f>
        <v>2025.01</v>
      </c>
      <c r="B1254" s="17" t="n">
        <f aca="false">IFERROR(VALUE(LEFT($A1254,4)),"")</f>
        <v>2025</v>
      </c>
      <c r="C1254" s="17" t="n">
        <f aca="false">IFERROR(VALUE(RIGHT($A1254,2)),"")</f>
        <v>1</v>
      </c>
      <c r="D1254" s="17" t="n">
        <f aca="false">IFERROR(ROUNDUP($C1254/3,0),"")</f>
        <v>1</v>
      </c>
      <c r="E1254" s="11" t="str">
        <f aca="false">TRIM('수출입 실적(품목별)'!B1258)</f>
        <v>97</v>
      </c>
      <c r="F1254" s="11" t="str">
        <f aca="false">TRIM('수출입 실적(품목별)'!C1258)</f>
        <v>예술품ㆍ수집품ㆍ골동품</v>
      </c>
      <c r="G1254" s="18" t="n">
        <f aca="false">IFERROR(VALUE(SUBSTITUTE(TRIM('수출입 실적(품목별)'!D1258),",","")),"")</f>
        <v>13.9</v>
      </c>
      <c r="H1254" s="19" t="n">
        <f aca="false">IFERROR(VALUE(SUBSTITUTE(TRIM('수출입 실적(품목별)'!E1258),",","")),"")</f>
        <v>19833</v>
      </c>
      <c r="I1254" s="18" t="n">
        <f aca="false">IFERROR(VALUE(SUBSTITUTE(TRIM('수출입 실적(품목별)'!F1258),",","")),"")</f>
        <v>49.3</v>
      </c>
      <c r="J1254" s="19" t="n">
        <f aca="false">IFERROR(VALUE(SUBSTITUTE(TRIM('수출입 실적(품목별)'!G1258),",","")),"")</f>
        <v>12363</v>
      </c>
      <c r="K1254" s="19" t="n">
        <f aca="false">IFERROR(VALUE(SUBSTITUTE(TRIM('수출입 실적(품목별)'!H1258),",","")),"")</f>
        <v>7470</v>
      </c>
    </row>
    <row r="1255" customFormat="false" ht="15" hidden="false" customHeight="true" outlineLevel="0" collapsed="false">
      <c r="A1255" s="11" t="str">
        <f aca="false">TRIM('수출입 실적(품목별)'!A1259)</f>
        <v>2025.02</v>
      </c>
      <c r="B1255" s="17" t="n">
        <f aca="false">IFERROR(VALUE(LEFT($A1255,4)),"")</f>
        <v>2025</v>
      </c>
      <c r="C1255" s="17" t="n">
        <f aca="false">IFERROR(VALUE(RIGHT($A1255,2)),"")</f>
        <v>2</v>
      </c>
      <c r="D1255" s="17" t="n">
        <f aca="false">IFERROR(ROUNDUP($C1255/3,0),"")</f>
        <v>1</v>
      </c>
      <c r="E1255" s="11" t="str">
        <f aca="false">TRIM('수출입 실적(품목별)'!B1259)</f>
        <v>01</v>
      </c>
      <c r="F1255" s="11" t="str">
        <f aca="false">TRIM('수출입 실적(품목별)'!C1259)</f>
        <v>살아 있는 동물</v>
      </c>
      <c r="G1255" s="18" t="n">
        <f aca="false">IFERROR(VALUE(SUBSTITUTE(TRIM('수출입 실적(품목별)'!D1259),",","")),"")</f>
        <v>1.6</v>
      </c>
      <c r="H1255" s="19" t="n">
        <f aca="false">IFERROR(VALUE(SUBSTITUTE(TRIM('수출입 실적(품목별)'!E1259),",","")),"")</f>
        <v>443</v>
      </c>
      <c r="I1255" s="18" t="n">
        <f aca="false">IFERROR(VALUE(SUBSTITUTE(TRIM('수출입 실적(품목별)'!F1259),",","")),"")</f>
        <v>42</v>
      </c>
      <c r="J1255" s="19" t="n">
        <f aca="false">IFERROR(VALUE(SUBSTITUTE(TRIM('수출입 실적(품목별)'!G1259),",","")),"")</f>
        <v>4043</v>
      </c>
      <c r="K1255" s="19" t="n">
        <f aca="false">IFERROR(VALUE(SUBSTITUTE(TRIM('수출입 실적(품목별)'!H1259),",","")),"")</f>
        <v>-3600</v>
      </c>
    </row>
    <row r="1256" customFormat="false" ht="15" hidden="false" customHeight="true" outlineLevel="0" collapsed="false">
      <c r="A1256" s="11" t="str">
        <f aca="false">TRIM('수출입 실적(품목별)'!A1260)</f>
        <v>2025.02</v>
      </c>
      <c r="B1256" s="17" t="n">
        <f aca="false">IFERROR(VALUE(LEFT($A1256,4)),"")</f>
        <v>2025</v>
      </c>
      <c r="C1256" s="17" t="n">
        <f aca="false">IFERROR(VALUE(RIGHT($A1256,2)),"")</f>
        <v>2</v>
      </c>
      <c r="D1256" s="17" t="n">
        <f aca="false">IFERROR(ROUNDUP($C1256/3,0),"")</f>
        <v>1</v>
      </c>
      <c r="E1256" s="11" t="str">
        <f aca="false">TRIM('수출입 실적(품목별)'!B1260)</f>
        <v>02</v>
      </c>
      <c r="F1256" s="11" t="str">
        <f aca="false">TRIM('수출입 실적(품목별)'!C1260)</f>
        <v>육과 식용 설육(屑肉)</v>
      </c>
      <c r="G1256" s="18" t="n">
        <f aca="false">IFERROR(VALUE(SUBSTITUTE(TRIM('수출입 실적(품목별)'!D1260),",","")),"")</f>
        <v>5787.9</v>
      </c>
      <c r="H1256" s="19" t="n">
        <f aca="false">IFERROR(VALUE(SUBSTITUTE(TRIM('수출입 실적(품목별)'!E1260),",","")),"")</f>
        <v>8080</v>
      </c>
      <c r="I1256" s="18" t="n">
        <f aca="false">IFERROR(VALUE(SUBSTITUTE(TRIM('수출입 실적(품목별)'!F1260),",","")),"")</f>
        <v>110435.5</v>
      </c>
      <c r="J1256" s="19" t="n">
        <f aca="false">IFERROR(VALUE(SUBSTITUTE(TRIM('수출입 실적(품목별)'!G1260),",","")),"")</f>
        <v>548202</v>
      </c>
      <c r="K1256" s="19" t="n">
        <f aca="false">IFERROR(VALUE(SUBSTITUTE(TRIM('수출입 실적(품목별)'!H1260),",","")),"")</f>
        <v>-540122</v>
      </c>
    </row>
    <row r="1257" customFormat="false" ht="15" hidden="false" customHeight="true" outlineLevel="0" collapsed="false">
      <c r="A1257" s="11" t="str">
        <f aca="false">TRIM('수출입 실적(품목별)'!A1261)</f>
        <v>2025.02</v>
      </c>
      <c r="B1257" s="17" t="n">
        <f aca="false">IFERROR(VALUE(LEFT($A1257,4)),"")</f>
        <v>2025</v>
      </c>
      <c r="C1257" s="17" t="n">
        <f aca="false">IFERROR(VALUE(RIGHT($A1257,2)),"")</f>
        <v>2</v>
      </c>
      <c r="D1257" s="17" t="n">
        <f aca="false">IFERROR(ROUNDUP($C1257/3,0),"")</f>
        <v>1</v>
      </c>
      <c r="E1257" s="11" t="str">
        <f aca="false">TRIM('수출입 실적(품목별)'!B1261)</f>
        <v>03</v>
      </c>
      <c r="F1257" s="11" t="str">
        <f aca="false">TRIM('수출입 실적(품목별)'!C1261)</f>
        <v>어류ㆍ갑각류ㆍ연체동물과 그 밖의 수생(水生) 무척추동물</v>
      </c>
      <c r="G1257" s="18" t="n">
        <f aca="false">IFERROR(VALUE(SUBSTITUTE(TRIM('수출입 실적(품목별)'!D1261),",","")),"")</f>
        <v>51247</v>
      </c>
      <c r="H1257" s="19" t="n">
        <f aca="false">IFERROR(VALUE(SUBSTITUTE(TRIM('수출입 실적(품목별)'!E1261),",","")),"")</f>
        <v>140969</v>
      </c>
      <c r="I1257" s="18" t="n">
        <f aca="false">IFERROR(VALUE(SUBSTITUTE(TRIM('수출입 실적(품목별)'!F1261),",","")),"")</f>
        <v>96459.5</v>
      </c>
      <c r="J1257" s="19" t="n">
        <f aca="false">IFERROR(VALUE(SUBSTITUTE(TRIM('수출입 실적(품목별)'!G1261),",","")),"")</f>
        <v>427360</v>
      </c>
      <c r="K1257" s="19" t="n">
        <f aca="false">IFERROR(VALUE(SUBSTITUTE(TRIM('수출입 실적(품목별)'!H1261),",","")),"")</f>
        <v>-286390</v>
      </c>
    </row>
    <row r="1258" customFormat="false" ht="15" hidden="false" customHeight="true" outlineLevel="0" collapsed="false">
      <c r="A1258" s="11" t="str">
        <f aca="false">TRIM('수출입 실적(품목별)'!A1262)</f>
        <v>2025.02</v>
      </c>
      <c r="B1258" s="17" t="n">
        <f aca="false">IFERROR(VALUE(LEFT($A1258,4)),"")</f>
        <v>2025</v>
      </c>
      <c r="C1258" s="17" t="n">
        <f aca="false">IFERROR(VALUE(RIGHT($A1258,2)),"")</f>
        <v>2</v>
      </c>
      <c r="D1258" s="17" t="n">
        <f aca="false">IFERROR(ROUNDUP($C1258/3,0),"")</f>
        <v>1</v>
      </c>
      <c r="E1258" s="11" t="str">
        <f aca="false">TRIM('수출입 실적(품목별)'!B1262)</f>
        <v>04</v>
      </c>
      <c r="F1258" s="11" t="str">
        <f aca="false">TRIM('수출입 실적(품목별)'!C1262)</f>
        <v>낙농품, 새의 알, 천연꿀, 다른 류로 분류되지 않은 식용인 동물성 생산품</v>
      </c>
      <c r="G1258" s="18" t="n">
        <f aca="false">IFERROR(VALUE(SUBSTITUTE(TRIM('수출입 실적(품목별)'!D1262),",","")),"")</f>
        <v>2688.4</v>
      </c>
      <c r="H1258" s="19" t="n">
        <f aca="false">IFERROR(VALUE(SUBSTITUTE(TRIM('수출입 실적(품목별)'!E1262),",","")),"")</f>
        <v>6784</v>
      </c>
      <c r="I1258" s="18" t="n">
        <f aca="false">IFERROR(VALUE(SUBSTITUTE(TRIM('수출입 실적(품목별)'!F1262),",","")),"")</f>
        <v>29963.6</v>
      </c>
      <c r="J1258" s="19" t="n">
        <f aca="false">IFERROR(VALUE(SUBSTITUTE(TRIM('수출입 실적(품목별)'!G1262),",","")),"")</f>
        <v>131211</v>
      </c>
      <c r="K1258" s="19" t="n">
        <f aca="false">IFERROR(VALUE(SUBSTITUTE(TRIM('수출입 실적(품목별)'!H1262),",","")),"")</f>
        <v>-124427</v>
      </c>
    </row>
    <row r="1259" customFormat="false" ht="15" hidden="false" customHeight="true" outlineLevel="0" collapsed="false">
      <c r="A1259" s="11" t="str">
        <f aca="false">TRIM('수출입 실적(품목별)'!A1263)</f>
        <v>2025.02</v>
      </c>
      <c r="B1259" s="17" t="n">
        <f aca="false">IFERROR(VALUE(LEFT($A1259,4)),"")</f>
        <v>2025</v>
      </c>
      <c r="C1259" s="17" t="n">
        <f aca="false">IFERROR(VALUE(RIGHT($A1259,2)),"")</f>
        <v>2</v>
      </c>
      <c r="D1259" s="17" t="n">
        <f aca="false">IFERROR(ROUNDUP($C1259/3,0),"")</f>
        <v>1</v>
      </c>
      <c r="E1259" s="11" t="str">
        <f aca="false">TRIM('수출입 실적(품목별)'!B1263)</f>
        <v>05</v>
      </c>
      <c r="F1259" s="11" t="str">
        <f aca="false">TRIM('수출입 실적(품목별)'!C1263)</f>
        <v>다른 류로 분류되지 않은 동물성 생산품</v>
      </c>
      <c r="G1259" s="18" t="n">
        <f aca="false">IFERROR(VALUE(SUBSTITUTE(TRIM('수출입 실적(품목별)'!D1263),",","")),"")</f>
        <v>1182.6</v>
      </c>
      <c r="H1259" s="19" t="n">
        <f aca="false">IFERROR(VALUE(SUBSTITUTE(TRIM('수출입 실적(품목별)'!E1263),",","")),"")</f>
        <v>8292</v>
      </c>
      <c r="I1259" s="18" t="n">
        <f aca="false">IFERROR(VALUE(SUBSTITUTE(TRIM('수출입 실적(품목별)'!F1263),",","")),"")</f>
        <v>4296.5</v>
      </c>
      <c r="J1259" s="19" t="n">
        <f aca="false">IFERROR(VALUE(SUBSTITUTE(TRIM('수출입 실적(품목별)'!G1263),",","")),"")</f>
        <v>23264</v>
      </c>
      <c r="K1259" s="19" t="n">
        <f aca="false">IFERROR(VALUE(SUBSTITUTE(TRIM('수출입 실적(품목별)'!H1263),",","")),"")</f>
        <v>-14972</v>
      </c>
    </row>
    <row r="1260" customFormat="false" ht="15" hidden="false" customHeight="true" outlineLevel="0" collapsed="false">
      <c r="A1260" s="11" t="str">
        <f aca="false">TRIM('수출입 실적(품목별)'!A1264)</f>
        <v>2025.02</v>
      </c>
      <c r="B1260" s="17" t="n">
        <f aca="false">IFERROR(VALUE(LEFT($A1260,4)),"")</f>
        <v>2025</v>
      </c>
      <c r="C1260" s="17" t="n">
        <f aca="false">IFERROR(VALUE(RIGHT($A1260,2)),"")</f>
        <v>2</v>
      </c>
      <c r="D1260" s="17" t="n">
        <f aca="false">IFERROR(ROUNDUP($C1260/3,0),"")</f>
        <v>1</v>
      </c>
      <c r="E1260" s="11" t="str">
        <f aca="false">TRIM('수출입 실적(품목별)'!B1264)</f>
        <v>06</v>
      </c>
      <c r="F1260" s="11" t="str">
        <f aca="false">TRIM('수출입 실적(품목별)'!C1264)</f>
        <v>살아 있는 수목과 그 밖의 식물, 인경(鱗莖)ㆍ뿌리와 이와 유사한 물품, 절화(切花)와 장식용 잎</v>
      </c>
      <c r="G1260" s="18" t="n">
        <f aca="false">IFERROR(VALUE(SUBSTITUTE(TRIM('수출입 실적(품목별)'!D1264),",","")),"")</f>
        <v>188.1</v>
      </c>
      <c r="H1260" s="19" t="n">
        <f aca="false">IFERROR(VALUE(SUBSTITUTE(TRIM('수출입 실적(품목별)'!E1264),",","")),"")</f>
        <v>305</v>
      </c>
      <c r="I1260" s="18" t="n">
        <f aca="false">IFERROR(VALUE(SUBSTITUTE(TRIM('수출입 실적(품목별)'!F1264),",","")),"")</f>
        <v>7268.6</v>
      </c>
      <c r="J1260" s="19" t="n">
        <f aca="false">IFERROR(VALUE(SUBSTITUTE(TRIM('수출입 실적(품목별)'!G1264),",","")),"")</f>
        <v>16111</v>
      </c>
      <c r="K1260" s="19" t="n">
        <f aca="false">IFERROR(VALUE(SUBSTITUTE(TRIM('수출입 실적(품목별)'!H1264),",","")),"")</f>
        <v>-15807</v>
      </c>
    </row>
    <row r="1261" customFormat="false" ht="15" hidden="false" customHeight="true" outlineLevel="0" collapsed="false">
      <c r="A1261" s="11" t="str">
        <f aca="false">TRIM('수출입 실적(품목별)'!A1265)</f>
        <v>2025.02</v>
      </c>
      <c r="B1261" s="17" t="n">
        <f aca="false">IFERROR(VALUE(LEFT($A1261,4)),"")</f>
        <v>2025</v>
      </c>
      <c r="C1261" s="17" t="n">
        <f aca="false">IFERROR(VALUE(RIGHT($A1261,2)),"")</f>
        <v>2</v>
      </c>
      <c r="D1261" s="17" t="n">
        <f aca="false">IFERROR(ROUNDUP($C1261/3,0),"")</f>
        <v>1</v>
      </c>
      <c r="E1261" s="11" t="str">
        <f aca="false">TRIM('수출입 실적(품목별)'!B1265)</f>
        <v>07</v>
      </c>
      <c r="F1261" s="11" t="str">
        <f aca="false">TRIM('수출입 실적(품목별)'!C1265)</f>
        <v>식용의 채소ㆍ뿌리ㆍ괴경(塊莖)</v>
      </c>
      <c r="G1261" s="18" t="n">
        <f aca="false">IFERROR(VALUE(SUBSTITUTE(TRIM('수출입 실적(품목별)'!D1265),",","")),"")</f>
        <v>2566.4</v>
      </c>
      <c r="H1261" s="19" t="n">
        <f aca="false">IFERROR(VALUE(SUBSTITUTE(TRIM('수출입 실적(품목별)'!E1265),",","")),"")</f>
        <v>7535</v>
      </c>
      <c r="I1261" s="18" t="n">
        <f aca="false">IFERROR(VALUE(SUBSTITUTE(TRIM('수출입 실적(품목별)'!F1265),",","")),"")</f>
        <v>91279.8</v>
      </c>
      <c r="J1261" s="19" t="n">
        <f aca="false">IFERROR(VALUE(SUBSTITUTE(TRIM('수출입 실적(품목별)'!G1265),",","")),"")</f>
        <v>68479</v>
      </c>
      <c r="K1261" s="19" t="n">
        <f aca="false">IFERROR(VALUE(SUBSTITUTE(TRIM('수출입 실적(품목별)'!H1265),",","")),"")</f>
        <v>-60944</v>
      </c>
    </row>
    <row r="1262" customFormat="false" ht="15" hidden="false" customHeight="true" outlineLevel="0" collapsed="false">
      <c r="A1262" s="11" t="str">
        <f aca="false">TRIM('수출입 실적(품목별)'!A1266)</f>
        <v>2025.02</v>
      </c>
      <c r="B1262" s="17" t="n">
        <f aca="false">IFERROR(VALUE(LEFT($A1262,4)),"")</f>
        <v>2025</v>
      </c>
      <c r="C1262" s="17" t="n">
        <f aca="false">IFERROR(VALUE(RIGHT($A1262,2)),"")</f>
        <v>2</v>
      </c>
      <c r="D1262" s="17" t="n">
        <f aca="false">IFERROR(ROUNDUP($C1262/3,0),"")</f>
        <v>1</v>
      </c>
      <c r="E1262" s="11" t="str">
        <f aca="false">TRIM('수출입 실적(품목별)'!B1266)</f>
        <v>08</v>
      </c>
      <c r="F1262" s="11" t="str">
        <f aca="false">TRIM('수출입 실적(품목별)'!C1266)</f>
        <v>식용의 과실과 견과류, 감귤류ㆍ멜론의 껍질</v>
      </c>
      <c r="G1262" s="18" t="n">
        <f aca="false">IFERROR(VALUE(SUBSTITUTE(TRIM('수출입 실적(품목별)'!D1266),",","")),"")</f>
        <v>2161</v>
      </c>
      <c r="H1262" s="19" t="n">
        <f aca="false">IFERROR(VALUE(SUBSTITUTE(TRIM('수출입 실적(품목별)'!E1266),",","")),"")</f>
        <v>20385</v>
      </c>
      <c r="I1262" s="18" t="n">
        <f aca="false">IFERROR(VALUE(SUBSTITUTE(TRIM('수출입 실적(품목별)'!F1266),",","")),"")</f>
        <v>74049.7</v>
      </c>
      <c r="J1262" s="19" t="n">
        <f aca="false">IFERROR(VALUE(SUBSTITUTE(TRIM('수출입 실적(품목별)'!G1266),",","")),"")</f>
        <v>162167</v>
      </c>
      <c r="K1262" s="19" t="n">
        <f aca="false">IFERROR(VALUE(SUBSTITUTE(TRIM('수출입 실적(품목별)'!H1266),",","")),"")</f>
        <v>-141783</v>
      </c>
    </row>
    <row r="1263" customFormat="false" ht="15" hidden="false" customHeight="true" outlineLevel="0" collapsed="false">
      <c r="A1263" s="11" t="str">
        <f aca="false">TRIM('수출입 실적(품목별)'!A1267)</f>
        <v>2025.02</v>
      </c>
      <c r="B1263" s="17" t="n">
        <f aca="false">IFERROR(VALUE(LEFT($A1263,4)),"")</f>
        <v>2025</v>
      </c>
      <c r="C1263" s="17" t="n">
        <f aca="false">IFERROR(VALUE(RIGHT($A1263,2)),"")</f>
        <v>2</v>
      </c>
      <c r="D1263" s="17" t="n">
        <f aca="false">IFERROR(ROUNDUP($C1263/3,0),"")</f>
        <v>1</v>
      </c>
      <c r="E1263" s="11" t="str">
        <f aca="false">TRIM('수출입 실적(품목별)'!B1267)</f>
        <v>09</v>
      </c>
      <c r="F1263" s="11" t="str">
        <f aca="false">TRIM('수출입 실적(품목별)'!C1267)</f>
        <v>커피ㆍ차ㆍ마테(maté)ㆍ향신료</v>
      </c>
      <c r="G1263" s="18" t="n">
        <f aca="false">IFERROR(VALUE(SUBSTITUTE(TRIM('수출입 실적(품목별)'!D1267),",","")),"")</f>
        <v>446.3</v>
      </c>
      <c r="H1263" s="19" t="n">
        <f aca="false">IFERROR(VALUE(SUBSTITUTE(TRIM('수출입 실적(품목별)'!E1267),",","")),"")</f>
        <v>3441</v>
      </c>
      <c r="I1263" s="18" t="n">
        <f aca="false">IFERROR(VALUE(SUBSTITUTE(TRIM('수출입 실적(품목별)'!F1267),",","")),"")</f>
        <v>20212.9</v>
      </c>
      <c r="J1263" s="19" t="n">
        <f aca="false">IFERROR(VALUE(SUBSTITUTE(TRIM('수출입 실적(품목별)'!G1267),",","")),"")</f>
        <v>139655</v>
      </c>
      <c r="K1263" s="19" t="n">
        <f aca="false">IFERROR(VALUE(SUBSTITUTE(TRIM('수출입 실적(품목별)'!H1267),",","")),"")</f>
        <v>-136214</v>
      </c>
    </row>
    <row r="1264" customFormat="false" ht="15" hidden="false" customHeight="true" outlineLevel="0" collapsed="false">
      <c r="A1264" s="11" t="str">
        <f aca="false">TRIM('수출입 실적(품목별)'!A1268)</f>
        <v>2025.02</v>
      </c>
      <c r="B1264" s="17" t="n">
        <f aca="false">IFERROR(VALUE(LEFT($A1264,4)),"")</f>
        <v>2025</v>
      </c>
      <c r="C1264" s="17" t="n">
        <f aca="false">IFERROR(VALUE(RIGHT($A1264,2)),"")</f>
        <v>2</v>
      </c>
      <c r="D1264" s="17" t="n">
        <f aca="false">IFERROR(ROUNDUP($C1264/3,0),"")</f>
        <v>1</v>
      </c>
      <c r="E1264" s="11" t="str">
        <f aca="false">TRIM('수출입 실적(품목별)'!B1268)</f>
        <v>10</v>
      </c>
      <c r="F1264" s="11" t="str">
        <f aca="false">TRIM('수출입 실적(품목별)'!C1268)</f>
        <v>곡물</v>
      </c>
      <c r="G1264" s="18" t="n">
        <f aca="false">IFERROR(VALUE(SUBSTITUTE(TRIM('수출입 실적(품목별)'!D1268),",","")),"")</f>
        <v>1432.7</v>
      </c>
      <c r="H1264" s="19" t="n">
        <f aca="false">IFERROR(VALUE(SUBSTITUTE(TRIM('수출입 실적(품목별)'!E1268),",","")),"")</f>
        <v>1211</v>
      </c>
      <c r="I1264" s="18" t="n">
        <f aca="false">IFERROR(VALUE(SUBSTITUTE(TRIM('수출입 실적(품목별)'!F1268),",","")),"")</f>
        <v>1419950.3</v>
      </c>
      <c r="J1264" s="19" t="n">
        <f aca="false">IFERROR(VALUE(SUBSTITUTE(TRIM('수출입 실적(품목별)'!G1268),",","")),"")</f>
        <v>391628</v>
      </c>
      <c r="K1264" s="19" t="n">
        <f aca="false">IFERROR(VALUE(SUBSTITUTE(TRIM('수출입 실적(품목별)'!H1268),",","")),"")</f>
        <v>-390417</v>
      </c>
    </row>
    <row r="1265" customFormat="false" ht="15" hidden="false" customHeight="true" outlineLevel="0" collapsed="false">
      <c r="A1265" s="11" t="str">
        <f aca="false">TRIM('수출입 실적(품목별)'!A1269)</f>
        <v>2025.02</v>
      </c>
      <c r="B1265" s="17" t="n">
        <f aca="false">IFERROR(VALUE(LEFT($A1265,4)),"")</f>
        <v>2025</v>
      </c>
      <c r="C1265" s="17" t="n">
        <f aca="false">IFERROR(VALUE(RIGHT($A1265,2)),"")</f>
        <v>2</v>
      </c>
      <c r="D1265" s="17" t="n">
        <f aca="false">IFERROR(ROUNDUP($C1265/3,0),"")</f>
        <v>1</v>
      </c>
      <c r="E1265" s="11" t="str">
        <f aca="false">TRIM('수출입 실적(품목별)'!B1269)</f>
        <v>11</v>
      </c>
      <c r="F1265" s="11" t="str">
        <f aca="false">TRIM('수출입 실적(품목별)'!C1269)</f>
        <v>제분공업의 생산품과 맥아, 전분, 이눌린(inulin), 밀의 글루텐(gluten)</v>
      </c>
      <c r="G1265" s="18" t="n">
        <f aca="false">IFERROR(VALUE(SUBSTITUTE(TRIM('수출입 실적(품목별)'!D1269),",","")),"")</f>
        <v>5286.5</v>
      </c>
      <c r="H1265" s="19" t="n">
        <f aca="false">IFERROR(VALUE(SUBSTITUTE(TRIM('수출입 실적(품목별)'!E1269),",","")),"")</f>
        <v>3611</v>
      </c>
      <c r="I1265" s="18" t="n">
        <f aca="false">IFERROR(VALUE(SUBSTITUTE(TRIM('수출입 실적(품목별)'!F1269),",","")),"")</f>
        <v>31340</v>
      </c>
      <c r="J1265" s="19" t="n">
        <f aca="false">IFERROR(VALUE(SUBSTITUTE(TRIM('수출입 실적(품목별)'!G1269),",","")),"")</f>
        <v>26043</v>
      </c>
      <c r="K1265" s="19" t="n">
        <f aca="false">IFERROR(VALUE(SUBSTITUTE(TRIM('수출입 실적(품목별)'!H1269),",","")),"")</f>
        <v>-22431</v>
      </c>
    </row>
    <row r="1266" customFormat="false" ht="15" hidden="false" customHeight="true" outlineLevel="0" collapsed="false">
      <c r="A1266" s="11" t="str">
        <f aca="false">TRIM('수출입 실적(품목별)'!A1270)</f>
        <v>2025.02</v>
      </c>
      <c r="B1266" s="17" t="n">
        <f aca="false">IFERROR(VALUE(LEFT($A1266,4)),"")</f>
        <v>2025</v>
      </c>
      <c r="C1266" s="17" t="n">
        <f aca="false">IFERROR(VALUE(RIGHT($A1266,2)),"")</f>
        <v>2</v>
      </c>
      <c r="D1266" s="17" t="n">
        <f aca="false">IFERROR(ROUNDUP($C1266/3,0),"")</f>
        <v>1</v>
      </c>
      <c r="E1266" s="11" t="str">
        <f aca="false">TRIM('수출입 실적(품목별)'!B1270)</f>
        <v>12</v>
      </c>
      <c r="F1266" s="11" t="str">
        <f aca="false">TRIM('수출입 실적(품목별)'!C1270)</f>
        <v>채유(採油)에 적합한 종자와 과실, 각종 종자와 과실, 공업용ㆍ의약용 식물, 짚과 사료용 식물</v>
      </c>
      <c r="G1266" s="18" t="n">
        <f aca="false">IFERROR(VALUE(SUBSTITUTE(TRIM('수출입 실적(품목별)'!D1270),",","")),"")</f>
        <v>3543.5</v>
      </c>
      <c r="H1266" s="19" t="n">
        <f aca="false">IFERROR(VALUE(SUBSTITUTE(TRIM('수출입 실적(품목별)'!E1270),",","")),"")</f>
        <v>66717</v>
      </c>
      <c r="I1266" s="18" t="n">
        <f aca="false">IFERROR(VALUE(SUBSTITUTE(TRIM('수출입 실적(품목별)'!F1270),",","")),"")</f>
        <v>312951.6</v>
      </c>
      <c r="J1266" s="19" t="n">
        <f aca="false">IFERROR(VALUE(SUBSTITUTE(TRIM('수출입 실적(품목별)'!G1270),",","")),"")</f>
        <v>178559</v>
      </c>
      <c r="K1266" s="19" t="n">
        <f aca="false">IFERROR(VALUE(SUBSTITUTE(TRIM('수출입 실적(품목별)'!H1270),",","")),"")</f>
        <v>-111842</v>
      </c>
    </row>
    <row r="1267" customFormat="false" ht="15" hidden="false" customHeight="true" outlineLevel="0" collapsed="false">
      <c r="A1267" s="11" t="str">
        <f aca="false">TRIM('수출입 실적(품목별)'!A1271)</f>
        <v>2025.02</v>
      </c>
      <c r="B1267" s="17" t="n">
        <f aca="false">IFERROR(VALUE(LEFT($A1267,4)),"")</f>
        <v>2025</v>
      </c>
      <c r="C1267" s="17" t="n">
        <f aca="false">IFERROR(VALUE(RIGHT($A1267,2)),"")</f>
        <v>2</v>
      </c>
      <c r="D1267" s="17" t="n">
        <f aca="false">IFERROR(ROUNDUP($C1267/3,0),"")</f>
        <v>1</v>
      </c>
      <c r="E1267" s="11" t="str">
        <f aca="false">TRIM('수출입 실적(품목별)'!B1271)</f>
        <v>13</v>
      </c>
      <c r="F1267" s="11" t="str">
        <f aca="false">TRIM('수출입 실적(품목별)'!C1271)</f>
        <v>락(lac), 검ㆍ수지ㆍ그 밖의 식물성 수액과 추출물(extract)</v>
      </c>
      <c r="G1267" s="18" t="n">
        <f aca="false">IFERROR(VALUE(SUBSTITUTE(TRIM('수출입 실적(품목별)'!D1271),",","")),"")</f>
        <v>312.2</v>
      </c>
      <c r="H1267" s="19" t="n">
        <f aca="false">IFERROR(VALUE(SUBSTITUTE(TRIM('수출입 실적(품목별)'!E1271),",","")),"")</f>
        <v>7993</v>
      </c>
      <c r="I1267" s="18" t="n">
        <f aca="false">IFERROR(VALUE(SUBSTITUTE(TRIM('수출입 실적(품목별)'!F1271),",","")),"")</f>
        <v>8966.5</v>
      </c>
      <c r="J1267" s="19" t="n">
        <f aca="false">IFERROR(VALUE(SUBSTITUTE(TRIM('수출입 실적(품목별)'!G1271),",","")),"")</f>
        <v>27221</v>
      </c>
      <c r="K1267" s="19" t="n">
        <f aca="false">IFERROR(VALUE(SUBSTITUTE(TRIM('수출입 실적(품목별)'!H1271),",","")),"")</f>
        <v>-19228</v>
      </c>
    </row>
    <row r="1268" customFormat="false" ht="15" hidden="false" customHeight="true" outlineLevel="0" collapsed="false">
      <c r="A1268" s="11" t="str">
        <f aca="false">TRIM('수출입 실적(품목별)'!A1272)</f>
        <v>2025.02</v>
      </c>
      <c r="B1268" s="17" t="n">
        <f aca="false">IFERROR(VALUE(LEFT($A1268,4)),"")</f>
        <v>2025</v>
      </c>
      <c r="C1268" s="17" t="n">
        <f aca="false">IFERROR(VALUE(RIGHT($A1268,2)),"")</f>
        <v>2</v>
      </c>
      <c r="D1268" s="17" t="n">
        <f aca="false">IFERROR(ROUNDUP($C1268/3,0),"")</f>
        <v>1</v>
      </c>
      <c r="E1268" s="11" t="str">
        <f aca="false">TRIM('수출입 실적(품목별)'!B1272)</f>
        <v>14</v>
      </c>
      <c r="F1268" s="11" t="str">
        <f aca="false">TRIM('수출입 실적(품목별)'!C1272)</f>
        <v>식물성 편조물(編組物)용 재료와 다른 류로 분류되지 않은 식물성 생산품</v>
      </c>
      <c r="G1268" s="18" t="n">
        <f aca="false">IFERROR(VALUE(SUBSTITUTE(TRIM('수출입 실적(품목별)'!D1272),",","")),"")</f>
        <v>28.3</v>
      </c>
      <c r="H1268" s="19" t="n">
        <f aca="false">IFERROR(VALUE(SUBSTITUTE(TRIM('수출입 실적(품목별)'!E1272),",","")),"")</f>
        <v>35</v>
      </c>
      <c r="I1268" s="18" t="n">
        <f aca="false">IFERROR(VALUE(SUBSTITUTE(TRIM('수출입 실적(품목별)'!F1272),",","")),"")</f>
        <v>13180.9</v>
      </c>
      <c r="J1268" s="19" t="n">
        <f aca="false">IFERROR(VALUE(SUBSTITUTE(TRIM('수출입 실적(품목별)'!G1272),",","")),"")</f>
        <v>4521</v>
      </c>
      <c r="K1268" s="19" t="n">
        <f aca="false">IFERROR(VALUE(SUBSTITUTE(TRIM('수출입 실적(품목별)'!H1272),",","")),"")</f>
        <v>-4485</v>
      </c>
    </row>
    <row r="1269" customFormat="false" ht="15" hidden="false" customHeight="true" outlineLevel="0" collapsed="false">
      <c r="A1269" s="11" t="str">
        <f aca="false">TRIM('수출입 실적(품목별)'!A1273)</f>
        <v>2025.02</v>
      </c>
      <c r="B1269" s="17" t="n">
        <f aca="false">IFERROR(VALUE(LEFT($A1269,4)),"")</f>
        <v>2025</v>
      </c>
      <c r="C1269" s="17" t="n">
        <f aca="false">IFERROR(VALUE(RIGHT($A1269,2)),"")</f>
        <v>2</v>
      </c>
      <c r="D1269" s="17" t="n">
        <f aca="false">IFERROR(ROUNDUP($C1269/3,0),"")</f>
        <v>1</v>
      </c>
      <c r="E1269" s="11" t="str">
        <f aca="false">TRIM('수출입 실적(품목별)'!B1273)</f>
        <v>15</v>
      </c>
      <c r="F1269" s="11" t="str">
        <f aca="false">TRIM('수출입 실적(품목별)'!C1273)</f>
        <v>동물성ㆍ식물성ㆍ미생물성 지방과 기름 및이들의 분해생산물, 조제한 식용 지방과 동물성ㆍ식물성 왁스</v>
      </c>
      <c r="G1269" s="18" t="n">
        <f aca="false">IFERROR(VALUE(SUBSTITUTE(TRIM('수출입 실적(품목별)'!D1273),",","")),"")</f>
        <v>17616.6</v>
      </c>
      <c r="H1269" s="19" t="n">
        <f aca="false">IFERROR(VALUE(SUBSTITUTE(TRIM('수출입 실적(품목별)'!E1273),",","")),"")</f>
        <v>21126</v>
      </c>
      <c r="I1269" s="18" t="n">
        <f aca="false">IFERROR(VALUE(SUBSTITUTE(TRIM('수출입 실적(품목별)'!F1273),",","")),"")</f>
        <v>130255.5</v>
      </c>
      <c r="J1269" s="19" t="n">
        <f aca="false">IFERROR(VALUE(SUBSTITUTE(TRIM('수출입 실적(품목별)'!G1273),",","")),"")</f>
        <v>188031</v>
      </c>
      <c r="K1269" s="19" t="n">
        <f aca="false">IFERROR(VALUE(SUBSTITUTE(TRIM('수출입 실적(품목별)'!H1273),",","")),"")</f>
        <v>-166905</v>
      </c>
    </row>
    <row r="1270" customFormat="false" ht="15" hidden="false" customHeight="true" outlineLevel="0" collapsed="false">
      <c r="A1270" s="11" t="str">
        <f aca="false">TRIM('수출입 실적(품목별)'!A1274)</f>
        <v>2025.02</v>
      </c>
      <c r="B1270" s="17" t="n">
        <f aca="false">IFERROR(VALUE(LEFT($A1270,4)),"")</f>
        <v>2025</v>
      </c>
      <c r="C1270" s="17" t="n">
        <f aca="false">IFERROR(VALUE(RIGHT($A1270,2)),"")</f>
        <v>2</v>
      </c>
      <c r="D1270" s="17" t="n">
        <f aca="false">IFERROR(ROUNDUP($C1270/3,0),"")</f>
        <v>1</v>
      </c>
      <c r="E1270" s="11" t="str">
        <f aca="false">TRIM('수출입 실적(품목별)'!B1274)</f>
        <v>16</v>
      </c>
      <c r="F1270" s="11" t="str">
        <f aca="false">TRIM('수출입 실적(품목별)'!C1274)</f>
        <v>육류ㆍ어류ㆍ갑각류ㆍ연체동물이나 그 밖의 수생(水生) 무척추동물 또는 곤충의 조제품</v>
      </c>
      <c r="G1270" s="18" t="n">
        <f aca="false">IFERROR(VALUE(SUBSTITUTE(TRIM('수출입 실적(품목별)'!D1274),",","")),"")</f>
        <v>4638.4</v>
      </c>
      <c r="H1270" s="19" t="n">
        <f aca="false">IFERROR(VALUE(SUBSTITUTE(TRIM('수출입 실적(품목별)'!E1274),",","")),"")</f>
        <v>25083</v>
      </c>
      <c r="I1270" s="18" t="n">
        <f aca="false">IFERROR(VALUE(SUBSTITUTE(TRIM('수출입 실적(품목별)'!F1274),",","")),"")</f>
        <v>13560.8</v>
      </c>
      <c r="J1270" s="19" t="n">
        <f aca="false">IFERROR(VALUE(SUBSTITUTE(TRIM('수출입 실적(품목별)'!G1274),",","")),"")</f>
        <v>75910</v>
      </c>
      <c r="K1270" s="19" t="n">
        <f aca="false">IFERROR(VALUE(SUBSTITUTE(TRIM('수출입 실적(품목별)'!H1274),",","")),"")</f>
        <v>-50828</v>
      </c>
    </row>
    <row r="1271" customFormat="false" ht="15" hidden="false" customHeight="true" outlineLevel="0" collapsed="false">
      <c r="A1271" s="11" t="str">
        <f aca="false">TRIM('수출입 실적(품목별)'!A1275)</f>
        <v>2025.02</v>
      </c>
      <c r="B1271" s="17" t="n">
        <f aca="false">IFERROR(VALUE(LEFT($A1271,4)),"")</f>
        <v>2025</v>
      </c>
      <c r="C1271" s="17" t="n">
        <f aca="false">IFERROR(VALUE(RIGHT($A1271,2)),"")</f>
        <v>2</v>
      </c>
      <c r="D1271" s="17" t="n">
        <f aca="false">IFERROR(ROUNDUP($C1271/3,0),"")</f>
        <v>1</v>
      </c>
      <c r="E1271" s="11" t="str">
        <f aca="false">TRIM('수출입 실적(품목별)'!B1275)</f>
        <v>17</v>
      </c>
      <c r="F1271" s="11" t="str">
        <f aca="false">TRIM('수출입 실적(품목별)'!C1275)</f>
        <v>당류(糖類)와 설탕과자</v>
      </c>
      <c r="G1271" s="18" t="n">
        <f aca="false">IFERROR(VALUE(SUBSTITUTE(TRIM('수출입 실적(품목별)'!D1275),",","")),"")</f>
        <v>20186.5</v>
      </c>
      <c r="H1271" s="19" t="n">
        <f aca="false">IFERROR(VALUE(SUBSTITUTE(TRIM('수출입 실적(품목별)'!E1275),",","")),"")</f>
        <v>22146</v>
      </c>
      <c r="I1271" s="18" t="n">
        <f aca="false">IFERROR(VALUE(SUBSTITUTE(TRIM('수출입 실적(품목별)'!F1275),",","")),"")</f>
        <v>150980.9</v>
      </c>
      <c r="J1271" s="19" t="n">
        <f aca="false">IFERROR(VALUE(SUBSTITUTE(TRIM('수출입 실적(품목별)'!G1275),",","")),"")</f>
        <v>104388</v>
      </c>
      <c r="K1271" s="19" t="n">
        <f aca="false">IFERROR(VALUE(SUBSTITUTE(TRIM('수출입 실적(품목별)'!H1275),",","")),"")</f>
        <v>-82242</v>
      </c>
    </row>
    <row r="1272" customFormat="false" ht="15" hidden="false" customHeight="true" outlineLevel="0" collapsed="false">
      <c r="A1272" s="11" t="str">
        <f aca="false">TRIM('수출입 실적(품목별)'!A1276)</f>
        <v>2025.02</v>
      </c>
      <c r="B1272" s="17" t="n">
        <f aca="false">IFERROR(VALUE(LEFT($A1272,4)),"")</f>
        <v>2025</v>
      </c>
      <c r="C1272" s="17" t="n">
        <f aca="false">IFERROR(VALUE(RIGHT($A1272,2)),"")</f>
        <v>2</v>
      </c>
      <c r="D1272" s="17" t="n">
        <f aca="false">IFERROR(ROUNDUP($C1272/3,0),"")</f>
        <v>1</v>
      </c>
      <c r="E1272" s="11" t="str">
        <f aca="false">TRIM('수출입 실적(품목별)'!B1276)</f>
        <v>18</v>
      </c>
      <c r="F1272" s="11" t="str">
        <f aca="false">TRIM('수출입 실적(품목별)'!C1276)</f>
        <v>코코아와 그 조제품</v>
      </c>
      <c r="G1272" s="18" t="n">
        <f aca="false">IFERROR(VALUE(SUBSTITUTE(TRIM('수출입 실적(품목별)'!D1276),",","")),"")</f>
        <v>2704.4</v>
      </c>
      <c r="H1272" s="19" t="n">
        <f aca="false">IFERROR(VALUE(SUBSTITUTE(TRIM('수출입 실적(품목별)'!E1276),",","")),"")</f>
        <v>8120</v>
      </c>
      <c r="I1272" s="18" t="n">
        <f aca="false">IFERROR(VALUE(SUBSTITUTE(TRIM('수출입 실적(품목별)'!F1276),",","")),"")</f>
        <v>6059.6</v>
      </c>
      <c r="J1272" s="19" t="n">
        <f aca="false">IFERROR(VALUE(SUBSTITUTE(TRIM('수출입 실적(품목별)'!G1276),",","")),"")</f>
        <v>54697</v>
      </c>
      <c r="K1272" s="19" t="n">
        <f aca="false">IFERROR(VALUE(SUBSTITUTE(TRIM('수출입 실적(품목별)'!H1276),",","")),"")</f>
        <v>-46577</v>
      </c>
    </row>
    <row r="1273" customFormat="false" ht="15" hidden="false" customHeight="true" outlineLevel="0" collapsed="false">
      <c r="A1273" s="11" t="str">
        <f aca="false">TRIM('수출입 실적(품목별)'!A1277)</f>
        <v>2025.02</v>
      </c>
      <c r="B1273" s="17" t="n">
        <f aca="false">IFERROR(VALUE(LEFT($A1273,4)),"")</f>
        <v>2025</v>
      </c>
      <c r="C1273" s="17" t="n">
        <f aca="false">IFERROR(VALUE(RIGHT($A1273,2)),"")</f>
        <v>2</v>
      </c>
      <c r="D1273" s="17" t="n">
        <f aca="false">IFERROR(ROUNDUP($C1273/3,0),"")</f>
        <v>1</v>
      </c>
      <c r="E1273" s="11" t="str">
        <f aca="false">TRIM('수출입 실적(품목별)'!B1277)</f>
        <v>19</v>
      </c>
      <c r="F1273" s="11" t="str">
        <f aca="false">TRIM('수출입 실적(품목별)'!C1277)</f>
        <v>곡물ㆍ고운 가루ㆍ전분ㆍ밀크의 조제품과 베이커리 제품</v>
      </c>
      <c r="G1273" s="18" t="n">
        <f aca="false">IFERROR(VALUE(SUBSTITUTE(TRIM('수출입 실적(품목별)'!D1277),",","")),"")</f>
        <v>55422.4</v>
      </c>
      <c r="H1273" s="19" t="n">
        <f aca="false">IFERROR(VALUE(SUBSTITUTE(TRIM('수출입 실적(품목별)'!E1277),",","")),"")</f>
        <v>218456</v>
      </c>
      <c r="I1273" s="18" t="n">
        <f aca="false">IFERROR(VALUE(SUBSTITUTE(TRIM('수출입 실적(품목별)'!F1277),",","")),"")</f>
        <v>26383.2</v>
      </c>
      <c r="J1273" s="19" t="n">
        <f aca="false">IFERROR(VALUE(SUBSTITUTE(TRIM('수출입 실적(품목별)'!G1277),",","")),"")</f>
        <v>87391</v>
      </c>
      <c r="K1273" s="19" t="n">
        <f aca="false">IFERROR(VALUE(SUBSTITUTE(TRIM('수출입 실적(품목별)'!H1277),",","")),"")</f>
        <v>131066</v>
      </c>
    </row>
    <row r="1274" customFormat="false" ht="15" hidden="false" customHeight="true" outlineLevel="0" collapsed="false">
      <c r="A1274" s="11" t="str">
        <f aca="false">TRIM('수출입 실적(품목별)'!A1278)</f>
        <v>2025.02</v>
      </c>
      <c r="B1274" s="17" t="n">
        <f aca="false">IFERROR(VALUE(LEFT($A1274,4)),"")</f>
        <v>2025</v>
      </c>
      <c r="C1274" s="17" t="n">
        <f aca="false">IFERROR(VALUE(RIGHT($A1274,2)),"")</f>
        <v>2</v>
      </c>
      <c r="D1274" s="17" t="n">
        <f aca="false">IFERROR(ROUNDUP($C1274/3,0),"")</f>
        <v>1</v>
      </c>
      <c r="E1274" s="11" t="str">
        <f aca="false">TRIM('수출입 실적(품목별)'!B1278)</f>
        <v>20</v>
      </c>
      <c r="F1274" s="11" t="str">
        <f aca="false">TRIM('수출입 실적(품목별)'!C1278)</f>
        <v>채소ㆍ과실ㆍ견과류나 식물의그 밖의 부분의 조제품</v>
      </c>
      <c r="G1274" s="18" t="n">
        <f aca="false">IFERROR(VALUE(SUBSTITUTE(TRIM('수출입 실적(품목별)'!D1278),",","")),"")</f>
        <v>9868.2</v>
      </c>
      <c r="H1274" s="19" t="n">
        <f aca="false">IFERROR(VALUE(SUBSTITUTE(TRIM('수출입 실적(품목별)'!E1278),",","")),"")</f>
        <v>83282</v>
      </c>
      <c r="I1274" s="18" t="n">
        <f aca="false">IFERROR(VALUE(SUBSTITUTE(TRIM('수출입 실적(품목별)'!F1278),",","")),"")</f>
        <v>88278.5</v>
      </c>
      <c r="J1274" s="19" t="n">
        <f aca="false">IFERROR(VALUE(SUBSTITUTE(TRIM('수출입 실적(품목별)'!G1278),",","")),"")</f>
        <v>128617</v>
      </c>
      <c r="K1274" s="19" t="n">
        <f aca="false">IFERROR(VALUE(SUBSTITUTE(TRIM('수출입 실적(품목별)'!H1278),",","")),"")</f>
        <v>-45335</v>
      </c>
    </row>
    <row r="1275" customFormat="false" ht="15" hidden="false" customHeight="true" outlineLevel="0" collapsed="false">
      <c r="A1275" s="11" t="str">
        <f aca="false">TRIM('수출입 실적(품목별)'!A1279)</f>
        <v>2025.02</v>
      </c>
      <c r="B1275" s="17" t="n">
        <f aca="false">IFERROR(VALUE(LEFT($A1275,4)),"")</f>
        <v>2025</v>
      </c>
      <c r="C1275" s="17" t="n">
        <f aca="false">IFERROR(VALUE(RIGHT($A1275,2)),"")</f>
        <v>2</v>
      </c>
      <c r="D1275" s="17" t="n">
        <f aca="false">IFERROR(ROUNDUP($C1275/3,0),"")</f>
        <v>1</v>
      </c>
      <c r="E1275" s="11" t="str">
        <f aca="false">TRIM('수출입 실적(품목별)'!B1279)</f>
        <v>21</v>
      </c>
      <c r="F1275" s="11" t="str">
        <f aca="false">TRIM('수출입 실적(품목별)'!C1279)</f>
        <v>각종 조제 식료품</v>
      </c>
      <c r="G1275" s="18" t="n">
        <f aca="false">IFERROR(VALUE(SUBSTITUTE(TRIM('수출입 실적(품목별)'!D1279),",","")),"")</f>
        <v>35833.9</v>
      </c>
      <c r="H1275" s="19" t="n">
        <f aca="false">IFERROR(VALUE(SUBSTITUTE(TRIM('수출입 실적(품목별)'!E1279),",","")),"")</f>
        <v>145905</v>
      </c>
      <c r="I1275" s="18" t="n">
        <f aca="false">IFERROR(VALUE(SUBSTITUTE(TRIM('수출입 실적(품목별)'!F1279),",","")),"")</f>
        <v>28525.1</v>
      </c>
      <c r="J1275" s="19" t="n">
        <f aca="false">IFERROR(VALUE(SUBSTITUTE(TRIM('수출입 실적(품목별)'!G1279),",","")),"")</f>
        <v>219240</v>
      </c>
      <c r="K1275" s="19" t="n">
        <f aca="false">IFERROR(VALUE(SUBSTITUTE(TRIM('수출입 실적(품목별)'!H1279),",","")),"")</f>
        <v>-73335</v>
      </c>
    </row>
    <row r="1276" customFormat="false" ht="15" hidden="false" customHeight="true" outlineLevel="0" collapsed="false">
      <c r="A1276" s="11" t="str">
        <f aca="false">TRIM('수출입 실적(품목별)'!A1280)</f>
        <v>2025.02</v>
      </c>
      <c r="B1276" s="17" t="n">
        <f aca="false">IFERROR(VALUE(LEFT($A1276,4)),"")</f>
        <v>2025</v>
      </c>
      <c r="C1276" s="17" t="n">
        <f aca="false">IFERROR(VALUE(RIGHT($A1276,2)),"")</f>
        <v>2</v>
      </c>
      <c r="D1276" s="17" t="n">
        <f aca="false">IFERROR(ROUNDUP($C1276/3,0),"")</f>
        <v>1</v>
      </c>
      <c r="E1276" s="11" t="str">
        <f aca="false">TRIM('수출입 실적(품목별)'!B1280)</f>
        <v>22</v>
      </c>
      <c r="F1276" s="11" t="str">
        <f aca="false">TRIM('수출입 실적(품목별)'!C1280)</f>
        <v>음료ㆍ주류ㆍ식초</v>
      </c>
      <c r="G1276" s="18" t="n">
        <f aca="false">IFERROR(VALUE(SUBSTITUTE(TRIM('수출입 실적(품목별)'!D1280),",","")),"")</f>
        <v>77465.4</v>
      </c>
      <c r="H1276" s="19" t="n">
        <f aca="false">IFERROR(VALUE(SUBSTITUTE(TRIM('수출입 실적(품목별)'!E1280),",","")),"")</f>
        <v>88886</v>
      </c>
      <c r="I1276" s="18" t="n">
        <f aca="false">IFERROR(VALUE(SUBSTITUTE(TRIM('수출입 실적(품목별)'!F1280),",","")),"")</f>
        <v>61528.5</v>
      </c>
      <c r="J1276" s="19" t="n">
        <f aca="false">IFERROR(VALUE(SUBSTITUTE(TRIM('수출입 실적(품목별)'!G1280),",","")),"")</f>
        <v>103801</v>
      </c>
      <c r="K1276" s="19" t="n">
        <f aca="false">IFERROR(VALUE(SUBSTITUTE(TRIM('수출입 실적(품목별)'!H1280),",","")),"")</f>
        <v>-14916</v>
      </c>
    </row>
    <row r="1277" customFormat="false" ht="15" hidden="false" customHeight="true" outlineLevel="0" collapsed="false">
      <c r="A1277" s="11" t="str">
        <f aca="false">TRIM('수출입 실적(품목별)'!A1281)</f>
        <v>2025.02</v>
      </c>
      <c r="B1277" s="17" t="n">
        <f aca="false">IFERROR(VALUE(LEFT($A1277,4)),"")</f>
        <v>2025</v>
      </c>
      <c r="C1277" s="17" t="n">
        <f aca="false">IFERROR(VALUE(RIGHT($A1277,2)),"")</f>
        <v>2</v>
      </c>
      <c r="D1277" s="17" t="n">
        <f aca="false">IFERROR(ROUNDUP($C1277/3,0),"")</f>
        <v>1</v>
      </c>
      <c r="E1277" s="11" t="str">
        <f aca="false">TRIM('수출입 실적(품목별)'!B1281)</f>
        <v>23</v>
      </c>
      <c r="F1277" s="11" t="str">
        <f aca="false">TRIM('수출입 실적(품목별)'!C1281)</f>
        <v>식품 공업에서 생기는 잔재물과 웨이스트(waste), 조제 사료</v>
      </c>
      <c r="G1277" s="18" t="n">
        <f aca="false">IFERROR(VALUE(SUBSTITUTE(TRIM('수출입 실적(품목별)'!D1281),",","")),"")</f>
        <v>22209.6</v>
      </c>
      <c r="H1277" s="19" t="n">
        <f aca="false">IFERROR(VALUE(SUBSTITUTE(TRIM('수출입 실적(품목별)'!E1281),",","")),"")</f>
        <v>27304</v>
      </c>
      <c r="I1277" s="18" t="n">
        <f aca="false">IFERROR(VALUE(SUBSTITUTE(TRIM('수출입 실적(품목별)'!F1281),",","")),"")</f>
        <v>542751.3</v>
      </c>
      <c r="J1277" s="19" t="n">
        <f aca="false">IFERROR(VALUE(SUBSTITUTE(TRIM('수출입 실적(품목별)'!G1281),",","")),"")</f>
        <v>177064</v>
      </c>
      <c r="K1277" s="19" t="n">
        <f aca="false">IFERROR(VALUE(SUBSTITUTE(TRIM('수출입 실적(품목별)'!H1281),",","")),"")</f>
        <v>-149759</v>
      </c>
    </row>
    <row r="1278" customFormat="false" ht="15" hidden="false" customHeight="true" outlineLevel="0" collapsed="false">
      <c r="A1278" s="11" t="str">
        <f aca="false">TRIM('수출입 실적(품목별)'!A1282)</f>
        <v>2025.02</v>
      </c>
      <c r="B1278" s="17" t="n">
        <f aca="false">IFERROR(VALUE(LEFT($A1278,4)),"")</f>
        <v>2025</v>
      </c>
      <c r="C1278" s="17" t="n">
        <f aca="false">IFERROR(VALUE(RIGHT($A1278,2)),"")</f>
        <v>2</v>
      </c>
      <c r="D1278" s="17" t="n">
        <f aca="false">IFERROR(ROUNDUP($C1278/3,0),"")</f>
        <v>1</v>
      </c>
      <c r="E1278" s="11" t="str">
        <f aca="false">TRIM('수출입 실적(품목별)'!B1282)</f>
        <v>24</v>
      </c>
      <c r="F1278" s="11" t="str">
        <f aca="false">TRIM('수출입 실적(품목별)'!C1282)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278" s="18" t="n">
        <f aca="false">IFERROR(VALUE(SUBSTITUTE(TRIM('수출입 실적(품목별)'!D1282),",","")),"")</f>
        <v>9526.9</v>
      </c>
      <c r="H1278" s="19" t="n">
        <f aca="false">IFERROR(VALUE(SUBSTITUTE(TRIM('수출입 실적(품목별)'!E1282),",","")),"")</f>
        <v>102512</v>
      </c>
      <c r="I1278" s="18" t="n">
        <f aca="false">IFERROR(VALUE(SUBSTITUTE(TRIM('수출입 실적(품목별)'!F1282),",","")),"")</f>
        <v>6612.1</v>
      </c>
      <c r="J1278" s="19" t="n">
        <f aca="false">IFERROR(VALUE(SUBSTITUTE(TRIM('수출입 실적(품목별)'!G1282),",","")),"")</f>
        <v>52166</v>
      </c>
      <c r="K1278" s="19" t="n">
        <f aca="false">IFERROR(VALUE(SUBSTITUTE(TRIM('수출입 실적(품목별)'!H1282),",","")),"")</f>
        <v>50347</v>
      </c>
    </row>
    <row r="1279" customFormat="false" ht="15" hidden="false" customHeight="true" outlineLevel="0" collapsed="false">
      <c r="A1279" s="11" t="str">
        <f aca="false">TRIM('수출입 실적(품목별)'!A1283)</f>
        <v>2025.02</v>
      </c>
      <c r="B1279" s="17" t="n">
        <f aca="false">IFERROR(VALUE(LEFT($A1279,4)),"")</f>
        <v>2025</v>
      </c>
      <c r="C1279" s="17" t="n">
        <f aca="false">IFERROR(VALUE(RIGHT($A1279,2)),"")</f>
        <v>2</v>
      </c>
      <c r="D1279" s="17" t="n">
        <f aca="false">IFERROR(ROUNDUP($C1279/3,0),"")</f>
        <v>1</v>
      </c>
      <c r="E1279" s="11" t="str">
        <f aca="false">TRIM('수출입 실적(품목별)'!B1283)</f>
        <v>25</v>
      </c>
      <c r="F1279" s="11" t="str">
        <f aca="false">TRIM('수출입 실적(품목별)'!C1283)</f>
        <v>소금, 황, 토석류(土石類), 석고ㆍ석회ㆍ시멘트</v>
      </c>
      <c r="G1279" s="18" t="n">
        <f aca="false">IFERROR(VALUE(SUBSTITUTE(TRIM('수출입 실적(품목별)'!D1283),",","")),"")</f>
        <v>522645.7</v>
      </c>
      <c r="H1279" s="19" t="n">
        <f aca="false">IFERROR(VALUE(SUBSTITUTE(TRIM('수출입 실적(품목별)'!E1283),",","")),"")</f>
        <v>33160</v>
      </c>
      <c r="I1279" s="18" t="n">
        <f aca="false">IFERROR(VALUE(SUBSTITUTE(TRIM('수출입 실적(품목별)'!F1283),",","")),"")</f>
        <v>849523</v>
      </c>
      <c r="J1279" s="19" t="n">
        <f aca="false">IFERROR(VALUE(SUBSTITUTE(TRIM('수출입 실적(품목별)'!G1283),",","")),"")</f>
        <v>66016</v>
      </c>
      <c r="K1279" s="19" t="n">
        <f aca="false">IFERROR(VALUE(SUBSTITUTE(TRIM('수출입 실적(품목별)'!H1283),",","")),"")</f>
        <v>-32857</v>
      </c>
    </row>
    <row r="1280" customFormat="false" ht="15" hidden="false" customHeight="true" outlineLevel="0" collapsed="false">
      <c r="A1280" s="11" t="str">
        <f aca="false">TRIM('수출입 실적(품목별)'!A1284)</f>
        <v>2025.02</v>
      </c>
      <c r="B1280" s="17" t="n">
        <f aca="false">IFERROR(VALUE(LEFT($A1280,4)),"")</f>
        <v>2025</v>
      </c>
      <c r="C1280" s="17" t="n">
        <f aca="false">IFERROR(VALUE(RIGHT($A1280,2)),"")</f>
        <v>2</v>
      </c>
      <c r="D1280" s="17" t="n">
        <f aca="false">IFERROR(ROUNDUP($C1280/3,0),"")</f>
        <v>1</v>
      </c>
      <c r="E1280" s="11" t="str">
        <f aca="false">TRIM('수출입 실적(품목별)'!B1284)</f>
        <v>26</v>
      </c>
      <c r="F1280" s="11" t="str">
        <f aca="false">TRIM('수출입 실적(품목별)'!C1284)</f>
        <v>광(鑛)ㆍ슬래그(slag)ㆍ회(灰)</v>
      </c>
      <c r="G1280" s="18" t="n">
        <f aca="false">IFERROR(VALUE(SUBSTITUTE(TRIM('수출입 실적(품목별)'!D1284),",","")),"")</f>
        <v>125010.4</v>
      </c>
      <c r="H1280" s="19" t="n">
        <f aca="false">IFERROR(VALUE(SUBSTITUTE(TRIM('수출입 실적(품목별)'!E1284),",","")),"")</f>
        <v>32416</v>
      </c>
      <c r="I1280" s="18" t="n">
        <f aca="false">IFERROR(VALUE(SUBSTITUTE(TRIM('수출입 실적(품목별)'!F1284),",","")),"")</f>
        <v>5667674.3</v>
      </c>
      <c r="J1280" s="19" t="n">
        <f aca="false">IFERROR(VALUE(SUBSTITUTE(TRIM('수출입 실적(품목별)'!G1284),",","")),"")</f>
        <v>1318056</v>
      </c>
      <c r="K1280" s="19" t="n">
        <f aca="false">IFERROR(VALUE(SUBSTITUTE(TRIM('수출입 실적(품목별)'!H1284),",","")),"")</f>
        <v>-1285640</v>
      </c>
    </row>
    <row r="1281" customFormat="false" ht="15" hidden="false" customHeight="true" outlineLevel="0" collapsed="false">
      <c r="A1281" s="11" t="str">
        <f aca="false">TRIM('수출입 실적(품목별)'!A1285)</f>
        <v>2025.02</v>
      </c>
      <c r="B1281" s="17" t="n">
        <f aca="false">IFERROR(VALUE(LEFT($A1281,4)),"")</f>
        <v>2025</v>
      </c>
      <c r="C1281" s="17" t="n">
        <f aca="false">IFERROR(VALUE(RIGHT($A1281,2)),"")</f>
        <v>2</v>
      </c>
      <c r="D1281" s="17" t="n">
        <f aca="false">IFERROR(ROUNDUP($C1281/3,0),"")</f>
        <v>1</v>
      </c>
      <c r="E1281" s="11" t="str">
        <f aca="false">TRIM('수출입 실적(품목별)'!B1285)</f>
        <v>27</v>
      </c>
      <c r="F1281" s="11" t="str">
        <f aca="false">TRIM('수출입 실적(품목별)'!C1285)</f>
        <v>광물성 연료ㆍ광물유(鑛物油)와 이들의 증류물, 역청(瀝靑)물질, 광물성 왁스</v>
      </c>
      <c r="G1281" s="18" t="n">
        <f aca="false">IFERROR(VALUE(SUBSTITUTE(TRIM('수출입 실적(품목별)'!D1285),",","")),"")</f>
        <v>5648813.3</v>
      </c>
      <c r="H1281" s="19" t="n">
        <f aca="false">IFERROR(VALUE(SUBSTITUTE(TRIM('수출입 실적(품목별)'!E1285),",","")),"")</f>
        <v>4072937</v>
      </c>
      <c r="I1281" s="18" t="n">
        <f aca="false">IFERROR(VALUE(SUBSTITUTE(TRIM('수출입 실적(품목별)'!F1285),",","")),"")</f>
        <v>25643239.5</v>
      </c>
      <c r="J1281" s="19" t="n">
        <f aca="false">IFERROR(VALUE(SUBSTITUTE(TRIM('수출입 실적(품목별)'!G1285),",","")),"")</f>
        <v>11387996</v>
      </c>
      <c r="K1281" s="19" t="n">
        <f aca="false">IFERROR(VALUE(SUBSTITUTE(TRIM('수출입 실적(품목별)'!H1285),",","")),"")</f>
        <v>-7315059</v>
      </c>
    </row>
    <row r="1282" customFormat="false" ht="15" hidden="false" customHeight="true" outlineLevel="0" collapsed="false">
      <c r="A1282" s="11" t="str">
        <f aca="false">TRIM('수출입 실적(품목별)'!A1286)</f>
        <v>2025.02</v>
      </c>
      <c r="B1282" s="17" t="n">
        <f aca="false">IFERROR(VALUE(LEFT($A1282,4)),"")</f>
        <v>2025</v>
      </c>
      <c r="C1282" s="17" t="n">
        <f aca="false">IFERROR(VALUE(RIGHT($A1282,2)),"")</f>
        <v>2</v>
      </c>
      <c r="D1282" s="17" t="n">
        <f aca="false">IFERROR(ROUNDUP($C1282/3,0),"")</f>
        <v>1</v>
      </c>
      <c r="E1282" s="11" t="str">
        <f aca="false">TRIM('수출입 실적(품목별)'!B1286)</f>
        <v>28</v>
      </c>
      <c r="F1282" s="11" t="str">
        <f aca="false">TRIM('수출입 실적(품목별)'!C1286)</f>
        <v>무기화학품, 귀금속ㆍ희토류(稀土類)금속ㆍ방사성원소ㆍ동위원소의 유기화합물이나 무기화합물</v>
      </c>
      <c r="G1282" s="18" t="n">
        <f aca="false">IFERROR(VALUE(SUBSTITUTE(TRIM('수출입 실적(품목별)'!D1286),",","")),"")</f>
        <v>395413.8</v>
      </c>
      <c r="H1282" s="19" t="n">
        <f aca="false">IFERROR(VALUE(SUBSTITUTE(TRIM('수출입 실적(품목별)'!E1286),",","")),"")</f>
        <v>714507</v>
      </c>
      <c r="I1282" s="18" t="n">
        <f aca="false">IFERROR(VALUE(SUBSTITUTE(TRIM('수출입 실적(품목별)'!F1286),",","")),"")</f>
        <v>351113.1</v>
      </c>
      <c r="J1282" s="19" t="n">
        <f aca="false">IFERROR(VALUE(SUBSTITUTE(TRIM('수출입 실적(품목별)'!G1286),",","")),"")</f>
        <v>935074</v>
      </c>
      <c r="K1282" s="19" t="n">
        <f aca="false">IFERROR(VALUE(SUBSTITUTE(TRIM('수출입 실적(품목별)'!H1286),",","")),"")</f>
        <v>-220567</v>
      </c>
    </row>
    <row r="1283" customFormat="false" ht="15" hidden="false" customHeight="true" outlineLevel="0" collapsed="false">
      <c r="A1283" s="11" t="str">
        <f aca="false">TRIM('수출입 실적(품목별)'!A1287)</f>
        <v>2025.02</v>
      </c>
      <c r="B1283" s="17" t="n">
        <f aca="false">IFERROR(VALUE(LEFT($A1283,4)),"")</f>
        <v>2025</v>
      </c>
      <c r="C1283" s="17" t="n">
        <f aca="false">IFERROR(VALUE(RIGHT($A1283,2)),"")</f>
        <v>2</v>
      </c>
      <c r="D1283" s="17" t="n">
        <f aca="false">IFERROR(ROUNDUP($C1283/3,0),"")</f>
        <v>1</v>
      </c>
      <c r="E1283" s="11" t="str">
        <f aca="false">TRIM('수출입 실적(품목별)'!B1287)</f>
        <v>29</v>
      </c>
      <c r="F1283" s="11" t="str">
        <f aca="false">TRIM('수출입 실적(품목별)'!C1287)</f>
        <v>유기화학품</v>
      </c>
      <c r="G1283" s="18" t="n">
        <f aca="false">IFERROR(VALUE(SUBSTITUTE(TRIM('수출입 실적(품목별)'!D1287),",","")),"")</f>
        <v>1645560.3</v>
      </c>
      <c r="H1283" s="19" t="n">
        <f aca="false">IFERROR(VALUE(SUBSTITUTE(TRIM('수출입 실적(품목별)'!E1287),",","")),"")</f>
        <v>1720428</v>
      </c>
      <c r="I1283" s="18" t="n">
        <f aca="false">IFERROR(VALUE(SUBSTITUTE(TRIM('수출입 실적(품목별)'!F1287),",","")),"")</f>
        <v>782621.8</v>
      </c>
      <c r="J1283" s="19" t="n">
        <f aca="false">IFERROR(VALUE(SUBSTITUTE(TRIM('수출입 실적(품목별)'!G1287),",","")),"")</f>
        <v>1246525</v>
      </c>
      <c r="K1283" s="19" t="n">
        <f aca="false">IFERROR(VALUE(SUBSTITUTE(TRIM('수출입 실적(품목별)'!H1287),",","")),"")</f>
        <v>473904</v>
      </c>
    </row>
    <row r="1284" customFormat="false" ht="15" hidden="false" customHeight="true" outlineLevel="0" collapsed="false">
      <c r="A1284" s="11" t="str">
        <f aca="false">TRIM('수출입 실적(품목별)'!A1288)</f>
        <v>2025.02</v>
      </c>
      <c r="B1284" s="17" t="n">
        <f aca="false">IFERROR(VALUE(LEFT($A1284,4)),"")</f>
        <v>2025</v>
      </c>
      <c r="C1284" s="17" t="n">
        <f aca="false">IFERROR(VALUE(RIGHT($A1284,2)),"")</f>
        <v>2</v>
      </c>
      <c r="D1284" s="17" t="n">
        <f aca="false">IFERROR(ROUNDUP($C1284/3,0),"")</f>
        <v>1</v>
      </c>
      <c r="E1284" s="11" t="str">
        <f aca="false">TRIM('수출입 실적(품목별)'!B1288)</f>
        <v>30</v>
      </c>
      <c r="F1284" s="11" t="str">
        <f aca="false">TRIM('수출입 실적(품목별)'!C1288)</f>
        <v>의료용품</v>
      </c>
      <c r="G1284" s="18" t="n">
        <f aca="false">IFERROR(VALUE(SUBSTITUTE(TRIM('수출입 실적(품목별)'!D1288),",","")),"")</f>
        <v>2482.8</v>
      </c>
      <c r="H1284" s="19" t="n">
        <f aca="false">IFERROR(VALUE(SUBSTITUTE(TRIM('수출입 실적(품목별)'!E1288),",","")),"")</f>
        <v>660431</v>
      </c>
      <c r="I1284" s="18" t="n">
        <f aca="false">IFERROR(VALUE(SUBSTITUTE(TRIM('수출입 실적(품목별)'!F1288),",","")),"")</f>
        <v>7670.9</v>
      </c>
      <c r="J1284" s="19" t="n">
        <f aca="false">IFERROR(VALUE(SUBSTITUTE(TRIM('수출입 실적(품목별)'!G1288),",","")),"")</f>
        <v>712049</v>
      </c>
      <c r="K1284" s="19" t="n">
        <f aca="false">IFERROR(VALUE(SUBSTITUTE(TRIM('수출입 실적(품목별)'!H1288),",","")),"")</f>
        <v>-51618</v>
      </c>
    </row>
    <row r="1285" customFormat="false" ht="15" hidden="false" customHeight="true" outlineLevel="0" collapsed="false">
      <c r="A1285" s="11" t="str">
        <f aca="false">TRIM('수출입 실적(품목별)'!A1289)</f>
        <v>2025.02</v>
      </c>
      <c r="B1285" s="17" t="n">
        <f aca="false">IFERROR(VALUE(LEFT($A1285,4)),"")</f>
        <v>2025</v>
      </c>
      <c r="C1285" s="17" t="n">
        <f aca="false">IFERROR(VALUE(RIGHT($A1285,2)),"")</f>
        <v>2</v>
      </c>
      <c r="D1285" s="17" t="n">
        <f aca="false">IFERROR(ROUNDUP($C1285/3,0),"")</f>
        <v>1</v>
      </c>
      <c r="E1285" s="11" t="str">
        <f aca="false">TRIM('수출입 실적(품목별)'!B1289)</f>
        <v>31</v>
      </c>
      <c r="F1285" s="11" t="str">
        <f aca="false">TRIM('수출입 실적(품목별)'!C1289)</f>
        <v>비료</v>
      </c>
      <c r="G1285" s="18" t="n">
        <f aca="false">IFERROR(VALUE(SUBSTITUTE(TRIM('수출입 실적(품목별)'!D1289),",","")),"")</f>
        <v>76530.4</v>
      </c>
      <c r="H1285" s="19" t="n">
        <f aca="false">IFERROR(VALUE(SUBSTITUTE(TRIM('수출입 실적(품목별)'!E1289),",","")),"")</f>
        <v>29637</v>
      </c>
      <c r="I1285" s="18" t="n">
        <f aca="false">IFERROR(VALUE(SUBSTITUTE(TRIM('수출입 실적(품목별)'!F1289),",","")),"")</f>
        <v>201907.8</v>
      </c>
      <c r="J1285" s="19" t="n">
        <f aca="false">IFERROR(VALUE(SUBSTITUTE(TRIM('수출입 실적(품목별)'!G1289),",","")),"")</f>
        <v>76125</v>
      </c>
      <c r="K1285" s="19" t="n">
        <f aca="false">IFERROR(VALUE(SUBSTITUTE(TRIM('수출입 실적(품목별)'!H1289),",","")),"")</f>
        <v>-46488</v>
      </c>
    </row>
    <row r="1286" customFormat="false" ht="15" hidden="false" customHeight="true" outlineLevel="0" collapsed="false">
      <c r="A1286" s="11" t="str">
        <f aca="false">TRIM('수출입 실적(품목별)'!A1290)</f>
        <v>2025.02</v>
      </c>
      <c r="B1286" s="17" t="n">
        <f aca="false">IFERROR(VALUE(LEFT($A1286,4)),"")</f>
        <v>2025</v>
      </c>
      <c r="C1286" s="17" t="n">
        <f aca="false">IFERROR(VALUE(RIGHT($A1286,2)),"")</f>
        <v>2</v>
      </c>
      <c r="D1286" s="17" t="n">
        <f aca="false">IFERROR(ROUNDUP($C1286/3,0),"")</f>
        <v>1</v>
      </c>
      <c r="E1286" s="11" t="str">
        <f aca="false">TRIM('수출입 실적(품목별)'!B1290)</f>
        <v>32</v>
      </c>
      <c r="F1286" s="11" t="str">
        <f aca="false">TRIM('수출입 실적(품목별)'!C1290)</f>
        <v>유연용ㆍ염색용 추출물(extract), 탄닌과 이들의 유도체, 염료ㆍ안료와 그 밖의 착색제, 페인트ㆍ바니시(varnish), 퍼티(putty)와 그 밖의 매스틱(mastic), 잉크</v>
      </c>
      <c r="G1286" s="18" t="n">
        <f aca="false">IFERROR(VALUE(SUBSTITUTE(TRIM('수출입 실적(품목별)'!D1290),",","")),"")</f>
        <v>32305.1</v>
      </c>
      <c r="H1286" s="19" t="n">
        <f aca="false">IFERROR(VALUE(SUBSTITUTE(TRIM('수출입 실적(품목별)'!E1290),",","")),"")</f>
        <v>227754</v>
      </c>
      <c r="I1286" s="18" t="n">
        <f aca="false">IFERROR(VALUE(SUBSTITUTE(TRIM('수출입 실적(품목별)'!F1290),",","")),"")</f>
        <v>23756</v>
      </c>
      <c r="J1286" s="19" t="n">
        <f aca="false">IFERROR(VALUE(SUBSTITUTE(TRIM('수출입 실적(품목별)'!G1290),",","")),"")</f>
        <v>186774</v>
      </c>
      <c r="K1286" s="19" t="n">
        <f aca="false">IFERROR(VALUE(SUBSTITUTE(TRIM('수출입 실적(품목별)'!H1290),",","")),"")</f>
        <v>40980</v>
      </c>
    </row>
    <row r="1287" customFormat="false" ht="15" hidden="false" customHeight="true" outlineLevel="0" collapsed="false">
      <c r="A1287" s="11" t="str">
        <f aca="false">TRIM('수출입 실적(품목별)'!A1291)</f>
        <v>2025.02</v>
      </c>
      <c r="B1287" s="17" t="n">
        <f aca="false">IFERROR(VALUE(LEFT($A1287,4)),"")</f>
        <v>2025</v>
      </c>
      <c r="C1287" s="17" t="n">
        <f aca="false">IFERROR(VALUE(RIGHT($A1287,2)),"")</f>
        <v>2</v>
      </c>
      <c r="D1287" s="17" t="n">
        <f aca="false">IFERROR(ROUNDUP($C1287/3,0),"")</f>
        <v>1</v>
      </c>
      <c r="E1287" s="11" t="str">
        <f aca="false">TRIM('수출입 실적(품목별)'!B1291)</f>
        <v>33</v>
      </c>
      <c r="F1287" s="11" t="str">
        <f aca="false">TRIM('수출입 실적(품목별)'!C1291)</f>
        <v>정유(essential oil)와 레지노이드(resinoid), 조제향료와 화장품ㆍ화장용품</v>
      </c>
      <c r="G1287" s="18" t="n">
        <f aca="false">IFERROR(VALUE(SUBSTITUTE(TRIM('수출입 실적(품목별)'!D1291),",","")),"")</f>
        <v>37447.6</v>
      </c>
      <c r="H1287" s="19" t="n">
        <f aca="false">IFERROR(VALUE(SUBSTITUTE(TRIM('수출입 실적(품목별)'!E1291),",","")),"")</f>
        <v>855686</v>
      </c>
      <c r="I1287" s="18" t="n">
        <f aca="false">IFERROR(VALUE(SUBSTITUTE(TRIM('수출입 실적(품목별)'!F1291),",","")),"")</f>
        <v>9248.7</v>
      </c>
      <c r="J1287" s="19" t="n">
        <f aca="false">IFERROR(VALUE(SUBSTITUTE(TRIM('수출입 실적(품목별)'!G1291),",","")),"")</f>
        <v>169519</v>
      </c>
      <c r="K1287" s="19" t="n">
        <f aca="false">IFERROR(VALUE(SUBSTITUTE(TRIM('수출입 실적(품목별)'!H1291),",","")),"")</f>
        <v>686167</v>
      </c>
    </row>
    <row r="1288" customFormat="false" ht="15" hidden="false" customHeight="true" outlineLevel="0" collapsed="false">
      <c r="A1288" s="11" t="str">
        <f aca="false">TRIM('수출입 실적(품목별)'!A1292)</f>
        <v>2025.02</v>
      </c>
      <c r="B1288" s="17" t="n">
        <f aca="false">IFERROR(VALUE(LEFT($A1288,4)),"")</f>
        <v>2025</v>
      </c>
      <c r="C1288" s="17" t="n">
        <f aca="false">IFERROR(VALUE(RIGHT($A1288,2)),"")</f>
        <v>2</v>
      </c>
      <c r="D1288" s="17" t="n">
        <f aca="false">IFERROR(ROUNDUP($C1288/3,0),"")</f>
        <v>1</v>
      </c>
      <c r="E1288" s="11" t="str">
        <f aca="false">TRIM('수출입 실적(품목별)'!B1292)</f>
        <v>34</v>
      </c>
      <c r="F1288" s="11" t="str">
        <f aca="false">TRIM('수출입 실적(품목별)'!C1292)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288" s="18" t="n">
        <f aca="false">IFERROR(VALUE(SUBSTITUTE(TRIM('수출입 실적(품목별)'!D1292),",","")),"")</f>
        <v>49467.6</v>
      </c>
      <c r="H1288" s="19" t="n">
        <f aca="false">IFERROR(VALUE(SUBSTITUTE(TRIM('수출입 실적(품목별)'!E1292),",","")),"")</f>
        <v>154662</v>
      </c>
      <c r="I1288" s="18" t="n">
        <f aca="false">IFERROR(VALUE(SUBSTITUTE(TRIM('수출입 실적(품목별)'!F1292),",","")),"")</f>
        <v>23617</v>
      </c>
      <c r="J1288" s="19" t="n">
        <f aca="false">IFERROR(VALUE(SUBSTITUTE(TRIM('수출입 실적(품목별)'!G1292),",","")),"")</f>
        <v>86307</v>
      </c>
      <c r="K1288" s="19" t="n">
        <f aca="false">IFERROR(VALUE(SUBSTITUTE(TRIM('수출입 실적(품목별)'!H1292),",","")),"")</f>
        <v>68354</v>
      </c>
    </row>
    <row r="1289" customFormat="false" ht="15" hidden="false" customHeight="true" outlineLevel="0" collapsed="false">
      <c r="A1289" s="11" t="str">
        <f aca="false">TRIM('수출입 실적(품목별)'!A1293)</f>
        <v>2025.02</v>
      </c>
      <c r="B1289" s="17" t="n">
        <f aca="false">IFERROR(VALUE(LEFT($A1289,4)),"")</f>
        <v>2025</v>
      </c>
      <c r="C1289" s="17" t="n">
        <f aca="false">IFERROR(VALUE(RIGHT($A1289,2)),"")</f>
        <v>2</v>
      </c>
      <c r="D1289" s="17" t="n">
        <f aca="false">IFERROR(ROUNDUP($C1289/3,0),"")</f>
        <v>1</v>
      </c>
      <c r="E1289" s="11" t="str">
        <f aca="false">TRIM('수출입 실적(품목별)'!B1293)</f>
        <v>35</v>
      </c>
      <c r="F1289" s="11" t="str">
        <f aca="false">TRIM('수출입 실적(품목별)'!C1293)</f>
        <v>단백질계 물질, 변성전분, 글루(glue), 효소</v>
      </c>
      <c r="G1289" s="18" t="n">
        <f aca="false">IFERROR(VALUE(SUBSTITUTE(TRIM('수출입 실적(품목별)'!D1293),",","")),"")</f>
        <v>7006.4</v>
      </c>
      <c r="H1289" s="19" t="n">
        <f aca="false">IFERROR(VALUE(SUBSTITUTE(TRIM('수출입 실적(품목별)'!E1293),",","")),"")</f>
        <v>96028</v>
      </c>
      <c r="I1289" s="18" t="n">
        <f aca="false">IFERROR(VALUE(SUBSTITUTE(TRIM('수출입 실적(품목별)'!F1293),",","")),"")</f>
        <v>13859.5</v>
      </c>
      <c r="J1289" s="19" t="n">
        <f aca="false">IFERROR(VALUE(SUBSTITUTE(TRIM('수출입 실적(품목별)'!G1293),",","")),"")</f>
        <v>76690</v>
      </c>
      <c r="K1289" s="19" t="n">
        <f aca="false">IFERROR(VALUE(SUBSTITUTE(TRIM('수출입 실적(품목별)'!H1293),",","")),"")</f>
        <v>19338</v>
      </c>
    </row>
    <row r="1290" customFormat="false" ht="15" hidden="false" customHeight="true" outlineLevel="0" collapsed="false">
      <c r="A1290" s="11" t="str">
        <f aca="false">TRIM('수출입 실적(품목별)'!A1294)</f>
        <v>2025.02</v>
      </c>
      <c r="B1290" s="17" t="n">
        <f aca="false">IFERROR(VALUE(LEFT($A1290,4)),"")</f>
        <v>2025</v>
      </c>
      <c r="C1290" s="17" t="n">
        <f aca="false">IFERROR(VALUE(RIGHT($A1290,2)),"")</f>
        <v>2</v>
      </c>
      <c r="D1290" s="17" t="n">
        <f aca="false">IFERROR(ROUNDUP($C1290/3,0),"")</f>
        <v>1</v>
      </c>
      <c r="E1290" s="11" t="str">
        <f aca="false">TRIM('수출입 실적(품목별)'!B1294)</f>
        <v>36</v>
      </c>
      <c r="F1290" s="11" t="str">
        <f aca="false">TRIM('수출입 실적(품목별)'!C1294)</f>
        <v>화약류, 화공품, 성냥, 발화성 합금, 특정 가연성 조제품</v>
      </c>
      <c r="G1290" s="18" t="n">
        <f aca="false">IFERROR(VALUE(SUBSTITUTE(TRIM('수출입 실적(품목별)'!D1294),",","")),"")</f>
        <v>102.3</v>
      </c>
      <c r="H1290" s="19" t="n">
        <f aca="false">IFERROR(VALUE(SUBSTITUTE(TRIM('수출입 실적(품목별)'!E1294),",","")),"")</f>
        <v>1437</v>
      </c>
      <c r="I1290" s="18" t="n">
        <f aca="false">IFERROR(VALUE(SUBSTITUTE(TRIM('수출입 실적(품목별)'!F1294),",","")),"")</f>
        <v>255</v>
      </c>
      <c r="J1290" s="19" t="n">
        <f aca="false">IFERROR(VALUE(SUBSTITUTE(TRIM('수출입 실적(품목별)'!G1294),",","")),"")</f>
        <v>6811</v>
      </c>
      <c r="K1290" s="19" t="n">
        <f aca="false">IFERROR(VALUE(SUBSTITUTE(TRIM('수출입 실적(품목별)'!H1294),",","")),"")</f>
        <v>-5374</v>
      </c>
    </row>
    <row r="1291" customFormat="false" ht="15" hidden="false" customHeight="true" outlineLevel="0" collapsed="false">
      <c r="A1291" s="11" t="str">
        <f aca="false">TRIM('수출입 실적(품목별)'!A1295)</f>
        <v>2025.02</v>
      </c>
      <c r="B1291" s="17" t="n">
        <f aca="false">IFERROR(VALUE(LEFT($A1291,4)),"")</f>
        <v>2025</v>
      </c>
      <c r="C1291" s="17" t="n">
        <f aca="false">IFERROR(VALUE(RIGHT($A1291,2)),"")</f>
        <v>2</v>
      </c>
      <c r="D1291" s="17" t="n">
        <f aca="false">IFERROR(ROUNDUP($C1291/3,0),"")</f>
        <v>1</v>
      </c>
      <c r="E1291" s="11" t="str">
        <f aca="false">TRIM('수출입 실적(품목별)'!B1295)</f>
        <v>37</v>
      </c>
      <c r="F1291" s="11" t="str">
        <f aca="false">TRIM('수출입 실적(품목별)'!C1295)</f>
        <v>사진용이나 영화용 재료</v>
      </c>
      <c r="G1291" s="18" t="n">
        <f aca="false">IFERROR(VALUE(SUBSTITUTE(TRIM('수출입 실적(품목별)'!D1295),",","")),"")</f>
        <v>2003.5</v>
      </c>
      <c r="H1291" s="19" t="n">
        <f aca="false">IFERROR(VALUE(SUBSTITUTE(TRIM('수출입 실적(품목별)'!E1295),",","")),"")</f>
        <v>102808</v>
      </c>
      <c r="I1291" s="18" t="n">
        <f aca="false">IFERROR(VALUE(SUBSTITUTE(TRIM('수출입 실적(품목별)'!F1295),",","")),"")</f>
        <v>2804.9</v>
      </c>
      <c r="J1291" s="19" t="n">
        <f aca="false">IFERROR(VALUE(SUBSTITUTE(TRIM('수출입 실적(품목별)'!G1295),",","")),"")</f>
        <v>92890</v>
      </c>
      <c r="K1291" s="19" t="n">
        <f aca="false">IFERROR(VALUE(SUBSTITUTE(TRIM('수출입 실적(품목별)'!H1295),",","")),"")</f>
        <v>9918</v>
      </c>
    </row>
    <row r="1292" customFormat="false" ht="15" hidden="false" customHeight="true" outlineLevel="0" collapsed="false">
      <c r="A1292" s="11" t="str">
        <f aca="false">TRIM('수출입 실적(품목별)'!A1296)</f>
        <v>2025.02</v>
      </c>
      <c r="B1292" s="17" t="n">
        <f aca="false">IFERROR(VALUE(LEFT($A1292,4)),"")</f>
        <v>2025</v>
      </c>
      <c r="C1292" s="17" t="n">
        <f aca="false">IFERROR(VALUE(RIGHT($A1292,2)),"")</f>
        <v>2</v>
      </c>
      <c r="D1292" s="17" t="n">
        <f aca="false">IFERROR(ROUNDUP($C1292/3,0),"")</f>
        <v>1</v>
      </c>
      <c r="E1292" s="11" t="str">
        <f aca="false">TRIM('수출입 실적(품목별)'!B1296)</f>
        <v>38</v>
      </c>
      <c r="F1292" s="11" t="str">
        <f aca="false">TRIM('수출입 실적(품목별)'!C1296)</f>
        <v>각종 화학공업 생산품</v>
      </c>
      <c r="G1292" s="18" t="n">
        <f aca="false">IFERROR(VALUE(SUBSTITUTE(TRIM('수출입 실적(품목별)'!D1296),",","")),"")</f>
        <v>96128.1</v>
      </c>
      <c r="H1292" s="19" t="n">
        <f aca="false">IFERROR(VALUE(SUBSTITUTE(TRIM('수출입 실적(품목별)'!E1296),",","")),"")</f>
        <v>578994</v>
      </c>
      <c r="I1292" s="18" t="n">
        <f aca="false">IFERROR(VALUE(SUBSTITUTE(TRIM('수출입 실적(품목별)'!F1296),",","")),"")</f>
        <v>185750.3</v>
      </c>
      <c r="J1292" s="19" t="n">
        <f aca="false">IFERROR(VALUE(SUBSTITUTE(TRIM('수출입 실적(품목별)'!G1296),",","")),"")</f>
        <v>816733</v>
      </c>
      <c r="K1292" s="19" t="n">
        <f aca="false">IFERROR(VALUE(SUBSTITUTE(TRIM('수출입 실적(품목별)'!H1296),",","")),"")</f>
        <v>-237739</v>
      </c>
    </row>
    <row r="1293" customFormat="false" ht="15" hidden="false" customHeight="true" outlineLevel="0" collapsed="false">
      <c r="A1293" s="11" t="str">
        <f aca="false">TRIM('수출입 실적(품목별)'!A1297)</f>
        <v>2025.02</v>
      </c>
      <c r="B1293" s="17" t="n">
        <f aca="false">IFERROR(VALUE(LEFT($A1293,4)),"")</f>
        <v>2025</v>
      </c>
      <c r="C1293" s="17" t="n">
        <f aca="false">IFERROR(VALUE(RIGHT($A1293,2)),"")</f>
        <v>2</v>
      </c>
      <c r="D1293" s="17" t="n">
        <f aca="false">IFERROR(ROUNDUP($C1293/3,0),"")</f>
        <v>1</v>
      </c>
      <c r="E1293" s="11" t="str">
        <f aca="false">TRIM('수출입 실적(품목별)'!B1297)</f>
        <v>39</v>
      </c>
      <c r="F1293" s="11" t="str">
        <f aca="false">TRIM('수출입 실적(품목별)'!C1297)</f>
        <v>플라스틱과 그 제품</v>
      </c>
      <c r="G1293" s="18" t="n">
        <f aca="false">IFERROR(VALUE(SUBSTITUTE(TRIM('수출입 실적(품목별)'!D1297),",","")),"")</f>
        <v>1546432.9</v>
      </c>
      <c r="H1293" s="19" t="n">
        <f aca="false">IFERROR(VALUE(SUBSTITUTE(TRIM('수출입 실적(품목별)'!E1297),",","")),"")</f>
        <v>2993339</v>
      </c>
      <c r="I1293" s="18" t="n">
        <f aca="false">IFERROR(VALUE(SUBSTITUTE(TRIM('수출입 실적(품목별)'!F1297),",","")),"")</f>
        <v>240326.4</v>
      </c>
      <c r="J1293" s="19" t="n">
        <f aca="false">IFERROR(VALUE(SUBSTITUTE(TRIM('수출입 실적(품목별)'!G1297),",","")),"")</f>
        <v>991625</v>
      </c>
      <c r="K1293" s="19" t="n">
        <f aca="false">IFERROR(VALUE(SUBSTITUTE(TRIM('수출입 실적(품목별)'!H1297),",","")),"")</f>
        <v>2001713</v>
      </c>
    </row>
    <row r="1294" customFormat="false" ht="15" hidden="false" customHeight="true" outlineLevel="0" collapsed="false">
      <c r="A1294" s="11" t="str">
        <f aca="false">TRIM('수출입 실적(품목별)'!A1298)</f>
        <v>2025.02</v>
      </c>
      <c r="B1294" s="17" t="n">
        <f aca="false">IFERROR(VALUE(LEFT($A1294,4)),"")</f>
        <v>2025</v>
      </c>
      <c r="C1294" s="17" t="n">
        <f aca="false">IFERROR(VALUE(RIGHT($A1294,2)),"")</f>
        <v>2</v>
      </c>
      <c r="D1294" s="17" t="n">
        <f aca="false">IFERROR(ROUNDUP($C1294/3,0),"")</f>
        <v>1</v>
      </c>
      <c r="E1294" s="11" t="str">
        <f aca="false">TRIM('수출입 실적(품목별)'!B1298)</f>
        <v>40</v>
      </c>
      <c r="F1294" s="11" t="str">
        <f aca="false">TRIM('수출입 실적(품목별)'!C1298)</f>
        <v>고무와 그 제품</v>
      </c>
      <c r="G1294" s="18" t="n">
        <f aca="false">IFERROR(VALUE(SUBSTITUTE(TRIM('수출입 실적(품목별)'!D1298),",","")),"")</f>
        <v>252109.3</v>
      </c>
      <c r="H1294" s="19" t="n">
        <f aca="false">IFERROR(VALUE(SUBSTITUTE(TRIM('수출입 실적(품목별)'!E1298),",","")),"")</f>
        <v>664391</v>
      </c>
      <c r="I1294" s="18" t="n">
        <f aca="false">IFERROR(VALUE(SUBSTITUTE(TRIM('수출입 실적(품목별)'!F1298),",","")),"")</f>
        <v>87749.9</v>
      </c>
      <c r="J1294" s="19" t="n">
        <f aca="false">IFERROR(VALUE(SUBSTITUTE(TRIM('수출입 실적(품목별)'!G1298),",","")),"")</f>
        <v>275544</v>
      </c>
      <c r="K1294" s="19" t="n">
        <f aca="false">IFERROR(VALUE(SUBSTITUTE(TRIM('수출입 실적(품목별)'!H1298),",","")),"")</f>
        <v>388847</v>
      </c>
    </row>
    <row r="1295" customFormat="false" ht="15" hidden="false" customHeight="true" outlineLevel="0" collapsed="false">
      <c r="A1295" s="11" t="str">
        <f aca="false">TRIM('수출입 실적(품목별)'!A1299)</f>
        <v>2025.02</v>
      </c>
      <c r="B1295" s="17" t="n">
        <f aca="false">IFERROR(VALUE(LEFT($A1295,4)),"")</f>
        <v>2025</v>
      </c>
      <c r="C1295" s="17" t="n">
        <f aca="false">IFERROR(VALUE(RIGHT($A1295,2)),"")</f>
        <v>2</v>
      </c>
      <c r="D1295" s="17" t="n">
        <f aca="false">IFERROR(ROUNDUP($C1295/3,0),"")</f>
        <v>1</v>
      </c>
      <c r="E1295" s="11" t="str">
        <f aca="false">TRIM('수출입 실적(품목별)'!B1299)</f>
        <v>41</v>
      </c>
      <c r="F1295" s="11" t="str">
        <f aca="false">TRIM('수출입 실적(품목별)'!C1299)</f>
        <v>원피(모피는 제외한다)와 가죽</v>
      </c>
      <c r="G1295" s="18" t="n">
        <f aca="false">IFERROR(VALUE(SUBSTITUTE(TRIM('수출입 실적(품목별)'!D1299),",","")),"")</f>
        <v>2380.5</v>
      </c>
      <c r="H1295" s="19" t="n">
        <f aca="false">IFERROR(VALUE(SUBSTITUTE(TRIM('수출입 실적(품목별)'!E1299),",","")),"")</f>
        <v>18247</v>
      </c>
      <c r="I1295" s="18" t="n">
        <f aca="false">IFERROR(VALUE(SUBSTITUTE(TRIM('수출입 실적(품목별)'!F1299),",","")),"")</f>
        <v>7322.9</v>
      </c>
      <c r="J1295" s="19" t="n">
        <f aca="false">IFERROR(VALUE(SUBSTITUTE(TRIM('수출입 실적(품목별)'!G1299),",","")),"")</f>
        <v>17924</v>
      </c>
      <c r="K1295" s="19" t="n">
        <f aca="false">IFERROR(VALUE(SUBSTITUTE(TRIM('수출입 실적(품목별)'!H1299),",","")),"")</f>
        <v>323</v>
      </c>
    </row>
    <row r="1296" customFormat="false" ht="15" hidden="false" customHeight="true" outlineLevel="0" collapsed="false">
      <c r="A1296" s="11" t="str">
        <f aca="false">TRIM('수출입 실적(품목별)'!A1300)</f>
        <v>2025.02</v>
      </c>
      <c r="B1296" s="17" t="n">
        <f aca="false">IFERROR(VALUE(LEFT($A1296,4)),"")</f>
        <v>2025</v>
      </c>
      <c r="C1296" s="17" t="n">
        <f aca="false">IFERROR(VALUE(RIGHT($A1296,2)),"")</f>
        <v>2</v>
      </c>
      <c r="D1296" s="17" t="n">
        <f aca="false">IFERROR(ROUNDUP($C1296/3,0),"")</f>
        <v>1</v>
      </c>
      <c r="E1296" s="11" t="str">
        <f aca="false">TRIM('수출입 실적(품목별)'!B1300)</f>
        <v>42</v>
      </c>
      <c r="F1296" s="11" t="str">
        <f aca="false">TRIM('수출입 실적(품목별)'!C1300)</f>
        <v>가죽제품, 마구, 여행용구ㆍ핸드백과 이와 유사한 용기, 동물 거트(gut)[누에의 거트(gut)는 제외한다]의 제품</v>
      </c>
      <c r="G1296" s="18" t="n">
        <f aca="false">IFERROR(VALUE(SUBSTITUTE(TRIM('수출입 실적(품목별)'!D1300),",","")),"")</f>
        <v>696.6</v>
      </c>
      <c r="H1296" s="19" t="n">
        <f aca="false">IFERROR(VALUE(SUBSTITUTE(TRIM('수출입 실적(품목별)'!E1300),",","")),"")</f>
        <v>35429</v>
      </c>
      <c r="I1296" s="18" t="n">
        <f aca="false">IFERROR(VALUE(SUBSTITUTE(TRIM('수출입 실적(품목별)'!F1300),",","")),"")</f>
        <v>5767.8</v>
      </c>
      <c r="J1296" s="19" t="n">
        <f aca="false">IFERROR(VALUE(SUBSTITUTE(TRIM('수출입 실적(품목별)'!G1300),",","")),"")</f>
        <v>278937</v>
      </c>
      <c r="K1296" s="19" t="n">
        <f aca="false">IFERROR(VALUE(SUBSTITUTE(TRIM('수출입 실적(품목별)'!H1300),",","")),"")</f>
        <v>-243508</v>
      </c>
    </row>
    <row r="1297" customFormat="false" ht="15" hidden="false" customHeight="true" outlineLevel="0" collapsed="false">
      <c r="A1297" s="11" t="str">
        <f aca="false">TRIM('수출입 실적(품목별)'!A1301)</f>
        <v>2025.02</v>
      </c>
      <c r="B1297" s="17" t="n">
        <f aca="false">IFERROR(VALUE(LEFT($A1297,4)),"")</f>
        <v>2025</v>
      </c>
      <c r="C1297" s="17" t="n">
        <f aca="false">IFERROR(VALUE(RIGHT($A1297,2)),"")</f>
        <v>2</v>
      </c>
      <c r="D1297" s="17" t="n">
        <f aca="false">IFERROR(ROUNDUP($C1297/3,0),"")</f>
        <v>1</v>
      </c>
      <c r="E1297" s="11" t="str">
        <f aca="false">TRIM('수출입 실적(품목별)'!B1301)</f>
        <v>43</v>
      </c>
      <c r="F1297" s="11" t="str">
        <f aca="false">TRIM('수출입 실적(품목별)'!C1301)</f>
        <v>모피ㆍ인조모피와 이들의 제품</v>
      </c>
      <c r="G1297" s="18" t="n">
        <f aca="false">IFERROR(VALUE(SUBSTITUTE(TRIM('수출입 실적(품목별)'!D1301),",","")),"")</f>
        <v>3.3</v>
      </c>
      <c r="H1297" s="19" t="n">
        <f aca="false">IFERROR(VALUE(SUBSTITUTE(TRIM('수출입 실적(품목별)'!E1301),",","")),"")</f>
        <v>790</v>
      </c>
      <c r="I1297" s="18" t="n">
        <f aca="false">IFERROR(VALUE(SUBSTITUTE(TRIM('수출입 실적(품목별)'!F1301),",","")),"")</f>
        <v>18.8</v>
      </c>
      <c r="J1297" s="19" t="n">
        <f aca="false">IFERROR(VALUE(SUBSTITUTE(TRIM('수출입 실적(품목별)'!G1301),",","")),"")</f>
        <v>2134</v>
      </c>
      <c r="K1297" s="19" t="n">
        <f aca="false">IFERROR(VALUE(SUBSTITUTE(TRIM('수출입 실적(품목별)'!H1301),",","")),"")</f>
        <v>-1343</v>
      </c>
    </row>
    <row r="1298" customFormat="false" ht="15" hidden="false" customHeight="true" outlineLevel="0" collapsed="false">
      <c r="A1298" s="11" t="str">
        <f aca="false">TRIM('수출입 실적(품목별)'!A1302)</f>
        <v>2025.02</v>
      </c>
      <c r="B1298" s="17" t="n">
        <f aca="false">IFERROR(VALUE(LEFT($A1298,4)),"")</f>
        <v>2025</v>
      </c>
      <c r="C1298" s="17" t="n">
        <f aca="false">IFERROR(VALUE(RIGHT($A1298,2)),"")</f>
        <v>2</v>
      </c>
      <c r="D1298" s="17" t="n">
        <f aca="false">IFERROR(ROUNDUP($C1298/3,0),"")</f>
        <v>1</v>
      </c>
      <c r="E1298" s="11" t="str">
        <f aca="false">TRIM('수출입 실적(품목별)'!B1302)</f>
        <v>44</v>
      </c>
      <c r="F1298" s="11" t="str">
        <f aca="false">TRIM('수출입 실적(품목별)'!C1302)</f>
        <v>목재와 그 제품, 목탄</v>
      </c>
      <c r="G1298" s="18" t="n">
        <f aca="false">IFERROR(VALUE(SUBSTITUTE(TRIM('수출입 실적(품목별)'!D1302),",","")),"")</f>
        <v>3633.1</v>
      </c>
      <c r="H1298" s="19" t="n">
        <f aca="false">IFERROR(VALUE(SUBSTITUTE(TRIM('수출입 실적(품목별)'!E1302),",","")),"")</f>
        <v>4997</v>
      </c>
      <c r="I1298" s="18" t="n">
        <f aca="false">IFERROR(VALUE(SUBSTITUTE(TRIM('수출입 실적(품목별)'!F1302),",","")),"")</f>
        <v>857531.7</v>
      </c>
      <c r="J1298" s="19" t="n">
        <f aca="false">IFERROR(VALUE(SUBSTITUTE(TRIM('수출입 실적(품목별)'!G1302),",","")),"")</f>
        <v>241256</v>
      </c>
      <c r="K1298" s="19" t="n">
        <f aca="false">IFERROR(VALUE(SUBSTITUTE(TRIM('수출입 실적(품목별)'!H1302),",","")),"")</f>
        <v>-236259</v>
      </c>
    </row>
    <row r="1299" customFormat="false" ht="15" hidden="false" customHeight="true" outlineLevel="0" collapsed="false">
      <c r="A1299" s="11" t="str">
        <f aca="false">TRIM('수출입 실적(품목별)'!A1303)</f>
        <v>2025.02</v>
      </c>
      <c r="B1299" s="17" t="n">
        <f aca="false">IFERROR(VALUE(LEFT($A1299,4)),"")</f>
        <v>2025</v>
      </c>
      <c r="C1299" s="17" t="n">
        <f aca="false">IFERROR(VALUE(RIGHT($A1299,2)),"")</f>
        <v>2</v>
      </c>
      <c r="D1299" s="17" t="n">
        <f aca="false">IFERROR(ROUNDUP($C1299/3,0),"")</f>
        <v>1</v>
      </c>
      <c r="E1299" s="11" t="str">
        <f aca="false">TRIM('수출입 실적(품목별)'!B1303)</f>
        <v>45</v>
      </c>
      <c r="F1299" s="11" t="str">
        <f aca="false">TRIM('수출입 실적(품목별)'!C1303)</f>
        <v>코르크(cork)와 그 제품</v>
      </c>
      <c r="G1299" s="18" t="n">
        <f aca="false">IFERROR(VALUE(SUBSTITUTE(TRIM('수출입 실적(품목별)'!D1303),",","")),"")</f>
        <v>1.9</v>
      </c>
      <c r="H1299" s="19" t="n">
        <f aca="false">IFERROR(VALUE(SUBSTITUTE(TRIM('수출입 실적(품목별)'!E1303),",","")),"")</f>
        <v>37</v>
      </c>
      <c r="I1299" s="18" t="n">
        <f aca="false">IFERROR(VALUE(SUBSTITUTE(TRIM('수출입 실적(품목별)'!F1303),",","")),"")</f>
        <v>58.2</v>
      </c>
      <c r="J1299" s="19" t="n">
        <f aca="false">IFERROR(VALUE(SUBSTITUTE(TRIM('수출입 실적(품목별)'!G1303),",","")),"")</f>
        <v>519</v>
      </c>
      <c r="K1299" s="19" t="n">
        <f aca="false">IFERROR(VALUE(SUBSTITUTE(TRIM('수출입 실적(품목별)'!H1303),",","")),"")</f>
        <v>-481</v>
      </c>
    </row>
    <row r="1300" customFormat="false" ht="15" hidden="false" customHeight="true" outlineLevel="0" collapsed="false">
      <c r="A1300" s="11" t="str">
        <f aca="false">TRIM('수출입 실적(품목별)'!A1304)</f>
        <v>2025.02</v>
      </c>
      <c r="B1300" s="17" t="n">
        <f aca="false">IFERROR(VALUE(LEFT($A1300,4)),"")</f>
        <v>2025</v>
      </c>
      <c r="C1300" s="17" t="n">
        <f aca="false">IFERROR(VALUE(RIGHT($A1300,2)),"")</f>
        <v>2</v>
      </c>
      <c r="D1300" s="17" t="n">
        <f aca="false">IFERROR(ROUNDUP($C1300/3,0),"")</f>
        <v>1</v>
      </c>
      <c r="E1300" s="11" t="str">
        <f aca="false">TRIM('수출입 실적(품목별)'!B1304)</f>
        <v>46</v>
      </c>
      <c r="F1300" s="11" t="str">
        <f aca="false">TRIM('수출입 실적(품목별)'!C1304)</f>
        <v>짚ㆍ에스파르토(esparto)나 그 밖의 조물 재료의 제품, 바구니 세공물(basketware)과 지조세공물(枝條細工物)</v>
      </c>
      <c r="G1300" s="18" t="n">
        <f aca="false">IFERROR(VALUE(SUBSTITUTE(TRIM('수출입 실적(품목별)'!D1304),",","")),"")</f>
        <v>5.7</v>
      </c>
      <c r="H1300" s="19" t="n">
        <f aca="false">IFERROR(VALUE(SUBSTITUTE(TRIM('수출입 실적(품목별)'!E1304),",","")),"")</f>
        <v>152</v>
      </c>
      <c r="I1300" s="18" t="n">
        <f aca="false">IFERROR(VALUE(SUBSTITUTE(TRIM('수출입 실적(품목별)'!F1304),",","")),"")</f>
        <v>206.7</v>
      </c>
      <c r="J1300" s="19" t="n">
        <f aca="false">IFERROR(VALUE(SUBSTITUTE(TRIM('수출입 실적(품목별)'!G1304),",","")),"")</f>
        <v>1487</v>
      </c>
      <c r="K1300" s="19" t="n">
        <f aca="false">IFERROR(VALUE(SUBSTITUTE(TRIM('수출입 실적(품목별)'!H1304),",","")),"")</f>
        <v>-1335</v>
      </c>
    </row>
    <row r="1301" customFormat="false" ht="15" hidden="false" customHeight="true" outlineLevel="0" collapsed="false">
      <c r="A1301" s="11" t="str">
        <f aca="false">TRIM('수출입 실적(품목별)'!A1305)</f>
        <v>2025.02</v>
      </c>
      <c r="B1301" s="17" t="n">
        <f aca="false">IFERROR(VALUE(LEFT($A1301,4)),"")</f>
        <v>2025</v>
      </c>
      <c r="C1301" s="17" t="n">
        <f aca="false">IFERROR(VALUE(RIGHT($A1301,2)),"")</f>
        <v>2</v>
      </c>
      <c r="D1301" s="17" t="n">
        <f aca="false">IFERROR(ROUNDUP($C1301/3,0),"")</f>
        <v>1</v>
      </c>
      <c r="E1301" s="11" t="str">
        <f aca="false">TRIM('수출입 실적(품목별)'!B1305)</f>
        <v>47</v>
      </c>
      <c r="F1301" s="11" t="str">
        <f aca="false">TRIM('수출입 실적(품목별)'!C1305)</f>
        <v>목재나 그 밖의 섬유질 셀룰로오스재료의 펄프, 회수한 종이ㆍ판지[웨이스트(waste)와 스크랩(scrap)]</v>
      </c>
      <c r="G1301" s="18" t="n">
        <f aca="false">IFERROR(VALUE(SUBSTITUTE(TRIM('수출입 실적(품목별)'!D1305),",","")),"")</f>
        <v>49084.5</v>
      </c>
      <c r="H1301" s="19" t="n">
        <f aca="false">IFERROR(VALUE(SUBSTITUTE(TRIM('수출입 실적(품목별)'!E1305),",","")),"")</f>
        <v>8689</v>
      </c>
      <c r="I1301" s="18" t="n">
        <f aca="false">IFERROR(VALUE(SUBSTITUTE(TRIM('수출입 실적(품목별)'!F1305),",","")),"")</f>
        <v>207986.6</v>
      </c>
      <c r="J1301" s="19" t="n">
        <f aca="false">IFERROR(VALUE(SUBSTITUTE(TRIM('수출입 실적(품목별)'!G1305),",","")),"")</f>
        <v>109785</v>
      </c>
      <c r="K1301" s="19" t="n">
        <f aca="false">IFERROR(VALUE(SUBSTITUTE(TRIM('수출입 실적(품목별)'!H1305),",","")),"")</f>
        <v>-101097</v>
      </c>
    </row>
    <row r="1302" customFormat="false" ht="15" hidden="false" customHeight="true" outlineLevel="0" collapsed="false">
      <c r="A1302" s="11" t="str">
        <f aca="false">TRIM('수출입 실적(품목별)'!A1306)</f>
        <v>2025.02</v>
      </c>
      <c r="B1302" s="17" t="n">
        <f aca="false">IFERROR(VALUE(LEFT($A1302,4)),"")</f>
        <v>2025</v>
      </c>
      <c r="C1302" s="17" t="n">
        <f aca="false">IFERROR(VALUE(RIGHT($A1302,2)),"")</f>
        <v>2</v>
      </c>
      <c r="D1302" s="17" t="n">
        <f aca="false">IFERROR(ROUNDUP($C1302/3,0),"")</f>
        <v>1</v>
      </c>
      <c r="E1302" s="11" t="str">
        <f aca="false">TRIM('수출입 실적(품목별)'!B1306)</f>
        <v>48</v>
      </c>
      <c r="F1302" s="11" t="str">
        <f aca="false">TRIM('수출입 실적(품목별)'!C1306)</f>
        <v>종이와 판지, 제지용 펄프ㆍ종이ㆍ판지의 제품</v>
      </c>
      <c r="G1302" s="18" t="n">
        <f aca="false">IFERROR(VALUE(SUBSTITUTE(TRIM('수출입 실적(품목별)'!D1306),",","")),"")</f>
        <v>264596</v>
      </c>
      <c r="H1302" s="19" t="n">
        <f aca="false">IFERROR(VALUE(SUBSTITUTE(TRIM('수출입 실적(품목별)'!E1306),",","")),"")</f>
        <v>236567</v>
      </c>
      <c r="I1302" s="18" t="n">
        <f aca="false">IFERROR(VALUE(SUBSTITUTE(TRIM('수출입 실적(품목별)'!F1306),",","")),"")</f>
        <v>115711.6</v>
      </c>
      <c r="J1302" s="19" t="n">
        <f aca="false">IFERROR(VALUE(SUBSTITUTE(TRIM('수출입 실적(품목별)'!G1306),",","")),"")</f>
        <v>169755</v>
      </c>
      <c r="K1302" s="19" t="n">
        <f aca="false">IFERROR(VALUE(SUBSTITUTE(TRIM('수출입 실적(품목별)'!H1306),",","")),"")</f>
        <v>66812</v>
      </c>
    </row>
    <row r="1303" customFormat="false" ht="15" hidden="false" customHeight="true" outlineLevel="0" collapsed="false">
      <c r="A1303" s="11" t="str">
        <f aca="false">TRIM('수출입 실적(품목별)'!A1307)</f>
        <v>2025.02</v>
      </c>
      <c r="B1303" s="17" t="n">
        <f aca="false">IFERROR(VALUE(LEFT($A1303,4)),"")</f>
        <v>2025</v>
      </c>
      <c r="C1303" s="17" t="n">
        <f aca="false">IFERROR(VALUE(RIGHT($A1303,2)),"")</f>
        <v>2</v>
      </c>
      <c r="D1303" s="17" t="n">
        <f aca="false">IFERROR(ROUNDUP($C1303/3,0),"")</f>
        <v>1</v>
      </c>
      <c r="E1303" s="11" t="str">
        <f aca="false">TRIM('수출입 실적(품목별)'!B1307)</f>
        <v>49</v>
      </c>
      <c r="F1303" s="11" t="str">
        <f aca="false">TRIM('수출입 실적(품목별)'!C1307)</f>
        <v>인쇄서적ㆍ신문ㆍ회화ㆍ그 밖의 인쇄물, 수제(手製)문서ㆍ타자문서ㆍ도면</v>
      </c>
      <c r="G1303" s="18" t="n">
        <f aca="false">IFERROR(VALUE(SUBSTITUTE(TRIM('수출입 실적(품목별)'!D1307),",","")),"")</f>
        <v>4030.5</v>
      </c>
      <c r="H1303" s="19" t="n">
        <f aca="false">IFERROR(VALUE(SUBSTITUTE(TRIM('수출입 실적(품목별)'!E1307),",","")),"")</f>
        <v>30743</v>
      </c>
      <c r="I1303" s="18" t="n">
        <f aca="false">IFERROR(VALUE(SUBSTITUTE(TRIM('수출입 실적(품목별)'!F1307),",","")),"")</f>
        <v>1070.2</v>
      </c>
      <c r="J1303" s="19" t="n">
        <f aca="false">IFERROR(VALUE(SUBSTITUTE(TRIM('수출입 실적(품목별)'!G1307),",","")),"")</f>
        <v>22398</v>
      </c>
      <c r="K1303" s="19" t="n">
        <f aca="false">IFERROR(VALUE(SUBSTITUTE(TRIM('수출입 실적(품목별)'!H1307),",","")),"")</f>
        <v>8345</v>
      </c>
    </row>
    <row r="1304" customFormat="false" ht="15" hidden="false" customHeight="true" outlineLevel="0" collapsed="false">
      <c r="A1304" s="11" t="str">
        <f aca="false">TRIM('수출입 실적(품목별)'!A1308)</f>
        <v>2025.02</v>
      </c>
      <c r="B1304" s="17" t="n">
        <f aca="false">IFERROR(VALUE(LEFT($A1304,4)),"")</f>
        <v>2025</v>
      </c>
      <c r="C1304" s="17" t="n">
        <f aca="false">IFERROR(VALUE(RIGHT($A1304,2)),"")</f>
        <v>2</v>
      </c>
      <c r="D1304" s="17" t="n">
        <f aca="false">IFERROR(ROUNDUP($C1304/3,0),"")</f>
        <v>1</v>
      </c>
      <c r="E1304" s="11" t="str">
        <f aca="false">TRIM('수출입 실적(품목별)'!B1308)</f>
        <v>50</v>
      </c>
      <c r="F1304" s="11" t="str">
        <f aca="false">TRIM('수출입 실적(품목별)'!C1308)</f>
        <v>견</v>
      </c>
      <c r="G1304" s="18" t="n">
        <f aca="false">IFERROR(VALUE(SUBSTITUTE(TRIM('수출입 실적(품목별)'!D1308),",","")),"")</f>
        <v>13.3</v>
      </c>
      <c r="H1304" s="19" t="n">
        <f aca="false">IFERROR(VALUE(SUBSTITUTE(TRIM('수출입 실적(품목별)'!E1308),",","")),"")</f>
        <v>1801</v>
      </c>
      <c r="I1304" s="18" t="n">
        <f aca="false">IFERROR(VALUE(SUBSTITUTE(TRIM('수출입 실적(품목별)'!F1308),",","")),"")</f>
        <v>18.6</v>
      </c>
      <c r="J1304" s="19" t="n">
        <f aca="false">IFERROR(VALUE(SUBSTITUTE(TRIM('수출입 실적(품목별)'!G1308),",","")),"")</f>
        <v>1632</v>
      </c>
      <c r="K1304" s="19" t="n">
        <f aca="false">IFERROR(VALUE(SUBSTITUTE(TRIM('수출입 실적(품목별)'!H1308),",","")),"")</f>
        <v>169</v>
      </c>
    </row>
    <row r="1305" customFormat="false" ht="15" hidden="false" customHeight="true" outlineLevel="0" collapsed="false">
      <c r="A1305" s="11" t="str">
        <f aca="false">TRIM('수출입 실적(품목별)'!A1309)</f>
        <v>2025.02</v>
      </c>
      <c r="B1305" s="17" t="n">
        <f aca="false">IFERROR(VALUE(LEFT($A1305,4)),"")</f>
        <v>2025</v>
      </c>
      <c r="C1305" s="17" t="n">
        <f aca="false">IFERROR(VALUE(RIGHT($A1305,2)),"")</f>
        <v>2</v>
      </c>
      <c r="D1305" s="17" t="n">
        <f aca="false">IFERROR(ROUNDUP($C1305/3,0),"")</f>
        <v>1</v>
      </c>
      <c r="E1305" s="11" t="str">
        <f aca="false">TRIM('수출입 실적(품목별)'!B1309)</f>
        <v>51</v>
      </c>
      <c r="F1305" s="11" t="str">
        <f aca="false">TRIM('수출입 실적(품목별)'!C1309)</f>
        <v>양모ㆍ동물의 부드러운 털이나 거친 털ㆍ말의 털로 만든 실과 직물</v>
      </c>
      <c r="G1305" s="18" t="n">
        <f aca="false">IFERROR(VALUE(SUBSTITUTE(TRIM('수출입 실적(품목별)'!D1309),",","")),"")</f>
        <v>118.1</v>
      </c>
      <c r="H1305" s="19" t="n">
        <f aca="false">IFERROR(VALUE(SUBSTITUTE(TRIM('수출입 실적(품목별)'!E1309),",","")),"")</f>
        <v>1243</v>
      </c>
      <c r="I1305" s="18" t="n">
        <f aca="false">IFERROR(VALUE(SUBSTITUTE(TRIM('수출입 실적(품목별)'!F1309),",","")),"")</f>
        <v>672.7</v>
      </c>
      <c r="J1305" s="19" t="n">
        <f aca="false">IFERROR(VALUE(SUBSTITUTE(TRIM('수출입 실적(품목별)'!G1309),",","")),"")</f>
        <v>13418</v>
      </c>
      <c r="K1305" s="19" t="n">
        <f aca="false">IFERROR(VALUE(SUBSTITUTE(TRIM('수출입 실적(품목별)'!H1309),",","")),"")</f>
        <v>-12175</v>
      </c>
    </row>
    <row r="1306" customFormat="false" ht="15" hidden="false" customHeight="true" outlineLevel="0" collapsed="false">
      <c r="A1306" s="11" t="str">
        <f aca="false">TRIM('수출입 실적(품목별)'!A1310)</f>
        <v>2025.02</v>
      </c>
      <c r="B1306" s="17" t="n">
        <f aca="false">IFERROR(VALUE(LEFT($A1306,4)),"")</f>
        <v>2025</v>
      </c>
      <c r="C1306" s="17" t="n">
        <f aca="false">IFERROR(VALUE(RIGHT($A1306,2)),"")</f>
        <v>2</v>
      </c>
      <c r="D1306" s="17" t="n">
        <f aca="false">IFERROR(ROUNDUP($C1306/3,0),"")</f>
        <v>1</v>
      </c>
      <c r="E1306" s="11" t="str">
        <f aca="false">TRIM('수출입 실적(품목별)'!B1310)</f>
        <v>52</v>
      </c>
      <c r="F1306" s="11" t="str">
        <f aca="false">TRIM('수출입 실적(품목별)'!C1310)</f>
        <v>면</v>
      </c>
      <c r="G1306" s="18" t="n">
        <f aca="false">IFERROR(VALUE(SUBSTITUTE(TRIM('수출입 실적(품목별)'!D1310),",","")),"")</f>
        <v>2623.8</v>
      </c>
      <c r="H1306" s="19" t="n">
        <f aca="false">IFERROR(VALUE(SUBSTITUTE(TRIM('수출입 실적(품목별)'!E1310),",","")),"")</f>
        <v>20926</v>
      </c>
      <c r="I1306" s="18" t="n">
        <f aca="false">IFERROR(VALUE(SUBSTITUTE(TRIM('수출입 실적(품목별)'!F1310),",","")),"")</f>
        <v>21761</v>
      </c>
      <c r="J1306" s="19" t="n">
        <f aca="false">IFERROR(VALUE(SUBSTITUTE(TRIM('수출입 실적(품목별)'!G1310),",","")),"")</f>
        <v>62935</v>
      </c>
      <c r="K1306" s="19" t="n">
        <f aca="false">IFERROR(VALUE(SUBSTITUTE(TRIM('수출입 실적(품목별)'!H1310),",","")),"")</f>
        <v>-42009</v>
      </c>
    </row>
    <row r="1307" customFormat="false" ht="15" hidden="false" customHeight="true" outlineLevel="0" collapsed="false">
      <c r="A1307" s="11" t="str">
        <f aca="false">TRIM('수출입 실적(품목별)'!A1311)</f>
        <v>2025.02</v>
      </c>
      <c r="B1307" s="17" t="n">
        <f aca="false">IFERROR(VALUE(LEFT($A1307,4)),"")</f>
        <v>2025</v>
      </c>
      <c r="C1307" s="17" t="n">
        <f aca="false">IFERROR(VALUE(RIGHT($A1307,2)),"")</f>
        <v>2</v>
      </c>
      <c r="D1307" s="17" t="n">
        <f aca="false">IFERROR(ROUNDUP($C1307/3,0),"")</f>
        <v>1</v>
      </c>
      <c r="E1307" s="11" t="str">
        <f aca="false">TRIM('수출입 실적(품목별)'!B1311)</f>
        <v>53</v>
      </c>
      <c r="F1307" s="11" t="str">
        <f aca="false">TRIM('수출입 실적(품목별)'!C1311)</f>
        <v>그 밖의 식물성 방직용 섬유, 종이실(paper yarn)과 종이실로 만든 직물</v>
      </c>
      <c r="G1307" s="18" t="n">
        <f aca="false">IFERROR(VALUE(SUBSTITUTE(TRIM('수출입 실적(품목별)'!D1311),",","")),"")</f>
        <v>48.6</v>
      </c>
      <c r="H1307" s="19" t="n">
        <f aca="false">IFERROR(VALUE(SUBSTITUTE(TRIM('수출입 실적(품목별)'!E1311),",","")),"")</f>
        <v>502</v>
      </c>
      <c r="I1307" s="18" t="n">
        <f aca="false">IFERROR(VALUE(SUBSTITUTE(TRIM('수출입 실적(품목별)'!F1311),",","")),"")</f>
        <v>981.2</v>
      </c>
      <c r="J1307" s="19" t="n">
        <f aca="false">IFERROR(VALUE(SUBSTITUTE(TRIM('수출입 실적(품목별)'!G1311),",","")),"")</f>
        <v>3638</v>
      </c>
      <c r="K1307" s="19" t="n">
        <f aca="false">IFERROR(VALUE(SUBSTITUTE(TRIM('수출입 실적(품목별)'!H1311),",","")),"")</f>
        <v>-3135</v>
      </c>
    </row>
    <row r="1308" customFormat="false" ht="15" hidden="false" customHeight="true" outlineLevel="0" collapsed="false">
      <c r="A1308" s="11" t="str">
        <f aca="false">TRIM('수출입 실적(품목별)'!A1312)</f>
        <v>2025.02</v>
      </c>
      <c r="B1308" s="17" t="n">
        <f aca="false">IFERROR(VALUE(LEFT($A1308,4)),"")</f>
        <v>2025</v>
      </c>
      <c r="C1308" s="17" t="n">
        <f aca="false">IFERROR(VALUE(RIGHT($A1308,2)),"")</f>
        <v>2</v>
      </c>
      <c r="D1308" s="17" t="n">
        <f aca="false">IFERROR(ROUNDUP($C1308/3,0),"")</f>
        <v>1</v>
      </c>
      <c r="E1308" s="11" t="str">
        <f aca="false">TRIM('수출입 실적(품목별)'!B1312)</f>
        <v>54</v>
      </c>
      <c r="F1308" s="11" t="str">
        <f aca="false">TRIM('수출입 실적(품목별)'!C1312)</f>
        <v>인조필라멘트, 인조방직용 섬유재료의 스트립(strip)과 이와 유사한 것</v>
      </c>
      <c r="G1308" s="18" t="n">
        <f aca="false">IFERROR(VALUE(SUBSTITUTE(TRIM('수출입 실적(품목별)'!D1312),",","")),"")</f>
        <v>24132.6</v>
      </c>
      <c r="H1308" s="19" t="n">
        <f aca="false">IFERROR(VALUE(SUBSTITUTE(TRIM('수출입 실적(품목별)'!E1312),",","")),"")</f>
        <v>150196</v>
      </c>
      <c r="I1308" s="18" t="n">
        <f aca="false">IFERROR(VALUE(SUBSTITUTE(TRIM('수출입 실적(품목별)'!F1312),",","")),"")</f>
        <v>40412.1</v>
      </c>
      <c r="J1308" s="19" t="n">
        <f aca="false">IFERROR(VALUE(SUBSTITUTE(TRIM('수출입 실적(품목별)'!G1312),",","")),"")</f>
        <v>86565</v>
      </c>
      <c r="K1308" s="19" t="n">
        <f aca="false">IFERROR(VALUE(SUBSTITUTE(TRIM('수출입 실적(품목별)'!H1312),",","")),"")</f>
        <v>63631</v>
      </c>
    </row>
    <row r="1309" customFormat="false" ht="15" hidden="false" customHeight="true" outlineLevel="0" collapsed="false">
      <c r="A1309" s="11" t="str">
        <f aca="false">TRIM('수출입 실적(품목별)'!A1313)</f>
        <v>2025.02</v>
      </c>
      <c r="B1309" s="17" t="n">
        <f aca="false">IFERROR(VALUE(LEFT($A1309,4)),"")</f>
        <v>2025</v>
      </c>
      <c r="C1309" s="17" t="n">
        <f aca="false">IFERROR(VALUE(RIGHT($A1309,2)),"")</f>
        <v>2</v>
      </c>
      <c r="D1309" s="17" t="n">
        <f aca="false">IFERROR(ROUNDUP($C1309/3,0),"")</f>
        <v>1</v>
      </c>
      <c r="E1309" s="11" t="str">
        <f aca="false">TRIM('수출입 실적(품목별)'!B1313)</f>
        <v>55</v>
      </c>
      <c r="F1309" s="11" t="str">
        <f aca="false">TRIM('수출입 실적(품목별)'!C1313)</f>
        <v>인조스테이플섬유</v>
      </c>
      <c r="G1309" s="18" t="n">
        <f aca="false">IFERROR(VALUE(SUBSTITUTE(TRIM('수출입 실적(품목별)'!D1313),",","")),"")</f>
        <v>62336.3</v>
      </c>
      <c r="H1309" s="19" t="n">
        <f aca="false">IFERROR(VALUE(SUBSTITUTE(TRIM('수출입 실적(품목별)'!E1313),",","")),"")</f>
        <v>104033</v>
      </c>
      <c r="I1309" s="18" t="n">
        <f aca="false">IFERROR(VALUE(SUBSTITUTE(TRIM('수출입 실적(품목별)'!F1313),",","")),"")</f>
        <v>11633</v>
      </c>
      <c r="J1309" s="19" t="n">
        <f aca="false">IFERROR(VALUE(SUBSTITUTE(TRIM('수출입 실적(품목별)'!G1313),",","")),"")</f>
        <v>43604</v>
      </c>
      <c r="K1309" s="19" t="n">
        <f aca="false">IFERROR(VALUE(SUBSTITUTE(TRIM('수출입 실적(품목별)'!H1313),",","")),"")</f>
        <v>60429</v>
      </c>
    </row>
    <row r="1310" customFormat="false" ht="15" hidden="false" customHeight="true" outlineLevel="0" collapsed="false">
      <c r="A1310" s="11" t="str">
        <f aca="false">TRIM('수출입 실적(품목별)'!A1314)</f>
        <v>2025.02</v>
      </c>
      <c r="B1310" s="17" t="n">
        <f aca="false">IFERROR(VALUE(LEFT($A1310,4)),"")</f>
        <v>2025</v>
      </c>
      <c r="C1310" s="17" t="n">
        <f aca="false">IFERROR(VALUE(RIGHT($A1310,2)),"")</f>
        <v>2</v>
      </c>
      <c r="D1310" s="17" t="n">
        <f aca="false">IFERROR(ROUNDUP($C1310/3,0),"")</f>
        <v>1</v>
      </c>
      <c r="E1310" s="11" t="str">
        <f aca="false">TRIM('수출입 실적(품목별)'!B1314)</f>
        <v>56</v>
      </c>
      <c r="F1310" s="11" t="str">
        <f aca="false">TRIM('수출입 실적(품목별)'!C1314)</f>
        <v>워딩(wadding)ㆍ펠트(felt)ㆍ부직포, 특수사, 끈ㆍ배의 밧줄(cordage)ㆍ로프ㆍ케이블과 이들의 제품</v>
      </c>
      <c r="G1310" s="18" t="n">
        <f aca="false">IFERROR(VALUE(SUBSTITUTE(TRIM('수출입 실적(품목별)'!D1314),",","")),"")</f>
        <v>9694.8</v>
      </c>
      <c r="H1310" s="19" t="n">
        <f aca="false">IFERROR(VALUE(SUBSTITUTE(TRIM('수출입 실적(품목별)'!E1314),",","")),"")</f>
        <v>63923</v>
      </c>
      <c r="I1310" s="18" t="n">
        <f aca="false">IFERROR(VALUE(SUBSTITUTE(TRIM('수출입 실적(품목별)'!F1314),",","")),"")</f>
        <v>16437.3</v>
      </c>
      <c r="J1310" s="19" t="n">
        <f aca="false">IFERROR(VALUE(SUBSTITUTE(TRIM('수출입 실적(품목별)'!G1314),",","")),"")</f>
        <v>49138</v>
      </c>
      <c r="K1310" s="19" t="n">
        <f aca="false">IFERROR(VALUE(SUBSTITUTE(TRIM('수출입 실적(품목별)'!H1314),",","")),"")</f>
        <v>14785</v>
      </c>
    </row>
    <row r="1311" customFormat="false" ht="15" hidden="false" customHeight="true" outlineLevel="0" collapsed="false">
      <c r="A1311" s="11" t="str">
        <f aca="false">TRIM('수출입 실적(품목별)'!A1315)</f>
        <v>2025.02</v>
      </c>
      <c r="B1311" s="17" t="n">
        <f aca="false">IFERROR(VALUE(LEFT($A1311,4)),"")</f>
        <v>2025</v>
      </c>
      <c r="C1311" s="17" t="n">
        <f aca="false">IFERROR(VALUE(RIGHT($A1311,2)),"")</f>
        <v>2</v>
      </c>
      <c r="D1311" s="17" t="n">
        <f aca="false">IFERROR(ROUNDUP($C1311/3,0),"")</f>
        <v>1</v>
      </c>
      <c r="E1311" s="11" t="str">
        <f aca="false">TRIM('수출입 실적(품목별)'!B1315)</f>
        <v>57</v>
      </c>
      <c r="F1311" s="11" t="str">
        <f aca="false">TRIM('수출입 실적(품목별)'!C1315)</f>
        <v>양탄자류와 그 밖의 방직용 섬유로 만든 바닥깔개</v>
      </c>
      <c r="G1311" s="18" t="n">
        <f aca="false">IFERROR(VALUE(SUBSTITUTE(TRIM('수출입 실적(품목별)'!D1315),",","")),"")</f>
        <v>464</v>
      </c>
      <c r="H1311" s="19" t="n">
        <f aca="false">IFERROR(VALUE(SUBSTITUTE(TRIM('수출입 실적(품목별)'!E1315),",","")),"")</f>
        <v>5971</v>
      </c>
      <c r="I1311" s="18" t="n">
        <f aca="false">IFERROR(VALUE(SUBSTITUTE(TRIM('수출입 실적(품목별)'!F1315),",","")),"")</f>
        <v>3772.4</v>
      </c>
      <c r="J1311" s="19" t="n">
        <f aca="false">IFERROR(VALUE(SUBSTITUTE(TRIM('수출입 실적(품목별)'!G1315),",","")),"")</f>
        <v>8257</v>
      </c>
      <c r="K1311" s="19" t="n">
        <f aca="false">IFERROR(VALUE(SUBSTITUTE(TRIM('수출입 실적(품목별)'!H1315),",","")),"")</f>
        <v>-2286</v>
      </c>
    </row>
    <row r="1312" customFormat="false" ht="15" hidden="false" customHeight="true" outlineLevel="0" collapsed="false">
      <c r="A1312" s="11" t="str">
        <f aca="false">TRIM('수출입 실적(품목별)'!A1316)</f>
        <v>2025.02</v>
      </c>
      <c r="B1312" s="17" t="n">
        <f aca="false">IFERROR(VALUE(LEFT($A1312,4)),"")</f>
        <v>2025</v>
      </c>
      <c r="C1312" s="17" t="n">
        <f aca="false">IFERROR(VALUE(RIGHT($A1312,2)),"")</f>
        <v>2</v>
      </c>
      <c r="D1312" s="17" t="n">
        <f aca="false">IFERROR(ROUNDUP($C1312/3,0),"")</f>
        <v>1</v>
      </c>
      <c r="E1312" s="11" t="str">
        <f aca="false">TRIM('수출입 실적(품목별)'!B1316)</f>
        <v>58</v>
      </c>
      <c r="F1312" s="11" t="str">
        <f aca="false">TRIM('수출입 실적(품목별)'!C1316)</f>
        <v>특수직물, 터프트(tuft)한 직물, 레이스, 태피스트리(tapestry), 트리밍(trimming), 자수천</v>
      </c>
      <c r="G1312" s="18" t="n">
        <f aca="false">IFERROR(VALUE(SUBSTITUTE(TRIM('수출입 실적(품목별)'!D1316),",","")),"")</f>
        <v>1202</v>
      </c>
      <c r="H1312" s="19" t="n">
        <f aca="false">IFERROR(VALUE(SUBSTITUTE(TRIM('수출입 실적(품목별)'!E1316),",","")),"")</f>
        <v>16628</v>
      </c>
      <c r="I1312" s="18" t="n">
        <f aca="false">IFERROR(VALUE(SUBSTITUTE(TRIM('수출입 실적(품목별)'!F1316),",","")),"")</f>
        <v>490.1</v>
      </c>
      <c r="J1312" s="19" t="n">
        <f aca="false">IFERROR(VALUE(SUBSTITUTE(TRIM('수출입 실적(품목별)'!G1316),",","")),"")</f>
        <v>4195</v>
      </c>
      <c r="K1312" s="19" t="n">
        <f aca="false">IFERROR(VALUE(SUBSTITUTE(TRIM('수출입 실적(품목별)'!H1316),",","")),"")</f>
        <v>12433</v>
      </c>
    </row>
    <row r="1313" customFormat="false" ht="15" hidden="false" customHeight="true" outlineLevel="0" collapsed="false">
      <c r="A1313" s="11" t="str">
        <f aca="false">TRIM('수출입 실적(품목별)'!A1317)</f>
        <v>2025.02</v>
      </c>
      <c r="B1313" s="17" t="n">
        <f aca="false">IFERROR(VALUE(LEFT($A1313,4)),"")</f>
        <v>2025</v>
      </c>
      <c r="C1313" s="17" t="n">
        <f aca="false">IFERROR(VALUE(RIGHT($A1313,2)),"")</f>
        <v>2</v>
      </c>
      <c r="D1313" s="17" t="n">
        <f aca="false">IFERROR(ROUNDUP($C1313/3,0),"")</f>
        <v>1</v>
      </c>
      <c r="E1313" s="11" t="str">
        <f aca="false">TRIM('수출입 실적(품목별)'!B1317)</f>
        <v>59</v>
      </c>
      <c r="F1313" s="11" t="str">
        <f aca="false">TRIM('수출입 실적(품목별)'!C1317)</f>
        <v>침투ㆍ도포ㆍ피복하거나 적층한 방직용 섬유의 직물, 공업용인 방직용 섬유제품</v>
      </c>
      <c r="G1313" s="18" t="n">
        <f aca="false">IFERROR(VALUE(SUBSTITUTE(TRIM('수출입 실적(품목별)'!D1317),",","")),"")</f>
        <v>9699.8</v>
      </c>
      <c r="H1313" s="19" t="n">
        <f aca="false">IFERROR(VALUE(SUBSTITUTE(TRIM('수출입 실적(품목별)'!E1317),",","")),"")</f>
        <v>99698</v>
      </c>
      <c r="I1313" s="18" t="n">
        <f aca="false">IFERROR(VALUE(SUBSTITUTE(TRIM('수출입 실적(품목별)'!F1317),",","")),"")</f>
        <v>5159.4</v>
      </c>
      <c r="J1313" s="19" t="n">
        <f aca="false">IFERROR(VALUE(SUBSTITUTE(TRIM('수출입 실적(품목별)'!G1317),",","")),"")</f>
        <v>32432</v>
      </c>
      <c r="K1313" s="19" t="n">
        <f aca="false">IFERROR(VALUE(SUBSTITUTE(TRIM('수출입 실적(품목별)'!H1317),",","")),"")</f>
        <v>67265</v>
      </c>
    </row>
    <row r="1314" customFormat="false" ht="15" hidden="false" customHeight="true" outlineLevel="0" collapsed="false">
      <c r="A1314" s="11" t="str">
        <f aca="false">TRIM('수출입 실적(품목별)'!A1318)</f>
        <v>2025.02</v>
      </c>
      <c r="B1314" s="17" t="n">
        <f aca="false">IFERROR(VALUE(LEFT($A1314,4)),"")</f>
        <v>2025</v>
      </c>
      <c r="C1314" s="17" t="n">
        <f aca="false">IFERROR(VALUE(RIGHT($A1314,2)),"")</f>
        <v>2</v>
      </c>
      <c r="D1314" s="17" t="n">
        <f aca="false">IFERROR(ROUNDUP($C1314/3,0),"")</f>
        <v>1</v>
      </c>
      <c r="E1314" s="11" t="str">
        <f aca="false">TRIM('수출입 실적(품목별)'!B1318)</f>
        <v>60</v>
      </c>
      <c r="F1314" s="11" t="str">
        <f aca="false">TRIM('수출입 실적(품목별)'!C1318)</f>
        <v>메리야스 편물과 뜨개질 편물</v>
      </c>
      <c r="G1314" s="18" t="n">
        <f aca="false">IFERROR(VALUE(SUBSTITUTE(TRIM('수출입 실적(품목별)'!D1318),",","")),"")</f>
        <v>17163.6</v>
      </c>
      <c r="H1314" s="19" t="n">
        <f aca="false">IFERROR(VALUE(SUBSTITUTE(TRIM('수출입 실적(품목별)'!E1318),",","")),"")</f>
        <v>124790</v>
      </c>
      <c r="I1314" s="18" t="n">
        <f aca="false">IFERROR(VALUE(SUBSTITUTE(TRIM('수출입 실적(품목별)'!F1318),",","")),"")</f>
        <v>1216.2</v>
      </c>
      <c r="J1314" s="19" t="n">
        <f aca="false">IFERROR(VALUE(SUBSTITUTE(TRIM('수출입 실적(품목별)'!G1318),",","")),"")</f>
        <v>6386</v>
      </c>
      <c r="K1314" s="19" t="n">
        <f aca="false">IFERROR(VALUE(SUBSTITUTE(TRIM('수출입 실적(품목별)'!H1318),",","")),"")</f>
        <v>118404</v>
      </c>
    </row>
    <row r="1315" customFormat="false" ht="15" hidden="false" customHeight="true" outlineLevel="0" collapsed="false">
      <c r="A1315" s="11" t="str">
        <f aca="false">TRIM('수출입 실적(품목별)'!A1319)</f>
        <v>2025.02</v>
      </c>
      <c r="B1315" s="17" t="n">
        <f aca="false">IFERROR(VALUE(LEFT($A1315,4)),"")</f>
        <v>2025</v>
      </c>
      <c r="C1315" s="17" t="n">
        <f aca="false">IFERROR(VALUE(RIGHT($A1315,2)),"")</f>
        <v>2</v>
      </c>
      <c r="D1315" s="17" t="n">
        <f aca="false">IFERROR(ROUNDUP($C1315/3,0),"")</f>
        <v>1</v>
      </c>
      <c r="E1315" s="11" t="str">
        <f aca="false">TRIM('수출입 실적(품목별)'!B1319)</f>
        <v>61</v>
      </c>
      <c r="F1315" s="11" t="str">
        <f aca="false">TRIM('수출입 실적(품목별)'!C1319)</f>
        <v>의류와 그 부속품(메리야스 편물이나 뜨개질 편물로 한정한다)</v>
      </c>
      <c r="G1315" s="18" t="n">
        <f aca="false">IFERROR(VALUE(SUBSTITUTE(TRIM('수출입 실적(품목별)'!D1319),",","")),"")</f>
        <v>2506.4</v>
      </c>
      <c r="H1315" s="19" t="n">
        <f aca="false">IFERROR(VALUE(SUBSTITUTE(TRIM('수출입 실적(품목별)'!E1319),",","")),"")</f>
        <v>66068</v>
      </c>
      <c r="I1315" s="18" t="n">
        <f aca="false">IFERROR(VALUE(SUBSTITUTE(TRIM('수출입 실적(품목별)'!F1319),",","")),"")</f>
        <v>16494.1</v>
      </c>
      <c r="J1315" s="19" t="n">
        <f aca="false">IFERROR(VALUE(SUBSTITUTE(TRIM('수출입 실적(품목별)'!G1319),",","")),"")</f>
        <v>382637</v>
      </c>
      <c r="K1315" s="19" t="n">
        <f aca="false">IFERROR(VALUE(SUBSTITUTE(TRIM('수출입 실적(품목별)'!H1319),",","")),"")</f>
        <v>-316569</v>
      </c>
    </row>
    <row r="1316" customFormat="false" ht="15" hidden="false" customHeight="true" outlineLevel="0" collapsed="false">
      <c r="A1316" s="11" t="str">
        <f aca="false">TRIM('수출입 실적(품목별)'!A1320)</f>
        <v>2025.02</v>
      </c>
      <c r="B1316" s="17" t="n">
        <f aca="false">IFERROR(VALUE(LEFT($A1316,4)),"")</f>
        <v>2025</v>
      </c>
      <c r="C1316" s="17" t="n">
        <f aca="false">IFERROR(VALUE(RIGHT($A1316,2)),"")</f>
        <v>2</v>
      </c>
      <c r="D1316" s="17" t="n">
        <f aca="false">IFERROR(ROUNDUP($C1316/3,0),"")</f>
        <v>1</v>
      </c>
      <c r="E1316" s="11" t="str">
        <f aca="false">TRIM('수출입 실적(품목별)'!B1320)</f>
        <v>62</v>
      </c>
      <c r="F1316" s="11" t="str">
        <f aca="false">TRIM('수출입 실적(품목별)'!C1320)</f>
        <v>의류와 그 부속품(메리야스 편물이나 뜨개질편물은 제외한다)</v>
      </c>
      <c r="G1316" s="18" t="n">
        <f aca="false">IFERROR(VALUE(SUBSTITUTE(TRIM('수출입 실적(품목별)'!D1320),",","")),"")</f>
        <v>2292.9</v>
      </c>
      <c r="H1316" s="19" t="n">
        <f aca="false">IFERROR(VALUE(SUBSTITUTE(TRIM('수출입 실적(품목별)'!E1320),",","")),"")</f>
        <v>63688</v>
      </c>
      <c r="I1316" s="18" t="n">
        <f aca="false">IFERROR(VALUE(SUBSTITUTE(TRIM('수출입 실적(품목별)'!F1320),",","")),"")</f>
        <v>15385.4</v>
      </c>
      <c r="J1316" s="19" t="n">
        <f aca="false">IFERROR(VALUE(SUBSTITUTE(TRIM('수출입 실적(품목별)'!G1320),",","")),"")</f>
        <v>537809</v>
      </c>
      <c r="K1316" s="19" t="n">
        <f aca="false">IFERROR(VALUE(SUBSTITUTE(TRIM('수출입 실적(품목별)'!H1320),",","")),"")</f>
        <v>-474121</v>
      </c>
    </row>
    <row r="1317" customFormat="false" ht="15" hidden="false" customHeight="true" outlineLevel="0" collapsed="false">
      <c r="A1317" s="11" t="str">
        <f aca="false">TRIM('수출입 실적(품목별)'!A1321)</f>
        <v>2025.02</v>
      </c>
      <c r="B1317" s="17" t="n">
        <f aca="false">IFERROR(VALUE(LEFT($A1317,4)),"")</f>
        <v>2025</v>
      </c>
      <c r="C1317" s="17" t="n">
        <f aca="false">IFERROR(VALUE(RIGHT($A1317,2)),"")</f>
        <v>2</v>
      </c>
      <c r="D1317" s="17" t="n">
        <f aca="false">IFERROR(ROUNDUP($C1317/3,0),"")</f>
        <v>1</v>
      </c>
      <c r="E1317" s="11" t="str">
        <f aca="false">TRIM('수출입 실적(품목별)'!B1321)</f>
        <v>63</v>
      </c>
      <c r="F1317" s="11" t="str">
        <f aca="false">TRIM('수출입 실적(품목별)'!C1321)</f>
        <v>제품으로 된 방직용 섬유의 그 밖의 물품, 세트, 사용하던 의류ㆍ방직용 섬유제품, 넝마</v>
      </c>
      <c r="G1317" s="18" t="n">
        <f aca="false">IFERROR(VALUE(SUBSTITUTE(TRIM('수출입 실적(품목별)'!D1321),",","")),"")</f>
        <v>28752.3</v>
      </c>
      <c r="H1317" s="19" t="n">
        <f aca="false">IFERROR(VALUE(SUBSTITUTE(TRIM('수출입 실적(품목별)'!E1321),",","")),"")</f>
        <v>53901</v>
      </c>
      <c r="I1317" s="18" t="n">
        <f aca="false">IFERROR(VALUE(SUBSTITUTE(TRIM('수출입 실적(품목별)'!F1321),",","")),"")</f>
        <v>20728.5</v>
      </c>
      <c r="J1317" s="19" t="n">
        <f aca="false">IFERROR(VALUE(SUBSTITUTE(TRIM('수출입 실적(품목별)'!G1321),",","")),"")</f>
        <v>74884</v>
      </c>
      <c r="K1317" s="19" t="n">
        <f aca="false">IFERROR(VALUE(SUBSTITUTE(TRIM('수출입 실적(품목별)'!H1321),",","")),"")</f>
        <v>-20983</v>
      </c>
    </row>
    <row r="1318" customFormat="false" ht="15" hidden="false" customHeight="true" outlineLevel="0" collapsed="false">
      <c r="A1318" s="11" t="str">
        <f aca="false">TRIM('수출입 실적(품목별)'!A1322)</f>
        <v>2025.02</v>
      </c>
      <c r="B1318" s="17" t="n">
        <f aca="false">IFERROR(VALUE(LEFT($A1318,4)),"")</f>
        <v>2025</v>
      </c>
      <c r="C1318" s="17" t="n">
        <f aca="false">IFERROR(VALUE(RIGHT($A1318,2)),"")</f>
        <v>2</v>
      </c>
      <c r="D1318" s="17" t="n">
        <f aca="false">IFERROR(ROUNDUP($C1318/3,0),"")</f>
        <v>1</v>
      </c>
      <c r="E1318" s="11" t="str">
        <f aca="false">TRIM('수출입 실적(품목별)'!B1322)</f>
        <v>64</v>
      </c>
      <c r="F1318" s="11" t="str">
        <f aca="false">TRIM('수출입 실적(품목별)'!C1322)</f>
        <v>신발류ㆍ각반과 이와 유사한 것, 이들의 부분품</v>
      </c>
      <c r="G1318" s="18" t="n">
        <f aca="false">IFERROR(VALUE(SUBSTITUTE(TRIM('수출입 실적(품목별)'!D1322),",","")),"")</f>
        <v>1250.3</v>
      </c>
      <c r="H1318" s="19" t="n">
        <f aca="false">IFERROR(VALUE(SUBSTITUTE(TRIM('수출입 실적(품목별)'!E1322),",","")),"")</f>
        <v>31464</v>
      </c>
      <c r="I1318" s="18" t="n">
        <f aca="false">IFERROR(VALUE(SUBSTITUTE(TRIM('수출입 실적(품목별)'!F1322),",","")),"")</f>
        <v>8552.5</v>
      </c>
      <c r="J1318" s="19" t="n">
        <f aca="false">IFERROR(VALUE(SUBSTITUTE(TRIM('수출입 실적(품목별)'!G1322),",","")),"")</f>
        <v>274686</v>
      </c>
      <c r="K1318" s="19" t="n">
        <f aca="false">IFERROR(VALUE(SUBSTITUTE(TRIM('수출입 실적(품목별)'!H1322),",","")),"")</f>
        <v>-243221</v>
      </c>
    </row>
    <row r="1319" customFormat="false" ht="15" hidden="false" customHeight="true" outlineLevel="0" collapsed="false">
      <c r="A1319" s="11" t="str">
        <f aca="false">TRIM('수출입 실적(품목별)'!A1323)</f>
        <v>2025.02</v>
      </c>
      <c r="B1319" s="17" t="n">
        <f aca="false">IFERROR(VALUE(LEFT($A1319,4)),"")</f>
        <v>2025</v>
      </c>
      <c r="C1319" s="17" t="n">
        <f aca="false">IFERROR(VALUE(RIGHT($A1319,2)),"")</f>
        <v>2</v>
      </c>
      <c r="D1319" s="17" t="n">
        <f aca="false">IFERROR(ROUNDUP($C1319/3,0),"")</f>
        <v>1</v>
      </c>
      <c r="E1319" s="11" t="str">
        <f aca="false">TRIM('수출입 실적(품목별)'!B1323)</f>
        <v>65</v>
      </c>
      <c r="F1319" s="11" t="str">
        <f aca="false">TRIM('수출입 실적(품목별)'!C1323)</f>
        <v>모자류와 그 부분품</v>
      </c>
      <c r="G1319" s="18" t="n">
        <f aca="false">IFERROR(VALUE(SUBSTITUTE(TRIM('수출입 실적(품목별)'!D1323),",","")),"")</f>
        <v>243.2</v>
      </c>
      <c r="H1319" s="19" t="n">
        <f aca="false">IFERROR(VALUE(SUBSTITUTE(TRIM('수출입 실적(품목별)'!E1323),",","")),"")</f>
        <v>7543</v>
      </c>
      <c r="I1319" s="18" t="n">
        <f aca="false">IFERROR(VALUE(SUBSTITUTE(TRIM('수출입 실적(품목별)'!F1323),",","")),"")</f>
        <v>593.2</v>
      </c>
      <c r="J1319" s="19" t="n">
        <f aca="false">IFERROR(VALUE(SUBSTITUTE(TRIM('수출입 실적(품목별)'!G1323),",","")),"")</f>
        <v>22230</v>
      </c>
      <c r="K1319" s="19" t="n">
        <f aca="false">IFERROR(VALUE(SUBSTITUTE(TRIM('수출입 실적(품목별)'!H1323),",","")),"")</f>
        <v>-14688</v>
      </c>
    </row>
    <row r="1320" customFormat="false" ht="15" hidden="false" customHeight="true" outlineLevel="0" collapsed="false">
      <c r="A1320" s="11" t="str">
        <f aca="false">TRIM('수출입 실적(품목별)'!A1324)</f>
        <v>2025.02</v>
      </c>
      <c r="B1320" s="17" t="n">
        <f aca="false">IFERROR(VALUE(LEFT($A1320,4)),"")</f>
        <v>2025</v>
      </c>
      <c r="C1320" s="17" t="n">
        <f aca="false">IFERROR(VALUE(RIGHT($A1320,2)),"")</f>
        <v>2</v>
      </c>
      <c r="D1320" s="17" t="n">
        <f aca="false">IFERROR(ROUNDUP($C1320/3,0),"")</f>
        <v>1</v>
      </c>
      <c r="E1320" s="11" t="str">
        <f aca="false">TRIM('수출입 실적(품목별)'!B1324)</f>
        <v>66</v>
      </c>
      <c r="F1320" s="11" t="str">
        <f aca="false">TRIM('수출입 실적(품목별)'!C1324)</f>
        <v>산류(傘類)ㆍ지팡이ㆍ시트스틱(seat-stick)ㆍ채찍ㆍ승마용 채찍과 이들의 부분품</v>
      </c>
      <c r="G1320" s="18" t="n">
        <f aca="false">IFERROR(VALUE(SUBSTITUTE(TRIM('수출입 실적(품목별)'!D1324),",","")),"")</f>
        <v>16</v>
      </c>
      <c r="H1320" s="19" t="n">
        <f aca="false">IFERROR(VALUE(SUBSTITUTE(TRIM('수출입 실적(품목별)'!E1324),",","")),"")</f>
        <v>216</v>
      </c>
      <c r="I1320" s="18" t="n">
        <f aca="false">IFERROR(VALUE(SUBSTITUTE(TRIM('수출입 실적(품목별)'!F1324),",","")),"")</f>
        <v>932</v>
      </c>
      <c r="J1320" s="19" t="n">
        <f aca="false">IFERROR(VALUE(SUBSTITUTE(TRIM('수출입 실적(품목별)'!G1324),",","")),"")</f>
        <v>6966</v>
      </c>
      <c r="K1320" s="19" t="n">
        <f aca="false">IFERROR(VALUE(SUBSTITUTE(TRIM('수출입 실적(품목별)'!H1324),",","")),"")</f>
        <v>-6750</v>
      </c>
    </row>
    <row r="1321" customFormat="false" ht="15" hidden="false" customHeight="true" outlineLevel="0" collapsed="false">
      <c r="A1321" s="11" t="str">
        <f aca="false">TRIM('수출입 실적(품목별)'!A1325)</f>
        <v>2025.02</v>
      </c>
      <c r="B1321" s="17" t="n">
        <f aca="false">IFERROR(VALUE(LEFT($A1321,4)),"")</f>
        <v>2025</v>
      </c>
      <c r="C1321" s="17" t="n">
        <f aca="false">IFERROR(VALUE(RIGHT($A1321,2)),"")</f>
        <v>2</v>
      </c>
      <c r="D1321" s="17" t="n">
        <f aca="false">IFERROR(ROUNDUP($C1321/3,0),"")</f>
        <v>1</v>
      </c>
      <c r="E1321" s="11" t="str">
        <f aca="false">TRIM('수출입 실적(품목별)'!B1325)</f>
        <v>67</v>
      </c>
      <c r="F1321" s="11" t="str">
        <f aca="false">TRIM('수출입 실적(품목별)'!C1325)</f>
        <v>조제 깃털ㆍ솜털과 그 제품, 조화, 사람 머리카락으로 된 제품</v>
      </c>
      <c r="G1321" s="18" t="n">
        <f aca="false">IFERROR(VALUE(SUBSTITUTE(TRIM('수출입 실적(품목별)'!D1325),",","")),"")</f>
        <v>24.4</v>
      </c>
      <c r="H1321" s="19" t="n">
        <f aca="false">IFERROR(VALUE(SUBSTITUTE(TRIM('수출입 실적(품목별)'!E1325),",","")),"")</f>
        <v>1653</v>
      </c>
      <c r="I1321" s="18" t="n">
        <f aca="false">IFERROR(VALUE(SUBSTITUTE(TRIM('수출입 실적(품목별)'!F1325),",","")),"")</f>
        <v>268.3</v>
      </c>
      <c r="J1321" s="19" t="n">
        <f aca="false">IFERROR(VALUE(SUBSTITUTE(TRIM('수출입 실적(품목별)'!G1325),",","")),"")</f>
        <v>4979</v>
      </c>
      <c r="K1321" s="19" t="n">
        <f aca="false">IFERROR(VALUE(SUBSTITUTE(TRIM('수출입 실적(품목별)'!H1325),",","")),"")</f>
        <v>-3326</v>
      </c>
    </row>
    <row r="1322" customFormat="false" ht="15" hidden="false" customHeight="true" outlineLevel="0" collapsed="false">
      <c r="A1322" s="11" t="str">
        <f aca="false">TRIM('수출입 실적(품목별)'!A1326)</f>
        <v>2025.02</v>
      </c>
      <c r="B1322" s="17" t="n">
        <f aca="false">IFERROR(VALUE(LEFT($A1322,4)),"")</f>
        <v>2025</v>
      </c>
      <c r="C1322" s="17" t="n">
        <f aca="false">IFERROR(VALUE(RIGHT($A1322,2)),"")</f>
        <v>2</v>
      </c>
      <c r="D1322" s="17" t="n">
        <f aca="false">IFERROR(ROUNDUP($C1322/3,0),"")</f>
        <v>1</v>
      </c>
      <c r="E1322" s="11" t="str">
        <f aca="false">TRIM('수출입 실적(품목별)'!B1326)</f>
        <v>68</v>
      </c>
      <c r="F1322" s="11" t="str">
        <f aca="false">TRIM('수출입 실적(품목별)'!C1326)</f>
        <v>돌ㆍ플라스터(plaster)ㆍ시멘트ㆍ석면ㆍ운모나 이와 유사한 재료의 제품</v>
      </c>
      <c r="G1322" s="18" t="n">
        <f aca="false">IFERROR(VALUE(SUBSTITUTE(TRIM('수출입 실적(품목별)'!D1326),",","")),"")</f>
        <v>10417.7</v>
      </c>
      <c r="H1322" s="19" t="n">
        <f aca="false">IFERROR(VALUE(SUBSTITUTE(TRIM('수출입 실적(품목별)'!E1326),",","")),"")</f>
        <v>69284</v>
      </c>
      <c r="I1322" s="18" t="n">
        <f aca="false">IFERROR(VALUE(SUBSTITUTE(TRIM('수출입 실적(품목별)'!F1326),",","")),"")</f>
        <v>100527.9</v>
      </c>
      <c r="J1322" s="19" t="n">
        <f aca="false">IFERROR(VALUE(SUBSTITUTE(TRIM('수출입 실적(품목별)'!G1326),",","")),"")</f>
        <v>84554</v>
      </c>
      <c r="K1322" s="19" t="n">
        <f aca="false">IFERROR(VALUE(SUBSTITUTE(TRIM('수출입 실적(품목별)'!H1326),",","")),"")</f>
        <v>-15270</v>
      </c>
    </row>
    <row r="1323" customFormat="false" ht="15" hidden="false" customHeight="true" outlineLevel="0" collapsed="false">
      <c r="A1323" s="11" t="str">
        <f aca="false">TRIM('수출입 실적(품목별)'!A1327)</f>
        <v>2025.02</v>
      </c>
      <c r="B1323" s="17" t="n">
        <f aca="false">IFERROR(VALUE(LEFT($A1323,4)),"")</f>
        <v>2025</v>
      </c>
      <c r="C1323" s="17" t="n">
        <f aca="false">IFERROR(VALUE(RIGHT($A1323,2)),"")</f>
        <v>2</v>
      </c>
      <c r="D1323" s="17" t="n">
        <f aca="false">IFERROR(ROUNDUP($C1323/3,0),"")</f>
        <v>1</v>
      </c>
      <c r="E1323" s="11" t="str">
        <f aca="false">TRIM('수출입 실적(품목별)'!B1327)</f>
        <v>69</v>
      </c>
      <c r="F1323" s="11" t="str">
        <f aca="false">TRIM('수출입 실적(품목별)'!C1327)</f>
        <v>도자제품</v>
      </c>
      <c r="G1323" s="18" t="n">
        <f aca="false">IFERROR(VALUE(SUBSTITUTE(TRIM('수출입 실적(품목별)'!D1327),",","")),"")</f>
        <v>2473.1</v>
      </c>
      <c r="H1323" s="19" t="n">
        <f aca="false">IFERROR(VALUE(SUBSTITUTE(TRIM('수출입 실적(품목별)'!E1327),",","")),"")</f>
        <v>25414</v>
      </c>
      <c r="I1323" s="18" t="n">
        <f aca="false">IFERROR(VALUE(SUBSTITUTE(TRIM('수출입 실적(품목별)'!F1327),",","")),"")</f>
        <v>85066.7</v>
      </c>
      <c r="J1323" s="19" t="n">
        <f aca="false">IFERROR(VALUE(SUBSTITUTE(TRIM('수출입 실적(품목별)'!G1327),",","")),"")</f>
        <v>124852</v>
      </c>
      <c r="K1323" s="19" t="n">
        <f aca="false">IFERROR(VALUE(SUBSTITUTE(TRIM('수출입 실적(품목별)'!H1327),",","")),"")</f>
        <v>-99438</v>
      </c>
    </row>
    <row r="1324" customFormat="false" ht="15" hidden="false" customHeight="true" outlineLevel="0" collapsed="false">
      <c r="A1324" s="11" t="str">
        <f aca="false">TRIM('수출입 실적(품목별)'!A1328)</f>
        <v>2025.02</v>
      </c>
      <c r="B1324" s="17" t="n">
        <f aca="false">IFERROR(VALUE(LEFT($A1324,4)),"")</f>
        <v>2025</v>
      </c>
      <c r="C1324" s="17" t="n">
        <f aca="false">IFERROR(VALUE(RIGHT($A1324,2)),"")</f>
        <v>2</v>
      </c>
      <c r="D1324" s="17" t="n">
        <f aca="false">IFERROR(ROUNDUP($C1324/3,0),"")</f>
        <v>1</v>
      </c>
      <c r="E1324" s="11" t="str">
        <f aca="false">TRIM('수출입 실적(품목별)'!B1328)</f>
        <v>70</v>
      </c>
      <c r="F1324" s="11" t="str">
        <f aca="false">TRIM('수출입 실적(품목별)'!C1328)</f>
        <v>유리와 유리제품</v>
      </c>
      <c r="G1324" s="18" t="n">
        <f aca="false">IFERROR(VALUE(SUBSTITUTE(TRIM('수출입 실적(품목별)'!D1328),",","")),"")</f>
        <v>31443.7</v>
      </c>
      <c r="H1324" s="19" t="n">
        <f aca="false">IFERROR(VALUE(SUBSTITUTE(TRIM('수출입 실적(품목별)'!E1328),",","")),"")</f>
        <v>167145</v>
      </c>
      <c r="I1324" s="18" t="n">
        <f aca="false">IFERROR(VALUE(SUBSTITUTE(TRIM('수출입 실적(품목별)'!F1328),",","")),"")</f>
        <v>88891.4</v>
      </c>
      <c r="J1324" s="19" t="n">
        <f aca="false">IFERROR(VALUE(SUBSTITUTE(TRIM('수출입 실적(품목별)'!G1328),",","")),"")</f>
        <v>201144</v>
      </c>
      <c r="K1324" s="19" t="n">
        <f aca="false">IFERROR(VALUE(SUBSTITUTE(TRIM('수출입 실적(품목별)'!H1328),",","")),"")</f>
        <v>-33999</v>
      </c>
    </row>
    <row r="1325" customFormat="false" ht="15" hidden="false" customHeight="true" outlineLevel="0" collapsed="false">
      <c r="A1325" s="11" t="str">
        <f aca="false">TRIM('수출입 실적(품목별)'!A1329)</f>
        <v>2025.02</v>
      </c>
      <c r="B1325" s="17" t="n">
        <f aca="false">IFERROR(VALUE(LEFT($A1325,4)),"")</f>
        <v>2025</v>
      </c>
      <c r="C1325" s="17" t="n">
        <f aca="false">IFERROR(VALUE(RIGHT($A1325,2)),"")</f>
        <v>2</v>
      </c>
      <c r="D1325" s="17" t="n">
        <f aca="false">IFERROR(ROUNDUP($C1325/3,0),"")</f>
        <v>1</v>
      </c>
      <c r="E1325" s="11" t="str">
        <f aca="false">TRIM('수출입 실적(품목별)'!B1329)</f>
        <v>71</v>
      </c>
      <c r="F1325" s="11" t="str">
        <f aca="false">TRIM('수출입 실적(품목별)'!C1329)</f>
        <v>천연진주ㆍ양식진주ㆍ귀석ㆍ반귀석ㆍ귀금속ㆍ귀금속을 입힌 금속과 이들의 제품, 모조 신변장식용품, 주화</v>
      </c>
      <c r="G1325" s="18" t="n">
        <f aca="false">IFERROR(VALUE(SUBSTITUTE(TRIM('수출입 실적(품목별)'!D1329),",","")),"")</f>
        <v>728.3</v>
      </c>
      <c r="H1325" s="19" t="n">
        <f aca="false">IFERROR(VALUE(SUBSTITUTE(TRIM('수출입 실적(품목별)'!E1329),",","")),"")</f>
        <v>523284</v>
      </c>
      <c r="I1325" s="18" t="n">
        <f aca="false">IFERROR(VALUE(SUBSTITUTE(TRIM('수출입 실적(품목별)'!F1329),",","")),"")</f>
        <v>1111.7</v>
      </c>
      <c r="J1325" s="19" t="n">
        <f aca="false">IFERROR(VALUE(SUBSTITUTE(TRIM('수출입 실적(품목별)'!G1329),",","")),"")</f>
        <v>1152867</v>
      </c>
      <c r="K1325" s="19" t="n">
        <f aca="false">IFERROR(VALUE(SUBSTITUTE(TRIM('수출입 실적(품목별)'!H1329),",","")),"")</f>
        <v>-629583</v>
      </c>
    </row>
    <row r="1326" customFormat="false" ht="15" hidden="false" customHeight="true" outlineLevel="0" collapsed="false">
      <c r="A1326" s="11" t="str">
        <f aca="false">TRIM('수출입 실적(품목별)'!A1330)</f>
        <v>2025.02</v>
      </c>
      <c r="B1326" s="17" t="n">
        <f aca="false">IFERROR(VALUE(LEFT($A1326,4)),"")</f>
        <v>2025</v>
      </c>
      <c r="C1326" s="17" t="n">
        <f aca="false">IFERROR(VALUE(RIGHT($A1326,2)),"")</f>
        <v>2</v>
      </c>
      <c r="D1326" s="17" t="n">
        <f aca="false">IFERROR(ROUNDUP($C1326/3,0),"")</f>
        <v>1</v>
      </c>
      <c r="E1326" s="11" t="str">
        <f aca="false">TRIM('수출입 실적(품목별)'!B1330)</f>
        <v>72</v>
      </c>
      <c r="F1326" s="11" t="str">
        <f aca="false">TRIM('수출입 실적(품목별)'!C1330)</f>
        <v>철강</v>
      </c>
      <c r="G1326" s="18" t="n">
        <f aca="false">IFERROR(VALUE(SUBSTITUTE(TRIM('수출입 실적(품목별)'!D1330),",","")),"")</f>
        <v>2209655</v>
      </c>
      <c r="H1326" s="19" t="n">
        <f aca="false">IFERROR(VALUE(SUBSTITUTE(TRIM('수출입 실적(품목별)'!E1330),",","")),"")</f>
        <v>1929526</v>
      </c>
      <c r="I1326" s="18" t="n">
        <f aca="false">IFERROR(VALUE(SUBSTITUTE(TRIM('수출입 실적(품목별)'!F1330),",","")),"")</f>
        <v>1241792.9</v>
      </c>
      <c r="J1326" s="19" t="n">
        <f aca="false">IFERROR(VALUE(SUBSTITUTE(TRIM('수출입 실적(품목별)'!G1330),",","")),"")</f>
        <v>937307</v>
      </c>
      <c r="K1326" s="19" t="n">
        <f aca="false">IFERROR(VALUE(SUBSTITUTE(TRIM('수출입 실적(품목별)'!H1330),",","")),"")</f>
        <v>992219</v>
      </c>
    </row>
    <row r="1327" customFormat="false" ht="15" hidden="false" customHeight="true" outlineLevel="0" collapsed="false">
      <c r="A1327" s="11" t="str">
        <f aca="false">TRIM('수출입 실적(품목별)'!A1331)</f>
        <v>2025.02</v>
      </c>
      <c r="B1327" s="17" t="n">
        <f aca="false">IFERROR(VALUE(LEFT($A1327,4)),"")</f>
        <v>2025</v>
      </c>
      <c r="C1327" s="17" t="n">
        <f aca="false">IFERROR(VALUE(RIGHT($A1327,2)),"")</f>
        <v>2</v>
      </c>
      <c r="D1327" s="17" t="n">
        <f aca="false">IFERROR(ROUNDUP($C1327/3,0),"")</f>
        <v>1</v>
      </c>
      <c r="E1327" s="11" t="str">
        <f aca="false">TRIM('수출입 실적(품목별)'!B1331)</f>
        <v>73</v>
      </c>
      <c r="F1327" s="11" t="str">
        <f aca="false">TRIM('수출입 실적(품목별)'!C1331)</f>
        <v>철강의 제품</v>
      </c>
      <c r="G1327" s="18" t="n">
        <f aca="false">IFERROR(VALUE(SUBSTITUTE(TRIM('수출입 실적(품목별)'!D1331),",","")),"")</f>
        <v>281459.1</v>
      </c>
      <c r="H1327" s="19" t="n">
        <f aca="false">IFERROR(VALUE(SUBSTITUTE(TRIM('수출입 실적(품목별)'!E1331),",","")),"")</f>
        <v>743727</v>
      </c>
      <c r="I1327" s="18" t="n">
        <f aca="false">IFERROR(VALUE(SUBSTITUTE(TRIM('수출입 실적(품목별)'!F1331),",","")),"")</f>
        <v>227414.2</v>
      </c>
      <c r="J1327" s="19" t="n">
        <f aca="false">IFERROR(VALUE(SUBSTITUTE(TRIM('수출입 실적(품목별)'!G1331),",","")),"")</f>
        <v>587353</v>
      </c>
      <c r="K1327" s="19" t="n">
        <f aca="false">IFERROR(VALUE(SUBSTITUTE(TRIM('수출입 실적(품목별)'!H1331),",","")),"")</f>
        <v>156374</v>
      </c>
    </row>
    <row r="1328" customFormat="false" ht="15" hidden="false" customHeight="true" outlineLevel="0" collapsed="false">
      <c r="A1328" s="11" t="str">
        <f aca="false">TRIM('수출입 실적(품목별)'!A1332)</f>
        <v>2025.02</v>
      </c>
      <c r="B1328" s="17" t="n">
        <f aca="false">IFERROR(VALUE(LEFT($A1328,4)),"")</f>
        <v>2025</v>
      </c>
      <c r="C1328" s="17" t="n">
        <f aca="false">IFERROR(VALUE(RIGHT($A1328,2)),"")</f>
        <v>2</v>
      </c>
      <c r="D1328" s="17" t="n">
        <f aca="false">IFERROR(ROUNDUP($C1328/3,0),"")</f>
        <v>1</v>
      </c>
      <c r="E1328" s="11" t="str">
        <f aca="false">TRIM('수출입 실적(품목별)'!B1332)</f>
        <v>74</v>
      </c>
      <c r="F1328" s="11" t="str">
        <f aca="false">TRIM('수출입 실적(품목별)'!C1332)</f>
        <v>구리와 그 제품</v>
      </c>
      <c r="G1328" s="18" t="n">
        <f aca="false">IFERROR(VALUE(SUBSTITUTE(TRIM('수출입 실적(품목별)'!D1332),",","")),"")</f>
        <v>44562.3</v>
      </c>
      <c r="H1328" s="19" t="n">
        <f aca="false">IFERROR(VALUE(SUBSTITUTE(TRIM('수출입 실적(품목별)'!E1332),",","")),"")</f>
        <v>401769</v>
      </c>
      <c r="I1328" s="18" t="n">
        <f aca="false">IFERROR(VALUE(SUBSTITUTE(TRIM('수출입 실적(품목별)'!F1332),",","")),"")</f>
        <v>52646.1</v>
      </c>
      <c r="J1328" s="19" t="n">
        <f aca="false">IFERROR(VALUE(SUBSTITUTE(TRIM('수출입 실적(품목별)'!G1332),",","")),"")</f>
        <v>489821</v>
      </c>
      <c r="K1328" s="19" t="n">
        <f aca="false">IFERROR(VALUE(SUBSTITUTE(TRIM('수출입 실적(품목별)'!H1332),",","")),"")</f>
        <v>-88052</v>
      </c>
    </row>
    <row r="1329" customFormat="false" ht="15" hidden="false" customHeight="true" outlineLevel="0" collapsed="false">
      <c r="A1329" s="11" t="str">
        <f aca="false">TRIM('수출입 실적(품목별)'!A1333)</f>
        <v>2025.02</v>
      </c>
      <c r="B1329" s="17" t="n">
        <f aca="false">IFERROR(VALUE(LEFT($A1329,4)),"")</f>
        <v>2025</v>
      </c>
      <c r="C1329" s="17" t="n">
        <f aca="false">IFERROR(VALUE(RIGHT($A1329,2)),"")</f>
        <v>2</v>
      </c>
      <c r="D1329" s="17" t="n">
        <f aca="false">IFERROR(ROUNDUP($C1329/3,0),"")</f>
        <v>1</v>
      </c>
      <c r="E1329" s="11" t="str">
        <f aca="false">TRIM('수출입 실적(품목별)'!B1333)</f>
        <v>75</v>
      </c>
      <c r="F1329" s="11" t="str">
        <f aca="false">TRIM('수출입 실적(품목별)'!C1333)</f>
        <v>니켈과 그 제품</v>
      </c>
      <c r="G1329" s="18" t="n">
        <f aca="false">IFERROR(VALUE(SUBSTITUTE(TRIM('수출입 실적(품목별)'!D1333),",","")),"")</f>
        <v>2500.5</v>
      </c>
      <c r="H1329" s="19" t="n">
        <f aca="false">IFERROR(VALUE(SUBSTITUTE(TRIM('수출입 실적(품목별)'!E1333),",","")),"")</f>
        <v>21670</v>
      </c>
      <c r="I1329" s="18" t="n">
        <f aca="false">IFERROR(VALUE(SUBSTITUTE(TRIM('수출입 실적(품목별)'!F1333),",","")),"")</f>
        <v>5088.9</v>
      </c>
      <c r="J1329" s="19" t="n">
        <f aca="false">IFERROR(VALUE(SUBSTITUTE(TRIM('수출입 실적(품목별)'!G1333),",","")),"")</f>
        <v>110270</v>
      </c>
      <c r="K1329" s="19" t="n">
        <f aca="false">IFERROR(VALUE(SUBSTITUTE(TRIM('수출입 실적(품목별)'!H1333),",","")),"")</f>
        <v>-88600</v>
      </c>
    </row>
    <row r="1330" customFormat="false" ht="15" hidden="false" customHeight="true" outlineLevel="0" collapsed="false">
      <c r="A1330" s="11" t="str">
        <f aca="false">TRIM('수출입 실적(품목별)'!A1334)</f>
        <v>2025.02</v>
      </c>
      <c r="B1330" s="17" t="n">
        <f aca="false">IFERROR(VALUE(LEFT($A1330,4)),"")</f>
        <v>2025</v>
      </c>
      <c r="C1330" s="17" t="n">
        <f aca="false">IFERROR(VALUE(RIGHT($A1330,2)),"")</f>
        <v>2</v>
      </c>
      <c r="D1330" s="17" t="n">
        <f aca="false">IFERROR(ROUNDUP($C1330/3,0),"")</f>
        <v>1</v>
      </c>
      <c r="E1330" s="11" t="str">
        <f aca="false">TRIM('수출입 실적(품목별)'!B1334)</f>
        <v>76</v>
      </c>
      <c r="F1330" s="11" t="str">
        <f aca="false">TRIM('수출입 실적(품목별)'!C1334)</f>
        <v>알루미늄과 그 제품</v>
      </c>
      <c r="G1330" s="18" t="n">
        <f aca="false">IFERROR(VALUE(SUBSTITUTE(TRIM('수출입 실적(품목별)'!D1334),",","")),"")</f>
        <v>110171.9</v>
      </c>
      <c r="H1330" s="19" t="n">
        <f aca="false">IFERROR(VALUE(SUBSTITUTE(TRIM('수출입 실적(품목별)'!E1334),",","")),"")</f>
        <v>443184</v>
      </c>
      <c r="I1330" s="18" t="n">
        <f aca="false">IFERROR(VALUE(SUBSTITUTE(TRIM('수출입 실적(품목별)'!F1334),",","")),"")</f>
        <v>233214.9</v>
      </c>
      <c r="J1330" s="19" t="n">
        <f aca="false">IFERROR(VALUE(SUBSTITUTE(TRIM('수출입 실적(품목별)'!G1334),",","")),"")</f>
        <v>711402</v>
      </c>
      <c r="K1330" s="19" t="n">
        <f aca="false">IFERROR(VALUE(SUBSTITUTE(TRIM('수출입 실적(품목별)'!H1334),",","")),"")</f>
        <v>-268218</v>
      </c>
    </row>
    <row r="1331" customFormat="false" ht="15" hidden="false" customHeight="true" outlineLevel="0" collapsed="false">
      <c r="A1331" s="11" t="str">
        <f aca="false">TRIM('수출입 실적(품목별)'!A1335)</f>
        <v>2025.02</v>
      </c>
      <c r="B1331" s="17" t="n">
        <f aca="false">IFERROR(VALUE(LEFT($A1331,4)),"")</f>
        <v>2025</v>
      </c>
      <c r="C1331" s="17" t="n">
        <f aca="false">IFERROR(VALUE(RIGHT($A1331,2)),"")</f>
        <v>2</v>
      </c>
      <c r="D1331" s="17" t="n">
        <f aca="false">IFERROR(ROUNDUP($C1331/3,0),"")</f>
        <v>1</v>
      </c>
      <c r="E1331" s="11" t="str">
        <f aca="false">TRIM('수출입 실적(품목별)'!B1335)</f>
        <v>78</v>
      </c>
      <c r="F1331" s="11" t="str">
        <f aca="false">TRIM('수출입 실적(품목별)'!C1335)</f>
        <v>납과 그 제품</v>
      </c>
      <c r="G1331" s="18" t="n">
        <f aca="false">IFERROR(VALUE(SUBSTITUTE(TRIM('수출입 실적(품목별)'!D1335),",","")),"")</f>
        <v>22134.1</v>
      </c>
      <c r="H1331" s="19" t="n">
        <f aca="false">IFERROR(VALUE(SUBSTITUTE(TRIM('수출입 실적(품목별)'!E1335),",","")),"")</f>
        <v>48512</v>
      </c>
      <c r="I1331" s="18" t="n">
        <f aca="false">IFERROR(VALUE(SUBSTITUTE(TRIM('수출입 실적(품목별)'!F1335),",","")),"")</f>
        <v>14152.2</v>
      </c>
      <c r="J1331" s="19" t="n">
        <f aca="false">IFERROR(VALUE(SUBSTITUTE(TRIM('수출입 실적(품목별)'!G1335),",","")),"")</f>
        <v>29724</v>
      </c>
      <c r="K1331" s="19" t="n">
        <f aca="false">IFERROR(VALUE(SUBSTITUTE(TRIM('수출입 실적(품목별)'!H1335),",","")),"")</f>
        <v>18788</v>
      </c>
    </row>
    <row r="1332" customFormat="false" ht="15" hidden="false" customHeight="true" outlineLevel="0" collapsed="false">
      <c r="A1332" s="11" t="str">
        <f aca="false">TRIM('수출입 실적(품목별)'!A1336)</f>
        <v>2025.02</v>
      </c>
      <c r="B1332" s="17" t="n">
        <f aca="false">IFERROR(VALUE(LEFT($A1332,4)),"")</f>
        <v>2025</v>
      </c>
      <c r="C1332" s="17" t="n">
        <f aca="false">IFERROR(VALUE(RIGHT($A1332,2)),"")</f>
        <v>2</v>
      </c>
      <c r="D1332" s="17" t="n">
        <f aca="false">IFERROR(ROUNDUP($C1332/3,0),"")</f>
        <v>1</v>
      </c>
      <c r="E1332" s="11" t="str">
        <f aca="false">TRIM('수출입 실적(품목별)'!B1336)</f>
        <v>79</v>
      </c>
      <c r="F1332" s="11" t="str">
        <f aca="false">TRIM('수출입 실적(품목별)'!C1336)</f>
        <v>아연과 그 제품</v>
      </c>
      <c r="G1332" s="18" t="n">
        <f aca="false">IFERROR(VALUE(SUBSTITUTE(TRIM('수출입 실적(품목별)'!D1336),",","")),"")</f>
        <v>30108.8</v>
      </c>
      <c r="H1332" s="19" t="n">
        <f aca="false">IFERROR(VALUE(SUBSTITUTE(TRIM('수출입 실적(품목별)'!E1336),",","")),"")</f>
        <v>90535</v>
      </c>
      <c r="I1332" s="18" t="n">
        <f aca="false">IFERROR(VALUE(SUBSTITUTE(TRIM('수출입 실적(품목별)'!F1336),",","")),"")</f>
        <v>2655.3</v>
      </c>
      <c r="J1332" s="19" t="n">
        <f aca="false">IFERROR(VALUE(SUBSTITUTE(TRIM('수출입 실적(품목별)'!G1336),",","")),"")</f>
        <v>8382</v>
      </c>
      <c r="K1332" s="19" t="n">
        <f aca="false">IFERROR(VALUE(SUBSTITUTE(TRIM('수출입 실적(품목별)'!H1336),",","")),"")</f>
        <v>82153</v>
      </c>
    </row>
    <row r="1333" customFormat="false" ht="15" hidden="false" customHeight="true" outlineLevel="0" collapsed="false">
      <c r="A1333" s="11" t="str">
        <f aca="false">TRIM('수출입 실적(품목별)'!A1337)</f>
        <v>2025.02</v>
      </c>
      <c r="B1333" s="17" t="n">
        <f aca="false">IFERROR(VALUE(LEFT($A1333,4)),"")</f>
        <v>2025</v>
      </c>
      <c r="C1333" s="17" t="n">
        <f aca="false">IFERROR(VALUE(RIGHT($A1333,2)),"")</f>
        <v>2</v>
      </c>
      <c r="D1333" s="17" t="n">
        <f aca="false">IFERROR(ROUNDUP($C1333/3,0),"")</f>
        <v>1</v>
      </c>
      <c r="E1333" s="11" t="str">
        <f aca="false">TRIM('수출입 실적(품목별)'!B1337)</f>
        <v>80</v>
      </c>
      <c r="F1333" s="11" t="str">
        <f aca="false">TRIM('수출입 실적(품목별)'!C1337)</f>
        <v>주석과 그 제품</v>
      </c>
      <c r="G1333" s="18" t="n">
        <f aca="false">IFERROR(VALUE(SUBSTITUTE(TRIM('수출입 실적(품목별)'!D1337),",","")),"")</f>
        <v>207.8</v>
      </c>
      <c r="H1333" s="19" t="n">
        <f aca="false">IFERROR(VALUE(SUBSTITUTE(TRIM('수출입 실적(품목별)'!E1337),",","")),"")</f>
        <v>7304</v>
      </c>
      <c r="I1333" s="18" t="n">
        <f aca="false">IFERROR(VALUE(SUBSTITUTE(TRIM('수출입 실적(품목별)'!F1337),",","")),"")</f>
        <v>1125.8</v>
      </c>
      <c r="J1333" s="19" t="n">
        <f aca="false">IFERROR(VALUE(SUBSTITUTE(TRIM('수출입 실적(품목별)'!G1337),",","")),"")</f>
        <v>35725</v>
      </c>
      <c r="K1333" s="19" t="n">
        <f aca="false">IFERROR(VALUE(SUBSTITUTE(TRIM('수출입 실적(품목별)'!H1337),",","")),"")</f>
        <v>-28421</v>
      </c>
    </row>
    <row r="1334" customFormat="false" ht="15" hidden="false" customHeight="true" outlineLevel="0" collapsed="false">
      <c r="A1334" s="11" t="str">
        <f aca="false">TRIM('수출입 실적(품목별)'!A1338)</f>
        <v>2025.02</v>
      </c>
      <c r="B1334" s="17" t="n">
        <f aca="false">IFERROR(VALUE(LEFT($A1334,4)),"")</f>
        <v>2025</v>
      </c>
      <c r="C1334" s="17" t="n">
        <f aca="false">IFERROR(VALUE(RIGHT($A1334,2)),"")</f>
        <v>2</v>
      </c>
      <c r="D1334" s="17" t="n">
        <f aca="false">IFERROR(ROUNDUP($C1334/3,0),"")</f>
        <v>1</v>
      </c>
      <c r="E1334" s="11" t="str">
        <f aca="false">TRIM('수출입 실적(품목별)'!B1338)</f>
        <v>81</v>
      </c>
      <c r="F1334" s="11" t="str">
        <f aca="false">TRIM('수출입 실적(품목별)'!C1338)</f>
        <v>그 밖의 비금속(卑金屬), 서멧(cermet), 이들의 제품</v>
      </c>
      <c r="G1334" s="18" t="n">
        <f aca="false">IFERROR(VALUE(SUBSTITUTE(TRIM('수출입 실적(품목별)'!D1338),",","")),"")</f>
        <v>2477.9</v>
      </c>
      <c r="H1334" s="19" t="n">
        <f aca="false">IFERROR(VALUE(SUBSTITUTE(TRIM('수출입 실적(품목별)'!E1338),",","")),"")</f>
        <v>37362</v>
      </c>
      <c r="I1334" s="18" t="n">
        <f aca="false">IFERROR(VALUE(SUBSTITUTE(TRIM('수출입 실적(품목별)'!F1338),",","")),"")</f>
        <v>12071.8</v>
      </c>
      <c r="J1334" s="19" t="n">
        <f aca="false">IFERROR(VALUE(SUBSTITUTE(TRIM('수출입 실적(품목별)'!G1338),",","")),"")</f>
        <v>100847</v>
      </c>
      <c r="K1334" s="19" t="n">
        <f aca="false">IFERROR(VALUE(SUBSTITUTE(TRIM('수출입 실적(품목별)'!H1338),",","")),"")</f>
        <v>-63485</v>
      </c>
    </row>
    <row r="1335" customFormat="false" ht="15" hidden="false" customHeight="true" outlineLevel="0" collapsed="false">
      <c r="A1335" s="11" t="str">
        <f aca="false">TRIM('수출입 실적(품목별)'!A1339)</f>
        <v>2025.02</v>
      </c>
      <c r="B1335" s="17" t="n">
        <f aca="false">IFERROR(VALUE(LEFT($A1335,4)),"")</f>
        <v>2025</v>
      </c>
      <c r="C1335" s="17" t="n">
        <f aca="false">IFERROR(VALUE(RIGHT($A1335,2)),"")</f>
        <v>2</v>
      </c>
      <c r="D1335" s="17" t="n">
        <f aca="false">IFERROR(ROUNDUP($C1335/3,0),"")</f>
        <v>1</v>
      </c>
      <c r="E1335" s="11" t="str">
        <f aca="false">TRIM('수출입 실적(품목별)'!B1339)</f>
        <v>82</v>
      </c>
      <c r="F1335" s="11" t="str">
        <f aca="false">TRIM('수출입 실적(품목별)'!C1339)</f>
        <v>비금속(卑金屬)으로 만든 공구ㆍ도구ㆍ칼붙이ㆍ스푼ㆍ포크, 이들의 부분품</v>
      </c>
      <c r="G1335" s="18" t="n">
        <f aca="false">IFERROR(VALUE(SUBSTITUTE(TRIM('수출입 실적(품목별)'!D1339),",","")),"")</f>
        <v>6484.8</v>
      </c>
      <c r="H1335" s="19" t="n">
        <f aca="false">IFERROR(VALUE(SUBSTITUTE(TRIM('수출입 실적(품목별)'!E1339),",","")),"")</f>
        <v>149438</v>
      </c>
      <c r="I1335" s="18" t="n">
        <f aca="false">IFERROR(VALUE(SUBSTITUTE(TRIM('수출입 실적(품목별)'!F1339),",","")),"")</f>
        <v>3702.8</v>
      </c>
      <c r="J1335" s="19" t="n">
        <f aca="false">IFERROR(VALUE(SUBSTITUTE(TRIM('수출입 실적(품목별)'!G1339),",","")),"")</f>
        <v>73613</v>
      </c>
      <c r="K1335" s="19" t="n">
        <f aca="false">IFERROR(VALUE(SUBSTITUTE(TRIM('수출입 실적(품목별)'!H1339),",","")),"")</f>
        <v>75825</v>
      </c>
    </row>
    <row r="1336" customFormat="false" ht="15" hidden="false" customHeight="true" outlineLevel="0" collapsed="false">
      <c r="A1336" s="11" t="str">
        <f aca="false">TRIM('수출입 실적(품목별)'!A1340)</f>
        <v>2025.02</v>
      </c>
      <c r="B1336" s="17" t="n">
        <f aca="false">IFERROR(VALUE(LEFT($A1336,4)),"")</f>
        <v>2025</v>
      </c>
      <c r="C1336" s="17" t="n">
        <f aca="false">IFERROR(VALUE(RIGHT($A1336,2)),"")</f>
        <v>2</v>
      </c>
      <c r="D1336" s="17" t="n">
        <f aca="false">IFERROR(ROUNDUP($C1336/3,0),"")</f>
        <v>1</v>
      </c>
      <c r="E1336" s="11" t="str">
        <f aca="false">TRIM('수출입 실적(품목별)'!B1340)</f>
        <v>83</v>
      </c>
      <c r="F1336" s="11" t="str">
        <f aca="false">TRIM('수출입 실적(품목별)'!C1340)</f>
        <v>비금속(卑金屬)으로 만든 각종 제품</v>
      </c>
      <c r="G1336" s="18" t="n">
        <f aca="false">IFERROR(VALUE(SUBSTITUTE(TRIM('수출입 실적(품목별)'!D1340),",","")),"")</f>
        <v>25289.7</v>
      </c>
      <c r="H1336" s="19" t="n">
        <f aca="false">IFERROR(VALUE(SUBSTITUTE(TRIM('수출입 실적(품목별)'!E1340),",","")),"")</f>
        <v>143447</v>
      </c>
      <c r="I1336" s="18" t="n">
        <f aca="false">IFERROR(VALUE(SUBSTITUTE(TRIM('수출입 실적(품목별)'!F1340),",","")),"")</f>
        <v>9141</v>
      </c>
      <c r="J1336" s="19" t="n">
        <f aca="false">IFERROR(VALUE(SUBSTITUTE(TRIM('수출입 실적(품목별)'!G1340),",","")),"")</f>
        <v>66285</v>
      </c>
      <c r="K1336" s="19" t="n">
        <f aca="false">IFERROR(VALUE(SUBSTITUTE(TRIM('수출입 실적(품목별)'!H1340),",","")),"")</f>
        <v>77162</v>
      </c>
    </row>
    <row r="1337" customFormat="false" ht="15" hidden="false" customHeight="true" outlineLevel="0" collapsed="false">
      <c r="A1337" s="11" t="str">
        <f aca="false">TRIM('수출입 실적(품목별)'!A1341)</f>
        <v>2025.02</v>
      </c>
      <c r="B1337" s="17" t="n">
        <f aca="false">IFERROR(VALUE(LEFT($A1337,4)),"")</f>
        <v>2025</v>
      </c>
      <c r="C1337" s="17" t="n">
        <f aca="false">IFERROR(VALUE(RIGHT($A1337,2)),"")</f>
        <v>2</v>
      </c>
      <c r="D1337" s="17" t="n">
        <f aca="false">IFERROR(ROUNDUP($C1337/3,0),"")</f>
        <v>1</v>
      </c>
      <c r="E1337" s="11" t="str">
        <f aca="false">TRIM('수출입 실적(품목별)'!B1341)</f>
        <v>84</v>
      </c>
      <c r="F1337" s="11" t="str">
        <f aca="false">TRIM('수출입 실적(품목별)'!C1341)</f>
        <v>원자로ㆍ보일러ㆍ기계류와 이들의 부분품</v>
      </c>
      <c r="G1337" s="18" t="n">
        <f aca="false">IFERROR(VALUE(SUBSTITUTE(TRIM('수출입 실적(품목별)'!D1341),",","")),"")</f>
        <v>363116.5</v>
      </c>
      <c r="H1337" s="19" t="n">
        <f aca="false">IFERROR(VALUE(SUBSTITUTE(TRIM('수출입 실적(품목별)'!E1341),",","")),"")</f>
        <v>6017125</v>
      </c>
      <c r="I1337" s="18" t="n">
        <f aca="false">IFERROR(VALUE(SUBSTITUTE(TRIM('수출입 실적(품목별)'!F1341),",","")),"")</f>
        <v>188006</v>
      </c>
      <c r="J1337" s="19" t="n">
        <f aca="false">IFERROR(VALUE(SUBSTITUTE(TRIM('수출입 실적(품목별)'!G1341),",","")),"")</f>
        <v>5663639</v>
      </c>
      <c r="K1337" s="19" t="n">
        <f aca="false">IFERROR(VALUE(SUBSTITUTE(TRIM('수출입 실적(품목별)'!H1341),",","")),"")</f>
        <v>353486</v>
      </c>
    </row>
    <row r="1338" customFormat="false" ht="15" hidden="false" customHeight="true" outlineLevel="0" collapsed="false">
      <c r="A1338" s="11" t="str">
        <f aca="false">TRIM('수출입 실적(품목별)'!A1342)</f>
        <v>2025.02</v>
      </c>
      <c r="B1338" s="17" t="n">
        <f aca="false">IFERROR(VALUE(LEFT($A1338,4)),"")</f>
        <v>2025</v>
      </c>
      <c r="C1338" s="17" t="n">
        <f aca="false">IFERROR(VALUE(RIGHT($A1338,2)),"")</f>
        <v>2</v>
      </c>
      <c r="D1338" s="17" t="n">
        <f aca="false">IFERROR(ROUNDUP($C1338/3,0),"")</f>
        <v>1</v>
      </c>
      <c r="E1338" s="11" t="str">
        <f aca="false">TRIM('수출입 실적(품목별)'!B1342)</f>
        <v>85</v>
      </c>
      <c r="F1338" s="11" t="str">
        <f aca="false">TRIM('수출입 실적(품목별)'!C1342)</f>
        <v>전기기기와 그 부분품, 녹음기ㆍ음성 재생기ㆍ텔레비전의 영상과 음성의 기록기ㆍ재생기와 이들의 부분품ㆍ부속품</v>
      </c>
      <c r="G1338" s="18" t="n">
        <f aca="false">IFERROR(VALUE(SUBSTITUTE(TRIM('수출입 실적(품목별)'!D1342),",","")),"")</f>
        <v>227244.7</v>
      </c>
      <c r="H1338" s="19" t="n">
        <f aca="false">IFERROR(VALUE(SUBSTITUTE(TRIM('수출입 실적(품목별)'!E1342),",","")),"")</f>
        <v>15082652</v>
      </c>
      <c r="I1338" s="18" t="n">
        <f aca="false">IFERROR(VALUE(SUBSTITUTE(TRIM('수출입 실적(품목별)'!F1342),",","")),"")</f>
        <v>173203.6</v>
      </c>
      <c r="J1338" s="19" t="n">
        <f aca="false">IFERROR(VALUE(SUBSTITUTE(TRIM('수출입 실적(품목별)'!G1342),",","")),"")</f>
        <v>9299061</v>
      </c>
      <c r="K1338" s="19" t="n">
        <f aca="false">IFERROR(VALUE(SUBSTITUTE(TRIM('수출입 실적(품목별)'!H1342),",","")),"")</f>
        <v>5783591</v>
      </c>
    </row>
    <row r="1339" customFormat="false" ht="15" hidden="false" customHeight="true" outlineLevel="0" collapsed="false">
      <c r="A1339" s="11" t="str">
        <f aca="false">TRIM('수출입 실적(품목별)'!A1343)</f>
        <v>2025.02</v>
      </c>
      <c r="B1339" s="17" t="n">
        <f aca="false">IFERROR(VALUE(LEFT($A1339,4)),"")</f>
        <v>2025</v>
      </c>
      <c r="C1339" s="17" t="n">
        <f aca="false">IFERROR(VALUE(RIGHT($A1339,2)),"")</f>
        <v>2</v>
      </c>
      <c r="D1339" s="17" t="n">
        <f aca="false">IFERROR(ROUNDUP($C1339/3,0),"")</f>
        <v>1</v>
      </c>
      <c r="E1339" s="11" t="str">
        <f aca="false">TRIM('수출입 실적(품목별)'!B1343)</f>
        <v>86</v>
      </c>
      <c r="F1339" s="11" t="str">
        <f aca="false">TRIM('수출입 실적(품목별)'!C1343)</f>
        <v>철도용이나 궤도용 기관차ㆍ차량과 이들의 부분품, 철도용이나 궤도용 장비품과 그 부분품, 기계식(전기기계식을 포함한다) 각종 교통신호용 기기</v>
      </c>
      <c r="G1339" s="18" t="n">
        <f aca="false">IFERROR(VALUE(SUBSTITUTE(TRIM('수출입 실적(품목별)'!D1343),",","")),"")</f>
        <v>11307</v>
      </c>
      <c r="H1339" s="19" t="n">
        <f aca="false">IFERROR(VALUE(SUBSTITUTE(TRIM('수출입 실적(품목별)'!E1343),",","")),"")</f>
        <v>37579</v>
      </c>
      <c r="I1339" s="18" t="n">
        <f aca="false">IFERROR(VALUE(SUBSTITUTE(TRIM('수출입 실적(품목별)'!F1343),",","")),"")</f>
        <v>10993.5</v>
      </c>
      <c r="J1339" s="19" t="n">
        <f aca="false">IFERROR(VALUE(SUBSTITUTE(TRIM('수출입 실적(품목별)'!G1343),",","")),"")</f>
        <v>30984</v>
      </c>
      <c r="K1339" s="19" t="n">
        <f aca="false">IFERROR(VALUE(SUBSTITUTE(TRIM('수출입 실적(품목별)'!H1343),",","")),"")</f>
        <v>6595</v>
      </c>
    </row>
    <row r="1340" customFormat="false" ht="15" hidden="false" customHeight="true" outlineLevel="0" collapsed="false">
      <c r="A1340" s="11" t="str">
        <f aca="false">TRIM('수출입 실적(품목별)'!A1344)</f>
        <v>2025.02</v>
      </c>
      <c r="B1340" s="17" t="n">
        <f aca="false">IFERROR(VALUE(LEFT($A1340,4)),"")</f>
        <v>2025</v>
      </c>
      <c r="C1340" s="17" t="n">
        <f aca="false">IFERROR(VALUE(RIGHT($A1340,2)),"")</f>
        <v>2</v>
      </c>
      <c r="D1340" s="17" t="n">
        <f aca="false">IFERROR(ROUNDUP($C1340/3,0),"")</f>
        <v>1</v>
      </c>
      <c r="E1340" s="11" t="str">
        <f aca="false">TRIM('수출입 실적(품목별)'!B1344)</f>
        <v>87</v>
      </c>
      <c r="F1340" s="11" t="str">
        <f aca="false">TRIM('수출입 실적(품목별)'!C1344)</f>
        <v>철도용이나 궤도용 외의 차량과 그 부분품ㆍ부속품</v>
      </c>
      <c r="G1340" s="18" t="n">
        <f aca="false">IFERROR(VALUE(SUBSTITUTE(TRIM('수출입 실적(품목별)'!D1344),",","")),"")</f>
        <v>731667.5</v>
      </c>
      <c r="H1340" s="19" t="n">
        <f aca="false">IFERROR(VALUE(SUBSTITUTE(TRIM('수출입 실적(품목별)'!E1344),",","")),"")</f>
        <v>7721370</v>
      </c>
      <c r="I1340" s="18" t="n">
        <f aca="false">IFERROR(VALUE(SUBSTITUTE(TRIM('수출입 실적(품목별)'!F1344),",","")),"")</f>
        <v>83553</v>
      </c>
      <c r="J1340" s="19" t="n">
        <f aca="false">IFERROR(VALUE(SUBSTITUTE(TRIM('수출입 실적(품목별)'!G1344),",","")),"")</f>
        <v>1253018</v>
      </c>
      <c r="K1340" s="19" t="n">
        <f aca="false">IFERROR(VALUE(SUBSTITUTE(TRIM('수출입 실적(품목별)'!H1344),",","")),"")</f>
        <v>6468352</v>
      </c>
    </row>
    <row r="1341" customFormat="false" ht="15" hidden="false" customHeight="true" outlineLevel="0" collapsed="false">
      <c r="A1341" s="11" t="str">
        <f aca="false">TRIM('수출입 실적(품목별)'!A1345)</f>
        <v>2025.02</v>
      </c>
      <c r="B1341" s="17" t="n">
        <f aca="false">IFERROR(VALUE(LEFT($A1341,4)),"")</f>
        <v>2025</v>
      </c>
      <c r="C1341" s="17" t="n">
        <f aca="false">IFERROR(VALUE(RIGHT($A1341,2)),"")</f>
        <v>2</v>
      </c>
      <c r="D1341" s="17" t="n">
        <f aca="false">IFERROR(ROUNDUP($C1341/3,0),"")</f>
        <v>1</v>
      </c>
      <c r="E1341" s="11" t="str">
        <f aca="false">TRIM('수출입 실적(품목별)'!B1345)</f>
        <v>88</v>
      </c>
      <c r="F1341" s="11" t="str">
        <f aca="false">TRIM('수출입 실적(품목별)'!C1345)</f>
        <v>항공기와 우주선, 이들의 부분품</v>
      </c>
      <c r="G1341" s="18" t="n">
        <f aca="false">IFERROR(VALUE(SUBSTITUTE(TRIM('수출입 실적(품목별)'!D1345),",","")),"")</f>
        <v>375.5</v>
      </c>
      <c r="H1341" s="19" t="n">
        <f aca="false">IFERROR(VALUE(SUBSTITUTE(TRIM('수출입 실적(품목별)'!E1345),",","")),"")</f>
        <v>121420</v>
      </c>
      <c r="I1341" s="18" t="n">
        <f aca="false">IFERROR(VALUE(SUBSTITUTE(TRIM('수출입 실적(품목별)'!F1345),",","")),"")</f>
        <v>242.1</v>
      </c>
      <c r="J1341" s="19" t="n">
        <f aca="false">IFERROR(VALUE(SUBSTITUTE(TRIM('수출입 실적(품목별)'!G1345),",","")),"")</f>
        <v>338911</v>
      </c>
      <c r="K1341" s="19" t="n">
        <f aca="false">IFERROR(VALUE(SUBSTITUTE(TRIM('수출입 실적(품목별)'!H1345),",","")),"")</f>
        <v>-217491</v>
      </c>
    </row>
    <row r="1342" customFormat="false" ht="15" hidden="false" customHeight="true" outlineLevel="0" collapsed="false">
      <c r="A1342" s="11" t="str">
        <f aca="false">TRIM('수출입 실적(품목별)'!A1346)</f>
        <v>2025.02</v>
      </c>
      <c r="B1342" s="17" t="n">
        <f aca="false">IFERROR(VALUE(LEFT($A1342,4)),"")</f>
        <v>2025</v>
      </c>
      <c r="C1342" s="17" t="n">
        <f aca="false">IFERROR(VALUE(RIGHT($A1342,2)),"")</f>
        <v>2</v>
      </c>
      <c r="D1342" s="17" t="n">
        <f aca="false">IFERROR(ROUNDUP($C1342/3,0),"")</f>
        <v>1</v>
      </c>
      <c r="E1342" s="11" t="str">
        <f aca="false">TRIM('수출입 실적(품목별)'!B1346)</f>
        <v>89</v>
      </c>
      <c r="F1342" s="11" t="str">
        <f aca="false">TRIM('수출입 실적(품목별)'!C1346)</f>
        <v>선박과 수상 구조물</v>
      </c>
      <c r="G1342" s="18" t="n">
        <f aca="false">IFERROR(VALUE(SUBSTITUTE(TRIM('수출입 실적(품목별)'!D1346),",","")),"")</f>
        <v>709470.4</v>
      </c>
      <c r="H1342" s="19" t="n">
        <f aca="false">IFERROR(VALUE(SUBSTITUTE(TRIM('수출입 실적(품목별)'!E1346),",","")),"")</f>
        <v>1435746</v>
      </c>
      <c r="I1342" s="18" t="n">
        <f aca="false">IFERROR(VALUE(SUBSTITUTE(TRIM('수출입 실적(품목별)'!F1346),",","")),"")</f>
        <v>108164.7</v>
      </c>
      <c r="J1342" s="19" t="n">
        <f aca="false">IFERROR(VALUE(SUBSTITUTE(TRIM('수출입 실적(품목별)'!G1346),",","")),"")</f>
        <v>152931</v>
      </c>
      <c r="K1342" s="19" t="n">
        <f aca="false">IFERROR(VALUE(SUBSTITUTE(TRIM('수출입 실적(품목별)'!H1346),",","")),"")</f>
        <v>1282816</v>
      </c>
    </row>
    <row r="1343" customFormat="false" ht="15" hidden="false" customHeight="true" outlineLevel="0" collapsed="false">
      <c r="A1343" s="11" t="str">
        <f aca="false">TRIM('수출입 실적(품목별)'!A1347)</f>
        <v>2025.02</v>
      </c>
      <c r="B1343" s="17" t="n">
        <f aca="false">IFERROR(VALUE(LEFT($A1343,4)),"")</f>
        <v>2025</v>
      </c>
      <c r="C1343" s="17" t="n">
        <f aca="false">IFERROR(VALUE(RIGHT($A1343,2)),"")</f>
        <v>2</v>
      </c>
      <c r="D1343" s="17" t="n">
        <f aca="false">IFERROR(ROUNDUP($C1343/3,0),"")</f>
        <v>1</v>
      </c>
      <c r="E1343" s="11" t="str">
        <f aca="false">TRIM('수출입 실적(품목별)'!B1347)</f>
        <v>90</v>
      </c>
      <c r="F1343" s="11" t="str">
        <f aca="false">TRIM('수출입 실적(품목별)'!C1347)</f>
        <v>광학기기ㆍ사진용 기기ㆍ영화용 기기ㆍ측정기기ㆍ검사기기ㆍ정밀기기ㆍ의료용 기기, 이들의 부분품과 부속품</v>
      </c>
      <c r="G1343" s="18" t="n">
        <f aca="false">IFERROR(VALUE(SUBSTITUTE(TRIM('수출입 실적(품목별)'!D1347),",","")),"")</f>
        <v>17659.7</v>
      </c>
      <c r="H1343" s="19" t="n">
        <f aca="false">IFERROR(VALUE(SUBSTITUTE(TRIM('수출입 실적(품목별)'!E1347),",","")),"")</f>
        <v>1402880</v>
      </c>
      <c r="I1343" s="18" t="n">
        <f aca="false">IFERROR(VALUE(SUBSTITUTE(TRIM('수출입 실적(품목별)'!F1347),",","")),"")</f>
        <v>14871.2</v>
      </c>
      <c r="J1343" s="19" t="n">
        <f aca="false">IFERROR(VALUE(SUBSTITUTE(TRIM('수출입 실적(품목별)'!G1347),",","")),"")</f>
        <v>1930376</v>
      </c>
      <c r="K1343" s="19" t="n">
        <f aca="false">IFERROR(VALUE(SUBSTITUTE(TRIM('수출입 실적(품목별)'!H1347),",","")),"")</f>
        <v>-527497</v>
      </c>
    </row>
    <row r="1344" customFormat="false" ht="15" hidden="false" customHeight="true" outlineLevel="0" collapsed="false">
      <c r="A1344" s="11" t="str">
        <f aca="false">TRIM('수출입 실적(품목별)'!A1348)</f>
        <v>2025.02</v>
      </c>
      <c r="B1344" s="17" t="n">
        <f aca="false">IFERROR(VALUE(LEFT($A1344,4)),"")</f>
        <v>2025</v>
      </c>
      <c r="C1344" s="17" t="n">
        <f aca="false">IFERROR(VALUE(RIGHT($A1344,2)),"")</f>
        <v>2</v>
      </c>
      <c r="D1344" s="17" t="n">
        <f aca="false">IFERROR(ROUNDUP($C1344/3,0),"")</f>
        <v>1</v>
      </c>
      <c r="E1344" s="11" t="str">
        <f aca="false">TRIM('수출입 실적(품목별)'!B1348)</f>
        <v>91</v>
      </c>
      <c r="F1344" s="11" t="str">
        <f aca="false">TRIM('수출입 실적(품목별)'!C1348)</f>
        <v>시계와 그 부분품</v>
      </c>
      <c r="G1344" s="18" t="n">
        <f aca="false">IFERROR(VALUE(SUBSTITUTE(TRIM('수출입 실적(품목별)'!D1348),",","")),"")</f>
        <v>14.9</v>
      </c>
      <c r="H1344" s="19" t="n">
        <f aca="false">IFERROR(VALUE(SUBSTITUTE(TRIM('수출입 실적(품목별)'!E1348),",","")),"")</f>
        <v>17790</v>
      </c>
      <c r="I1344" s="18" t="n">
        <f aca="false">IFERROR(VALUE(SUBSTITUTE(TRIM('수출입 실적(품목별)'!F1348),",","")),"")</f>
        <v>223</v>
      </c>
      <c r="J1344" s="19" t="n">
        <f aca="false">IFERROR(VALUE(SUBSTITUTE(TRIM('수출입 실적(품목별)'!G1348),",","")),"")</f>
        <v>98269</v>
      </c>
      <c r="K1344" s="19" t="n">
        <f aca="false">IFERROR(VALUE(SUBSTITUTE(TRIM('수출입 실적(품목별)'!H1348),",","")),"")</f>
        <v>-80479</v>
      </c>
    </row>
    <row r="1345" customFormat="false" ht="15" hidden="false" customHeight="true" outlineLevel="0" collapsed="false">
      <c r="A1345" s="11" t="str">
        <f aca="false">TRIM('수출입 실적(품목별)'!A1349)</f>
        <v>2025.02</v>
      </c>
      <c r="B1345" s="17" t="n">
        <f aca="false">IFERROR(VALUE(LEFT($A1345,4)),"")</f>
        <v>2025</v>
      </c>
      <c r="C1345" s="17" t="n">
        <f aca="false">IFERROR(VALUE(RIGHT($A1345,2)),"")</f>
        <v>2</v>
      </c>
      <c r="D1345" s="17" t="n">
        <f aca="false">IFERROR(ROUNDUP($C1345/3,0),"")</f>
        <v>1</v>
      </c>
      <c r="E1345" s="11" t="str">
        <f aca="false">TRIM('수출입 실적(품목별)'!B1349)</f>
        <v>92</v>
      </c>
      <c r="F1345" s="11" t="str">
        <f aca="false">TRIM('수출입 실적(품목별)'!C1349)</f>
        <v>악기와 그 부분품과 부속품</v>
      </c>
      <c r="G1345" s="18" t="n">
        <f aca="false">IFERROR(VALUE(SUBSTITUTE(TRIM('수출입 실적(품목별)'!D1349),",","")),"")</f>
        <v>531.8</v>
      </c>
      <c r="H1345" s="19" t="n">
        <f aca="false">IFERROR(VALUE(SUBSTITUTE(TRIM('수출입 실적(품목별)'!E1349),",","")),"")</f>
        <v>8586</v>
      </c>
      <c r="I1345" s="18" t="n">
        <f aca="false">IFERROR(VALUE(SUBSTITUTE(TRIM('수출입 실적(품목별)'!F1349),",","")),"")</f>
        <v>616.6</v>
      </c>
      <c r="J1345" s="19" t="n">
        <f aca="false">IFERROR(VALUE(SUBSTITUTE(TRIM('수출입 실적(품목별)'!G1349),",","")),"")</f>
        <v>15778</v>
      </c>
      <c r="K1345" s="19" t="n">
        <f aca="false">IFERROR(VALUE(SUBSTITUTE(TRIM('수출입 실적(품목별)'!H1349),",","")),"")</f>
        <v>-7192</v>
      </c>
    </row>
    <row r="1346" customFormat="false" ht="15" hidden="false" customHeight="true" outlineLevel="0" collapsed="false">
      <c r="A1346" s="11" t="str">
        <f aca="false">TRIM('수출입 실적(품목별)'!A1350)</f>
        <v>2025.02</v>
      </c>
      <c r="B1346" s="17" t="n">
        <f aca="false">IFERROR(VALUE(LEFT($A1346,4)),"")</f>
        <v>2025</v>
      </c>
      <c r="C1346" s="17" t="n">
        <f aca="false">IFERROR(VALUE(RIGHT($A1346,2)),"")</f>
        <v>2</v>
      </c>
      <c r="D1346" s="17" t="n">
        <f aca="false">IFERROR(ROUNDUP($C1346/3,0),"")</f>
        <v>1</v>
      </c>
      <c r="E1346" s="11" t="str">
        <f aca="false">TRIM('수출입 실적(품목별)'!B1350)</f>
        <v>93</v>
      </c>
      <c r="F1346" s="11" t="str">
        <f aca="false">TRIM('수출입 실적(품목별)'!C1350)</f>
        <v>무기ㆍ총포탄과 이들의 부분품과 부속품</v>
      </c>
      <c r="G1346" s="18" t="n">
        <f aca="false">IFERROR(VALUE(SUBSTITUTE(TRIM('수출입 실적(품목별)'!D1350),",","")),"")</f>
        <v>1700.8</v>
      </c>
      <c r="H1346" s="19" t="n">
        <f aca="false">IFERROR(VALUE(SUBSTITUTE(TRIM('수출입 실적(품목별)'!E1350),",","")),"")</f>
        <v>285090</v>
      </c>
      <c r="I1346" s="18" t="n">
        <f aca="false">IFERROR(VALUE(SUBSTITUTE(TRIM('수출입 실적(품목별)'!F1350),",","")),"")</f>
        <v>151.6</v>
      </c>
      <c r="J1346" s="19" t="n">
        <f aca="false">IFERROR(VALUE(SUBSTITUTE(TRIM('수출입 실적(품목별)'!G1350),",","")),"")</f>
        <v>25813</v>
      </c>
      <c r="K1346" s="19" t="n">
        <f aca="false">IFERROR(VALUE(SUBSTITUTE(TRIM('수출입 실적(품목별)'!H1350),",","")),"")</f>
        <v>259277</v>
      </c>
    </row>
    <row r="1347" customFormat="false" ht="15" hidden="false" customHeight="true" outlineLevel="0" collapsed="false">
      <c r="A1347" s="11" t="str">
        <f aca="false">TRIM('수출입 실적(품목별)'!A1351)</f>
        <v>2025.02</v>
      </c>
      <c r="B1347" s="17" t="n">
        <f aca="false">IFERROR(VALUE(LEFT($A1347,4)),"")</f>
        <v>2025</v>
      </c>
      <c r="C1347" s="17" t="n">
        <f aca="false">IFERROR(VALUE(RIGHT($A1347,2)),"")</f>
        <v>2</v>
      </c>
      <c r="D1347" s="17" t="n">
        <f aca="false">IFERROR(ROUNDUP($C1347/3,0),"")</f>
        <v>1</v>
      </c>
      <c r="E1347" s="11" t="str">
        <f aca="false">TRIM('수출입 실적(품목별)'!B1351)</f>
        <v>94</v>
      </c>
      <c r="F1347" s="11" t="str">
        <f aca="false">TRIM('수출입 실적(품목별)'!C1351)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347" s="18" t="n">
        <f aca="false">IFERROR(VALUE(SUBSTITUTE(TRIM('수출입 실적(품목별)'!D1351),",","")),"")</f>
        <v>15878.1</v>
      </c>
      <c r="H1347" s="19" t="n">
        <f aca="false">IFERROR(VALUE(SUBSTITUTE(TRIM('수출입 실적(품목별)'!E1351),",","")),"")</f>
        <v>116709</v>
      </c>
      <c r="I1347" s="18" t="n">
        <f aca="false">IFERROR(VALUE(SUBSTITUTE(TRIM('수출입 실적(품목별)'!F1351),",","")),"")</f>
        <v>63632.1</v>
      </c>
      <c r="J1347" s="19" t="n">
        <f aca="false">IFERROR(VALUE(SUBSTITUTE(TRIM('수출입 실적(품목별)'!G1351),",","")),"")</f>
        <v>273704</v>
      </c>
      <c r="K1347" s="19" t="n">
        <f aca="false">IFERROR(VALUE(SUBSTITUTE(TRIM('수출입 실적(품목별)'!H1351),",","")),"")</f>
        <v>-156995</v>
      </c>
    </row>
    <row r="1348" customFormat="false" ht="15" hidden="false" customHeight="true" outlineLevel="0" collapsed="false">
      <c r="A1348" s="11" t="str">
        <f aca="false">TRIM('수출입 실적(품목별)'!A1352)</f>
        <v>2025.02</v>
      </c>
      <c r="B1348" s="17" t="n">
        <f aca="false">IFERROR(VALUE(LEFT($A1348,4)),"")</f>
        <v>2025</v>
      </c>
      <c r="C1348" s="17" t="n">
        <f aca="false">IFERROR(VALUE(RIGHT($A1348,2)),"")</f>
        <v>2</v>
      </c>
      <c r="D1348" s="17" t="n">
        <f aca="false">IFERROR(ROUNDUP($C1348/3,0),"")</f>
        <v>1</v>
      </c>
      <c r="E1348" s="11" t="str">
        <f aca="false">TRIM('수출입 실적(품목별)'!B1352)</f>
        <v>95</v>
      </c>
      <c r="F1348" s="11" t="str">
        <f aca="false">TRIM('수출입 실적(품목별)'!C1352)</f>
        <v>완구ㆍ게임용구ㆍ운동용구와 이들의 부분품과 부속품</v>
      </c>
      <c r="G1348" s="18" t="n">
        <f aca="false">IFERROR(VALUE(SUBSTITUTE(TRIM('수출입 실적(품목별)'!D1352),",","")),"")</f>
        <v>2158.8</v>
      </c>
      <c r="H1348" s="19" t="n">
        <f aca="false">IFERROR(VALUE(SUBSTITUTE(TRIM('수출입 실적(품목별)'!E1352),",","")),"")</f>
        <v>47672</v>
      </c>
      <c r="I1348" s="18" t="n">
        <f aca="false">IFERROR(VALUE(SUBSTITUTE(TRIM('수출입 실적(품목별)'!F1352),",","")),"")</f>
        <v>10569.9</v>
      </c>
      <c r="J1348" s="19" t="n">
        <f aca="false">IFERROR(VALUE(SUBSTITUTE(TRIM('수출입 실적(품목별)'!G1352),",","")),"")</f>
        <v>162064</v>
      </c>
      <c r="K1348" s="19" t="n">
        <f aca="false">IFERROR(VALUE(SUBSTITUTE(TRIM('수출입 실적(품목별)'!H1352),",","")),"")</f>
        <v>-114391</v>
      </c>
    </row>
    <row r="1349" customFormat="false" ht="15" hidden="false" customHeight="true" outlineLevel="0" collapsed="false">
      <c r="A1349" s="11" t="str">
        <f aca="false">TRIM('수출입 실적(품목별)'!A1353)</f>
        <v>2025.02</v>
      </c>
      <c r="B1349" s="17" t="n">
        <f aca="false">IFERROR(VALUE(LEFT($A1349,4)),"")</f>
        <v>2025</v>
      </c>
      <c r="C1349" s="17" t="n">
        <f aca="false">IFERROR(VALUE(RIGHT($A1349,2)),"")</f>
        <v>2</v>
      </c>
      <c r="D1349" s="17" t="n">
        <f aca="false">IFERROR(ROUNDUP($C1349/3,0),"")</f>
        <v>1</v>
      </c>
      <c r="E1349" s="11" t="str">
        <f aca="false">TRIM('수출입 실적(품목별)'!B1353)</f>
        <v>96</v>
      </c>
      <c r="F1349" s="11" t="str">
        <f aca="false">TRIM('수출입 실적(품목별)'!C1353)</f>
        <v>잡품</v>
      </c>
      <c r="G1349" s="18" t="n">
        <f aca="false">IFERROR(VALUE(SUBSTITUTE(TRIM('수출입 실적(품목별)'!D1353),",","")),"")</f>
        <v>2247.3</v>
      </c>
      <c r="H1349" s="19" t="n">
        <f aca="false">IFERROR(VALUE(SUBSTITUTE(TRIM('수출입 실적(품목별)'!E1353),",","")),"")</f>
        <v>35898</v>
      </c>
      <c r="I1349" s="18" t="n">
        <f aca="false">IFERROR(VALUE(SUBSTITUTE(TRIM('수출입 실적(품목별)'!F1353),",","")),"")</f>
        <v>8701.3</v>
      </c>
      <c r="J1349" s="19" t="n">
        <f aca="false">IFERROR(VALUE(SUBSTITUTE(TRIM('수출입 실적(품목별)'!G1353),",","")),"")</f>
        <v>78911</v>
      </c>
      <c r="K1349" s="19" t="n">
        <f aca="false">IFERROR(VALUE(SUBSTITUTE(TRIM('수출입 실적(품목별)'!H1353),",","")),"")</f>
        <v>-43013</v>
      </c>
    </row>
    <row r="1350" customFormat="false" ht="15" hidden="false" customHeight="true" outlineLevel="0" collapsed="false">
      <c r="A1350" s="11" t="str">
        <f aca="false">TRIM('수출입 실적(품목별)'!A1354)</f>
        <v>2025.02</v>
      </c>
      <c r="B1350" s="17" t="n">
        <f aca="false">IFERROR(VALUE(LEFT($A1350,4)),"")</f>
        <v>2025</v>
      </c>
      <c r="C1350" s="17" t="n">
        <f aca="false">IFERROR(VALUE(RIGHT($A1350,2)),"")</f>
        <v>2</v>
      </c>
      <c r="D1350" s="17" t="n">
        <f aca="false">IFERROR(ROUNDUP($C1350/3,0),"")</f>
        <v>1</v>
      </c>
      <c r="E1350" s="11" t="str">
        <f aca="false">TRIM('수출입 실적(품목별)'!B1354)</f>
        <v>97</v>
      </c>
      <c r="F1350" s="11" t="str">
        <f aca="false">TRIM('수출입 실적(품목별)'!C1354)</f>
        <v>예술품ㆍ수집품ㆍ골동품</v>
      </c>
      <c r="G1350" s="18" t="n">
        <f aca="false">IFERROR(VALUE(SUBSTITUTE(TRIM('수출입 실적(품목별)'!D1354),",","")),"")</f>
        <v>10.9</v>
      </c>
      <c r="H1350" s="19" t="n">
        <f aca="false">IFERROR(VALUE(SUBSTITUTE(TRIM('수출입 실적(품목별)'!E1354),",","")),"")</f>
        <v>24943</v>
      </c>
      <c r="I1350" s="18" t="n">
        <f aca="false">IFERROR(VALUE(SUBSTITUTE(TRIM('수출입 실적(품목별)'!F1354),",","")),"")</f>
        <v>56.2</v>
      </c>
      <c r="J1350" s="19" t="n">
        <f aca="false">IFERROR(VALUE(SUBSTITUTE(TRIM('수출입 실적(품목별)'!G1354),",","")),"")</f>
        <v>28371</v>
      </c>
      <c r="K1350" s="19" t="n">
        <f aca="false">IFERROR(VALUE(SUBSTITUTE(TRIM('수출입 실적(품목별)'!H1354),",","")),"")</f>
        <v>-3427</v>
      </c>
    </row>
    <row r="1351" customFormat="false" ht="15" hidden="false" customHeight="true" outlineLevel="0" collapsed="false">
      <c r="A1351" s="11" t="str">
        <f aca="false">TRIM('수출입 실적(품목별)'!A1355)</f>
        <v>2025.03</v>
      </c>
      <c r="B1351" s="17" t="n">
        <f aca="false">IFERROR(VALUE(LEFT($A1351,4)),"")</f>
        <v>2025</v>
      </c>
      <c r="C1351" s="17" t="n">
        <f aca="false">IFERROR(VALUE(RIGHT($A1351,2)),"")</f>
        <v>3</v>
      </c>
      <c r="D1351" s="17" t="n">
        <f aca="false">IFERROR(ROUNDUP($C1351/3,0),"")</f>
        <v>1</v>
      </c>
      <c r="E1351" s="11" t="str">
        <f aca="false">TRIM('수출입 실적(품목별)'!B1355)</f>
        <v>01</v>
      </c>
      <c r="F1351" s="11" t="str">
        <f aca="false">TRIM('수출입 실적(품목별)'!C1355)</f>
        <v>살아 있는 동물</v>
      </c>
      <c r="G1351" s="18" t="n">
        <f aca="false">IFERROR(VALUE(SUBSTITUTE(TRIM('수출입 실적(품목별)'!D1355),",","")),"")</f>
        <v>3.8</v>
      </c>
      <c r="H1351" s="19" t="n">
        <f aca="false">IFERROR(VALUE(SUBSTITUTE(TRIM('수출입 실적(품목별)'!E1355),",","")),"")</f>
        <v>914</v>
      </c>
      <c r="I1351" s="18" t="n">
        <f aca="false">IFERROR(VALUE(SUBSTITUTE(TRIM('수출입 실적(품목별)'!F1355),",","")),"")</f>
        <v>76.2</v>
      </c>
      <c r="J1351" s="19" t="n">
        <f aca="false">IFERROR(VALUE(SUBSTITUTE(TRIM('수출입 실적(품목별)'!G1355),",","")),"")</f>
        <v>7722</v>
      </c>
      <c r="K1351" s="19" t="n">
        <f aca="false">IFERROR(VALUE(SUBSTITUTE(TRIM('수출입 실적(품목별)'!H1355),",","")),"")</f>
        <v>-6809</v>
      </c>
    </row>
    <row r="1352" customFormat="false" ht="15" hidden="false" customHeight="true" outlineLevel="0" collapsed="false">
      <c r="A1352" s="11" t="str">
        <f aca="false">TRIM('수출입 실적(품목별)'!A1356)</f>
        <v>2025.03</v>
      </c>
      <c r="B1352" s="17" t="n">
        <f aca="false">IFERROR(VALUE(LEFT($A1352,4)),"")</f>
        <v>2025</v>
      </c>
      <c r="C1352" s="17" t="n">
        <f aca="false">IFERROR(VALUE(RIGHT($A1352,2)),"")</f>
        <v>3</v>
      </c>
      <c r="D1352" s="17" t="n">
        <f aca="false">IFERROR(ROUNDUP($C1352/3,0),"")</f>
        <v>1</v>
      </c>
      <c r="E1352" s="11" t="str">
        <f aca="false">TRIM('수출입 실적(품목별)'!B1356)</f>
        <v>02</v>
      </c>
      <c r="F1352" s="11" t="str">
        <f aca="false">TRIM('수출입 실적(품목별)'!C1356)</f>
        <v>육과 식용 설육(屑肉)</v>
      </c>
      <c r="G1352" s="18" t="n">
        <f aca="false">IFERROR(VALUE(SUBSTITUTE(TRIM('수출입 실적(품목별)'!D1356),",","")),"")</f>
        <v>6250.7</v>
      </c>
      <c r="H1352" s="19" t="n">
        <f aca="false">IFERROR(VALUE(SUBSTITUTE(TRIM('수출입 실적(품목별)'!E1356),",","")),"")</f>
        <v>8774</v>
      </c>
      <c r="I1352" s="18" t="n">
        <f aca="false">IFERROR(VALUE(SUBSTITUTE(TRIM('수출입 실적(품목별)'!F1356),",","")),"")</f>
        <v>113301.8</v>
      </c>
      <c r="J1352" s="19" t="n">
        <f aca="false">IFERROR(VALUE(SUBSTITUTE(TRIM('수출입 실적(품목별)'!G1356),",","")),"")</f>
        <v>564842</v>
      </c>
      <c r="K1352" s="19" t="n">
        <f aca="false">IFERROR(VALUE(SUBSTITUTE(TRIM('수출입 실적(품목별)'!H1356),",","")),"")</f>
        <v>-556068</v>
      </c>
    </row>
    <row r="1353" customFormat="false" ht="15" hidden="false" customHeight="true" outlineLevel="0" collapsed="false">
      <c r="A1353" s="11" t="str">
        <f aca="false">TRIM('수출입 실적(품목별)'!A1357)</f>
        <v>2025.03</v>
      </c>
      <c r="B1353" s="17" t="n">
        <f aca="false">IFERROR(VALUE(LEFT($A1353,4)),"")</f>
        <v>2025</v>
      </c>
      <c r="C1353" s="17" t="n">
        <f aca="false">IFERROR(VALUE(RIGHT($A1353,2)),"")</f>
        <v>3</v>
      </c>
      <c r="D1353" s="17" t="n">
        <f aca="false">IFERROR(ROUNDUP($C1353/3,0),"")</f>
        <v>1</v>
      </c>
      <c r="E1353" s="11" t="str">
        <f aca="false">TRIM('수출입 실적(품목별)'!B1357)</f>
        <v>03</v>
      </c>
      <c r="F1353" s="11" t="str">
        <f aca="false">TRIM('수출입 실적(품목별)'!C1357)</f>
        <v>어류ㆍ갑각류ㆍ연체동물과 그 밖의 수생(水生) 무척추동물</v>
      </c>
      <c r="G1353" s="18" t="n">
        <f aca="false">IFERROR(VALUE(SUBSTITUTE(TRIM('수출입 실적(품목별)'!D1357),",","")),"")</f>
        <v>42857.8</v>
      </c>
      <c r="H1353" s="19" t="n">
        <f aca="false">IFERROR(VALUE(SUBSTITUTE(TRIM('수출입 실적(품목별)'!E1357),",","")),"")</f>
        <v>141976</v>
      </c>
      <c r="I1353" s="18" t="n">
        <f aca="false">IFERROR(VALUE(SUBSTITUTE(TRIM('수출입 실적(품목별)'!F1357),",","")),"")</f>
        <v>107980.3</v>
      </c>
      <c r="J1353" s="19" t="n">
        <f aca="false">IFERROR(VALUE(SUBSTITUTE(TRIM('수출입 실적(품목별)'!G1357),",","")),"")</f>
        <v>420426</v>
      </c>
      <c r="K1353" s="19" t="n">
        <f aca="false">IFERROR(VALUE(SUBSTITUTE(TRIM('수출입 실적(품목별)'!H1357),",","")),"")</f>
        <v>-278451</v>
      </c>
    </row>
    <row r="1354" customFormat="false" ht="15" hidden="false" customHeight="true" outlineLevel="0" collapsed="false">
      <c r="A1354" s="11" t="str">
        <f aca="false">TRIM('수출입 실적(품목별)'!A1358)</f>
        <v>2025.03</v>
      </c>
      <c r="B1354" s="17" t="n">
        <f aca="false">IFERROR(VALUE(LEFT($A1354,4)),"")</f>
        <v>2025</v>
      </c>
      <c r="C1354" s="17" t="n">
        <f aca="false">IFERROR(VALUE(RIGHT($A1354,2)),"")</f>
        <v>3</v>
      </c>
      <c r="D1354" s="17" t="n">
        <f aca="false">IFERROR(ROUNDUP($C1354/3,0),"")</f>
        <v>1</v>
      </c>
      <c r="E1354" s="11" t="str">
        <f aca="false">TRIM('수출입 실적(품목별)'!B1358)</f>
        <v>04</v>
      </c>
      <c r="F1354" s="11" t="str">
        <f aca="false">TRIM('수출입 실적(품목별)'!C1358)</f>
        <v>낙농품, 새의 알, 천연꿀, 다른 류로 분류되지 않은 식용인 동물성 생산품</v>
      </c>
      <c r="G1354" s="18" t="n">
        <f aca="false">IFERROR(VALUE(SUBSTITUTE(TRIM('수출입 실적(품목별)'!D1358),",","")),"")</f>
        <v>2675.3</v>
      </c>
      <c r="H1354" s="19" t="n">
        <f aca="false">IFERROR(VALUE(SUBSTITUTE(TRIM('수출입 실적(품목별)'!E1358),",","")),"")</f>
        <v>7476</v>
      </c>
      <c r="I1354" s="18" t="n">
        <f aca="false">IFERROR(VALUE(SUBSTITUTE(TRIM('수출입 실적(품목별)'!F1358),",","")),"")</f>
        <v>30823.7</v>
      </c>
      <c r="J1354" s="19" t="n">
        <f aca="false">IFERROR(VALUE(SUBSTITUTE(TRIM('수출입 실적(품목별)'!G1358),",","")),"")</f>
        <v>137645</v>
      </c>
      <c r="K1354" s="19" t="n">
        <f aca="false">IFERROR(VALUE(SUBSTITUTE(TRIM('수출입 실적(품목별)'!H1358),",","")),"")</f>
        <v>-130168</v>
      </c>
    </row>
    <row r="1355" customFormat="false" ht="15" hidden="false" customHeight="true" outlineLevel="0" collapsed="false">
      <c r="A1355" s="11" t="str">
        <f aca="false">TRIM('수출입 실적(품목별)'!A1359)</f>
        <v>2025.03</v>
      </c>
      <c r="B1355" s="17" t="n">
        <f aca="false">IFERROR(VALUE(LEFT($A1355,4)),"")</f>
        <v>2025</v>
      </c>
      <c r="C1355" s="17" t="n">
        <f aca="false">IFERROR(VALUE(RIGHT($A1355,2)),"")</f>
        <v>3</v>
      </c>
      <c r="D1355" s="17" t="n">
        <f aca="false">IFERROR(ROUNDUP($C1355/3,0),"")</f>
        <v>1</v>
      </c>
      <c r="E1355" s="11" t="str">
        <f aca="false">TRIM('수출입 실적(품목별)'!B1359)</f>
        <v>05</v>
      </c>
      <c r="F1355" s="11" t="str">
        <f aca="false">TRIM('수출입 실적(품목별)'!C1359)</f>
        <v>다른 류로 분류되지 않은 동물성 생산품</v>
      </c>
      <c r="G1355" s="18" t="n">
        <f aca="false">IFERROR(VALUE(SUBSTITUTE(TRIM('수출입 실적(품목별)'!D1359),",","")),"")</f>
        <v>1073.2</v>
      </c>
      <c r="H1355" s="19" t="n">
        <f aca="false">IFERROR(VALUE(SUBSTITUTE(TRIM('수출입 실적(품목별)'!E1359),",","")),"")</f>
        <v>3438</v>
      </c>
      <c r="I1355" s="18" t="n">
        <f aca="false">IFERROR(VALUE(SUBSTITUTE(TRIM('수출입 실적(품목별)'!F1359),",","")),"")</f>
        <v>4037.1</v>
      </c>
      <c r="J1355" s="19" t="n">
        <f aca="false">IFERROR(VALUE(SUBSTITUTE(TRIM('수출입 실적(품목별)'!G1359),",","")),"")</f>
        <v>21351</v>
      </c>
      <c r="K1355" s="19" t="n">
        <f aca="false">IFERROR(VALUE(SUBSTITUTE(TRIM('수출입 실적(품목별)'!H1359),",","")),"")</f>
        <v>-17913</v>
      </c>
    </row>
    <row r="1356" customFormat="false" ht="15" hidden="false" customHeight="true" outlineLevel="0" collapsed="false">
      <c r="A1356" s="11" t="str">
        <f aca="false">TRIM('수출입 실적(품목별)'!A1360)</f>
        <v>2025.03</v>
      </c>
      <c r="B1356" s="17" t="n">
        <f aca="false">IFERROR(VALUE(LEFT($A1356,4)),"")</f>
        <v>2025</v>
      </c>
      <c r="C1356" s="17" t="n">
        <f aca="false">IFERROR(VALUE(RIGHT($A1356,2)),"")</f>
        <v>3</v>
      </c>
      <c r="D1356" s="17" t="n">
        <f aca="false">IFERROR(ROUNDUP($C1356/3,0),"")</f>
        <v>1</v>
      </c>
      <c r="E1356" s="11" t="str">
        <f aca="false">TRIM('수출입 실적(품목별)'!B1360)</f>
        <v>06</v>
      </c>
      <c r="F1356" s="11" t="str">
        <f aca="false">TRIM('수출입 실적(품목별)'!C1360)</f>
        <v>살아 있는 수목과 그 밖의 식물, 인경(鱗莖)ㆍ뿌리와 이와 유사한 물품, 절화(切花)와 장식용 잎</v>
      </c>
      <c r="G1356" s="18" t="n">
        <f aca="false">IFERROR(VALUE(SUBSTITUTE(TRIM('수출입 실적(품목별)'!D1360),",","")),"")</f>
        <v>93.5</v>
      </c>
      <c r="H1356" s="19" t="n">
        <f aca="false">IFERROR(VALUE(SUBSTITUTE(TRIM('수출입 실적(품목별)'!E1360),",","")),"")</f>
        <v>611</v>
      </c>
      <c r="I1356" s="18" t="n">
        <f aca="false">IFERROR(VALUE(SUBSTITUTE(TRIM('수출입 실적(품목별)'!F1360),",","")),"")</f>
        <v>6882.1</v>
      </c>
      <c r="J1356" s="19" t="n">
        <f aca="false">IFERROR(VALUE(SUBSTITUTE(TRIM('수출입 실적(품목별)'!G1360),",","")),"")</f>
        <v>15107</v>
      </c>
      <c r="K1356" s="19" t="n">
        <f aca="false">IFERROR(VALUE(SUBSTITUTE(TRIM('수출입 실적(품목별)'!H1360),",","")),"")</f>
        <v>-14496</v>
      </c>
    </row>
    <row r="1357" customFormat="false" ht="15" hidden="false" customHeight="true" outlineLevel="0" collapsed="false">
      <c r="A1357" s="11" t="str">
        <f aca="false">TRIM('수출입 실적(품목별)'!A1361)</f>
        <v>2025.03</v>
      </c>
      <c r="B1357" s="17" t="n">
        <f aca="false">IFERROR(VALUE(LEFT($A1357,4)),"")</f>
        <v>2025</v>
      </c>
      <c r="C1357" s="17" t="n">
        <f aca="false">IFERROR(VALUE(RIGHT($A1357,2)),"")</f>
        <v>3</v>
      </c>
      <c r="D1357" s="17" t="n">
        <f aca="false">IFERROR(ROUNDUP($C1357/3,0),"")</f>
        <v>1</v>
      </c>
      <c r="E1357" s="11" t="str">
        <f aca="false">TRIM('수출입 실적(품목별)'!B1361)</f>
        <v>07</v>
      </c>
      <c r="F1357" s="11" t="str">
        <f aca="false">TRIM('수출입 실적(품목별)'!C1361)</f>
        <v>식용의 채소ㆍ뿌리ㆍ괴경(塊莖)</v>
      </c>
      <c r="G1357" s="18" t="n">
        <f aca="false">IFERROR(VALUE(SUBSTITUTE(TRIM('수출입 실적(품목별)'!D1361),",","")),"")</f>
        <v>2645.1</v>
      </c>
      <c r="H1357" s="19" t="n">
        <f aca="false">IFERROR(VALUE(SUBSTITUTE(TRIM('수출입 실적(품목별)'!E1361),",","")),"")</f>
        <v>8265</v>
      </c>
      <c r="I1357" s="18" t="n">
        <f aca="false">IFERROR(VALUE(SUBSTITUTE(TRIM('수출입 실적(품목별)'!F1361),",","")),"")</f>
        <v>111397.5</v>
      </c>
      <c r="J1357" s="19" t="n">
        <f aca="false">IFERROR(VALUE(SUBSTITUTE(TRIM('수출입 실적(품목별)'!G1361),",","")),"")</f>
        <v>75233</v>
      </c>
      <c r="K1357" s="19" t="n">
        <f aca="false">IFERROR(VALUE(SUBSTITUTE(TRIM('수출입 실적(품목별)'!H1361),",","")),"")</f>
        <v>-66967</v>
      </c>
    </row>
    <row r="1358" customFormat="false" ht="15" hidden="false" customHeight="true" outlineLevel="0" collapsed="false">
      <c r="A1358" s="11" t="str">
        <f aca="false">TRIM('수출입 실적(품목별)'!A1362)</f>
        <v>2025.03</v>
      </c>
      <c r="B1358" s="17" t="n">
        <f aca="false">IFERROR(VALUE(LEFT($A1358,4)),"")</f>
        <v>2025</v>
      </c>
      <c r="C1358" s="17" t="n">
        <f aca="false">IFERROR(VALUE(RIGHT($A1358,2)),"")</f>
        <v>3</v>
      </c>
      <c r="D1358" s="17" t="n">
        <f aca="false">IFERROR(ROUNDUP($C1358/3,0),"")</f>
        <v>1</v>
      </c>
      <c r="E1358" s="11" t="str">
        <f aca="false">TRIM('수출입 실적(품목별)'!B1362)</f>
        <v>08</v>
      </c>
      <c r="F1358" s="11" t="str">
        <f aca="false">TRIM('수출입 실적(품목별)'!C1362)</f>
        <v>식용의 과실과 견과류, 감귤류ㆍ멜론의 껍질</v>
      </c>
      <c r="G1358" s="18" t="n">
        <f aca="false">IFERROR(VALUE(SUBSTITUTE(TRIM('수출입 실적(품목별)'!D1362),",","")),"")</f>
        <v>1834.8</v>
      </c>
      <c r="H1358" s="19" t="n">
        <f aca="false">IFERROR(VALUE(SUBSTITUTE(TRIM('수출입 실적(품목별)'!E1362),",","")),"")</f>
        <v>16774</v>
      </c>
      <c r="I1358" s="18" t="n">
        <f aca="false">IFERROR(VALUE(SUBSTITUTE(TRIM('수출입 실적(품목별)'!F1362),",","")),"")</f>
        <v>113442.4</v>
      </c>
      <c r="J1358" s="19" t="n">
        <f aca="false">IFERROR(VALUE(SUBSTITUTE(TRIM('수출입 실적(품목별)'!G1362),",","")),"")</f>
        <v>251608</v>
      </c>
      <c r="K1358" s="19" t="n">
        <f aca="false">IFERROR(VALUE(SUBSTITUTE(TRIM('수출입 실적(품목별)'!H1362),",","")),"")</f>
        <v>-234834</v>
      </c>
    </row>
    <row r="1359" customFormat="false" ht="15" hidden="false" customHeight="true" outlineLevel="0" collapsed="false">
      <c r="A1359" s="11" t="str">
        <f aca="false">TRIM('수출입 실적(품목별)'!A1363)</f>
        <v>2025.03</v>
      </c>
      <c r="B1359" s="17" t="n">
        <f aca="false">IFERROR(VALUE(LEFT($A1359,4)),"")</f>
        <v>2025</v>
      </c>
      <c r="C1359" s="17" t="n">
        <f aca="false">IFERROR(VALUE(RIGHT($A1359,2)),"")</f>
        <v>3</v>
      </c>
      <c r="D1359" s="17" t="n">
        <f aca="false">IFERROR(ROUNDUP($C1359/3,0),"")</f>
        <v>1</v>
      </c>
      <c r="E1359" s="11" t="str">
        <f aca="false">TRIM('수출입 실적(품목별)'!B1363)</f>
        <v>09</v>
      </c>
      <c r="F1359" s="11" t="str">
        <f aca="false">TRIM('수출입 실적(품목별)'!C1363)</f>
        <v>커피ㆍ차ㆍ마테(maté)ㆍ향신료</v>
      </c>
      <c r="G1359" s="18" t="n">
        <f aca="false">IFERROR(VALUE(SUBSTITUTE(TRIM('수출입 실적(품목별)'!D1363),",","")),"")</f>
        <v>351.6</v>
      </c>
      <c r="H1359" s="19" t="n">
        <f aca="false">IFERROR(VALUE(SUBSTITUTE(TRIM('수출입 실적(품목별)'!E1363),",","")),"")</f>
        <v>3800</v>
      </c>
      <c r="I1359" s="18" t="n">
        <f aca="false">IFERROR(VALUE(SUBSTITUTE(TRIM('수출입 실적(품목별)'!F1363),",","")),"")</f>
        <v>19733.9</v>
      </c>
      <c r="J1359" s="19" t="n">
        <f aca="false">IFERROR(VALUE(SUBSTITUTE(TRIM('수출입 실적(품목별)'!G1363),",","")),"")</f>
        <v>147755</v>
      </c>
      <c r="K1359" s="19" t="n">
        <f aca="false">IFERROR(VALUE(SUBSTITUTE(TRIM('수출입 실적(품목별)'!H1363),",","")),"")</f>
        <v>-143955</v>
      </c>
    </row>
    <row r="1360" customFormat="false" ht="15" hidden="false" customHeight="true" outlineLevel="0" collapsed="false">
      <c r="A1360" s="11" t="str">
        <f aca="false">TRIM('수출입 실적(품목별)'!A1364)</f>
        <v>2025.03</v>
      </c>
      <c r="B1360" s="17" t="n">
        <f aca="false">IFERROR(VALUE(LEFT($A1360,4)),"")</f>
        <v>2025</v>
      </c>
      <c r="C1360" s="17" t="n">
        <f aca="false">IFERROR(VALUE(RIGHT($A1360,2)),"")</f>
        <v>3</v>
      </c>
      <c r="D1360" s="17" t="n">
        <f aca="false">IFERROR(ROUNDUP($C1360/3,0),"")</f>
        <v>1</v>
      </c>
      <c r="E1360" s="11" t="str">
        <f aca="false">TRIM('수출입 실적(품목별)'!B1364)</f>
        <v>10</v>
      </c>
      <c r="F1360" s="11" t="str">
        <f aca="false">TRIM('수출입 실적(품목별)'!C1364)</f>
        <v>곡물</v>
      </c>
      <c r="G1360" s="18" t="n">
        <f aca="false">IFERROR(VALUE(SUBSTITUTE(TRIM('수출입 실적(품목별)'!D1364),",","")),"")</f>
        <v>1648.3</v>
      </c>
      <c r="H1360" s="19" t="n">
        <f aca="false">IFERROR(VALUE(SUBSTITUTE(TRIM('수출입 실적(품목별)'!E1364),",","")),"")</f>
        <v>1418</v>
      </c>
      <c r="I1360" s="18" t="n">
        <f aca="false">IFERROR(VALUE(SUBSTITUTE(TRIM('수출입 실적(품목별)'!F1364),",","")),"")</f>
        <v>1157699.8</v>
      </c>
      <c r="J1360" s="19" t="n">
        <f aca="false">IFERROR(VALUE(SUBSTITUTE(TRIM('수출입 실적(품목별)'!G1364),",","")),"")</f>
        <v>320739</v>
      </c>
      <c r="K1360" s="19" t="n">
        <f aca="false">IFERROR(VALUE(SUBSTITUTE(TRIM('수출입 실적(품목별)'!H1364),",","")),"")</f>
        <v>-319321</v>
      </c>
    </row>
    <row r="1361" customFormat="false" ht="15" hidden="false" customHeight="true" outlineLevel="0" collapsed="false">
      <c r="A1361" s="11" t="str">
        <f aca="false">TRIM('수출입 실적(품목별)'!A1365)</f>
        <v>2025.03</v>
      </c>
      <c r="B1361" s="17" t="n">
        <f aca="false">IFERROR(VALUE(LEFT($A1361,4)),"")</f>
        <v>2025</v>
      </c>
      <c r="C1361" s="17" t="n">
        <f aca="false">IFERROR(VALUE(RIGHT($A1361,2)),"")</f>
        <v>3</v>
      </c>
      <c r="D1361" s="17" t="n">
        <f aca="false">IFERROR(ROUNDUP($C1361/3,0),"")</f>
        <v>1</v>
      </c>
      <c r="E1361" s="11" t="str">
        <f aca="false">TRIM('수출입 실적(품목별)'!B1365)</f>
        <v>11</v>
      </c>
      <c r="F1361" s="11" t="str">
        <f aca="false">TRIM('수출입 실적(품목별)'!C1365)</f>
        <v>제분공업의 생산품과 맥아, 전분, 이눌린(inulin), 밀의 글루텐(gluten)</v>
      </c>
      <c r="G1361" s="18" t="n">
        <f aca="false">IFERROR(VALUE(SUBSTITUTE(TRIM('수출입 실적(품목별)'!D1365),",","")),"")</f>
        <v>5448.1</v>
      </c>
      <c r="H1361" s="19" t="n">
        <f aca="false">IFERROR(VALUE(SUBSTITUTE(TRIM('수출입 실적(품목별)'!E1365),",","")),"")</f>
        <v>3860</v>
      </c>
      <c r="I1361" s="18" t="n">
        <f aca="false">IFERROR(VALUE(SUBSTITUTE(TRIM('수출입 실적(품목별)'!F1365),",","")),"")</f>
        <v>32088.5</v>
      </c>
      <c r="J1361" s="19" t="n">
        <f aca="false">IFERROR(VALUE(SUBSTITUTE(TRIM('수출입 실적(품목별)'!G1365),",","")),"")</f>
        <v>26199</v>
      </c>
      <c r="K1361" s="19" t="n">
        <f aca="false">IFERROR(VALUE(SUBSTITUTE(TRIM('수출입 실적(품목별)'!H1365),",","")),"")</f>
        <v>-22340</v>
      </c>
    </row>
    <row r="1362" customFormat="false" ht="15" hidden="false" customHeight="true" outlineLevel="0" collapsed="false">
      <c r="A1362" s="11" t="str">
        <f aca="false">TRIM('수출입 실적(품목별)'!A1366)</f>
        <v>2025.03</v>
      </c>
      <c r="B1362" s="17" t="n">
        <f aca="false">IFERROR(VALUE(LEFT($A1362,4)),"")</f>
        <v>2025</v>
      </c>
      <c r="C1362" s="17" t="n">
        <f aca="false">IFERROR(VALUE(RIGHT($A1362,2)),"")</f>
        <v>3</v>
      </c>
      <c r="D1362" s="17" t="n">
        <f aca="false">IFERROR(ROUNDUP($C1362/3,0),"")</f>
        <v>1</v>
      </c>
      <c r="E1362" s="11" t="str">
        <f aca="false">TRIM('수출입 실적(품목별)'!B1366)</f>
        <v>12</v>
      </c>
      <c r="F1362" s="11" t="str">
        <f aca="false">TRIM('수출입 실적(품목별)'!C1366)</f>
        <v>채유(採油)에 적합한 종자와 과실, 각종 종자와 과실, 공업용ㆍ의약용 식물, 짚과 사료용 식물</v>
      </c>
      <c r="G1362" s="18" t="n">
        <f aca="false">IFERROR(VALUE(SUBSTITUTE(TRIM('수출입 실적(품목별)'!D1366),",","")),"")</f>
        <v>4605.5</v>
      </c>
      <c r="H1362" s="19" t="n">
        <f aca="false">IFERROR(VALUE(SUBSTITUTE(TRIM('수출입 실적(품목별)'!E1366),",","")),"")</f>
        <v>65893</v>
      </c>
      <c r="I1362" s="18" t="n">
        <f aca="false">IFERROR(VALUE(SUBSTITUTE(TRIM('수출입 실적(품목별)'!F1366),",","")),"")</f>
        <v>246851.3</v>
      </c>
      <c r="J1362" s="19" t="n">
        <f aca="false">IFERROR(VALUE(SUBSTITUTE(TRIM('수출입 실적(품목별)'!G1366),",","")),"")</f>
        <v>140298</v>
      </c>
      <c r="K1362" s="19" t="n">
        <f aca="false">IFERROR(VALUE(SUBSTITUTE(TRIM('수출입 실적(품목별)'!H1366),",","")),"")</f>
        <v>-74405</v>
      </c>
    </row>
    <row r="1363" customFormat="false" ht="15" hidden="false" customHeight="true" outlineLevel="0" collapsed="false">
      <c r="A1363" s="11" t="str">
        <f aca="false">TRIM('수출입 실적(품목별)'!A1367)</f>
        <v>2025.03</v>
      </c>
      <c r="B1363" s="17" t="n">
        <f aca="false">IFERROR(VALUE(LEFT($A1363,4)),"")</f>
        <v>2025</v>
      </c>
      <c r="C1363" s="17" t="n">
        <f aca="false">IFERROR(VALUE(RIGHT($A1363,2)),"")</f>
        <v>3</v>
      </c>
      <c r="D1363" s="17" t="n">
        <f aca="false">IFERROR(ROUNDUP($C1363/3,0),"")</f>
        <v>1</v>
      </c>
      <c r="E1363" s="11" t="str">
        <f aca="false">TRIM('수출입 실적(품목별)'!B1367)</f>
        <v>13</v>
      </c>
      <c r="F1363" s="11" t="str">
        <f aca="false">TRIM('수출입 실적(품목별)'!C1367)</f>
        <v>락(lac), 검ㆍ수지ㆍ그 밖의 식물성 수액과 추출물(extract)</v>
      </c>
      <c r="G1363" s="18" t="n">
        <f aca="false">IFERROR(VALUE(SUBSTITUTE(TRIM('수출입 실적(품목별)'!D1367),",","")),"")</f>
        <v>382.8</v>
      </c>
      <c r="H1363" s="19" t="n">
        <f aca="false">IFERROR(VALUE(SUBSTITUTE(TRIM('수출입 실적(품목별)'!E1367),",","")),"")</f>
        <v>9338</v>
      </c>
      <c r="I1363" s="18" t="n">
        <f aca="false">IFERROR(VALUE(SUBSTITUTE(TRIM('수출입 실적(품목별)'!F1367),",","")),"")</f>
        <v>6642.4</v>
      </c>
      <c r="J1363" s="19" t="n">
        <f aca="false">IFERROR(VALUE(SUBSTITUTE(TRIM('수출입 실적(품목별)'!G1367),",","")),"")</f>
        <v>25612</v>
      </c>
      <c r="K1363" s="19" t="n">
        <f aca="false">IFERROR(VALUE(SUBSTITUTE(TRIM('수출입 실적(품목별)'!H1367),",","")),"")</f>
        <v>-16274</v>
      </c>
    </row>
    <row r="1364" customFormat="false" ht="15" hidden="false" customHeight="true" outlineLevel="0" collapsed="false">
      <c r="A1364" s="11" t="str">
        <f aca="false">TRIM('수출입 실적(품목별)'!A1368)</f>
        <v>2025.03</v>
      </c>
      <c r="B1364" s="17" t="n">
        <f aca="false">IFERROR(VALUE(LEFT($A1364,4)),"")</f>
        <v>2025</v>
      </c>
      <c r="C1364" s="17" t="n">
        <f aca="false">IFERROR(VALUE(RIGHT($A1364,2)),"")</f>
        <v>3</v>
      </c>
      <c r="D1364" s="17" t="n">
        <f aca="false">IFERROR(ROUNDUP($C1364/3,0),"")</f>
        <v>1</v>
      </c>
      <c r="E1364" s="11" t="str">
        <f aca="false">TRIM('수출입 실적(품목별)'!B1368)</f>
        <v>14</v>
      </c>
      <c r="F1364" s="11" t="str">
        <f aca="false">TRIM('수출입 실적(품목별)'!C1368)</f>
        <v>식물성 편조물(編組物)용 재료와 다른 류로 분류되지 않은 식물성 생산품</v>
      </c>
      <c r="G1364" s="18" t="n">
        <f aca="false">IFERROR(VALUE(SUBSTITUTE(TRIM('수출입 실적(품목별)'!D1368),",","")),"")</f>
        <v>10.5</v>
      </c>
      <c r="H1364" s="19" t="n">
        <f aca="false">IFERROR(VALUE(SUBSTITUTE(TRIM('수출입 실적(품목별)'!E1368),",","")),"")</f>
        <v>17</v>
      </c>
      <c r="I1364" s="18" t="n">
        <f aca="false">IFERROR(VALUE(SUBSTITUTE(TRIM('수출입 실적(품목별)'!F1368),",","")),"")</f>
        <v>21084.8</v>
      </c>
      <c r="J1364" s="19" t="n">
        <f aca="false">IFERROR(VALUE(SUBSTITUTE(TRIM('수출입 실적(품목별)'!G1368),",","")),"")</f>
        <v>6285</v>
      </c>
      <c r="K1364" s="19" t="n">
        <f aca="false">IFERROR(VALUE(SUBSTITUTE(TRIM('수출입 실적(품목별)'!H1368),",","")),"")</f>
        <v>-6268</v>
      </c>
    </row>
    <row r="1365" customFormat="false" ht="15" hidden="false" customHeight="true" outlineLevel="0" collapsed="false">
      <c r="A1365" s="11" t="str">
        <f aca="false">TRIM('수출입 실적(품목별)'!A1369)</f>
        <v>2025.03</v>
      </c>
      <c r="B1365" s="17" t="n">
        <f aca="false">IFERROR(VALUE(LEFT($A1365,4)),"")</f>
        <v>2025</v>
      </c>
      <c r="C1365" s="17" t="n">
        <f aca="false">IFERROR(VALUE(RIGHT($A1365,2)),"")</f>
        <v>3</v>
      </c>
      <c r="D1365" s="17" t="n">
        <f aca="false">IFERROR(ROUNDUP($C1365/3,0),"")</f>
        <v>1</v>
      </c>
      <c r="E1365" s="11" t="str">
        <f aca="false">TRIM('수출입 실적(품목별)'!B1369)</f>
        <v>15</v>
      </c>
      <c r="F1365" s="11" t="str">
        <f aca="false">TRIM('수출입 실적(품목별)'!C1369)</f>
        <v>동물성ㆍ식물성ㆍ미생물성 지방과 기름 및이들의 분해생산물, 조제한 식용 지방과 동물성ㆍ식물성 왁스</v>
      </c>
      <c r="G1365" s="18" t="n">
        <f aca="false">IFERROR(VALUE(SUBSTITUTE(TRIM('수출입 실적(품목별)'!D1369),",","")),"")</f>
        <v>23113.6</v>
      </c>
      <c r="H1365" s="19" t="n">
        <f aca="false">IFERROR(VALUE(SUBSTITUTE(TRIM('수출입 실적(품목별)'!E1369),",","")),"")</f>
        <v>28244</v>
      </c>
      <c r="I1365" s="18" t="n">
        <f aca="false">IFERROR(VALUE(SUBSTITUTE(TRIM('수출입 실적(품목별)'!F1369),",","")),"")</f>
        <v>142059.3</v>
      </c>
      <c r="J1365" s="19" t="n">
        <f aca="false">IFERROR(VALUE(SUBSTITUTE(TRIM('수출입 실적(품목별)'!G1369),",","")),"")</f>
        <v>208146</v>
      </c>
      <c r="K1365" s="19" t="n">
        <f aca="false">IFERROR(VALUE(SUBSTITUTE(TRIM('수출입 실적(품목별)'!H1369),",","")),"")</f>
        <v>-179902</v>
      </c>
    </row>
    <row r="1366" customFormat="false" ht="15" hidden="false" customHeight="true" outlineLevel="0" collapsed="false">
      <c r="A1366" s="11" t="str">
        <f aca="false">TRIM('수출입 실적(품목별)'!A1370)</f>
        <v>2025.03</v>
      </c>
      <c r="B1366" s="17" t="n">
        <f aca="false">IFERROR(VALUE(LEFT($A1366,4)),"")</f>
        <v>2025</v>
      </c>
      <c r="C1366" s="17" t="n">
        <f aca="false">IFERROR(VALUE(RIGHT($A1366,2)),"")</f>
        <v>3</v>
      </c>
      <c r="D1366" s="17" t="n">
        <f aca="false">IFERROR(ROUNDUP($C1366/3,0),"")</f>
        <v>1</v>
      </c>
      <c r="E1366" s="11" t="str">
        <f aca="false">TRIM('수출입 실적(품목별)'!B1370)</f>
        <v>16</v>
      </c>
      <c r="F1366" s="11" t="str">
        <f aca="false">TRIM('수출입 실적(품목별)'!C1370)</f>
        <v>육류ㆍ어류ㆍ갑각류ㆍ연체동물이나 그 밖의 수생(水生) 무척추동물 또는 곤충의 조제품</v>
      </c>
      <c r="G1366" s="18" t="n">
        <f aca="false">IFERROR(VALUE(SUBSTITUTE(TRIM('수출입 실적(품목별)'!D1370),",","")),"")</f>
        <v>4630</v>
      </c>
      <c r="H1366" s="19" t="n">
        <f aca="false">IFERROR(VALUE(SUBSTITUTE(TRIM('수출입 실적(품목별)'!E1370),",","")),"")</f>
        <v>24969</v>
      </c>
      <c r="I1366" s="18" t="n">
        <f aca="false">IFERROR(VALUE(SUBSTITUTE(TRIM('수출입 실적(품목별)'!F1370),",","")),"")</f>
        <v>15321.8</v>
      </c>
      <c r="J1366" s="19" t="n">
        <f aca="false">IFERROR(VALUE(SUBSTITUTE(TRIM('수출입 실적(품목별)'!G1370),",","")),"")</f>
        <v>82796</v>
      </c>
      <c r="K1366" s="19" t="n">
        <f aca="false">IFERROR(VALUE(SUBSTITUTE(TRIM('수출입 실적(품목별)'!H1370),",","")),"")</f>
        <v>-57828</v>
      </c>
    </row>
    <row r="1367" customFormat="false" ht="15" hidden="false" customHeight="true" outlineLevel="0" collapsed="false">
      <c r="A1367" s="11" t="str">
        <f aca="false">TRIM('수출입 실적(품목별)'!A1371)</f>
        <v>2025.03</v>
      </c>
      <c r="B1367" s="17" t="n">
        <f aca="false">IFERROR(VALUE(LEFT($A1367,4)),"")</f>
        <v>2025</v>
      </c>
      <c r="C1367" s="17" t="n">
        <f aca="false">IFERROR(VALUE(RIGHT($A1367,2)),"")</f>
        <v>3</v>
      </c>
      <c r="D1367" s="17" t="n">
        <f aca="false">IFERROR(ROUNDUP($C1367/3,0),"")</f>
        <v>1</v>
      </c>
      <c r="E1367" s="11" t="str">
        <f aca="false">TRIM('수출입 실적(품목별)'!B1371)</f>
        <v>17</v>
      </c>
      <c r="F1367" s="11" t="str">
        <f aca="false">TRIM('수출입 실적(품목별)'!C1371)</f>
        <v>당류(糖類)와 설탕과자</v>
      </c>
      <c r="G1367" s="18" t="n">
        <f aca="false">IFERROR(VALUE(SUBSTITUTE(TRIM('수출입 실적(품목별)'!D1371),",","")),"")</f>
        <v>21360.5</v>
      </c>
      <c r="H1367" s="19" t="n">
        <f aca="false">IFERROR(VALUE(SUBSTITUTE(TRIM('수출입 실적(품목별)'!E1371),",","")),"")</f>
        <v>22873</v>
      </c>
      <c r="I1367" s="18" t="n">
        <f aca="false">IFERROR(VALUE(SUBSTITUTE(TRIM('수출입 실적(품목별)'!F1371),",","")),"")</f>
        <v>209847.9</v>
      </c>
      <c r="J1367" s="19" t="n">
        <f aca="false">IFERROR(VALUE(SUBSTITUTE(TRIM('수출입 실적(품목별)'!G1371),",","")),"")</f>
        <v>128431</v>
      </c>
      <c r="K1367" s="19" t="n">
        <f aca="false">IFERROR(VALUE(SUBSTITUTE(TRIM('수출입 실적(품목별)'!H1371),",","")),"")</f>
        <v>-105558</v>
      </c>
    </row>
    <row r="1368" customFormat="false" ht="15" hidden="false" customHeight="true" outlineLevel="0" collapsed="false">
      <c r="A1368" s="11" t="str">
        <f aca="false">TRIM('수출입 실적(품목별)'!A1372)</f>
        <v>2025.03</v>
      </c>
      <c r="B1368" s="17" t="n">
        <f aca="false">IFERROR(VALUE(LEFT($A1368,4)),"")</f>
        <v>2025</v>
      </c>
      <c r="C1368" s="17" t="n">
        <f aca="false">IFERROR(VALUE(RIGHT($A1368,2)),"")</f>
        <v>3</v>
      </c>
      <c r="D1368" s="17" t="n">
        <f aca="false">IFERROR(ROUNDUP($C1368/3,0),"")</f>
        <v>1</v>
      </c>
      <c r="E1368" s="11" t="str">
        <f aca="false">TRIM('수출입 실적(품목별)'!B1372)</f>
        <v>18</v>
      </c>
      <c r="F1368" s="11" t="str">
        <f aca="false">TRIM('수출입 실적(품목별)'!C1372)</f>
        <v>코코아와 그 조제품</v>
      </c>
      <c r="G1368" s="18" t="n">
        <f aca="false">IFERROR(VALUE(SUBSTITUTE(TRIM('수출입 실적(품목별)'!D1372),",","")),"")</f>
        <v>2610.3</v>
      </c>
      <c r="H1368" s="19" t="n">
        <f aca="false">IFERROR(VALUE(SUBSTITUTE(TRIM('수출입 실적(품목별)'!E1372),",","")),"")</f>
        <v>9156</v>
      </c>
      <c r="I1368" s="18" t="n">
        <f aca="false">IFERROR(VALUE(SUBSTITUTE(TRIM('수출입 실적(품목별)'!F1372),",","")),"")</f>
        <v>5138.4</v>
      </c>
      <c r="J1368" s="19" t="n">
        <f aca="false">IFERROR(VALUE(SUBSTITUTE(TRIM('수출입 실적(품목별)'!G1372),",","")),"")</f>
        <v>47315</v>
      </c>
      <c r="K1368" s="19" t="n">
        <f aca="false">IFERROR(VALUE(SUBSTITUTE(TRIM('수출입 실적(품목별)'!H1372),",","")),"")</f>
        <v>-38159</v>
      </c>
    </row>
    <row r="1369" customFormat="false" ht="15" hidden="false" customHeight="true" outlineLevel="0" collapsed="false">
      <c r="A1369" s="11" t="str">
        <f aca="false">TRIM('수출입 실적(품목별)'!A1373)</f>
        <v>2025.03</v>
      </c>
      <c r="B1369" s="17" t="n">
        <f aca="false">IFERROR(VALUE(LEFT($A1369,4)),"")</f>
        <v>2025</v>
      </c>
      <c r="C1369" s="17" t="n">
        <f aca="false">IFERROR(VALUE(RIGHT($A1369,2)),"")</f>
        <v>3</v>
      </c>
      <c r="D1369" s="17" t="n">
        <f aca="false">IFERROR(ROUNDUP($C1369/3,0),"")</f>
        <v>1</v>
      </c>
      <c r="E1369" s="11" t="str">
        <f aca="false">TRIM('수출입 실적(품목별)'!B1373)</f>
        <v>19</v>
      </c>
      <c r="F1369" s="11" t="str">
        <f aca="false">TRIM('수출입 실적(품목별)'!C1373)</f>
        <v>곡물ㆍ고운 가루ㆍ전분ㆍ밀크의 조제품과 베이커리 제품</v>
      </c>
      <c r="G1369" s="18" t="n">
        <f aca="false">IFERROR(VALUE(SUBSTITUTE(TRIM('수출입 실적(품목별)'!D1373),",","")),"")</f>
        <v>53557.6</v>
      </c>
      <c r="H1369" s="19" t="n">
        <f aca="false">IFERROR(VALUE(SUBSTITUTE(TRIM('수출입 실적(품목별)'!E1373),",","")),"")</f>
        <v>212573</v>
      </c>
      <c r="I1369" s="18" t="n">
        <f aca="false">IFERROR(VALUE(SUBSTITUTE(TRIM('수출입 실적(품목별)'!F1373),",","")),"")</f>
        <v>26899.1</v>
      </c>
      <c r="J1369" s="19" t="n">
        <f aca="false">IFERROR(VALUE(SUBSTITUTE(TRIM('수출입 실적(품목별)'!G1373),",","")),"")</f>
        <v>85105</v>
      </c>
      <c r="K1369" s="19" t="n">
        <f aca="false">IFERROR(VALUE(SUBSTITUTE(TRIM('수출입 실적(품목별)'!H1373),",","")),"")</f>
        <v>127468</v>
      </c>
    </row>
    <row r="1370" customFormat="false" ht="15" hidden="false" customHeight="true" outlineLevel="0" collapsed="false">
      <c r="A1370" s="11" t="str">
        <f aca="false">TRIM('수출입 실적(품목별)'!A1374)</f>
        <v>2025.03</v>
      </c>
      <c r="B1370" s="17" t="n">
        <f aca="false">IFERROR(VALUE(LEFT($A1370,4)),"")</f>
        <v>2025</v>
      </c>
      <c r="C1370" s="17" t="n">
        <f aca="false">IFERROR(VALUE(RIGHT($A1370,2)),"")</f>
        <v>3</v>
      </c>
      <c r="D1370" s="17" t="n">
        <f aca="false">IFERROR(ROUNDUP($C1370/3,0),"")</f>
        <v>1</v>
      </c>
      <c r="E1370" s="11" t="str">
        <f aca="false">TRIM('수출입 실적(품목별)'!B1374)</f>
        <v>20</v>
      </c>
      <c r="F1370" s="11" t="str">
        <f aca="false">TRIM('수출입 실적(품목별)'!C1374)</f>
        <v>채소ㆍ과실ㆍ견과류나 식물의그 밖의 부분의 조제품</v>
      </c>
      <c r="G1370" s="18" t="n">
        <f aca="false">IFERROR(VALUE(SUBSTITUTE(TRIM('수출입 실적(품목별)'!D1374),",","")),"")</f>
        <v>9760.8</v>
      </c>
      <c r="H1370" s="19" t="n">
        <f aca="false">IFERROR(VALUE(SUBSTITUTE(TRIM('수출입 실적(품목별)'!E1374),",","")),"")</f>
        <v>84492</v>
      </c>
      <c r="I1370" s="18" t="n">
        <f aca="false">IFERROR(VALUE(SUBSTITUTE(TRIM('수출입 실적(품목별)'!F1374),",","")),"")</f>
        <v>95307.4</v>
      </c>
      <c r="J1370" s="19" t="n">
        <f aca="false">IFERROR(VALUE(SUBSTITUTE(TRIM('수출입 실적(품목별)'!G1374),",","")),"")</f>
        <v>134910</v>
      </c>
      <c r="K1370" s="19" t="n">
        <f aca="false">IFERROR(VALUE(SUBSTITUTE(TRIM('수출입 실적(품목별)'!H1374),",","")),"")</f>
        <v>-50418</v>
      </c>
    </row>
    <row r="1371" customFormat="false" ht="15" hidden="false" customHeight="true" outlineLevel="0" collapsed="false">
      <c r="A1371" s="11" t="str">
        <f aca="false">TRIM('수출입 실적(품목별)'!A1375)</f>
        <v>2025.03</v>
      </c>
      <c r="B1371" s="17" t="n">
        <f aca="false">IFERROR(VALUE(LEFT($A1371,4)),"")</f>
        <v>2025</v>
      </c>
      <c r="C1371" s="17" t="n">
        <f aca="false">IFERROR(VALUE(RIGHT($A1371,2)),"")</f>
        <v>3</v>
      </c>
      <c r="D1371" s="17" t="n">
        <f aca="false">IFERROR(ROUNDUP($C1371/3,0),"")</f>
        <v>1</v>
      </c>
      <c r="E1371" s="11" t="str">
        <f aca="false">TRIM('수출입 실적(품목별)'!B1375)</f>
        <v>21</v>
      </c>
      <c r="F1371" s="11" t="str">
        <f aca="false">TRIM('수출입 실적(품목별)'!C1375)</f>
        <v>각종 조제 식료품</v>
      </c>
      <c r="G1371" s="18" t="n">
        <f aca="false">IFERROR(VALUE(SUBSTITUTE(TRIM('수출입 실적(품목별)'!D1375),",","")),"")</f>
        <v>37656.8</v>
      </c>
      <c r="H1371" s="19" t="n">
        <f aca="false">IFERROR(VALUE(SUBSTITUTE(TRIM('수출입 실적(품목별)'!E1375),",","")),"")</f>
        <v>160598</v>
      </c>
      <c r="I1371" s="18" t="n">
        <f aca="false">IFERROR(VALUE(SUBSTITUTE(TRIM('수출입 실적(품목별)'!F1375),",","")),"")</f>
        <v>32817.9</v>
      </c>
      <c r="J1371" s="19" t="n">
        <f aca="false">IFERROR(VALUE(SUBSTITUTE(TRIM('수출입 실적(품목별)'!G1375),",","")),"")</f>
        <v>241800</v>
      </c>
      <c r="K1371" s="19" t="n">
        <f aca="false">IFERROR(VALUE(SUBSTITUTE(TRIM('수출입 실적(품목별)'!H1375),",","")),"")</f>
        <v>-81201</v>
      </c>
    </row>
    <row r="1372" customFormat="false" ht="15" hidden="false" customHeight="true" outlineLevel="0" collapsed="false">
      <c r="A1372" s="11" t="str">
        <f aca="false">TRIM('수출입 실적(품목별)'!A1376)</f>
        <v>2025.03</v>
      </c>
      <c r="B1372" s="17" t="n">
        <f aca="false">IFERROR(VALUE(LEFT($A1372,4)),"")</f>
        <v>2025</v>
      </c>
      <c r="C1372" s="17" t="n">
        <f aca="false">IFERROR(VALUE(RIGHT($A1372,2)),"")</f>
        <v>3</v>
      </c>
      <c r="D1372" s="17" t="n">
        <f aca="false">IFERROR(ROUNDUP($C1372/3,0),"")</f>
        <v>1</v>
      </c>
      <c r="E1372" s="11" t="str">
        <f aca="false">TRIM('수출입 실적(품목별)'!B1376)</f>
        <v>22</v>
      </c>
      <c r="F1372" s="11" t="str">
        <f aca="false">TRIM('수출입 실적(품목별)'!C1376)</f>
        <v>음료ㆍ주류ㆍ식초</v>
      </c>
      <c r="G1372" s="18" t="n">
        <f aca="false">IFERROR(VALUE(SUBSTITUTE(TRIM('수출입 실적(품목별)'!D1376),",","")),"")</f>
        <v>84484.2</v>
      </c>
      <c r="H1372" s="19" t="n">
        <f aca="false">IFERROR(VALUE(SUBSTITUTE(TRIM('수출입 실적(품목별)'!E1376),",","")),"")</f>
        <v>100669</v>
      </c>
      <c r="I1372" s="18" t="n">
        <f aca="false">IFERROR(VALUE(SUBSTITUTE(TRIM('수출입 실적(품목별)'!F1376),",","")),"")</f>
        <v>79257.6</v>
      </c>
      <c r="J1372" s="19" t="n">
        <f aca="false">IFERROR(VALUE(SUBSTITUTE(TRIM('수출입 실적(품목별)'!G1376),",","")),"")</f>
        <v>118325</v>
      </c>
      <c r="K1372" s="19" t="n">
        <f aca="false">IFERROR(VALUE(SUBSTITUTE(TRIM('수출입 실적(품목별)'!H1376),",","")),"")</f>
        <v>-17656</v>
      </c>
    </row>
    <row r="1373" customFormat="false" ht="15" hidden="false" customHeight="true" outlineLevel="0" collapsed="false">
      <c r="A1373" s="11" t="str">
        <f aca="false">TRIM('수출입 실적(품목별)'!A1377)</f>
        <v>2025.03</v>
      </c>
      <c r="B1373" s="17" t="n">
        <f aca="false">IFERROR(VALUE(LEFT($A1373,4)),"")</f>
        <v>2025</v>
      </c>
      <c r="C1373" s="17" t="n">
        <f aca="false">IFERROR(VALUE(RIGHT($A1373,2)),"")</f>
        <v>3</v>
      </c>
      <c r="D1373" s="17" t="n">
        <f aca="false">IFERROR(ROUNDUP($C1373/3,0),"")</f>
        <v>1</v>
      </c>
      <c r="E1373" s="11" t="str">
        <f aca="false">TRIM('수출입 실적(품목별)'!B1377)</f>
        <v>23</v>
      </c>
      <c r="F1373" s="11" t="str">
        <f aca="false">TRIM('수출입 실적(품목별)'!C1377)</f>
        <v>식품 공업에서 생기는 잔재물과 웨이스트(waste), 조제 사료</v>
      </c>
      <c r="G1373" s="18" t="n">
        <f aca="false">IFERROR(VALUE(SUBSTITUTE(TRIM('수출입 실적(품목별)'!D1377),",","")),"")</f>
        <v>30512.9</v>
      </c>
      <c r="H1373" s="19" t="n">
        <f aca="false">IFERROR(VALUE(SUBSTITUTE(TRIM('수출입 실적(품목별)'!E1377),",","")),"")</f>
        <v>28607</v>
      </c>
      <c r="I1373" s="18" t="n">
        <f aca="false">IFERROR(VALUE(SUBSTITUTE(TRIM('수출입 실적(품목별)'!F1377),",","")),"")</f>
        <v>550392.1</v>
      </c>
      <c r="J1373" s="19" t="n">
        <f aca="false">IFERROR(VALUE(SUBSTITUTE(TRIM('수출입 실적(품목별)'!G1377),",","")),"")</f>
        <v>178139</v>
      </c>
      <c r="K1373" s="19" t="n">
        <f aca="false">IFERROR(VALUE(SUBSTITUTE(TRIM('수출입 실적(품목별)'!H1377),",","")),"")</f>
        <v>-149532</v>
      </c>
    </row>
    <row r="1374" customFormat="false" ht="15" hidden="false" customHeight="true" outlineLevel="0" collapsed="false">
      <c r="A1374" s="11" t="str">
        <f aca="false">TRIM('수출입 실적(품목별)'!A1378)</f>
        <v>2025.03</v>
      </c>
      <c r="B1374" s="17" t="n">
        <f aca="false">IFERROR(VALUE(LEFT($A1374,4)),"")</f>
        <v>2025</v>
      </c>
      <c r="C1374" s="17" t="n">
        <f aca="false">IFERROR(VALUE(RIGHT($A1374,2)),"")</f>
        <v>3</v>
      </c>
      <c r="D1374" s="17" t="n">
        <f aca="false">IFERROR(ROUNDUP($C1374/3,0),"")</f>
        <v>1</v>
      </c>
      <c r="E1374" s="11" t="str">
        <f aca="false">TRIM('수출입 실적(품목별)'!B1378)</f>
        <v>24</v>
      </c>
      <c r="F1374" s="11" t="str">
        <f aca="false">TRIM('수출입 실적(품목별)'!C1378)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374" s="18" t="n">
        <f aca="false">IFERROR(VALUE(SUBSTITUTE(TRIM('수출입 실적(품목별)'!D1378),",","")),"")</f>
        <v>7710.8</v>
      </c>
      <c r="H1374" s="19" t="n">
        <f aca="false">IFERROR(VALUE(SUBSTITUTE(TRIM('수출입 실적(품목별)'!E1378),",","")),"")</f>
        <v>86963</v>
      </c>
      <c r="I1374" s="18" t="n">
        <f aca="false">IFERROR(VALUE(SUBSTITUTE(TRIM('수출입 실적(품목별)'!F1378),",","")),"")</f>
        <v>7613.3</v>
      </c>
      <c r="J1374" s="19" t="n">
        <f aca="false">IFERROR(VALUE(SUBSTITUTE(TRIM('수출입 실적(품목별)'!G1378),",","")),"")</f>
        <v>57446</v>
      </c>
      <c r="K1374" s="19" t="n">
        <f aca="false">IFERROR(VALUE(SUBSTITUTE(TRIM('수출입 실적(품목별)'!H1378),",","")),"")</f>
        <v>29517</v>
      </c>
    </row>
    <row r="1375" customFormat="false" ht="15" hidden="false" customHeight="true" outlineLevel="0" collapsed="false">
      <c r="A1375" s="11" t="str">
        <f aca="false">TRIM('수출입 실적(품목별)'!A1379)</f>
        <v>2025.03</v>
      </c>
      <c r="B1375" s="17" t="n">
        <f aca="false">IFERROR(VALUE(LEFT($A1375,4)),"")</f>
        <v>2025</v>
      </c>
      <c r="C1375" s="17" t="n">
        <f aca="false">IFERROR(VALUE(RIGHT($A1375,2)),"")</f>
        <v>3</v>
      </c>
      <c r="D1375" s="17" t="n">
        <f aca="false">IFERROR(ROUNDUP($C1375/3,0),"")</f>
        <v>1</v>
      </c>
      <c r="E1375" s="11" t="str">
        <f aca="false">TRIM('수출입 실적(품목별)'!B1379)</f>
        <v>25</v>
      </c>
      <c r="F1375" s="11" t="str">
        <f aca="false">TRIM('수출입 실적(품목별)'!C1379)</f>
        <v>소금, 황, 토석류(土石類), 석고ㆍ석회ㆍ시멘트</v>
      </c>
      <c r="G1375" s="18" t="n">
        <f aca="false">IFERROR(VALUE(SUBSTITUTE(TRIM('수출입 실적(품목별)'!D1379),",","")),"")</f>
        <v>506926.5</v>
      </c>
      <c r="H1375" s="19" t="n">
        <f aca="false">IFERROR(VALUE(SUBSTITUTE(TRIM('수출입 실적(품목별)'!E1379),",","")),"")</f>
        <v>31657</v>
      </c>
      <c r="I1375" s="18" t="n">
        <f aca="false">IFERROR(VALUE(SUBSTITUTE(TRIM('수출입 실적(품목별)'!F1379),",","")),"")</f>
        <v>1021304.3</v>
      </c>
      <c r="J1375" s="19" t="n">
        <f aca="false">IFERROR(VALUE(SUBSTITUTE(TRIM('수출입 실적(품목별)'!G1379),",","")),"")</f>
        <v>78595</v>
      </c>
      <c r="K1375" s="19" t="n">
        <f aca="false">IFERROR(VALUE(SUBSTITUTE(TRIM('수출입 실적(품목별)'!H1379),",","")),"")</f>
        <v>-46938</v>
      </c>
    </row>
    <row r="1376" customFormat="false" ht="15" hidden="false" customHeight="true" outlineLevel="0" collapsed="false">
      <c r="A1376" s="11" t="str">
        <f aca="false">TRIM('수출입 실적(품목별)'!A1380)</f>
        <v>2025.03</v>
      </c>
      <c r="B1376" s="17" t="n">
        <f aca="false">IFERROR(VALUE(LEFT($A1376,4)),"")</f>
        <v>2025</v>
      </c>
      <c r="C1376" s="17" t="n">
        <f aca="false">IFERROR(VALUE(RIGHT($A1376,2)),"")</f>
        <v>3</v>
      </c>
      <c r="D1376" s="17" t="n">
        <f aca="false">IFERROR(ROUNDUP($C1376/3,0),"")</f>
        <v>1</v>
      </c>
      <c r="E1376" s="11" t="str">
        <f aca="false">TRIM('수출입 실적(품목별)'!B1380)</f>
        <v>26</v>
      </c>
      <c r="F1376" s="11" t="str">
        <f aca="false">TRIM('수출입 실적(품목별)'!C1380)</f>
        <v>광(鑛)ㆍ슬래그(slag)ㆍ회(灰)</v>
      </c>
      <c r="G1376" s="18" t="n">
        <f aca="false">IFERROR(VALUE(SUBSTITUTE(TRIM('수출입 실적(품목별)'!D1380),",","")),"")</f>
        <v>147970</v>
      </c>
      <c r="H1376" s="19" t="n">
        <f aca="false">IFERROR(VALUE(SUBSTITUTE(TRIM('수출입 실적(품목별)'!E1380),",","")),"")</f>
        <v>70445</v>
      </c>
      <c r="I1376" s="18" t="n">
        <f aca="false">IFERROR(VALUE(SUBSTITUTE(TRIM('수출입 실적(품목별)'!F1380),",","")),"")</f>
        <v>6251373.6</v>
      </c>
      <c r="J1376" s="19" t="n">
        <f aca="false">IFERROR(VALUE(SUBSTITUTE(TRIM('수출입 실적(품목별)'!G1380),",","")),"")</f>
        <v>1610001</v>
      </c>
      <c r="K1376" s="19" t="n">
        <f aca="false">IFERROR(VALUE(SUBSTITUTE(TRIM('수출입 실적(품목별)'!H1380),",","")),"")</f>
        <v>-1539556</v>
      </c>
    </row>
    <row r="1377" customFormat="false" ht="15" hidden="false" customHeight="true" outlineLevel="0" collapsed="false">
      <c r="A1377" s="11" t="str">
        <f aca="false">TRIM('수출입 실적(품목별)'!A1381)</f>
        <v>2025.03</v>
      </c>
      <c r="B1377" s="17" t="n">
        <f aca="false">IFERROR(VALUE(LEFT($A1377,4)),"")</f>
        <v>2025</v>
      </c>
      <c r="C1377" s="17" t="n">
        <f aca="false">IFERROR(VALUE(RIGHT($A1377,2)),"")</f>
        <v>3</v>
      </c>
      <c r="D1377" s="17" t="n">
        <f aca="false">IFERROR(ROUNDUP($C1377/3,0),"")</f>
        <v>1</v>
      </c>
      <c r="E1377" s="11" t="str">
        <f aca="false">TRIM('수출입 실적(품목별)'!B1381)</f>
        <v>27</v>
      </c>
      <c r="F1377" s="11" t="str">
        <f aca="false">TRIM('수출입 실적(품목별)'!C1381)</f>
        <v>광물성 연료ㆍ광물유(鑛物油)와 이들의 증류물, 역청(瀝靑)물질, 광물성 왁스</v>
      </c>
      <c r="G1377" s="18" t="n">
        <f aca="false">IFERROR(VALUE(SUBSTITUTE(TRIM('수출입 실적(품목별)'!D1381),",","")),"")</f>
        <v>4974739.2</v>
      </c>
      <c r="H1377" s="19" t="n">
        <f aca="false">IFERROR(VALUE(SUBSTITUTE(TRIM('수출입 실적(품목별)'!E1381),",","")),"")</f>
        <v>3466285</v>
      </c>
      <c r="I1377" s="18" t="n">
        <f aca="false">IFERROR(VALUE(SUBSTITUTE(TRIM('수출입 실적(품목별)'!F1381),",","")),"")</f>
        <v>25289266.8</v>
      </c>
      <c r="J1377" s="19" t="n">
        <f aca="false">IFERROR(VALUE(SUBSTITUTE(TRIM('수출입 실적(품목별)'!G1381),",","")),"")</f>
        <v>12047322</v>
      </c>
      <c r="K1377" s="19" t="n">
        <f aca="false">IFERROR(VALUE(SUBSTITUTE(TRIM('수출입 실적(품목별)'!H1381),",","")),"")</f>
        <v>-8581037</v>
      </c>
    </row>
    <row r="1378" customFormat="false" ht="15" hidden="false" customHeight="true" outlineLevel="0" collapsed="false">
      <c r="A1378" s="11" t="str">
        <f aca="false">TRIM('수출입 실적(품목별)'!A1382)</f>
        <v>2025.03</v>
      </c>
      <c r="B1378" s="17" t="n">
        <f aca="false">IFERROR(VALUE(LEFT($A1378,4)),"")</f>
        <v>2025</v>
      </c>
      <c r="C1378" s="17" t="n">
        <f aca="false">IFERROR(VALUE(RIGHT($A1378,2)),"")</f>
        <v>3</v>
      </c>
      <c r="D1378" s="17" t="n">
        <f aca="false">IFERROR(ROUNDUP($C1378/3,0),"")</f>
        <v>1</v>
      </c>
      <c r="E1378" s="11" t="str">
        <f aca="false">TRIM('수출입 실적(품목별)'!B1382)</f>
        <v>28</v>
      </c>
      <c r="F1378" s="11" t="str">
        <f aca="false">TRIM('수출입 실적(품목별)'!C1382)</f>
        <v>무기화학품, 귀금속ㆍ희토류(稀土類)금속ㆍ방사성원소ㆍ동위원소의 유기화합물이나 무기화합물</v>
      </c>
      <c r="G1378" s="18" t="n">
        <f aca="false">IFERROR(VALUE(SUBSTITUTE(TRIM('수출입 실적(품목별)'!D1382),",","")),"")</f>
        <v>377588.8</v>
      </c>
      <c r="H1378" s="19" t="n">
        <f aca="false">IFERROR(VALUE(SUBSTITUTE(TRIM('수출입 실적(품목별)'!E1382),",","")),"")</f>
        <v>735683</v>
      </c>
      <c r="I1378" s="18" t="n">
        <f aca="false">IFERROR(VALUE(SUBSTITUTE(TRIM('수출입 실적(품목별)'!F1382),",","")),"")</f>
        <v>300974.7</v>
      </c>
      <c r="J1378" s="19" t="n">
        <f aca="false">IFERROR(VALUE(SUBSTITUTE(TRIM('수출입 실적(품목별)'!G1382),",","")),"")</f>
        <v>733934</v>
      </c>
      <c r="K1378" s="19" t="n">
        <f aca="false">IFERROR(VALUE(SUBSTITUTE(TRIM('수출입 실적(품목별)'!H1382),",","")),"")</f>
        <v>1749</v>
      </c>
    </row>
    <row r="1379" customFormat="false" ht="15" hidden="false" customHeight="true" outlineLevel="0" collapsed="false">
      <c r="A1379" s="11" t="str">
        <f aca="false">TRIM('수출입 실적(품목별)'!A1383)</f>
        <v>2025.03</v>
      </c>
      <c r="B1379" s="17" t="n">
        <f aca="false">IFERROR(VALUE(LEFT($A1379,4)),"")</f>
        <v>2025</v>
      </c>
      <c r="C1379" s="17" t="n">
        <f aca="false">IFERROR(VALUE(RIGHT($A1379,2)),"")</f>
        <v>3</v>
      </c>
      <c r="D1379" s="17" t="n">
        <f aca="false">IFERROR(ROUNDUP($C1379/3,0),"")</f>
        <v>1</v>
      </c>
      <c r="E1379" s="11" t="str">
        <f aca="false">TRIM('수출입 실적(품목별)'!B1383)</f>
        <v>29</v>
      </c>
      <c r="F1379" s="11" t="str">
        <f aca="false">TRIM('수출입 실적(품목별)'!C1383)</f>
        <v>유기화학품</v>
      </c>
      <c r="G1379" s="18" t="n">
        <f aca="false">IFERROR(VALUE(SUBSTITUTE(TRIM('수출입 실적(품목별)'!D1383),",","")),"")</f>
        <v>1568127.1</v>
      </c>
      <c r="H1379" s="19" t="n">
        <f aca="false">IFERROR(VALUE(SUBSTITUTE(TRIM('수출입 실적(품목별)'!E1383),",","")),"")</f>
        <v>1611319</v>
      </c>
      <c r="I1379" s="18" t="n">
        <f aca="false">IFERROR(VALUE(SUBSTITUTE(TRIM('수출입 실적(품목별)'!F1383),",","")),"")</f>
        <v>646749.3</v>
      </c>
      <c r="J1379" s="19" t="n">
        <f aca="false">IFERROR(VALUE(SUBSTITUTE(TRIM('수출입 실적(품목별)'!G1383),",","")),"")</f>
        <v>1138042</v>
      </c>
      <c r="K1379" s="19" t="n">
        <f aca="false">IFERROR(VALUE(SUBSTITUTE(TRIM('수출입 실적(품목별)'!H1383),",","")),"")</f>
        <v>473276</v>
      </c>
    </row>
    <row r="1380" customFormat="false" ht="15" hidden="false" customHeight="true" outlineLevel="0" collapsed="false">
      <c r="A1380" s="11" t="str">
        <f aca="false">TRIM('수출입 실적(품목별)'!A1384)</f>
        <v>2025.03</v>
      </c>
      <c r="B1380" s="17" t="n">
        <f aca="false">IFERROR(VALUE(LEFT($A1380,4)),"")</f>
        <v>2025</v>
      </c>
      <c r="C1380" s="17" t="n">
        <f aca="false">IFERROR(VALUE(RIGHT($A1380,2)),"")</f>
        <v>3</v>
      </c>
      <c r="D1380" s="17" t="n">
        <f aca="false">IFERROR(ROUNDUP($C1380/3,0),"")</f>
        <v>1</v>
      </c>
      <c r="E1380" s="11" t="str">
        <f aca="false">TRIM('수출입 실적(품목별)'!B1384)</f>
        <v>30</v>
      </c>
      <c r="F1380" s="11" t="str">
        <f aca="false">TRIM('수출입 실적(품목별)'!C1384)</f>
        <v>의료용품</v>
      </c>
      <c r="G1380" s="18" t="n">
        <f aca="false">IFERROR(VALUE(SUBSTITUTE(TRIM('수출입 실적(품목별)'!D1384),",","")),"")</f>
        <v>2682.6</v>
      </c>
      <c r="H1380" s="19" t="n">
        <f aca="false">IFERROR(VALUE(SUBSTITUTE(TRIM('수출입 실적(품목별)'!E1384),",","")),"")</f>
        <v>766350</v>
      </c>
      <c r="I1380" s="18" t="n">
        <f aca="false">IFERROR(VALUE(SUBSTITUTE(TRIM('수출입 실적(품목별)'!F1384),",","")),"")</f>
        <v>6432.2</v>
      </c>
      <c r="J1380" s="19" t="n">
        <f aca="false">IFERROR(VALUE(SUBSTITUTE(TRIM('수출입 실적(품목별)'!G1384),",","")),"")</f>
        <v>787884</v>
      </c>
      <c r="K1380" s="19" t="n">
        <f aca="false">IFERROR(VALUE(SUBSTITUTE(TRIM('수출입 실적(품목별)'!H1384),",","")),"")</f>
        <v>-21534</v>
      </c>
    </row>
    <row r="1381" customFormat="false" ht="15" hidden="false" customHeight="true" outlineLevel="0" collapsed="false">
      <c r="A1381" s="11" t="str">
        <f aca="false">TRIM('수출입 실적(품목별)'!A1385)</f>
        <v>2025.03</v>
      </c>
      <c r="B1381" s="17" t="n">
        <f aca="false">IFERROR(VALUE(LEFT($A1381,4)),"")</f>
        <v>2025</v>
      </c>
      <c r="C1381" s="17" t="n">
        <f aca="false">IFERROR(VALUE(RIGHT($A1381,2)),"")</f>
        <v>3</v>
      </c>
      <c r="D1381" s="17" t="n">
        <f aca="false">IFERROR(ROUNDUP($C1381/3,0),"")</f>
        <v>1</v>
      </c>
      <c r="E1381" s="11" t="str">
        <f aca="false">TRIM('수출입 실적(품목별)'!B1385)</f>
        <v>31</v>
      </c>
      <c r="F1381" s="11" t="str">
        <f aca="false">TRIM('수출입 실적(품목별)'!C1385)</f>
        <v>비료</v>
      </c>
      <c r="G1381" s="18" t="n">
        <f aca="false">IFERROR(VALUE(SUBSTITUTE(TRIM('수출입 실적(품목별)'!D1385),",","")),"")</f>
        <v>104007.3</v>
      </c>
      <c r="H1381" s="19" t="n">
        <f aca="false">IFERROR(VALUE(SUBSTITUTE(TRIM('수출입 실적(품목별)'!E1385),",","")),"")</f>
        <v>41243</v>
      </c>
      <c r="I1381" s="18" t="n">
        <f aca="false">IFERROR(VALUE(SUBSTITUTE(TRIM('수출입 실적(품목별)'!F1385),",","")),"")</f>
        <v>125830.6</v>
      </c>
      <c r="J1381" s="19" t="n">
        <f aca="false">IFERROR(VALUE(SUBSTITUTE(TRIM('수출입 실적(품목별)'!G1385),",","")),"")</f>
        <v>51617</v>
      </c>
      <c r="K1381" s="19" t="n">
        <f aca="false">IFERROR(VALUE(SUBSTITUTE(TRIM('수출입 실적(품목별)'!H1385),",","")),"")</f>
        <v>-10374</v>
      </c>
    </row>
    <row r="1382" customFormat="false" ht="15" hidden="false" customHeight="true" outlineLevel="0" collapsed="false">
      <c r="A1382" s="11" t="str">
        <f aca="false">TRIM('수출입 실적(품목별)'!A1386)</f>
        <v>2025.03</v>
      </c>
      <c r="B1382" s="17" t="n">
        <f aca="false">IFERROR(VALUE(LEFT($A1382,4)),"")</f>
        <v>2025</v>
      </c>
      <c r="C1382" s="17" t="n">
        <f aca="false">IFERROR(VALUE(RIGHT($A1382,2)),"")</f>
        <v>3</v>
      </c>
      <c r="D1382" s="17" t="n">
        <f aca="false">IFERROR(ROUNDUP($C1382/3,0),"")</f>
        <v>1</v>
      </c>
      <c r="E1382" s="11" t="str">
        <f aca="false">TRIM('수출입 실적(품목별)'!B1386)</f>
        <v>32</v>
      </c>
      <c r="F1382" s="11" t="str">
        <f aca="false">TRIM('수출입 실적(품목별)'!C1386)</f>
        <v>유연용ㆍ염색용 추출물(extract), 탄닌과 이들의 유도체, 염료ㆍ안료와 그 밖의 착색제, 페인트ㆍ바니시(varnish), 퍼티(putty)와 그 밖의 매스틱(mastic), 잉크</v>
      </c>
      <c r="G1382" s="18" t="n">
        <f aca="false">IFERROR(VALUE(SUBSTITUTE(TRIM('수출입 실적(품목별)'!D1386),",","")),"")</f>
        <v>30764.5</v>
      </c>
      <c r="H1382" s="19" t="n">
        <f aca="false">IFERROR(VALUE(SUBSTITUTE(TRIM('수출입 실적(품목별)'!E1386),",","")),"")</f>
        <v>223829</v>
      </c>
      <c r="I1382" s="18" t="n">
        <f aca="false">IFERROR(VALUE(SUBSTITUTE(TRIM('수출입 실적(품목별)'!F1386),",","")),"")</f>
        <v>24679.9</v>
      </c>
      <c r="J1382" s="19" t="n">
        <f aca="false">IFERROR(VALUE(SUBSTITUTE(TRIM('수출입 실적(품목별)'!G1386),",","")),"")</f>
        <v>187802</v>
      </c>
      <c r="K1382" s="19" t="n">
        <f aca="false">IFERROR(VALUE(SUBSTITUTE(TRIM('수출입 실적(품목별)'!H1386),",","")),"")</f>
        <v>36027</v>
      </c>
    </row>
    <row r="1383" customFormat="false" ht="15" hidden="false" customHeight="true" outlineLevel="0" collapsed="false">
      <c r="A1383" s="11" t="str">
        <f aca="false">TRIM('수출입 실적(품목별)'!A1387)</f>
        <v>2025.03</v>
      </c>
      <c r="B1383" s="17" t="n">
        <f aca="false">IFERROR(VALUE(LEFT($A1383,4)),"")</f>
        <v>2025</v>
      </c>
      <c r="C1383" s="17" t="n">
        <f aca="false">IFERROR(VALUE(RIGHT($A1383,2)),"")</f>
        <v>3</v>
      </c>
      <c r="D1383" s="17" t="n">
        <f aca="false">IFERROR(ROUNDUP($C1383/3,0),"")</f>
        <v>1</v>
      </c>
      <c r="E1383" s="11" t="str">
        <f aca="false">TRIM('수출입 실적(품목별)'!B1387)</f>
        <v>33</v>
      </c>
      <c r="F1383" s="11" t="str">
        <f aca="false">TRIM('수출입 실적(품목별)'!C1387)</f>
        <v>정유(essential oil)와 레지노이드(resinoid), 조제향료와 화장품ㆍ화장용품</v>
      </c>
      <c r="G1383" s="18" t="n">
        <f aca="false">IFERROR(VALUE(SUBSTITUTE(TRIM('수출입 실적(품목별)'!D1387),",","")),"")</f>
        <v>39683.4</v>
      </c>
      <c r="H1383" s="19" t="n">
        <f aca="false">IFERROR(VALUE(SUBSTITUTE(TRIM('수출입 실적(품목별)'!E1387),",","")),"")</f>
        <v>912081</v>
      </c>
      <c r="I1383" s="18" t="n">
        <f aca="false">IFERROR(VALUE(SUBSTITUTE(TRIM('수출입 실적(품목별)'!F1387),",","")),"")</f>
        <v>9679.2</v>
      </c>
      <c r="J1383" s="19" t="n">
        <f aca="false">IFERROR(VALUE(SUBSTITUTE(TRIM('수출입 실적(품목별)'!G1387),",","")),"")</f>
        <v>185790</v>
      </c>
      <c r="K1383" s="19" t="n">
        <f aca="false">IFERROR(VALUE(SUBSTITUTE(TRIM('수출입 실적(품목별)'!H1387),",","")),"")</f>
        <v>726292</v>
      </c>
    </row>
    <row r="1384" customFormat="false" ht="15" hidden="false" customHeight="true" outlineLevel="0" collapsed="false">
      <c r="A1384" s="11" t="str">
        <f aca="false">TRIM('수출입 실적(품목별)'!A1388)</f>
        <v>2025.03</v>
      </c>
      <c r="B1384" s="17" t="n">
        <f aca="false">IFERROR(VALUE(LEFT($A1384,4)),"")</f>
        <v>2025</v>
      </c>
      <c r="C1384" s="17" t="n">
        <f aca="false">IFERROR(VALUE(RIGHT($A1384,2)),"")</f>
        <v>3</v>
      </c>
      <c r="D1384" s="17" t="n">
        <f aca="false">IFERROR(ROUNDUP($C1384/3,0),"")</f>
        <v>1</v>
      </c>
      <c r="E1384" s="11" t="str">
        <f aca="false">TRIM('수출입 실적(품목별)'!B1388)</f>
        <v>34</v>
      </c>
      <c r="F1384" s="11" t="str">
        <f aca="false">TRIM('수출입 실적(품목별)'!C1388)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384" s="18" t="n">
        <f aca="false">IFERROR(VALUE(SUBSTITUTE(TRIM('수출입 실적(품목별)'!D1388),",","")),"")</f>
        <v>47885.9</v>
      </c>
      <c r="H1384" s="19" t="n">
        <f aca="false">IFERROR(VALUE(SUBSTITUTE(TRIM('수출입 실적(품목별)'!E1388),",","")),"")</f>
        <v>149258</v>
      </c>
      <c r="I1384" s="18" t="n">
        <f aca="false">IFERROR(VALUE(SUBSTITUTE(TRIM('수출입 실적(품목별)'!F1388),",","")),"")</f>
        <v>25296</v>
      </c>
      <c r="J1384" s="19" t="n">
        <f aca="false">IFERROR(VALUE(SUBSTITUTE(TRIM('수출입 실적(품목별)'!G1388),",","")),"")</f>
        <v>95835</v>
      </c>
      <c r="K1384" s="19" t="n">
        <f aca="false">IFERROR(VALUE(SUBSTITUTE(TRIM('수출입 실적(품목별)'!H1388),",","")),"")</f>
        <v>53423</v>
      </c>
    </row>
    <row r="1385" customFormat="false" ht="15" hidden="false" customHeight="true" outlineLevel="0" collapsed="false">
      <c r="A1385" s="11" t="str">
        <f aca="false">TRIM('수출입 실적(품목별)'!A1389)</f>
        <v>2025.03</v>
      </c>
      <c r="B1385" s="17" t="n">
        <f aca="false">IFERROR(VALUE(LEFT($A1385,4)),"")</f>
        <v>2025</v>
      </c>
      <c r="C1385" s="17" t="n">
        <f aca="false">IFERROR(VALUE(RIGHT($A1385,2)),"")</f>
        <v>3</v>
      </c>
      <c r="D1385" s="17" t="n">
        <f aca="false">IFERROR(ROUNDUP($C1385/3,0),"")</f>
        <v>1</v>
      </c>
      <c r="E1385" s="11" t="str">
        <f aca="false">TRIM('수출입 실적(품목별)'!B1389)</f>
        <v>35</v>
      </c>
      <c r="F1385" s="11" t="str">
        <f aca="false">TRIM('수출입 실적(품목별)'!C1389)</f>
        <v>단백질계 물질, 변성전분, 글루(glue), 효소</v>
      </c>
      <c r="G1385" s="18" t="n">
        <f aca="false">IFERROR(VALUE(SUBSTITUTE(TRIM('수출입 실적(품목별)'!D1389),",","")),"")</f>
        <v>7119.5</v>
      </c>
      <c r="H1385" s="19" t="n">
        <f aca="false">IFERROR(VALUE(SUBSTITUTE(TRIM('수출입 실적(품목별)'!E1389),",","")),"")</f>
        <v>92038</v>
      </c>
      <c r="I1385" s="18" t="n">
        <f aca="false">IFERROR(VALUE(SUBSTITUTE(TRIM('수출입 실적(품목별)'!F1389),",","")),"")</f>
        <v>19474.6</v>
      </c>
      <c r="J1385" s="19" t="n">
        <f aca="false">IFERROR(VALUE(SUBSTITUTE(TRIM('수출입 실적(품목별)'!G1389),",","")),"")</f>
        <v>84538</v>
      </c>
      <c r="K1385" s="19" t="n">
        <f aca="false">IFERROR(VALUE(SUBSTITUTE(TRIM('수출입 실적(품목별)'!H1389),",","")),"")</f>
        <v>7500</v>
      </c>
    </row>
    <row r="1386" customFormat="false" ht="15" hidden="false" customHeight="true" outlineLevel="0" collapsed="false">
      <c r="A1386" s="11" t="str">
        <f aca="false">TRIM('수출입 실적(품목별)'!A1390)</f>
        <v>2025.03</v>
      </c>
      <c r="B1386" s="17" t="n">
        <f aca="false">IFERROR(VALUE(LEFT($A1386,4)),"")</f>
        <v>2025</v>
      </c>
      <c r="C1386" s="17" t="n">
        <f aca="false">IFERROR(VALUE(RIGHT($A1386,2)),"")</f>
        <v>3</v>
      </c>
      <c r="D1386" s="17" t="n">
        <f aca="false">IFERROR(ROUNDUP($C1386/3,0),"")</f>
        <v>1</v>
      </c>
      <c r="E1386" s="11" t="str">
        <f aca="false">TRIM('수출입 실적(품목별)'!B1390)</f>
        <v>36</v>
      </c>
      <c r="F1386" s="11" t="str">
        <f aca="false">TRIM('수출입 실적(품목별)'!C1390)</f>
        <v>화약류, 화공품, 성냥, 발화성 합금, 특정 가연성 조제품</v>
      </c>
      <c r="G1386" s="18" t="n">
        <f aca="false">IFERROR(VALUE(SUBSTITUTE(TRIM('수출입 실적(품목별)'!D1390),",","")),"")</f>
        <v>434.5</v>
      </c>
      <c r="H1386" s="19" t="n">
        <f aca="false">IFERROR(VALUE(SUBSTITUTE(TRIM('수출입 실적(품목별)'!E1390),",","")),"")</f>
        <v>8059</v>
      </c>
      <c r="I1386" s="18" t="n">
        <f aca="false">IFERROR(VALUE(SUBSTITUTE(TRIM('수출입 실적(품목별)'!F1390),",","")),"")</f>
        <v>136.4</v>
      </c>
      <c r="J1386" s="19" t="n">
        <f aca="false">IFERROR(VALUE(SUBSTITUTE(TRIM('수출입 실적(품목별)'!G1390),",","")),"")</f>
        <v>1897</v>
      </c>
      <c r="K1386" s="19" t="n">
        <f aca="false">IFERROR(VALUE(SUBSTITUTE(TRIM('수출입 실적(품목별)'!H1390),",","")),"")</f>
        <v>6162</v>
      </c>
    </row>
    <row r="1387" customFormat="false" ht="15" hidden="false" customHeight="true" outlineLevel="0" collapsed="false">
      <c r="A1387" s="11" t="str">
        <f aca="false">TRIM('수출입 실적(품목별)'!A1391)</f>
        <v>2025.03</v>
      </c>
      <c r="B1387" s="17" t="n">
        <f aca="false">IFERROR(VALUE(LEFT($A1387,4)),"")</f>
        <v>2025</v>
      </c>
      <c r="C1387" s="17" t="n">
        <f aca="false">IFERROR(VALUE(RIGHT($A1387,2)),"")</f>
        <v>3</v>
      </c>
      <c r="D1387" s="17" t="n">
        <f aca="false">IFERROR(ROUNDUP($C1387/3,0),"")</f>
        <v>1</v>
      </c>
      <c r="E1387" s="11" t="str">
        <f aca="false">TRIM('수출입 실적(품목별)'!B1391)</f>
        <v>37</v>
      </c>
      <c r="F1387" s="11" t="str">
        <f aca="false">TRIM('수출입 실적(품목별)'!C1391)</f>
        <v>사진용이나 영화용 재료</v>
      </c>
      <c r="G1387" s="18" t="n">
        <f aca="false">IFERROR(VALUE(SUBSTITUTE(TRIM('수출입 실적(품목별)'!D1391),",","")),"")</f>
        <v>1674.5</v>
      </c>
      <c r="H1387" s="19" t="n">
        <f aca="false">IFERROR(VALUE(SUBSTITUTE(TRIM('수출입 실적(품목별)'!E1391),",","")),"")</f>
        <v>93809</v>
      </c>
      <c r="I1387" s="18" t="n">
        <f aca="false">IFERROR(VALUE(SUBSTITUTE(TRIM('수출입 실적(품목별)'!F1391),",","")),"")</f>
        <v>2985.3</v>
      </c>
      <c r="J1387" s="19" t="n">
        <f aca="false">IFERROR(VALUE(SUBSTITUTE(TRIM('수출입 실적(품목별)'!G1391),",","")),"")</f>
        <v>88634</v>
      </c>
      <c r="K1387" s="19" t="n">
        <f aca="false">IFERROR(VALUE(SUBSTITUTE(TRIM('수출입 실적(품목별)'!H1391),",","")),"")</f>
        <v>5175</v>
      </c>
    </row>
    <row r="1388" customFormat="false" ht="15" hidden="false" customHeight="true" outlineLevel="0" collapsed="false">
      <c r="A1388" s="11" t="str">
        <f aca="false">TRIM('수출입 실적(품목별)'!A1392)</f>
        <v>2025.03</v>
      </c>
      <c r="B1388" s="17" t="n">
        <f aca="false">IFERROR(VALUE(LEFT($A1388,4)),"")</f>
        <v>2025</v>
      </c>
      <c r="C1388" s="17" t="n">
        <f aca="false">IFERROR(VALUE(RIGHT($A1388,2)),"")</f>
        <v>3</v>
      </c>
      <c r="D1388" s="17" t="n">
        <f aca="false">IFERROR(ROUNDUP($C1388/3,0),"")</f>
        <v>1</v>
      </c>
      <c r="E1388" s="11" t="str">
        <f aca="false">TRIM('수출입 실적(품목별)'!B1392)</f>
        <v>38</v>
      </c>
      <c r="F1388" s="11" t="str">
        <f aca="false">TRIM('수출입 실적(품목별)'!C1392)</f>
        <v>각종 화학공업 생산품</v>
      </c>
      <c r="G1388" s="18" t="n">
        <f aca="false">IFERROR(VALUE(SUBSTITUTE(TRIM('수출입 실적(품목별)'!D1392),",","")),"")</f>
        <v>93184.7</v>
      </c>
      <c r="H1388" s="19" t="n">
        <f aca="false">IFERROR(VALUE(SUBSTITUTE(TRIM('수출입 실적(품목별)'!E1392),",","")),"")</f>
        <v>670164</v>
      </c>
      <c r="I1388" s="18" t="n">
        <f aca="false">IFERROR(VALUE(SUBSTITUTE(TRIM('수출입 실적(품목별)'!F1392),",","")),"")</f>
        <v>162607</v>
      </c>
      <c r="J1388" s="19" t="n">
        <f aca="false">IFERROR(VALUE(SUBSTITUTE(TRIM('수출입 실적(품목별)'!G1392),",","")),"")</f>
        <v>793402</v>
      </c>
      <c r="K1388" s="19" t="n">
        <f aca="false">IFERROR(VALUE(SUBSTITUTE(TRIM('수출입 실적(품목별)'!H1392),",","")),"")</f>
        <v>-123238</v>
      </c>
    </row>
    <row r="1389" customFormat="false" ht="15" hidden="false" customHeight="true" outlineLevel="0" collapsed="false">
      <c r="A1389" s="11" t="str">
        <f aca="false">TRIM('수출입 실적(품목별)'!A1393)</f>
        <v>2025.03</v>
      </c>
      <c r="B1389" s="17" t="n">
        <f aca="false">IFERROR(VALUE(LEFT($A1389,4)),"")</f>
        <v>2025</v>
      </c>
      <c r="C1389" s="17" t="n">
        <f aca="false">IFERROR(VALUE(RIGHT($A1389,2)),"")</f>
        <v>3</v>
      </c>
      <c r="D1389" s="17" t="n">
        <f aca="false">IFERROR(ROUNDUP($C1389/3,0),"")</f>
        <v>1</v>
      </c>
      <c r="E1389" s="11" t="str">
        <f aca="false">TRIM('수출입 실적(품목별)'!B1393)</f>
        <v>39</v>
      </c>
      <c r="F1389" s="11" t="str">
        <f aca="false">TRIM('수출입 실적(품목별)'!C1393)</f>
        <v>플라스틱과 그 제품</v>
      </c>
      <c r="G1389" s="18" t="n">
        <f aca="false">IFERROR(VALUE(SUBSTITUTE(TRIM('수출입 실적(품목별)'!D1393),",","")),"")</f>
        <v>1434618.3</v>
      </c>
      <c r="H1389" s="19" t="n">
        <f aca="false">IFERROR(VALUE(SUBSTITUTE(TRIM('수출입 실적(품목별)'!E1393),",","")),"")</f>
        <v>2864112</v>
      </c>
      <c r="I1389" s="18" t="n">
        <f aca="false">IFERROR(VALUE(SUBSTITUTE(TRIM('수출입 실적(품목별)'!F1393),",","")),"")</f>
        <v>259589.4</v>
      </c>
      <c r="J1389" s="19" t="n">
        <f aca="false">IFERROR(VALUE(SUBSTITUTE(TRIM('수출입 실적(품목별)'!G1393),",","")),"")</f>
        <v>1069785</v>
      </c>
      <c r="K1389" s="19" t="n">
        <f aca="false">IFERROR(VALUE(SUBSTITUTE(TRIM('수출입 실적(품목별)'!H1393),",","")),"")</f>
        <v>1794326</v>
      </c>
    </row>
    <row r="1390" customFormat="false" ht="15" hidden="false" customHeight="true" outlineLevel="0" collapsed="false">
      <c r="A1390" s="11" t="str">
        <f aca="false">TRIM('수출입 실적(품목별)'!A1394)</f>
        <v>2025.03</v>
      </c>
      <c r="B1390" s="17" t="n">
        <f aca="false">IFERROR(VALUE(LEFT($A1390,4)),"")</f>
        <v>2025</v>
      </c>
      <c r="C1390" s="17" t="n">
        <f aca="false">IFERROR(VALUE(RIGHT($A1390,2)),"")</f>
        <v>3</v>
      </c>
      <c r="D1390" s="17" t="n">
        <f aca="false">IFERROR(ROUNDUP($C1390/3,0),"")</f>
        <v>1</v>
      </c>
      <c r="E1390" s="11" t="str">
        <f aca="false">TRIM('수출입 실적(품목별)'!B1394)</f>
        <v>40</v>
      </c>
      <c r="F1390" s="11" t="str">
        <f aca="false">TRIM('수출입 실적(품목별)'!C1394)</f>
        <v>고무와 그 제품</v>
      </c>
      <c r="G1390" s="18" t="n">
        <f aca="false">IFERROR(VALUE(SUBSTITUTE(TRIM('수출입 실적(품목별)'!D1394),",","")),"")</f>
        <v>243934.1</v>
      </c>
      <c r="H1390" s="19" t="n">
        <f aca="false">IFERROR(VALUE(SUBSTITUTE(TRIM('수출입 실적(품목별)'!E1394),",","")),"")</f>
        <v>662560</v>
      </c>
      <c r="I1390" s="18" t="n">
        <f aca="false">IFERROR(VALUE(SUBSTITUTE(TRIM('수출입 실적(품목별)'!F1394),",","")),"")</f>
        <v>81678.4</v>
      </c>
      <c r="J1390" s="19" t="n">
        <f aca="false">IFERROR(VALUE(SUBSTITUTE(TRIM('수출입 실적(품목별)'!G1394),",","")),"")</f>
        <v>264925</v>
      </c>
      <c r="K1390" s="19" t="n">
        <f aca="false">IFERROR(VALUE(SUBSTITUTE(TRIM('수출입 실적(품목별)'!H1394),",","")),"")</f>
        <v>397634</v>
      </c>
    </row>
    <row r="1391" customFormat="false" ht="15" hidden="false" customHeight="true" outlineLevel="0" collapsed="false">
      <c r="A1391" s="11" t="str">
        <f aca="false">TRIM('수출입 실적(품목별)'!A1395)</f>
        <v>2025.03</v>
      </c>
      <c r="B1391" s="17" t="n">
        <f aca="false">IFERROR(VALUE(LEFT($A1391,4)),"")</f>
        <v>2025</v>
      </c>
      <c r="C1391" s="17" t="n">
        <f aca="false">IFERROR(VALUE(RIGHT($A1391,2)),"")</f>
        <v>3</v>
      </c>
      <c r="D1391" s="17" t="n">
        <f aca="false">IFERROR(ROUNDUP($C1391/3,0),"")</f>
        <v>1</v>
      </c>
      <c r="E1391" s="11" t="str">
        <f aca="false">TRIM('수출입 실적(품목별)'!B1395)</f>
        <v>41</v>
      </c>
      <c r="F1391" s="11" t="str">
        <f aca="false">TRIM('수출입 실적(품목별)'!C1395)</f>
        <v>원피(모피는 제외한다)와 가죽</v>
      </c>
      <c r="G1391" s="18" t="n">
        <f aca="false">IFERROR(VALUE(SUBSTITUTE(TRIM('수출입 실적(품목별)'!D1395),",","")),"")</f>
        <v>3161.4</v>
      </c>
      <c r="H1391" s="19" t="n">
        <f aca="false">IFERROR(VALUE(SUBSTITUTE(TRIM('수출입 실적(품목별)'!E1395),",","")),"")</f>
        <v>28697</v>
      </c>
      <c r="I1391" s="18" t="n">
        <f aca="false">IFERROR(VALUE(SUBSTITUTE(TRIM('수출입 실적(품목별)'!F1395),",","")),"")</f>
        <v>8131.3</v>
      </c>
      <c r="J1391" s="19" t="n">
        <f aca="false">IFERROR(VALUE(SUBSTITUTE(TRIM('수출입 실적(품목별)'!G1395),",","")),"")</f>
        <v>21624</v>
      </c>
      <c r="K1391" s="19" t="n">
        <f aca="false">IFERROR(VALUE(SUBSTITUTE(TRIM('수출입 실적(품목별)'!H1395),",","")),"")</f>
        <v>7073</v>
      </c>
    </row>
    <row r="1392" customFormat="false" ht="15" hidden="false" customHeight="true" outlineLevel="0" collapsed="false">
      <c r="A1392" s="11" t="str">
        <f aca="false">TRIM('수출입 실적(품목별)'!A1396)</f>
        <v>2025.03</v>
      </c>
      <c r="B1392" s="17" t="n">
        <f aca="false">IFERROR(VALUE(LEFT($A1392,4)),"")</f>
        <v>2025</v>
      </c>
      <c r="C1392" s="17" t="n">
        <f aca="false">IFERROR(VALUE(RIGHT($A1392,2)),"")</f>
        <v>3</v>
      </c>
      <c r="D1392" s="17" t="n">
        <f aca="false">IFERROR(ROUNDUP($C1392/3,0),"")</f>
        <v>1</v>
      </c>
      <c r="E1392" s="11" t="str">
        <f aca="false">TRIM('수출입 실적(품목별)'!B1396)</f>
        <v>42</v>
      </c>
      <c r="F1392" s="11" t="str">
        <f aca="false">TRIM('수출입 실적(품목별)'!C1396)</f>
        <v>가죽제품, 마구, 여행용구ㆍ핸드백과 이와 유사한 용기, 동물 거트(gut)[누에의 거트(gut)는 제외한다]의 제품</v>
      </c>
      <c r="G1392" s="18" t="n">
        <f aca="false">IFERROR(VALUE(SUBSTITUTE(TRIM('수출입 실적(품목별)'!D1396),",","")),"")</f>
        <v>893</v>
      </c>
      <c r="H1392" s="19" t="n">
        <f aca="false">IFERROR(VALUE(SUBSTITUTE(TRIM('수출입 실적(품목별)'!E1396),",","")),"")</f>
        <v>38578</v>
      </c>
      <c r="I1392" s="18" t="n">
        <f aca="false">IFERROR(VALUE(SUBSTITUTE(TRIM('수출입 실적(품목별)'!F1396),",","")),"")</f>
        <v>8465.1</v>
      </c>
      <c r="J1392" s="19" t="n">
        <f aca="false">IFERROR(VALUE(SUBSTITUTE(TRIM('수출입 실적(품목별)'!G1396),",","")),"")</f>
        <v>305509</v>
      </c>
      <c r="K1392" s="19" t="n">
        <f aca="false">IFERROR(VALUE(SUBSTITUTE(TRIM('수출입 실적(품목별)'!H1396),",","")),"")</f>
        <v>-266932</v>
      </c>
    </row>
    <row r="1393" customFormat="false" ht="15" hidden="false" customHeight="true" outlineLevel="0" collapsed="false">
      <c r="A1393" s="11" t="str">
        <f aca="false">TRIM('수출입 실적(품목별)'!A1397)</f>
        <v>2025.03</v>
      </c>
      <c r="B1393" s="17" t="n">
        <f aca="false">IFERROR(VALUE(LEFT($A1393,4)),"")</f>
        <v>2025</v>
      </c>
      <c r="C1393" s="17" t="n">
        <f aca="false">IFERROR(VALUE(RIGHT($A1393,2)),"")</f>
        <v>3</v>
      </c>
      <c r="D1393" s="17" t="n">
        <f aca="false">IFERROR(ROUNDUP($C1393/3,0),"")</f>
        <v>1</v>
      </c>
      <c r="E1393" s="11" t="str">
        <f aca="false">TRIM('수출입 실적(품목별)'!B1397)</f>
        <v>43</v>
      </c>
      <c r="F1393" s="11" t="str">
        <f aca="false">TRIM('수출입 실적(품목별)'!C1397)</f>
        <v>모피ㆍ인조모피와 이들의 제품</v>
      </c>
      <c r="G1393" s="18" t="n">
        <f aca="false">IFERROR(VALUE(SUBSTITUTE(TRIM('수출입 실적(품목별)'!D1397),",","")),"")</f>
        <v>14.8</v>
      </c>
      <c r="H1393" s="19" t="n">
        <f aca="false">IFERROR(VALUE(SUBSTITUTE(TRIM('수출입 실적(품목별)'!E1397),",","")),"")</f>
        <v>451</v>
      </c>
      <c r="I1393" s="18" t="n">
        <f aca="false">IFERROR(VALUE(SUBSTITUTE(TRIM('수출입 실적(품목별)'!F1397),",","")),"")</f>
        <v>22.3</v>
      </c>
      <c r="J1393" s="19" t="n">
        <f aca="false">IFERROR(VALUE(SUBSTITUTE(TRIM('수출입 실적(품목별)'!G1397),",","")),"")</f>
        <v>3879</v>
      </c>
      <c r="K1393" s="19" t="n">
        <f aca="false">IFERROR(VALUE(SUBSTITUTE(TRIM('수출입 실적(품목별)'!H1397),",","")),"")</f>
        <v>-3428</v>
      </c>
    </row>
    <row r="1394" customFormat="false" ht="15" hidden="false" customHeight="true" outlineLevel="0" collapsed="false">
      <c r="A1394" s="11" t="str">
        <f aca="false">TRIM('수출입 실적(품목별)'!A1398)</f>
        <v>2025.03</v>
      </c>
      <c r="B1394" s="17" t="n">
        <f aca="false">IFERROR(VALUE(LEFT($A1394,4)),"")</f>
        <v>2025</v>
      </c>
      <c r="C1394" s="17" t="n">
        <f aca="false">IFERROR(VALUE(RIGHT($A1394,2)),"")</f>
        <v>3</v>
      </c>
      <c r="D1394" s="17" t="n">
        <f aca="false">IFERROR(ROUNDUP($C1394/3,0),"")</f>
        <v>1</v>
      </c>
      <c r="E1394" s="11" t="str">
        <f aca="false">TRIM('수출입 실적(품목별)'!B1398)</f>
        <v>44</v>
      </c>
      <c r="F1394" s="11" t="str">
        <f aca="false">TRIM('수출입 실적(품목별)'!C1398)</f>
        <v>목재와 그 제품, 목탄</v>
      </c>
      <c r="G1394" s="18" t="n">
        <f aca="false">IFERROR(VALUE(SUBSTITUTE(TRIM('수출입 실적(품목별)'!D1398),",","")),"")</f>
        <v>4307.1</v>
      </c>
      <c r="H1394" s="19" t="n">
        <f aca="false">IFERROR(VALUE(SUBSTITUTE(TRIM('수출입 실적(품목별)'!E1398),",","")),"")</f>
        <v>6420</v>
      </c>
      <c r="I1394" s="18" t="n">
        <f aca="false">IFERROR(VALUE(SUBSTITUTE(TRIM('수출입 실적(품목별)'!F1398),",","")),"")</f>
        <v>713280.6</v>
      </c>
      <c r="J1394" s="19" t="n">
        <f aca="false">IFERROR(VALUE(SUBSTITUTE(TRIM('수출입 실적(품목별)'!G1398),",","")),"")</f>
        <v>222058</v>
      </c>
      <c r="K1394" s="19" t="n">
        <f aca="false">IFERROR(VALUE(SUBSTITUTE(TRIM('수출입 실적(품목별)'!H1398),",","")),"")</f>
        <v>-215638</v>
      </c>
    </row>
    <row r="1395" customFormat="false" ht="15" hidden="false" customHeight="true" outlineLevel="0" collapsed="false">
      <c r="A1395" s="11" t="str">
        <f aca="false">TRIM('수출입 실적(품목별)'!A1399)</f>
        <v>2025.03</v>
      </c>
      <c r="B1395" s="17" t="n">
        <f aca="false">IFERROR(VALUE(LEFT($A1395,4)),"")</f>
        <v>2025</v>
      </c>
      <c r="C1395" s="17" t="n">
        <f aca="false">IFERROR(VALUE(RIGHT($A1395,2)),"")</f>
        <v>3</v>
      </c>
      <c r="D1395" s="17" t="n">
        <f aca="false">IFERROR(ROUNDUP($C1395/3,0),"")</f>
        <v>1</v>
      </c>
      <c r="E1395" s="11" t="str">
        <f aca="false">TRIM('수출입 실적(품목별)'!B1399)</f>
        <v>45</v>
      </c>
      <c r="F1395" s="11" t="str">
        <f aca="false">TRIM('수출입 실적(품목별)'!C1399)</f>
        <v>코르크(cork)와 그 제품</v>
      </c>
      <c r="G1395" s="18" t="n">
        <f aca="false">IFERROR(VALUE(SUBSTITUTE(TRIM('수출입 실적(품목별)'!D1399),",","")),"")</f>
        <v>2.1</v>
      </c>
      <c r="H1395" s="19" t="n">
        <f aca="false">IFERROR(VALUE(SUBSTITUTE(TRIM('수출입 실적(품목별)'!E1399),",","")),"")</f>
        <v>53</v>
      </c>
      <c r="I1395" s="18" t="n">
        <f aca="false">IFERROR(VALUE(SUBSTITUTE(TRIM('수출입 실적(품목별)'!F1399),",","")),"")</f>
        <v>41.6</v>
      </c>
      <c r="J1395" s="19" t="n">
        <f aca="false">IFERROR(VALUE(SUBSTITUTE(TRIM('수출입 실적(품목별)'!G1399),",","")),"")</f>
        <v>196</v>
      </c>
      <c r="K1395" s="19" t="n">
        <f aca="false">IFERROR(VALUE(SUBSTITUTE(TRIM('수출입 실적(품목별)'!H1399),",","")),"")</f>
        <v>-143</v>
      </c>
    </row>
    <row r="1396" customFormat="false" ht="15" hidden="false" customHeight="true" outlineLevel="0" collapsed="false">
      <c r="A1396" s="11" t="str">
        <f aca="false">TRIM('수출입 실적(품목별)'!A1400)</f>
        <v>2025.03</v>
      </c>
      <c r="B1396" s="17" t="n">
        <f aca="false">IFERROR(VALUE(LEFT($A1396,4)),"")</f>
        <v>2025</v>
      </c>
      <c r="C1396" s="17" t="n">
        <f aca="false">IFERROR(VALUE(RIGHT($A1396,2)),"")</f>
        <v>3</v>
      </c>
      <c r="D1396" s="17" t="n">
        <f aca="false">IFERROR(ROUNDUP($C1396/3,0),"")</f>
        <v>1</v>
      </c>
      <c r="E1396" s="11" t="str">
        <f aca="false">TRIM('수출입 실적(품목별)'!B1400)</f>
        <v>46</v>
      </c>
      <c r="F1396" s="11" t="str">
        <f aca="false">TRIM('수출입 실적(품목별)'!C1400)</f>
        <v>짚ㆍ에스파르토(esparto)나 그 밖의 조물 재료의 제품, 바구니 세공물(basketware)과 지조세공물(枝條細工物)</v>
      </c>
      <c r="G1396" s="18" t="n">
        <f aca="false">IFERROR(VALUE(SUBSTITUTE(TRIM('수출입 실적(품목별)'!D1400),",","")),"")</f>
        <v>1.4</v>
      </c>
      <c r="H1396" s="19" t="n">
        <f aca="false">IFERROR(VALUE(SUBSTITUTE(TRIM('수출입 실적(품목별)'!E1400),",","")),"")</f>
        <v>112</v>
      </c>
      <c r="I1396" s="18" t="n">
        <f aca="false">IFERROR(VALUE(SUBSTITUTE(TRIM('수출입 실적(품목별)'!F1400),",","")),"")</f>
        <v>356.5</v>
      </c>
      <c r="J1396" s="19" t="n">
        <f aca="false">IFERROR(VALUE(SUBSTITUTE(TRIM('수출입 실적(품목별)'!G1400),",","")),"")</f>
        <v>1970</v>
      </c>
      <c r="K1396" s="19" t="n">
        <f aca="false">IFERROR(VALUE(SUBSTITUTE(TRIM('수출입 실적(품목별)'!H1400),",","")),"")</f>
        <v>-1859</v>
      </c>
    </row>
    <row r="1397" customFormat="false" ht="15" hidden="false" customHeight="true" outlineLevel="0" collapsed="false">
      <c r="A1397" s="11" t="str">
        <f aca="false">TRIM('수출입 실적(품목별)'!A1401)</f>
        <v>2025.03</v>
      </c>
      <c r="B1397" s="17" t="n">
        <f aca="false">IFERROR(VALUE(LEFT($A1397,4)),"")</f>
        <v>2025</v>
      </c>
      <c r="C1397" s="17" t="n">
        <f aca="false">IFERROR(VALUE(RIGHT($A1397,2)),"")</f>
        <v>3</v>
      </c>
      <c r="D1397" s="17" t="n">
        <f aca="false">IFERROR(ROUNDUP($C1397/3,0),"")</f>
        <v>1</v>
      </c>
      <c r="E1397" s="11" t="str">
        <f aca="false">TRIM('수출입 실적(품목별)'!B1401)</f>
        <v>47</v>
      </c>
      <c r="F1397" s="11" t="str">
        <f aca="false">TRIM('수출입 실적(품목별)'!C1401)</f>
        <v>목재나 그 밖의 섬유질 셀룰로오스재료의 펄프, 회수한 종이ㆍ판지[웨이스트(waste)와 스크랩(scrap)]</v>
      </c>
      <c r="G1397" s="18" t="n">
        <f aca="false">IFERROR(VALUE(SUBSTITUTE(TRIM('수출입 실적(품목별)'!D1401),",","")),"")</f>
        <v>52612.6</v>
      </c>
      <c r="H1397" s="19" t="n">
        <f aca="false">IFERROR(VALUE(SUBSTITUTE(TRIM('수출입 실적(품목별)'!E1401),",","")),"")</f>
        <v>8312</v>
      </c>
      <c r="I1397" s="18" t="n">
        <f aca="false">IFERROR(VALUE(SUBSTITUTE(TRIM('수출입 실적(품목별)'!F1401),",","")),"")</f>
        <v>228478.2</v>
      </c>
      <c r="J1397" s="19" t="n">
        <f aca="false">IFERROR(VALUE(SUBSTITUTE(TRIM('수출입 실적(품목별)'!G1401),",","")),"")</f>
        <v>119190</v>
      </c>
      <c r="K1397" s="19" t="n">
        <f aca="false">IFERROR(VALUE(SUBSTITUTE(TRIM('수출입 실적(품목별)'!H1401),",","")),"")</f>
        <v>-110877</v>
      </c>
    </row>
    <row r="1398" customFormat="false" ht="15" hidden="false" customHeight="true" outlineLevel="0" collapsed="false">
      <c r="A1398" s="11" t="str">
        <f aca="false">TRIM('수출입 실적(품목별)'!A1402)</f>
        <v>2025.03</v>
      </c>
      <c r="B1398" s="17" t="n">
        <f aca="false">IFERROR(VALUE(LEFT($A1398,4)),"")</f>
        <v>2025</v>
      </c>
      <c r="C1398" s="17" t="n">
        <f aca="false">IFERROR(VALUE(RIGHT($A1398,2)),"")</f>
        <v>3</v>
      </c>
      <c r="D1398" s="17" t="n">
        <f aca="false">IFERROR(ROUNDUP($C1398/3,0),"")</f>
        <v>1</v>
      </c>
      <c r="E1398" s="11" t="str">
        <f aca="false">TRIM('수출입 실적(품목별)'!B1402)</f>
        <v>48</v>
      </c>
      <c r="F1398" s="11" t="str">
        <f aca="false">TRIM('수출입 실적(품목별)'!C1402)</f>
        <v>종이와 판지, 제지용 펄프ㆍ종이ㆍ판지의 제품</v>
      </c>
      <c r="G1398" s="18" t="n">
        <f aca="false">IFERROR(VALUE(SUBSTITUTE(TRIM('수출입 실적(품목별)'!D1402),",","")),"")</f>
        <v>222365.7</v>
      </c>
      <c r="H1398" s="19" t="n">
        <f aca="false">IFERROR(VALUE(SUBSTITUTE(TRIM('수출입 실적(품목별)'!E1402),",","")),"")</f>
        <v>214018</v>
      </c>
      <c r="I1398" s="18" t="n">
        <f aca="false">IFERROR(VALUE(SUBSTITUTE(TRIM('수출입 실적(품목별)'!F1402),",","")),"")</f>
        <v>117738.3</v>
      </c>
      <c r="J1398" s="19" t="n">
        <f aca="false">IFERROR(VALUE(SUBSTITUTE(TRIM('수출입 실적(품목별)'!G1402),",","")),"")</f>
        <v>176024</v>
      </c>
      <c r="K1398" s="19" t="n">
        <f aca="false">IFERROR(VALUE(SUBSTITUTE(TRIM('수출입 실적(품목별)'!H1402),",","")),"")</f>
        <v>37994</v>
      </c>
    </row>
    <row r="1399" customFormat="false" ht="15" hidden="false" customHeight="true" outlineLevel="0" collapsed="false">
      <c r="A1399" s="11" t="str">
        <f aca="false">TRIM('수출입 실적(품목별)'!A1403)</f>
        <v>2025.03</v>
      </c>
      <c r="B1399" s="17" t="n">
        <f aca="false">IFERROR(VALUE(LEFT($A1399,4)),"")</f>
        <v>2025</v>
      </c>
      <c r="C1399" s="17" t="n">
        <f aca="false">IFERROR(VALUE(RIGHT($A1399,2)),"")</f>
        <v>3</v>
      </c>
      <c r="D1399" s="17" t="n">
        <f aca="false">IFERROR(ROUNDUP($C1399/3,0),"")</f>
        <v>1</v>
      </c>
      <c r="E1399" s="11" t="str">
        <f aca="false">TRIM('수출입 실적(품목별)'!B1403)</f>
        <v>49</v>
      </c>
      <c r="F1399" s="11" t="str">
        <f aca="false">TRIM('수출입 실적(품목별)'!C1403)</f>
        <v>인쇄서적ㆍ신문ㆍ회화ㆍ그 밖의 인쇄물, 수제(手製)문서ㆍ타자문서ㆍ도면</v>
      </c>
      <c r="G1399" s="18" t="n">
        <f aca="false">IFERROR(VALUE(SUBSTITUTE(TRIM('수출입 실적(품목별)'!D1403),",","")),"")</f>
        <v>3033.5</v>
      </c>
      <c r="H1399" s="19" t="n">
        <f aca="false">IFERROR(VALUE(SUBSTITUTE(TRIM('수출입 실적(품목별)'!E1403),",","")),"")</f>
        <v>33147</v>
      </c>
      <c r="I1399" s="18" t="n">
        <f aca="false">IFERROR(VALUE(SUBSTITUTE(TRIM('수출입 실적(품목별)'!F1403),",","")),"")</f>
        <v>1323.9</v>
      </c>
      <c r="J1399" s="19" t="n">
        <f aca="false">IFERROR(VALUE(SUBSTITUTE(TRIM('수출입 실적(품목별)'!G1403),",","")),"")</f>
        <v>22057</v>
      </c>
      <c r="K1399" s="19" t="n">
        <f aca="false">IFERROR(VALUE(SUBSTITUTE(TRIM('수출입 실적(품목별)'!H1403),",","")),"")</f>
        <v>11091</v>
      </c>
    </row>
    <row r="1400" customFormat="false" ht="15" hidden="false" customHeight="true" outlineLevel="0" collapsed="false">
      <c r="A1400" s="11" t="str">
        <f aca="false">TRIM('수출입 실적(품목별)'!A1404)</f>
        <v>2025.03</v>
      </c>
      <c r="B1400" s="17" t="n">
        <f aca="false">IFERROR(VALUE(LEFT($A1400,4)),"")</f>
        <v>2025</v>
      </c>
      <c r="C1400" s="17" t="n">
        <f aca="false">IFERROR(VALUE(RIGHT($A1400,2)),"")</f>
        <v>3</v>
      </c>
      <c r="D1400" s="17" t="n">
        <f aca="false">IFERROR(ROUNDUP($C1400/3,0),"")</f>
        <v>1</v>
      </c>
      <c r="E1400" s="11" t="str">
        <f aca="false">TRIM('수출입 실적(품목별)'!B1404)</f>
        <v>50</v>
      </c>
      <c r="F1400" s="11" t="str">
        <f aca="false">TRIM('수출입 실적(품목별)'!C1404)</f>
        <v>견</v>
      </c>
      <c r="G1400" s="18" t="n">
        <f aca="false">IFERROR(VALUE(SUBSTITUTE(TRIM('수출입 실적(품목별)'!D1404),",","")),"")</f>
        <v>9.2</v>
      </c>
      <c r="H1400" s="19" t="n">
        <f aca="false">IFERROR(VALUE(SUBSTITUTE(TRIM('수출입 실적(품목별)'!E1404),",","")),"")</f>
        <v>1249</v>
      </c>
      <c r="I1400" s="18" t="n">
        <f aca="false">IFERROR(VALUE(SUBSTITUTE(TRIM('수출입 실적(품목별)'!F1404),",","")),"")</f>
        <v>20.6</v>
      </c>
      <c r="J1400" s="19" t="n">
        <f aca="false">IFERROR(VALUE(SUBSTITUTE(TRIM('수출입 실적(품목별)'!G1404),",","")),"")</f>
        <v>2067</v>
      </c>
      <c r="K1400" s="19" t="n">
        <f aca="false">IFERROR(VALUE(SUBSTITUTE(TRIM('수출입 실적(품목별)'!H1404),",","")),"")</f>
        <v>-818</v>
      </c>
    </row>
    <row r="1401" customFormat="false" ht="15" hidden="false" customHeight="true" outlineLevel="0" collapsed="false">
      <c r="A1401" s="11" t="str">
        <f aca="false">TRIM('수출입 실적(품목별)'!A1405)</f>
        <v>2025.03</v>
      </c>
      <c r="B1401" s="17" t="n">
        <f aca="false">IFERROR(VALUE(LEFT($A1401,4)),"")</f>
        <v>2025</v>
      </c>
      <c r="C1401" s="17" t="n">
        <f aca="false">IFERROR(VALUE(RIGHT($A1401,2)),"")</f>
        <v>3</v>
      </c>
      <c r="D1401" s="17" t="n">
        <f aca="false">IFERROR(ROUNDUP($C1401/3,0),"")</f>
        <v>1</v>
      </c>
      <c r="E1401" s="11" t="str">
        <f aca="false">TRIM('수출입 실적(품목별)'!B1405)</f>
        <v>51</v>
      </c>
      <c r="F1401" s="11" t="str">
        <f aca="false">TRIM('수출입 실적(품목별)'!C1405)</f>
        <v>양모ㆍ동물의 부드러운 털이나 거친 털ㆍ말의 털로 만든 실과 직물</v>
      </c>
      <c r="G1401" s="18" t="n">
        <f aca="false">IFERROR(VALUE(SUBSTITUTE(TRIM('수출입 실적(품목별)'!D1405),",","")),"")</f>
        <v>116.8</v>
      </c>
      <c r="H1401" s="19" t="n">
        <f aca="false">IFERROR(VALUE(SUBSTITUTE(TRIM('수출입 실적(품목별)'!E1405),",","")),"")</f>
        <v>2115</v>
      </c>
      <c r="I1401" s="18" t="n">
        <f aca="false">IFERROR(VALUE(SUBSTITUTE(TRIM('수출입 실적(품목별)'!F1405),",","")),"")</f>
        <v>925.2</v>
      </c>
      <c r="J1401" s="19" t="n">
        <f aca="false">IFERROR(VALUE(SUBSTITUTE(TRIM('수출입 실적(품목별)'!G1405),",","")),"")</f>
        <v>18274</v>
      </c>
      <c r="K1401" s="19" t="n">
        <f aca="false">IFERROR(VALUE(SUBSTITUTE(TRIM('수출입 실적(품목별)'!H1405),",","")),"")</f>
        <v>-16158</v>
      </c>
    </row>
    <row r="1402" customFormat="false" ht="15" hidden="false" customHeight="true" outlineLevel="0" collapsed="false">
      <c r="A1402" s="11" t="str">
        <f aca="false">TRIM('수출입 실적(품목별)'!A1406)</f>
        <v>2025.03</v>
      </c>
      <c r="B1402" s="17" t="n">
        <f aca="false">IFERROR(VALUE(LEFT($A1402,4)),"")</f>
        <v>2025</v>
      </c>
      <c r="C1402" s="17" t="n">
        <f aca="false">IFERROR(VALUE(RIGHT($A1402,2)),"")</f>
        <v>3</v>
      </c>
      <c r="D1402" s="17" t="n">
        <f aca="false">IFERROR(ROUNDUP($C1402/3,0),"")</f>
        <v>1</v>
      </c>
      <c r="E1402" s="11" t="str">
        <f aca="false">TRIM('수출입 실적(품목별)'!B1406)</f>
        <v>52</v>
      </c>
      <c r="F1402" s="11" t="str">
        <f aca="false">TRIM('수출입 실적(품목별)'!C1406)</f>
        <v>면</v>
      </c>
      <c r="G1402" s="18" t="n">
        <f aca="false">IFERROR(VALUE(SUBSTITUTE(TRIM('수출입 실적(품목별)'!D1406),",","")),"")</f>
        <v>3081</v>
      </c>
      <c r="H1402" s="19" t="n">
        <f aca="false">IFERROR(VALUE(SUBSTITUTE(TRIM('수출입 실적(품목별)'!E1406),",","")),"")</f>
        <v>22837</v>
      </c>
      <c r="I1402" s="18" t="n">
        <f aca="false">IFERROR(VALUE(SUBSTITUTE(TRIM('수출입 실적(품목별)'!F1406),",","")),"")</f>
        <v>21109</v>
      </c>
      <c r="J1402" s="19" t="n">
        <f aca="false">IFERROR(VALUE(SUBSTITUTE(TRIM('수출입 실적(품목별)'!G1406),",","")),"")</f>
        <v>64695</v>
      </c>
      <c r="K1402" s="19" t="n">
        <f aca="false">IFERROR(VALUE(SUBSTITUTE(TRIM('수출입 실적(품목별)'!H1406),",","")),"")</f>
        <v>-41858</v>
      </c>
    </row>
    <row r="1403" customFormat="false" ht="15" hidden="false" customHeight="true" outlineLevel="0" collapsed="false">
      <c r="A1403" s="11" t="str">
        <f aca="false">TRIM('수출입 실적(품목별)'!A1407)</f>
        <v>2025.03</v>
      </c>
      <c r="B1403" s="17" t="n">
        <f aca="false">IFERROR(VALUE(LEFT($A1403,4)),"")</f>
        <v>2025</v>
      </c>
      <c r="C1403" s="17" t="n">
        <f aca="false">IFERROR(VALUE(RIGHT($A1403,2)),"")</f>
        <v>3</v>
      </c>
      <c r="D1403" s="17" t="n">
        <f aca="false">IFERROR(ROUNDUP($C1403/3,0),"")</f>
        <v>1</v>
      </c>
      <c r="E1403" s="11" t="str">
        <f aca="false">TRIM('수출입 실적(품목별)'!B1407)</f>
        <v>53</v>
      </c>
      <c r="F1403" s="11" t="str">
        <f aca="false">TRIM('수출입 실적(품목별)'!C1407)</f>
        <v>그 밖의 식물성 방직용 섬유, 종이실(paper yarn)과 종이실로 만든 직물</v>
      </c>
      <c r="G1403" s="18" t="n">
        <f aca="false">IFERROR(VALUE(SUBSTITUTE(TRIM('수출입 실적(품목별)'!D1407),",","")),"")</f>
        <v>34.3</v>
      </c>
      <c r="H1403" s="19" t="n">
        <f aca="false">IFERROR(VALUE(SUBSTITUTE(TRIM('수출입 실적(품목별)'!E1407),",","")),"")</f>
        <v>502</v>
      </c>
      <c r="I1403" s="18" t="n">
        <f aca="false">IFERROR(VALUE(SUBSTITUTE(TRIM('수출입 실적(품목별)'!F1407),",","")),"")</f>
        <v>971.8</v>
      </c>
      <c r="J1403" s="19" t="n">
        <f aca="false">IFERROR(VALUE(SUBSTITUTE(TRIM('수출입 실적(품목별)'!G1407),",","")),"")</f>
        <v>4766</v>
      </c>
      <c r="K1403" s="19" t="n">
        <f aca="false">IFERROR(VALUE(SUBSTITUTE(TRIM('수출입 실적(품목별)'!H1407),",","")),"")</f>
        <v>-4264</v>
      </c>
    </row>
    <row r="1404" customFormat="false" ht="15" hidden="false" customHeight="true" outlineLevel="0" collapsed="false">
      <c r="A1404" s="11" t="str">
        <f aca="false">TRIM('수출입 실적(품목별)'!A1408)</f>
        <v>2025.03</v>
      </c>
      <c r="B1404" s="17" t="n">
        <f aca="false">IFERROR(VALUE(LEFT($A1404,4)),"")</f>
        <v>2025</v>
      </c>
      <c r="C1404" s="17" t="n">
        <f aca="false">IFERROR(VALUE(RIGHT($A1404,2)),"")</f>
        <v>3</v>
      </c>
      <c r="D1404" s="17" t="n">
        <f aca="false">IFERROR(ROUNDUP($C1404/3,0),"")</f>
        <v>1</v>
      </c>
      <c r="E1404" s="11" t="str">
        <f aca="false">TRIM('수출입 실적(품목별)'!B1408)</f>
        <v>54</v>
      </c>
      <c r="F1404" s="11" t="str">
        <f aca="false">TRIM('수출입 실적(품목별)'!C1408)</f>
        <v>인조필라멘트, 인조방직용 섬유재료의 스트립(strip)과 이와 유사한 것</v>
      </c>
      <c r="G1404" s="18" t="n">
        <f aca="false">IFERROR(VALUE(SUBSTITUTE(TRIM('수출입 실적(품목별)'!D1408),",","")),"")</f>
        <v>23493.2</v>
      </c>
      <c r="H1404" s="19" t="n">
        <f aca="false">IFERROR(VALUE(SUBSTITUTE(TRIM('수출입 실적(품목별)'!E1408),",","")),"")</f>
        <v>148460</v>
      </c>
      <c r="I1404" s="18" t="n">
        <f aca="false">IFERROR(VALUE(SUBSTITUTE(TRIM('수출입 실적(품목별)'!F1408),",","")),"")</f>
        <v>40643.5</v>
      </c>
      <c r="J1404" s="19" t="n">
        <f aca="false">IFERROR(VALUE(SUBSTITUTE(TRIM('수출입 실적(품목별)'!G1408),",","")),"")</f>
        <v>90673</v>
      </c>
      <c r="K1404" s="19" t="n">
        <f aca="false">IFERROR(VALUE(SUBSTITUTE(TRIM('수출입 실적(품목별)'!H1408),",","")),"")</f>
        <v>57787</v>
      </c>
    </row>
    <row r="1405" customFormat="false" ht="15" hidden="false" customHeight="true" outlineLevel="0" collapsed="false">
      <c r="A1405" s="11" t="str">
        <f aca="false">TRIM('수출입 실적(품목별)'!A1409)</f>
        <v>2025.03</v>
      </c>
      <c r="B1405" s="17" t="n">
        <f aca="false">IFERROR(VALUE(LEFT($A1405,4)),"")</f>
        <v>2025</v>
      </c>
      <c r="C1405" s="17" t="n">
        <f aca="false">IFERROR(VALUE(RIGHT($A1405,2)),"")</f>
        <v>3</v>
      </c>
      <c r="D1405" s="17" t="n">
        <f aca="false">IFERROR(ROUNDUP($C1405/3,0),"")</f>
        <v>1</v>
      </c>
      <c r="E1405" s="11" t="str">
        <f aca="false">TRIM('수출입 실적(품목별)'!B1409)</f>
        <v>55</v>
      </c>
      <c r="F1405" s="11" t="str">
        <f aca="false">TRIM('수출입 실적(품목별)'!C1409)</f>
        <v>인조스테이플섬유</v>
      </c>
      <c r="G1405" s="18" t="n">
        <f aca="false">IFERROR(VALUE(SUBSTITUTE(TRIM('수출입 실적(품목별)'!D1409),",","")),"")</f>
        <v>57731</v>
      </c>
      <c r="H1405" s="19" t="n">
        <f aca="false">IFERROR(VALUE(SUBSTITUTE(TRIM('수출입 실적(품목별)'!E1409),",","")),"")</f>
        <v>95879</v>
      </c>
      <c r="I1405" s="18" t="n">
        <f aca="false">IFERROR(VALUE(SUBSTITUTE(TRIM('수출입 실적(품목별)'!F1409),",","")),"")</f>
        <v>12639.8</v>
      </c>
      <c r="J1405" s="19" t="n">
        <f aca="false">IFERROR(VALUE(SUBSTITUTE(TRIM('수출입 실적(품목별)'!G1409),",","")),"")</f>
        <v>50358</v>
      </c>
      <c r="K1405" s="19" t="n">
        <f aca="false">IFERROR(VALUE(SUBSTITUTE(TRIM('수출입 실적(품목별)'!H1409),",","")),"")</f>
        <v>45521</v>
      </c>
    </row>
    <row r="1406" customFormat="false" ht="15" hidden="false" customHeight="true" outlineLevel="0" collapsed="false">
      <c r="A1406" s="11" t="str">
        <f aca="false">TRIM('수출입 실적(품목별)'!A1410)</f>
        <v>2025.03</v>
      </c>
      <c r="B1406" s="17" t="n">
        <f aca="false">IFERROR(VALUE(LEFT($A1406,4)),"")</f>
        <v>2025</v>
      </c>
      <c r="C1406" s="17" t="n">
        <f aca="false">IFERROR(VALUE(RIGHT($A1406,2)),"")</f>
        <v>3</v>
      </c>
      <c r="D1406" s="17" t="n">
        <f aca="false">IFERROR(ROUNDUP($C1406/3,0),"")</f>
        <v>1</v>
      </c>
      <c r="E1406" s="11" t="str">
        <f aca="false">TRIM('수출입 실적(품목별)'!B1410)</f>
        <v>56</v>
      </c>
      <c r="F1406" s="11" t="str">
        <f aca="false">TRIM('수출입 실적(품목별)'!C1410)</f>
        <v>워딩(wadding)ㆍ펠트(felt)ㆍ부직포, 특수사, 끈ㆍ배의 밧줄(cordage)ㆍ로프ㆍ케이블과 이들의 제품</v>
      </c>
      <c r="G1406" s="18" t="n">
        <f aca="false">IFERROR(VALUE(SUBSTITUTE(TRIM('수출입 실적(품목별)'!D1410),",","")),"")</f>
        <v>10486.6</v>
      </c>
      <c r="H1406" s="19" t="n">
        <f aca="false">IFERROR(VALUE(SUBSTITUTE(TRIM('수출입 실적(품목별)'!E1410),",","")),"")</f>
        <v>65351</v>
      </c>
      <c r="I1406" s="18" t="n">
        <f aca="false">IFERROR(VALUE(SUBSTITUTE(TRIM('수출입 실적(품목별)'!F1410),",","")),"")</f>
        <v>17292.5</v>
      </c>
      <c r="J1406" s="19" t="n">
        <f aca="false">IFERROR(VALUE(SUBSTITUTE(TRIM('수출입 실적(품목별)'!G1410),",","")),"")</f>
        <v>54276</v>
      </c>
      <c r="K1406" s="19" t="n">
        <f aca="false">IFERROR(VALUE(SUBSTITUTE(TRIM('수출입 실적(품목별)'!H1410),",","")),"")</f>
        <v>11075</v>
      </c>
    </row>
    <row r="1407" customFormat="false" ht="15" hidden="false" customHeight="true" outlineLevel="0" collapsed="false">
      <c r="A1407" s="11" t="str">
        <f aca="false">TRIM('수출입 실적(품목별)'!A1411)</f>
        <v>2025.03</v>
      </c>
      <c r="B1407" s="17" t="n">
        <f aca="false">IFERROR(VALUE(LEFT($A1407,4)),"")</f>
        <v>2025</v>
      </c>
      <c r="C1407" s="17" t="n">
        <f aca="false">IFERROR(VALUE(RIGHT($A1407,2)),"")</f>
        <v>3</v>
      </c>
      <c r="D1407" s="17" t="n">
        <f aca="false">IFERROR(ROUNDUP($C1407/3,0),"")</f>
        <v>1</v>
      </c>
      <c r="E1407" s="11" t="str">
        <f aca="false">TRIM('수출입 실적(품목별)'!B1411)</f>
        <v>57</v>
      </c>
      <c r="F1407" s="11" t="str">
        <f aca="false">TRIM('수출입 실적(품목별)'!C1411)</f>
        <v>양탄자류와 그 밖의 방직용 섬유로 만든 바닥깔개</v>
      </c>
      <c r="G1407" s="18" t="n">
        <f aca="false">IFERROR(VALUE(SUBSTITUTE(TRIM('수출입 실적(품목별)'!D1411),",","")),"")</f>
        <v>563.8</v>
      </c>
      <c r="H1407" s="19" t="n">
        <f aca="false">IFERROR(VALUE(SUBSTITUTE(TRIM('수출입 실적(품목별)'!E1411),",","")),"")</f>
        <v>6048</v>
      </c>
      <c r="I1407" s="18" t="n">
        <f aca="false">IFERROR(VALUE(SUBSTITUTE(TRIM('수출입 실적(품목별)'!F1411),",","")),"")</f>
        <v>4766.2</v>
      </c>
      <c r="J1407" s="19" t="n">
        <f aca="false">IFERROR(VALUE(SUBSTITUTE(TRIM('수출입 실적(품목별)'!G1411),",","")),"")</f>
        <v>10707</v>
      </c>
      <c r="K1407" s="19" t="n">
        <f aca="false">IFERROR(VALUE(SUBSTITUTE(TRIM('수출입 실적(품목별)'!H1411),",","")),"")</f>
        <v>-4659</v>
      </c>
    </row>
    <row r="1408" customFormat="false" ht="15" hidden="false" customHeight="true" outlineLevel="0" collapsed="false">
      <c r="A1408" s="11" t="str">
        <f aca="false">TRIM('수출입 실적(품목별)'!A1412)</f>
        <v>2025.03</v>
      </c>
      <c r="B1408" s="17" t="n">
        <f aca="false">IFERROR(VALUE(LEFT($A1408,4)),"")</f>
        <v>2025</v>
      </c>
      <c r="C1408" s="17" t="n">
        <f aca="false">IFERROR(VALUE(RIGHT($A1408,2)),"")</f>
        <v>3</v>
      </c>
      <c r="D1408" s="17" t="n">
        <f aca="false">IFERROR(ROUNDUP($C1408/3,0),"")</f>
        <v>1</v>
      </c>
      <c r="E1408" s="11" t="str">
        <f aca="false">TRIM('수출입 실적(품목별)'!B1412)</f>
        <v>58</v>
      </c>
      <c r="F1408" s="11" t="str">
        <f aca="false">TRIM('수출입 실적(품목별)'!C1412)</f>
        <v>특수직물, 터프트(tuft)한 직물, 레이스, 태피스트리(tapestry), 트리밍(trimming), 자수천</v>
      </c>
      <c r="G1408" s="18" t="n">
        <f aca="false">IFERROR(VALUE(SUBSTITUTE(TRIM('수출입 실적(품목별)'!D1412),",","")),"")</f>
        <v>1349.7</v>
      </c>
      <c r="H1408" s="19" t="n">
        <f aca="false">IFERROR(VALUE(SUBSTITUTE(TRIM('수출입 실적(품목별)'!E1412),",","")),"")</f>
        <v>15344</v>
      </c>
      <c r="I1408" s="18" t="n">
        <f aca="false">IFERROR(VALUE(SUBSTITUTE(TRIM('수출입 실적(품목별)'!F1412),",","")),"")</f>
        <v>699.5</v>
      </c>
      <c r="J1408" s="19" t="n">
        <f aca="false">IFERROR(VALUE(SUBSTITUTE(TRIM('수출입 실적(품목별)'!G1412),",","")),"")</f>
        <v>5918</v>
      </c>
      <c r="K1408" s="19" t="n">
        <f aca="false">IFERROR(VALUE(SUBSTITUTE(TRIM('수출입 실적(품목별)'!H1412),",","")),"")</f>
        <v>9427</v>
      </c>
    </row>
    <row r="1409" customFormat="false" ht="15" hidden="false" customHeight="true" outlineLevel="0" collapsed="false">
      <c r="A1409" s="11" t="str">
        <f aca="false">TRIM('수출입 실적(품목별)'!A1413)</f>
        <v>2025.03</v>
      </c>
      <c r="B1409" s="17" t="n">
        <f aca="false">IFERROR(VALUE(LEFT($A1409,4)),"")</f>
        <v>2025</v>
      </c>
      <c r="C1409" s="17" t="n">
        <f aca="false">IFERROR(VALUE(RIGHT($A1409,2)),"")</f>
        <v>3</v>
      </c>
      <c r="D1409" s="17" t="n">
        <f aca="false">IFERROR(ROUNDUP($C1409/3,0),"")</f>
        <v>1</v>
      </c>
      <c r="E1409" s="11" t="str">
        <f aca="false">TRIM('수출입 실적(품목별)'!B1413)</f>
        <v>59</v>
      </c>
      <c r="F1409" s="11" t="str">
        <f aca="false">TRIM('수출입 실적(품목별)'!C1413)</f>
        <v>침투ㆍ도포ㆍ피복하거나 적층한 방직용 섬유의 직물, 공업용인 방직용 섬유제품</v>
      </c>
      <c r="G1409" s="18" t="n">
        <f aca="false">IFERROR(VALUE(SUBSTITUTE(TRIM('수출입 실적(품목별)'!D1413),",","")),"")</f>
        <v>9971.6</v>
      </c>
      <c r="H1409" s="19" t="n">
        <f aca="false">IFERROR(VALUE(SUBSTITUTE(TRIM('수출입 실적(품목별)'!E1413),",","")),"")</f>
        <v>100144</v>
      </c>
      <c r="I1409" s="18" t="n">
        <f aca="false">IFERROR(VALUE(SUBSTITUTE(TRIM('수출입 실적(품목별)'!F1413),",","")),"")</f>
        <v>6868.7</v>
      </c>
      <c r="J1409" s="19" t="n">
        <f aca="false">IFERROR(VALUE(SUBSTITUTE(TRIM('수출입 실적(품목별)'!G1413),",","")),"")</f>
        <v>41147</v>
      </c>
      <c r="K1409" s="19" t="n">
        <f aca="false">IFERROR(VALUE(SUBSTITUTE(TRIM('수출입 실적(품목별)'!H1413),",","")),"")</f>
        <v>58997</v>
      </c>
    </row>
    <row r="1410" customFormat="false" ht="15" hidden="false" customHeight="true" outlineLevel="0" collapsed="false">
      <c r="A1410" s="11" t="str">
        <f aca="false">TRIM('수출입 실적(품목별)'!A1414)</f>
        <v>2025.03</v>
      </c>
      <c r="B1410" s="17" t="n">
        <f aca="false">IFERROR(VALUE(LEFT($A1410,4)),"")</f>
        <v>2025</v>
      </c>
      <c r="C1410" s="17" t="n">
        <f aca="false">IFERROR(VALUE(RIGHT($A1410,2)),"")</f>
        <v>3</v>
      </c>
      <c r="D1410" s="17" t="n">
        <f aca="false">IFERROR(ROUNDUP($C1410/3,0),"")</f>
        <v>1</v>
      </c>
      <c r="E1410" s="11" t="str">
        <f aca="false">TRIM('수출입 실적(품목별)'!B1414)</f>
        <v>60</v>
      </c>
      <c r="F1410" s="11" t="str">
        <f aca="false">TRIM('수출입 실적(품목별)'!C1414)</f>
        <v>메리야스 편물과 뜨개질 편물</v>
      </c>
      <c r="G1410" s="18" t="n">
        <f aca="false">IFERROR(VALUE(SUBSTITUTE(TRIM('수출입 실적(품목별)'!D1414),",","")),"")</f>
        <v>17228.4</v>
      </c>
      <c r="H1410" s="19" t="n">
        <f aca="false">IFERROR(VALUE(SUBSTITUTE(TRIM('수출입 실적(품목별)'!E1414),",","")),"")</f>
        <v>127346</v>
      </c>
      <c r="I1410" s="18" t="n">
        <f aca="false">IFERROR(VALUE(SUBSTITUTE(TRIM('수출입 실적(품목별)'!F1414),",","")),"")</f>
        <v>1547.7</v>
      </c>
      <c r="J1410" s="19" t="n">
        <f aca="false">IFERROR(VALUE(SUBSTITUTE(TRIM('수출입 실적(품목별)'!G1414),",","")),"")</f>
        <v>7877</v>
      </c>
      <c r="K1410" s="19" t="n">
        <f aca="false">IFERROR(VALUE(SUBSTITUTE(TRIM('수출입 실적(품목별)'!H1414),",","")),"")</f>
        <v>119469</v>
      </c>
    </row>
    <row r="1411" customFormat="false" ht="15" hidden="false" customHeight="true" outlineLevel="0" collapsed="false">
      <c r="A1411" s="11" t="str">
        <f aca="false">TRIM('수출입 실적(품목별)'!A1415)</f>
        <v>2025.03</v>
      </c>
      <c r="B1411" s="17" t="n">
        <f aca="false">IFERROR(VALUE(LEFT($A1411,4)),"")</f>
        <v>2025</v>
      </c>
      <c r="C1411" s="17" t="n">
        <f aca="false">IFERROR(VALUE(RIGHT($A1411,2)),"")</f>
        <v>3</v>
      </c>
      <c r="D1411" s="17" t="n">
        <f aca="false">IFERROR(ROUNDUP($C1411/3,0),"")</f>
        <v>1</v>
      </c>
      <c r="E1411" s="11" t="str">
        <f aca="false">TRIM('수출입 실적(품목별)'!B1415)</f>
        <v>61</v>
      </c>
      <c r="F1411" s="11" t="str">
        <f aca="false">TRIM('수출입 실적(품목별)'!C1415)</f>
        <v>의류와 그 부속품(메리야스 편물이나 뜨개질 편물로 한정한다)</v>
      </c>
      <c r="G1411" s="18" t="n">
        <f aca="false">IFERROR(VALUE(SUBSTITUTE(TRIM('수출입 실적(품목별)'!D1415),",","")),"")</f>
        <v>2571.8</v>
      </c>
      <c r="H1411" s="19" t="n">
        <f aca="false">IFERROR(VALUE(SUBSTITUTE(TRIM('수출입 실적(품목별)'!E1415),",","")),"")</f>
        <v>72600</v>
      </c>
      <c r="I1411" s="18" t="n">
        <f aca="false">IFERROR(VALUE(SUBSTITUTE(TRIM('수출입 실적(품목별)'!F1415),",","")),"")</f>
        <v>23307.8</v>
      </c>
      <c r="J1411" s="19" t="n">
        <f aca="false">IFERROR(VALUE(SUBSTITUTE(TRIM('수출입 실적(품목별)'!G1415),",","")),"")</f>
        <v>481958</v>
      </c>
      <c r="K1411" s="19" t="n">
        <f aca="false">IFERROR(VALUE(SUBSTITUTE(TRIM('수출입 실적(품목별)'!H1415),",","")),"")</f>
        <v>-409357</v>
      </c>
    </row>
    <row r="1412" customFormat="false" ht="15" hidden="false" customHeight="true" outlineLevel="0" collapsed="false">
      <c r="A1412" s="11" t="str">
        <f aca="false">TRIM('수출입 실적(품목별)'!A1416)</f>
        <v>2025.03</v>
      </c>
      <c r="B1412" s="17" t="n">
        <f aca="false">IFERROR(VALUE(LEFT($A1412,4)),"")</f>
        <v>2025</v>
      </c>
      <c r="C1412" s="17" t="n">
        <f aca="false">IFERROR(VALUE(RIGHT($A1412,2)),"")</f>
        <v>3</v>
      </c>
      <c r="D1412" s="17" t="n">
        <f aca="false">IFERROR(ROUNDUP($C1412/3,0),"")</f>
        <v>1</v>
      </c>
      <c r="E1412" s="11" t="str">
        <f aca="false">TRIM('수출입 실적(품목별)'!B1416)</f>
        <v>62</v>
      </c>
      <c r="F1412" s="11" t="str">
        <f aca="false">TRIM('수출입 실적(품목별)'!C1416)</f>
        <v>의류와 그 부속품(메리야스 편물이나 뜨개질편물은 제외한다)</v>
      </c>
      <c r="G1412" s="18" t="n">
        <f aca="false">IFERROR(VALUE(SUBSTITUTE(TRIM('수출입 실적(품목별)'!D1416),",","")),"")</f>
        <v>2559</v>
      </c>
      <c r="H1412" s="19" t="n">
        <f aca="false">IFERROR(VALUE(SUBSTITUTE(TRIM('수출입 실적(품목별)'!E1416),",","")),"")</f>
        <v>67429</v>
      </c>
      <c r="I1412" s="18" t="n">
        <f aca="false">IFERROR(VALUE(SUBSTITUTE(TRIM('수출입 실적(품목별)'!F1416),",","")),"")</f>
        <v>22494.5</v>
      </c>
      <c r="J1412" s="19" t="n">
        <f aca="false">IFERROR(VALUE(SUBSTITUTE(TRIM('수출입 실적(품목별)'!G1416),",","")),"")</f>
        <v>628292</v>
      </c>
      <c r="K1412" s="19" t="n">
        <f aca="false">IFERROR(VALUE(SUBSTITUTE(TRIM('수출입 실적(품목별)'!H1416),",","")),"")</f>
        <v>-560863</v>
      </c>
    </row>
    <row r="1413" customFormat="false" ht="15" hidden="false" customHeight="true" outlineLevel="0" collapsed="false">
      <c r="A1413" s="11" t="str">
        <f aca="false">TRIM('수출입 실적(품목별)'!A1417)</f>
        <v>2025.03</v>
      </c>
      <c r="B1413" s="17" t="n">
        <f aca="false">IFERROR(VALUE(LEFT($A1413,4)),"")</f>
        <v>2025</v>
      </c>
      <c r="C1413" s="17" t="n">
        <f aca="false">IFERROR(VALUE(RIGHT($A1413,2)),"")</f>
        <v>3</v>
      </c>
      <c r="D1413" s="17" t="n">
        <f aca="false">IFERROR(ROUNDUP($C1413/3,0),"")</f>
        <v>1</v>
      </c>
      <c r="E1413" s="11" t="str">
        <f aca="false">TRIM('수출입 실적(품목별)'!B1417)</f>
        <v>63</v>
      </c>
      <c r="F1413" s="11" t="str">
        <f aca="false">TRIM('수출입 실적(품목별)'!C1417)</f>
        <v>제품으로 된 방직용 섬유의 그 밖의 물품, 세트, 사용하던 의류ㆍ방직용 섬유제품, 넝마</v>
      </c>
      <c r="G1413" s="18" t="n">
        <f aca="false">IFERROR(VALUE(SUBSTITUTE(TRIM('수출입 실적(품목별)'!D1417),",","")),"")</f>
        <v>29965.5</v>
      </c>
      <c r="H1413" s="19" t="n">
        <f aca="false">IFERROR(VALUE(SUBSTITUTE(TRIM('수출입 실적(품목별)'!E1417),",","")),"")</f>
        <v>57488</v>
      </c>
      <c r="I1413" s="18" t="n">
        <f aca="false">IFERROR(VALUE(SUBSTITUTE(TRIM('수출입 실적(품목별)'!F1417),",","")),"")</f>
        <v>24124.2</v>
      </c>
      <c r="J1413" s="19" t="n">
        <f aca="false">IFERROR(VALUE(SUBSTITUTE(TRIM('수출입 실적(품목별)'!G1417),",","")),"")</f>
        <v>100960</v>
      </c>
      <c r="K1413" s="19" t="n">
        <f aca="false">IFERROR(VALUE(SUBSTITUTE(TRIM('수출입 실적(품목별)'!H1417),",","")),"")</f>
        <v>-43472</v>
      </c>
    </row>
    <row r="1414" customFormat="false" ht="15" hidden="false" customHeight="true" outlineLevel="0" collapsed="false">
      <c r="A1414" s="11" t="str">
        <f aca="false">TRIM('수출입 실적(품목별)'!A1418)</f>
        <v>2025.03</v>
      </c>
      <c r="B1414" s="17" t="n">
        <f aca="false">IFERROR(VALUE(LEFT($A1414,4)),"")</f>
        <v>2025</v>
      </c>
      <c r="C1414" s="17" t="n">
        <f aca="false">IFERROR(VALUE(RIGHT($A1414,2)),"")</f>
        <v>3</v>
      </c>
      <c r="D1414" s="17" t="n">
        <f aca="false">IFERROR(ROUNDUP($C1414/3,0),"")</f>
        <v>1</v>
      </c>
      <c r="E1414" s="11" t="str">
        <f aca="false">TRIM('수출입 실적(품목별)'!B1418)</f>
        <v>64</v>
      </c>
      <c r="F1414" s="11" t="str">
        <f aca="false">TRIM('수출입 실적(품목별)'!C1418)</f>
        <v>신발류ㆍ각반과 이와 유사한 것, 이들의 부분품</v>
      </c>
      <c r="G1414" s="18" t="n">
        <f aca="false">IFERROR(VALUE(SUBSTITUTE(TRIM('수출입 실적(품목별)'!D1418),",","")),"")</f>
        <v>1188.9</v>
      </c>
      <c r="H1414" s="19" t="n">
        <f aca="false">IFERROR(VALUE(SUBSTITUTE(TRIM('수출입 실적(품목별)'!E1418),",","")),"")</f>
        <v>29414</v>
      </c>
      <c r="I1414" s="18" t="n">
        <f aca="false">IFERROR(VALUE(SUBSTITUTE(TRIM('수출입 실적(품목별)'!F1418),",","")),"")</f>
        <v>11201.4</v>
      </c>
      <c r="J1414" s="19" t="n">
        <f aca="false">IFERROR(VALUE(SUBSTITUTE(TRIM('수출입 실적(품목별)'!G1418),",","")),"")</f>
        <v>312251</v>
      </c>
      <c r="K1414" s="19" t="n">
        <f aca="false">IFERROR(VALUE(SUBSTITUTE(TRIM('수출입 실적(품목별)'!H1418),",","")),"")</f>
        <v>-282838</v>
      </c>
    </row>
    <row r="1415" customFormat="false" ht="15" hidden="false" customHeight="true" outlineLevel="0" collapsed="false">
      <c r="A1415" s="11" t="str">
        <f aca="false">TRIM('수출입 실적(품목별)'!A1419)</f>
        <v>2025.03</v>
      </c>
      <c r="B1415" s="17" t="n">
        <f aca="false">IFERROR(VALUE(LEFT($A1415,4)),"")</f>
        <v>2025</v>
      </c>
      <c r="C1415" s="17" t="n">
        <f aca="false">IFERROR(VALUE(RIGHT($A1415,2)),"")</f>
        <v>3</v>
      </c>
      <c r="D1415" s="17" t="n">
        <f aca="false">IFERROR(ROUNDUP($C1415/3,0),"")</f>
        <v>1</v>
      </c>
      <c r="E1415" s="11" t="str">
        <f aca="false">TRIM('수출입 실적(품목별)'!B1419)</f>
        <v>65</v>
      </c>
      <c r="F1415" s="11" t="str">
        <f aca="false">TRIM('수출입 실적(품목별)'!C1419)</f>
        <v>모자류와 그 부분품</v>
      </c>
      <c r="G1415" s="18" t="n">
        <f aca="false">IFERROR(VALUE(SUBSTITUTE(TRIM('수출입 실적(품목별)'!D1419),",","")),"")</f>
        <v>253</v>
      </c>
      <c r="H1415" s="19" t="n">
        <f aca="false">IFERROR(VALUE(SUBSTITUTE(TRIM('수출입 실적(품목별)'!E1419),",","")),"")</f>
        <v>9571</v>
      </c>
      <c r="I1415" s="18" t="n">
        <f aca="false">IFERROR(VALUE(SUBSTITUTE(TRIM('수출입 실적(품목별)'!F1419),",","")),"")</f>
        <v>892</v>
      </c>
      <c r="J1415" s="19" t="n">
        <f aca="false">IFERROR(VALUE(SUBSTITUTE(TRIM('수출입 실적(품목별)'!G1419),",","")),"")</f>
        <v>26516</v>
      </c>
      <c r="K1415" s="19" t="n">
        <f aca="false">IFERROR(VALUE(SUBSTITUTE(TRIM('수출입 실적(품목별)'!H1419),",","")),"")</f>
        <v>-16945</v>
      </c>
    </row>
    <row r="1416" customFormat="false" ht="15" hidden="false" customHeight="true" outlineLevel="0" collapsed="false">
      <c r="A1416" s="11" t="str">
        <f aca="false">TRIM('수출입 실적(품목별)'!A1420)</f>
        <v>2025.03</v>
      </c>
      <c r="B1416" s="17" t="n">
        <f aca="false">IFERROR(VALUE(LEFT($A1416,4)),"")</f>
        <v>2025</v>
      </c>
      <c r="C1416" s="17" t="n">
        <f aca="false">IFERROR(VALUE(RIGHT($A1416,2)),"")</f>
        <v>3</v>
      </c>
      <c r="D1416" s="17" t="n">
        <f aca="false">IFERROR(ROUNDUP($C1416/3,0),"")</f>
        <v>1</v>
      </c>
      <c r="E1416" s="11" t="str">
        <f aca="false">TRIM('수출입 실적(품목별)'!B1420)</f>
        <v>66</v>
      </c>
      <c r="F1416" s="11" t="str">
        <f aca="false">TRIM('수출입 실적(품목별)'!C1420)</f>
        <v>산류(傘類)ㆍ지팡이ㆍ시트스틱(seat-stick)ㆍ채찍ㆍ승마용 채찍과 이들의 부분품</v>
      </c>
      <c r="G1416" s="18" t="n">
        <f aca="false">IFERROR(VALUE(SUBSTITUTE(TRIM('수출입 실적(품목별)'!D1420),",","")),"")</f>
        <v>4.4</v>
      </c>
      <c r="H1416" s="19" t="n">
        <f aca="false">IFERROR(VALUE(SUBSTITUTE(TRIM('수출입 실적(품목별)'!E1420),",","")),"")</f>
        <v>65</v>
      </c>
      <c r="I1416" s="18" t="n">
        <f aca="false">IFERROR(VALUE(SUBSTITUTE(TRIM('수출입 실적(품목별)'!F1420),",","")),"")</f>
        <v>1407.2</v>
      </c>
      <c r="J1416" s="19" t="n">
        <f aca="false">IFERROR(VALUE(SUBSTITUTE(TRIM('수출입 실적(품목별)'!G1420),",","")),"")</f>
        <v>11095</v>
      </c>
      <c r="K1416" s="19" t="n">
        <f aca="false">IFERROR(VALUE(SUBSTITUTE(TRIM('수출입 실적(품목별)'!H1420),",","")),"")</f>
        <v>-11030</v>
      </c>
    </row>
    <row r="1417" customFormat="false" ht="15" hidden="false" customHeight="true" outlineLevel="0" collapsed="false">
      <c r="A1417" s="11" t="str">
        <f aca="false">TRIM('수출입 실적(품목별)'!A1421)</f>
        <v>2025.03</v>
      </c>
      <c r="B1417" s="17" t="n">
        <f aca="false">IFERROR(VALUE(LEFT($A1417,4)),"")</f>
        <v>2025</v>
      </c>
      <c r="C1417" s="17" t="n">
        <f aca="false">IFERROR(VALUE(RIGHT($A1417,2)),"")</f>
        <v>3</v>
      </c>
      <c r="D1417" s="17" t="n">
        <f aca="false">IFERROR(ROUNDUP($C1417/3,0),"")</f>
        <v>1</v>
      </c>
      <c r="E1417" s="11" t="str">
        <f aca="false">TRIM('수출입 실적(품목별)'!B1421)</f>
        <v>67</v>
      </c>
      <c r="F1417" s="11" t="str">
        <f aca="false">TRIM('수출입 실적(품목별)'!C1421)</f>
        <v>조제 깃털ㆍ솜털과 그 제품, 조화, 사람 머리카락으로 된 제품</v>
      </c>
      <c r="G1417" s="18" t="n">
        <f aca="false">IFERROR(VALUE(SUBSTITUTE(TRIM('수출입 실적(품목별)'!D1421),",","")),"")</f>
        <v>20.7</v>
      </c>
      <c r="H1417" s="19" t="n">
        <f aca="false">IFERROR(VALUE(SUBSTITUTE(TRIM('수출입 실적(품목별)'!E1421),",","")),"")</f>
        <v>1825</v>
      </c>
      <c r="I1417" s="18" t="n">
        <f aca="false">IFERROR(VALUE(SUBSTITUTE(TRIM('수출입 실적(품목별)'!F1421),",","")),"")</f>
        <v>466.5</v>
      </c>
      <c r="J1417" s="19" t="n">
        <f aca="false">IFERROR(VALUE(SUBSTITUTE(TRIM('수출입 실적(품목별)'!G1421),",","")),"")</f>
        <v>7673</v>
      </c>
      <c r="K1417" s="19" t="n">
        <f aca="false">IFERROR(VALUE(SUBSTITUTE(TRIM('수출입 실적(품목별)'!H1421),",","")),"")</f>
        <v>-5848</v>
      </c>
    </row>
    <row r="1418" customFormat="false" ht="15" hidden="false" customHeight="true" outlineLevel="0" collapsed="false">
      <c r="A1418" s="11" t="str">
        <f aca="false">TRIM('수출입 실적(품목별)'!A1422)</f>
        <v>2025.03</v>
      </c>
      <c r="B1418" s="17" t="n">
        <f aca="false">IFERROR(VALUE(LEFT($A1418,4)),"")</f>
        <v>2025</v>
      </c>
      <c r="C1418" s="17" t="n">
        <f aca="false">IFERROR(VALUE(RIGHT($A1418,2)),"")</f>
        <v>3</v>
      </c>
      <c r="D1418" s="17" t="n">
        <f aca="false">IFERROR(ROUNDUP($C1418/3,0),"")</f>
        <v>1</v>
      </c>
      <c r="E1418" s="11" t="str">
        <f aca="false">TRIM('수출입 실적(품목별)'!B1422)</f>
        <v>68</v>
      </c>
      <c r="F1418" s="11" t="str">
        <f aca="false">TRIM('수출입 실적(품목별)'!C1422)</f>
        <v>돌ㆍ플라스터(plaster)ㆍ시멘트ㆍ석면ㆍ운모나 이와 유사한 재료의 제품</v>
      </c>
      <c r="G1418" s="18" t="n">
        <f aca="false">IFERROR(VALUE(SUBSTITUTE(TRIM('수출입 실적(품목별)'!D1422),",","")),"")</f>
        <v>11129</v>
      </c>
      <c r="H1418" s="19" t="n">
        <f aca="false">IFERROR(VALUE(SUBSTITUTE(TRIM('수출입 실적(품목별)'!E1422),",","")),"")</f>
        <v>76207</v>
      </c>
      <c r="I1418" s="18" t="n">
        <f aca="false">IFERROR(VALUE(SUBSTITUTE(TRIM('수출입 실적(품목별)'!F1422),",","")),"")</f>
        <v>175920.9</v>
      </c>
      <c r="J1418" s="19" t="n">
        <f aca="false">IFERROR(VALUE(SUBSTITUTE(TRIM('수출입 실적(품목별)'!G1422),",","")),"")</f>
        <v>103863</v>
      </c>
      <c r="K1418" s="19" t="n">
        <f aca="false">IFERROR(VALUE(SUBSTITUTE(TRIM('수출입 실적(품목별)'!H1422),",","")),"")</f>
        <v>-27656</v>
      </c>
    </row>
    <row r="1419" customFormat="false" ht="15" hidden="false" customHeight="true" outlineLevel="0" collapsed="false">
      <c r="A1419" s="11" t="str">
        <f aca="false">TRIM('수출입 실적(품목별)'!A1423)</f>
        <v>2025.03</v>
      </c>
      <c r="B1419" s="17" t="n">
        <f aca="false">IFERROR(VALUE(LEFT($A1419,4)),"")</f>
        <v>2025</v>
      </c>
      <c r="C1419" s="17" t="n">
        <f aca="false">IFERROR(VALUE(RIGHT($A1419,2)),"")</f>
        <v>3</v>
      </c>
      <c r="D1419" s="17" t="n">
        <f aca="false">IFERROR(ROUNDUP($C1419/3,0),"")</f>
        <v>1</v>
      </c>
      <c r="E1419" s="11" t="str">
        <f aca="false">TRIM('수출입 실적(품목별)'!B1423)</f>
        <v>69</v>
      </c>
      <c r="F1419" s="11" t="str">
        <f aca="false">TRIM('수출입 실적(품목별)'!C1423)</f>
        <v>도자제품</v>
      </c>
      <c r="G1419" s="18" t="n">
        <f aca="false">IFERROR(VALUE(SUBSTITUTE(TRIM('수출입 실적(품목별)'!D1423),",","")),"")</f>
        <v>2317.4</v>
      </c>
      <c r="H1419" s="19" t="n">
        <f aca="false">IFERROR(VALUE(SUBSTITUTE(TRIM('수출입 실적(품목별)'!E1423),",","")),"")</f>
        <v>31928</v>
      </c>
      <c r="I1419" s="18" t="n">
        <f aca="false">IFERROR(VALUE(SUBSTITUTE(TRIM('수출입 실적(품목별)'!F1423),",","")),"")</f>
        <v>88497.5</v>
      </c>
      <c r="J1419" s="19" t="n">
        <f aca="false">IFERROR(VALUE(SUBSTITUTE(TRIM('수출입 실적(품목별)'!G1423),",","")),"")</f>
        <v>121765</v>
      </c>
      <c r="K1419" s="19" t="n">
        <f aca="false">IFERROR(VALUE(SUBSTITUTE(TRIM('수출입 실적(품목별)'!H1423),",","")),"")</f>
        <v>-89837</v>
      </c>
    </row>
    <row r="1420" customFormat="false" ht="15" hidden="false" customHeight="true" outlineLevel="0" collapsed="false">
      <c r="A1420" s="11" t="str">
        <f aca="false">TRIM('수출입 실적(품목별)'!A1424)</f>
        <v>2025.03</v>
      </c>
      <c r="B1420" s="17" t="n">
        <f aca="false">IFERROR(VALUE(LEFT($A1420,4)),"")</f>
        <v>2025</v>
      </c>
      <c r="C1420" s="17" t="n">
        <f aca="false">IFERROR(VALUE(RIGHT($A1420,2)),"")</f>
        <v>3</v>
      </c>
      <c r="D1420" s="17" t="n">
        <f aca="false">IFERROR(ROUNDUP($C1420/3,0),"")</f>
        <v>1</v>
      </c>
      <c r="E1420" s="11" t="str">
        <f aca="false">TRIM('수출입 실적(품목별)'!B1424)</f>
        <v>70</v>
      </c>
      <c r="F1420" s="11" t="str">
        <f aca="false">TRIM('수출입 실적(품목별)'!C1424)</f>
        <v>유리와 유리제품</v>
      </c>
      <c r="G1420" s="18" t="n">
        <f aca="false">IFERROR(VALUE(SUBSTITUTE(TRIM('수출입 실적(품목별)'!D1424),",","")),"")</f>
        <v>28369.2</v>
      </c>
      <c r="H1420" s="19" t="n">
        <f aca="false">IFERROR(VALUE(SUBSTITUTE(TRIM('수출입 실적(품목별)'!E1424),",","")),"")</f>
        <v>155103</v>
      </c>
      <c r="I1420" s="18" t="n">
        <f aca="false">IFERROR(VALUE(SUBSTITUTE(TRIM('수출입 실적(품목별)'!F1424),",","")),"")</f>
        <v>102126.7</v>
      </c>
      <c r="J1420" s="19" t="n">
        <f aca="false">IFERROR(VALUE(SUBSTITUTE(TRIM('수출입 실적(품목별)'!G1424),",","")),"")</f>
        <v>230387</v>
      </c>
      <c r="K1420" s="19" t="n">
        <f aca="false">IFERROR(VALUE(SUBSTITUTE(TRIM('수출입 실적(품목별)'!H1424),",","")),"")</f>
        <v>-75285</v>
      </c>
    </row>
    <row r="1421" customFormat="false" ht="15" hidden="false" customHeight="true" outlineLevel="0" collapsed="false">
      <c r="A1421" s="11" t="str">
        <f aca="false">TRIM('수출입 실적(품목별)'!A1425)</f>
        <v>2025.03</v>
      </c>
      <c r="B1421" s="17" t="n">
        <f aca="false">IFERROR(VALUE(LEFT($A1421,4)),"")</f>
        <v>2025</v>
      </c>
      <c r="C1421" s="17" t="n">
        <f aca="false">IFERROR(VALUE(RIGHT($A1421,2)),"")</f>
        <v>3</v>
      </c>
      <c r="D1421" s="17" t="n">
        <f aca="false">IFERROR(ROUNDUP($C1421/3,0),"")</f>
        <v>1</v>
      </c>
      <c r="E1421" s="11" t="str">
        <f aca="false">TRIM('수출입 실적(품목별)'!B1425)</f>
        <v>71</v>
      </c>
      <c r="F1421" s="11" t="str">
        <f aca="false">TRIM('수출입 실적(품목별)'!C1425)</f>
        <v>천연진주ㆍ양식진주ㆍ귀석ㆍ반귀석ㆍ귀금속ㆍ귀금속을 입힌 금속과 이들의 제품, 모조 신변장식용품, 주화</v>
      </c>
      <c r="G1421" s="18" t="n">
        <f aca="false">IFERROR(VALUE(SUBSTITUTE(TRIM('수출입 실적(품목별)'!D1425),",","")),"")</f>
        <v>888.8</v>
      </c>
      <c r="H1421" s="19" t="n">
        <f aca="false">IFERROR(VALUE(SUBSTITUTE(TRIM('수출입 실적(품목별)'!E1425),",","")),"")</f>
        <v>443632</v>
      </c>
      <c r="I1421" s="18" t="n">
        <f aca="false">IFERROR(VALUE(SUBSTITUTE(TRIM('수출입 실적(품목별)'!F1425),",","")),"")</f>
        <v>934.7</v>
      </c>
      <c r="J1421" s="19" t="n">
        <f aca="false">IFERROR(VALUE(SUBSTITUTE(TRIM('수출입 실적(품목별)'!G1425),",","")),"")</f>
        <v>988434</v>
      </c>
      <c r="K1421" s="19" t="n">
        <f aca="false">IFERROR(VALUE(SUBSTITUTE(TRIM('수출입 실적(품목별)'!H1425),",","")),"")</f>
        <v>-544802</v>
      </c>
    </row>
    <row r="1422" customFormat="false" ht="15" hidden="false" customHeight="true" outlineLevel="0" collapsed="false">
      <c r="A1422" s="11" t="str">
        <f aca="false">TRIM('수출입 실적(품목별)'!A1426)</f>
        <v>2025.03</v>
      </c>
      <c r="B1422" s="17" t="n">
        <f aca="false">IFERROR(VALUE(LEFT($A1422,4)),"")</f>
        <v>2025</v>
      </c>
      <c r="C1422" s="17" t="n">
        <f aca="false">IFERROR(VALUE(RIGHT($A1422,2)),"")</f>
        <v>3</v>
      </c>
      <c r="D1422" s="17" t="n">
        <f aca="false">IFERROR(ROUNDUP($C1422/3,0),"")</f>
        <v>1</v>
      </c>
      <c r="E1422" s="11" t="str">
        <f aca="false">TRIM('수출입 실적(품목별)'!B1426)</f>
        <v>72</v>
      </c>
      <c r="F1422" s="11" t="str">
        <f aca="false">TRIM('수출입 실적(품목별)'!C1426)</f>
        <v>철강</v>
      </c>
      <c r="G1422" s="18" t="n">
        <f aca="false">IFERROR(VALUE(SUBSTITUTE(TRIM('수출입 실적(품목별)'!D1426),",","")),"")</f>
        <v>2113763.9</v>
      </c>
      <c r="H1422" s="19" t="n">
        <f aca="false">IFERROR(VALUE(SUBSTITUTE(TRIM('수출입 실적(품목별)'!E1426),",","")),"")</f>
        <v>1844526</v>
      </c>
      <c r="I1422" s="18" t="n">
        <f aca="false">IFERROR(VALUE(SUBSTITUTE(TRIM('수출입 실적(품목별)'!F1426),",","")),"")</f>
        <v>1177765.3</v>
      </c>
      <c r="J1422" s="19" t="n">
        <f aca="false">IFERROR(VALUE(SUBSTITUTE(TRIM('수출입 실적(품목별)'!G1426),",","")),"")</f>
        <v>899092</v>
      </c>
      <c r="K1422" s="19" t="n">
        <f aca="false">IFERROR(VALUE(SUBSTITUTE(TRIM('수출입 실적(품목별)'!H1426),",","")),"")</f>
        <v>945434</v>
      </c>
    </row>
    <row r="1423" customFormat="false" ht="15" hidden="false" customHeight="true" outlineLevel="0" collapsed="false">
      <c r="A1423" s="11" t="str">
        <f aca="false">TRIM('수출입 실적(품목별)'!A1427)</f>
        <v>2025.03</v>
      </c>
      <c r="B1423" s="17" t="n">
        <f aca="false">IFERROR(VALUE(LEFT($A1423,4)),"")</f>
        <v>2025</v>
      </c>
      <c r="C1423" s="17" t="n">
        <f aca="false">IFERROR(VALUE(RIGHT($A1423,2)),"")</f>
        <v>3</v>
      </c>
      <c r="D1423" s="17" t="n">
        <f aca="false">IFERROR(ROUNDUP($C1423/3,0),"")</f>
        <v>1</v>
      </c>
      <c r="E1423" s="11" t="str">
        <f aca="false">TRIM('수출입 실적(품목별)'!B1427)</f>
        <v>73</v>
      </c>
      <c r="F1423" s="11" t="str">
        <f aca="false">TRIM('수출입 실적(품목별)'!C1427)</f>
        <v>철강의 제품</v>
      </c>
      <c r="G1423" s="18" t="n">
        <f aca="false">IFERROR(VALUE(SUBSTITUTE(TRIM('수출입 실적(품목별)'!D1427),",","")),"")</f>
        <v>324308.5</v>
      </c>
      <c r="H1423" s="19" t="n">
        <f aca="false">IFERROR(VALUE(SUBSTITUTE(TRIM('수출입 실적(품목별)'!E1427),",","")),"")</f>
        <v>831450</v>
      </c>
      <c r="I1423" s="18" t="n">
        <f aca="false">IFERROR(VALUE(SUBSTITUTE(TRIM('수출입 실적(품목별)'!F1427),",","")),"")</f>
        <v>269937.3</v>
      </c>
      <c r="J1423" s="19" t="n">
        <f aca="false">IFERROR(VALUE(SUBSTITUTE(TRIM('수출입 실적(품목별)'!G1427),",","")),"")</f>
        <v>905426</v>
      </c>
      <c r="K1423" s="19" t="n">
        <f aca="false">IFERROR(VALUE(SUBSTITUTE(TRIM('수출입 실적(품목별)'!H1427),",","")),"")</f>
        <v>-73976</v>
      </c>
    </row>
    <row r="1424" customFormat="false" ht="15" hidden="false" customHeight="true" outlineLevel="0" collapsed="false">
      <c r="A1424" s="11" t="str">
        <f aca="false">TRIM('수출입 실적(품목별)'!A1428)</f>
        <v>2025.03</v>
      </c>
      <c r="B1424" s="17" t="n">
        <f aca="false">IFERROR(VALUE(LEFT($A1424,4)),"")</f>
        <v>2025</v>
      </c>
      <c r="C1424" s="17" t="n">
        <f aca="false">IFERROR(VALUE(RIGHT($A1424,2)),"")</f>
        <v>3</v>
      </c>
      <c r="D1424" s="17" t="n">
        <f aca="false">IFERROR(ROUNDUP($C1424/3,0),"")</f>
        <v>1</v>
      </c>
      <c r="E1424" s="11" t="str">
        <f aca="false">TRIM('수출입 실적(품목별)'!B1428)</f>
        <v>74</v>
      </c>
      <c r="F1424" s="11" t="str">
        <f aca="false">TRIM('수출입 실적(품목별)'!C1428)</f>
        <v>구리와 그 제품</v>
      </c>
      <c r="G1424" s="18" t="n">
        <f aca="false">IFERROR(VALUE(SUBSTITUTE(TRIM('수출입 실적(품목별)'!D1428),",","")),"")</f>
        <v>43148.5</v>
      </c>
      <c r="H1424" s="19" t="n">
        <f aca="false">IFERROR(VALUE(SUBSTITUTE(TRIM('수출입 실적(품목별)'!E1428),",","")),"")</f>
        <v>440642</v>
      </c>
      <c r="I1424" s="18" t="n">
        <f aca="false">IFERROR(VALUE(SUBSTITUTE(TRIM('수출입 실적(품목별)'!F1428),",","")),"")</f>
        <v>72939.3</v>
      </c>
      <c r="J1424" s="19" t="n">
        <f aca="false">IFERROR(VALUE(SUBSTITUTE(TRIM('수출입 실적(품목별)'!G1428),",","")),"")</f>
        <v>686482</v>
      </c>
      <c r="K1424" s="19" t="n">
        <f aca="false">IFERROR(VALUE(SUBSTITUTE(TRIM('수출입 실적(품목별)'!H1428),",","")),"")</f>
        <v>-245839</v>
      </c>
    </row>
    <row r="1425" customFormat="false" ht="15" hidden="false" customHeight="true" outlineLevel="0" collapsed="false">
      <c r="A1425" s="11" t="str">
        <f aca="false">TRIM('수출입 실적(품목별)'!A1429)</f>
        <v>2025.03</v>
      </c>
      <c r="B1425" s="17" t="n">
        <f aca="false">IFERROR(VALUE(LEFT($A1425,4)),"")</f>
        <v>2025</v>
      </c>
      <c r="C1425" s="17" t="n">
        <f aca="false">IFERROR(VALUE(RIGHT($A1425,2)),"")</f>
        <v>3</v>
      </c>
      <c r="D1425" s="17" t="n">
        <f aca="false">IFERROR(ROUNDUP($C1425/3,0),"")</f>
        <v>1</v>
      </c>
      <c r="E1425" s="11" t="str">
        <f aca="false">TRIM('수출입 실적(품목별)'!B1429)</f>
        <v>75</v>
      </c>
      <c r="F1425" s="11" t="str">
        <f aca="false">TRIM('수출입 실적(품목별)'!C1429)</f>
        <v>니켈과 그 제품</v>
      </c>
      <c r="G1425" s="18" t="n">
        <f aca="false">IFERROR(VALUE(SUBSTITUTE(TRIM('수출입 실적(품목별)'!D1429),",","")),"")</f>
        <v>996</v>
      </c>
      <c r="H1425" s="19" t="n">
        <f aca="false">IFERROR(VALUE(SUBSTITUTE(TRIM('수출입 실적(품목별)'!E1429),",","")),"")</f>
        <v>16683</v>
      </c>
      <c r="I1425" s="18" t="n">
        <f aca="false">IFERROR(VALUE(SUBSTITUTE(TRIM('수출입 실적(품목별)'!F1429),",","")),"")</f>
        <v>3700.6</v>
      </c>
      <c r="J1425" s="19" t="n">
        <f aca="false">IFERROR(VALUE(SUBSTITUTE(TRIM('수출입 실적(품목별)'!G1429),",","")),"")</f>
        <v>101289</v>
      </c>
      <c r="K1425" s="19" t="n">
        <f aca="false">IFERROR(VALUE(SUBSTITUTE(TRIM('수출입 실적(품목별)'!H1429),",","")),"")</f>
        <v>-84606</v>
      </c>
    </row>
    <row r="1426" customFormat="false" ht="15" hidden="false" customHeight="true" outlineLevel="0" collapsed="false">
      <c r="A1426" s="11" t="str">
        <f aca="false">TRIM('수출입 실적(품목별)'!A1430)</f>
        <v>2025.03</v>
      </c>
      <c r="B1426" s="17" t="n">
        <f aca="false">IFERROR(VALUE(LEFT($A1426,4)),"")</f>
        <v>2025</v>
      </c>
      <c r="C1426" s="17" t="n">
        <f aca="false">IFERROR(VALUE(RIGHT($A1426,2)),"")</f>
        <v>3</v>
      </c>
      <c r="D1426" s="17" t="n">
        <f aca="false">IFERROR(ROUNDUP($C1426/3,0),"")</f>
        <v>1</v>
      </c>
      <c r="E1426" s="11" t="str">
        <f aca="false">TRIM('수출입 실적(품목별)'!B1430)</f>
        <v>76</v>
      </c>
      <c r="F1426" s="11" t="str">
        <f aca="false">TRIM('수출입 실적(품목별)'!C1430)</f>
        <v>알루미늄과 그 제품</v>
      </c>
      <c r="G1426" s="18" t="n">
        <f aca="false">IFERROR(VALUE(SUBSTITUTE(TRIM('수출입 실적(품목별)'!D1430),",","")),"")</f>
        <v>112038.6</v>
      </c>
      <c r="H1426" s="19" t="n">
        <f aca="false">IFERROR(VALUE(SUBSTITUTE(TRIM('수출입 실적(품목별)'!E1430),",","")),"")</f>
        <v>457809</v>
      </c>
      <c r="I1426" s="18" t="n">
        <f aca="false">IFERROR(VALUE(SUBSTITUTE(TRIM('수출입 실적(품목별)'!F1430),",","")),"")</f>
        <v>238342</v>
      </c>
      <c r="J1426" s="19" t="n">
        <f aca="false">IFERROR(VALUE(SUBSTITUTE(TRIM('수출입 실적(품목별)'!G1430),",","")),"")</f>
        <v>737096</v>
      </c>
      <c r="K1426" s="19" t="n">
        <f aca="false">IFERROR(VALUE(SUBSTITUTE(TRIM('수출입 실적(품목별)'!H1430),",","")),"")</f>
        <v>-279288</v>
      </c>
    </row>
    <row r="1427" customFormat="false" ht="15" hidden="false" customHeight="true" outlineLevel="0" collapsed="false">
      <c r="A1427" s="11" t="str">
        <f aca="false">TRIM('수출입 실적(품목별)'!A1431)</f>
        <v>2025.03</v>
      </c>
      <c r="B1427" s="17" t="n">
        <f aca="false">IFERROR(VALUE(LEFT($A1427,4)),"")</f>
        <v>2025</v>
      </c>
      <c r="C1427" s="17" t="n">
        <f aca="false">IFERROR(VALUE(RIGHT($A1427,2)),"")</f>
        <v>3</v>
      </c>
      <c r="D1427" s="17" t="n">
        <f aca="false">IFERROR(ROUNDUP($C1427/3,0),"")</f>
        <v>1</v>
      </c>
      <c r="E1427" s="11" t="str">
        <f aca="false">TRIM('수출입 실적(품목별)'!B1431)</f>
        <v>78</v>
      </c>
      <c r="F1427" s="11" t="str">
        <f aca="false">TRIM('수출입 실적(품목별)'!C1431)</f>
        <v>납과 그 제품</v>
      </c>
      <c r="G1427" s="18" t="n">
        <f aca="false">IFERROR(VALUE(SUBSTITUTE(TRIM('수출입 실적(품목별)'!D1431),",","")),"")</f>
        <v>43631.7</v>
      </c>
      <c r="H1427" s="19" t="n">
        <f aca="false">IFERROR(VALUE(SUBSTITUTE(TRIM('수출입 실적(품목별)'!E1431),",","")),"")</f>
        <v>94284</v>
      </c>
      <c r="I1427" s="18" t="n">
        <f aca="false">IFERROR(VALUE(SUBSTITUTE(TRIM('수출입 실적(품목별)'!F1431),",","")),"")</f>
        <v>12097.1</v>
      </c>
      <c r="J1427" s="19" t="n">
        <f aca="false">IFERROR(VALUE(SUBSTITUTE(TRIM('수출입 실적(품목별)'!G1431),",","")),"")</f>
        <v>26630</v>
      </c>
      <c r="K1427" s="19" t="n">
        <f aca="false">IFERROR(VALUE(SUBSTITUTE(TRIM('수출입 실적(품목별)'!H1431),",","")),"")</f>
        <v>67654</v>
      </c>
    </row>
    <row r="1428" customFormat="false" ht="15" hidden="false" customHeight="true" outlineLevel="0" collapsed="false">
      <c r="A1428" s="11" t="str">
        <f aca="false">TRIM('수출입 실적(품목별)'!A1432)</f>
        <v>2025.03</v>
      </c>
      <c r="B1428" s="17" t="n">
        <f aca="false">IFERROR(VALUE(LEFT($A1428,4)),"")</f>
        <v>2025</v>
      </c>
      <c r="C1428" s="17" t="n">
        <f aca="false">IFERROR(VALUE(RIGHT($A1428,2)),"")</f>
        <v>3</v>
      </c>
      <c r="D1428" s="17" t="n">
        <f aca="false">IFERROR(ROUNDUP($C1428/3,0),"")</f>
        <v>1</v>
      </c>
      <c r="E1428" s="11" t="str">
        <f aca="false">TRIM('수출입 실적(품목별)'!B1432)</f>
        <v>79</v>
      </c>
      <c r="F1428" s="11" t="str">
        <f aca="false">TRIM('수출입 실적(품목별)'!C1432)</f>
        <v>아연과 그 제품</v>
      </c>
      <c r="G1428" s="18" t="n">
        <f aca="false">IFERROR(VALUE(SUBSTITUTE(TRIM('수출입 실적(품목별)'!D1432),",","")),"")</f>
        <v>30182</v>
      </c>
      <c r="H1428" s="19" t="n">
        <f aca="false">IFERROR(VALUE(SUBSTITUTE(TRIM('수출입 실적(품목별)'!E1432),",","")),"")</f>
        <v>90205</v>
      </c>
      <c r="I1428" s="18" t="n">
        <f aca="false">IFERROR(VALUE(SUBSTITUTE(TRIM('수출입 실적(품목별)'!F1432),",","")),"")</f>
        <v>1938.7</v>
      </c>
      <c r="J1428" s="19" t="n">
        <f aca="false">IFERROR(VALUE(SUBSTITUTE(TRIM('수출입 실적(품목별)'!G1432),",","")),"")</f>
        <v>6761</v>
      </c>
      <c r="K1428" s="19" t="n">
        <f aca="false">IFERROR(VALUE(SUBSTITUTE(TRIM('수출입 실적(품목별)'!H1432),",","")),"")</f>
        <v>83444</v>
      </c>
    </row>
    <row r="1429" customFormat="false" ht="15" hidden="false" customHeight="true" outlineLevel="0" collapsed="false">
      <c r="A1429" s="11" t="str">
        <f aca="false">TRIM('수출입 실적(품목별)'!A1433)</f>
        <v>2025.03</v>
      </c>
      <c r="B1429" s="17" t="n">
        <f aca="false">IFERROR(VALUE(LEFT($A1429,4)),"")</f>
        <v>2025</v>
      </c>
      <c r="C1429" s="17" t="n">
        <f aca="false">IFERROR(VALUE(RIGHT($A1429,2)),"")</f>
        <v>3</v>
      </c>
      <c r="D1429" s="17" t="n">
        <f aca="false">IFERROR(ROUNDUP($C1429/3,0),"")</f>
        <v>1</v>
      </c>
      <c r="E1429" s="11" t="str">
        <f aca="false">TRIM('수출입 실적(품목별)'!B1433)</f>
        <v>80</v>
      </c>
      <c r="F1429" s="11" t="str">
        <f aca="false">TRIM('수출입 실적(품목별)'!C1433)</f>
        <v>주석과 그 제품</v>
      </c>
      <c r="G1429" s="18" t="n">
        <f aca="false">IFERROR(VALUE(SUBSTITUTE(TRIM('수출입 실적(품목별)'!D1433),",","")),"")</f>
        <v>160.8</v>
      </c>
      <c r="H1429" s="19" t="n">
        <f aca="false">IFERROR(VALUE(SUBSTITUTE(TRIM('수출입 실적(품목별)'!E1433),",","")),"")</f>
        <v>6913</v>
      </c>
      <c r="I1429" s="18" t="n">
        <f aca="false">IFERROR(VALUE(SUBSTITUTE(TRIM('수출입 실적(품목별)'!F1433),",","")),"")</f>
        <v>1197</v>
      </c>
      <c r="J1429" s="19" t="n">
        <f aca="false">IFERROR(VALUE(SUBSTITUTE(TRIM('수출입 실적(품목별)'!G1433),",","")),"")</f>
        <v>41343</v>
      </c>
      <c r="K1429" s="19" t="n">
        <f aca="false">IFERROR(VALUE(SUBSTITUTE(TRIM('수출입 실적(품목별)'!H1433),",","")),"")</f>
        <v>-34429</v>
      </c>
    </row>
    <row r="1430" customFormat="false" ht="15" hidden="false" customHeight="true" outlineLevel="0" collapsed="false">
      <c r="A1430" s="11" t="str">
        <f aca="false">TRIM('수출입 실적(품목별)'!A1434)</f>
        <v>2025.03</v>
      </c>
      <c r="B1430" s="17" t="n">
        <f aca="false">IFERROR(VALUE(LEFT($A1430,4)),"")</f>
        <v>2025</v>
      </c>
      <c r="C1430" s="17" t="n">
        <f aca="false">IFERROR(VALUE(RIGHT($A1430,2)),"")</f>
        <v>3</v>
      </c>
      <c r="D1430" s="17" t="n">
        <f aca="false">IFERROR(ROUNDUP($C1430/3,0),"")</f>
        <v>1</v>
      </c>
      <c r="E1430" s="11" t="str">
        <f aca="false">TRIM('수출입 실적(품목별)'!B1434)</f>
        <v>81</v>
      </c>
      <c r="F1430" s="11" t="str">
        <f aca="false">TRIM('수출입 실적(품목별)'!C1434)</f>
        <v>그 밖의 비금속(卑金屬), 서멧(cermet), 이들의 제품</v>
      </c>
      <c r="G1430" s="18" t="n">
        <f aca="false">IFERROR(VALUE(SUBSTITUTE(TRIM('수출입 실적(품목별)'!D1434),",","")),"")</f>
        <v>2664.3</v>
      </c>
      <c r="H1430" s="19" t="n">
        <f aca="false">IFERROR(VALUE(SUBSTITUTE(TRIM('수출입 실적(품목별)'!E1434),",","")),"")</f>
        <v>38917</v>
      </c>
      <c r="I1430" s="18" t="n">
        <f aca="false">IFERROR(VALUE(SUBSTITUTE(TRIM('수출입 실적(품목별)'!F1434),",","")),"")</f>
        <v>13420.9</v>
      </c>
      <c r="J1430" s="19" t="n">
        <f aca="false">IFERROR(VALUE(SUBSTITUTE(TRIM('수출입 실적(품목별)'!G1434),",","")),"")</f>
        <v>118237</v>
      </c>
      <c r="K1430" s="19" t="n">
        <f aca="false">IFERROR(VALUE(SUBSTITUTE(TRIM('수출입 실적(품목별)'!H1434),",","")),"")</f>
        <v>-79320</v>
      </c>
    </row>
    <row r="1431" customFormat="false" ht="15" hidden="false" customHeight="true" outlineLevel="0" collapsed="false">
      <c r="A1431" s="11" t="str">
        <f aca="false">TRIM('수출입 실적(품목별)'!A1435)</f>
        <v>2025.03</v>
      </c>
      <c r="B1431" s="17" t="n">
        <f aca="false">IFERROR(VALUE(LEFT($A1431,4)),"")</f>
        <v>2025</v>
      </c>
      <c r="C1431" s="17" t="n">
        <f aca="false">IFERROR(VALUE(RIGHT($A1431,2)),"")</f>
        <v>3</v>
      </c>
      <c r="D1431" s="17" t="n">
        <f aca="false">IFERROR(ROUNDUP($C1431/3,0),"")</f>
        <v>1</v>
      </c>
      <c r="E1431" s="11" t="str">
        <f aca="false">TRIM('수출입 실적(품목별)'!B1435)</f>
        <v>82</v>
      </c>
      <c r="F1431" s="11" t="str">
        <f aca="false">TRIM('수출입 실적(품목별)'!C1435)</f>
        <v>비금속(卑金屬)으로 만든 공구ㆍ도구ㆍ칼붙이ㆍ스푼ㆍ포크, 이들의 부분품</v>
      </c>
      <c r="G1431" s="18" t="n">
        <f aca="false">IFERROR(VALUE(SUBSTITUTE(TRIM('수출입 실적(품목별)'!D1435),",","")),"")</f>
        <v>6915.2</v>
      </c>
      <c r="H1431" s="19" t="n">
        <f aca="false">IFERROR(VALUE(SUBSTITUTE(TRIM('수출입 실적(품목별)'!E1435),",","")),"")</f>
        <v>149719</v>
      </c>
      <c r="I1431" s="18" t="n">
        <f aca="false">IFERROR(VALUE(SUBSTITUTE(TRIM('수출입 실적(품목별)'!F1435),",","")),"")</f>
        <v>4367.2</v>
      </c>
      <c r="J1431" s="19" t="n">
        <f aca="false">IFERROR(VALUE(SUBSTITUTE(TRIM('수출입 실적(품목별)'!G1435),",","")),"")</f>
        <v>83544</v>
      </c>
      <c r="K1431" s="19" t="n">
        <f aca="false">IFERROR(VALUE(SUBSTITUTE(TRIM('수출입 실적(품목별)'!H1435),",","")),"")</f>
        <v>66175</v>
      </c>
    </row>
    <row r="1432" customFormat="false" ht="15" hidden="false" customHeight="true" outlineLevel="0" collapsed="false">
      <c r="A1432" s="11" t="str">
        <f aca="false">TRIM('수출입 실적(품목별)'!A1436)</f>
        <v>2025.03</v>
      </c>
      <c r="B1432" s="17" t="n">
        <f aca="false">IFERROR(VALUE(LEFT($A1432,4)),"")</f>
        <v>2025</v>
      </c>
      <c r="C1432" s="17" t="n">
        <f aca="false">IFERROR(VALUE(RIGHT($A1432,2)),"")</f>
        <v>3</v>
      </c>
      <c r="D1432" s="17" t="n">
        <f aca="false">IFERROR(ROUNDUP($C1432/3,0),"")</f>
        <v>1</v>
      </c>
      <c r="E1432" s="11" t="str">
        <f aca="false">TRIM('수출입 실적(품목별)'!B1436)</f>
        <v>83</v>
      </c>
      <c r="F1432" s="11" t="str">
        <f aca="false">TRIM('수출입 실적(품목별)'!C1436)</f>
        <v>비금속(卑金屬)으로 만든 각종 제품</v>
      </c>
      <c r="G1432" s="18" t="n">
        <f aca="false">IFERROR(VALUE(SUBSTITUTE(TRIM('수출입 실적(품목별)'!D1436),",","")),"")</f>
        <v>24115.1</v>
      </c>
      <c r="H1432" s="19" t="n">
        <f aca="false">IFERROR(VALUE(SUBSTITUTE(TRIM('수출입 실적(품목별)'!E1436),",","")),"")</f>
        <v>141104</v>
      </c>
      <c r="I1432" s="18" t="n">
        <f aca="false">IFERROR(VALUE(SUBSTITUTE(TRIM('수출입 실적(품목별)'!F1436),",","")),"")</f>
        <v>10714.6</v>
      </c>
      <c r="J1432" s="19" t="n">
        <f aca="false">IFERROR(VALUE(SUBSTITUTE(TRIM('수출입 실적(품목별)'!G1436),",","")),"")</f>
        <v>77219</v>
      </c>
      <c r="K1432" s="19" t="n">
        <f aca="false">IFERROR(VALUE(SUBSTITUTE(TRIM('수출입 실적(품목별)'!H1436),",","")),"")</f>
        <v>63885</v>
      </c>
    </row>
    <row r="1433" customFormat="false" ht="15" hidden="false" customHeight="true" outlineLevel="0" collapsed="false">
      <c r="A1433" s="11" t="str">
        <f aca="false">TRIM('수출입 실적(품목별)'!A1437)</f>
        <v>2025.03</v>
      </c>
      <c r="B1433" s="17" t="n">
        <f aca="false">IFERROR(VALUE(LEFT($A1433,4)),"")</f>
        <v>2025</v>
      </c>
      <c r="C1433" s="17" t="n">
        <f aca="false">IFERROR(VALUE(RIGHT($A1433,2)),"")</f>
        <v>3</v>
      </c>
      <c r="D1433" s="17" t="n">
        <f aca="false">IFERROR(ROUNDUP($C1433/3,0),"")</f>
        <v>1</v>
      </c>
      <c r="E1433" s="11" t="str">
        <f aca="false">TRIM('수출입 실적(품목별)'!B1437)</f>
        <v>84</v>
      </c>
      <c r="F1433" s="11" t="str">
        <f aca="false">TRIM('수출입 실적(품목별)'!C1437)</f>
        <v>원자로ㆍ보일러ㆍ기계류와 이들의 부분품</v>
      </c>
      <c r="G1433" s="18" t="n">
        <f aca="false">IFERROR(VALUE(SUBSTITUTE(TRIM('수출입 실적(품목별)'!D1437),",","")),"")</f>
        <v>383114.6</v>
      </c>
      <c r="H1433" s="19" t="n">
        <f aca="false">IFERROR(VALUE(SUBSTITUTE(TRIM('수출입 실적(품목별)'!E1437),",","")),"")</f>
        <v>7421429</v>
      </c>
      <c r="I1433" s="18" t="n">
        <f aca="false">IFERROR(VALUE(SUBSTITUTE(TRIM('수출입 실적(품목별)'!F1437),",","")),"")</f>
        <v>205969.3</v>
      </c>
      <c r="J1433" s="19" t="n">
        <f aca="false">IFERROR(VALUE(SUBSTITUTE(TRIM('수출입 실적(품목별)'!G1437),",","")),"")</f>
        <v>6938725</v>
      </c>
      <c r="K1433" s="19" t="n">
        <f aca="false">IFERROR(VALUE(SUBSTITUTE(TRIM('수출입 실적(품목별)'!H1437),",","")),"")</f>
        <v>482704</v>
      </c>
    </row>
    <row r="1434" customFormat="false" ht="15" hidden="false" customHeight="true" outlineLevel="0" collapsed="false">
      <c r="A1434" s="11" t="str">
        <f aca="false">TRIM('수출입 실적(품목별)'!A1438)</f>
        <v>2025.03</v>
      </c>
      <c r="B1434" s="17" t="n">
        <f aca="false">IFERROR(VALUE(LEFT($A1434,4)),"")</f>
        <v>2025</v>
      </c>
      <c r="C1434" s="17" t="n">
        <f aca="false">IFERROR(VALUE(RIGHT($A1434,2)),"")</f>
        <v>3</v>
      </c>
      <c r="D1434" s="17" t="n">
        <f aca="false">IFERROR(ROUNDUP($C1434/3,0),"")</f>
        <v>1</v>
      </c>
      <c r="E1434" s="11" t="str">
        <f aca="false">TRIM('수출입 실적(품목별)'!B1438)</f>
        <v>85</v>
      </c>
      <c r="F1434" s="11" t="str">
        <f aca="false">TRIM('수출입 실적(품목별)'!C1438)</f>
        <v>전기기기와 그 부분품, 녹음기ㆍ음성 재생기ㆍ텔레비전의 영상과 음성의 기록기ㆍ재생기와 이들의 부분품ㆍ부속품</v>
      </c>
      <c r="G1434" s="18" t="n">
        <f aca="false">IFERROR(VALUE(SUBSTITUTE(TRIM('수출입 실적(품목별)'!D1438),",","")),"")</f>
        <v>233184.8</v>
      </c>
      <c r="H1434" s="19" t="n">
        <f aca="false">IFERROR(VALUE(SUBSTITUTE(TRIM('수출입 실적(품목별)'!E1438),",","")),"")</f>
        <v>18113797</v>
      </c>
      <c r="I1434" s="18" t="n">
        <f aca="false">IFERROR(VALUE(SUBSTITUTE(TRIM('수출입 실적(품목별)'!F1438),",","")),"")</f>
        <v>208495.1</v>
      </c>
      <c r="J1434" s="19" t="n">
        <f aca="false">IFERROR(VALUE(SUBSTITUTE(TRIM('수출입 실적(품목별)'!G1438),",","")),"")</f>
        <v>10626681</v>
      </c>
      <c r="K1434" s="19" t="n">
        <f aca="false">IFERROR(VALUE(SUBSTITUTE(TRIM('수출입 실적(품목별)'!H1438),",","")),"")</f>
        <v>7487116</v>
      </c>
    </row>
    <row r="1435" customFormat="false" ht="15" hidden="false" customHeight="true" outlineLevel="0" collapsed="false">
      <c r="A1435" s="11" t="str">
        <f aca="false">TRIM('수출입 실적(품목별)'!A1439)</f>
        <v>2025.03</v>
      </c>
      <c r="B1435" s="17" t="n">
        <f aca="false">IFERROR(VALUE(LEFT($A1435,4)),"")</f>
        <v>2025</v>
      </c>
      <c r="C1435" s="17" t="n">
        <f aca="false">IFERROR(VALUE(RIGHT($A1435,2)),"")</f>
        <v>3</v>
      </c>
      <c r="D1435" s="17" t="n">
        <f aca="false">IFERROR(ROUNDUP($C1435/3,0),"")</f>
        <v>1</v>
      </c>
      <c r="E1435" s="11" t="str">
        <f aca="false">TRIM('수출입 실적(품목별)'!B1439)</f>
        <v>86</v>
      </c>
      <c r="F1435" s="11" t="str">
        <f aca="false">TRIM('수출입 실적(품목별)'!C1439)</f>
        <v>철도용이나 궤도용 기관차ㆍ차량과 이들의 부분품, 철도용이나 궤도용 장비품과 그 부분품, 기계식(전기기계식을 포함한다) 각종 교통신호용 기기</v>
      </c>
      <c r="G1435" s="18" t="n">
        <f aca="false">IFERROR(VALUE(SUBSTITUTE(TRIM('수출입 실적(품목별)'!D1439),",","")),"")</f>
        <v>11117.5</v>
      </c>
      <c r="H1435" s="19" t="n">
        <f aca="false">IFERROR(VALUE(SUBSTITUTE(TRIM('수출입 실적(품목별)'!E1439),",","")),"")</f>
        <v>23944</v>
      </c>
      <c r="I1435" s="18" t="n">
        <f aca="false">IFERROR(VALUE(SUBSTITUTE(TRIM('수출입 실적(품목별)'!F1439),",","")),"")</f>
        <v>11049.8</v>
      </c>
      <c r="J1435" s="19" t="n">
        <f aca="false">IFERROR(VALUE(SUBSTITUTE(TRIM('수출입 실적(품목별)'!G1439),",","")),"")</f>
        <v>41370</v>
      </c>
      <c r="K1435" s="19" t="n">
        <f aca="false">IFERROR(VALUE(SUBSTITUTE(TRIM('수출입 실적(품목별)'!H1439),",","")),"")</f>
        <v>-17426</v>
      </c>
    </row>
    <row r="1436" customFormat="false" ht="15" hidden="false" customHeight="true" outlineLevel="0" collapsed="false">
      <c r="A1436" s="11" t="str">
        <f aca="false">TRIM('수출입 실적(품목별)'!A1440)</f>
        <v>2025.03</v>
      </c>
      <c r="B1436" s="17" t="n">
        <f aca="false">IFERROR(VALUE(LEFT($A1436,4)),"")</f>
        <v>2025</v>
      </c>
      <c r="C1436" s="17" t="n">
        <f aca="false">IFERROR(VALUE(RIGHT($A1436,2)),"")</f>
        <v>3</v>
      </c>
      <c r="D1436" s="17" t="n">
        <f aca="false">IFERROR(ROUNDUP($C1436/3,0),"")</f>
        <v>1</v>
      </c>
      <c r="E1436" s="11" t="str">
        <f aca="false">TRIM('수출입 실적(품목별)'!B1440)</f>
        <v>87</v>
      </c>
      <c r="F1436" s="11" t="str">
        <f aca="false">TRIM('수출입 실적(품목별)'!C1440)</f>
        <v>철도용이나 궤도용 외의 차량과 그 부분품ㆍ부속품</v>
      </c>
      <c r="G1436" s="18" t="n">
        <f aca="false">IFERROR(VALUE(SUBSTITUTE(TRIM('수출입 실적(품목별)'!D1440),",","")),"")</f>
        <v>749097.3</v>
      </c>
      <c r="H1436" s="19" t="n">
        <f aca="false">IFERROR(VALUE(SUBSTITUTE(TRIM('수출입 실적(품목별)'!E1440),",","")),"")</f>
        <v>8087252</v>
      </c>
      <c r="I1436" s="18" t="n">
        <f aca="false">IFERROR(VALUE(SUBSTITUTE(TRIM('수출입 실적(품목별)'!F1440),",","")),"")</f>
        <v>107552.2</v>
      </c>
      <c r="J1436" s="19" t="n">
        <f aca="false">IFERROR(VALUE(SUBSTITUTE(TRIM('수출입 실적(품목별)'!G1440),",","")),"")</f>
        <v>1713675</v>
      </c>
      <c r="K1436" s="19" t="n">
        <f aca="false">IFERROR(VALUE(SUBSTITUTE(TRIM('수출입 실적(품목별)'!H1440),",","")),"")</f>
        <v>6373577</v>
      </c>
    </row>
    <row r="1437" customFormat="false" ht="15" hidden="false" customHeight="true" outlineLevel="0" collapsed="false">
      <c r="A1437" s="11" t="str">
        <f aca="false">TRIM('수출입 실적(품목별)'!A1441)</f>
        <v>2025.03</v>
      </c>
      <c r="B1437" s="17" t="n">
        <f aca="false">IFERROR(VALUE(LEFT($A1437,4)),"")</f>
        <v>2025</v>
      </c>
      <c r="C1437" s="17" t="n">
        <f aca="false">IFERROR(VALUE(RIGHT($A1437,2)),"")</f>
        <v>3</v>
      </c>
      <c r="D1437" s="17" t="n">
        <f aca="false">IFERROR(ROUNDUP($C1437/3,0),"")</f>
        <v>1</v>
      </c>
      <c r="E1437" s="11" t="str">
        <f aca="false">TRIM('수출입 실적(품목별)'!B1441)</f>
        <v>88</v>
      </c>
      <c r="F1437" s="11" t="str">
        <f aca="false">TRIM('수출입 실적(품목별)'!C1441)</f>
        <v>항공기와 우주선, 이들의 부분품</v>
      </c>
      <c r="G1437" s="18" t="n">
        <f aca="false">IFERROR(VALUE(SUBSTITUTE(TRIM('수출입 실적(품목별)'!D1441),",","")),"")</f>
        <v>330.1</v>
      </c>
      <c r="H1437" s="19" t="n">
        <f aca="false">IFERROR(VALUE(SUBSTITUTE(TRIM('수출입 실적(품목별)'!E1441),",","")),"")</f>
        <v>215441</v>
      </c>
      <c r="I1437" s="18" t="n">
        <f aca="false">IFERROR(VALUE(SUBSTITUTE(TRIM('수출입 실적(품목별)'!F1441),",","")),"")</f>
        <v>224.8</v>
      </c>
      <c r="J1437" s="19" t="n">
        <f aca="false">IFERROR(VALUE(SUBSTITUTE(TRIM('수출입 실적(품목별)'!G1441),",","")),"")</f>
        <v>138998</v>
      </c>
      <c r="K1437" s="19" t="n">
        <f aca="false">IFERROR(VALUE(SUBSTITUTE(TRIM('수출입 실적(품목별)'!H1441),",","")),"")</f>
        <v>76443</v>
      </c>
    </row>
    <row r="1438" customFormat="false" ht="15" hidden="false" customHeight="true" outlineLevel="0" collapsed="false">
      <c r="A1438" s="11" t="str">
        <f aca="false">TRIM('수출입 실적(품목별)'!A1442)</f>
        <v>2025.03</v>
      </c>
      <c r="B1438" s="17" t="n">
        <f aca="false">IFERROR(VALUE(LEFT($A1438,4)),"")</f>
        <v>2025</v>
      </c>
      <c r="C1438" s="17" t="n">
        <f aca="false">IFERROR(VALUE(RIGHT($A1438,2)),"")</f>
        <v>3</v>
      </c>
      <c r="D1438" s="17" t="n">
        <f aca="false">IFERROR(ROUNDUP($C1438/3,0),"")</f>
        <v>1</v>
      </c>
      <c r="E1438" s="11" t="str">
        <f aca="false">TRIM('수출입 실적(품목별)'!B1442)</f>
        <v>89</v>
      </c>
      <c r="F1438" s="11" t="str">
        <f aca="false">TRIM('수출입 실적(품목별)'!C1442)</f>
        <v>선박과 수상 구조물</v>
      </c>
      <c r="G1438" s="18" t="n">
        <f aca="false">IFERROR(VALUE(SUBSTITUTE(TRIM('수출입 실적(품목별)'!D1442),",","")),"")</f>
        <v>1149632</v>
      </c>
      <c r="H1438" s="19" t="n">
        <f aca="false">IFERROR(VALUE(SUBSTITUTE(TRIM('수출입 실적(품목별)'!E1442),",","")),"")</f>
        <v>3020110</v>
      </c>
      <c r="I1438" s="18" t="n">
        <f aca="false">IFERROR(VALUE(SUBSTITUTE(TRIM('수출입 실적(품목별)'!F1442),",","")),"")</f>
        <v>463773.5</v>
      </c>
      <c r="J1438" s="19" t="n">
        <f aca="false">IFERROR(VALUE(SUBSTITUTE(TRIM('수출입 실적(품목별)'!G1442),",","")),"")</f>
        <v>382377</v>
      </c>
      <c r="K1438" s="19" t="n">
        <f aca="false">IFERROR(VALUE(SUBSTITUTE(TRIM('수출입 실적(품목별)'!H1442),",","")),"")</f>
        <v>2637734</v>
      </c>
    </row>
    <row r="1439" customFormat="false" ht="15" hidden="false" customHeight="true" outlineLevel="0" collapsed="false">
      <c r="A1439" s="11" t="str">
        <f aca="false">TRIM('수출입 실적(품목별)'!A1443)</f>
        <v>2025.03</v>
      </c>
      <c r="B1439" s="17" t="n">
        <f aca="false">IFERROR(VALUE(LEFT($A1439,4)),"")</f>
        <v>2025</v>
      </c>
      <c r="C1439" s="17" t="n">
        <f aca="false">IFERROR(VALUE(RIGHT($A1439,2)),"")</f>
        <v>3</v>
      </c>
      <c r="D1439" s="17" t="n">
        <f aca="false">IFERROR(ROUNDUP($C1439/3,0),"")</f>
        <v>1</v>
      </c>
      <c r="E1439" s="11" t="str">
        <f aca="false">TRIM('수출입 실적(품목별)'!B1443)</f>
        <v>90</v>
      </c>
      <c r="F1439" s="11" t="str">
        <f aca="false">TRIM('수출입 실적(품목별)'!C1443)</f>
        <v>광학기기ㆍ사진용 기기ㆍ영화용 기기ㆍ측정기기ㆍ검사기기ㆍ정밀기기ㆍ의료용 기기, 이들의 부분품과 부속품</v>
      </c>
      <c r="G1439" s="18" t="n">
        <f aca="false">IFERROR(VALUE(SUBSTITUTE(TRIM('수출입 실적(품목별)'!D1443),",","")),"")</f>
        <v>15616.6</v>
      </c>
      <c r="H1439" s="19" t="n">
        <f aca="false">IFERROR(VALUE(SUBSTITUTE(TRIM('수출입 실적(품목별)'!E1443),",","")),"")</f>
        <v>1370949</v>
      </c>
      <c r="I1439" s="18" t="n">
        <f aca="false">IFERROR(VALUE(SUBSTITUTE(TRIM('수출입 실적(품목별)'!F1443),",","")),"")</f>
        <v>16899.5</v>
      </c>
      <c r="J1439" s="19" t="n">
        <f aca="false">IFERROR(VALUE(SUBSTITUTE(TRIM('수출입 실적(품목별)'!G1443),",","")),"")</f>
        <v>2119264</v>
      </c>
      <c r="K1439" s="19" t="n">
        <f aca="false">IFERROR(VALUE(SUBSTITUTE(TRIM('수출입 실적(품목별)'!H1443),",","")),"")</f>
        <v>-748315</v>
      </c>
    </row>
    <row r="1440" customFormat="false" ht="15" hidden="false" customHeight="true" outlineLevel="0" collapsed="false">
      <c r="A1440" s="11" t="str">
        <f aca="false">TRIM('수출입 실적(품목별)'!A1444)</f>
        <v>2025.03</v>
      </c>
      <c r="B1440" s="17" t="n">
        <f aca="false">IFERROR(VALUE(LEFT($A1440,4)),"")</f>
        <v>2025</v>
      </c>
      <c r="C1440" s="17" t="n">
        <f aca="false">IFERROR(VALUE(RIGHT($A1440,2)),"")</f>
        <v>3</v>
      </c>
      <c r="D1440" s="17" t="n">
        <f aca="false">IFERROR(ROUNDUP($C1440/3,0),"")</f>
        <v>1</v>
      </c>
      <c r="E1440" s="11" t="str">
        <f aca="false">TRIM('수출입 실적(품목별)'!B1444)</f>
        <v>91</v>
      </c>
      <c r="F1440" s="11" t="str">
        <f aca="false">TRIM('수출입 실적(품목별)'!C1444)</f>
        <v>시계와 그 부분품</v>
      </c>
      <c r="G1440" s="18" t="n">
        <f aca="false">IFERROR(VALUE(SUBSTITUTE(TRIM('수출입 실적(품목별)'!D1444),",","")),"")</f>
        <v>10.9</v>
      </c>
      <c r="H1440" s="19" t="n">
        <f aca="false">IFERROR(VALUE(SUBSTITUTE(TRIM('수출입 실적(품목별)'!E1444),",","")),"")</f>
        <v>21558</v>
      </c>
      <c r="I1440" s="18" t="n">
        <f aca="false">IFERROR(VALUE(SUBSTITUTE(TRIM('수출입 실적(품목별)'!F1444),",","")),"")</f>
        <v>315.2</v>
      </c>
      <c r="J1440" s="19" t="n">
        <f aca="false">IFERROR(VALUE(SUBSTITUTE(TRIM('수출입 실적(품목별)'!G1444),",","")),"")</f>
        <v>90786</v>
      </c>
      <c r="K1440" s="19" t="n">
        <f aca="false">IFERROR(VALUE(SUBSTITUTE(TRIM('수출입 실적(품목별)'!H1444),",","")),"")</f>
        <v>-69228</v>
      </c>
    </row>
    <row r="1441" customFormat="false" ht="15" hidden="false" customHeight="true" outlineLevel="0" collapsed="false">
      <c r="A1441" s="11" t="str">
        <f aca="false">TRIM('수출입 실적(품목별)'!A1445)</f>
        <v>2025.03</v>
      </c>
      <c r="B1441" s="17" t="n">
        <f aca="false">IFERROR(VALUE(LEFT($A1441,4)),"")</f>
        <v>2025</v>
      </c>
      <c r="C1441" s="17" t="n">
        <f aca="false">IFERROR(VALUE(RIGHT($A1441,2)),"")</f>
        <v>3</v>
      </c>
      <c r="D1441" s="17" t="n">
        <f aca="false">IFERROR(ROUNDUP($C1441/3,0),"")</f>
        <v>1</v>
      </c>
      <c r="E1441" s="11" t="str">
        <f aca="false">TRIM('수출입 실적(품목별)'!B1445)</f>
        <v>92</v>
      </c>
      <c r="F1441" s="11" t="str">
        <f aca="false">TRIM('수출입 실적(품목별)'!C1445)</f>
        <v>악기와 그 부분품과 부속품</v>
      </c>
      <c r="G1441" s="18" t="n">
        <f aca="false">IFERROR(VALUE(SUBSTITUTE(TRIM('수출입 실적(품목별)'!D1445),",","")),"")</f>
        <v>456.2</v>
      </c>
      <c r="H1441" s="19" t="n">
        <f aca="false">IFERROR(VALUE(SUBSTITUTE(TRIM('수출입 실적(품목별)'!E1445),",","")),"")</f>
        <v>9381</v>
      </c>
      <c r="I1441" s="18" t="n">
        <f aca="false">IFERROR(VALUE(SUBSTITUTE(TRIM('수출입 실적(품목별)'!F1445),",","")),"")</f>
        <v>705.9</v>
      </c>
      <c r="J1441" s="19" t="n">
        <f aca="false">IFERROR(VALUE(SUBSTITUTE(TRIM('수출입 실적(품목별)'!G1445),",","")),"")</f>
        <v>16670</v>
      </c>
      <c r="K1441" s="19" t="n">
        <f aca="false">IFERROR(VALUE(SUBSTITUTE(TRIM('수출입 실적(품목별)'!H1445),",","")),"")</f>
        <v>-7289</v>
      </c>
    </row>
    <row r="1442" customFormat="false" ht="15" hidden="false" customHeight="true" outlineLevel="0" collapsed="false">
      <c r="A1442" s="11" t="str">
        <f aca="false">TRIM('수출입 실적(품목별)'!A1446)</f>
        <v>2025.03</v>
      </c>
      <c r="B1442" s="17" t="n">
        <f aca="false">IFERROR(VALUE(LEFT($A1442,4)),"")</f>
        <v>2025</v>
      </c>
      <c r="C1442" s="17" t="n">
        <f aca="false">IFERROR(VALUE(RIGHT($A1442,2)),"")</f>
        <v>3</v>
      </c>
      <c r="D1442" s="17" t="n">
        <f aca="false">IFERROR(ROUNDUP($C1442/3,0),"")</f>
        <v>1</v>
      </c>
      <c r="E1442" s="11" t="str">
        <f aca="false">TRIM('수출입 실적(품목별)'!B1446)</f>
        <v>93</v>
      </c>
      <c r="F1442" s="11" t="str">
        <f aca="false">TRIM('수출입 실적(품목별)'!C1446)</f>
        <v>무기ㆍ총포탄과 이들의 부분품과 부속품</v>
      </c>
      <c r="G1442" s="18" t="n">
        <f aca="false">IFERROR(VALUE(SUBSTITUTE(TRIM('수출입 실적(품목별)'!D1446),",","")),"")</f>
        <v>1325.4</v>
      </c>
      <c r="H1442" s="19" t="n">
        <f aca="false">IFERROR(VALUE(SUBSTITUTE(TRIM('수출입 실적(품목별)'!E1446),",","")),"")</f>
        <v>140060</v>
      </c>
      <c r="I1442" s="18" t="n">
        <f aca="false">IFERROR(VALUE(SUBSTITUTE(TRIM('수출입 실적(품목별)'!F1446),",","")),"")</f>
        <v>56.4</v>
      </c>
      <c r="J1442" s="19" t="n">
        <f aca="false">IFERROR(VALUE(SUBSTITUTE(TRIM('수출입 실적(품목별)'!G1446),",","")),"")</f>
        <v>17344</v>
      </c>
      <c r="K1442" s="19" t="n">
        <f aca="false">IFERROR(VALUE(SUBSTITUTE(TRIM('수출입 실적(품목별)'!H1446),",","")),"")</f>
        <v>122716</v>
      </c>
    </row>
    <row r="1443" customFormat="false" ht="15" hidden="false" customHeight="true" outlineLevel="0" collapsed="false">
      <c r="A1443" s="11" t="str">
        <f aca="false">TRIM('수출입 실적(품목별)'!A1447)</f>
        <v>2025.03</v>
      </c>
      <c r="B1443" s="17" t="n">
        <f aca="false">IFERROR(VALUE(LEFT($A1443,4)),"")</f>
        <v>2025</v>
      </c>
      <c r="C1443" s="17" t="n">
        <f aca="false">IFERROR(VALUE(RIGHT($A1443,2)),"")</f>
        <v>3</v>
      </c>
      <c r="D1443" s="17" t="n">
        <f aca="false">IFERROR(ROUNDUP($C1443/3,0),"")</f>
        <v>1</v>
      </c>
      <c r="E1443" s="11" t="str">
        <f aca="false">TRIM('수출입 실적(품목별)'!B1447)</f>
        <v>94</v>
      </c>
      <c r="F1443" s="11" t="str">
        <f aca="false">TRIM('수출입 실적(품목별)'!C1447)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443" s="18" t="n">
        <f aca="false">IFERROR(VALUE(SUBSTITUTE(TRIM('수출입 실적(품목별)'!D1447),",","")),"")</f>
        <v>16570.9</v>
      </c>
      <c r="H1443" s="19" t="n">
        <f aca="false">IFERROR(VALUE(SUBSTITUTE(TRIM('수출입 실적(품목별)'!E1447),",","")),"")</f>
        <v>116963</v>
      </c>
      <c r="I1443" s="18" t="n">
        <f aca="false">IFERROR(VALUE(SUBSTITUTE(TRIM('수출입 실적(품목별)'!F1447),",","")),"")</f>
        <v>74837.3</v>
      </c>
      <c r="J1443" s="19" t="n">
        <f aca="false">IFERROR(VALUE(SUBSTITUTE(TRIM('수출입 실적(품목별)'!G1447),",","")),"")</f>
        <v>312813</v>
      </c>
      <c r="K1443" s="19" t="n">
        <f aca="false">IFERROR(VALUE(SUBSTITUTE(TRIM('수출입 실적(품목별)'!H1447),",","")),"")</f>
        <v>-195850</v>
      </c>
    </row>
    <row r="1444" customFormat="false" ht="15" hidden="false" customHeight="true" outlineLevel="0" collapsed="false">
      <c r="A1444" s="11" t="str">
        <f aca="false">TRIM('수출입 실적(품목별)'!A1448)</f>
        <v>2025.03</v>
      </c>
      <c r="B1444" s="17" t="n">
        <f aca="false">IFERROR(VALUE(LEFT($A1444,4)),"")</f>
        <v>2025</v>
      </c>
      <c r="C1444" s="17" t="n">
        <f aca="false">IFERROR(VALUE(RIGHT($A1444,2)),"")</f>
        <v>3</v>
      </c>
      <c r="D1444" s="17" t="n">
        <f aca="false">IFERROR(ROUNDUP($C1444/3,0),"")</f>
        <v>1</v>
      </c>
      <c r="E1444" s="11" t="str">
        <f aca="false">TRIM('수출입 실적(품목별)'!B1448)</f>
        <v>95</v>
      </c>
      <c r="F1444" s="11" t="str">
        <f aca="false">TRIM('수출입 실적(품목별)'!C1448)</f>
        <v>완구ㆍ게임용구ㆍ운동용구와 이들의 부분품과 부속품</v>
      </c>
      <c r="G1444" s="18" t="n">
        <f aca="false">IFERROR(VALUE(SUBSTITUTE(TRIM('수출입 실적(품목별)'!D1448),",","")),"")</f>
        <v>2049.5</v>
      </c>
      <c r="H1444" s="19" t="n">
        <f aca="false">IFERROR(VALUE(SUBSTITUTE(TRIM('수출입 실적(품목별)'!E1448),",","")),"")</f>
        <v>46792</v>
      </c>
      <c r="I1444" s="18" t="n">
        <f aca="false">IFERROR(VALUE(SUBSTITUTE(TRIM('수출입 실적(품목별)'!F1448),",","")),"")</f>
        <v>15580.7</v>
      </c>
      <c r="J1444" s="19" t="n">
        <f aca="false">IFERROR(VALUE(SUBSTITUTE(TRIM('수출입 실적(품목별)'!G1448),",","")),"")</f>
        <v>210117</v>
      </c>
      <c r="K1444" s="19" t="n">
        <f aca="false">IFERROR(VALUE(SUBSTITUTE(TRIM('수출입 실적(품목별)'!H1448),",","")),"")</f>
        <v>-163325</v>
      </c>
    </row>
    <row r="1445" customFormat="false" ht="15" hidden="false" customHeight="true" outlineLevel="0" collapsed="false">
      <c r="A1445" s="11" t="str">
        <f aca="false">TRIM('수출입 실적(품목별)'!A1449)</f>
        <v>2025.03</v>
      </c>
      <c r="B1445" s="17" t="n">
        <f aca="false">IFERROR(VALUE(LEFT($A1445,4)),"")</f>
        <v>2025</v>
      </c>
      <c r="C1445" s="17" t="n">
        <f aca="false">IFERROR(VALUE(RIGHT($A1445,2)),"")</f>
        <v>3</v>
      </c>
      <c r="D1445" s="17" t="n">
        <f aca="false">IFERROR(ROUNDUP($C1445/3,0),"")</f>
        <v>1</v>
      </c>
      <c r="E1445" s="11" t="str">
        <f aca="false">TRIM('수출입 실적(품목별)'!B1449)</f>
        <v>96</v>
      </c>
      <c r="F1445" s="11" t="str">
        <f aca="false">TRIM('수출입 실적(품목별)'!C1449)</f>
        <v>잡품</v>
      </c>
      <c r="G1445" s="18" t="n">
        <f aca="false">IFERROR(VALUE(SUBSTITUTE(TRIM('수출입 실적(품목별)'!D1449),",","")),"")</f>
        <v>2124.4</v>
      </c>
      <c r="H1445" s="19" t="n">
        <f aca="false">IFERROR(VALUE(SUBSTITUTE(TRIM('수출입 실적(품목별)'!E1449),",","")),"")</f>
        <v>37900</v>
      </c>
      <c r="I1445" s="18" t="n">
        <f aca="false">IFERROR(VALUE(SUBSTITUTE(TRIM('수출입 실적(품목별)'!F1449),",","")),"")</f>
        <v>10454.1</v>
      </c>
      <c r="J1445" s="19" t="n">
        <f aca="false">IFERROR(VALUE(SUBSTITUTE(TRIM('수출입 실적(품목별)'!G1449),",","")),"")</f>
        <v>92614</v>
      </c>
      <c r="K1445" s="19" t="n">
        <f aca="false">IFERROR(VALUE(SUBSTITUTE(TRIM('수출입 실적(품목별)'!H1449),",","")),"")</f>
        <v>-54714</v>
      </c>
    </row>
    <row r="1446" customFormat="false" ht="15" hidden="false" customHeight="true" outlineLevel="0" collapsed="false">
      <c r="A1446" s="11" t="str">
        <f aca="false">TRIM('수출입 실적(품목별)'!A1450)</f>
        <v>2025.03</v>
      </c>
      <c r="B1446" s="17" t="n">
        <f aca="false">IFERROR(VALUE(LEFT($A1446,4)),"")</f>
        <v>2025</v>
      </c>
      <c r="C1446" s="17" t="n">
        <f aca="false">IFERROR(VALUE(RIGHT($A1446,2)),"")</f>
        <v>3</v>
      </c>
      <c r="D1446" s="17" t="n">
        <f aca="false">IFERROR(ROUNDUP($C1446/3,0),"")</f>
        <v>1</v>
      </c>
      <c r="E1446" s="11" t="str">
        <f aca="false">TRIM('수출입 실적(품목별)'!B1450)</f>
        <v>97</v>
      </c>
      <c r="F1446" s="11" t="str">
        <f aca="false">TRIM('수출입 실적(품목별)'!C1450)</f>
        <v>예술품ㆍ수집품ㆍ골동품</v>
      </c>
      <c r="G1446" s="18" t="n">
        <f aca="false">IFERROR(VALUE(SUBSTITUTE(TRIM('수출입 실적(품목별)'!D1450),",","")),"")</f>
        <v>20.5</v>
      </c>
      <c r="H1446" s="19" t="n">
        <f aca="false">IFERROR(VALUE(SUBSTITUTE(TRIM('수출입 실적(품목별)'!E1450),",","")),"")</f>
        <v>17557</v>
      </c>
      <c r="I1446" s="18" t="n">
        <f aca="false">IFERROR(VALUE(SUBSTITUTE(TRIM('수출입 실적(품목별)'!F1450),",","")),"")</f>
        <v>48.2</v>
      </c>
      <c r="J1446" s="19" t="n">
        <f aca="false">IFERROR(VALUE(SUBSTITUTE(TRIM('수출입 실적(품목별)'!G1450),",","")),"")</f>
        <v>41298</v>
      </c>
      <c r="K1446" s="19" t="n">
        <f aca="false">IFERROR(VALUE(SUBSTITUTE(TRIM('수출입 실적(품목별)'!H1450),",","")),"")</f>
        <v>-23741</v>
      </c>
    </row>
    <row r="1447" customFormat="false" ht="15" hidden="false" customHeight="true" outlineLevel="0" collapsed="false">
      <c r="A1447" s="11" t="str">
        <f aca="false">TRIM('수출입 실적(품목별)'!A1451)</f>
        <v>2025.03</v>
      </c>
      <c r="B1447" s="17" t="n">
        <f aca="false">IFERROR(VALUE(LEFT($A1447,4)),"")</f>
        <v>2025</v>
      </c>
      <c r="C1447" s="17" t="n">
        <f aca="false">IFERROR(VALUE(RIGHT($A1447,2)),"")</f>
        <v>3</v>
      </c>
      <c r="D1447" s="17" t="n">
        <f aca="false">IFERROR(ROUNDUP($C1447/3,0),"")</f>
        <v>1</v>
      </c>
      <c r="E1447" s="11" t="str">
        <f aca="false">TRIM('수출입 실적(품목별)'!B1451)</f>
        <v>99</v>
      </c>
      <c r="F1447" s="11" t="str">
        <f aca="false">TRIM('수출입 실적(품목별)'!C1451)</f>
        <v>일시적 입법 ; 설치된 간이 수정에 따른 입법을 트레이드한다 ; 추가적 수입제한농업인 것의 제 22 부에 따른 확립된 것 조정 행위, 수정된 것처럼</v>
      </c>
      <c r="G1447" s="18" t="n">
        <f aca="false">IFERROR(VALUE(SUBSTITUTE(TRIM('수출입 실적(품목별)'!D1451),",","")),"")</f>
        <v>0</v>
      </c>
      <c r="H1447" s="19" t="n">
        <f aca="false">IFERROR(VALUE(SUBSTITUTE(TRIM('수출입 실적(품목별)'!E1451),",","")),"")</f>
        <v>0</v>
      </c>
      <c r="I1447" s="18" t="n">
        <f aca="false">IFERROR(VALUE(SUBSTITUTE(TRIM('수출입 실적(품목별)'!F1451),",","")),"")</f>
        <v>0</v>
      </c>
      <c r="J1447" s="19" t="n">
        <f aca="false">IFERROR(VALUE(SUBSTITUTE(TRIM('수출입 실적(품목별)'!G1451),",","")),"")</f>
        <v>0</v>
      </c>
      <c r="K1447" s="19" t="n">
        <f aca="false">IFERROR(VALUE(SUBSTITUTE(TRIM('수출입 실적(품목별)'!H1451),",","")),"")</f>
        <v>0</v>
      </c>
    </row>
    <row r="1448" customFormat="false" ht="15" hidden="false" customHeight="true" outlineLevel="0" collapsed="false">
      <c r="A1448" s="11" t="str">
        <f aca="false">TRIM('수출입 실적(품목별)'!A1452)</f>
        <v>2025.04</v>
      </c>
      <c r="B1448" s="17" t="n">
        <f aca="false">IFERROR(VALUE(LEFT($A1448,4)),"")</f>
        <v>2025</v>
      </c>
      <c r="C1448" s="17" t="n">
        <f aca="false">IFERROR(VALUE(RIGHT($A1448,2)),"")</f>
        <v>4</v>
      </c>
      <c r="D1448" s="17" t="n">
        <f aca="false">IFERROR(ROUNDUP($C1448/3,0),"")</f>
        <v>2</v>
      </c>
      <c r="E1448" s="11" t="str">
        <f aca="false">TRIM('수출입 실적(품목별)'!B1452)</f>
        <v>01</v>
      </c>
      <c r="F1448" s="11" t="str">
        <f aca="false">TRIM('수출입 실적(품목별)'!C1452)</f>
        <v>살아 있는 동물</v>
      </c>
      <c r="G1448" s="18" t="n">
        <f aca="false">IFERROR(VALUE(SUBSTITUTE(TRIM('수출입 실적(품목별)'!D1452),",","")),"")</f>
        <v>21.2</v>
      </c>
      <c r="H1448" s="19" t="n">
        <f aca="false">IFERROR(VALUE(SUBSTITUTE(TRIM('수출입 실적(품목별)'!E1452),",","")),"")</f>
        <v>595</v>
      </c>
      <c r="I1448" s="18" t="n">
        <f aca="false">IFERROR(VALUE(SUBSTITUTE(TRIM('수출입 실적(품목별)'!F1452),",","")),"")</f>
        <v>74.6</v>
      </c>
      <c r="J1448" s="19" t="n">
        <f aca="false">IFERROR(VALUE(SUBSTITUTE(TRIM('수출입 실적(품목별)'!G1452),",","")),"")</f>
        <v>3434</v>
      </c>
      <c r="K1448" s="19" t="n">
        <f aca="false">IFERROR(VALUE(SUBSTITUTE(TRIM('수출입 실적(품목별)'!H1452),",","")),"")</f>
        <v>-2839</v>
      </c>
    </row>
    <row r="1449" customFormat="false" ht="15" hidden="false" customHeight="true" outlineLevel="0" collapsed="false">
      <c r="A1449" s="11" t="str">
        <f aca="false">TRIM('수출입 실적(품목별)'!A1453)</f>
        <v>2025.04</v>
      </c>
      <c r="B1449" s="17" t="n">
        <f aca="false">IFERROR(VALUE(LEFT($A1449,4)),"")</f>
        <v>2025</v>
      </c>
      <c r="C1449" s="17" t="n">
        <f aca="false">IFERROR(VALUE(RIGHT($A1449,2)),"")</f>
        <v>4</v>
      </c>
      <c r="D1449" s="17" t="n">
        <f aca="false">IFERROR(ROUNDUP($C1449/3,0),"")</f>
        <v>2</v>
      </c>
      <c r="E1449" s="11" t="str">
        <f aca="false">TRIM('수출입 실적(품목별)'!B1453)</f>
        <v>02</v>
      </c>
      <c r="F1449" s="11" t="str">
        <f aca="false">TRIM('수출입 실적(품목별)'!C1453)</f>
        <v>육과 식용 설육(屑肉)</v>
      </c>
      <c r="G1449" s="18" t="n">
        <f aca="false">IFERROR(VALUE(SUBSTITUTE(TRIM('수출입 실적(품목별)'!D1453),",","")),"")</f>
        <v>4607.2</v>
      </c>
      <c r="H1449" s="19" t="n">
        <f aca="false">IFERROR(VALUE(SUBSTITUTE(TRIM('수출입 실적(품목별)'!E1453),",","")),"")</f>
        <v>6196</v>
      </c>
      <c r="I1449" s="18" t="n">
        <f aca="false">IFERROR(VALUE(SUBSTITUTE(TRIM('수출입 실적(품목별)'!F1453),",","")),"")</f>
        <v>117127.3</v>
      </c>
      <c r="J1449" s="19" t="n">
        <f aca="false">IFERROR(VALUE(SUBSTITUTE(TRIM('수출입 실적(품목별)'!G1453),",","")),"")</f>
        <v>584291</v>
      </c>
      <c r="K1449" s="19" t="n">
        <f aca="false">IFERROR(VALUE(SUBSTITUTE(TRIM('수출입 실적(품목별)'!H1453),",","")),"")</f>
        <v>-578095</v>
      </c>
    </row>
    <row r="1450" customFormat="false" ht="15" hidden="false" customHeight="true" outlineLevel="0" collapsed="false">
      <c r="A1450" s="11" t="str">
        <f aca="false">TRIM('수출입 실적(품목별)'!A1454)</f>
        <v>2025.04</v>
      </c>
      <c r="B1450" s="17" t="n">
        <f aca="false">IFERROR(VALUE(LEFT($A1450,4)),"")</f>
        <v>2025</v>
      </c>
      <c r="C1450" s="17" t="n">
        <f aca="false">IFERROR(VALUE(RIGHT($A1450,2)),"")</f>
        <v>4</v>
      </c>
      <c r="D1450" s="17" t="n">
        <f aca="false">IFERROR(ROUNDUP($C1450/3,0),"")</f>
        <v>2</v>
      </c>
      <c r="E1450" s="11" t="str">
        <f aca="false">TRIM('수출입 실적(품목별)'!B1454)</f>
        <v>03</v>
      </c>
      <c r="F1450" s="11" t="str">
        <f aca="false">TRIM('수출입 실적(품목별)'!C1454)</f>
        <v>어류ㆍ갑각류ㆍ연체동물과 그 밖의 수생(水生) 무척추동물</v>
      </c>
      <c r="G1450" s="18" t="n">
        <f aca="false">IFERROR(VALUE(SUBSTITUTE(TRIM('수출입 실적(품목별)'!D1454),",","")),"")</f>
        <v>35315.1</v>
      </c>
      <c r="H1450" s="19" t="n">
        <f aca="false">IFERROR(VALUE(SUBSTITUTE(TRIM('수출입 실적(품목별)'!E1454),",","")),"")</f>
        <v>143669</v>
      </c>
      <c r="I1450" s="18" t="n">
        <f aca="false">IFERROR(VALUE(SUBSTITUTE(TRIM('수출입 실적(품목별)'!F1454),",","")),"")</f>
        <v>103060.3</v>
      </c>
      <c r="J1450" s="19" t="n">
        <f aca="false">IFERROR(VALUE(SUBSTITUTE(TRIM('수출입 실적(품목별)'!G1454),",","")),"")</f>
        <v>432939</v>
      </c>
      <c r="K1450" s="19" t="n">
        <f aca="false">IFERROR(VALUE(SUBSTITUTE(TRIM('수출입 실적(품목별)'!H1454),",","")),"")</f>
        <v>-289270</v>
      </c>
    </row>
    <row r="1451" customFormat="false" ht="15" hidden="false" customHeight="true" outlineLevel="0" collapsed="false">
      <c r="A1451" s="11" t="str">
        <f aca="false">TRIM('수출입 실적(품목별)'!A1455)</f>
        <v>2025.04</v>
      </c>
      <c r="B1451" s="17" t="n">
        <f aca="false">IFERROR(VALUE(LEFT($A1451,4)),"")</f>
        <v>2025</v>
      </c>
      <c r="C1451" s="17" t="n">
        <f aca="false">IFERROR(VALUE(RIGHT($A1451,2)),"")</f>
        <v>4</v>
      </c>
      <c r="D1451" s="17" t="n">
        <f aca="false">IFERROR(ROUNDUP($C1451/3,0),"")</f>
        <v>2</v>
      </c>
      <c r="E1451" s="11" t="str">
        <f aca="false">TRIM('수출입 실적(품목별)'!B1455)</f>
        <v>04</v>
      </c>
      <c r="F1451" s="11" t="str">
        <f aca="false">TRIM('수출입 실적(품목별)'!C1455)</f>
        <v>낙농품, 새의 알, 천연꿀, 다른 류로 분류되지 않은 식용인 동물성 생산품</v>
      </c>
      <c r="G1451" s="18" t="n">
        <f aca="false">IFERROR(VALUE(SUBSTITUTE(TRIM('수출입 실적(품목별)'!D1455),",","")),"")</f>
        <v>3102.5</v>
      </c>
      <c r="H1451" s="19" t="n">
        <f aca="false">IFERROR(VALUE(SUBSTITUTE(TRIM('수출입 실적(품목별)'!E1455),",","")),"")</f>
        <v>8234</v>
      </c>
      <c r="I1451" s="18" t="n">
        <f aca="false">IFERROR(VALUE(SUBSTITUTE(TRIM('수출입 실적(품목별)'!F1455),",","")),"")</f>
        <v>33653.5</v>
      </c>
      <c r="J1451" s="19" t="n">
        <f aca="false">IFERROR(VALUE(SUBSTITUTE(TRIM('수출입 실적(품목별)'!G1455),",","")),"")</f>
        <v>146884</v>
      </c>
      <c r="K1451" s="19" t="n">
        <f aca="false">IFERROR(VALUE(SUBSTITUTE(TRIM('수출입 실적(품목별)'!H1455),",","")),"")</f>
        <v>-138650</v>
      </c>
    </row>
    <row r="1452" customFormat="false" ht="15" hidden="false" customHeight="true" outlineLevel="0" collapsed="false">
      <c r="A1452" s="11" t="str">
        <f aca="false">TRIM('수출입 실적(품목별)'!A1456)</f>
        <v>2025.04</v>
      </c>
      <c r="B1452" s="17" t="n">
        <f aca="false">IFERROR(VALUE(LEFT($A1452,4)),"")</f>
        <v>2025</v>
      </c>
      <c r="C1452" s="17" t="n">
        <f aca="false">IFERROR(VALUE(RIGHT($A1452,2)),"")</f>
        <v>4</v>
      </c>
      <c r="D1452" s="17" t="n">
        <f aca="false">IFERROR(ROUNDUP($C1452/3,0),"")</f>
        <v>2</v>
      </c>
      <c r="E1452" s="11" t="str">
        <f aca="false">TRIM('수출입 실적(품목별)'!B1456)</f>
        <v>05</v>
      </c>
      <c r="F1452" s="11" t="str">
        <f aca="false">TRIM('수출입 실적(품목별)'!C1456)</f>
        <v>다른 류로 분류되지 않은 동물성 생산품</v>
      </c>
      <c r="G1452" s="18" t="n">
        <f aca="false">IFERROR(VALUE(SUBSTITUTE(TRIM('수출입 실적(품목별)'!D1456),",","")),"")</f>
        <v>1573.6</v>
      </c>
      <c r="H1452" s="19" t="n">
        <f aca="false">IFERROR(VALUE(SUBSTITUTE(TRIM('수출입 실적(품목별)'!E1456),",","")),"")</f>
        <v>7084</v>
      </c>
      <c r="I1452" s="18" t="n">
        <f aca="false">IFERROR(VALUE(SUBSTITUTE(TRIM('수출입 실적(품목별)'!F1456),",","")),"")</f>
        <v>3942.4</v>
      </c>
      <c r="J1452" s="19" t="n">
        <f aca="false">IFERROR(VALUE(SUBSTITUTE(TRIM('수출입 실적(품목별)'!G1456),",","")),"")</f>
        <v>20700</v>
      </c>
      <c r="K1452" s="19" t="n">
        <f aca="false">IFERROR(VALUE(SUBSTITUTE(TRIM('수출입 실적(품목별)'!H1456),",","")),"")</f>
        <v>-13616</v>
      </c>
    </row>
    <row r="1453" customFormat="false" ht="15" hidden="false" customHeight="true" outlineLevel="0" collapsed="false">
      <c r="A1453" s="11" t="str">
        <f aca="false">TRIM('수출입 실적(품목별)'!A1457)</f>
        <v>2025.04</v>
      </c>
      <c r="B1453" s="17" t="n">
        <f aca="false">IFERROR(VALUE(LEFT($A1453,4)),"")</f>
        <v>2025</v>
      </c>
      <c r="C1453" s="17" t="n">
        <f aca="false">IFERROR(VALUE(RIGHT($A1453,2)),"")</f>
        <v>4</v>
      </c>
      <c r="D1453" s="17" t="n">
        <f aca="false">IFERROR(ROUNDUP($C1453/3,0),"")</f>
        <v>2</v>
      </c>
      <c r="E1453" s="11" t="str">
        <f aca="false">TRIM('수출입 실적(품목별)'!B1457)</f>
        <v>06</v>
      </c>
      <c r="F1453" s="11" t="str">
        <f aca="false">TRIM('수출입 실적(품목별)'!C1457)</f>
        <v>살아 있는 수목과 그 밖의 식물, 인경(鱗莖)ㆍ뿌리와 이와 유사한 물품, 절화(切花)와 장식용 잎</v>
      </c>
      <c r="G1453" s="18" t="n">
        <f aca="false">IFERROR(VALUE(SUBSTITUTE(TRIM('수출입 실적(품목별)'!D1457),",","")),"")</f>
        <v>62.7</v>
      </c>
      <c r="H1453" s="19" t="n">
        <f aca="false">IFERROR(VALUE(SUBSTITUTE(TRIM('수출입 실적(품목별)'!E1457),",","")),"")</f>
        <v>779</v>
      </c>
      <c r="I1453" s="18" t="n">
        <f aca="false">IFERROR(VALUE(SUBSTITUTE(TRIM('수출입 실적(품목별)'!F1457),",","")),"")</f>
        <v>8472.8</v>
      </c>
      <c r="J1453" s="19" t="n">
        <f aca="false">IFERROR(VALUE(SUBSTITUTE(TRIM('수출입 실적(품목별)'!G1457),",","")),"")</f>
        <v>19065</v>
      </c>
      <c r="K1453" s="19" t="n">
        <f aca="false">IFERROR(VALUE(SUBSTITUTE(TRIM('수출입 실적(품목별)'!H1457),",","")),"")</f>
        <v>-18286</v>
      </c>
    </row>
    <row r="1454" customFormat="false" ht="15" hidden="false" customHeight="true" outlineLevel="0" collapsed="false">
      <c r="A1454" s="11" t="str">
        <f aca="false">TRIM('수출입 실적(품목별)'!A1458)</f>
        <v>2025.04</v>
      </c>
      <c r="B1454" s="17" t="n">
        <f aca="false">IFERROR(VALUE(LEFT($A1454,4)),"")</f>
        <v>2025</v>
      </c>
      <c r="C1454" s="17" t="n">
        <f aca="false">IFERROR(VALUE(RIGHT($A1454,2)),"")</f>
        <v>4</v>
      </c>
      <c r="D1454" s="17" t="n">
        <f aca="false">IFERROR(ROUNDUP($C1454/3,0),"")</f>
        <v>2</v>
      </c>
      <c r="E1454" s="11" t="str">
        <f aca="false">TRIM('수출입 실적(품목별)'!B1458)</f>
        <v>07</v>
      </c>
      <c r="F1454" s="11" t="str">
        <f aca="false">TRIM('수출입 실적(품목별)'!C1458)</f>
        <v>식용의 채소ㆍ뿌리ㆍ괴경(塊莖)</v>
      </c>
      <c r="G1454" s="18" t="n">
        <f aca="false">IFERROR(VALUE(SUBSTITUTE(TRIM('수출입 실적(품목별)'!D1458),",","")),"")</f>
        <v>3023.1</v>
      </c>
      <c r="H1454" s="19" t="n">
        <f aca="false">IFERROR(VALUE(SUBSTITUTE(TRIM('수출입 실적(품목별)'!E1458),",","")),"")</f>
        <v>9551</v>
      </c>
      <c r="I1454" s="18" t="n">
        <f aca="false">IFERROR(VALUE(SUBSTITUTE(TRIM('수출입 실적(품목별)'!F1458),",","")),"")</f>
        <v>115572.9</v>
      </c>
      <c r="J1454" s="19" t="n">
        <f aca="false">IFERROR(VALUE(SUBSTITUTE(TRIM('수출입 실적(품목별)'!G1458),",","")),"")</f>
        <v>82659</v>
      </c>
      <c r="K1454" s="19" t="n">
        <f aca="false">IFERROR(VALUE(SUBSTITUTE(TRIM('수출입 실적(품목별)'!H1458),",","")),"")</f>
        <v>-73107</v>
      </c>
    </row>
    <row r="1455" customFormat="false" ht="15" hidden="false" customHeight="true" outlineLevel="0" collapsed="false">
      <c r="A1455" s="11" t="str">
        <f aca="false">TRIM('수출입 실적(품목별)'!A1459)</f>
        <v>2025.04</v>
      </c>
      <c r="B1455" s="17" t="n">
        <f aca="false">IFERROR(VALUE(LEFT($A1455,4)),"")</f>
        <v>2025</v>
      </c>
      <c r="C1455" s="17" t="n">
        <f aca="false">IFERROR(VALUE(RIGHT($A1455,2)),"")</f>
        <v>4</v>
      </c>
      <c r="D1455" s="17" t="n">
        <f aca="false">IFERROR(ROUNDUP($C1455/3,0),"")</f>
        <v>2</v>
      </c>
      <c r="E1455" s="11" t="str">
        <f aca="false">TRIM('수출입 실적(품목별)'!B1459)</f>
        <v>08</v>
      </c>
      <c r="F1455" s="11" t="str">
        <f aca="false">TRIM('수출입 실적(품목별)'!C1459)</f>
        <v>식용의 과실과 견과류, 감귤류ㆍ멜론의 껍질</v>
      </c>
      <c r="G1455" s="18" t="n">
        <f aca="false">IFERROR(VALUE(SUBSTITUTE(TRIM('수출입 실적(품목별)'!D1459),",","")),"")</f>
        <v>1238.2</v>
      </c>
      <c r="H1455" s="19" t="n">
        <f aca="false">IFERROR(VALUE(SUBSTITUTE(TRIM('수출입 실적(품목별)'!E1459),",","")),"")</f>
        <v>11474</v>
      </c>
      <c r="I1455" s="18" t="n">
        <f aca="false">IFERROR(VALUE(SUBSTITUTE(TRIM('수출입 실적(품목별)'!F1459),",","")),"")</f>
        <v>116586.3</v>
      </c>
      <c r="J1455" s="19" t="n">
        <f aca="false">IFERROR(VALUE(SUBSTITUTE(TRIM('수출입 실적(품목별)'!G1459),",","")),"")</f>
        <v>259564</v>
      </c>
      <c r="K1455" s="19" t="n">
        <f aca="false">IFERROR(VALUE(SUBSTITUTE(TRIM('수출입 실적(품목별)'!H1459),",","")),"")</f>
        <v>-248091</v>
      </c>
    </row>
    <row r="1456" customFormat="false" ht="15" hidden="false" customHeight="true" outlineLevel="0" collapsed="false">
      <c r="A1456" s="11" t="str">
        <f aca="false">TRIM('수출입 실적(품목별)'!A1460)</f>
        <v>2025.04</v>
      </c>
      <c r="B1456" s="17" t="n">
        <f aca="false">IFERROR(VALUE(LEFT($A1456,4)),"")</f>
        <v>2025</v>
      </c>
      <c r="C1456" s="17" t="n">
        <f aca="false">IFERROR(VALUE(RIGHT($A1456,2)),"")</f>
        <v>4</v>
      </c>
      <c r="D1456" s="17" t="n">
        <f aca="false">IFERROR(ROUNDUP($C1456/3,0),"")</f>
        <v>2</v>
      </c>
      <c r="E1456" s="11" t="str">
        <f aca="false">TRIM('수출입 실적(품목별)'!B1460)</f>
        <v>09</v>
      </c>
      <c r="F1456" s="11" t="str">
        <f aca="false">TRIM('수출입 실적(품목별)'!C1460)</f>
        <v>커피ㆍ차ㆍ마테(maté)ㆍ향신료</v>
      </c>
      <c r="G1456" s="18" t="n">
        <f aca="false">IFERROR(VALUE(SUBSTITUTE(TRIM('수출입 실적(품목별)'!D1460),",","")),"")</f>
        <v>406</v>
      </c>
      <c r="H1456" s="19" t="n">
        <f aca="false">IFERROR(VALUE(SUBSTITUTE(TRIM('수출입 실적(품목별)'!E1460),",","")),"")</f>
        <v>3039</v>
      </c>
      <c r="I1456" s="18" t="n">
        <f aca="false">IFERROR(VALUE(SUBSTITUTE(TRIM('수출입 실적(품목별)'!F1460),",","")),"")</f>
        <v>23978.9</v>
      </c>
      <c r="J1456" s="19" t="n">
        <f aca="false">IFERROR(VALUE(SUBSTITUTE(TRIM('수출입 실적(품목별)'!G1460),",","")),"")</f>
        <v>186127</v>
      </c>
      <c r="K1456" s="19" t="n">
        <f aca="false">IFERROR(VALUE(SUBSTITUTE(TRIM('수출입 실적(품목별)'!H1460),",","")),"")</f>
        <v>-183088</v>
      </c>
    </row>
    <row r="1457" customFormat="false" ht="15" hidden="false" customHeight="true" outlineLevel="0" collapsed="false">
      <c r="A1457" s="11" t="str">
        <f aca="false">TRIM('수출입 실적(품목별)'!A1461)</f>
        <v>2025.04</v>
      </c>
      <c r="B1457" s="17" t="n">
        <f aca="false">IFERROR(VALUE(LEFT($A1457,4)),"")</f>
        <v>2025</v>
      </c>
      <c r="C1457" s="17" t="n">
        <f aca="false">IFERROR(VALUE(RIGHT($A1457,2)),"")</f>
        <v>4</v>
      </c>
      <c r="D1457" s="17" t="n">
        <f aca="false">IFERROR(ROUNDUP($C1457/3,0),"")</f>
        <v>2</v>
      </c>
      <c r="E1457" s="11" t="str">
        <f aca="false">TRIM('수출입 실적(품목별)'!B1461)</f>
        <v>10</v>
      </c>
      <c r="F1457" s="11" t="str">
        <f aca="false">TRIM('수출입 실적(품목별)'!C1461)</f>
        <v>곡물</v>
      </c>
      <c r="G1457" s="18" t="n">
        <f aca="false">IFERROR(VALUE(SUBSTITUTE(TRIM('수출입 실적(품목별)'!D1461),",","")),"")</f>
        <v>46001.1</v>
      </c>
      <c r="H1457" s="19" t="n">
        <f aca="false">IFERROR(VALUE(SUBSTITUTE(TRIM('수출입 실적(품목별)'!E1461),",","")),"")</f>
        <v>16113</v>
      </c>
      <c r="I1457" s="18" t="n">
        <f aca="false">IFERROR(VALUE(SUBSTITUTE(TRIM('수출입 실적(품목별)'!F1461),",","")),"")</f>
        <v>1460756.8</v>
      </c>
      <c r="J1457" s="19" t="n">
        <f aca="false">IFERROR(VALUE(SUBSTITUTE(TRIM('수출입 실적(품목별)'!G1461),",","")),"")</f>
        <v>385743</v>
      </c>
      <c r="K1457" s="19" t="n">
        <f aca="false">IFERROR(VALUE(SUBSTITUTE(TRIM('수출입 실적(품목별)'!H1461),",","")),"")</f>
        <v>-369630</v>
      </c>
    </row>
    <row r="1458" customFormat="false" ht="15" hidden="false" customHeight="true" outlineLevel="0" collapsed="false">
      <c r="A1458" s="11" t="str">
        <f aca="false">TRIM('수출입 실적(품목별)'!A1462)</f>
        <v>2025.04</v>
      </c>
      <c r="B1458" s="17" t="n">
        <f aca="false">IFERROR(VALUE(LEFT($A1458,4)),"")</f>
        <v>2025</v>
      </c>
      <c r="C1458" s="17" t="n">
        <f aca="false">IFERROR(VALUE(RIGHT($A1458,2)),"")</f>
        <v>4</v>
      </c>
      <c r="D1458" s="17" t="n">
        <f aca="false">IFERROR(ROUNDUP($C1458/3,0),"")</f>
        <v>2</v>
      </c>
      <c r="E1458" s="11" t="str">
        <f aca="false">TRIM('수출입 실적(품목별)'!B1462)</f>
        <v>11</v>
      </c>
      <c r="F1458" s="11" t="str">
        <f aca="false">TRIM('수출입 실적(품목별)'!C1462)</f>
        <v>제분공업의 생산품과 맥아, 전분, 이눌린(inulin), 밀의 글루텐(gluten)</v>
      </c>
      <c r="G1458" s="18" t="n">
        <f aca="false">IFERROR(VALUE(SUBSTITUTE(TRIM('수출입 실적(품목별)'!D1462),",","")),"")</f>
        <v>5088</v>
      </c>
      <c r="H1458" s="19" t="n">
        <f aca="false">IFERROR(VALUE(SUBSTITUTE(TRIM('수출입 실적(품목별)'!E1462),",","")),"")</f>
        <v>3788</v>
      </c>
      <c r="I1458" s="18" t="n">
        <f aca="false">IFERROR(VALUE(SUBSTITUTE(TRIM('수출입 실적(품목별)'!F1462),",","")),"")</f>
        <v>36469.4</v>
      </c>
      <c r="J1458" s="19" t="n">
        <f aca="false">IFERROR(VALUE(SUBSTITUTE(TRIM('수출입 실적(품목별)'!G1462),",","")),"")</f>
        <v>33148</v>
      </c>
      <c r="K1458" s="19" t="n">
        <f aca="false">IFERROR(VALUE(SUBSTITUTE(TRIM('수출입 실적(품목별)'!H1462),",","")),"")</f>
        <v>-29360</v>
      </c>
    </row>
    <row r="1459" customFormat="false" ht="15" hidden="false" customHeight="true" outlineLevel="0" collapsed="false">
      <c r="A1459" s="11" t="str">
        <f aca="false">TRIM('수출입 실적(품목별)'!A1463)</f>
        <v>2025.04</v>
      </c>
      <c r="B1459" s="17" t="n">
        <f aca="false">IFERROR(VALUE(LEFT($A1459,4)),"")</f>
        <v>2025</v>
      </c>
      <c r="C1459" s="17" t="n">
        <f aca="false">IFERROR(VALUE(RIGHT($A1459,2)),"")</f>
        <v>4</v>
      </c>
      <c r="D1459" s="17" t="n">
        <f aca="false">IFERROR(ROUNDUP($C1459/3,0),"")</f>
        <v>2</v>
      </c>
      <c r="E1459" s="11" t="str">
        <f aca="false">TRIM('수출입 실적(품목별)'!B1463)</f>
        <v>12</v>
      </c>
      <c r="F1459" s="11" t="str">
        <f aca="false">TRIM('수출입 실적(품목별)'!C1463)</f>
        <v>채유(採油)에 적합한 종자와 과실, 각종 종자와 과실, 공업용ㆍ의약용 식물, 짚과 사료용 식물</v>
      </c>
      <c r="G1459" s="18" t="n">
        <f aca="false">IFERROR(VALUE(SUBSTITUTE(TRIM('수출입 실적(품목별)'!D1463),",","")),"")</f>
        <v>5963.7</v>
      </c>
      <c r="H1459" s="19" t="n">
        <f aca="false">IFERROR(VALUE(SUBSTITUTE(TRIM('수출입 실적(품목별)'!E1463),",","")),"")</f>
        <v>67258</v>
      </c>
      <c r="I1459" s="18" t="n">
        <f aca="false">IFERROR(VALUE(SUBSTITUTE(TRIM('수출입 실적(품목별)'!F1463),",","")),"")</f>
        <v>272741.9</v>
      </c>
      <c r="J1459" s="19" t="n">
        <f aca="false">IFERROR(VALUE(SUBSTITUTE(TRIM('수출입 실적(품목별)'!G1463),",","")),"")</f>
        <v>151738</v>
      </c>
      <c r="K1459" s="19" t="n">
        <f aca="false">IFERROR(VALUE(SUBSTITUTE(TRIM('수출입 실적(품목별)'!H1463),",","")),"")</f>
        <v>-84480</v>
      </c>
    </row>
    <row r="1460" customFormat="false" ht="15" hidden="false" customHeight="true" outlineLevel="0" collapsed="false">
      <c r="A1460" s="11" t="str">
        <f aca="false">TRIM('수출입 실적(품목별)'!A1464)</f>
        <v>2025.04</v>
      </c>
      <c r="B1460" s="17" t="n">
        <f aca="false">IFERROR(VALUE(LEFT($A1460,4)),"")</f>
        <v>2025</v>
      </c>
      <c r="C1460" s="17" t="n">
        <f aca="false">IFERROR(VALUE(RIGHT($A1460,2)),"")</f>
        <v>4</v>
      </c>
      <c r="D1460" s="17" t="n">
        <f aca="false">IFERROR(ROUNDUP($C1460/3,0),"")</f>
        <v>2</v>
      </c>
      <c r="E1460" s="11" t="str">
        <f aca="false">TRIM('수출입 실적(품목별)'!B1464)</f>
        <v>13</v>
      </c>
      <c r="F1460" s="11" t="str">
        <f aca="false">TRIM('수출입 실적(품목별)'!C1464)</f>
        <v>락(lac), 검ㆍ수지ㆍ그 밖의 식물성 수액과 추출물(extract)</v>
      </c>
      <c r="G1460" s="18" t="n">
        <f aca="false">IFERROR(VALUE(SUBSTITUTE(TRIM('수출입 실적(품목별)'!D1464),",","")),"")</f>
        <v>380.6</v>
      </c>
      <c r="H1460" s="19" t="n">
        <f aca="false">IFERROR(VALUE(SUBSTITUTE(TRIM('수출입 실적(품목별)'!E1464),",","")),"")</f>
        <v>11130</v>
      </c>
      <c r="I1460" s="18" t="n">
        <f aca="false">IFERROR(VALUE(SUBSTITUTE(TRIM('수출입 실적(품목별)'!F1464),",","")),"")</f>
        <v>7131.2</v>
      </c>
      <c r="J1460" s="19" t="n">
        <f aca="false">IFERROR(VALUE(SUBSTITUTE(TRIM('수출입 실적(품목별)'!G1464),",","")),"")</f>
        <v>31809</v>
      </c>
      <c r="K1460" s="19" t="n">
        <f aca="false">IFERROR(VALUE(SUBSTITUTE(TRIM('수출입 실적(품목별)'!H1464),",","")),"")</f>
        <v>-20679</v>
      </c>
    </row>
    <row r="1461" customFormat="false" ht="15" hidden="false" customHeight="true" outlineLevel="0" collapsed="false">
      <c r="A1461" s="11" t="str">
        <f aca="false">TRIM('수출입 실적(품목별)'!A1465)</f>
        <v>2025.04</v>
      </c>
      <c r="B1461" s="17" t="n">
        <f aca="false">IFERROR(VALUE(LEFT($A1461,4)),"")</f>
        <v>2025</v>
      </c>
      <c r="C1461" s="17" t="n">
        <f aca="false">IFERROR(VALUE(RIGHT($A1461,2)),"")</f>
        <v>4</v>
      </c>
      <c r="D1461" s="17" t="n">
        <f aca="false">IFERROR(ROUNDUP($C1461/3,0),"")</f>
        <v>2</v>
      </c>
      <c r="E1461" s="11" t="str">
        <f aca="false">TRIM('수출입 실적(품목별)'!B1465)</f>
        <v>14</v>
      </c>
      <c r="F1461" s="11" t="str">
        <f aca="false">TRIM('수출입 실적(품목별)'!C1465)</f>
        <v>식물성 편조물(編組物)용 재료와 다른 류로 분류되지 않은 식물성 생산품</v>
      </c>
      <c r="G1461" s="18" t="n">
        <f aca="false">IFERROR(VALUE(SUBSTITUTE(TRIM('수출입 실적(품목별)'!D1465),",","")),"")</f>
        <v>10.7</v>
      </c>
      <c r="H1461" s="19" t="n">
        <f aca="false">IFERROR(VALUE(SUBSTITUTE(TRIM('수출입 실적(품목별)'!E1465),",","")),"")</f>
        <v>10</v>
      </c>
      <c r="I1461" s="18" t="n">
        <f aca="false">IFERROR(VALUE(SUBSTITUTE(TRIM('수출입 실적(품목별)'!F1465),",","")),"")</f>
        <v>23153.1</v>
      </c>
      <c r="J1461" s="19" t="n">
        <f aca="false">IFERROR(VALUE(SUBSTITUTE(TRIM('수출입 실적(품목별)'!G1465),",","")),"")</f>
        <v>8047</v>
      </c>
      <c r="K1461" s="19" t="n">
        <f aca="false">IFERROR(VALUE(SUBSTITUTE(TRIM('수출입 실적(품목별)'!H1465),",","")),"")</f>
        <v>-8037</v>
      </c>
    </row>
    <row r="1462" customFormat="false" ht="15" hidden="false" customHeight="true" outlineLevel="0" collapsed="false">
      <c r="A1462" s="11" t="str">
        <f aca="false">TRIM('수출입 실적(품목별)'!A1466)</f>
        <v>2025.04</v>
      </c>
      <c r="B1462" s="17" t="n">
        <f aca="false">IFERROR(VALUE(LEFT($A1462,4)),"")</f>
        <v>2025</v>
      </c>
      <c r="C1462" s="17" t="n">
        <f aca="false">IFERROR(VALUE(RIGHT($A1462,2)),"")</f>
        <v>4</v>
      </c>
      <c r="D1462" s="17" t="n">
        <f aca="false">IFERROR(ROUNDUP($C1462/3,0),"")</f>
        <v>2</v>
      </c>
      <c r="E1462" s="11" t="str">
        <f aca="false">TRIM('수출입 실적(품목별)'!B1466)</f>
        <v>15</v>
      </c>
      <c r="F1462" s="11" t="str">
        <f aca="false">TRIM('수출입 실적(품목별)'!C1466)</f>
        <v>동물성ㆍ식물성ㆍ미생물성 지방과 기름 및이들의 분해생산물, 조제한 식용 지방과 동물성ㆍ식물성 왁스</v>
      </c>
      <c r="G1462" s="18" t="n">
        <f aca="false">IFERROR(VALUE(SUBSTITUTE(TRIM('수출입 실적(품목별)'!D1466),",","")),"")</f>
        <v>32558</v>
      </c>
      <c r="H1462" s="19" t="n">
        <f aca="false">IFERROR(VALUE(SUBSTITUTE(TRIM('수출입 실적(품목별)'!E1466),",","")),"")</f>
        <v>37230</v>
      </c>
      <c r="I1462" s="18" t="n">
        <f aca="false">IFERROR(VALUE(SUBSTITUTE(TRIM('수출입 실적(품목별)'!F1466),",","")),"")</f>
        <v>179834.7</v>
      </c>
      <c r="J1462" s="19" t="n">
        <f aca="false">IFERROR(VALUE(SUBSTITUTE(TRIM('수출입 실적(품목별)'!G1466),",","")),"")</f>
        <v>257718</v>
      </c>
      <c r="K1462" s="19" t="n">
        <f aca="false">IFERROR(VALUE(SUBSTITUTE(TRIM('수출입 실적(품목별)'!H1466),",","")),"")</f>
        <v>-220488</v>
      </c>
    </row>
    <row r="1463" customFormat="false" ht="15" hidden="false" customHeight="true" outlineLevel="0" collapsed="false">
      <c r="A1463" s="11" t="str">
        <f aca="false">TRIM('수출입 실적(품목별)'!A1467)</f>
        <v>2025.04</v>
      </c>
      <c r="B1463" s="17" t="n">
        <f aca="false">IFERROR(VALUE(LEFT($A1463,4)),"")</f>
        <v>2025</v>
      </c>
      <c r="C1463" s="17" t="n">
        <f aca="false">IFERROR(VALUE(RIGHT($A1463,2)),"")</f>
        <v>4</v>
      </c>
      <c r="D1463" s="17" t="n">
        <f aca="false">IFERROR(ROUNDUP($C1463/3,0),"")</f>
        <v>2</v>
      </c>
      <c r="E1463" s="11" t="str">
        <f aca="false">TRIM('수출입 실적(품목별)'!B1467)</f>
        <v>16</v>
      </c>
      <c r="F1463" s="11" t="str">
        <f aca="false">TRIM('수출입 실적(품목별)'!C1467)</f>
        <v>육류ㆍ어류ㆍ갑각류ㆍ연체동물이나 그 밖의 수생(水生) 무척추동물 또는 곤충의 조제품</v>
      </c>
      <c r="G1463" s="18" t="n">
        <f aca="false">IFERROR(VALUE(SUBSTITUTE(TRIM('수출입 실적(품목별)'!D1467),",","")),"")</f>
        <v>4879.2</v>
      </c>
      <c r="H1463" s="19" t="n">
        <f aca="false">IFERROR(VALUE(SUBSTITUTE(TRIM('수출입 실적(품목별)'!E1467),",","")),"")</f>
        <v>29657</v>
      </c>
      <c r="I1463" s="18" t="n">
        <f aca="false">IFERROR(VALUE(SUBSTITUTE(TRIM('수출입 실적(품목별)'!F1467),",","")),"")</f>
        <v>16318</v>
      </c>
      <c r="J1463" s="19" t="n">
        <f aca="false">IFERROR(VALUE(SUBSTITUTE(TRIM('수출입 실적(품목별)'!G1467),",","")),"")</f>
        <v>97105</v>
      </c>
      <c r="K1463" s="19" t="n">
        <f aca="false">IFERROR(VALUE(SUBSTITUTE(TRIM('수출입 실적(품목별)'!H1467),",","")),"")</f>
        <v>-67448</v>
      </c>
    </row>
    <row r="1464" customFormat="false" ht="15" hidden="false" customHeight="true" outlineLevel="0" collapsed="false">
      <c r="A1464" s="11" t="str">
        <f aca="false">TRIM('수출입 실적(품목별)'!A1468)</f>
        <v>2025.04</v>
      </c>
      <c r="B1464" s="17" t="n">
        <f aca="false">IFERROR(VALUE(LEFT($A1464,4)),"")</f>
        <v>2025</v>
      </c>
      <c r="C1464" s="17" t="n">
        <f aca="false">IFERROR(VALUE(RIGHT($A1464,2)),"")</f>
        <v>4</v>
      </c>
      <c r="D1464" s="17" t="n">
        <f aca="false">IFERROR(ROUNDUP($C1464/3,0),"")</f>
        <v>2</v>
      </c>
      <c r="E1464" s="11" t="str">
        <f aca="false">TRIM('수출입 실적(품목별)'!B1468)</f>
        <v>17</v>
      </c>
      <c r="F1464" s="11" t="str">
        <f aca="false">TRIM('수출입 실적(품목별)'!C1468)</f>
        <v>당류(糖類)와 설탕과자</v>
      </c>
      <c r="G1464" s="18" t="n">
        <f aca="false">IFERROR(VALUE(SUBSTITUTE(TRIM('수출입 실적(품목별)'!D1468),",","")),"")</f>
        <v>24239</v>
      </c>
      <c r="H1464" s="19" t="n">
        <f aca="false">IFERROR(VALUE(SUBSTITUTE(TRIM('수출입 실적(품목별)'!E1468),",","")),"")</f>
        <v>25733</v>
      </c>
      <c r="I1464" s="18" t="n">
        <f aca="false">IFERROR(VALUE(SUBSTITUTE(TRIM('수출입 실적(품목별)'!F1468),",","")),"")</f>
        <v>205001</v>
      </c>
      <c r="J1464" s="19" t="n">
        <f aca="false">IFERROR(VALUE(SUBSTITUTE(TRIM('수출입 실적(품목별)'!G1468),",","")),"")</f>
        <v>127801</v>
      </c>
      <c r="K1464" s="19" t="n">
        <f aca="false">IFERROR(VALUE(SUBSTITUTE(TRIM('수출입 실적(품목별)'!H1468),",","")),"")</f>
        <v>-102068</v>
      </c>
    </row>
    <row r="1465" customFormat="false" ht="15" hidden="false" customHeight="true" outlineLevel="0" collapsed="false">
      <c r="A1465" s="11" t="str">
        <f aca="false">TRIM('수출입 실적(품목별)'!A1469)</f>
        <v>2025.04</v>
      </c>
      <c r="B1465" s="17" t="n">
        <f aca="false">IFERROR(VALUE(LEFT($A1465,4)),"")</f>
        <v>2025</v>
      </c>
      <c r="C1465" s="17" t="n">
        <f aca="false">IFERROR(VALUE(RIGHT($A1465,2)),"")</f>
        <v>4</v>
      </c>
      <c r="D1465" s="17" t="n">
        <f aca="false">IFERROR(ROUNDUP($C1465/3,0),"")</f>
        <v>2</v>
      </c>
      <c r="E1465" s="11" t="str">
        <f aca="false">TRIM('수출입 실적(품목별)'!B1469)</f>
        <v>18</v>
      </c>
      <c r="F1465" s="11" t="str">
        <f aca="false">TRIM('수출입 실적(품목별)'!C1469)</f>
        <v>코코아와 그 조제품</v>
      </c>
      <c r="G1465" s="18" t="n">
        <f aca="false">IFERROR(VALUE(SUBSTITUTE(TRIM('수출입 실적(품목별)'!D1469),",","")),"")</f>
        <v>2662</v>
      </c>
      <c r="H1465" s="19" t="n">
        <f aca="false">IFERROR(VALUE(SUBSTITUTE(TRIM('수출입 실적(품목별)'!E1469),",","")),"")</f>
        <v>9394</v>
      </c>
      <c r="I1465" s="18" t="n">
        <f aca="false">IFERROR(VALUE(SUBSTITUTE(TRIM('수출입 실적(품목별)'!F1469),",","")),"")</f>
        <v>5686.5</v>
      </c>
      <c r="J1465" s="19" t="n">
        <f aca="false">IFERROR(VALUE(SUBSTITUTE(TRIM('수출입 실적(품목별)'!G1469),",","")),"")</f>
        <v>56936</v>
      </c>
      <c r="K1465" s="19" t="n">
        <f aca="false">IFERROR(VALUE(SUBSTITUTE(TRIM('수출입 실적(품목별)'!H1469),",","")),"")</f>
        <v>-47541</v>
      </c>
    </row>
    <row r="1466" customFormat="false" ht="15" hidden="false" customHeight="true" outlineLevel="0" collapsed="false">
      <c r="A1466" s="11" t="str">
        <f aca="false">TRIM('수출입 실적(품목별)'!A1470)</f>
        <v>2025.04</v>
      </c>
      <c r="B1466" s="17" t="n">
        <f aca="false">IFERROR(VALUE(LEFT($A1466,4)),"")</f>
        <v>2025</v>
      </c>
      <c r="C1466" s="17" t="n">
        <f aca="false">IFERROR(VALUE(RIGHT($A1466,2)),"")</f>
        <v>4</v>
      </c>
      <c r="D1466" s="17" t="n">
        <f aca="false">IFERROR(ROUNDUP($C1466/3,0),"")</f>
        <v>2</v>
      </c>
      <c r="E1466" s="11" t="str">
        <f aca="false">TRIM('수출입 실적(품목별)'!B1470)</f>
        <v>19</v>
      </c>
      <c r="F1466" s="11" t="str">
        <f aca="false">TRIM('수출입 실적(품목별)'!C1470)</f>
        <v>곡물ㆍ고운 가루ㆍ전분ㆍ밀크의 조제품과 베이커리 제품</v>
      </c>
      <c r="G1466" s="18" t="n">
        <f aca="false">IFERROR(VALUE(SUBSTITUTE(TRIM('수출입 실적(품목별)'!D1470),",","")),"")</f>
        <v>60343.2</v>
      </c>
      <c r="H1466" s="19" t="n">
        <f aca="false">IFERROR(VALUE(SUBSTITUTE(TRIM('수출입 실적(품목별)'!E1470),",","")),"")</f>
        <v>247516</v>
      </c>
      <c r="I1466" s="18" t="n">
        <f aca="false">IFERROR(VALUE(SUBSTITUTE(TRIM('수출입 실적(품목별)'!F1470),",","")),"")</f>
        <v>29865.3</v>
      </c>
      <c r="J1466" s="19" t="n">
        <f aca="false">IFERROR(VALUE(SUBSTITUTE(TRIM('수출입 실적(품목별)'!G1470),",","")),"")</f>
        <v>92867</v>
      </c>
      <c r="K1466" s="19" t="n">
        <f aca="false">IFERROR(VALUE(SUBSTITUTE(TRIM('수출입 실적(품목별)'!H1470),",","")),"")</f>
        <v>154650</v>
      </c>
    </row>
    <row r="1467" customFormat="false" ht="15" hidden="false" customHeight="true" outlineLevel="0" collapsed="false">
      <c r="A1467" s="11" t="str">
        <f aca="false">TRIM('수출입 실적(품목별)'!A1471)</f>
        <v>2025.04</v>
      </c>
      <c r="B1467" s="17" t="n">
        <f aca="false">IFERROR(VALUE(LEFT($A1467,4)),"")</f>
        <v>2025</v>
      </c>
      <c r="C1467" s="17" t="n">
        <f aca="false">IFERROR(VALUE(RIGHT($A1467,2)),"")</f>
        <v>4</v>
      </c>
      <c r="D1467" s="17" t="n">
        <f aca="false">IFERROR(ROUNDUP($C1467/3,0),"")</f>
        <v>2</v>
      </c>
      <c r="E1467" s="11" t="str">
        <f aca="false">TRIM('수출입 실적(품목별)'!B1471)</f>
        <v>20</v>
      </c>
      <c r="F1467" s="11" t="str">
        <f aca="false">TRIM('수출입 실적(품목별)'!C1471)</f>
        <v>채소ㆍ과실ㆍ견과류나 식물의그 밖의 부분의 조제품</v>
      </c>
      <c r="G1467" s="18" t="n">
        <f aca="false">IFERROR(VALUE(SUBSTITUTE(TRIM('수출입 실적(품목별)'!D1471),",","")),"")</f>
        <v>10953.8</v>
      </c>
      <c r="H1467" s="19" t="n">
        <f aca="false">IFERROR(VALUE(SUBSTITUTE(TRIM('수출입 실적(품목별)'!E1471),",","")),"")</f>
        <v>99730</v>
      </c>
      <c r="I1467" s="18" t="n">
        <f aca="false">IFERROR(VALUE(SUBSTITUTE(TRIM('수출입 실적(품목별)'!F1471),",","")),"")</f>
        <v>101393.1</v>
      </c>
      <c r="J1467" s="19" t="n">
        <f aca="false">IFERROR(VALUE(SUBSTITUTE(TRIM('수출입 실적(품목별)'!G1471),",","")),"")</f>
        <v>148012</v>
      </c>
      <c r="K1467" s="19" t="n">
        <f aca="false">IFERROR(VALUE(SUBSTITUTE(TRIM('수출입 실적(품목별)'!H1471),",","")),"")</f>
        <v>-48281</v>
      </c>
    </row>
    <row r="1468" customFormat="false" ht="15" hidden="false" customHeight="true" outlineLevel="0" collapsed="false">
      <c r="A1468" s="11" t="str">
        <f aca="false">TRIM('수출입 실적(품목별)'!A1472)</f>
        <v>2025.04</v>
      </c>
      <c r="B1468" s="17" t="n">
        <f aca="false">IFERROR(VALUE(LEFT($A1468,4)),"")</f>
        <v>2025</v>
      </c>
      <c r="C1468" s="17" t="n">
        <f aca="false">IFERROR(VALUE(RIGHT($A1468,2)),"")</f>
        <v>4</v>
      </c>
      <c r="D1468" s="17" t="n">
        <f aca="false">IFERROR(ROUNDUP($C1468/3,0),"")</f>
        <v>2</v>
      </c>
      <c r="E1468" s="11" t="str">
        <f aca="false">TRIM('수출입 실적(품목별)'!B1472)</f>
        <v>21</v>
      </c>
      <c r="F1468" s="11" t="str">
        <f aca="false">TRIM('수출입 실적(품목별)'!C1472)</f>
        <v>각종 조제 식료품</v>
      </c>
      <c r="G1468" s="18" t="n">
        <f aca="false">IFERROR(VALUE(SUBSTITUTE(TRIM('수출입 실적(품목별)'!D1472),",","")),"")</f>
        <v>40564.4</v>
      </c>
      <c r="H1468" s="19" t="n">
        <f aca="false">IFERROR(VALUE(SUBSTITUTE(TRIM('수출입 실적(품목별)'!E1472),",","")),"")</f>
        <v>171715</v>
      </c>
      <c r="I1468" s="18" t="n">
        <f aca="false">IFERROR(VALUE(SUBSTITUTE(TRIM('수출입 실적(품목별)'!F1472),",","")),"")</f>
        <v>33400.4</v>
      </c>
      <c r="J1468" s="19" t="n">
        <f aca="false">IFERROR(VALUE(SUBSTITUTE(TRIM('수출입 실적(품목별)'!G1472),",","")),"")</f>
        <v>238549</v>
      </c>
      <c r="K1468" s="19" t="n">
        <f aca="false">IFERROR(VALUE(SUBSTITUTE(TRIM('수출입 실적(품목별)'!H1472),",","")),"")</f>
        <v>-66834</v>
      </c>
    </row>
    <row r="1469" customFormat="false" ht="15" hidden="false" customHeight="true" outlineLevel="0" collapsed="false">
      <c r="A1469" s="11" t="str">
        <f aca="false">TRIM('수출입 실적(품목별)'!A1473)</f>
        <v>2025.04</v>
      </c>
      <c r="B1469" s="17" t="n">
        <f aca="false">IFERROR(VALUE(LEFT($A1469,4)),"")</f>
        <v>2025</v>
      </c>
      <c r="C1469" s="17" t="n">
        <f aca="false">IFERROR(VALUE(RIGHT($A1469,2)),"")</f>
        <v>4</v>
      </c>
      <c r="D1469" s="17" t="n">
        <f aca="false">IFERROR(ROUNDUP($C1469/3,0),"")</f>
        <v>2</v>
      </c>
      <c r="E1469" s="11" t="str">
        <f aca="false">TRIM('수출입 실적(품목별)'!B1473)</f>
        <v>22</v>
      </c>
      <c r="F1469" s="11" t="str">
        <f aca="false">TRIM('수출입 실적(품목별)'!C1473)</f>
        <v>음료ㆍ주류ㆍ식초</v>
      </c>
      <c r="G1469" s="18" t="n">
        <f aca="false">IFERROR(VALUE(SUBSTITUTE(TRIM('수출입 실적(품목별)'!D1473),",","")),"")</f>
        <v>87917.4</v>
      </c>
      <c r="H1469" s="19" t="n">
        <f aca="false">IFERROR(VALUE(SUBSTITUTE(TRIM('수출입 실적(품목별)'!E1473),",","")),"")</f>
        <v>103572</v>
      </c>
      <c r="I1469" s="18" t="n">
        <f aca="false">IFERROR(VALUE(SUBSTITUTE(TRIM('수출입 실적(품목별)'!F1473),",","")),"")</f>
        <v>80256.6</v>
      </c>
      <c r="J1469" s="19" t="n">
        <f aca="false">IFERROR(VALUE(SUBSTITUTE(TRIM('수출입 실적(품목별)'!G1473),",","")),"")</f>
        <v>121257</v>
      </c>
      <c r="K1469" s="19" t="n">
        <f aca="false">IFERROR(VALUE(SUBSTITUTE(TRIM('수출입 실적(품목별)'!H1473),",","")),"")</f>
        <v>-17685</v>
      </c>
    </row>
    <row r="1470" customFormat="false" ht="15" hidden="false" customHeight="true" outlineLevel="0" collapsed="false">
      <c r="A1470" s="11" t="str">
        <f aca="false">TRIM('수출입 실적(품목별)'!A1474)</f>
        <v>2025.04</v>
      </c>
      <c r="B1470" s="17" t="n">
        <f aca="false">IFERROR(VALUE(LEFT($A1470,4)),"")</f>
        <v>2025</v>
      </c>
      <c r="C1470" s="17" t="n">
        <f aca="false">IFERROR(VALUE(RIGHT($A1470,2)),"")</f>
        <v>4</v>
      </c>
      <c r="D1470" s="17" t="n">
        <f aca="false">IFERROR(ROUNDUP($C1470/3,0),"")</f>
        <v>2</v>
      </c>
      <c r="E1470" s="11" t="str">
        <f aca="false">TRIM('수출입 실적(품목별)'!B1474)</f>
        <v>23</v>
      </c>
      <c r="F1470" s="11" t="str">
        <f aca="false">TRIM('수출입 실적(품목별)'!C1474)</f>
        <v>식품 공업에서 생기는 잔재물과 웨이스트(waste), 조제 사료</v>
      </c>
      <c r="G1470" s="18" t="n">
        <f aca="false">IFERROR(VALUE(SUBSTITUTE(TRIM('수출입 실적(품목별)'!D1474),",","")),"")</f>
        <v>24549.9</v>
      </c>
      <c r="H1470" s="19" t="n">
        <f aca="false">IFERROR(VALUE(SUBSTITUTE(TRIM('수출입 실적(품목별)'!E1474),",","")),"")</f>
        <v>28216</v>
      </c>
      <c r="I1470" s="18" t="n">
        <f aca="false">IFERROR(VALUE(SUBSTITUTE(TRIM('수출입 실적(품목별)'!F1474),",","")),"")</f>
        <v>550905.5</v>
      </c>
      <c r="J1470" s="19" t="n">
        <f aca="false">IFERROR(VALUE(SUBSTITUTE(TRIM('수출입 실적(품목별)'!G1474),",","")),"")</f>
        <v>186215</v>
      </c>
      <c r="K1470" s="19" t="n">
        <f aca="false">IFERROR(VALUE(SUBSTITUTE(TRIM('수출입 실적(품목별)'!H1474),",","")),"")</f>
        <v>-157999</v>
      </c>
    </row>
    <row r="1471" customFormat="false" ht="15" hidden="false" customHeight="true" outlineLevel="0" collapsed="false">
      <c r="A1471" s="11" t="str">
        <f aca="false">TRIM('수출입 실적(품목별)'!A1475)</f>
        <v>2025.04</v>
      </c>
      <c r="B1471" s="17" t="n">
        <f aca="false">IFERROR(VALUE(LEFT($A1471,4)),"")</f>
        <v>2025</v>
      </c>
      <c r="C1471" s="17" t="n">
        <f aca="false">IFERROR(VALUE(RIGHT($A1471,2)),"")</f>
        <v>4</v>
      </c>
      <c r="D1471" s="17" t="n">
        <f aca="false">IFERROR(ROUNDUP($C1471/3,0),"")</f>
        <v>2</v>
      </c>
      <c r="E1471" s="11" t="str">
        <f aca="false">TRIM('수출입 실적(품목별)'!B1475)</f>
        <v>24</v>
      </c>
      <c r="F1471" s="11" t="str">
        <f aca="false">TRIM('수출입 실적(품목별)'!C1475)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471" s="18" t="n">
        <f aca="false">IFERROR(VALUE(SUBSTITUTE(TRIM('수출입 실적(품목별)'!D1475),",","")),"")</f>
        <v>8357</v>
      </c>
      <c r="H1471" s="19" t="n">
        <f aca="false">IFERROR(VALUE(SUBSTITUTE(TRIM('수출입 실적(품목별)'!E1475),",","")),"")</f>
        <v>98980</v>
      </c>
      <c r="I1471" s="18" t="n">
        <f aca="false">IFERROR(VALUE(SUBSTITUTE(TRIM('수출입 실적(품목별)'!F1475),",","")),"")</f>
        <v>7181.2</v>
      </c>
      <c r="J1471" s="19" t="n">
        <f aca="false">IFERROR(VALUE(SUBSTITUTE(TRIM('수출입 실적(품목별)'!G1475),",","")),"")</f>
        <v>61151</v>
      </c>
      <c r="K1471" s="19" t="n">
        <f aca="false">IFERROR(VALUE(SUBSTITUTE(TRIM('수출입 실적(품목별)'!H1475),",","")),"")</f>
        <v>37828</v>
      </c>
    </row>
    <row r="1472" customFormat="false" ht="15" hidden="false" customHeight="true" outlineLevel="0" collapsed="false">
      <c r="A1472" s="11" t="str">
        <f aca="false">TRIM('수출입 실적(품목별)'!A1476)</f>
        <v>2025.04</v>
      </c>
      <c r="B1472" s="17" t="n">
        <f aca="false">IFERROR(VALUE(LEFT($A1472,4)),"")</f>
        <v>2025</v>
      </c>
      <c r="C1472" s="17" t="n">
        <f aca="false">IFERROR(VALUE(RIGHT($A1472,2)),"")</f>
        <v>4</v>
      </c>
      <c r="D1472" s="17" t="n">
        <f aca="false">IFERROR(ROUNDUP($C1472/3,0),"")</f>
        <v>2</v>
      </c>
      <c r="E1472" s="11" t="str">
        <f aca="false">TRIM('수출입 실적(품목별)'!B1476)</f>
        <v>25</v>
      </c>
      <c r="F1472" s="11" t="str">
        <f aca="false">TRIM('수출입 실적(품목별)'!C1476)</f>
        <v>소금, 황, 토석류(土石類), 석고ㆍ석회ㆍ시멘트</v>
      </c>
      <c r="G1472" s="18" t="n">
        <f aca="false">IFERROR(VALUE(SUBSTITUTE(TRIM('수출입 실적(품목별)'!D1476),",","")),"")</f>
        <v>771556.8</v>
      </c>
      <c r="H1472" s="19" t="n">
        <f aca="false">IFERROR(VALUE(SUBSTITUTE(TRIM('수출입 실적(품목별)'!E1476),",","")),"")</f>
        <v>50509</v>
      </c>
      <c r="I1472" s="18" t="n">
        <f aca="false">IFERROR(VALUE(SUBSTITUTE(TRIM('수출입 실적(품목별)'!F1476),",","")),"")</f>
        <v>1032071.4</v>
      </c>
      <c r="J1472" s="19" t="n">
        <f aca="false">IFERROR(VALUE(SUBSTITUTE(TRIM('수출입 실적(품목별)'!G1476),",","")),"")</f>
        <v>97809</v>
      </c>
      <c r="K1472" s="19" t="n">
        <f aca="false">IFERROR(VALUE(SUBSTITUTE(TRIM('수출입 실적(품목별)'!H1476),",","")),"")</f>
        <v>-47300</v>
      </c>
    </row>
    <row r="1473" customFormat="false" ht="15" hidden="false" customHeight="true" outlineLevel="0" collapsed="false">
      <c r="A1473" s="11" t="str">
        <f aca="false">TRIM('수출입 실적(품목별)'!A1477)</f>
        <v>2025.04</v>
      </c>
      <c r="B1473" s="17" t="n">
        <f aca="false">IFERROR(VALUE(LEFT($A1473,4)),"")</f>
        <v>2025</v>
      </c>
      <c r="C1473" s="17" t="n">
        <f aca="false">IFERROR(VALUE(RIGHT($A1473,2)),"")</f>
        <v>4</v>
      </c>
      <c r="D1473" s="17" t="n">
        <f aca="false">IFERROR(ROUNDUP($C1473/3,0),"")</f>
        <v>2</v>
      </c>
      <c r="E1473" s="11" t="str">
        <f aca="false">TRIM('수출입 실적(품목별)'!B1477)</f>
        <v>26</v>
      </c>
      <c r="F1473" s="11" t="str">
        <f aca="false">TRIM('수출입 실적(품목별)'!C1477)</f>
        <v>광(鑛)ㆍ슬래그(slag)ㆍ회(灰)</v>
      </c>
      <c r="G1473" s="18" t="n">
        <f aca="false">IFERROR(VALUE(SUBSTITUTE(TRIM('수출입 실적(품목별)'!D1477),",","")),"")</f>
        <v>221056.7</v>
      </c>
      <c r="H1473" s="19" t="n">
        <f aca="false">IFERROR(VALUE(SUBSTITUTE(TRIM('수출입 실적(품목별)'!E1477),",","")),"")</f>
        <v>41174</v>
      </c>
      <c r="I1473" s="18" t="n">
        <f aca="false">IFERROR(VALUE(SUBSTITUTE(TRIM('수출입 실적(품목별)'!F1477),",","")),"")</f>
        <v>7657729.3</v>
      </c>
      <c r="J1473" s="19" t="n">
        <f aca="false">IFERROR(VALUE(SUBSTITUTE(TRIM('수출입 실적(품목별)'!G1477),",","")),"")</f>
        <v>1796334</v>
      </c>
      <c r="K1473" s="19" t="n">
        <f aca="false">IFERROR(VALUE(SUBSTITUTE(TRIM('수출입 실적(품목별)'!H1477),",","")),"")</f>
        <v>-1755159</v>
      </c>
    </row>
    <row r="1474" customFormat="false" ht="15" hidden="false" customHeight="true" outlineLevel="0" collapsed="false">
      <c r="A1474" s="11" t="str">
        <f aca="false">TRIM('수출입 실적(품목별)'!A1478)</f>
        <v>2025.04</v>
      </c>
      <c r="B1474" s="17" t="n">
        <f aca="false">IFERROR(VALUE(LEFT($A1474,4)),"")</f>
        <v>2025</v>
      </c>
      <c r="C1474" s="17" t="n">
        <f aca="false">IFERROR(VALUE(RIGHT($A1474,2)),"")</f>
        <v>4</v>
      </c>
      <c r="D1474" s="17" t="n">
        <f aca="false">IFERROR(ROUNDUP($C1474/3,0),"")</f>
        <v>2</v>
      </c>
      <c r="E1474" s="11" t="str">
        <f aca="false">TRIM('수출입 실적(품목별)'!B1478)</f>
        <v>27</v>
      </c>
      <c r="F1474" s="11" t="str">
        <f aca="false">TRIM('수출입 실적(품목별)'!C1478)</f>
        <v>광물성 연료ㆍ광물유(鑛物油)와 이들의 증류물, 역청(瀝靑)물질, 광물성 왁스</v>
      </c>
      <c r="G1474" s="18" t="n">
        <f aca="false">IFERROR(VALUE(SUBSTITUTE(TRIM('수출입 실적(품목별)'!D1478),",","")),"")</f>
        <v>5831940.7</v>
      </c>
      <c r="H1474" s="19" t="n">
        <f aca="false">IFERROR(VALUE(SUBSTITUTE(TRIM('수출입 실적(품목별)'!E1478),",","")),"")</f>
        <v>3842945</v>
      </c>
      <c r="I1474" s="18" t="n">
        <f aca="false">IFERROR(VALUE(SUBSTITUTE(TRIM('수출입 실적(품목별)'!F1478),",","")),"")</f>
        <v>25906655.9</v>
      </c>
      <c r="J1474" s="19" t="n">
        <f aca="false">IFERROR(VALUE(SUBSTITUTE(TRIM('수출입 실적(품목별)'!G1478),",","")),"")</f>
        <v>11849093</v>
      </c>
      <c r="K1474" s="19" t="n">
        <f aca="false">IFERROR(VALUE(SUBSTITUTE(TRIM('수출입 실적(품목별)'!H1478),",","")),"")</f>
        <v>-8006148</v>
      </c>
    </row>
    <row r="1475" customFormat="false" ht="15" hidden="false" customHeight="true" outlineLevel="0" collapsed="false">
      <c r="A1475" s="11" t="str">
        <f aca="false">TRIM('수출입 실적(품목별)'!A1479)</f>
        <v>2025.04</v>
      </c>
      <c r="B1475" s="17" t="n">
        <f aca="false">IFERROR(VALUE(LEFT($A1475,4)),"")</f>
        <v>2025</v>
      </c>
      <c r="C1475" s="17" t="n">
        <f aca="false">IFERROR(VALUE(RIGHT($A1475,2)),"")</f>
        <v>4</v>
      </c>
      <c r="D1475" s="17" t="n">
        <f aca="false">IFERROR(ROUNDUP($C1475/3,0),"")</f>
        <v>2</v>
      </c>
      <c r="E1475" s="11" t="str">
        <f aca="false">TRIM('수출입 실적(품목별)'!B1479)</f>
        <v>28</v>
      </c>
      <c r="F1475" s="11" t="str">
        <f aca="false">TRIM('수출입 실적(품목별)'!C1479)</f>
        <v>무기화학품, 귀금속ㆍ희토류(稀土類)금속ㆍ방사성원소ㆍ동위원소의 유기화합물이나 무기화합물</v>
      </c>
      <c r="G1475" s="18" t="n">
        <f aca="false">IFERROR(VALUE(SUBSTITUTE(TRIM('수출입 실적(품목별)'!D1479),",","")),"")</f>
        <v>518700.5</v>
      </c>
      <c r="H1475" s="19" t="n">
        <f aca="false">IFERROR(VALUE(SUBSTITUTE(TRIM('수출입 실적(품목별)'!E1479),",","")),"")</f>
        <v>767532</v>
      </c>
      <c r="I1475" s="18" t="n">
        <f aca="false">IFERROR(VALUE(SUBSTITUTE(TRIM('수출입 실적(품목별)'!F1479),",","")),"")</f>
        <v>371540.8</v>
      </c>
      <c r="J1475" s="19" t="n">
        <f aca="false">IFERROR(VALUE(SUBSTITUTE(TRIM('수출입 실적(품목별)'!G1479),",","")),"")</f>
        <v>931268</v>
      </c>
      <c r="K1475" s="19" t="n">
        <f aca="false">IFERROR(VALUE(SUBSTITUTE(TRIM('수출입 실적(품목별)'!H1479),",","")),"")</f>
        <v>-163735</v>
      </c>
    </row>
    <row r="1476" customFormat="false" ht="15" hidden="false" customHeight="true" outlineLevel="0" collapsed="false">
      <c r="A1476" s="11" t="str">
        <f aca="false">TRIM('수출입 실적(품목별)'!A1480)</f>
        <v>2025.04</v>
      </c>
      <c r="B1476" s="17" t="n">
        <f aca="false">IFERROR(VALUE(LEFT($A1476,4)),"")</f>
        <v>2025</v>
      </c>
      <c r="C1476" s="17" t="n">
        <f aca="false">IFERROR(VALUE(RIGHT($A1476,2)),"")</f>
        <v>4</v>
      </c>
      <c r="D1476" s="17" t="n">
        <f aca="false">IFERROR(ROUNDUP($C1476/3,0),"")</f>
        <v>2</v>
      </c>
      <c r="E1476" s="11" t="str">
        <f aca="false">TRIM('수출입 실적(품목별)'!B1480)</f>
        <v>29</v>
      </c>
      <c r="F1476" s="11" t="str">
        <f aca="false">TRIM('수출입 실적(품목별)'!C1480)</f>
        <v>유기화학품</v>
      </c>
      <c r="G1476" s="18" t="n">
        <f aca="false">IFERROR(VALUE(SUBSTITUTE(TRIM('수출입 실적(품목별)'!D1480),",","")),"")</f>
        <v>1553625.9</v>
      </c>
      <c r="H1476" s="19" t="n">
        <f aca="false">IFERROR(VALUE(SUBSTITUTE(TRIM('수출입 실적(품목별)'!E1480),",","")),"")</f>
        <v>1554189</v>
      </c>
      <c r="I1476" s="18" t="n">
        <f aca="false">IFERROR(VALUE(SUBSTITUTE(TRIM('수출입 실적(품목별)'!F1480),",","")),"")</f>
        <v>766069</v>
      </c>
      <c r="J1476" s="19" t="n">
        <f aca="false">IFERROR(VALUE(SUBSTITUTE(TRIM('수출입 실적(품목별)'!G1480),",","")),"")</f>
        <v>1241713</v>
      </c>
      <c r="K1476" s="19" t="n">
        <f aca="false">IFERROR(VALUE(SUBSTITUTE(TRIM('수출입 실적(품목별)'!H1480),",","")),"")</f>
        <v>312476</v>
      </c>
    </row>
    <row r="1477" customFormat="false" ht="15" hidden="false" customHeight="true" outlineLevel="0" collapsed="false">
      <c r="A1477" s="11" t="str">
        <f aca="false">TRIM('수출입 실적(품목별)'!A1481)</f>
        <v>2025.04</v>
      </c>
      <c r="B1477" s="17" t="n">
        <f aca="false">IFERROR(VALUE(LEFT($A1477,4)),"")</f>
        <v>2025</v>
      </c>
      <c r="C1477" s="17" t="n">
        <f aca="false">IFERROR(VALUE(RIGHT($A1477,2)),"")</f>
        <v>4</v>
      </c>
      <c r="D1477" s="17" t="n">
        <f aca="false">IFERROR(ROUNDUP($C1477/3,0),"")</f>
        <v>2</v>
      </c>
      <c r="E1477" s="11" t="str">
        <f aca="false">TRIM('수출입 실적(품목별)'!B1481)</f>
        <v>30</v>
      </c>
      <c r="F1477" s="11" t="str">
        <f aca="false">TRIM('수출입 실적(품목별)'!C1481)</f>
        <v>의료용품</v>
      </c>
      <c r="G1477" s="18" t="n">
        <f aca="false">IFERROR(VALUE(SUBSTITUTE(TRIM('수출입 실적(품목별)'!D1481),",","")),"")</f>
        <v>2659.3</v>
      </c>
      <c r="H1477" s="19" t="n">
        <f aca="false">IFERROR(VALUE(SUBSTITUTE(TRIM('수출입 실적(품목별)'!E1481),",","")),"")</f>
        <v>763728</v>
      </c>
      <c r="I1477" s="18" t="n">
        <f aca="false">IFERROR(VALUE(SUBSTITUTE(TRIM('수출입 실적(품목별)'!F1481),",","")),"")</f>
        <v>8038.8</v>
      </c>
      <c r="J1477" s="19" t="n">
        <f aca="false">IFERROR(VALUE(SUBSTITUTE(TRIM('수출입 실적(품목별)'!G1481),",","")),"")</f>
        <v>778419</v>
      </c>
      <c r="K1477" s="19" t="n">
        <f aca="false">IFERROR(VALUE(SUBSTITUTE(TRIM('수출입 실적(품목별)'!H1481),",","")),"")</f>
        <v>-14691</v>
      </c>
    </row>
    <row r="1478" customFormat="false" ht="15" hidden="false" customHeight="true" outlineLevel="0" collapsed="false">
      <c r="A1478" s="11" t="str">
        <f aca="false">TRIM('수출입 실적(품목별)'!A1482)</f>
        <v>2025.04</v>
      </c>
      <c r="B1478" s="17" t="n">
        <f aca="false">IFERROR(VALUE(LEFT($A1478,4)),"")</f>
        <v>2025</v>
      </c>
      <c r="C1478" s="17" t="n">
        <f aca="false">IFERROR(VALUE(RIGHT($A1478,2)),"")</f>
        <v>4</v>
      </c>
      <c r="D1478" s="17" t="n">
        <f aca="false">IFERROR(ROUNDUP($C1478/3,0),"")</f>
        <v>2</v>
      </c>
      <c r="E1478" s="11" t="str">
        <f aca="false">TRIM('수출입 실적(품목별)'!B1482)</f>
        <v>31</v>
      </c>
      <c r="F1478" s="11" t="str">
        <f aca="false">TRIM('수출입 실적(품목별)'!C1482)</f>
        <v>비료</v>
      </c>
      <c r="G1478" s="18" t="n">
        <f aca="false">IFERROR(VALUE(SUBSTITUTE(TRIM('수출입 실적(품목별)'!D1482),",","")),"")</f>
        <v>102921.3</v>
      </c>
      <c r="H1478" s="19" t="n">
        <f aca="false">IFERROR(VALUE(SUBSTITUTE(TRIM('수출입 실적(품목별)'!E1482),",","")),"")</f>
        <v>35833</v>
      </c>
      <c r="I1478" s="18" t="n">
        <f aca="false">IFERROR(VALUE(SUBSTITUTE(TRIM('수출입 실적(품목별)'!F1482),",","")),"")</f>
        <v>129548.6</v>
      </c>
      <c r="J1478" s="19" t="n">
        <f aca="false">IFERROR(VALUE(SUBSTITUTE(TRIM('수출입 실적(품목별)'!G1482),",","")),"")</f>
        <v>54161</v>
      </c>
      <c r="K1478" s="19" t="n">
        <f aca="false">IFERROR(VALUE(SUBSTITUTE(TRIM('수출입 실적(품목별)'!H1482),",","")),"")</f>
        <v>-18329</v>
      </c>
    </row>
    <row r="1479" customFormat="false" ht="15" hidden="false" customHeight="true" outlineLevel="0" collapsed="false">
      <c r="A1479" s="11" t="str">
        <f aca="false">TRIM('수출입 실적(품목별)'!A1483)</f>
        <v>2025.04</v>
      </c>
      <c r="B1479" s="17" t="n">
        <f aca="false">IFERROR(VALUE(LEFT($A1479,4)),"")</f>
        <v>2025</v>
      </c>
      <c r="C1479" s="17" t="n">
        <f aca="false">IFERROR(VALUE(RIGHT($A1479,2)),"")</f>
        <v>4</v>
      </c>
      <c r="D1479" s="17" t="n">
        <f aca="false">IFERROR(ROUNDUP($C1479/3,0),"")</f>
        <v>2</v>
      </c>
      <c r="E1479" s="11" t="str">
        <f aca="false">TRIM('수출입 실적(품목별)'!B1483)</f>
        <v>32</v>
      </c>
      <c r="F1479" s="11" t="str">
        <f aca="false">TRIM('수출입 실적(품목별)'!C1483)</f>
        <v>유연용ㆍ염색용 추출물(extract), 탄닌과 이들의 유도체, 염료ㆍ안료와 그 밖의 착색제, 페인트ㆍ바니시(varnish), 퍼티(putty)와 그 밖의 매스틱(mastic), 잉크</v>
      </c>
      <c r="G1479" s="18" t="n">
        <f aca="false">IFERROR(VALUE(SUBSTITUTE(TRIM('수출입 실적(품목별)'!D1483),",","")),"")</f>
        <v>31926.2</v>
      </c>
      <c r="H1479" s="19" t="n">
        <f aca="false">IFERROR(VALUE(SUBSTITUTE(TRIM('수출입 실적(품목별)'!E1483),",","")),"")</f>
        <v>233233</v>
      </c>
      <c r="I1479" s="18" t="n">
        <f aca="false">IFERROR(VALUE(SUBSTITUTE(TRIM('수출입 실적(품목별)'!F1483),",","")),"")</f>
        <v>27692.2</v>
      </c>
      <c r="J1479" s="19" t="n">
        <f aca="false">IFERROR(VALUE(SUBSTITUTE(TRIM('수출입 실적(품목별)'!G1483),",","")),"")</f>
        <v>216194</v>
      </c>
      <c r="K1479" s="19" t="n">
        <f aca="false">IFERROR(VALUE(SUBSTITUTE(TRIM('수출입 실적(품목별)'!H1483),",","")),"")</f>
        <v>17039</v>
      </c>
    </row>
    <row r="1480" customFormat="false" ht="15" hidden="false" customHeight="true" outlineLevel="0" collapsed="false">
      <c r="A1480" s="11" t="str">
        <f aca="false">TRIM('수출입 실적(품목별)'!A1484)</f>
        <v>2025.04</v>
      </c>
      <c r="B1480" s="17" t="n">
        <f aca="false">IFERROR(VALUE(LEFT($A1480,4)),"")</f>
        <v>2025</v>
      </c>
      <c r="C1480" s="17" t="n">
        <f aca="false">IFERROR(VALUE(RIGHT($A1480,2)),"")</f>
        <v>4</v>
      </c>
      <c r="D1480" s="17" t="n">
        <f aca="false">IFERROR(ROUNDUP($C1480/3,0),"")</f>
        <v>2</v>
      </c>
      <c r="E1480" s="11" t="str">
        <f aca="false">TRIM('수출입 실적(품목별)'!B1484)</f>
        <v>33</v>
      </c>
      <c r="F1480" s="11" t="str">
        <f aca="false">TRIM('수출입 실적(품목별)'!C1484)</f>
        <v>정유(essential oil)와 레지노이드(resinoid), 조제향료와 화장품ㆍ화장용품</v>
      </c>
      <c r="G1480" s="18" t="n">
        <f aca="false">IFERROR(VALUE(SUBSTITUTE(TRIM('수출입 실적(품목별)'!D1484),",","")),"")</f>
        <v>47524.1</v>
      </c>
      <c r="H1480" s="19" t="n">
        <f aca="false">IFERROR(VALUE(SUBSTITUTE(TRIM('수출입 실적(품목별)'!E1484),",","")),"")</f>
        <v>992867</v>
      </c>
      <c r="I1480" s="18" t="n">
        <f aca="false">IFERROR(VALUE(SUBSTITUTE(TRIM('수출입 실적(품목별)'!F1484),",","")),"")</f>
        <v>9858.1</v>
      </c>
      <c r="J1480" s="19" t="n">
        <f aca="false">IFERROR(VALUE(SUBSTITUTE(TRIM('수출입 실적(품목별)'!G1484),",","")),"")</f>
        <v>181211</v>
      </c>
      <c r="K1480" s="19" t="n">
        <f aca="false">IFERROR(VALUE(SUBSTITUTE(TRIM('수출입 실적(품목별)'!H1484),",","")),"")</f>
        <v>811655</v>
      </c>
    </row>
    <row r="1481" customFormat="false" ht="15" hidden="false" customHeight="true" outlineLevel="0" collapsed="false">
      <c r="A1481" s="11" t="str">
        <f aca="false">TRIM('수출입 실적(품목별)'!A1485)</f>
        <v>2025.04</v>
      </c>
      <c r="B1481" s="17" t="n">
        <f aca="false">IFERROR(VALUE(LEFT($A1481,4)),"")</f>
        <v>2025</v>
      </c>
      <c r="C1481" s="17" t="n">
        <f aca="false">IFERROR(VALUE(RIGHT($A1481,2)),"")</f>
        <v>4</v>
      </c>
      <c r="D1481" s="17" t="n">
        <f aca="false">IFERROR(ROUNDUP($C1481/3,0),"")</f>
        <v>2</v>
      </c>
      <c r="E1481" s="11" t="str">
        <f aca="false">TRIM('수출입 실적(품목별)'!B1485)</f>
        <v>34</v>
      </c>
      <c r="F1481" s="11" t="str">
        <f aca="false">TRIM('수출입 실적(품목별)'!C1485)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481" s="18" t="n">
        <f aca="false">IFERROR(VALUE(SUBSTITUTE(TRIM('수출입 실적(품목별)'!D1485),",","")),"")</f>
        <v>53131.7</v>
      </c>
      <c r="H1481" s="19" t="n">
        <f aca="false">IFERROR(VALUE(SUBSTITUTE(TRIM('수출입 실적(품목별)'!E1485),",","")),"")</f>
        <v>169033</v>
      </c>
      <c r="I1481" s="18" t="n">
        <f aca="false">IFERROR(VALUE(SUBSTITUTE(TRIM('수출입 실적(품목별)'!F1485),",","")),"")</f>
        <v>23058.7</v>
      </c>
      <c r="J1481" s="19" t="n">
        <f aca="false">IFERROR(VALUE(SUBSTITUTE(TRIM('수출입 실적(품목별)'!G1485),",","")),"")</f>
        <v>97036</v>
      </c>
      <c r="K1481" s="19" t="n">
        <f aca="false">IFERROR(VALUE(SUBSTITUTE(TRIM('수출입 실적(품목별)'!H1485),",","")),"")</f>
        <v>71997</v>
      </c>
    </row>
    <row r="1482" customFormat="false" ht="15" hidden="false" customHeight="true" outlineLevel="0" collapsed="false">
      <c r="A1482" s="11" t="str">
        <f aca="false">TRIM('수출입 실적(품목별)'!A1486)</f>
        <v>2025.04</v>
      </c>
      <c r="B1482" s="17" t="n">
        <f aca="false">IFERROR(VALUE(LEFT($A1482,4)),"")</f>
        <v>2025</v>
      </c>
      <c r="C1482" s="17" t="n">
        <f aca="false">IFERROR(VALUE(RIGHT($A1482,2)),"")</f>
        <v>4</v>
      </c>
      <c r="D1482" s="17" t="n">
        <f aca="false">IFERROR(ROUNDUP($C1482/3,0),"")</f>
        <v>2</v>
      </c>
      <c r="E1482" s="11" t="str">
        <f aca="false">TRIM('수출입 실적(품목별)'!B1486)</f>
        <v>35</v>
      </c>
      <c r="F1482" s="11" t="str">
        <f aca="false">TRIM('수출입 실적(품목별)'!C1486)</f>
        <v>단백질계 물질, 변성전분, 글루(glue), 효소</v>
      </c>
      <c r="G1482" s="18" t="n">
        <f aca="false">IFERROR(VALUE(SUBSTITUTE(TRIM('수출입 실적(품목별)'!D1486),",","")),"")</f>
        <v>7467.6</v>
      </c>
      <c r="H1482" s="19" t="n">
        <f aca="false">IFERROR(VALUE(SUBSTITUTE(TRIM('수출입 실적(품목별)'!E1486),",","")),"")</f>
        <v>85864</v>
      </c>
      <c r="I1482" s="18" t="n">
        <f aca="false">IFERROR(VALUE(SUBSTITUTE(TRIM('수출입 실적(품목별)'!F1486),",","")),"")</f>
        <v>20175.9</v>
      </c>
      <c r="J1482" s="19" t="n">
        <f aca="false">IFERROR(VALUE(SUBSTITUTE(TRIM('수출입 실적(품목별)'!G1486),",","")),"")</f>
        <v>93251</v>
      </c>
      <c r="K1482" s="19" t="n">
        <f aca="false">IFERROR(VALUE(SUBSTITUTE(TRIM('수출입 실적(품목별)'!H1486),",","")),"")</f>
        <v>-7387</v>
      </c>
    </row>
    <row r="1483" customFormat="false" ht="15" hidden="false" customHeight="true" outlineLevel="0" collapsed="false">
      <c r="A1483" s="11" t="str">
        <f aca="false">TRIM('수출입 실적(품목별)'!A1487)</f>
        <v>2025.04</v>
      </c>
      <c r="B1483" s="17" t="n">
        <f aca="false">IFERROR(VALUE(LEFT($A1483,4)),"")</f>
        <v>2025</v>
      </c>
      <c r="C1483" s="17" t="n">
        <f aca="false">IFERROR(VALUE(RIGHT($A1483,2)),"")</f>
        <v>4</v>
      </c>
      <c r="D1483" s="17" t="n">
        <f aca="false">IFERROR(ROUNDUP($C1483/3,0),"")</f>
        <v>2</v>
      </c>
      <c r="E1483" s="11" t="str">
        <f aca="false">TRIM('수출입 실적(품목별)'!B1487)</f>
        <v>36</v>
      </c>
      <c r="F1483" s="11" t="str">
        <f aca="false">TRIM('수출입 실적(품목별)'!C1487)</f>
        <v>화약류, 화공품, 성냥, 발화성 합금, 특정 가연성 조제품</v>
      </c>
      <c r="G1483" s="18" t="n">
        <f aca="false">IFERROR(VALUE(SUBSTITUTE(TRIM('수출입 실적(품목별)'!D1487),",","")),"")</f>
        <v>112.6</v>
      </c>
      <c r="H1483" s="19" t="n">
        <f aca="false">IFERROR(VALUE(SUBSTITUTE(TRIM('수출입 실적(품목별)'!E1487),",","")),"")</f>
        <v>2317</v>
      </c>
      <c r="I1483" s="18" t="n">
        <f aca="false">IFERROR(VALUE(SUBSTITUTE(TRIM('수출입 실적(품목별)'!F1487),",","")),"")</f>
        <v>264.1</v>
      </c>
      <c r="J1483" s="19" t="n">
        <f aca="false">IFERROR(VALUE(SUBSTITUTE(TRIM('수출입 실적(품목별)'!G1487),",","")),"")</f>
        <v>6395</v>
      </c>
      <c r="K1483" s="19" t="n">
        <f aca="false">IFERROR(VALUE(SUBSTITUTE(TRIM('수출입 실적(품목별)'!H1487),",","")),"")</f>
        <v>-4078</v>
      </c>
    </row>
    <row r="1484" customFormat="false" ht="15" hidden="false" customHeight="true" outlineLevel="0" collapsed="false">
      <c r="A1484" s="11" t="str">
        <f aca="false">TRIM('수출입 실적(품목별)'!A1488)</f>
        <v>2025.04</v>
      </c>
      <c r="B1484" s="17" t="n">
        <f aca="false">IFERROR(VALUE(LEFT($A1484,4)),"")</f>
        <v>2025</v>
      </c>
      <c r="C1484" s="17" t="n">
        <f aca="false">IFERROR(VALUE(RIGHT($A1484,2)),"")</f>
        <v>4</v>
      </c>
      <c r="D1484" s="17" t="n">
        <f aca="false">IFERROR(ROUNDUP($C1484/3,0),"")</f>
        <v>2</v>
      </c>
      <c r="E1484" s="11" t="str">
        <f aca="false">TRIM('수출입 실적(품목별)'!B1488)</f>
        <v>37</v>
      </c>
      <c r="F1484" s="11" t="str">
        <f aca="false">TRIM('수출입 실적(품목별)'!C1488)</f>
        <v>사진용이나 영화용 재료</v>
      </c>
      <c r="G1484" s="18" t="n">
        <f aca="false">IFERROR(VALUE(SUBSTITUTE(TRIM('수출입 실적(품목별)'!D1488),",","")),"")</f>
        <v>1970.3</v>
      </c>
      <c r="H1484" s="19" t="n">
        <f aca="false">IFERROR(VALUE(SUBSTITUTE(TRIM('수출입 실적(품목별)'!E1488),",","")),"")</f>
        <v>97568</v>
      </c>
      <c r="I1484" s="18" t="n">
        <f aca="false">IFERROR(VALUE(SUBSTITUTE(TRIM('수출입 실적(품목별)'!F1488),",","")),"")</f>
        <v>3054.5</v>
      </c>
      <c r="J1484" s="19" t="n">
        <f aca="false">IFERROR(VALUE(SUBSTITUTE(TRIM('수출입 실적(품목별)'!G1488),",","")),"")</f>
        <v>92549</v>
      </c>
      <c r="K1484" s="19" t="n">
        <f aca="false">IFERROR(VALUE(SUBSTITUTE(TRIM('수출입 실적(품목별)'!H1488),",","")),"")</f>
        <v>5019</v>
      </c>
    </row>
    <row r="1485" customFormat="false" ht="15" hidden="false" customHeight="true" outlineLevel="0" collapsed="false">
      <c r="A1485" s="11" t="str">
        <f aca="false">TRIM('수출입 실적(품목별)'!A1489)</f>
        <v>2025.04</v>
      </c>
      <c r="B1485" s="17" t="n">
        <f aca="false">IFERROR(VALUE(LEFT($A1485,4)),"")</f>
        <v>2025</v>
      </c>
      <c r="C1485" s="17" t="n">
        <f aca="false">IFERROR(VALUE(RIGHT($A1485,2)),"")</f>
        <v>4</v>
      </c>
      <c r="D1485" s="17" t="n">
        <f aca="false">IFERROR(ROUNDUP($C1485/3,0),"")</f>
        <v>2</v>
      </c>
      <c r="E1485" s="11" t="str">
        <f aca="false">TRIM('수출입 실적(품목별)'!B1489)</f>
        <v>38</v>
      </c>
      <c r="F1485" s="11" t="str">
        <f aca="false">TRIM('수출입 실적(품목별)'!C1489)</f>
        <v>각종 화학공업 생산품</v>
      </c>
      <c r="G1485" s="18" t="n">
        <f aca="false">IFERROR(VALUE(SUBSTITUTE(TRIM('수출입 실적(품목별)'!D1489),",","")),"")</f>
        <v>92709.4</v>
      </c>
      <c r="H1485" s="19" t="n">
        <f aca="false">IFERROR(VALUE(SUBSTITUTE(TRIM('수출입 실적(품목별)'!E1489),",","")),"")</f>
        <v>687376</v>
      </c>
      <c r="I1485" s="18" t="n">
        <f aca="false">IFERROR(VALUE(SUBSTITUTE(TRIM('수출입 실적(품목별)'!F1489),",","")),"")</f>
        <v>220039.1</v>
      </c>
      <c r="J1485" s="19" t="n">
        <f aca="false">IFERROR(VALUE(SUBSTITUTE(TRIM('수출입 실적(품목별)'!G1489),",","")),"")</f>
        <v>841775</v>
      </c>
      <c r="K1485" s="19" t="n">
        <f aca="false">IFERROR(VALUE(SUBSTITUTE(TRIM('수출입 실적(품목별)'!H1489),",","")),"")</f>
        <v>-154399</v>
      </c>
    </row>
    <row r="1486" customFormat="false" ht="15" hidden="false" customHeight="true" outlineLevel="0" collapsed="false">
      <c r="A1486" s="11" t="str">
        <f aca="false">TRIM('수출입 실적(품목별)'!A1490)</f>
        <v>2025.04</v>
      </c>
      <c r="B1486" s="17" t="n">
        <f aca="false">IFERROR(VALUE(LEFT($A1486,4)),"")</f>
        <v>2025</v>
      </c>
      <c r="C1486" s="17" t="n">
        <f aca="false">IFERROR(VALUE(RIGHT($A1486,2)),"")</f>
        <v>4</v>
      </c>
      <c r="D1486" s="17" t="n">
        <f aca="false">IFERROR(ROUNDUP($C1486/3,0),"")</f>
        <v>2</v>
      </c>
      <c r="E1486" s="11" t="str">
        <f aca="false">TRIM('수출입 실적(품목별)'!B1490)</f>
        <v>39</v>
      </c>
      <c r="F1486" s="11" t="str">
        <f aca="false">TRIM('수출입 실적(품목별)'!C1490)</f>
        <v>플라스틱과 그 제품</v>
      </c>
      <c r="G1486" s="18" t="n">
        <f aca="false">IFERROR(VALUE(SUBSTITUTE(TRIM('수출입 실적(품목별)'!D1490),",","")),"")</f>
        <v>1577528.4</v>
      </c>
      <c r="H1486" s="19" t="n">
        <f aca="false">IFERROR(VALUE(SUBSTITUTE(TRIM('수출입 실적(품목별)'!E1490),",","")),"")</f>
        <v>3164916</v>
      </c>
      <c r="I1486" s="18" t="n">
        <f aca="false">IFERROR(VALUE(SUBSTITUTE(TRIM('수출입 실적(품목별)'!F1490),",","")),"")</f>
        <v>296186.5</v>
      </c>
      <c r="J1486" s="19" t="n">
        <f aca="false">IFERROR(VALUE(SUBSTITUTE(TRIM('수출입 실적(품목별)'!G1490),",","")),"")</f>
        <v>1168167</v>
      </c>
      <c r="K1486" s="19" t="n">
        <f aca="false">IFERROR(VALUE(SUBSTITUTE(TRIM('수출입 실적(품목별)'!H1490),",","")),"")</f>
        <v>1996749</v>
      </c>
    </row>
    <row r="1487" customFormat="false" ht="15" hidden="false" customHeight="true" outlineLevel="0" collapsed="false">
      <c r="A1487" s="11" t="str">
        <f aca="false">TRIM('수출입 실적(품목별)'!A1491)</f>
        <v>2025.04</v>
      </c>
      <c r="B1487" s="17" t="n">
        <f aca="false">IFERROR(VALUE(LEFT($A1487,4)),"")</f>
        <v>2025</v>
      </c>
      <c r="C1487" s="17" t="n">
        <f aca="false">IFERROR(VALUE(RIGHT($A1487,2)),"")</f>
        <v>4</v>
      </c>
      <c r="D1487" s="17" t="n">
        <f aca="false">IFERROR(ROUNDUP($C1487/3,0),"")</f>
        <v>2</v>
      </c>
      <c r="E1487" s="11" t="str">
        <f aca="false">TRIM('수출입 실적(품목별)'!B1491)</f>
        <v>40</v>
      </c>
      <c r="F1487" s="11" t="str">
        <f aca="false">TRIM('수출입 실적(품목별)'!C1491)</f>
        <v>고무와 그 제품</v>
      </c>
      <c r="G1487" s="18" t="n">
        <f aca="false">IFERROR(VALUE(SUBSTITUTE(TRIM('수출입 실적(품목별)'!D1491),",","")),"")</f>
        <v>259536.7</v>
      </c>
      <c r="H1487" s="19" t="n">
        <f aca="false">IFERROR(VALUE(SUBSTITUTE(TRIM('수출입 실적(품목별)'!E1491),",","")),"")</f>
        <v>710640</v>
      </c>
      <c r="I1487" s="18" t="n">
        <f aca="false">IFERROR(VALUE(SUBSTITUTE(TRIM('수출입 실적(품목별)'!F1491),",","")),"")</f>
        <v>84357.6</v>
      </c>
      <c r="J1487" s="19" t="n">
        <f aca="false">IFERROR(VALUE(SUBSTITUTE(TRIM('수출입 실적(품목별)'!G1491),",","")),"")</f>
        <v>277480</v>
      </c>
      <c r="K1487" s="19" t="n">
        <f aca="false">IFERROR(VALUE(SUBSTITUTE(TRIM('수출입 실적(품목별)'!H1491),",","")),"")</f>
        <v>433160</v>
      </c>
    </row>
    <row r="1488" customFormat="false" ht="15" hidden="false" customHeight="true" outlineLevel="0" collapsed="false">
      <c r="A1488" s="11" t="str">
        <f aca="false">TRIM('수출입 실적(품목별)'!A1492)</f>
        <v>2025.04</v>
      </c>
      <c r="B1488" s="17" t="n">
        <f aca="false">IFERROR(VALUE(LEFT($A1488,4)),"")</f>
        <v>2025</v>
      </c>
      <c r="C1488" s="17" t="n">
        <f aca="false">IFERROR(VALUE(RIGHT($A1488,2)),"")</f>
        <v>4</v>
      </c>
      <c r="D1488" s="17" t="n">
        <f aca="false">IFERROR(ROUNDUP($C1488/3,0),"")</f>
        <v>2</v>
      </c>
      <c r="E1488" s="11" t="str">
        <f aca="false">TRIM('수출입 실적(품목별)'!B1492)</f>
        <v>41</v>
      </c>
      <c r="F1488" s="11" t="str">
        <f aca="false">TRIM('수출입 실적(품목별)'!C1492)</f>
        <v>원피(모피는 제외한다)와 가죽</v>
      </c>
      <c r="G1488" s="18" t="n">
        <f aca="false">IFERROR(VALUE(SUBSTITUTE(TRIM('수출입 실적(품목별)'!D1492),",","")),"")</f>
        <v>2996.7</v>
      </c>
      <c r="H1488" s="19" t="n">
        <f aca="false">IFERROR(VALUE(SUBSTITUTE(TRIM('수출입 실적(품목별)'!E1492),",","")),"")</f>
        <v>28039</v>
      </c>
      <c r="I1488" s="18" t="n">
        <f aca="false">IFERROR(VALUE(SUBSTITUTE(TRIM('수출입 실적(품목별)'!F1492),",","")),"")</f>
        <v>7634.3</v>
      </c>
      <c r="J1488" s="19" t="n">
        <f aca="false">IFERROR(VALUE(SUBSTITUTE(TRIM('수출입 실적(품목별)'!G1492),",","")),"")</f>
        <v>22809</v>
      </c>
      <c r="K1488" s="19" t="n">
        <f aca="false">IFERROR(VALUE(SUBSTITUTE(TRIM('수출입 실적(품목별)'!H1492),",","")),"")</f>
        <v>5229</v>
      </c>
    </row>
    <row r="1489" customFormat="false" ht="15" hidden="false" customHeight="true" outlineLevel="0" collapsed="false">
      <c r="A1489" s="11" t="str">
        <f aca="false">TRIM('수출입 실적(품목별)'!A1493)</f>
        <v>2025.04</v>
      </c>
      <c r="B1489" s="17" t="n">
        <f aca="false">IFERROR(VALUE(LEFT($A1489,4)),"")</f>
        <v>2025</v>
      </c>
      <c r="C1489" s="17" t="n">
        <f aca="false">IFERROR(VALUE(RIGHT($A1489,2)),"")</f>
        <v>4</v>
      </c>
      <c r="D1489" s="17" t="n">
        <f aca="false">IFERROR(ROUNDUP($C1489/3,0),"")</f>
        <v>2</v>
      </c>
      <c r="E1489" s="11" t="str">
        <f aca="false">TRIM('수출입 실적(품목별)'!B1493)</f>
        <v>42</v>
      </c>
      <c r="F1489" s="11" t="str">
        <f aca="false">TRIM('수출입 실적(품목별)'!C1493)</f>
        <v>가죽제품, 마구, 여행용구ㆍ핸드백과 이와 유사한 용기, 동물 거트(gut)[누에의 거트(gut)는 제외한다]의 제품</v>
      </c>
      <c r="G1489" s="18" t="n">
        <f aca="false">IFERROR(VALUE(SUBSTITUTE(TRIM('수출입 실적(품목별)'!D1493),",","")),"")</f>
        <v>852.2</v>
      </c>
      <c r="H1489" s="19" t="n">
        <f aca="false">IFERROR(VALUE(SUBSTITUTE(TRIM('수출입 실적(품목별)'!E1493),",","")),"")</f>
        <v>41742</v>
      </c>
      <c r="I1489" s="18" t="n">
        <f aca="false">IFERROR(VALUE(SUBSTITUTE(TRIM('수출입 실적(품목별)'!F1493),",","")),"")</f>
        <v>9755</v>
      </c>
      <c r="J1489" s="19" t="n">
        <f aca="false">IFERROR(VALUE(SUBSTITUTE(TRIM('수출입 실적(품목별)'!G1493),",","")),"")</f>
        <v>300487</v>
      </c>
      <c r="K1489" s="19" t="n">
        <f aca="false">IFERROR(VALUE(SUBSTITUTE(TRIM('수출입 실적(품목별)'!H1493),",","")),"")</f>
        <v>-258745</v>
      </c>
    </row>
    <row r="1490" customFormat="false" ht="15" hidden="false" customHeight="true" outlineLevel="0" collapsed="false">
      <c r="A1490" s="11" t="str">
        <f aca="false">TRIM('수출입 실적(품목별)'!A1494)</f>
        <v>2025.04</v>
      </c>
      <c r="B1490" s="17" t="n">
        <f aca="false">IFERROR(VALUE(LEFT($A1490,4)),"")</f>
        <v>2025</v>
      </c>
      <c r="C1490" s="17" t="n">
        <f aca="false">IFERROR(VALUE(RIGHT($A1490,2)),"")</f>
        <v>4</v>
      </c>
      <c r="D1490" s="17" t="n">
        <f aca="false">IFERROR(ROUNDUP($C1490/3,0),"")</f>
        <v>2</v>
      </c>
      <c r="E1490" s="11" t="str">
        <f aca="false">TRIM('수출입 실적(품목별)'!B1494)</f>
        <v>43</v>
      </c>
      <c r="F1490" s="11" t="str">
        <f aca="false">TRIM('수출입 실적(품목별)'!C1494)</f>
        <v>모피ㆍ인조모피와 이들의 제품</v>
      </c>
      <c r="G1490" s="18" t="n">
        <f aca="false">IFERROR(VALUE(SUBSTITUTE(TRIM('수출입 실적(품목별)'!D1494),",","")),"")</f>
        <v>15.5</v>
      </c>
      <c r="H1490" s="19" t="n">
        <f aca="false">IFERROR(VALUE(SUBSTITUTE(TRIM('수출입 실적(품목별)'!E1494),",","")),"")</f>
        <v>1848</v>
      </c>
      <c r="I1490" s="18" t="n">
        <f aca="false">IFERROR(VALUE(SUBSTITUTE(TRIM('수출입 실적(품목별)'!F1494),",","")),"")</f>
        <v>22.7</v>
      </c>
      <c r="J1490" s="19" t="n">
        <f aca="false">IFERROR(VALUE(SUBSTITUTE(TRIM('수출입 실적(품목별)'!G1494),",","")),"")</f>
        <v>3338</v>
      </c>
      <c r="K1490" s="19" t="n">
        <f aca="false">IFERROR(VALUE(SUBSTITUTE(TRIM('수출입 실적(품목별)'!H1494),",","")),"")</f>
        <v>-1489</v>
      </c>
    </row>
    <row r="1491" customFormat="false" ht="15" hidden="false" customHeight="true" outlineLevel="0" collapsed="false">
      <c r="A1491" s="11" t="str">
        <f aca="false">TRIM('수출입 실적(품목별)'!A1495)</f>
        <v>2025.04</v>
      </c>
      <c r="B1491" s="17" t="n">
        <f aca="false">IFERROR(VALUE(LEFT($A1491,4)),"")</f>
        <v>2025</v>
      </c>
      <c r="C1491" s="17" t="n">
        <f aca="false">IFERROR(VALUE(RIGHT($A1491,2)),"")</f>
        <v>4</v>
      </c>
      <c r="D1491" s="17" t="n">
        <f aca="false">IFERROR(ROUNDUP($C1491/3,0),"")</f>
        <v>2</v>
      </c>
      <c r="E1491" s="11" t="str">
        <f aca="false">TRIM('수출입 실적(품목별)'!B1495)</f>
        <v>44</v>
      </c>
      <c r="F1491" s="11" t="str">
        <f aca="false">TRIM('수출입 실적(품목별)'!C1495)</f>
        <v>목재와 그 제품, 목탄</v>
      </c>
      <c r="G1491" s="18" t="n">
        <f aca="false">IFERROR(VALUE(SUBSTITUTE(TRIM('수출입 실적(품목별)'!D1495),",","")),"")</f>
        <v>4299.3</v>
      </c>
      <c r="H1491" s="19" t="n">
        <f aca="false">IFERROR(VALUE(SUBSTITUTE(TRIM('수출입 실적(품목별)'!E1495),",","")),"")</f>
        <v>6804</v>
      </c>
      <c r="I1491" s="18" t="n">
        <f aca="false">IFERROR(VALUE(SUBSTITUTE(TRIM('수출입 실적(품목별)'!F1495),",","")),"")</f>
        <v>835097.4</v>
      </c>
      <c r="J1491" s="19" t="n">
        <f aca="false">IFERROR(VALUE(SUBSTITUTE(TRIM('수출입 실적(품목별)'!G1495),",","")),"")</f>
        <v>248422</v>
      </c>
      <c r="K1491" s="19" t="n">
        <f aca="false">IFERROR(VALUE(SUBSTITUTE(TRIM('수출입 실적(품목별)'!H1495),",","")),"")</f>
        <v>-241618</v>
      </c>
    </row>
    <row r="1492" customFormat="false" ht="15" hidden="false" customHeight="true" outlineLevel="0" collapsed="false">
      <c r="A1492" s="11" t="str">
        <f aca="false">TRIM('수출입 실적(품목별)'!A1496)</f>
        <v>2025.04</v>
      </c>
      <c r="B1492" s="17" t="n">
        <f aca="false">IFERROR(VALUE(LEFT($A1492,4)),"")</f>
        <v>2025</v>
      </c>
      <c r="C1492" s="17" t="n">
        <f aca="false">IFERROR(VALUE(RIGHT($A1492,2)),"")</f>
        <v>4</v>
      </c>
      <c r="D1492" s="17" t="n">
        <f aca="false">IFERROR(ROUNDUP($C1492/3,0),"")</f>
        <v>2</v>
      </c>
      <c r="E1492" s="11" t="str">
        <f aca="false">TRIM('수출입 실적(품목별)'!B1496)</f>
        <v>45</v>
      </c>
      <c r="F1492" s="11" t="str">
        <f aca="false">TRIM('수출입 실적(품목별)'!C1496)</f>
        <v>코르크(cork)와 그 제품</v>
      </c>
      <c r="G1492" s="18" t="n">
        <f aca="false">IFERROR(VALUE(SUBSTITUTE(TRIM('수출입 실적(품목별)'!D1496),",","")),"")</f>
        <v>1.1</v>
      </c>
      <c r="H1492" s="19" t="n">
        <f aca="false">IFERROR(VALUE(SUBSTITUTE(TRIM('수출입 실적(품목별)'!E1496),",","")),"")</f>
        <v>33</v>
      </c>
      <c r="I1492" s="18" t="n">
        <f aca="false">IFERROR(VALUE(SUBSTITUTE(TRIM('수출입 실적(품목별)'!F1496),",","")),"")</f>
        <v>50.8</v>
      </c>
      <c r="J1492" s="19" t="n">
        <f aca="false">IFERROR(VALUE(SUBSTITUTE(TRIM('수출입 실적(품목별)'!G1496),",","")),"")</f>
        <v>320</v>
      </c>
      <c r="K1492" s="19" t="n">
        <f aca="false">IFERROR(VALUE(SUBSTITUTE(TRIM('수출입 실적(품목별)'!H1496),",","")),"")</f>
        <v>-287</v>
      </c>
    </row>
    <row r="1493" customFormat="false" ht="15" hidden="false" customHeight="true" outlineLevel="0" collapsed="false">
      <c r="A1493" s="11" t="str">
        <f aca="false">TRIM('수출입 실적(품목별)'!A1497)</f>
        <v>2025.04</v>
      </c>
      <c r="B1493" s="17" t="n">
        <f aca="false">IFERROR(VALUE(LEFT($A1493,4)),"")</f>
        <v>2025</v>
      </c>
      <c r="C1493" s="17" t="n">
        <f aca="false">IFERROR(VALUE(RIGHT($A1493,2)),"")</f>
        <v>4</v>
      </c>
      <c r="D1493" s="17" t="n">
        <f aca="false">IFERROR(ROUNDUP($C1493/3,0),"")</f>
        <v>2</v>
      </c>
      <c r="E1493" s="11" t="str">
        <f aca="false">TRIM('수출입 실적(품목별)'!B1497)</f>
        <v>46</v>
      </c>
      <c r="F1493" s="11" t="str">
        <f aca="false">TRIM('수출입 실적(품목별)'!C1497)</f>
        <v>짚ㆍ에스파르토(esparto)나 그 밖의 조물 재료의 제품, 바구니 세공물(basketware)과 지조세공물(枝條細工物)</v>
      </c>
      <c r="G1493" s="18" t="n">
        <f aca="false">IFERROR(VALUE(SUBSTITUTE(TRIM('수출입 실적(품목별)'!D1497),",","")),"")</f>
        <v>2.3</v>
      </c>
      <c r="H1493" s="19" t="n">
        <f aca="false">IFERROR(VALUE(SUBSTITUTE(TRIM('수출입 실적(품목별)'!E1497),",","")),"")</f>
        <v>119</v>
      </c>
      <c r="I1493" s="18" t="n">
        <f aca="false">IFERROR(VALUE(SUBSTITUTE(TRIM('수출입 실적(품목별)'!F1497),",","")),"")</f>
        <v>733.8</v>
      </c>
      <c r="J1493" s="19" t="n">
        <f aca="false">IFERROR(VALUE(SUBSTITUTE(TRIM('수출입 실적(품목별)'!G1497),",","")),"")</f>
        <v>3782</v>
      </c>
      <c r="K1493" s="19" t="n">
        <f aca="false">IFERROR(VALUE(SUBSTITUTE(TRIM('수출입 실적(품목별)'!H1497),",","")),"")</f>
        <v>-3663</v>
      </c>
    </row>
    <row r="1494" customFormat="false" ht="15" hidden="false" customHeight="true" outlineLevel="0" collapsed="false">
      <c r="A1494" s="11" t="str">
        <f aca="false">TRIM('수출입 실적(품목별)'!A1498)</f>
        <v>2025.04</v>
      </c>
      <c r="B1494" s="17" t="n">
        <f aca="false">IFERROR(VALUE(LEFT($A1494,4)),"")</f>
        <v>2025</v>
      </c>
      <c r="C1494" s="17" t="n">
        <f aca="false">IFERROR(VALUE(RIGHT($A1494,2)),"")</f>
        <v>4</v>
      </c>
      <c r="D1494" s="17" t="n">
        <f aca="false">IFERROR(ROUNDUP($C1494/3,0),"")</f>
        <v>2</v>
      </c>
      <c r="E1494" s="11" t="str">
        <f aca="false">TRIM('수출입 실적(품목별)'!B1498)</f>
        <v>47</v>
      </c>
      <c r="F1494" s="11" t="str">
        <f aca="false">TRIM('수출입 실적(품목별)'!C1498)</f>
        <v>목재나 그 밖의 섬유질 셀룰로오스재료의 펄프, 회수한 종이ㆍ판지[웨이스트(waste)와 스크랩(scrap)]</v>
      </c>
      <c r="G1494" s="18" t="n">
        <f aca="false">IFERROR(VALUE(SUBSTITUTE(TRIM('수출입 실적(품목별)'!D1498),",","")),"")</f>
        <v>68279.1</v>
      </c>
      <c r="H1494" s="19" t="n">
        <f aca="false">IFERROR(VALUE(SUBSTITUTE(TRIM('수출입 실적(품목별)'!E1498),",","")),"")</f>
        <v>10759</v>
      </c>
      <c r="I1494" s="18" t="n">
        <f aca="false">IFERROR(VALUE(SUBSTITUTE(TRIM('수출입 실적(품목별)'!F1498),",","")),"")</f>
        <v>233265.7</v>
      </c>
      <c r="J1494" s="19" t="n">
        <f aca="false">IFERROR(VALUE(SUBSTITUTE(TRIM('수출입 실적(품목별)'!G1498),",","")),"")</f>
        <v>126059</v>
      </c>
      <c r="K1494" s="19" t="n">
        <f aca="false">IFERROR(VALUE(SUBSTITUTE(TRIM('수출입 실적(품목별)'!H1498),",","")),"")</f>
        <v>-115300</v>
      </c>
    </row>
    <row r="1495" customFormat="false" ht="15" hidden="false" customHeight="true" outlineLevel="0" collapsed="false">
      <c r="A1495" s="11" t="str">
        <f aca="false">TRIM('수출입 실적(품목별)'!A1499)</f>
        <v>2025.04</v>
      </c>
      <c r="B1495" s="17" t="n">
        <f aca="false">IFERROR(VALUE(LEFT($A1495,4)),"")</f>
        <v>2025</v>
      </c>
      <c r="C1495" s="17" t="n">
        <f aca="false">IFERROR(VALUE(RIGHT($A1495,2)),"")</f>
        <v>4</v>
      </c>
      <c r="D1495" s="17" t="n">
        <f aca="false">IFERROR(ROUNDUP($C1495/3,0),"")</f>
        <v>2</v>
      </c>
      <c r="E1495" s="11" t="str">
        <f aca="false">TRIM('수출입 실적(품목별)'!B1499)</f>
        <v>48</v>
      </c>
      <c r="F1495" s="11" t="str">
        <f aca="false">TRIM('수출입 실적(품목별)'!C1499)</f>
        <v>종이와 판지, 제지용 펄프ㆍ종이ㆍ판지의 제품</v>
      </c>
      <c r="G1495" s="18" t="n">
        <f aca="false">IFERROR(VALUE(SUBSTITUTE(TRIM('수출입 실적(품목별)'!D1499),",","")),"")</f>
        <v>242746.8</v>
      </c>
      <c r="H1495" s="19" t="n">
        <f aca="false">IFERROR(VALUE(SUBSTITUTE(TRIM('수출입 실적(품목별)'!E1499),",","")),"")</f>
        <v>231346</v>
      </c>
      <c r="I1495" s="18" t="n">
        <f aca="false">IFERROR(VALUE(SUBSTITUTE(TRIM('수출입 실적(품목별)'!F1499),",","")),"")</f>
        <v>120038.6</v>
      </c>
      <c r="J1495" s="19" t="n">
        <f aca="false">IFERROR(VALUE(SUBSTITUTE(TRIM('수출입 실적(품목별)'!G1499),",","")),"")</f>
        <v>186594</v>
      </c>
      <c r="K1495" s="19" t="n">
        <f aca="false">IFERROR(VALUE(SUBSTITUTE(TRIM('수출입 실적(품목별)'!H1499),",","")),"")</f>
        <v>44752</v>
      </c>
    </row>
    <row r="1496" customFormat="false" ht="15" hidden="false" customHeight="true" outlineLevel="0" collapsed="false">
      <c r="A1496" s="11" t="str">
        <f aca="false">TRIM('수출입 실적(품목별)'!A1500)</f>
        <v>2025.04</v>
      </c>
      <c r="B1496" s="17" t="n">
        <f aca="false">IFERROR(VALUE(LEFT($A1496,4)),"")</f>
        <v>2025</v>
      </c>
      <c r="C1496" s="17" t="n">
        <f aca="false">IFERROR(VALUE(RIGHT($A1496,2)),"")</f>
        <v>4</v>
      </c>
      <c r="D1496" s="17" t="n">
        <f aca="false">IFERROR(ROUNDUP($C1496/3,0),"")</f>
        <v>2</v>
      </c>
      <c r="E1496" s="11" t="str">
        <f aca="false">TRIM('수출입 실적(품목별)'!B1500)</f>
        <v>49</v>
      </c>
      <c r="F1496" s="11" t="str">
        <f aca="false">TRIM('수출입 실적(품목별)'!C1500)</f>
        <v>인쇄서적ㆍ신문ㆍ회화ㆍ그 밖의 인쇄물, 수제(手製)문서ㆍ타자문서ㆍ도면</v>
      </c>
      <c r="G1496" s="18" t="n">
        <f aca="false">IFERROR(VALUE(SUBSTITUTE(TRIM('수출입 실적(품목별)'!D1500),",","")),"")</f>
        <v>4802</v>
      </c>
      <c r="H1496" s="19" t="n">
        <f aca="false">IFERROR(VALUE(SUBSTITUTE(TRIM('수출입 실적(품목별)'!E1500),",","")),"")</f>
        <v>39265</v>
      </c>
      <c r="I1496" s="18" t="n">
        <f aca="false">IFERROR(VALUE(SUBSTITUTE(TRIM('수출입 실적(품목별)'!F1500),",","")),"")</f>
        <v>1271</v>
      </c>
      <c r="J1496" s="19" t="n">
        <f aca="false">IFERROR(VALUE(SUBSTITUTE(TRIM('수출입 실적(품목별)'!G1500),",","")),"")</f>
        <v>22097</v>
      </c>
      <c r="K1496" s="19" t="n">
        <f aca="false">IFERROR(VALUE(SUBSTITUTE(TRIM('수출입 실적(품목별)'!H1500),",","")),"")</f>
        <v>17169</v>
      </c>
    </row>
    <row r="1497" customFormat="false" ht="15" hidden="false" customHeight="true" outlineLevel="0" collapsed="false">
      <c r="A1497" s="11" t="str">
        <f aca="false">TRIM('수출입 실적(품목별)'!A1501)</f>
        <v>2025.04</v>
      </c>
      <c r="B1497" s="17" t="n">
        <f aca="false">IFERROR(VALUE(LEFT($A1497,4)),"")</f>
        <v>2025</v>
      </c>
      <c r="C1497" s="17" t="n">
        <f aca="false">IFERROR(VALUE(RIGHT($A1497,2)),"")</f>
        <v>4</v>
      </c>
      <c r="D1497" s="17" t="n">
        <f aca="false">IFERROR(ROUNDUP($C1497/3,0),"")</f>
        <v>2</v>
      </c>
      <c r="E1497" s="11" t="str">
        <f aca="false">TRIM('수출입 실적(품목별)'!B1501)</f>
        <v>50</v>
      </c>
      <c r="F1497" s="11" t="str">
        <f aca="false">TRIM('수출입 실적(품목별)'!C1501)</f>
        <v>견</v>
      </c>
      <c r="G1497" s="18" t="n">
        <f aca="false">IFERROR(VALUE(SUBSTITUTE(TRIM('수출입 실적(품목별)'!D1501),",","")),"")</f>
        <v>10.5</v>
      </c>
      <c r="H1497" s="19" t="n">
        <f aca="false">IFERROR(VALUE(SUBSTITUTE(TRIM('수출입 실적(품목별)'!E1501),",","")),"")</f>
        <v>1485</v>
      </c>
      <c r="I1497" s="18" t="n">
        <f aca="false">IFERROR(VALUE(SUBSTITUTE(TRIM('수출입 실적(품목별)'!F1501),",","")),"")</f>
        <v>40</v>
      </c>
      <c r="J1497" s="19" t="n">
        <f aca="false">IFERROR(VALUE(SUBSTITUTE(TRIM('수출입 실적(품목별)'!G1501),",","")),"")</f>
        <v>2563</v>
      </c>
      <c r="K1497" s="19" t="n">
        <f aca="false">IFERROR(VALUE(SUBSTITUTE(TRIM('수출입 실적(품목별)'!H1501),",","")),"")</f>
        <v>-1078</v>
      </c>
    </row>
    <row r="1498" customFormat="false" ht="15" hidden="false" customHeight="true" outlineLevel="0" collapsed="false">
      <c r="A1498" s="11" t="str">
        <f aca="false">TRIM('수출입 실적(품목별)'!A1502)</f>
        <v>2025.04</v>
      </c>
      <c r="B1498" s="17" t="n">
        <f aca="false">IFERROR(VALUE(LEFT($A1498,4)),"")</f>
        <v>2025</v>
      </c>
      <c r="C1498" s="17" t="n">
        <f aca="false">IFERROR(VALUE(RIGHT($A1498,2)),"")</f>
        <v>4</v>
      </c>
      <c r="D1498" s="17" t="n">
        <f aca="false">IFERROR(ROUNDUP($C1498/3,0),"")</f>
        <v>2</v>
      </c>
      <c r="E1498" s="11" t="str">
        <f aca="false">TRIM('수출입 실적(품목별)'!B1502)</f>
        <v>51</v>
      </c>
      <c r="F1498" s="11" t="str">
        <f aca="false">TRIM('수출입 실적(품목별)'!C1502)</f>
        <v>양모ㆍ동물의 부드러운 털이나 거친 털ㆍ말의 털로 만든 실과 직물</v>
      </c>
      <c r="G1498" s="18" t="n">
        <f aca="false">IFERROR(VALUE(SUBSTITUTE(TRIM('수출입 실적(품목별)'!D1502),",","")),"")</f>
        <v>197.5</v>
      </c>
      <c r="H1498" s="19" t="n">
        <f aca="false">IFERROR(VALUE(SUBSTITUTE(TRIM('수출입 실적(품목별)'!E1502),",","")),"")</f>
        <v>3987</v>
      </c>
      <c r="I1498" s="18" t="n">
        <f aca="false">IFERROR(VALUE(SUBSTITUTE(TRIM('수출입 실적(품목별)'!F1502),",","")),"")</f>
        <v>1066.5</v>
      </c>
      <c r="J1498" s="19" t="n">
        <f aca="false">IFERROR(VALUE(SUBSTITUTE(TRIM('수출입 실적(품목별)'!G1502),",","")),"")</f>
        <v>20829</v>
      </c>
      <c r="K1498" s="19" t="n">
        <f aca="false">IFERROR(VALUE(SUBSTITUTE(TRIM('수출입 실적(품목별)'!H1502),",","")),"")</f>
        <v>-16842</v>
      </c>
    </row>
    <row r="1499" customFormat="false" ht="15" hidden="false" customHeight="true" outlineLevel="0" collapsed="false">
      <c r="A1499" s="11" t="str">
        <f aca="false">TRIM('수출입 실적(품목별)'!A1503)</f>
        <v>2025.04</v>
      </c>
      <c r="B1499" s="17" t="n">
        <f aca="false">IFERROR(VALUE(LEFT($A1499,4)),"")</f>
        <v>2025</v>
      </c>
      <c r="C1499" s="17" t="n">
        <f aca="false">IFERROR(VALUE(RIGHT($A1499,2)),"")</f>
        <v>4</v>
      </c>
      <c r="D1499" s="17" t="n">
        <f aca="false">IFERROR(ROUNDUP($C1499/3,0),"")</f>
        <v>2</v>
      </c>
      <c r="E1499" s="11" t="str">
        <f aca="false">TRIM('수출입 실적(품목별)'!B1503)</f>
        <v>52</v>
      </c>
      <c r="F1499" s="11" t="str">
        <f aca="false">TRIM('수출입 실적(품목별)'!C1503)</f>
        <v>면</v>
      </c>
      <c r="G1499" s="18" t="n">
        <f aca="false">IFERROR(VALUE(SUBSTITUTE(TRIM('수출입 실적(품목별)'!D1503),",","")),"")</f>
        <v>2841.1</v>
      </c>
      <c r="H1499" s="19" t="n">
        <f aca="false">IFERROR(VALUE(SUBSTITUTE(TRIM('수출입 실적(품목별)'!E1503),",","")),"")</f>
        <v>24505</v>
      </c>
      <c r="I1499" s="18" t="n">
        <f aca="false">IFERROR(VALUE(SUBSTITUTE(TRIM('수출입 실적(품목별)'!F1503),",","")),"")</f>
        <v>24021.6</v>
      </c>
      <c r="J1499" s="19" t="n">
        <f aca="false">IFERROR(VALUE(SUBSTITUTE(TRIM('수출입 실적(품목별)'!G1503),",","")),"")</f>
        <v>73247</v>
      </c>
      <c r="K1499" s="19" t="n">
        <f aca="false">IFERROR(VALUE(SUBSTITUTE(TRIM('수출입 실적(품목별)'!H1503),",","")),"")</f>
        <v>-48743</v>
      </c>
    </row>
    <row r="1500" customFormat="false" ht="15" hidden="false" customHeight="true" outlineLevel="0" collapsed="false">
      <c r="A1500" s="11" t="str">
        <f aca="false">TRIM('수출입 실적(품목별)'!A1504)</f>
        <v>2025.04</v>
      </c>
      <c r="B1500" s="17" t="n">
        <f aca="false">IFERROR(VALUE(LEFT($A1500,4)),"")</f>
        <v>2025</v>
      </c>
      <c r="C1500" s="17" t="n">
        <f aca="false">IFERROR(VALUE(RIGHT($A1500,2)),"")</f>
        <v>4</v>
      </c>
      <c r="D1500" s="17" t="n">
        <f aca="false">IFERROR(ROUNDUP($C1500/3,0),"")</f>
        <v>2</v>
      </c>
      <c r="E1500" s="11" t="str">
        <f aca="false">TRIM('수출입 실적(품목별)'!B1504)</f>
        <v>53</v>
      </c>
      <c r="F1500" s="11" t="str">
        <f aca="false">TRIM('수출입 실적(품목별)'!C1504)</f>
        <v>그 밖의 식물성 방직용 섬유, 종이실(paper yarn)과 종이실로 만든 직물</v>
      </c>
      <c r="G1500" s="18" t="n">
        <f aca="false">IFERROR(VALUE(SUBSTITUTE(TRIM('수출입 실적(품목별)'!D1504),",","")),"")</f>
        <v>38.2</v>
      </c>
      <c r="H1500" s="19" t="n">
        <f aca="false">IFERROR(VALUE(SUBSTITUTE(TRIM('수출입 실적(품목별)'!E1504),",","")),"")</f>
        <v>454</v>
      </c>
      <c r="I1500" s="18" t="n">
        <f aca="false">IFERROR(VALUE(SUBSTITUTE(TRIM('수출입 실적(품목별)'!F1504),",","")),"")</f>
        <v>1488.1</v>
      </c>
      <c r="J1500" s="19" t="n">
        <f aca="false">IFERROR(VALUE(SUBSTITUTE(TRIM('수출입 실적(품목별)'!G1504),",","")),"")</f>
        <v>5858</v>
      </c>
      <c r="K1500" s="19" t="n">
        <f aca="false">IFERROR(VALUE(SUBSTITUTE(TRIM('수출입 실적(품목별)'!H1504),",","")),"")</f>
        <v>-5403</v>
      </c>
    </row>
    <row r="1501" customFormat="false" ht="15" hidden="false" customHeight="true" outlineLevel="0" collapsed="false">
      <c r="A1501" s="11" t="str">
        <f aca="false">TRIM('수출입 실적(품목별)'!A1505)</f>
        <v>2025.04</v>
      </c>
      <c r="B1501" s="17" t="n">
        <f aca="false">IFERROR(VALUE(LEFT($A1501,4)),"")</f>
        <v>2025</v>
      </c>
      <c r="C1501" s="17" t="n">
        <f aca="false">IFERROR(VALUE(RIGHT($A1501,2)),"")</f>
        <v>4</v>
      </c>
      <c r="D1501" s="17" t="n">
        <f aca="false">IFERROR(ROUNDUP($C1501/3,0),"")</f>
        <v>2</v>
      </c>
      <c r="E1501" s="11" t="str">
        <f aca="false">TRIM('수출입 실적(품목별)'!B1505)</f>
        <v>54</v>
      </c>
      <c r="F1501" s="11" t="str">
        <f aca="false">TRIM('수출입 실적(품목별)'!C1505)</f>
        <v>인조필라멘트, 인조방직용 섬유재료의 스트립(strip)과 이와 유사한 것</v>
      </c>
      <c r="G1501" s="18" t="n">
        <f aca="false">IFERROR(VALUE(SUBSTITUTE(TRIM('수출입 실적(품목별)'!D1505),",","")),"")</f>
        <v>26088.3</v>
      </c>
      <c r="H1501" s="19" t="n">
        <f aca="false">IFERROR(VALUE(SUBSTITUTE(TRIM('수출입 실적(품목별)'!E1505),",","")),"")</f>
        <v>173282</v>
      </c>
      <c r="I1501" s="18" t="n">
        <f aca="false">IFERROR(VALUE(SUBSTITUTE(TRIM('수출입 실적(품목별)'!F1505),",","")),"")</f>
        <v>46402.2</v>
      </c>
      <c r="J1501" s="19" t="n">
        <f aca="false">IFERROR(VALUE(SUBSTITUTE(TRIM('수출입 실적(품목별)'!G1505),",","")),"")</f>
        <v>95653</v>
      </c>
      <c r="K1501" s="19" t="n">
        <f aca="false">IFERROR(VALUE(SUBSTITUTE(TRIM('수출입 실적(품목별)'!H1505),",","")),"")</f>
        <v>77629</v>
      </c>
    </row>
    <row r="1502" customFormat="false" ht="15" hidden="false" customHeight="true" outlineLevel="0" collapsed="false">
      <c r="A1502" s="11" t="str">
        <f aca="false">TRIM('수출입 실적(품목별)'!A1506)</f>
        <v>2025.04</v>
      </c>
      <c r="B1502" s="17" t="n">
        <f aca="false">IFERROR(VALUE(LEFT($A1502,4)),"")</f>
        <v>2025</v>
      </c>
      <c r="C1502" s="17" t="n">
        <f aca="false">IFERROR(VALUE(RIGHT($A1502,2)),"")</f>
        <v>4</v>
      </c>
      <c r="D1502" s="17" t="n">
        <f aca="false">IFERROR(ROUNDUP($C1502/3,0),"")</f>
        <v>2</v>
      </c>
      <c r="E1502" s="11" t="str">
        <f aca="false">TRIM('수출입 실적(품목별)'!B1506)</f>
        <v>55</v>
      </c>
      <c r="F1502" s="11" t="str">
        <f aca="false">TRIM('수출입 실적(품목별)'!C1506)</f>
        <v>인조스테이플섬유</v>
      </c>
      <c r="G1502" s="18" t="n">
        <f aca="false">IFERROR(VALUE(SUBSTITUTE(TRIM('수출입 실적(품목별)'!D1506),",","")),"")</f>
        <v>63305.3</v>
      </c>
      <c r="H1502" s="19" t="n">
        <f aca="false">IFERROR(VALUE(SUBSTITUTE(TRIM('수출입 실적(품목별)'!E1506),",","")),"")</f>
        <v>111178</v>
      </c>
      <c r="I1502" s="18" t="n">
        <f aca="false">IFERROR(VALUE(SUBSTITUTE(TRIM('수출입 실적(품목별)'!F1506),",","")),"")</f>
        <v>13256.1</v>
      </c>
      <c r="J1502" s="19" t="n">
        <f aca="false">IFERROR(VALUE(SUBSTITUTE(TRIM('수출입 실적(품목별)'!G1506),",","")),"")</f>
        <v>49445</v>
      </c>
      <c r="K1502" s="19" t="n">
        <f aca="false">IFERROR(VALUE(SUBSTITUTE(TRIM('수출입 실적(품목별)'!H1506),",","")),"")</f>
        <v>61733</v>
      </c>
    </row>
    <row r="1503" customFormat="false" ht="15" hidden="false" customHeight="true" outlineLevel="0" collapsed="false">
      <c r="A1503" s="11" t="str">
        <f aca="false">TRIM('수출입 실적(품목별)'!A1507)</f>
        <v>2025.04</v>
      </c>
      <c r="B1503" s="17" t="n">
        <f aca="false">IFERROR(VALUE(LEFT($A1503,4)),"")</f>
        <v>2025</v>
      </c>
      <c r="C1503" s="17" t="n">
        <f aca="false">IFERROR(VALUE(RIGHT($A1503,2)),"")</f>
        <v>4</v>
      </c>
      <c r="D1503" s="17" t="n">
        <f aca="false">IFERROR(ROUNDUP($C1503/3,0),"")</f>
        <v>2</v>
      </c>
      <c r="E1503" s="11" t="str">
        <f aca="false">TRIM('수출입 실적(품목별)'!B1507)</f>
        <v>56</v>
      </c>
      <c r="F1503" s="11" t="str">
        <f aca="false">TRIM('수출입 실적(품목별)'!C1507)</f>
        <v>워딩(wadding)ㆍ펠트(felt)ㆍ부직포, 특수사, 끈ㆍ배의 밧줄(cordage)ㆍ로프ㆍ케이블과 이들의 제품</v>
      </c>
      <c r="G1503" s="18" t="n">
        <f aca="false">IFERROR(VALUE(SUBSTITUTE(TRIM('수출입 실적(품목별)'!D1507),",","")),"")</f>
        <v>11568.8</v>
      </c>
      <c r="H1503" s="19" t="n">
        <f aca="false">IFERROR(VALUE(SUBSTITUTE(TRIM('수출입 실적(품목별)'!E1507),",","")),"")</f>
        <v>76024</v>
      </c>
      <c r="I1503" s="18" t="n">
        <f aca="false">IFERROR(VALUE(SUBSTITUTE(TRIM('수출입 실적(품목별)'!F1507),",","")),"")</f>
        <v>21602.9</v>
      </c>
      <c r="J1503" s="19" t="n">
        <f aca="false">IFERROR(VALUE(SUBSTITUTE(TRIM('수출입 실적(품목별)'!G1507),",","")),"")</f>
        <v>65195</v>
      </c>
      <c r="K1503" s="19" t="n">
        <f aca="false">IFERROR(VALUE(SUBSTITUTE(TRIM('수출입 실적(품목별)'!H1507),",","")),"")</f>
        <v>10829</v>
      </c>
    </row>
    <row r="1504" customFormat="false" ht="15" hidden="false" customHeight="true" outlineLevel="0" collapsed="false">
      <c r="A1504" s="11" t="str">
        <f aca="false">TRIM('수출입 실적(품목별)'!A1508)</f>
        <v>2025.04</v>
      </c>
      <c r="B1504" s="17" t="n">
        <f aca="false">IFERROR(VALUE(LEFT($A1504,4)),"")</f>
        <v>2025</v>
      </c>
      <c r="C1504" s="17" t="n">
        <f aca="false">IFERROR(VALUE(RIGHT($A1504,2)),"")</f>
        <v>4</v>
      </c>
      <c r="D1504" s="17" t="n">
        <f aca="false">IFERROR(ROUNDUP($C1504/3,0),"")</f>
        <v>2</v>
      </c>
      <c r="E1504" s="11" t="str">
        <f aca="false">TRIM('수출입 실적(품목별)'!B1508)</f>
        <v>57</v>
      </c>
      <c r="F1504" s="11" t="str">
        <f aca="false">TRIM('수출입 실적(품목별)'!C1508)</f>
        <v>양탄자류와 그 밖의 방직용 섬유로 만든 바닥깔개</v>
      </c>
      <c r="G1504" s="18" t="n">
        <f aca="false">IFERROR(VALUE(SUBSTITUTE(TRIM('수출입 실적(품목별)'!D1508),",","")),"")</f>
        <v>658.9</v>
      </c>
      <c r="H1504" s="19" t="n">
        <f aca="false">IFERROR(VALUE(SUBSTITUTE(TRIM('수출입 실적(품목별)'!E1508),",","")),"")</f>
        <v>7769</v>
      </c>
      <c r="I1504" s="18" t="n">
        <f aca="false">IFERROR(VALUE(SUBSTITUTE(TRIM('수출입 실적(품목별)'!F1508),",","")),"")</f>
        <v>6992.8</v>
      </c>
      <c r="J1504" s="19" t="n">
        <f aca="false">IFERROR(VALUE(SUBSTITUTE(TRIM('수출입 실적(품목별)'!G1508),",","")),"")</f>
        <v>10906</v>
      </c>
      <c r="K1504" s="19" t="n">
        <f aca="false">IFERROR(VALUE(SUBSTITUTE(TRIM('수출입 실적(품목별)'!H1508),",","")),"")</f>
        <v>-3137</v>
      </c>
    </row>
    <row r="1505" customFormat="false" ht="15" hidden="false" customHeight="true" outlineLevel="0" collapsed="false">
      <c r="A1505" s="11" t="str">
        <f aca="false">TRIM('수출입 실적(품목별)'!A1509)</f>
        <v>2025.04</v>
      </c>
      <c r="B1505" s="17" t="n">
        <f aca="false">IFERROR(VALUE(LEFT($A1505,4)),"")</f>
        <v>2025</v>
      </c>
      <c r="C1505" s="17" t="n">
        <f aca="false">IFERROR(VALUE(RIGHT($A1505,2)),"")</f>
        <v>4</v>
      </c>
      <c r="D1505" s="17" t="n">
        <f aca="false">IFERROR(ROUNDUP($C1505/3,0),"")</f>
        <v>2</v>
      </c>
      <c r="E1505" s="11" t="str">
        <f aca="false">TRIM('수출입 실적(품목별)'!B1509)</f>
        <v>58</v>
      </c>
      <c r="F1505" s="11" t="str">
        <f aca="false">TRIM('수출입 실적(품목별)'!C1509)</f>
        <v>특수직물, 터프트(tuft)한 직물, 레이스, 태피스트리(tapestry), 트리밍(trimming), 자수천</v>
      </c>
      <c r="G1505" s="18" t="n">
        <f aca="false">IFERROR(VALUE(SUBSTITUTE(TRIM('수출입 실적(품목별)'!D1509),",","")),"")</f>
        <v>1351.6</v>
      </c>
      <c r="H1505" s="19" t="n">
        <f aca="false">IFERROR(VALUE(SUBSTITUTE(TRIM('수출입 실적(품목별)'!E1509),",","")),"")</f>
        <v>17499</v>
      </c>
      <c r="I1505" s="18" t="n">
        <f aca="false">IFERROR(VALUE(SUBSTITUTE(TRIM('수출입 실적(품목별)'!F1509),",","")),"")</f>
        <v>931.8</v>
      </c>
      <c r="J1505" s="19" t="n">
        <f aca="false">IFERROR(VALUE(SUBSTITUTE(TRIM('수출입 실적(품목별)'!G1509),",","")),"")</f>
        <v>7270</v>
      </c>
      <c r="K1505" s="19" t="n">
        <f aca="false">IFERROR(VALUE(SUBSTITUTE(TRIM('수출입 실적(품목별)'!H1509),",","")),"")</f>
        <v>10228</v>
      </c>
    </row>
    <row r="1506" customFormat="false" ht="15" hidden="false" customHeight="true" outlineLevel="0" collapsed="false">
      <c r="A1506" s="11" t="str">
        <f aca="false">TRIM('수출입 실적(품목별)'!A1510)</f>
        <v>2025.04</v>
      </c>
      <c r="B1506" s="17" t="n">
        <f aca="false">IFERROR(VALUE(LEFT($A1506,4)),"")</f>
        <v>2025</v>
      </c>
      <c r="C1506" s="17" t="n">
        <f aca="false">IFERROR(VALUE(RIGHT($A1506,2)),"")</f>
        <v>4</v>
      </c>
      <c r="D1506" s="17" t="n">
        <f aca="false">IFERROR(ROUNDUP($C1506/3,0),"")</f>
        <v>2</v>
      </c>
      <c r="E1506" s="11" t="str">
        <f aca="false">TRIM('수출입 실적(품목별)'!B1510)</f>
        <v>59</v>
      </c>
      <c r="F1506" s="11" t="str">
        <f aca="false">TRIM('수출입 실적(품목별)'!C1510)</f>
        <v>침투ㆍ도포ㆍ피복하거나 적층한 방직용 섬유의 직물, 공업용인 방직용 섬유제품</v>
      </c>
      <c r="G1506" s="18" t="n">
        <f aca="false">IFERROR(VALUE(SUBSTITUTE(TRIM('수출입 실적(품목별)'!D1510),",","")),"")</f>
        <v>9856.3</v>
      </c>
      <c r="H1506" s="19" t="n">
        <f aca="false">IFERROR(VALUE(SUBSTITUTE(TRIM('수출입 실적(품목별)'!E1510),",","")),"")</f>
        <v>101720</v>
      </c>
      <c r="I1506" s="18" t="n">
        <f aca="false">IFERROR(VALUE(SUBSTITUTE(TRIM('수출입 실적(품목별)'!F1510),",","")),"")</f>
        <v>6625.3</v>
      </c>
      <c r="J1506" s="19" t="n">
        <f aca="false">IFERROR(VALUE(SUBSTITUTE(TRIM('수출입 실적(품목별)'!G1510),",","")),"")</f>
        <v>38392</v>
      </c>
      <c r="K1506" s="19" t="n">
        <f aca="false">IFERROR(VALUE(SUBSTITUTE(TRIM('수출입 실적(품목별)'!H1510),",","")),"")</f>
        <v>63329</v>
      </c>
    </row>
    <row r="1507" customFormat="false" ht="15" hidden="false" customHeight="true" outlineLevel="0" collapsed="false">
      <c r="A1507" s="11" t="str">
        <f aca="false">TRIM('수출입 실적(품목별)'!A1511)</f>
        <v>2025.04</v>
      </c>
      <c r="B1507" s="17" t="n">
        <f aca="false">IFERROR(VALUE(LEFT($A1507,4)),"")</f>
        <v>2025</v>
      </c>
      <c r="C1507" s="17" t="n">
        <f aca="false">IFERROR(VALUE(RIGHT($A1507,2)),"")</f>
        <v>4</v>
      </c>
      <c r="D1507" s="17" t="n">
        <f aca="false">IFERROR(ROUNDUP($C1507/3,0),"")</f>
        <v>2</v>
      </c>
      <c r="E1507" s="11" t="str">
        <f aca="false">TRIM('수출입 실적(품목별)'!B1511)</f>
        <v>60</v>
      </c>
      <c r="F1507" s="11" t="str">
        <f aca="false">TRIM('수출입 실적(품목별)'!C1511)</f>
        <v>메리야스 편물과 뜨개질 편물</v>
      </c>
      <c r="G1507" s="18" t="n">
        <f aca="false">IFERROR(VALUE(SUBSTITUTE(TRIM('수출입 실적(품목별)'!D1511),",","")),"")</f>
        <v>18652.1</v>
      </c>
      <c r="H1507" s="19" t="n">
        <f aca="false">IFERROR(VALUE(SUBSTITUTE(TRIM('수출입 실적(품목별)'!E1511),",","")),"")</f>
        <v>138916</v>
      </c>
      <c r="I1507" s="18" t="n">
        <f aca="false">IFERROR(VALUE(SUBSTITUTE(TRIM('수출입 실적(품목별)'!F1511),",","")),"")</f>
        <v>1983</v>
      </c>
      <c r="J1507" s="19" t="n">
        <f aca="false">IFERROR(VALUE(SUBSTITUTE(TRIM('수출입 실적(품목별)'!G1511),",","")),"")</f>
        <v>10378</v>
      </c>
      <c r="K1507" s="19" t="n">
        <f aca="false">IFERROR(VALUE(SUBSTITUTE(TRIM('수출입 실적(품목별)'!H1511),",","")),"")</f>
        <v>128538</v>
      </c>
    </row>
    <row r="1508" customFormat="false" ht="15" hidden="false" customHeight="true" outlineLevel="0" collapsed="false">
      <c r="A1508" s="11" t="str">
        <f aca="false">TRIM('수출입 실적(품목별)'!A1512)</f>
        <v>2025.04</v>
      </c>
      <c r="B1508" s="17" t="n">
        <f aca="false">IFERROR(VALUE(LEFT($A1508,4)),"")</f>
        <v>2025</v>
      </c>
      <c r="C1508" s="17" t="n">
        <f aca="false">IFERROR(VALUE(RIGHT($A1508,2)),"")</f>
        <v>4</v>
      </c>
      <c r="D1508" s="17" t="n">
        <f aca="false">IFERROR(ROUNDUP($C1508/3,0),"")</f>
        <v>2</v>
      </c>
      <c r="E1508" s="11" t="str">
        <f aca="false">TRIM('수출입 실적(품목별)'!B1512)</f>
        <v>61</v>
      </c>
      <c r="F1508" s="11" t="str">
        <f aca="false">TRIM('수출입 실적(품목별)'!C1512)</f>
        <v>의류와 그 부속품(메리야스 편물이나 뜨개질 편물로 한정한다)</v>
      </c>
      <c r="G1508" s="18" t="n">
        <f aca="false">IFERROR(VALUE(SUBSTITUTE(TRIM('수출입 실적(품목별)'!D1512),",","")),"")</f>
        <v>2558</v>
      </c>
      <c r="H1508" s="19" t="n">
        <f aca="false">IFERROR(VALUE(SUBSTITUTE(TRIM('수출입 실적(품목별)'!E1512),",","")),"")</f>
        <v>67920</v>
      </c>
      <c r="I1508" s="18" t="n">
        <f aca="false">IFERROR(VALUE(SUBSTITUTE(TRIM('수출입 실적(품목별)'!F1512),",","")),"")</f>
        <v>22110.8</v>
      </c>
      <c r="J1508" s="19" t="n">
        <f aca="false">IFERROR(VALUE(SUBSTITUTE(TRIM('수출입 실적(품목별)'!G1512),",","")),"")</f>
        <v>427984</v>
      </c>
      <c r="K1508" s="19" t="n">
        <f aca="false">IFERROR(VALUE(SUBSTITUTE(TRIM('수출입 실적(품목별)'!H1512),",","")),"")</f>
        <v>-360064</v>
      </c>
    </row>
    <row r="1509" customFormat="false" ht="15" hidden="false" customHeight="true" outlineLevel="0" collapsed="false">
      <c r="A1509" s="11" t="str">
        <f aca="false">TRIM('수출입 실적(품목별)'!A1513)</f>
        <v>2025.04</v>
      </c>
      <c r="B1509" s="17" t="n">
        <f aca="false">IFERROR(VALUE(LEFT($A1509,4)),"")</f>
        <v>2025</v>
      </c>
      <c r="C1509" s="17" t="n">
        <f aca="false">IFERROR(VALUE(RIGHT($A1509,2)),"")</f>
        <v>4</v>
      </c>
      <c r="D1509" s="17" t="n">
        <f aca="false">IFERROR(ROUNDUP($C1509/3,0),"")</f>
        <v>2</v>
      </c>
      <c r="E1509" s="11" t="str">
        <f aca="false">TRIM('수출입 실적(품목별)'!B1513)</f>
        <v>62</v>
      </c>
      <c r="F1509" s="11" t="str">
        <f aca="false">TRIM('수출입 실적(품목별)'!C1513)</f>
        <v>의류와 그 부속품(메리야스 편물이나 뜨개질편물은 제외한다)</v>
      </c>
      <c r="G1509" s="18" t="n">
        <f aca="false">IFERROR(VALUE(SUBSTITUTE(TRIM('수출입 실적(품목별)'!D1513),",","")),"")</f>
        <v>3291.9</v>
      </c>
      <c r="H1509" s="19" t="n">
        <f aca="false">IFERROR(VALUE(SUBSTITUTE(TRIM('수출입 실적(품목별)'!E1513),",","")),"")</f>
        <v>82495</v>
      </c>
      <c r="I1509" s="18" t="n">
        <f aca="false">IFERROR(VALUE(SUBSTITUTE(TRIM('수출입 실적(품목별)'!F1513),",","")),"")</f>
        <v>21552.6</v>
      </c>
      <c r="J1509" s="19" t="n">
        <f aca="false">IFERROR(VALUE(SUBSTITUTE(TRIM('수출입 실적(품목별)'!G1513),",","")),"")</f>
        <v>558759</v>
      </c>
      <c r="K1509" s="19" t="n">
        <f aca="false">IFERROR(VALUE(SUBSTITUTE(TRIM('수출입 실적(품목별)'!H1513),",","")),"")</f>
        <v>-476263</v>
      </c>
    </row>
    <row r="1510" customFormat="false" ht="15" hidden="false" customHeight="true" outlineLevel="0" collapsed="false">
      <c r="A1510" s="11" t="str">
        <f aca="false">TRIM('수출입 실적(품목별)'!A1514)</f>
        <v>2025.04</v>
      </c>
      <c r="B1510" s="17" t="n">
        <f aca="false">IFERROR(VALUE(LEFT($A1510,4)),"")</f>
        <v>2025</v>
      </c>
      <c r="C1510" s="17" t="n">
        <f aca="false">IFERROR(VALUE(RIGHT($A1510,2)),"")</f>
        <v>4</v>
      </c>
      <c r="D1510" s="17" t="n">
        <f aca="false">IFERROR(ROUNDUP($C1510/3,0),"")</f>
        <v>2</v>
      </c>
      <c r="E1510" s="11" t="str">
        <f aca="false">TRIM('수출입 실적(품목별)'!B1514)</f>
        <v>63</v>
      </c>
      <c r="F1510" s="11" t="str">
        <f aca="false">TRIM('수출입 실적(품목별)'!C1514)</f>
        <v>제품으로 된 방직용 섬유의 그 밖의 물품, 세트, 사용하던 의류ㆍ방직용 섬유제품, 넝마</v>
      </c>
      <c r="G1510" s="18" t="n">
        <f aca="false">IFERROR(VALUE(SUBSTITUTE(TRIM('수출입 실적(품목별)'!D1514),",","")),"")</f>
        <v>34528.2</v>
      </c>
      <c r="H1510" s="19" t="n">
        <f aca="false">IFERROR(VALUE(SUBSTITUTE(TRIM('수출입 실적(품목별)'!E1514),",","")),"")</f>
        <v>59961</v>
      </c>
      <c r="I1510" s="18" t="n">
        <f aca="false">IFERROR(VALUE(SUBSTITUTE(TRIM('수출입 실적(품목별)'!F1514),",","")),"")</f>
        <v>28481.7</v>
      </c>
      <c r="J1510" s="19" t="n">
        <f aca="false">IFERROR(VALUE(SUBSTITUTE(TRIM('수출입 실적(품목별)'!G1514),",","")),"")</f>
        <v>121693</v>
      </c>
      <c r="K1510" s="19" t="n">
        <f aca="false">IFERROR(VALUE(SUBSTITUTE(TRIM('수출입 실적(품목별)'!H1514),",","")),"")</f>
        <v>-61732</v>
      </c>
    </row>
    <row r="1511" customFormat="false" ht="15" hidden="false" customHeight="true" outlineLevel="0" collapsed="false">
      <c r="A1511" s="11" t="str">
        <f aca="false">TRIM('수출입 실적(품목별)'!A1515)</f>
        <v>2025.04</v>
      </c>
      <c r="B1511" s="17" t="n">
        <f aca="false">IFERROR(VALUE(LEFT($A1511,4)),"")</f>
        <v>2025</v>
      </c>
      <c r="C1511" s="17" t="n">
        <f aca="false">IFERROR(VALUE(RIGHT($A1511,2)),"")</f>
        <v>4</v>
      </c>
      <c r="D1511" s="17" t="n">
        <f aca="false">IFERROR(ROUNDUP($C1511/3,0),"")</f>
        <v>2</v>
      </c>
      <c r="E1511" s="11" t="str">
        <f aca="false">TRIM('수출입 실적(품목별)'!B1515)</f>
        <v>64</v>
      </c>
      <c r="F1511" s="11" t="str">
        <f aca="false">TRIM('수출입 실적(품목별)'!C1515)</f>
        <v>신발류ㆍ각반과 이와 유사한 것, 이들의 부분품</v>
      </c>
      <c r="G1511" s="18" t="n">
        <f aca="false">IFERROR(VALUE(SUBSTITUTE(TRIM('수출입 실적(품목별)'!D1515),",","")),"")</f>
        <v>1509.6</v>
      </c>
      <c r="H1511" s="19" t="n">
        <f aca="false">IFERROR(VALUE(SUBSTITUTE(TRIM('수출입 실적(품목별)'!E1515),",","")),"")</f>
        <v>37039</v>
      </c>
      <c r="I1511" s="18" t="n">
        <f aca="false">IFERROR(VALUE(SUBSTITUTE(TRIM('수출입 실적(품목별)'!F1515),",","")),"")</f>
        <v>11772.6</v>
      </c>
      <c r="J1511" s="19" t="n">
        <f aca="false">IFERROR(VALUE(SUBSTITUTE(TRIM('수출입 실적(품목별)'!G1515),",","")),"")</f>
        <v>286272</v>
      </c>
      <c r="K1511" s="19" t="n">
        <f aca="false">IFERROR(VALUE(SUBSTITUTE(TRIM('수출입 실적(품목별)'!H1515),",","")),"")</f>
        <v>-249234</v>
      </c>
    </row>
    <row r="1512" customFormat="false" ht="15" hidden="false" customHeight="true" outlineLevel="0" collapsed="false">
      <c r="A1512" s="11" t="str">
        <f aca="false">TRIM('수출입 실적(품목별)'!A1516)</f>
        <v>2025.04</v>
      </c>
      <c r="B1512" s="17" t="n">
        <f aca="false">IFERROR(VALUE(LEFT($A1512,4)),"")</f>
        <v>2025</v>
      </c>
      <c r="C1512" s="17" t="n">
        <f aca="false">IFERROR(VALUE(RIGHT($A1512,2)),"")</f>
        <v>4</v>
      </c>
      <c r="D1512" s="17" t="n">
        <f aca="false">IFERROR(ROUNDUP($C1512/3,0),"")</f>
        <v>2</v>
      </c>
      <c r="E1512" s="11" t="str">
        <f aca="false">TRIM('수출입 실적(품목별)'!B1516)</f>
        <v>65</v>
      </c>
      <c r="F1512" s="11" t="str">
        <f aca="false">TRIM('수출입 실적(품목별)'!C1516)</f>
        <v>모자류와 그 부분품</v>
      </c>
      <c r="G1512" s="18" t="n">
        <f aca="false">IFERROR(VALUE(SUBSTITUTE(TRIM('수출입 실적(품목별)'!D1516),",","")),"")</f>
        <v>316.5</v>
      </c>
      <c r="H1512" s="19" t="n">
        <f aca="false">IFERROR(VALUE(SUBSTITUTE(TRIM('수출입 실적(품목별)'!E1516),",","")),"")</f>
        <v>10454</v>
      </c>
      <c r="I1512" s="18" t="n">
        <f aca="false">IFERROR(VALUE(SUBSTITUTE(TRIM('수출입 실적(품목별)'!F1516),",","")),"")</f>
        <v>1129.3</v>
      </c>
      <c r="J1512" s="19" t="n">
        <f aca="false">IFERROR(VALUE(SUBSTITUTE(TRIM('수출입 실적(품목별)'!G1516),",","")),"")</f>
        <v>30047</v>
      </c>
      <c r="K1512" s="19" t="n">
        <f aca="false">IFERROR(VALUE(SUBSTITUTE(TRIM('수출입 실적(품목별)'!H1516),",","")),"")</f>
        <v>-19593</v>
      </c>
    </row>
    <row r="1513" customFormat="false" ht="15" hidden="false" customHeight="true" outlineLevel="0" collapsed="false">
      <c r="A1513" s="11" t="str">
        <f aca="false">TRIM('수출입 실적(품목별)'!A1517)</f>
        <v>2025.04</v>
      </c>
      <c r="B1513" s="17" t="n">
        <f aca="false">IFERROR(VALUE(LEFT($A1513,4)),"")</f>
        <v>2025</v>
      </c>
      <c r="C1513" s="17" t="n">
        <f aca="false">IFERROR(VALUE(RIGHT($A1513,2)),"")</f>
        <v>4</v>
      </c>
      <c r="D1513" s="17" t="n">
        <f aca="false">IFERROR(ROUNDUP($C1513/3,0),"")</f>
        <v>2</v>
      </c>
      <c r="E1513" s="11" t="str">
        <f aca="false">TRIM('수출입 실적(품목별)'!B1517)</f>
        <v>66</v>
      </c>
      <c r="F1513" s="11" t="str">
        <f aca="false">TRIM('수출입 실적(품목별)'!C1517)</f>
        <v>산류(傘類)ㆍ지팡이ㆍ시트스틱(seat-stick)ㆍ채찍ㆍ승마용 채찍과 이들의 부분품</v>
      </c>
      <c r="G1513" s="18" t="n">
        <f aca="false">IFERROR(VALUE(SUBSTITUTE(TRIM('수출입 실적(품목별)'!D1517),",","")),"")</f>
        <v>13.6</v>
      </c>
      <c r="H1513" s="19" t="n">
        <f aca="false">IFERROR(VALUE(SUBSTITUTE(TRIM('수출입 실적(품목별)'!E1517),",","")),"")</f>
        <v>249</v>
      </c>
      <c r="I1513" s="18" t="n">
        <f aca="false">IFERROR(VALUE(SUBSTITUTE(TRIM('수출입 실적(품목별)'!F1517),",","")),"")</f>
        <v>2303.5</v>
      </c>
      <c r="J1513" s="19" t="n">
        <f aca="false">IFERROR(VALUE(SUBSTITUTE(TRIM('수출입 실적(품목별)'!G1517),",","")),"")</f>
        <v>16997</v>
      </c>
      <c r="K1513" s="19" t="n">
        <f aca="false">IFERROR(VALUE(SUBSTITUTE(TRIM('수출입 실적(품목별)'!H1517),",","")),"")</f>
        <v>-16748</v>
      </c>
    </row>
    <row r="1514" customFormat="false" ht="15" hidden="false" customHeight="true" outlineLevel="0" collapsed="false">
      <c r="A1514" s="11" t="str">
        <f aca="false">TRIM('수출입 실적(품목별)'!A1518)</f>
        <v>2025.04</v>
      </c>
      <c r="B1514" s="17" t="n">
        <f aca="false">IFERROR(VALUE(LEFT($A1514,4)),"")</f>
        <v>2025</v>
      </c>
      <c r="C1514" s="17" t="n">
        <f aca="false">IFERROR(VALUE(RIGHT($A1514,2)),"")</f>
        <v>4</v>
      </c>
      <c r="D1514" s="17" t="n">
        <f aca="false">IFERROR(ROUNDUP($C1514/3,0),"")</f>
        <v>2</v>
      </c>
      <c r="E1514" s="11" t="str">
        <f aca="false">TRIM('수출입 실적(품목별)'!B1518)</f>
        <v>67</v>
      </c>
      <c r="F1514" s="11" t="str">
        <f aca="false">TRIM('수출입 실적(품목별)'!C1518)</f>
        <v>조제 깃털ㆍ솜털과 그 제품, 조화, 사람 머리카락으로 된 제품</v>
      </c>
      <c r="G1514" s="18" t="n">
        <f aca="false">IFERROR(VALUE(SUBSTITUTE(TRIM('수출입 실적(품목별)'!D1518),",","")),"")</f>
        <v>15.7</v>
      </c>
      <c r="H1514" s="19" t="n">
        <f aca="false">IFERROR(VALUE(SUBSTITUTE(TRIM('수출입 실적(품목별)'!E1518),",","")),"")</f>
        <v>1566</v>
      </c>
      <c r="I1514" s="18" t="n">
        <f aca="false">IFERROR(VALUE(SUBSTITUTE(TRIM('수출입 실적(품목별)'!F1518),",","")),"")</f>
        <v>610.6</v>
      </c>
      <c r="J1514" s="19" t="n">
        <f aca="false">IFERROR(VALUE(SUBSTITUTE(TRIM('수출입 실적(품목별)'!G1518),",","")),"")</f>
        <v>7956</v>
      </c>
      <c r="K1514" s="19" t="n">
        <f aca="false">IFERROR(VALUE(SUBSTITUTE(TRIM('수출입 실적(품목별)'!H1518),",","")),"")</f>
        <v>-6390</v>
      </c>
    </row>
    <row r="1515" customFormat="false" ht="15" hidden="false" customHeight="true" outlineLevel="0" collapsed="false">
      <c r="A1515" s="11" t="str">
        <f aca="false">TRIM('수출입 실적(품목별)'!A1519)</f>
        <v>2025.04</v>
      </c>
      <c r="B1515" s="17" t="n">
        <f aca="false">IFERROR(VALUE(LEFT($A1515,4)),"")</f>
        <v>2025</v>
      </c>
      <c r="C1515" s="17" t="n">
        <f aca="false">IFERROR(VALUE(RIGHT($A1515,2)),"")</f>
        <v>4</v>
      </c>
      <c r="D1515" s="17" t="n">
        <f aca="false">IFERROR(ROUNDUP($C1515/3,0),"")</f>
        <v>2</v>
      </c>
      <c r="E1515" s="11" t="str">
        <f aca="false">TRIM('수출입 실적(품목별)'!B1519)</f>
        <v>68</v>
      </c>
      <c r="F1515" s="11" t="str">
        <f aca="false">TRIM('수출입 실적(품목별)'!C1519)</f>
        <v>돌ㆍ플라스터(plaster)ㆍ시멘트ㆍ석면ㆍ운모나 이와 유사한 재료의 제품</v>
      </c>
      <c r="G1515" s="18" t="n">
        <f aca="false">IFERROR(VALUE(SUBSTITUTE(TRIM('수출입 실적(품목별)'!D1519),",","")),"")</f>
        <v>12430.7</v>
      </c>
      <c r="H1515" s="19" t="n">
        <f aca="false">IFERROR(VALUE(SUBSTITUTE(TRIM('수출입 실적(품목별)'!E1519),",","")),"")</f>
        <v>86640</v>
      </c>
      <c r="I1515" s="18" t="n">
        <f aca="false">IFERROR(VALUE(SUBSTITUTE(TRIM('수출입 실적(품목별)'!F1519),",","")),"")</f>
        <v>220146</v>
      </c>
      <c r="J1515" s="19" t="n">
        <f aca="false">IFERROR(VALUE(SUBSTITUTE(TRIM('수출입 실적(품목별)'!G1519),",","")),"")</f>
        <v>119637</v>
      </c>
      <c r="K1515" s="19" t="n">
        <f aca="false">IFERROR(VALUE(SUBSTITUTE(TRIM('수출입 실적(품목별)'!H1519),",","")),"")</f>
        <v>-32997</v>
      </c>
    </row>
    <row r="1516" customFormat="false" ht="15" hidden="false" customHeight="true" outlineLevel="0" collapsed="false">
      <c r="A1516" s="11" t="str">
        <f aca="false">TRIM('수출입 실적(품목별)'!A1520)</f>
        <v>2025.04</v>
      </c>
      <c r="B1516" s="17" t="n">
        <f aca="false">IFERROR(VALUE(LEFT($A1516,4)),"")</f>
        <v>2025</v>
      </c>
      <c r="C1516" s="17" t="n">
        <f aca="false">IFERROR(VALUE(RIGHT($A1516,2)),"")</f>
        <v>4</v>
      </c>
      <c r="D1516" s="17" t="n">
        <f aca="false">IFERROR(ROUNDUP($C1516/3,0),"")</f>
        <v>2</v>
      </c>
      <c r="E1516" s="11" t="str">
        <f aca="false">TRIM('수출입 실적(품목별)'!B1520)</f>
        <v>69</v>
      </c>
      <c r="F1516" s="11" t="str">
        <f aca="false">TRIM('수출입 실적(품목별)'!C1520)</f>
        <v>도자제품</v>
      </c>
      <c r="G1516" s="18" t="n">
        <f aca="false">IFERROR(VALUE(SUBSTITUTE(TRIM('수출입 실적(품목별)'!D1520),",","")),"")</f>
        <v>4074.9</v>
      </c>
      <c r="H1516" s="19" t="n">
        <f aca="false">IFERROR(VALUE(SUBSTITUTE(TRIM('수출입 실적(품목별)'!E1520),",","")),"")</f>
        <v>36029</v>
      </c>
      <c r="I1516" s="18" t="n">
        <f aca="false">IFERROR(VALUE(SUBSTITUTE(TRIM('수출입 실적(품목별)'!F1520),",","")),"")</f>
        <v>154617.4</v>
      </c>
      <c r="J1516" s="19" t="n">
        <f aca="false">IFERROR(VALUE(SUBSTITUTE(TRIM('수출입 실적(품목별)'!G1520),",","")),"")</f>
        <v>146682</v>
      </c>
      <c r="K1516" s="19" t="n">
        <f aca="false">IFERROR(VALUE(SUBSTITUTE(TRIM('수출입 실적(품목별)'!H1520),",","")),"")</f>
        <v>-110652</v>
      </c>
    </row>
    <row r="1517" customFormat="false" ht="15" hidden="false" customHeight="true" outlineLevel="0" collapsed="false">
      <c r="A1517" s="11" t="str">
        <f aca="false">TRIM('수출입 실적(품목별)'!A1521)</f>
        <v>2025.04</v>
      </c>
      <c r="B1517" s="17" t="n">
        <f aca="false">IFERROR(VALUE(LEFT($A1517,4)),"")</f>
        <v>2025</v>
      </c>
      <c r="C1517" s="17" t="n">
        <f aca="false">IFERROR(VALUE(RIGHT($A1517,2)),"")</f>
        <v>4</v>
      </c>
      <c r="D1517" s="17" t="n">
        <f aca="false">IFERROR(ROUNDUP($C1517/3,0),"")</f>
        <v>2</v>
      </c>
      <c r="E1517" s="11" t="str">
        <f aca="false">TRIM('수출입 실적(품목별)'!B1521)</f>
        <v>70</v>
      </c>
      <c r="F1517" s="11" t="str">
        <f aca="false">TRIM('수출입 실적(품목별)'!C1521)</f>
        <v>유리와 유리제품</v>
      </c>
      <c r="G1517" s="18" t="n">
        <f aca="false">IFERROR(VALUE(SUBSTITUTE(TRIM('수출입 실적(품목별)'!D1521),",","")),"")</f>
        <v>32546.3</v>
      </c>
      <c r="H1517" s="19" t="n">
        <f aca="false">IFERROR(VALUE(SUBSTITUTE(TRIM('수출입 실적(품목별)'!E1521),",","")),"")</f>
        <v>174853</v>
      </c>
      <c r="I1517" s="18" t="n">
        <f aca="false">IFERROR(VALUE(SUBSTITUTE(TRIM('수출입 실적(품목별)'!F1521),",","")),"")</f>
        <v>82335.6</v>
      </c>
      <c r="J1517" s="19" t="n">
        <f aca="false">IFERROR(VALUE(SUBSTITUTE(TRIM('수출입 실적(품목별)'!G1521),",","")),"")</f>
        <v>236530</v>
      </c>
      <c r="K1517" s="19" t="n">
        <f aca="false">IFERROR(VALUE(SUBSTITUTE(TRIM('수출입 실적(품목별)'!H1521),",","")),"")</f>
        <v>-61677</v>
      </c>
    </row>
    <row r="1518" customFormat="false" ht="15" hidden="false" customHeight="true" outlineLevel="0" collapsed="false">
      <c r="A1518" s="11" t="str">
        <f aca="false">TRIM('수출입 실적(품목별)'!A1522)</f>
        <v>2025.04</v>
      </c>
      <c r="B1518" s="17" t="n">
        <f aca="false">IFERROR(VALUE(LEFT($A1518,4)),"")</f>
        <v>2025</v>
      </c>
      <c r="C1518" s="17" t="n">
        <f aca="false">IFERROR(VALUE(RIGHT($A1518,2)),"")</f>
        <v>4</v>
      </c>
      <c r="D1518" s="17" t="n">
        <f aca="false">IFERROR(ROUNDUP($C1518/3,0),"")</f>
        <v>2</v>
      </c>
      <c r="E1518" s="11" t="str">
        <f aca="false">TRIM('수출입 실적(품목별)'!B1522)</f>
        <v>71</v>
      </c>
      <c r="F1518" s="11" t="str">
        <f aca="false">TRIM('수출입 실적(품목별)'!C1522)</f>
        <v>천연진주ㆍ양식진주ㆍ귀석ㆍ반귀석ㆍ귀금속ㆍ귀금속을 입힌 금속과 이들의 제품, 모조 신변장식용품, 주화</v>
      </c>
      <c r="G1518" s="18" t="n">
        <f aca="false">IFERROR(VALUE(SUBSTITUTE(TRIM('수출입 실적(품목별)'!D1522),",","")),"")</f>
        <v>948.5</v>
      </c>
      <c r="H1518" s="19" t="n">
        <f aca="false">IFERROR(VALUE(SUBSTITUTE(TRIM('수출입 실적(품목별)'!E1522),",","")),"")</f>
        <v>571993</v>
      </c>
      <c r="I1518" s="18" t="n">
        <f aca="false">IFERROR(VALUE(SUBSTITUTE(TRIM('수출입 실적(품목별)'!F1522),",","")),"")</f>
        <v>1084.6</v>
      </c>
      <c r="J1518" s="19" t="n">
        <f aca="false">IFERROR(VALUE(SUBSTITUTE(TRIM('수출입 실적(품목별)'!G1522),",","")),"")</f>
        <v>569421</v>
      </c>
      <c r="K1518" s="19" t="n">
        <f aca="false">IFERROR(VALUE(SUBSTITUTE(TRIM('수출입 실적(품목별)'!H1522),",","")),"")</f>
        <v>2572</v>
      </c>
    </row>
    <row r="1519" customFormat="false" ht="15" hidden="false" customHeight="true" outlineLevel="0" collapsed="false">
      <c r="A1519" s="11" t="str">
        <f aca="false">TRIM('수출입 실적(품목별)'!A1523)</f>
        <v>2025.04</v>
      </c>
      <c r="B1519" s="17" t="n">
        <f aca="false">IFERROR(VALUE(LEFT($A1519,4)),"")</f>
        <v>2025</v>
      </c>
      <c r="C1519" s="17" t="n">
        <f aca="false">IFERROR(VALUE(RIGHT($A1519,2)),"")</f>
        <v>4</v>
      </c>
      <c r="D1519" s="17" t="n">
        <f aca="false">IFERROR(ROUNDUP($C1519/3,0),"")</f>
        <v>2</v>
      </c>
      <c r="E1519" s="11" t="str">
        <f aca="false">TRIM('수출입 실적(품목별)'!B1523)</f>
        <v>72</v>
      </c>
      <c r="F1519" s="11" t="str">
        <f aca="false">TRIM('수출입 실적(품목별)'!C1523)</f>
        <v>철강</v>
      </c>
      <c r="G1519" s="18" t="n">
        <f aca="false">IFERROR(VALUE(SUBSTITUTE(TRIM('수출입 실적(품목별)'!D1523),",","")),"")</f>
        <v>2524546.5</v>
      </c>
      <c r="H1519" s="19" t="n">
        <f aca="false">IFERROR(VALUE(SUBSTITUTE(TRIM('수출입 실적(품목별)'!E1523),",","")),"")</f>
        <v>2164233</v>
      </c>
      <c r="I1519" s="18" t="n">
        <f aca="false">IFERROR(VALUE(SUBSTITUTE(TRIM('수출입 실적(품목별)'!F1523),",","")),"")</f>
        <v>1397514.1</v>
      </c>
      <c r="J1519" s="19" t="n">
        <f aca="false">IFERROR(VALUE(SUBSTITUTE(TRIM('수출입 실적(품목별)'!G1523),",","")),"")</f>
        <v>1072336</v>
      </c>
      <c r="K1519" s="19" t="n">
        <f aca="false">IFERROR(VALUE(SUBSTITUTE(TRIM('수출입 실적(품목별)'!H1523),",","")),"")</f>
        <v>1091897</v>
      </c>
    </row>
    <row r="1520" customFormat="false" ht="15" hidden="false" customHeight="true" outlineLevel="0" collapsed="false">
      <c r="A1520" s="11" t="str">
        <f aca="false">TRIM('수출입 실적(품목별)'!A1524)</f>
        <v>2025.04</v>
      </c>
      <c r="B1520" s="17" t="n">
        <f aca="false">IFERROR(VALUE(LEFT($A1520,4)),"")</f>
        <v>2025</v>
      </c>
      <c r="C1520" s="17" t="n">
        <f aca="false">IFERROR(VALUE(RIGHT($A1520,2)),"")</f>
        <v>4</v>
      </c>
      <c r="D1520" s="17" t="n">
        <f aca="false">IFERROR(ROUNDUP($C1520/3,0),"")</f>
        <v>2</v>
      </c>
      <c r="E1520" s="11" t="str">
        <f aca="false">TRIM('수출입 실적(품목별)'!B1524)</f>
        <v>73</v>
      </c>
      <c r="F1520" s="11" t="str">
        <f aca="false">TRIM('수출입 실적(품목별)'!C1524)</f>
        <v>철강의 제품</v>
      </c>
      <c r="G1520" s="18" t="n">
        <f aca="false">IFERROR(VALUE(SUBSTITUTE(TRIM('수출입 실적(품목별)'!D1524),",","")),"")</f>
        <v>336574.2</v>
      </c>
      <c r="H1520" s="19" t="n">
        <f aca="false">IFERROR(VALUE(SUBSTITUTE(TRIM('수출입 실적(품목별)'!E1524),",","")),"")</f>
        <v>914515</v>
      </c>
      <c r="I1520" s="18" t="n">
        <f aca="false">IFERROR(VALUE(SUBSTITUTE(TRIM('수출입 실적(품목별)'!F1524),",","")),"")</f>
        <v>262250.7</v>
      </c>
      <c r="J1520" s="19" t="n">
        <f aca="false">IFERROR(VALUE(SUBSTITUTE(TRIM('수출입 실적(품목별)'!G1524),",","")),"")</f>
        <v>699588</v>
      </c>
      <c r="K1520" s="19" t="n">
        <f aca="false">IFERROR(VALUE(SUBSTITUTE(TRIM('수출입 실적(품목별)'!H1524),",","")),"")</f>
        <v>214927</v>
      </c>
    </row>
    <row r="1521" customFormat="false" ht="15" hidden="false" customHeight="true" outlineLevel="0" collapsed="false">
      <c r="A1521" s="11" t="str">
        <f aca="false">TRIM('수출입 실적(품목별)'!A1525)</f>
        <v>2025.04</v>
      </c>
      <c r="B1521" s="17" t="n">
        <f aca="false">IFERROR(VALUE(LEFT($A1521,4)),"")</f>
        <v>2025</v>
      </c>
      <c r="C1521" s="17" t="n">
        <f aca="false">IFERROR(VALUE(RIGHT($A1521,2)),"")</f>
        <v>4</v>
      </c>
      <c r="D1521" s="17" t="n">
        <f aca="false">IFERROR(ROUNDUP($C1521/3,0),"")</f>
        <v>2</v>
      </c>
      <c r="E1521" s="11" t="str">
        <f aca="false">TRIM('수출입 실적(품목별)'!B1525)</f>
        <v>74</v>
      </c>
      <c r="F1521" s="11" t="str">
        <f aca="false">TRIM('수출입 실적(품목별)'!C1525)</f>
        <v>구리와 그 제품</v>
      </c>
      <c r="G1521" s="18" t="n">
        <f aca="false">IFERROR(VALUE(SUBSTITUTE(TRIM('수출입 실적(품목별)'!D1525),",","")),"")</f>
        <v>53867.4</v>
      </c>
      <c r="H1521" s="19" t="n">
        <f aca="false">IFERROR(VALUE(SUBSTITUTE(TRIM('수출입 실적(품목별)'!E1525),",","")),"")</f>
        <v>522537</v>
      </c>
      <c r="I1521" s="18" t="n">
        <f aca="false">IFERROR(VALUE(SUBSTITUTE(TRIM('수출입 실적(품목별)'!F1525),",","")),"")</f>
        <v>69767.4</v>
      </c>
      <c r="J1521" s="19" t="n">
        <f aca="false">IFERROR(VALUE(SUBSTITUTE(TRIM('수출입 실적(품목별)'!G1525),",","")),"")</f>
        <v>674214</v>
      </c>
      <c r="K1521" s="19" t="n">
        <f aca="false">IFERROR(VALUE(SUBSTITUTE(TRIM('수출입 실적(품목별)'!H1525),",","")),"")</f>
        <v>-151677</v>
      </c>
    </row>
    <row r="1522" customFormat="false" ht="15" hidden="false" customHeight="true" outlineLevel="0" collapsed="false">
      <c r="A1522" s="11" t="str">
        <f aca="false">TRIM('수출입 실적(품목별)'!A1526)</f>
        <v>2025.04</v>
      </c>
      <c r="B1522" s="17" t="n">
        <f aca="false">IFERROR(VALUE(LEFT($A1522,4)),"")</f>
        <v>2025</v>
      </c>
      <c r="C1522" s="17" t="n">
        <f aca="false">IFERROR(VALUE(RIGHT($A1522,2)),"")</f>
        <v>4</v>
      </c>
      <c r="D1522" s="17" t="n">
        <f aca="false">IFERROR(ROUNDUP($C1522/3,0),"")</f>
        <v>2</v>
      </c>
      <c r="E1522" s="11" t="str">
        <f aca="false">TRIM('수출입 실적(품목별)'!B1526)</f>
        <v>75</v>
      </c>
      <c r="F1522" s="11" t="str">
        <f aca="false">TRIM('수출입 실적(품목별)'!C1526)</f>
        <v>니켈과 그 제품</v>
      </c>
      <c r="G1522" s="18" t="n">
        <f aca="false">IFERROR(VALUE(SUBSTITUTE(TRIM('수출입 실적(품목별)'!D1526),",","")),"")</f>
        <v>1341.2</v>
      </c>
      <c r="H1522" s="19" t="n">
        <f aca="false">IFERROR(VALUE(SUBSTITUTE(TRIM('수출입 실적(품목별)'!E1526),",","")),"")</f>
        <v>21733</v>
      </c>
      <c r="I1522" s="18" t="n">
        <f aca="false">IFERROR(VALUE(SUBSTITUTE(TRIM('수출입 실적(품목별)'!F1526),",","")),"")</f>
        <v>6976.9</v>
      </c>
      <c r="J1522" s="19" t="n">
        <f aca="false">IFERROR(VALUE(SUBSTITUTE(TRIM('수출입 실적(품목별)'!G1526),",","")),"")</f>
        <v>126559</v>
      </c>
      <c r="K1522" s="19" t="n">
        <f aca="false">IFERROR(VALUE(SUBSTITUTE(TRIM('수출입 실적(품목별)'!H1526),",","")),"")</f>
        <v>-104826</v>
      </c>
    </row>
    <row r="1523" customFormat="false" ht="15" hidden="false" customHeight="true" outlineLevel="0" collapsed="false">
      <c r="A1523" s="11" t="str">
        <f aca="false">TRIM('수출입 실적(품목별)'!A1527)</f>
        <v>2025.04</v>
      </c>
      <c r="B1523" s="17" t="n">
        <f aca="false">IFERROR(VALUE(LEFT($A1523,4)),"")</f>
        <v>2025</v>
      </c>
      <c r="C1523" s="17" t="n">
        <f aca="false">IFERROR(VALUE(RIGHT($A1523,2)),"")</f>
        <v>4</v>
      </c>
      <c r="D1523" s="17" t="n">
        <f aca="false">IFERROR(ROUNDUP($C1523/3,0),"")</f>
        <v>2</v>
      </c>
      <c r="E1523" s="11" t="str">
        <f aca="false">TRIM('수출입 실적(품목별)'!B1527)</f>
        <v>76</v>
      </c>
      <c r="F1523" s="11" t="str">
        <f aca="false">TRIM('수출입 실적(품목별)'!C1527)</f>
        <v>알루미늄과 그 제품</v>
      </c>
      <c r="G1523" s="18" t="n">
        <f aca="false">IFERROR(VALUE(SUBSTITUTE(TRIM('수출입 실적(품목별)'!D1527),",","")),"")</f>
        <v>126094</v>
      </c>
      <c r="H1523" s="19" t="n">
        <f aca="false">IFERROR(VALUE(SUBSTITUTE(TRIM('수출입 실적(품목별)'!E1527),",","")),"")</f>
        <v>504295</v>
      </c>
      <c r="I1523" s="18" t="n">
        <f aca="false">IFERROR(VALUE(SUBSTITUTE(TRIM('수출입 실적(품목별)'!F1527),",","")),"")</f>
        <v>295593.1</v>
      </c>
      <c r="J1523" s="19" t="n">
        <f aca="false">IFERROR(VALUE(SUBSTITUTE(TRIM('수출입 실적(품목별)'!G1527),",","")),"")</f>
        <v>894860</v>
      </c>
      <c r="K1523" s="19" t="n">
        <f aca="false">IFERROR(VALUE(SUBSTITUTE(TRIM('수출입 실적(품목별)'!H1527),",","")),"")</f>
        <v>-390565</v>
      </c>
    </row>
    <row r="1524" customFormat="false" ht="15" hidden="false" customHeight="true" outlineLevel="0" collapsed="false">
      <c r="A1524" s="11" t="str">
        <f aca="false">TRIM('수출입 실적(품목별)'!A1528)</f>
        <v>2025.04</v>
      </c>
      <c r="B1524" s="17" t="n">
        <f aca="false">IFERROR(VALUE(LEFT($A1524,4)),"")</f>
        <v>2025</v>
      </c>
      <c r="C1524" s="17" t="n">
        <f aca="false">IFERROR(VALUE(RIGHT($A1524,2)),"")</f>
        <v>4</v>
      </c>
      <c r="D1524" s="17" t="n">
        <f aca="false">IFERROR(ROUNDUP($C1524/3,0),"")</f>
        <v>2</v>
      </c>
      <c r="E1524" s="11" t="str">
        <f aca="false">TRIM('수출입 실적(품목별)'!B1528)</f>
        <v>78</v>
      </c>
      <c r="F1524" s="11" t="str">
        <f aca="false">TRIM('수출입 실적(품목별)'!C1528)</f>
        <v>납과 그 제품</v>
      </c>
      <c r="G1524" s="18" t="n">
        <f aca="false">IFERROR(VALUE(SUBSTITUTE(TRIM('수출입 실적(품목별)'!D1528),",","")),"")</f>
        <v>19258.9</v>
      </c>
      <c r="H1524" s="19" t="n">
        <f aca="false">IFERROR(VALUE(SUBSTITUTE(TRIM('수출입 실적(품목별)'!E1528),",","")),"")</f>
        <v>43568</v>
      </c>
      <c r="I1524" s="18" t="n">
        <f aca="false">IFERROR(VALUE(SUBSTITUTE(TRIM('수출입 실적(품목별)'!F1528),",","")),"")</f>
        <v>15982.5</v>
      </c>
      <c r="J1524" s="19" t="n">
        <f aca="false">IFERROR(VALUE(SUBSTITUTE(TRIM('수출입 실적(품목별)'!G1528),",","")),"")</f>
        <v>34357</v>
      </c>
      <c r="K1524" s="19" t="n">
        <f aca="false">IFERROR(VALUE(SUBSTITUTE(TRIM('수출입 실적(품목별)'!H1528),",","")),"")</f>
        <v>9210</v>
      </c>
    </row>
    <row r="1525" customFormat="false" ht="15" hidden="false" customHeight="true" outlineLevel="0" collapsed="false">
      <c r="A1525" s="11" t="str">
        <f aca="false">TRIM('수출입 실적(품목별)'!A1529)</f>
        <v>2025.04</v>
      </c>
      <c r="B1525" s="17" t="n">
        <f aca="false">IFERROR(VALUE(LEFT($A1525,4)),"")</f>
        <v>2025</v>
      </c>
      <c r="C1525" s="17" t="n">
        <f aca="false">IFERROR(VALUE(RIGHT($A1525,2)),"")</f>
        <v>4</v>
      </c>
      <c r="D1525" s="17" t="n">
        <f aca="false">IFERROR(ROUNDUP($C1525/3,0),"")</f>
        <v>2</v>
      </c>
      <c r="E1525" s="11" t="str">
        <f aca="false">TRIM('수출입 실적(품목별)'!B1529)</f>
        <v>79</v>
      </c>
      <c r="F1525" s="11" t="str">
        <f aca="false">TRIM('수출입 실적(품목별)'!C1529)</f>
        <v>아연과 그 제품</v>
      </c>
      <c r="G1525" s="18" t="n">
        <f aca="false">IFERROR(VALUE(SUBSTITUTE(TRIM('수출입 실적(품목별)'!D1529),",","")),"")</f>
        <v>34607.9</v>
      </c>
      <c r="H1525" s="19" t="n">
        <f aca="false">IFERROR(VALUE(SUBSTITUTE(TRIM('수출입 실적(품목별)'!E1529),",","")),"")</f>
        <v>101886</v>
      </c>
      <c r="I1525" s="18" t="n">
        <f aca="false">IFERROR(VALUE(SUBSTITUTE(TRIM('수출입 실적(품목별)'!F1529),",","")),"")</f>
        <v>3905.1</v>
      </c>
      <c r="J1525" s="19" t="n">
        <f aca="false">IFERROR(VALUE(SUBSTITUTE(TRIM('수출입 실적(품목별)'!G1529),",","")),"")</f>
        <v>12893</v>
      </c>
      <c r="K1525" s="19" t="n">
        <f aca="false">IFERROR(VALUE(SUBSTITUTE(TRIM('수출입 실적(품목별)'!H1529),",","")),"")</f>
        <v>88994</v>
      </c>
    </row>
    <row r="1526" customFormat="false" ht="15" hidden="false" customHeight="true" outlineLevel="0" collapsed="false">
      <c r="A1526" s="11" t="str">
        <f aca="false">TRIM('수출입 실적(품목별)'!A1530)</f>
        <v>2025.04</v>
      </c>
      <c r="B1526" s="17" t="n">
        <f aca="false">IFERROR(VALUE(LEFT($A1526,4)),"")</f>
        <v>2025</v>
      </c>
      <c r="C1526" s="17" t="n">
        <f aca="false">IFERROR(VALUE(RIGHT($A1526,2)),"")</f>
        <v>4</v>
      </c>
      <c r="D1526" s="17" t="n">
        <f aca="false">IFERROR(ROUNDUP($C1526/3,0),"")</f>
        <v>2</v>
      </c>
      <c r="E1526" s="11" t="str">
        <f aca="false">TRIM('수출입 실적(품목별)'!B1530)</f>
        <v>80</v>
      </c>
      <c r="F1526" s="11" t="str">
        <f aca="false">TRIM('수출입 실적(품목별)'!C1530)</f>
        <v>주석과 그 제품</v>
      </c>
      <c r="G1526" s="18" t="n">
        <f aca="false">IFERROR(VALUE(SUBSTITUTE(TRIM('수출입 실적(품목별)'!D1530),",","")),"")</f>
        <v>207.1</v>
      </c>
      <c r="H1526" s="19" t="n">
        <f aca="false">IFERROR(VALUE(SUBSTITUTE(TRIM('수출입 실적(품목별)'!E1530),",","")),"")</f>
        <v>6422</v>
      </c>
      <c r="I1526" s="18" t="n">
        <f aca="false">IFERROR(VALUE(SUBSTITUTE(TRIM('수출입 실적(품목별)'!F1530),",","")),"")</f>
        <v>1378.1</v>
      </c>
      <c r="J1526" s="19" t="n">
        <f aca="false">IFERROR(VALUE(SUBSTITUTE(TRIM('수출입 실적(품목별)'!G1530),",","")),"")</f>
        <v>47696</v>
      </c>
      <c r="K1526" s="19" t="n">
        <f aca="false">IFERROR(VALUE(SUBSTITUTE(TRIM('수출입 실적(품목별)'!H1530),",","")),"")</f>
        <v>-41274</v>
      </c>
    </row>
    <row r="1527" customFormat="false" ht="15" hidden="false" customHeight="true" outlineLevel="0" collapsed="false">
      <c r="A1527" s="11" t="str">
        <f aca="false">TRIM('수출입 실적(품목별)'!A1531)</f>
        <v>2025.04</v>
      </c>
      <c r="B1527" s="17" t="n">
        <f aca="false">IFERROR(VALUE(LEFT($A1527,4)),"")</f>
        <v>2025</v>
      </c>
      <c r="C1527" s="17" t="n">
        <f aca="false">IFERROR(VALUE(RIGHT($A1527,2)),"")</f>
        <v>4</v>
      </c>
      <c r="D1527" s="17" t="n">
        <f aca="false">IFERROR(ROUNDUP($C1527/3,0),"")</f>
        <v>2</v>
      </c>
      <c r="E1527" s="11" t="str">
        <f aca="false">TRIM('수출입 실적(품목별)'!B1531)</f>
        <v>81</v>
      </c>
      <c r="F1527" s="11" t="str">
        <f aca="false">TRIM('수출입 실적(품목별)'!C1531)</f>
        <v>그 밖의 비금속(卑金屬), 서멧(cermet), 이들의 제품</v>
      </c>
      <c r="G1527" s="18" t="n">
        <f aca="false">IFERROR(VALUE(SUBSTITUTE(TRIM('수출입 실적(품목별)'!D1531),",","")),"")</f>
        <v>8100.1</v>
      </c>
      <c r="H1527" s="19" t="n">
        <f aca="false">IFERROR(VALUE(SUBSTITUTE(TRIM('수출입 실적(품목별)'!E1531),",","")),"")</f>
        <v>48173</v>
      </c>
      <c r="I1527" s="18" t="n">
        <f aca="false">IFERROR(VALUE(SUBSTITUTE(TRIM('수출입 실적(품목별)'!F1531),",","")),"")</f>
        <v>15459.8</v>
      </c>
      <c r="J1527" s="19" t="n">
        <f aca="false">IFERROR(VALUE(SUBSTITUTE(TRIM('수출입 실적(품목별)'!G1531),",","")),"")</f>
        <v>137914</v>
      </c>
      <c r="K1527" s="19" t="n">
        <f aca="false">IFERROR(VALUE(SUBSTITUTE(TRIM('수출입 실적(품목별)'!H1531),",","")),"")</f>
        <v>-89740</v>
      </c>
    </row>
    <row r="1528" customFormat="false" ht="15" hidden="false" customHeight="true" outlineLevel="0" collapsed="false">
      <c r="A1528" s="11" t="str">
        <f aca="false">TRIM('수출입 실적(품목별)'!A1532)</f>
        <v>2025.04</v>
      </c>
      <c r="B1528" s="17" t="n">
        <f aca="false">IFERROR(VALUE(LEFT($A1528,4)),"")</f>
        <v>2025</v>
      </c>
      <c r="C1528" s="17" t="n">
        <f aca="false">IFERROR(VALUE(RIGHT($A1528,2)),"")</f>
        <v>4</v>
      </c>
      <c r="D1528" s="17" t="n">
        <f aca="false">IFERROR(ROUNDUP($C1528/3,0),"")</f>
        <v>2</v>
      </c>
      <c r="E1528" s="11" t="str">
        <f aca="false">TRIM('수출입 실적(품목별)'!B1532)</f>
        <v>82</v>
      </c>
      <c r="F1528" s="11" t="str">
        <f aca="false">TRIM('수출입 실적(품목별)'!C1532)</f>
        <v>비금속(卑金屬)으로 만든 공구ㆍ도구ㆍ칼붙이ㆍ스푼ㆍ포크, 이들의 부분품</v>
      </c>
      <c r="G1528" s="18" t="n">
        <f aca="false">IFERROR(VALUE(SUBSTITUTE(TRIM('수출입 실적(품목별)'!D1532),",","")),"")</f>
        <v>9221.6</v>
      </c>
      <c r="H1528" s="19" t="n">
        <f aca="false">IFERROR(VALUE(SUBSTITUTE(TRIM('수출입 실적(품목별)'!E1532),",","")),"")</f>
        <v>184275</v>
      </c>
      <c r="I1528" s="18" t="n">
        <f aca="false">IFERROR(VALUE(SUBSTITUTE(TRIM('수출입 실적(품목별)'!F1532),",","")),"")</f>
        <v>5550.1</v>
      </c>
      <c r="J1528" s="19" t="n">
        <f aca="false">IFERROR(VALUE(SUBSTITUTE(TRIM('수출입 실적(품목별)'!G1532),",","")),"")</f>
        <v>94319</v>
      </c>
      <c r="K1528" s="19" t="n">
        <f aca="false">IFERROR(VALUE(SUBSTITUTE(TRIM('수출입 실적(품목별)'!H1532),",","")),"")</f>
        <v>89956</v>
      </c>
    </row>
    <row r="1529" customFormat="false" ht="15" hidden="false" customHeight="true" outlineLevel="0" collapsed="false">
      <c r="A1529" s="11" t="str">
        <f aca="false">TRIM('수출입 실적(품목별)'!A1533)</f>
        <v>2025.04</v>
      </c>
      <c r="B1529" s="17" t="n">
        <f aca="false">IFERROR(VALUE(LEFT($A1529,4)),"")</f>
        <v>2025</v>
      </c>
      <c r="C1529" s="17" t="n">
        <f aca="false">IFERROR(VALUE(RIGHT($A1529,2)),"")</f>
        <v>4</v>
      </c>
      <c r="D1529" s="17" t="n">
        <f aca="false">IFERROR(ROUNDUP($C1529/3,0),"")</f>
        <v>2</v>
      </c>
      <c r="E1529" s="11" t="str">
        <f aca="false">TRIM('수출입 실적(품목별)'!B1533)</f>
        <v>83</v>
      </c>
      <c r="F1529" s="11" t="str">
        <f aca="false">TRIM('수출입 실적(품목별)'!C1533)</f>
        <v>비금속(卑金屬)으로 만든 각종 제품</v>
      </c>
      <c r="G1529" s="18" t="n">
        <f aca="false">IFERROR(VALUE(SUBSTITUTE(TRIM('수출입 실적(품목별)'!D1533),",","")),"")</f>
        <v>26328.8</v>
      </c>
      <c r="H1529" s="19" t="n">
        <f aca="false">IFERROR(VALUE(SUBSTITUTE(TRIM('수출입 실적(품목별)'!E1533),",","")),"")</f>
        <v>149694</v>
      </c>
      <c r="I1529" s="18" t="n">
        <f aca="false">IFERROR(VALUE(SUBSTITUTE(TRIM('수출입 실적(품목별)'!F1533),",","")),"")</f>
        <v>12430.5</v>
      </c>
      <c r="J1529" s="19" t="n">
        <f aca="false">IFERROR(VALUE(SUBSTITUTE(TRIM('수출입 실적(품목별)'!G1533),",","")),"")</f>
        <v>85471</v>
      </c>
      <c r="K1529" s="19" t="n">
        <f aca="false">IFERROR(VALUE(SUBSTITUTE(TRIM('수출입 실적(품목별)'!H1533),",","")),"")</f>
        <v>64223</v>
      </c>
    </row>
    <row r="1530" customFormat="false" ht="15" hidden="false" customHeight="true" outlineLevel="0" collapsed="false">
      <c r="A1530" s="11" t="str">
        <f aca="false">TRIM('수출입 실적(품목별)'!A1534)</f>
        <v>2025.04</v>
      </c>
      <c r="B1530" s="17" t="n">
        <f aca="false">IFERROR(VALUE(LEFT($A1530,4)),"")</f>
        <v>2025</v>
      </c>
      <c r="C1530" s="17" t="n">
        <f aca="false">IFERROR(VALUE(RIGHT($A1530,2)),"")</f>
        <v>4</v>
      </c>
      <c r="D1530" s="17" t="n">
        <f aca="false">IFERROR(ROUNDUP($C1530/3,0),"")</f>
        <v>2</v>
      </c>
      <c r="E1530" s="11" t="str">
        <f aca="false">TRIM('수출입 실적(품목별)'!B1534)</f>
        <v>84</v>
      </c>
      <c r="F1530" s="11" t="str">
        <f aca="false">TRIM('수출입 실적(품목별)'!C1534)</f>
        <v>원자로ㆍ보일러ㆍ기계류와 이들의 부분품</v>
      </c>
      <c r="G1530" s="18" t="n">
        <f aca="false">IFERROR(VALUE(SUBSTITUTE(TRIM('수출입 실적(품목별)'!D1534),",","")),"")</f>
        <v>423129.3</v>
      </c>
      <c r="H1530" s="19" t="n">
        <f aca="false">IFERROR(VALUE(SUBSTITUTE(TRIM('수출입 실적(품목별)'!E1534),",","")),"")</f>
        <v>7038785</v>
      </c>
      <c r="I1530" s="18" t="n">
        <f aca="false">IFERROR(VALUE(SUBSTITUTE(TRIM('수출입 실적(품목별)'!F1534),",","")),"")</f>
        <v>243688.4</v>
      </c>
      <c r="J1530" s="19" t="n">
        <f aca="false">IFERROR(VALUE(SUBSTITUTE(TRIM('수출입 실적(품목별)'!G1534),",","")),"")</f>
        <v>6158362</v>
      </c>
      <c r="K1530" s="19" t="n">
        <f aca="false">IFERROR(VALUE(SUBSTITUTE(TRIM('수출입 실적(품목별)'!H1534),",","")),"")</f>
        <v>880423</v>
      </c>
    </row>
    <row r="1531" customFormat="false" ht="15" hidden="false" customHeight="true" outlineLevel="0" collapsed="false">
      <c r="A1531" s="11" t="str">
        <f aca="false">TRIM('수출입 실적(품목별)'!A1535)</f>
        <v>2025.04</v>
      </c>
      <c r="B1531" s="17" t="n">
        <f aca="false">IFERROR(VALUE(LEFT($A1531,4)),"")</f>
        <v>2025</v>
      </c>
      <c r="C1531" s="17" t="n">
        <f aca="false">IFERROR(VALUE(RIGHT($A1531,2)),"")</f>
        <v>4</v>
      </c>
      <c r="D1531" s="17" t="n">
        <f aca="false">IFERROR(ROUNDUP($C1531/3,0),"")</f>
        <v>2</v>
      </c>
      <c r="E1531" s="11" t="str">
        <f aca="false">TRIM('수출입 실적(품목별)'!B1535)</f>
        <v>85</v>
      </c>
      <c r="F1531" s="11" t="str">
        <f aca="false">TRIM('수출입 실적(품목별)'!C1535)</f>
        <v>전기기기와 그 부분품, 녹음기ㆍ음성 재생기ㆍ텔레비전의 영상과 음성의 기록기ㆍ재생기와 이들의 부분품ㆍ부속품</v>
      </c>
      <c r="G1531" s="18" t="n">
        <f aca="false">IFERROR(VALUE(SUBSTITUTE(TRIM('수출입 실적(품목별)'!D1535),",","")),"")</f>
        <v>248546.8</v>
      </c>
      <c r="H1531" s="19" t="n">
        <f aca="false">IFERROR(VALUE(SUBSTITUTE(TRIM('수출입 실적(품목별)'!E1535),",","")),"")</f>
        <v>17098985</v>
      </c>
      <c r="I1531" s="18" t="n">
        <f aca="false">IFERROR(VALUE(SUBSTITUTE(TRIM('수출입 실적(품목별)'!F1535),",","")),"")</f>
        <v>224532.1</v>
      </c>
      <c r="J1531" s="19" t="n">
        <f aca="false">IFERROR(VALUE(SUBSTITUTE(TRIM('수출입 실적(품목별)'!G1535),",","")),"")</f>
        <v>10248318</v>
      </c>
      <c r="K1531" s="19" t="n">
        <f aca="false">IFERROR(VALUE(SUBSTITUTE(TRIM('수출입 실적(품목별)'!H1535),",","")),"")</f>
        <v>6850666</v>
      </c>
    </row>
    <row r="1532" customFormat="false" ht="15" hidden="false" customHeight="true" outlineLevel="0" collapsed="false">
      <c r="A1532" s="11" t="str">
        <f aca="false">TRIM('수출입 실적(품목별)'!A1536)</f>
        <v>2025.04</v>
      </c>
      <c r="B1532" s="17" t="n">
        <f aca="false">IFERROR(VALUE(LEFT($A1532,4)),"")</f>
        <v>2025</v>
      </c>
      <c r="C1532" s="17" t="n">
        <f aca="false">IFERROR(VALUE(RIGHT($A1532,2)),"")</f>
        <v>4</v>
      </c>
      <c r="D1532" s="17" t="n">
        <f aca="false">IFERROR(ROUNDUP($C1532/3,0),"")</f>
        <v>2</v>
      </c>
      <c r="E1532" s="11" t="str">
        <f aca="false">TRIM('수출입 실적(품목별)'!B1536)</f>
        <v>86</v>
      </c>
      <c r="F1532" s="11" t="str">
        <f aca="false">TRIM('수출입 실적(품목별)'!C1536)</f>
        <v>철도용이나 궤도용 기관차ㆍ차량과 이들의 부분품, 철도용이나 궤도용 장비품과 그 부분품, 기계식(전기기계식을 포함한다) 각종 교통신호용 기기</v>
      </c>
      <c r="G1532" s="18" t="n">
        <f aca="false">IFERROR(VALUE(SUBSTITUTE(TRIM('수출입 실적(품목별)'!D1536),",","")),"")</f>
        <v>11649.4</v>
      </c>
      <c r="H1532" s="19" t="n">
        <f aca="false">IFERROR(VALUE(SUBSTITUTE(TRIM('수출입 실적(품목별)'!E1536),",","")),"")</f>
        <v>38635</v>
      </c>
      <c r="I1532" s="18" t="n">
        <f aca="false">IFERROR(VALUE(SUBSTITUTE(TRIM('수출입 실적(품목별)'!F1536),",","")),"")</f>
        <v>12193</v>
      </c>
      <c r="J1532" s="19" t="n">
        <f aca="false">IFERROR(VALUE(SUBSTITUTE(TRIM('수출입 실적(품목별)'!G1536),",","")),"")</f>
        <v>36023</v>
      </c>
      <c r="K1532" s="19" t="n">
        <f aca="false">IFERROR(VALUE(SUBSTITUTE(TRIM('수출입 실적(품목별)'!H1536),",","")),"")</f>
        <v>2612</v>
      </c>
    </row>
    <row r="1533" customFormat="false" ht="15" hidden="false" customHeight="true" outlineLevel="0" collapsed="false">
      <c r="A1533" s="11" t="str">
        <f aca="false">TRIM('수출입 실적(품목별)'!A1537)</f>
        <v>2025.04</v>
      </c>
      <c r="B1533" s="17" t="n">
        <f aca="false">IFERROR(VALUE(LEFT($A1533,4)),"")</f>
        <v>2025</v>
      </c>
      <c r="C1533" s="17" t="n">
        <f aca="false">IFERROR(VALUE(RIGHT($A1533,2)),"")</f>
        <v>4</v>
      </c>
      <c r="D1533" s="17" t="n">
        <f aca="false">IFERROR(ROUNDUP($C1533/3,0),"")</f>
        <v>2</v>
      </c>
      <c r="E1533" s="11" t="str">
        <f aca="false">TRIM('수출입 실적(품목별)'!B1537)</f>
        <v>87</v>
      </c>
      <c r="F1533" s="11" t="str">
        <f aca="false">TRIM('수출입 실적(품목별)'!C1537)</f>
        <v>철도용이나 궤도용 외의 차량과 그 부분품ㆍ부속품</v>
      </c>
      <c r="G1533" s="18" t="n">
        <f aca="false">IFERROR(VALUE(SUBSTITUTE(TRIM('수출입 실적(품목별)'!D1537),",","")),"")</f>
        <v>788451.8</v>
      </c>
      <c r="H1533" s="19" t="n">
        <f aca="false">IFERROR(VALUE(SUBSTITUTE(TRIM('수출입 실적(품목별)'!E1537),",","")),"")</f>
        <v>8497645</v>
      </c>
      <c r="I1533" s="18" t="n">
        <f aca="false">IFERROR(VALUE(SUBSTITUTE(TRIM('수출입 실적(품목별)'!F1537),",","")),"")</f>
        <v>123579.6</v>
      </c>
      <c r="J1533" s="19" t="n">
        <f aca="false">IFERROR(VALUE(SUBSTITUTE(TRIM('수출입 실적(품목별)'!G1537),",","")),"")</f>
        <v>1891419</v>
      </c>
      <c r="K1533" s="19" t="n">
        <f aca="false">IFERROR(VALUE(SUBSTITUTE(TRIM('수출입 실적(품목별)'!H1537),",","")),"")</f>
        <v>6606226</v>
      </c>
    </row>
    <row r="1534" customFormat="false" ht="15" hidden="false" customHeight="true" outlineLevel="0" collapsed="false">
      <c r="A1534" s="11" t="str">
        <f aca="false">TRIM('수출입 실적(품목별)'!A1538)</f>
        <v>2025.04</v>
      </c>
      <c r="B1534" s="17" t="n">
        <f aca="false">IFERROR(VALUE(LEFT($A1534,4)),"")</f>
        <v>2025</v>
      </c>
      <c r="C1534" s="17" t="n">
        <f aca="false">IFERROR(VALUE(RIGHT($A1534,2)),"")</f>
        <v>4</v>
      </c>
      <c r="D1534" s="17" t="n">
        <f aca="false">IFERROR(ROUNDUP($C1534/3,0),"")</f>
        <v>2</v>
      </c>
      <c r="E1534" s="11" t="str">
        <f aca="false">TRIM('수출입 실적(품목별)'!B1538)</f>
        <v>88</v>
      </c>
      <c r="F1534" s="11" t="str">
        <f aca="false">TRIM('수출입 실적(품목별)'!C1538)</f>
        <v>항공기와 우주선, 이들의 부분품</v>
      </c>
      <c r="G1534" s="18" t="n">
        <f aca="false">IFERROR(VALUE(SUBSTITUTE(TRIM('수출입 실적(품목별)'!D1538),",","")),"")</f>
        <v>610.2</v>
      </c>
      <c r="H1534" s="19" t="n">
        <f aca="false">IFERROR(VALUE(SUBSTITUTE(TRIM('수출입 실적(품목별)'!E1538),",","")),"")</f>
        <v>264332</v>
      </c>
      <c r="I1534" s="18" t="n">
        <f aca="false">IFERROR(VALUE(SUBSTITUTE(TRIM('수출입 실적(품목별)'!F1538),",","")),"")</f>
        <v>325.1</v>
      </c>
      <c r="J1534" s="19" t="n">
        <f aca="false">IFERROR(VALUE(SUBSTITUTE(TRIM('수출입 실적(품목별)'!G1538),",","")),"")</f>
        <v>288730</v>
      </c>
      <c r="K1534" s="19" t="n">
        <f aca="false">IFERROR(VALUE(SUBSTITUTE(TRIM('수출입 실적(품목별)'!H1538),",","")),"")</f>
        <v>-24397</v>
      </c>
    </row>
    <row r="1535" customFormat="false" ht="15" hidden="false" customHeight="true" outlineLevel="0" collapsed="false">
      <c r="A1535" s="11" t="str">
        <f aca="false">TRIM('수출입 실적(품목별)'!A1539)</f>
        <v>2025.04</v>
      </c>
      <c r="B1535" s="17" t="n">
        <f aca="false">IFERROR(VALUE(LEFT($A1535,4)),"")</f>
        <v>2025</v>
      </c>
      <c r="C1535" s="17" t="n">
        <f aca="false">IFERROR(VALUE(RIGHT($A1535,2)),"")</f>
        <v>4</v>
      </c>
      <c r="D1535" s="17" t="n">
        <f aca="false">IFERROR(ROUNDUP($C1535/3,0),"")</f>
        <v>2</v>
      </c>
      <c r="E1535" s="11" t="str">
        <f aca="false">TRIM('수출입 실적(품목별)'!B1539)</f>
        <v>89</v>
      </c>
      <c r="F1535" s="11" t="str">
        <f aca="false">TRIM('수출입 실적(품목별)'!C1539)</f>
        <v>선박과 수상 구조물</v>
      </c>
      <c r="G1535" s="18" t="n">
        <f aca="false">IFERROR(VALUE(SUBSTITUTE(TRIM('수출입 실적(품목별)'!D1539),",","")),"")</f>
        <v>813819</v>
      </c>
      <c r="H1535" s="19" t="n">
        <f aca="false">IFERROR(VALUE(SUBSTITUTE(TRIM('수출입 실적(품목별)'!E1539),",","")),"")</f>
        <v>1806786</v>
      </c>
      <c r="I1535" s="18" t="n">
        <f aca="false">IFERROR(VALUE(SUBSTITUTE(TRIM('수출입 실적(품목별)'!F1539),",","")),"")</f>
        <v>341173.6</v>
      </c>
      <c r="J1535" s="19" t="n">
        <f aca="false">IFERROR(VALUE(SUBSTITUTE(TRIM('수출입 실적(품목별)'!G1539),",","")),"")</f>
        <v>428747</v>
      </c>
      <c r="K1535" s="19" t="n">
        <f aca="false">IFERROR(VALUE(SUBSTITUTE(TRIM('수출입 실적(품목별)'!H1539),",","")),"")</f>
        <v>1378038</v>
      </c>
    </row>
    <row r="1536" customFormat="false" ht="15" hidden="false" customHeight="true" outlineLevel="0" collapsed="false">
      <c r="A1536" s="11" t="str">
        <f aca="false">TRIM('수출입 실적(품목별)'!A1540)</f>
        <v>2025.04</v>
      </c>
      <c r="B1536" s="17" t="n">
        <f aca="false">IFERROR(VALUE(LEFT($A1536,4)),"")</f>
        <v>2025</v>
      </c>
      <c r="C1536" s="17" t="n">
        <f aca="false">IFERROR(VALUE(RIGHT($A1536,2)),"")</f>
        <v>4</v>
      </c>
      <c r="D1536" s="17" t="n">
        <f aca="false">IFERROR(ROUNDUP($C1536/3,0),"")</f>
        <v>2</v>
      </c>
      <c r="E1536" s="11" t="str">
        <f aca="false">TRIM('수출입 실적(품목별)'!B1540)</f>
        <v>90</v>
      </c>
      <c r="F1536" s="11" t="str">
        <f aca="false">TRIM('수출입 실적(품목별)'!C1540)</f>
        <v>광학기기ㆍ사진용 기기ㆍ영화용 기기ㆍ측정기기ㆍ검사기기ㆍ정밀기기ㆍ의료용 기기, 이들의 부분품과 부속품</v>
      </c>
      <c r="G1536" s="18" t="n">
        <f aca="false">IFERROR(VALUE(SUBSTITUTE(TRIM('수출입 실적(품목별)'!D1540),",","")),"")</f>
        <v>16261</v>
      </c>
      <c r="H1536" s="19" t="n">
        <f aca="false">IFERROR(VALUE(SUBSTITUTE(TRIM('수출입 실적(품목별)'!E1540),",","")),"")</f>
        <v>1496708</v>
      </c>
      <c r="I1536" s="18" t="n">
        <f aca="false">IFERROR(VALUE(SUBSTITUTE(TRIM('수출입 실적(품목별)'!F1540),",","")),"")</f>
        <v>17749</v>
      </c>
      <c r="J1536" s="19" t="n">
        <f aca="false">IFERROR(VALUE(SUBSTITUTE(TRIM('수출입 실적(품목별)'!G1540),",","")),"")</f>
        <v>2102459</v>
      </c>
      <c r="K1536" s="19" t="n">
        <f aca="false">IFERROR(VALUE(SUBSTITUTE(TRIM('수출입 실적(품목별)'!H1540),",","")),"")</f>
        <v>-605750</v>
      </c>
    </row>
    <row r="1537" customFormat="false" ht="15" hidden="false" customHeight="true" outlineLevel="0" collapsed="false">
      <c r="A1537" s="11" t="str">
        <f aca="false">TRIM('수출입 실적(품목별)'!A1541)</f>
        <v>2025.04</v>
      </c>
      <c r="B1537" s="17" t="n">
        <f aca="false">IFERROR(VALUE(LEFT($A1537,4)),"")</f>
        <v>2025</v>
      </c>
      <c r="C1537" s="17" t="n">
        <f aca="false">IFERROR(VALUE(RIGHT($A1537,2)),"")</f>
        <v>4</v>
      </c>
      <c r="D1537" s="17" t="n">
        <f aca="false">IFERROR(ROUNDUP($C1537/3,0),"")</f>
        <v>2</v>
      </c>
      <c r="E1537" s="11" t="str">
        <f aca="false">TRIM('수출입 실적(품목별)'!B1541)</f>
        <v>91</v>
      </c>
      <c r="F1537" s="11" t="str">
        <f aca="false">TRIM('수출입 실적(품목별)'!C1541)</f>
        <v>시계와 그 부분품</v>
      </c>
      <c r="G1537" s="18" t="n">
        <f aca="false">IFERROR(VALUE(SUBSTITUTE(TRIM('수출입 실적(품목별)'!D1541),",","")),"")</f>
        <v>16.2</v>
      </c>
      <c r="H1537" s="19" t="n">
        <f aca="false">IFERROR(VALUE(SUBSTITUTE(TRIM('수출입 실적(품목별)'!E1541),",","")),"")</f>
        <v>20035</v>
      </c>
      <c r="I1537" s="18" t="n">
        <f aca="false">IFERROR(VALUE(SUBSTITUTE(TRIM('수출입 실적(품목별)'!F1541),",","")),"")</f>
        <v>311.9</v>
      </c>
      <c r="J1537" s="19" t="n">
        <f aca="false">IFERROR(VALUE(SUBSTITUTE(TRIM('수출입 실적(품목별)'!G1541),",","")),"")</f>
        <v>91829</v>
      </c>
      <c r="K1537" s="19" t="n">
        <f aca="false">IFERROR(VALUE(SUBSTITUTE(TRIM('수출입 실적(품목별)'!H1541),",","")),"")</f>
        <v>-71795</v>
      </c>
    </row>
    <row r="1538" customFormat="false" ht="15" hidden="false" customHeight="true" outlineLevel="0" collapsed="false">
      <c r="A1538" s="11" t="str">
        <f aca="false">TRIM('수출입 실적(품목별)'!A1542)</f>
        <v>2025.04</v>
      </c>
      <c r="B1538" s="17" t="n">
        <f aca="false">IFERROR(VALUE(LEFT($A1538,4)),"")</f>
        <v>2025</v>
      </c>
      <c r="C1538" s="17" t="n">
        <f aca="false">IFERROR(VALUE(RIGHT($A1538,2)),"")</f>
        <v>4</v>
      </c>
      <c r="D1538" s="17" t="n">
        <f aca="false">IFERROR(ROUNDUP($C1538/3,0),"")</f>
        <v>2</v>
      </c>
      <c r="E1538" s="11" t="str">
        <f aca="false">TRIM('수출입 실적(품목별)'!B1542)</f>
        <v>92</v>
      </c>
      <c r="F1538" s="11" t="str">
        <f aca="false">TRIM('수출입 실적(품목별)'!C1542)</f>
        <v>악기와 그 부분품과 부속품</v>
      </c>
      <c r="G1538" s="18" t="n">
        <f aca="false">IFERROR(VALUE(SUBSTITUTE(TRIM('수출입 실적(품목별)'!D1542),",","")),"")</f>
        <v>426.4</v>
      </c>
      <c r="H1538" s="19" t="n">
        <f aca="false">IFERROR(VALUE(SUBSTITUTE(TRIM('수출입 실적(품목별)'!E1542),",","")),"")</f>
        <v>8950</v>
      </c>
      <c r="I1538" s="18" t="n">
        <f aca="false">IFERROR(VALUE(SUBSTITUTE(TRIM('수출입 실적(품목별)'!F1542),",","")),"")</f>
        <v>731.7</v>
      </c>
      <c r="J1538" s="19" t="n">
        <f aca="false">IFERROR(VALUE(SUBSTITUTE(TRIM('수출입 실적(품목별)'!G1542),",","")),"")</f>
        <v>15803</v>
      </c>
      <c r="K1538" s="19" t="n">
        <f aca="false">IFERROR(VALUE(SUBSTITUTE(TRIM('수출입 실적(품목별)'!H1542),",","")),"")</f>
        <v>-6853</v>
      </c>
    </row>
    <row r="1539" customFormat="false" ht="15" hidden="false" customHeight="true" outlineLevel="0" collapsed="false">
      <c r="A1539" s="11" t="str">
        <f aca="false">TRIM('수출입 실적(품목별)'!A1543)</f>
        <v>2025.04</v>
      </c>
      <c r="B1539" s="17" t="n">
        <f aca="false">IFERROR(VALUE(LEFT($A1539,4)),"")</f>
        <v>2025</v>
      </c>
      <c r="C1539" s="17" t="n">
        <f aca="false">IFERROR(VALUE(RIGHT($A1539,2)),"")</f>
        <v>4</v>
      </c>
      <c r="D1539" s="17" t="n">
        <f aca="false">IFERROR(ROUNDUP($C1539/3,0),"")</f>
        <v>2</v>
      </c>
      <c r="E1539" s="11" t="str">
        <f aca="false">TRIM('수출입 실적(품목별)'!B1543)</f>
        <v>93</v>
      </c>
      <c r="F1539" s="11" t="str">
        <f aca="false">TRIM('수출입 실적(품목별)'!C1543)</f>
        <v>무기ㆍ총포탄과 이들의 부분품과 부속품</v>
      </c>
      <c r="G1539" s="18" t="n">
        <f aca="false">IFERROR(VALUE(SUBSTITUTE(TRIM('수출입 실적(품목별)'!D1543),",","")),"")</f>
        <v>2914.5</v>
      </c>
      <c r="H1539" s="19" t="n">
        <f aca="false">IFERROR(VALUE(SUBSTITUTE(TRIM('수출입 실적(품목별)'!E1543),",","")),"")</f>
        <v>328186</v>
      </c>
      <c r="I1539" s="18" t="n">
        <f aca="false">IFERROR(VALUE(SUBSTITUTE(TRIM('수출입 실적(품목별)'!F1543),",","")),"")</f>
        <v>48</v>
      </c>
      <c r="J1539" s="19" t="n">
        <f aca="false">IFERROR(VALUE(SUBSTITUTE(TRIM('수출입 실적(품목별)'!G1543),",","")),"")</f>
        <v>13503</v>
      </c>
      <c r="K1539" s="19" t="n">
        <f aca="false">IFERROR(VALUE(SUBSTITUTE(TRIM('수출입 실적(품목별)'!H1543),",","")),"")</f>
        <v>314683</v>
      </c>
    </row>
    <row r="1540" customFormat="false" ht="15" hidden="false" customHeight="true" outlineLevel="0" collapsed="false">
      <c r="A1540" s="11" t="str">
        <f aca="false">TRIM('수출입 실적(품목별)'!A1544)</f>
        <v>2025.04</v>
      </c>
      <c r="B1540" s="17" t="n">
        <f aca="false">IFERROR(VALUE(LEFT($A1540,4)),"")</f>
        <v>2025</v>
      </c>
      <c r="C1540" s="17" t="n">
        <f aca="false">IFERROR(VALUE(RIGHT($A1540,2)),"")</f>
        <v>4</v>
      </c>
      <c r="D1540" s="17" t="n">
        <f aca="false">IFERROR(ROUNDUP($C1540/3,0),"")</f>
        <v>2</v>
      </c>
      <c r="E1540" s="11" t="str">
        <f aca="false">TRIM('수출입 실적(품목별)'!B1544)</f>
        <v>94</v>
      </c>
      <c r="F1540" s="11" t="str">
        <f aca="false">TRIM('수출입 실적(품목별)'!C1544)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540" s="18" t="n">
        <f aca="false">IFERROR(VALUE(SUBSTITUTE(TRIM('수출입 실적(품목별)'!D1544),",","")),"")</f>
        <v>17138.8</v>
      </c>
      <c r="H1540" s="19" t="n">
        <f aca="false">IFERROR(VALUE(SUBSTITUTE(TRIM('수출입 실적(품목별)'!E1544),",","")),"")</f>
        <v>119598</v>
      </c>
      <c r="I1540" s="18" t="n">
        <f aca="false">IFERROR(VALUE(SUBSTITUTE(TRIM('수출입 실적(품목별)'!F1544),",","")),"")</f>
        <v>85009.5</v>
      </c>
      <c r="J1540" s="19" t="n">
        <f aca="false">IFERROR(VALUE(SUBSTITUTE(TRIM('수출입 실적(품목별)'!G1544),",","")),"")</f>
        <v>354005</v>
      </c>
      <c r="K1540" s="19" t="n">
        <f aca="false">IFERROR(VALUE(SUBSTITUTE(TRIM('수출입 실적(품목별)'!H1544),",","")),"")</f>
        <v>-234408</v>
      </c>
    </row>
    <row r="1541" customFormat="false" ht="15" hidden="false" customHeight="true" outlineLevel="0" collapsed="false">
      <c r="A1541" s="11" t="str">
        <f aca="false">TRIM('수출입 실적(품목별)'!A1545)</f>
        <v>2025.04</v>
      </c>
      <c r="B1541" s="17" t="n">
        <f aca="false">IFERROR(VALUE(LEFT($A1541,4)),"")</f>
        <v>2025</v>
      </c>
      <c r="C1541" s="17" t="n">
        <f aca="false">IFERROR(VALUE(RIGHT($A1541,2)),"")</f>
        <v>4</v>
      </c>
      <c r="D1541" s="17" t="n">
        <f aca="false">IFERROR(ROUNDUP($C1541/3,0),"")</f>
        <v>2</v>
      </c>
      <c r="E1541" s="11" t="str">
        <f aca="false">TRIM('수출입 실적(품목별)'!B1545)</f>
        <v>95</v>
      </c>
      <c r="F1541" s="11" t="str">
        <f aca="false">TRIM('수출입 실적(품목별)'!C1545)</f>
        <v>완구ㆍ게임용구ㆍ운동용구와 이들의 부분품과 부속품</v>
      </c>
      <c r="G1541" s="18" t="n">
        <f aca="false">IFERROR(VALUE(SUBSTITUTE(TRIM('수출입 실적(품목별)'!D1545),",","")),"")</f>
        <v>2234</v>
      </c>
      <c r="H1541" s="19" t="n">
        <f aca="false">IFERROR(VALUE(SUBSTITUTE(TRIM('수출입 실적(품목별)'!E1545),",","")),"")</f>
        <v>51502</v>
      </c>
      <c r="I1541" s="18" t="n">
        <f aca="false">IFERROR(VALUE(SUBSTITUTE(TRIM('수출입 실적(품목별)'!F1545),",","")),"")</f>
        <v>20089.5</v>
      </c>
      <c r="J1541" s="19" t="n">
        <f aca="false">IFERROR(VALUE(SUBSTITUTE(TRIM('수출입 실적(품목별)'!G1545),",","")),"")</f>
        <v>291229</v>
      </c>
      <c r="K1541" s="19" t="n">
        <f aca="false">IFERROR(VALUE(SUBSTITUTE(TRIM('수출입 실적(품목별)'!H1545),",","")),"")</f>
        <v>-239727</v>
      </c>
    </row>
    <row r="1542" customFormat="false" ht="15" hidden="false" customHeight="true" outlineLevel="0" collapsed="false">
      <c r="A1542" s="11" t="str">
        <f aca="false">TRIM('수출입 실적(품목별)'!A1546)</f>
        <v>2025.04</v>
      </c>
      <c r="B1542" s="17" t="n">
        <f aca="false">IFERROR(VALUE(LEFT($A1542,4)),"")</f>
        <v>2025</v>
      </c>
      <c r="C1542" s="17" t="n">
        <f aca="false">IFERROR(VALUE(RIGHT($A1542,2)),"")</f>
        <v>4</v>
      </c>
      <c r="D1542" s="17" t="n">
        <f aca="false">IFERROR(ROUNDUP($C1542/3,0),"")</f>
        <v>2</v>
      </c>
      <c r="E1542" s="11" t="str">
        <f aca="false">TRIM('수출입 실적(품목별)'!B1546)</f>
        <v>96</v>
      </c>
      <c r="F1542" s="11" t="str">
        <f aca="false">TRIM('수출입 실적(품목별)'!C1546)</f>
        <v>잡품</v>
      </c>
      <c r="G1542" s="18" t="n">
        <f aca="false">IFERROR(VALUE(SUBSTITUTE(TRIM('수출입 실적(품목별)'!D1546),",","")),"")</f>
        <v>2975.7</v>
      </c>
      <c r="H1542" s="19" t="n">
        <f aca="false">IFERROR(VALUE(SUBSTITUTE(TRIM('수출입 실적(품목별)'!E1546),",","")),"")</f>
        <v>44344</v>
      </c>
      <c r="I1542" s="18" t="n">
        <f aca="false">IFERROR(VALUE(SUBSTITUTE(TRIM('수출입 실적(품목별)'!F1546),",","")),"")</f>
        <v>12103.7</v>
      </c>
      <c r="J1542" s="19" t="n">
        <f aca="false">IFERROR(VALUE(SUBSTITUTE(TRIM('수출입 실적(품목별)'!G1546),",","")),"")</f>
        <v>104286</v>
      </c>
      <c r="K1542" s="19" t="n">
        <f aca="false">IFERROR(VALUE(SUBSTITUTE(TRIM('수출입 실적(품목별)'!H1546),",","")),"")</f>
        <v>-59942</v>
      </c>
    </row>
    <row r="1543" customFormat="false" ht="15" hidden="false" customHeight="true" outlineLevel="0" collapsed="false">
      <c r="A1543" s="11" t="str">
        <f aca="false">TRIM('수출입 실적(품목별)'!A1547)</f>
        <v>2025.04</v>
      </c>
      <c r="B1543" s="17" t="n">
        <f aca="false">IFERROR(VALUE(LEFT($A1543,4)),"")</f>
        <v>2025</v>
      </c>
      <c r="C1543" s="17" t="n">
        <f aca="false">IFERROR(VALUE(RIGHT($A1543,2)),"")</f>
        <v>4</v>
      </c>
      <c r="D1543" s="17" t="n">
        <f aca="false">IFERROR(ROUNDUP($C1543/3,0),"")</f>
        <v>2</v>
      </c>
      <c r="E1543" s="11" t="str">
        <f aca="false">TRIM('수출입 실적(품목별)'!B1547)</f>
        <v>97</v>
      </c>
      <c r="F1543" s="11" t="str">
        <f aca="false">TRIM('수출입 실적(품목별)'!C1547)</f>
        <v>예술품ㆍ수집품ㆍ골동품</v>
      </c>
      <c r="G1543" s="18" t="n">
        <f aca="false">IFERROR(VALUE(SUBSTITUTE(TRIM('수출입 실적(품목별)'!D1547),",","")),"")</f>
        <v>22.1</v>
      </c>
      <c r="H1543" s="19" t="n">
        <f aca="false">IFERROR(VALUE(SUBSTITUTE(TRIM('수출입 실적(품목별)'!E1547),",","")),"")</f>
        <v>44654</v>
      </c>
      <c r="I1543" s="18" t="n">
        <f aca="false">IFERROR(VALUE(SUBSTITUTE(TRIM('수출입 실적(품목별)'!F1547),",","")),"")</f>
        <v>85.6</v>
      </c>
      <c r="J1543" s="19" t="n">
        <f aca="false">IFERROR(VALUE(SUBSTITUTE(TRIM('수출입 실적(품목별)'!G1547),",","")),"")</f>
        <v>30824</v>
      </c>
      <c r="K1543" s="19" t="n">
        <f aca="false">IFERROR(VALUE(SUBSTITUTE(TRIM('수출입 실적(품목별)'!H1547),",","")),"")</f>
        <v>13830</v>
      </c>
    </row>
    <row r="1544" customFormat="false" ht="15" hidden="false" customHeight="true" outlineLevel="0" collapsed="false">
      <c r="A1544" s="11" t="str">
        <f aca="false">TRIM('수출입 실적(품목별)'!A1548)</f>
        <v>2025.05</v>
      </c>
      <c r="B1544" s="17" t="n">
        <f aca="false">IFERROR(VALUE(LEFT($A1544,4)),"")</f>
        <v>2025</v>
      </c>
      <c r="C1544" s="17" t="n">
        <f aca="false">IFERROR(VALUE(RIGHT($A1544,2)),"")</f>
        <v>5</v>
      </c>
      <c r="D1544" s="17" t="n">
        <f aca="false">IFERROR(ROUNDUP($C1544/3,0),"")</f>
        <v>2</v>
      </c>
      <c r="E1544" s="11" t="str">
        <f aca="false">TRIM('수출입 실적(품목별)'!B1548)</f>
        <v>01</v>
      </c>
      <c r="F1544" s="11" t="str">
        <f aca="false">TRIM('수출입 실적(품목별)'!C1548)</f>
        <v>살아 있는 동물</v>
      </c>
      <c r="G1544" s="18" t="n">
        <f aca="false">IFERROR(VALUE(SUBSTITUTE(TRIM('수출입 실적(품목별)'!D1548),",","")),"")</f>
        <v>2.5</v>
      </c>
      <c r="H1544" s="19" t="n">
        <f aca="false">IFERROR(VALUE(SUBSTITUTE(TRIM('수출입 실적(품목별)'!E1548),",","")),"")</f>
        <v>535</v>
      </c>
      <c r="I1544" s="18" t="n">
        <f aca="false">IFERROR(VALUE(SUBSTITUTE(TRIM('수출입 실적(품목별)'!F1548),",","")),"")</f>
        <v>93.1</v>
      </c>
      <c r="J1544" s="19" t="n">
        <f aca="false">IFERROR(VALUE(SUBSTITUTE(TRIM('수출입 실적(품목별)'!G1548),",","")),"")</f>
        <v>4672</v>
      </c>
      <c r="K1544" s="19" t="n">
        <f aca="false">IFERROR(VALUE(SUBSTITUTE(TRIM('수출입 실적(품목별)'!H1548),",","")),"")</f>
        <v>-4137</v>
      </c>
    </row>
    <row r="1545" customFormat="false" ht="15" hidden="false" customHeight="true" outlineLevel="0" collapsed="false">
      <c r="A1545" s="11" t="str">
        <f aca="false">TRIM('수출입 실적(품목별)'!A1549)</f>
        <v>2025.05</v>
      </c>
      <c r="B1545" s="17" t="n">
        <f aca="false">IFERROR(VALUE(LEFT($A1545,4)),"")</f>
        <v>2025</v>
      </c>
      <c r="C1545" s="17" t="n">
        <f aca="false">IFERROR(VALUE(RIGHT($A1545,2)),"")</f>
        <v>5</v>
      </c>
      <c r="D1545" s="17" t="n">
        <f aca="false">IFERROR(ROUNDUP($C1545/3,0),"")</f>
        <v>2</v>
      </c>
      <c r="E1545" s="11" t="str">
        <f aca="false">TRIM('수출입 실적(품목별)'!B1549)</f>
        <v>02</v>
      </c>
      <c r="F1545" s="11" t="str">
        <f aca="false">TRIM('수출입 실적(품목별)'!C1549)</f>
        <v>육과 식용 설육(屑肉)</v>
      </c>
      <c r="G1545" s="18" t="n">
        <f aca="false">IFERROR(VALUE(SUBSTITUTE(TRIM('수출입 실적(품목별)'!D1549),",","")),"")</f>
        <v>4020</v>
      </c>
      <c r="H1545" s="19" t="n">
        <f aca="false">IFERROR(VALUE(SUBSTITUTE(TRIM('수출입 실적(품목별)'!E1549),",","")),"")</f>
        <v>5237</v>
      </c>
      <c r="I1545" s="18" t="n">
        <f aca="false">IFERROR(VALUE(SUBSTITUTE(TRIM('수출입 실적(품목별)'!F1549),",","")),"")</f>
        <v>124173.3</v>
      </c>
      <c r="J1545" s="19" t="n">
        <f aca="false">IFERROR(VALUE(SUBSTITUTE(TRIM('수출입 실적(품목별)'!G1549),",","")),"")</f>
        <v>621611</v>
      </c>
      <c r="K1545" s="19" t="n">
        <f aca="false">IFERROR(VALUE(SUBSTITUTE(TRIM('수출입 실적(품목별)'!H1549),",","")),"")</f>
        <v>-616373</v>
      </c>
    </row>
    <row r="1546" customFormat="false" ht="15" hidden="false" customHeight="true" outlineLevel="0" collapsed="false">
      <c r="A1546" s="11" t="str">
        <f aca="false">TRIM('수출입 실적(품목별)'!A1550)</f>
        <v>2025.05</v>
      </c>
      <c r="B1546" s="17" t="n">
        <f aca="false">IFERROR(VALUE(LEFT($A1546,4)),"")</f>
        <v>2025</v>
      </c>
      <c r="C1546" s="17" t="n">
        <f aca="false">IFERROR(VALUE(RIGHT($A1546,2)),"")</f>
        <v>5</v>
      </c>
      <c r="D1546" s="17" t="n">
        <f aca="false">IFERROR(ROUNDUP($C1546/3,0),"")</f>
        <v>2</v>
      </c>
      <c r="E1546" s="11" t="str">
        <f aca="false">TRIM('수출입 실적(품목별)'!B1550)</f>
        <v>03</v>
      </c>
      <c r="F1546" s="11" t="str">
        <f aca="false">TRIM('수출입 실적(품목별)'!C1550)</f>
        <v>어류ㆍ갑각류ㆍ연체동물과 그 밖의 수생(水生) 무척추동물</v>
      </c>
      <c r="G1546" s="18" t="n">
        <f aca="false">IFERROR(VALUE(SUBSTITUTE(TRIM('수출입 실적(품목별)'!D1550),",","")),"")</f>
        <v>37592.8</v>
      </c>
      <c r="H1546" s="19" t="n">
        <f aca="false">IFERROR(VALUE(SUBSTITUTE(TRIM('수출입 실적(품목별)'!E1550),",","")),"")</f>
        <v>133471</v>
      </c>
      <c r="I1546" s="18" t="n">
        <f aca="false">IFERROR(VALUE(SUBSTITUTE(TRIM('수출입 실적(품목별)'!F1550),",","")),"")</f>
        <v>90669.5</v>
      </c>
      <c r="J1546" s="19" t="n">
        <f aca="false">IFERROR(VALUE(SUBSTITUTE(TRIM('수출입 실적(품목별)'!G1550),",","")),"")</f>
        <v>392011</v>
      </c>
      <c r="K1546" s="19" t="n">
        <f aca="false">IFERROR(VALUE(SUBSTITUTE(TRIM('수출입 실적(품목별)'!H1550),",","")),"")</f>
        <v>-258539</v>
      </c>
    </row>
    <row r="1547" customFormat="false" ht="15" hidden="false" customHeight="true" outlineLevel="0" collapsed="false">
      <c r="A1547" s="11" t="str">
        <f aca="false">TRIM('수출입 실적(품목별)'!A1551)</f>
        <v>2025.05</v>
      </c>
      <c r="B1547" s="17" t="n">
        <f aca="false">IFERROR(VALUE(LEFT($A1547,4)),"")</f>
        <v>2025</v>
      </c>
      <c r="C1547" s="17" t="n">
        <f aca="false">IFERROR(VALUE(RIGHT($A1547,2)),"")</f>
        <v>5</v>
      </c>
      <c r="D1547" s="17" t="n">
        <f aca="false">IFERROR(ROUNDUP($C1547/3,0),"")</f>
        <v>2</v>
      </c>
      <c r="E1547" s="11" t="str">
        <f aca="false">TRIM('수출입 실적(품목별)'!B1551)</f>
        <v>04</v>
      </c>
      <c r="F1547" s="11" t="str">
        <f aca="false">TRIM('수출입 실적(품목별)'!C1551)</f>
        <v>낙농품, 새의 알, 천연꿀, 다른 류로 분류되지 않은 식용인 동물성 생산품</v>
      </c>
      <c r="G1547" s="18" t="n">
        <f aca="false">IFERROR(VALUE(SUBSTITUTE(TRIM('수출입 실적(품목별)'!D1551),",","")),"")</f>
        <v>2939.5</v>
      </c>
      <c r="H1547" s="19" t="n">
        <f aca="false">IFERROR(VALUE(SUBSTITUTE(TRIM('수출입 실적(품목별)'!E1551),",","")),"")</f>
        <v>8088</v>
      </c>
      <c r="I1547" s="18" t="n">
        <f aca="false">IFERROR(VALUE(SUBSTITUTE(TRIM('수출입 실적(품목별)'!F1551),",","")),"")</f>
        <v>32496.4</v>
      </c>
      <c r="J1547" s="19" t="n">
        <f aca="false">IFERROR(VALUE(SUBSTITUTE(TRIM('수출입 실적(품목별)'!G1551),",","")),"")</f>
        <v>139880</v>
      </c>
      <c r="K1547" s="19" t="n">
        <f aca="false">IFERROR(VALUE(SUBSTITUTE(TRIM('수출입 실적(품목별)'!H1551),",","")),"")</f>
        <v>-131792</v>
      </c>
    </row>
    <row r="1548" customFormat="false" ht="15" hidden="false" customHeight="true" outlineLevel="0" collapsed="false">
      <c r="A1548" s="11" t="str">
        <f aca="false">TRIM('수출입 실적(품목별)'!A1552)</f>
        <v>2025.05</v>
      </c>
      <c r="B1548" s="17" t="n">
        <f aca="false">IFERROR(VALUE(LEFT($A1548,4)),"")</f>
        <v>2025</v>
      </c>
      <c r="C1548" s="17" t="n">
        <f aca="false">IFERROR(VALUE(RIGHT($A1548,2)),"")</f>
        <v>5</v>
      </c>
      <c r="D1548" s="17" t="n">
        <f aca="false">IFERROR(ROUNDUP($C1548/3,0),"")</f>
        <v>2</v>
      </c>
      <c r="E1548" s="11" t="str">
        <f aca="false">TRIM('수출입 실적(품목별)'!B1552)</f>
        <v>05</v>
      </c>
      <c r="F1548" s="11" t="str">
        <f aca="false">TRIM('수출입 실적(품목별)'!C1552)</f>
        <v>다른 류로 분류되지 않은 동물성 생산품</v>
      </c>
      <c r="G1548" s="18" t="n">
        <f aca="false">IFERROR(VALUE(SUBSTITUTE(TRIM('수출입 실적(품목별)'!D1552),",","")),"")</f>
        <v>2983.3</v>
      </c>
      <c r="H1548" s="19" t="n">
        <f aca="false">IFERROR(VALUE(SUBSTITUTE(TRIM('수출입 실적(품목별)'!E1552),",","")),"")</f>
        <v>8819</v>
      </c>
      <c r="I1548" s="18" t="n">
        <f aca="false">IFERROR(VALUE(SUBSTITUTE(TRIM('수출입 실적(품목별)'!F1552),",","")),"")</f>
        <v>4692.4</v>
      </c>
      <c r="J1548" s="19" t="n">
        <f aca="false">IFERROR(VALUE(SUBSTITUTE(TRIM('수출입 실적(품목별)'!G1552),",","")),"")</f>
        <v>19528</v>
      </c>
      <c r="K1548" s="19" t="n">
        <f aca="false">IFERROR(VALUE(SUBSTITUTE(TRIM('수출입 실적(품목별)'!H1552),",","")),"")</f>
        <v>-10709</v>
      </c>
    </row>
    <row r="1549" customFormat="false" ht="15" hidden="false" customHeight="true" outlineLevel="0" collapsed="false">
      <c r="A1549" s="11" t="str">
        <f aca="false">TRIM('수출입 실적(품목별)'!A1553)</f>
        <v>2025.05</v>
      </c>
      <c r="B1549" s="17" t="n">
        <f aca="false">IFERROR(VALUE(LEFT($A1549,4)),"")</f>
        <v>2025</v>
      </c>
      <c r="C1549" s="17" t="n">
        <f aca="false">IFERROR(VALUE(RIGHT($A1549,2)),"")</f>
        <v>5</v>
      </c>
      <c r="D1549" s="17" t="n">
        <f aca="false">IFERROR(ROUNDUP($C1549/3,0),"")</f>
        <v>2</v>
      </c>
      <c r="E1549" s="11" t="str">
        <f aca="false">TRIM('수출입 실적(품목별)'!B1553)</f>
        <v>06</v>
      </c>
      <c r="F1549" s="11" t="str">
        <f aca="false">TRIM('수출입 실적(품목별)'!C1553)</f>
        <v>살아 있는 수목과 그 밖의 식물, 인경(鱗莖)ㆍ뿌리와 이와 유사한 물품, 절화(切花)와 장식용 잎</v>
      </c>
      <c r="G1549" s="18" t="n">
        <f aca="false">IFERROR(VALUE(SUBSTITUTE(TRIM('수출입 실적(품목별)'!D1553),",","")),"")</f>
        <v>38.3</v>
      </c>
      <c r="H1549" s="19" t="n">
        <f aca="false">IFERROR(VALUE(SUBSTITUTE(TRIM('수출입 실적(품목별)'!E1553),",","")),"")</f>
        <v>488</v>
      </c>
      <c r="I1549" s="18" t="n">
        <f aca="false">IFERROR(VALUE(SUBSTITUTE(TRIM('수출입 실적(품목별)'!F1553),",","")),"")</f>
        <v>6394</v>
      </c>
      <c r="J1549" s="19" t="n">
        <f aca="false">IFERROR(VALUE(SUBSTITUTE(TRIM('수출입 실적(품목별)'!G1553),",","")),"")</f>
        <v>12528</v>
      </c>
      <c r="K1549" s="19" t="n">
        <f aca="false">IFERROR(VALUE(SUBSTITUTE(TRIM('수출입 실적(품목별)'!H1553),",","")),"")</f>
        <v>-12040</v>
      </c>
    </row>
    <row r="1550" customFormat="false" ht="15" hidden="false" customHeight="true" outlineLevel="0" collapsed="false">
      <c r="A1550" s="11" t="str">
        <f aca="false">TRIM('수출입 실적(품목별)'!A1554)</f>
        <v>2025.05</v>
      </c>
      <c r="B1550" s="17" t="n">
        <f aca="false">IFERROR(VALUE(LEFT($A1550,4)),"")</f>
        <v>2025</v>
      </c>
      <c r="C1550" s="17" t="n">
        <f aca="false">IFERROR(VALUE(RIGHT($A1550,2)),"")</f>
        <v>5</v>
      </c>
      <c r="D1550" s="17" t="n">
        <f aca="false">IFERROR(ROUNDUP($C1550/3,0),"")</f>
        <v>2</v>
      </c>
      <c r="E1550" s="11" t="str">
        <f aca="false">TRIM('수출입 실적(품목별)'!B1554)</f>
        <v>07</v>
      </c>
      <c r="F1550" s="11" t="str">
        <f aca="false">TRIM('수출입 실적(품목별)'!C1554)</f>
        <v>식용의 채소ㆍ뿌리ㆍ괴경(塊莖)</v>
      </c>
      <c r="G1550" s="18" t="n">
        <f aca="false">IFERROR(VALUE(SUBSTITUTE(TRIM('수출입 실적(품목별)'!D1554),",","")),"")</f>
        <v>5293.9</v>
      </c>
      <c r="H1550" s="19" t="n">
        <f aca="false">IFERROR(VALUE(SUBSTITUTE(TRIM('수출입 실적(품목별)'!E1554),",","")),"")</f>
        <v>9453</v>
      </c>
      <c r="I1550" s="18" t="n">
        <f aca="false">IFERROR(VALUE(SUBSTITUTE(TRIM('수출입 실적(품목별)'!F1554),",","")),"")</f>
        <v>76296.4</v>
      </c>
      <c r="J1550" s="19" t="n">
        <f aca="false">IFERROR(VALUE(SUBSTITUTE(TRIM('수출입 실적(품목별)'!G1554),",","")),"")</f>
        <v>59626</v>
      </c>
      <c r="K1550" s="19" t="n">
        <f aca="false">IFERROR(VALUE(SUBSTITUTE(TRIM('수출입 실적(품목별)'!H1554),",","")),"")</f>
        <v>-50173</v>
      </c>
    </row>
    <row r="1551" customFormat="false" ht="15" hidden="false" customHeight="true" outlineLevel="0" collapsed="false">
      <c r="A1551" s="11" t="str">
        <f aca="false">TRIM('수출입 실적(품목별)'!A1555)</f>
        <v>2025.05</v>
      </c>
      <c r="B1551" s="17" t="n">
        <f aca="false">IFERROR(VALUE(LEFT($A1551,4)),"")</f>
        <v>2025</v>
      </c>
      <c r="C1551" s="17" t="n">
        <f aca="false">IFERROR(VALUE(RIGHT($A1551,2)),"")</f>
        <v>5</v>
      </c>
      <c r="D1551" s="17" t="n">
        <f aca="false">IFERROR(ROUNDUP($C1551/3,0),"")</f>
        <v>2</v>
      </c>
      <c r="E1551" s="11" t="str">
        <f aca="false">TRIM('수출입 실적(품목별)'!B1555)</f>
        <v>08</v>
      </c>
      <c r="F1551" s="11" t="str">
        <f aca="false">TRIM('수출입 실적(품목별)'!C1555)</f>
        <v>식용의 과실과 견과류, 감귤류ㆍ멜론의 껍질</v>
      </c>
      <c r="G1551" s="18" t="n">
        <f aca="false">IFERROR(VALUE(SUBSTITUTE(TRIM('수출입 실적(품목별)'!D1555),",","")),"")</f>
        <v>577.9</v>
      </c>
      <c r="H1551" s="19" t="n">
        <f aca="false">IFERROR(VALUE(SUBSTITUTE(TRIM('수출입 실적(품목별)'!E1555),",","")),"")</f>
        <v>4473</v>
      </c>
      <c r="I1551" s="18" t="n">
        <f aca="false">IFERROR(VALUE(SUBSTITUTE(TRIM('수출입 실적(품목별)'!F1555),",","")),"")</f>
        <v>92990.3</v>
      </c>
      <c r="J1551" s="19" t="n">
        <f aca="false">IFERROR(VALUE(SUBSTITUTE(TRIM('수출입 실적(품목별)'!G1555),",","")),"")</f>
        <v>216094</v>
      </c>
      <c r="K1551" s="19" t="n">
        <f aca="false">IFERROR(VALUE(SUBSTITUTE(TRIM('수출입 실적(품목별)'!H1555),",","")),"")</f>
        <v>-211621</v>
      </c>
    </row>
    <row r="1552" customFormat="false" ht="15" hidden="false" customHeight="true" outlineLevel="0" collapsed="false">
      <c r="A1552" s="11" t="str">
        <f aca="false">TRIM('수출입 실적(품목별)'!A1556)</f>
        <v>2025.05</v>
      </c>
      <c r="B1552" s="17" t="n">
        <f aca="false">IFERROR(VALUE(LEFT($A1552,4)),"")</f>
        <v>2025</v>
      </c>
      <c r="C1552" s="17" t="n">
        <f aca="false">IFERROR(VALUE(RIGHT($A1552,2)),"")</f>
        <v>5</v>
      </c>
      <c r="D1552" s="17" t="n">
        <f aca="false">IFERROR(ROUNDUP($C1552/3,0),"")</f>
        <v>2</v>
      </c>
      <c r="E1552" s="11" t="str">
        <f aca="false">TRIM('수출입 실적(품목별)'!B1556)</f>
        <v>09</v>
      </c>
      <c r="F1552" s="11" t="str">
        <f aca="false">TRIM('수출입 실적(품목별)'!C1556)</f>
        <v>커피ㆍ차ㆍ마테(maté)ㆍ향신료</v>
      </c>
      <c r="G1552" s="18" t="n">
        <f aca="false">IFERROR(VALUE(SUBSTITUTE(TRIM('수출입 실적(품목별)'!D1556),",","")),"")</f>
        <v>379.7</v>
      </c>
      <c r="H1552" s="19" t="n">
        <f aca="false">IFERROR(VALUE(SUBSTITUTE(TRIM('수출입 실적(품목별)'!E1556),",","")),"")</f>
        <v>2987</v>
      </c>
      <c r="I1552" s="18" t="n">
        <f aca="false">IFERROR(VALUE(SUBSTITUTE(TRIM('수출입 실적(품목별)'!F1556),",","")),"")</f>
        <v>20857.1</v>
      </c>
      <c r="J1552" s="19" t="n">
        <f aca="false">IFERROR(VALUE(SUBSTITUTE(TRIM('수출입 실적(품목별)'!G1556),",","")),"")</f>
        <v>176319</v>
      </c>
      <c r="K1552" s="19" t="n">
        <f aca="false">IFERROR(VALUE(SUBSTITUTE(TRIM('수출입 실적(품목별)'!H1556),",","")),"")</f>
        <v>-173332</v>
      </c>
    </row>
    <row r="1553" customFormat="false" ht="15" hidden="false" customHeight="true" outlineLevel="0" collapsed="false">
      <c r="A1553" s="11" t="str">
        <f aca="false">TRIM('수출입 실적(품목별)'!A1557)</f>
        <v>2025.05</v>
      </c>
      <c r="B1553" s="17" t="n">
        <f aca="false">IFERROR(VALUE(LEFT($A1553,4)),"")</f>
        <v>2025</v>
      </c>
      <c r="C1553" s="17" t="n">
        <f aca="false">IFERROR(VALUE(RIGHT($A1553,2)),"")</f>
        <v>5</v>
      </c>
      <c r="D1553" s="17" t="n">
        <f aca="false">IFERROR(ROUNDUP($C1553/3,0),"")</f>
        <v>2</v>
      </c>
      <c r="E1553" s="11" t="str">
        <f aca="false">TRIM('수출입 실적(품목별)'!B1557)</f>
        <v>10</v>
      </c>
      <c r="F1553" s="11" t="str">
        <f aca="false">TRIM('수출입 실적(품목별)'!C1557)</f>
        <v>곡물</v>
      </c>
      <c r="G1553" s="18" t="n">
        <f aca="false">IFERROR(VALUE(SUBSTITUTE(TRIM('수출입 실적(품목별)'!D1557),",","")),"")</f>
        <v>27894.8</v>
      </c>
      <c r="H1553" s="19" t="n">
        <f aca="false">IFERROR(VALUE(SUBSTITUTE(TRIM('수출입 실적(품목별)'!E1557),",","")),"")</f>
        <v>10296</v>
      </c>
      <c r="I1553" s="18" t="n">
        <f aca="false">IFERROR(VALUE(SUBSTITUTE(TRIM('수출입 실적(품목별)'!F1557),",","")),"")</f>
        <v>1385986.6</v>
      </c>
      <c r="J1553" s="19" t="n">
        <f aca="false">IFERROR(VALUE(SUBSTITUTE(TRIM('수출입 실적(품목별)'!G1557),",","")),"")</f>
        <v>376294</v>
      </c>
      <c r="K1553" s="19" t="n">
        <f aca="false">IFERROR(VALUE(SUBSTITUTE(TRIM('수출입 실적(품목별)'!H1557),",","")),"")</f>
        <v>-365999</v>
      </c>
    </row>
    <row r="1554" customFormat="false" ht="15" hidden="false" customHeight="true" outlineLevel="0" collapsed="false">
      <c r="A1554" s="11" t="str">
        <f aca="false">TRIM('수출입 실적(품목별)'!A1558)</f>
        <v>2025.05</v>
      </c>
      <c r="B1554" s="17" t="n">
        <f aca="false">IFERROR(VALUE(LEFT($A1554,4)),"")</f>
        <v>2025</v>
      </c>
      <c r="C1554" s="17" t="n">
        <f aca="false">IFERROR(VALUE(RIGHT($A1554,2)),"")</f>
        <v>5</v>
      </c>
      <c r="D1554" s="17" t="n">
        <f aca="false">IFERROR(ROUNDUP($C1554/3,0),"")</f>
        <v>2</v>
      </c>
      <c r="E1554" s="11" t="str">
        <f aca="false">TRIM('수출입 실적(품목별)'!B1558)</f>
        <v>11</v>
      </c>
      <c r="F1554" s="11" t="str">
        <f aca="false">TRIM('수출입 실적(품목별)'!C1558)</f>
        <v>제분공업의 생산품과 맥아, 전분, 이눌린(inulin), 밀의 글루텐(gluten)</v>
      </c>
      <c r="G1554" s="18" t="n">
        <f aca="false">IFERROR(VALUE(SUBSTITUTE(TRIM('수출입 실적(품목별)'!D1558),",","")),"")</f>
        <v>4683.8</v>
      </c>
      <c r="H1554" s="19" t="n">
        <f aca="false">IFERROR(VALUE(SUBSTITUTE(TRIM('수출입 실적(품목별)'!E1558),",","")),"")</f>
        <v>3390</v>
      </c>
      <c r="I1554" s="18" t="n">
        <f aca="false">IFERROR(VALUE(SUBSTITUTE(TRIM('수출입 실적(품목별)'!F1558),",","")),"")</f>
        <v>34741</v>
      </c>
      <c r="J1554" s="19" t="n">
        <f aca="false">IFERROR(VALUE(SUBSTITUTE(TRIM('수출입 실적(품목별)'!G1558),",","")),"")</f>
        <v>30269</v>
      </c>
      <c r="K1554" s="19" t="n">
        <f aca="false">IFERROR(VALUE(SUBSTITUTE(TRIM('수출입 실적(품목별)'!H1558),",","")),"")</f>
        <v>-26879</v>
      </c>
    </row>
    <row r="1555" customFormat="false" ht="15" hidden="false" customHeight="true" outlineLevel="0" collapsed="false">
      <c r="A1555" s="11" t="str">
        <f aca="false">TRIM('수출입 실적(품목별)'!A1559)</f>
        <v>2025.05</v>
      </c>
      <c r="B1555" s="17" t="n">
        <f aca="false">IFERROR(VALUE(LEFT($A1555,4)),"")</f>
        <v>2025</v>
      </c>
      <c r="C1555" s="17" t="n">
        <f aca="false">IFERROR(VALUE(RIGHT($A1555,2)),"")</f>
        <v>5</v>
      </c>
      <c r="D1555" s="17" t="n">
        <f aca="false">IFERROR(ROUNDUP($C1555/3,0),"")</f>
        <v>2</v>
      </c>
      <c r="E1555" s="11" t="str">
        <f aca="false">TRIM('수출입 실적(품목별)'!B1559)</f>
        <v>12</v>
      </c>
      <c r="F1555" s="11" t="str">
        <f aca="false">TRIM('수출입 실적(품목별)'!C1559)</f>
        <v>채유(採油)에 적합한 종자와 과실, 각종 종자와 과실, 공업용ㆍ의약용 식물, 짚과 사료용 식물</v>
      </c>
      <c r="G1555" s="18" t="n">
        <f aca="false">IFERROR(VALUE(SUBSTITUTE(TRIM('수출입 실적(품목별)'!D1559),",","")),"")</f>
        <v>3258.2</v>
      </c>
      <c r="H1555" s="19" t="n">
        <f aca="false">IFERROR(VALUE(SUBSTITUTE(TRIM('수출입 실적(품목별)'!E1559),",","")),"")</f>
        <v>62557</v>
      </c>
      <c r="I1555" s="18" t="n">
        <f aca="false">IFERROR(VALUE(SUBSTITUTE(TRIM('수출입 실적(품목별)'!F1559),",","")),"")</f>
        <v>261060.3</v>
      </c>
      <c r="J1555" s="19" t="n">
        <f aca="false">IFERROR(VALUE(SUBSTITUTE(TRIM('수출입 실적(품목별)'!G1559),",","")),"")</f>
        <v>142376</v>
      </c>
      <c r="K1555" s="19" t="n">
        <f aca="false">IFERROR(VALUE(SUBSTITUTE(TRIM('수출입 실적(품목별)'!H1559),",","")),"")</f>
        <v>-79819</v>
      </c>
    </row>
    <row r="1556" customFormat="false" ht="15" hidden="false" customHeight="true" outlineLevel="0" collapsed="false">
      <c r="A1556" s="11" t="str">
        <f aca="false">TRIM('수출입 실적(품목별)'!A1560)</f>
        <v>2025.05</v>
      </c>
      <c r="B1556" s="17" t="n">
        <f aca="false">IFERROR(VALUE(LEFT($A1556,4)),"")</f>
        <v>2025</v>
      </c>
      <c r="C1556" s="17" t="n">
        <f aca="false">IFERROR(VALUE(RIGHT($A1556,2)),"")</f>
        <v>5</v>
      </c>
      <c r="D1556" s="17" t="n">
        <f aca="false">IFERROR(ROUNDUP($C1556/3,0),"")</f>
        <v>2</v>
      </c>
      <c r="E1556" s="11" t="str">
        <f aca="false">TRIM('수출입 실적(품목별)'!B1560)</f>
        <v>13</v>
      </c>
      <c r="F1556" s="11" t="str">
        <f aca="false">TRIM('수출입 실적(품목별)'!C1560)</f>
        <v>락(lac), 검ㆍ수지ㆍ그 밖의 식물성 수액과 추출물(extract)</v>
      </c>
      <c r="G1556" s="18" t="n">
        <f aca="false">IFERROR(VALUE(SUBSTITUTE(TRIM('수출입 실적(품목별)'!D1560),",","")),"")</f>
        <v>262.1</v>
      </c>
      <c r="H1556" s="19" t="n">
        <f aca="false">IFERROR(VALUE(SUBSTITUTE(TRIM('수출입 실적(품목별)'!E1560),",","")),"")</f>
        <v>7373</v>
      </c>
      <c r="I1556" s="18" t="n">
        <f aca="false">IFERROR(VALUE(SUBSTITUTE(TRIM('수출입 실적(품목별)'!F1560),",","")),"")</f>
        <v>7070.3</v>
      </c>
      <c r="J1556" s="19" t="n">
        <f aca="false">IFERROR(VALUE(SUBSTITUTE(TRIM('수출입 실적(품목별)'!G1560),",","")),"")</f>
        <v>24772</v>
      </c>
      <c r="K1556" s="19" t="n">
        <f aca="false">IFERROR(VALUE(SUBSTITUTE(TRIM('수출입 실적(품목별)'!H1560),",","")),"")</f>
        <v>-17399</v>
      </c>
    </row>
    <row r="1557" customFormat="false" ht="15" hidden="false" customHeight="true" outlineLevel="0" collapsed="false">
      <c r="A1557" s="11" t="str">
        <f aca="false">TRIM('수출입 실적(품목별)'!A1561)</f>
        <v>2025.05</v>
      </c>
      <c r="B1557" s="17" t="n">
        <f aca="false">IFERROR(VALUE(LEFT($A1557,4)),"")</f>
        <v>2025</v>
      </c>
      <c r="C1557" s="17" t="n">
        <f aca="false">IFERROR(VALUE(RIGHT($A1557,2)),"")</f>
        <v>5</v>
      </c>
      <c r="D1557" s="17" t="n">
        <f aca="false">IFERROR(ROUNDUP($C1557/3,0),"")</f>
        <v>2</v>
      </c>
      <c r="E1557" s="11" t="str">
        <f aca="false">TRIM('수출입 실적(품목별)'!B1561)</f>
        <v>14</v>
      </c>
      <c r="F1557" s="11" t="str">
        <f aca="false">TRIM('수출입 실적(품목별)'!C1561)</f>
        <v>식물성 편조물(編組物)용 재료와 다른 류로 분류되지 않은 식물성 생산품</v>
      </c>
      <c r="G1557" s="18" t="n">
        <f aca="false">IFERROR(VALUE(SUBSTITUTE(TRIM('수출입 실적(품목별)'!D1561),",","")),"")</f>
        <v>11.8</v>
      </c>
      <c r="H1557" s="19" t="n">
        <f aca="false">IFERROR(VALUE(SUBSTITUTE(TRIM('수출입 실적(품목별)'!E1561),",","")),"")</f>
        <v>28</v>
      </c>
      <c r="I1557" s="18" t="n">
        <f aca="false">IFERROR(VALUE(SUBSTITUTE(TRIM('수출입 실적(품목별)'!F1561),",","")),"")</f>
        <v>17724.8</v>
      </c>
      <c r="J1557" s="19" t="n">
        <f aca="false">IFERROR(VALUE(SUBSTITUTE(TRIM('수출입 실적(품목별)'!G1561),",","")),"")</f>
        <v>5781</v>
      </c>
      <c r="K1557" s="19" t="n">
        <f aca="false">IFERROR(VALUE(SUBSTITUTE(TRIM('수출입 실적(품목별)'!H1561),",","")),"")</f>
        <v>-5753</v>
      </c>
    </row>
    <row r="1558" customFormat="false" ht="15" hidden="false" customHeight="true" outlineLevel="0" collapsed="false">
      <c r="A1558" s="11" t="str">
        <f aca="false">TRIM('수출입 실적(품목별)'!A1562)</f>
        <v>2025.05</v>
      </c>
      <c r="B1558" s="17" t="n">
        <f aca="false">IFERROR(VALUE(LEFT($A1558,4)),"")</f>
        <v>2025</v>
      </c>
      <c r="C1558" s="17" t="n">
        <f aca="false">IFERROR(VALUE(RIGHT($A1558,2)),"")</f>
        <v>5</v>
      </c>
      <c r="D1558" s="17" t="n">
        <f aca="false">IFERROR(ROUNDUP($C1558/3,0),"")</f>
        <v>2</v>
      </c>
      <c r="E1558" s="11" t="str">
        <f aca="false">TRIM('수출입 실적(품목별)'!B1562)</f>
        <v>15</v>
      </c>
      <c r="F1558" s="11" t="str">
        <f aca="false">TRIM('수출입 실적(품목별)'!C1562)</f>
        <v>동물성ㆍ식물성ㆍ미생물성 지방과 기름 및이들의 분해생산물, 조제한 식용 지방과 동물성ㆍ식물성 왁스</v>
      </c>
      <c r="G1558" s="18" t="n">
        <f aca="false">IFERROR(VALUE(SUBSTITUTE(TRIM('수출입 실적(품목별)'!D1562),",","")),"")</f>
        <v>34224.6</v>
      </c>
      <c r="H1558" s="19" t="n">
        <f aca="false">IFERROR(VALUE(SUBSTITUTE(TRIM('수출입 실적(품목별)'!E1562),",","")),"")</f>
        <v>38282</v>
      </c>
      <c r="I1558" s="18" t="n">
        <f aca="false">IFERROR(VALUE(SUBSTITUTE(TRIM('수출입 실적(품목별)'!F1562),",","")),"")</f>
        <v>163538.5</v>
      </c>
      <c r="J1558" s="19" t="n">
        <f aca="false">IFERROR(VALUE(SUBSTITUTE(TRIM('수출입 실적(품목별)'!G1562),",","")),"")</f>
        <v>230860</v>
      </c>
      <c r="K1558" s="19" t="n">
        <f aca="false">IFERROR(VALUE(SUBSTITUTE(TRIM('수출입 실적(품목별)'!H1562),",","")),"")</f>
        <v>-192578</v>
      </c>
    </row>
    <row r="1559" customFormat="false" ht="15" hidden="false" customHeight="true" outlineLevel="0" collapsed="false">
      <c r="A1559" s="11" t="str">
        <f aca="false">TRIM('수출입 실적(품목별)'!A1563)</f>
        <v>2025.05</v>
      </c>
      <c r="B1559" s="17" t="n">
        <f aca="false">IFERROR(VALUE(LEFT($A1559,4)),"")</f>
        <v>2025</v>
      </c>
      <c r="C1559" s="17" t="n">
        <f aca="false">IFERROR(VALUE(RIGHT($A1559,2)),"")</f>
        <v>5</v>
      </c>
      <c r="D1559" s="17" t="n">
        <f aca="false">IFERROR(ROUNDUP($C1559/3,0),"")</f>
        <v>2</v>
      </c>
      <c r="E1559" s="11" t="str">
        <f aca="false">TRIM('수출입 실적(품목별)'!B1563)</f>
        <v>16</v>
      </c>
      <c r="F1559" s="11" t="str">
        <f aca="false">TRIM('수출입 실적(품목별)'!C1563)</f>
        <v>육류ㆍ어류ㆍ갑각류ㆍ연체동물이나 그 밖의 수생(水生) 무척추동물 또는 곤충의 조제품</v>
      </c>
      <c r="G1559" s="18" t="n">
        <f aca="false">IFERROR(VALUE(SUBSTITUTE(TRIM('수출입 실적(품목별)'!D1563),",","")),"")</f>
        <v>4264.7</v>
      </c>
      <c r="H1559" s="19" t="n">
        <f aca="false">IFERROR(VALUE(SUBSTITUTE(TRIM('수출입 실적(품목별)'!E1563),",","")),"")</f>
        <v>27367</v>
      </c>
      <c r="I1559" s="18" t="n">
        <f aca="false">IFERROR(VALUE(SUBSTITUTE(TRIM('수출입 실적(품목별)'!F1563),",","")),"")</f>
        <v>16116.1</v>
      </c>
      <c r="J1559" s="19" t="n">
        <f aca="false">IFERROR(VALUE(SUBSTITUTE(TRIM('수출입 실적(품목별)'!G1563),",","")),"")</f>
        <v>96667</v>
      </c>
      <c r="K1559" s="19" t="n">
        <f aca="false">IFERROR(VALUE(SUBSTITUTE(TRIM('수출입 실적(품목별)'!H1563),",","")),"")</f>
        <v>-69300</v>
      </c>
    </row>
    <row r="1560" customFormat="false" ht="15" hidden="false" customHeight="true" outlineLevel="0" collapsed="false">
      <c r="A1560" s="11" t="str">
        <f aca="false">TRIM('수출입 실적(품목별)'!A1564)</f>
        <v>2025.05</v>
      </c>
      <c r="B1560" s="17" t="n">
        <f aca="false">IFERROR(VALUE(LEFT($A1560,4)),"")</f>
        <v>2025</v>
      </c>
      <c r="C1560" s="17" t="n">
        <f aca="false">IFERROR(VALUE(RIGHT($A1560,2)),"")</f>
        <v>5</v>
      </c>
      <c r="D1560" s="17" t="n">
        <f aca="false">IFERROR(ROUNDUP($C1560/3,0),"")</f>
        <v>2</v>
      </c>
      <c r="E1560" s="11" t="str">
        <f aca="false">TRIM('수출입 실적(품목별)'!B1564)</f>
        <v>17</v>
      </c>
      <c r="F1560" s="11" t="str">
        <f aca="false">TRIM('수출입 실적(품목별)'!C1564)</f>
        <v>당류(糖類)와 설탕과자</v>
      </c>
      <c r="G1560" s="18" t="n">
        <f aca="false">IFERROR(VALUE(SUBSTITUTE(TRIM('수출입 실적(품목별)'!D1564),",","")),"")</f>
        <v>22514.7</v>
      </c>
      <c r="H1560" s="19" t="n">
        <f aca="false">IFERROR(VALUE(SUBSTITUTE(TRIM('수출입 실적(품목별)'!E1564),",","")),"")</f>
        <v>23976</v>
      </c>
      <c r="I1560" s="18" t="n">
        <f aca="false">IFERROR(VALUE(SUBSTITUTE(TRIM('수출입 실적(품목별)'!F1564),",","")),"")</f>
        <v>196387.7</v>
      </c>
      <c r="J1560" s="19" t="n">
        <f aca="false">IFERROR(VALUE(SUBSTITUTE(TRIM('수출입 실적(품목별)'!G1564),",","")),"")</f>
        <v>121643</v>
      </c>
      <c r="K1560" s="19" t="n">
        <f aca="false">IFERROR(VALUE(SUBSTITUTE(TRIM('수출입 실적(품목별)'!H1564),",","")),"")</f>
        <v>-97667</v>
      </c>
    </row>
    <row r="1561" customFormat="false" ht="15" hidden="false" customHeight="true" outlineLevel="0" collapsed="false">
      <c r="A1561" s="11" t="str">
        <f aca="false">TRIM('수출입 실적(품목별)'!A1565)</f>
        <v>2025.05</v>
      </c>
      <c r="B1561" s="17" t="n">
        <f aca="false">IFERROR(VALUE(LEFT($A1561,4)),"")</f>
        <v>2025</v>
      </c>
      <c r="C1561" s="17" t="n">
        <f aca="false">IFERROR(VALUE(RIGHT($A1561,2)),"")</f>
        <v>5</v>
      </c>
      <c r="D1561" s="17" t="n">
        <f aca="false">IFERROR(ROUNDUP($C1561/3,0),"")</f>
        <v>2</v>
      </c>
      <c r="E1561" s="11" t="str">
        <f aca="false">TRIM('수출입 실적(품목별)'!B1565)</f>
        <v>18</v>
      </c>
      <c r="F1561" s="11" t="str">
        <f aca="false">TRIM('수출입 실적(품목별)'!C1565)</f>
        <v>코코아와 그 조제품</v>
      </c>
      <c r="G1561" s="18" t="n">
        <f aca="false">IFERROR(VALUE(SUBSTITUTE(TRIM('수출입 실적(품목별)'!D1565),",","")),"")</f>
        <v>2365.9</v>
      </c>
      <c r="H1561" s="19" t="n">
        <f aca="false">IFERROR(VALUE(SUBSTITUTE(TRIM('수출입 실적(품목별)'!E1565),",","")),"")</f>
        <v>8930</v>
      </c>
      <c r="I1561" s="18" t="n">
        <f aca="false">IFERROR(VALUE(SUBSTITUTE(TRIM('수출입 실적(품목별)'!F1565),",","")),"")</f>
        <v>4843.7</v>
      </c>
      <c r="J1561" s="19" t="n">
        <f aca="false">IFERROR(VALUE(SUBSTITUTE(TRIM('수출입 실적(품목별)'!G1565),",","")),"")</f>
        <v>46202</v>
      </c>
      <c r="K1561" s="19" t="n">
        <f aca="false">IFERROR(VALUE(SUBSTITUTE(TRIM('수출입 실적(품목별)'!H1565),",","")),"")</f>
        <v>-37272</v>
      </c>
    </row>
    <row r="1562" customFormat="false" ht="15" hidden="false" customHeight="true" outlineLevel="0" collapsed="false">
      <c r="A1562" s="11" t="str">
        <f aca="false">TRIM('수출입 실적(품목별)'!A1566)</f>
        <v>2025.05</v>
      </c>
      <c r="B1562" s="17" t="n">
        <f aca="false">IFERROR(VALUE(LEFT($A1562,4)),"")</f>
        <v>2025</v>
      </c>
      <c r="C1562" s="17" t="n">
        <f aca="false">IFERROR(VALUE(RIGHT($A1562,2)),"")</f>
        <v>5</v>
      </c>
      <c r="D1562" s="17" t="n">
        <f aca="false">IFERROR(ROUNDUP($C1562/3,0),"")</f>
        <v>2</v>
      </c>
      <c r="E1562" s="11" t="str">
        <f aca="false">TRIM('수출입 실적(품목별)'!B1566)</f>
        <v>19</v>
      </c>
      <c r="F1562" s="11" t="str">
        <f aca="false">TRIM('수출입 실적(품목별)'!C1566)</f>
        <v>곡물ㆍ고운 가루ㆍ전분ㆍ밀크의 조제품과 베이커리 제품</v>
      </c>
      <c r="G1562" s="18" t="n">
        <f aca="false">IFERROR(VALUE(SUBSTITUTE(TRIM('수출입 실적(품목별)'!D1566),",","")),"")</f>
        <v>55250.4</v>
      </c>
      <c r="H1562" s="19" t="n">
        <f aca="false">IFERROR(VALUE(SUBSTITUTE(TRIM('수출입 실적(품목별)'!E1566),",","")),"")</f>
        <v>221804</v>
      </c>
      <c r="I1562" s="18" t="n">
        <f aca="false">IFERROR(VALUE(SUBSTITUTE(TRIM('수출입 실적(품목별)'!F1566),",","")),"")</f>
        <v>27799.9</v>
      </c>
      <c r="J1562" s="19" t="n">
        <f aca="false">IFERROR(VALUE(SUBSTITUTE(TRIM('수출입 실적(품목별)'!G1566),",","")),"")</f>
        <v>89516</v>
      </c>
      <c r="K1562" s="19" t="n">
        <f aca="false">IFERROR(VALUE(SUBSTITUTE(TRIM('수출입 실적(품목별)'!H1566),",","")),"")</f>
        <v>132288</v>
      </c>
    </row>
    <row r="1563" customFormat="false" ht="15" hidden="false" customHeight="true" outlineLevel="0" collapsed="false">
      <c r="A1563" s="11" t="str">
        <f aca="false">TRIM('수출입 실적(품목별)'!A1567)</f>
        <v>2025.05</v>
      </c>
      <c r="B1563" s="17" t="n">
        <f aca="false">IFERROR(VALUE(LEFT($A1563,4)),"")</f>
        <v>2025</v>
      </c>
      <c r="C1563" s="17" t="n">
        <f aca="false">IFERROR(VALUE(RIGHT($A1563,2)),"")</f>
        <v>5</v>
      </c>
      <c r="D1563" s="17" t="n">
        <f aca="false">IFERROR(ROUNDUP($C1563/3,0),"")</f>
        <v>2</v>
      </c>
      <c r="E1563" s="11" t="str">
        <f aca="false">TRIM('수출입 실적(품목별)'!B1567)</f>
        <v>20</v>
      </c>
      <c r="F1563" s="11" t="str">
        <f aca="false">TRIM('수출입 실적(품목별)'!C1567)</f>
        <v>채소ㆍ과실ㆍ견과류나 식물의그 밖의 부분의 조제품</v>
      </c>
      <c r="G1563" s="18" t="n">
        <f aca="false">IFERROR(VALUE(SUBSTITUTE(TRIM('수출입 실적(품목별)'!D1567),",","")),"")</f>
        <v>9851.4</v>
      </c>
      <c r="H1563" s="19" t="n">
        <f aca="false">IFERROR(VALUE(SUBSTITUTE(TRIM('수출입 실적(품목별)'!E1567),",","")),"")</f>
        <v>83964</v>
      </c>
      <c r="I1563" s="18" t="n">
        <f aca="false">IFERROR(VALUE(SUBSTITUTE(TRIM('수출입 실적(품목별)'!F1567),",","")),"")</f>
        <v>94939.1</v>
      </c>
      <c r="J1563" s="19" t="n">
        <f aca="false">IFERROR(VALUE(SUBSTITUTE(TRIM('수출입 실적(품목별)'!G1567),",","")),"")</f>
        <v>136521</v>
      </c>
      <c r="K1563" s="19" t="n">
        <f aca="false">IFERROR(VALUE(SUBSTITUTE(TRIM('수출입 실적(품목별)'!H1567),",","")),"")</f>
        <v>-52557</v>
      </c>
    </row>
    <row r="1564" customFormat="false" ht="15" hidden="false" customHeight="true" outlineLevel="0" collapsed="false">
      <c r="A1564" s="11" t="str">
        <f aca="false">TRIM('수출입 실적(품목별)'!A1568)</f>
        <v>2025.05</v>
      </c>
      <c r="B1564" s="17" t="n">
        <f aca="false">IFERROR(VALUE(LEFT($A1564,4)),"")</f>
        <v>2025</v>
      </c>
      <c r="C1564" s="17" t="n">
        <f aca="false">IFERROR(VALUE(RIGHT($A1564,2)),"")</f>
        <v>5</v>
      </c>
      <c r="D1564" s="17" t="n">
        <f aca="false">IFERROR(ROUNDUP($C1564/3,0),"")</f>
        <v>2</v>
      </c>
      <c r="E1564" s="11" t="str">
        <f aca="false">TRIM('수출입 실적(품목별)'!B1568)</f>
        <v>21</v>
      </c>
      <c r="F1564" s="11" t="str">
        <f aca="false">TRIM('수출입 실적(품목별)'!C1568)</f>
        <v>각종 조제 식료품</v>
      </c>
      <c r="G1564" s="18" t="n">
        <f aca="false">IFERROR(VALUE(SUBSTITUTE(TRIM('수출입 실적(품목별)'!D1568),",","")),"")</f>
        <v>37499.4</v>
      </c>
      <c r="H1564" s="19" t="n">
        <f aca="false">IFERROR(VALUE(SUBSTITUTE(TRIM('수출입 실적(품목별)'!E1568),",","")),"")</f>
        <v>166386</v>
      </c>
      <c r="I1564" s="18" t="n">
        <f aca="false">IFERROR(VALUE(SUBSTITUTE(TRIM('수출입 실적(품목별)'!F1568),",","")),"")</f>
        <v>33630.4</v>
      </c>
      <c r="J1564" s="19" t="n">
        <f aca="false">IFERROR(VALUE(SUBSTITUTE(TRIM('수출입 실적(품목별)'!G1568),",","")),"")</f>
        <v>245695</v>
      </c>
      <c r="K1564" s="19" t="n">
        <f aca="false">IFERROR(VALUE(SUBSTITUTE(TRIM('수출입 실적(품목별)'!H1568),",","")),"")</f>
        <v>-79310</v>
      </c>
    </row>
    <row r="1565" customFormat="false" ht="15" hidden="false" customHeight="true" outlineLevel="0" collapsed="false">
      <c r="A1565" s="11" t="str">
        <f aca="false">TRIM('수출입 실적(품목별)'!A1569)</f>
        <v>2025.05</v>
      </c>
      <c r="B1565" s="17" t="n">
        <f aca="false">IFERROR(VALUE(LEFT($A1565,4)),"")</f>
        <v>2025</v>
      </c>
      <c r="C1565" s="17" t="n">
        <f aca="false">IFERROR(VALUE(RIGHT($A1565,2)),"")</f>
        <v>5</v>
      </c>
      <c r="D1565" s="17" t="n">
        <f aca="false">IFERROR(ROUNDUP($C1565/3,0),"")</f>
        <v>2</v>
      </c>
      <c r="E1565" s="11" t="str">
        <f aca="false">TRIM('수출입 실적(품목별)'!B1569)</f>
        <v>22</v>
      </c>
      <c r="F1565" s="11" t="str">
        <f aca="false">TRIM('수출입 실적(품목별)'!C1569)</f>
        <v>음료ㆍ주류ㆍ식초</v>
      </c>
      <c r="G1565" s="18" t="n">
        <f aca="false">IFERROR(VALUE(SUBSTITUTE(TRIM('수출입 실적(품목별)'!D1569),",","")),"")</f>
        <v>79996.7</v>
      </c>
      <c r="H1565" s="19" t="n">
        <f aca="false">IFERROR(VALUE(SUBSTITUTE(TRIM('수출입 실적(품목별)'!E1569),",","")),"")</f>
        <v>98894</v>
      </c>
      <c r="I1565" s="18" t="n">
        <f aca="false">IFERROR(VALUE(SUBSTITUTE(TRIM('수출입 실적(품목별)'!F1569),",","")),"")</f>
        <v>87870.1</v>
      </c>
      <c r="J1565" s="19" t="n">
        <f aca="false">IFERROR(VALUE(SUBSTITUTE(TRIM('수출입 실적(품목별)'!G1569),",","")),"")</f>
        <v>129693</v>
      </c>
      <c r="K1565" s="19" t="n">
        <f aca="false">IFERROR(VALUE(SUBSTITUTE(TRIM('수출입 실적(품목별)'!H1569),",","")),"")</f>
        <v>-30799</v>
      </c>
    </row>
    <row r="1566" customFormat="false" ht="15" hidden="false" customHeight="true" outlineLevel="0" collapsed="false">
      <c r="A1566" s="11" t="str">
        <f aca="false">TRIM('수출입 실적(품목별)'!A1570)</f>
        <v>2025.05</v>
      </c>
      <c r="B1566" s="17" t="n">
        <f aca="false">IFERROR(VALUE(LEFT($A1566,4)),"")</f>
        <v>2025</v>
      </c>
      <c r="C1566" s="17" t="n">
        <f aca="false">IFERROR(VALUE(RIGHT($A1566,2)),"")</f>
        <v>5</v>
      </c>
      <c r="D1566" s="17" t="n">
        <f aca="false">IFERROR(ROUNDUP($C1566/3,0),"")</f>
        <v>2</v>
      </c>
      <c r="E1566" s="11" t="str">
        <f aca="false">TRIM('수출입 실적(품목별)'!B1570)</f>
        <v>23</v>
      </c>
      <c r="F1566" s="11" t="str">
        <f aca="false">TRIM('수출입 실적(품목별)'!C1570)</f>
        <v>식품 공업에서 생기는 잔재물과 웨이스트(waste), 조제 사료</v>
      </c>
      <c r="G1566" s="18" t="n">
        <f aca="false">IFERROR(VALUE(SUBSTITUTE(TRIM('수출입 실적(품목별)'!D1570),",","")),"")</f>
        <v>28760</v>
      </c>
      <c r="H1566" s="19" t="n">
        <f aca="false">IFERROR(VALUE(SUBSTITUTE(TRIM('수출입 실적(품목별)'!E1570),",","")),"")</f>
        <v>26753</v>
      </c>
      <c r="I1566" s="18" t="n">
        <f aca="false">IFERROR(VALUE(SUBSTITUTE(TRIM('수출입 실적(품목별)'!F1570),",","")),"")</f>
        <v>595654.4</v>
      </c>
      <c r="J1566" s="19" t="n">
        <f aca="false">IFERROR(VALUE(SUBSTITUTE(TRIM('수출입 실적(품목별)'!G1570),",","")),"")</f>
        <v>193389</v>
      </c>
      <c r="K1566" s="19" t="n">
        <f aca="false">IFERROR(VALUE(SUBSTITUTE(TRIM('수출입 실적(품목별)'!H1570),",","")),"")</f>
        <v>-166636</v>
      </c>
    </row>
    <row r="1567" customFormat="false" ht="15" hidden="false" customHeight="true" outlineLevel="0" collapsed="false">
      <c r="A1567" s="11" t="str">
        <f aca="false">TRIM('수출입 실적(품목별)'!A1571)</f>
        <v>2025.05</v>
      </c>
      <c r="B1567" s="17" t="n">
        <f aca="false">IFERROR(VALUE(LEFT($A1567,4)),"")</f>
        <v>2025</v>
      </c>
      <c r="C1567" s="17" t="n">
        <f aca="false">IFERROR(VALUE(RIGHT($A1567,2)),"")</f>
        <v>5</v>
      </c>
      <c r="D1567" s="17" t="n">
        <f aca="false">IFERROR(ROUNDUP($C1567/3,0),"")</f>
        <v>2</v>
      </c>
      <c r="E1567" s="11" t="str">
        <f aca="false">TRIM('수출입 실적(품목별)'!B1571)</f>
        <v>24</v>
      </c>
      <c r="F1567" s="11" t="str">
        <f aca="false">TRIM('수출입 실적(품목별)'!C1571)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567" s="18" t="n">
        <f aca="false">IFERROR(VALUE(SUBSTITUTE(TRIM('수출입 실적(품목별)'!D1571),",","")),"")</f>
        <v>8492.5</v>
      </c>
      <c r="H1567" s="19" t="n">
        <f aca="false">IFERROR(VALUE(SUBSTITUTE(TRIM('수출입 실적(품목별)'!E1571),",","")),"")</f>
        <v>96432</v>
      </c>
      <c r="I1567" s="18" t="n">
        <f aca="false">IFERROR(VALUE(SUBSTITUTE(TRIM('수출입 실적(품목별)'!F1571),",","")),"")</f>
        <v>4609.7</v>
      </c>
      <c r="J1567" s="19" t="n">
        <f aca="false">IFERROR(VALUE(SUBSTITUTE(TRIM('수출입 실적(품목별)'!G1571),",","")),"")</f>
        <v>43849</v>
      </c>
      <c r="K1567" s="19" t="n">
        <f aca="false">IFERROR(VALUE(SUBSTITUTE(TRIM('수출입 실적(품목별)'!H1571),",","")),"")</f>
        <v>52584</v>
      </c>
    </row>
    <row r="1568" customFormat="false" ht="15" hidden="false" customHeight="true" outlineLevel="0" collapsed="false">
      <c r="A1568" s="11" t="str">
        <f aca="false">TRIM('수출입 실적(품목별)'!A1572)</f>
        <v>2025.05</v>
      </c>
      <c r="B1568" s="17" t="n">
        <f aca="false">IFERROR(VALUE(LEFT($A1568,4)),"")</f>
        <v>2025</v>
      </c>
      <c r="C1568" s="17" t="n">
        <f aca="false">IFERROR(VALUE(RIGHT($A1568,2)),"")</f>
        <v>5</v>
      </c>
      <c r="D1568" s="17" t="n">
        <f aca="false">IFERROR(ROUNDUP($C1568/3,0),"")</f>
        <v>2</v>
      </c>
      <c r="E1568" s="11" t="str">
        <f aca="false">TRIM('수출입 실적(품목별)'!B1572)</f>
        <v>25</v>
      </c>
      <c r="F1568" s="11" t="str">
        <f aca="false">TRIM('수출입 실적(품목별)'!C1572)</f>
        <v>소금, 황, 토석류(土石類), 석고ㆍ석회ㆍ시멘트</v>
      </c>
      <c r="G1568" s="18" t="n">
        <f aca="false">IFERROR(VALUE(SUBSTITUTE(TRIM('수출입 실적(품목별)'!D1572),",","")),"")</f>
        <v>552970.8</v>
      </c>
      <c r="H1568" s="19" t="n">
        <f aca="false">IFERROR(VALUE(SUBSTITUTE(TRIM('수출입 실적(품목별)'!E1572),",","")),"")</f>
        <v>40180</v>
      </c>
      <c r="I1568" s="18" t="n">
        <f aca="false">IFERROR(VALUE(SUBSTITUTE(TRIM('수출입 실적(품목별)'!F1572),",","")),"")</f>
        <v>1057997.6</v>
      </c>
      <c r="J1568" s="19" t="n">
        <f aca="false">IFERROR(VALUE(SUBSTITUTE(TRIM('수출입 실적(품목별)'!G1572),",","")),"")</f>
        <v>84353</v>
      </c>
      <c r="K1568" s="19" t="n">
        <f aca="false">IFERROR(VALUE(SUBSTITUTE(TRIM('수출입 실적(품목별)'!H1572),",","")),"")</f>
        <v>-44173</v>
      </c>
    </row>
    <row r="1569" customFormat="false" ht="15" hidden="false" customHeight="true" outlineLevel="0" collapsed="false">
      <c r="A1569" s="11" t="str">
        <f aca="false">TRIM('수출입 실적(품목별)'!A1573)</f>
        <v>2025.05</v>
      </c>
      <c r="B1569" s="17" t="n">
        <f aca="false">IFERROR(VALUE(LEFT($A1569,4)),"")</f>
        <v>2025</v>
      </c>
      <c r="C1569" s="17" t="n">
        <f aca="false">IFERROR(VALUE(RIGHT($A1569,2)),"")</f>
        <v>5</v>
      </c>
      <c r="D1569" s="17" t="n">
        <f aca="false">IFERROR(ROUNDUP($C1569/3,0),"")</f>
        <v>2</v>
      </c>
      <c r="E1569" s="11" t="str">
        <f aca="false">TRIM('수출입 실적(품목별)'!B1573)</f>
        <v>26</v>
      </c>
      <c r="F1569" s="11" t="str">
        <f aca="false">TRIM('수출입 실적(품목별)'!C1573)</f>
        <v>광(鑛)ㆍ슬래그(slag)ㆍ회(灰)</v>
      </c>
      <c r="G1569" s="18" t="n">
        <f aca="false">IFERROR(VALUE(SUBSTITUTE(TRIM('수출입 실적(품목별)'!D1573),",","")),"")</f>
        <v>226594.2</v>
      </c>
      <c r="H1569" s="19" t="n">
        <f aca="false">IFERROR(VALUE(SUBSTITUTE(TRIM('수출입 실적(품목별)'!E1573),",","")),"")</f>
        <v>42347</v>
      </c>
      <c r="I1569" s="18" t="n">
        <f aca="false">IFERROR(VALUE(SUBSTITUTE(TRIM('수출입 실적(품목별)'!F1573),",","")),"")</f>
        <v>5257271.8</v>
      </c>
      <c r="J1569" s="19" t="n">
        <f aca="false">IFERROR(VALUE(SUBSTITUTE(TRIM('수출입 실적(품목별)'!G1573),",","")),"")</f>
        <v>1448295</v>
      </c>
      <c r="K1569" s="19" t="n">
        <f aca="false">IFERROR(VALUE(SUBSTITUTE(TRIM('수출입 실적(품목별)'!H1573),",","")),"")</f>
        <v>-1405948</v>
      </c>
    </row>
    <row r="1570" customFormat="false" ht="15" hidden="false" customHeight="true" outlineLevel="0" collapsed="false">
      <c r="A1570" s="11" t="str">
        <f aca="false">TRIM('수출입 실적(품목별)'!A1574)</f>
        <v>2025.05</v>
      </c>
      <c r="B1570" s="17" t="n">
        <f aca="false">IFERROR(VALUE(LEFT($A1570,4)),"")</f>
        <v>2025</v>
      </c>
      <c r="C1570" s="17" t="n">
        <f aca="false">IFERROR(VALUE(RIGHT($A1570,2)),"")</f>
        <v>5</v>
      </c>
      <c r="D1570" s="17" t="n">
        <f aca="false">IFERROR(ROUNDUP($C1570/3,0),"")</f>
        <v>2</v>
      </c>
      <c r="E1570" s="11" t="str">
        <f aca="false">TRIM('수출입 실적(품목별)'!B1574)</f>
        <v>27</v>
      </c>
      <c r="F1570" s="11" t="str">
        <f aca="false">TRIM('수출입 실적(품목별)'!C1574)</f>
        <v>광물성 연료ㆍ광물유(鑛物油)와 이들의 증류물, 역청(瀝靑)물질, 광물성 왁스</v>
      </c>
      <c r="G1570" s="18" t="n">
        <f aca="false">IFERROR(VALUE(SUBSTITUTE(TRIM('수출입 실적(품목별)'!D1574),",","")),"")</f>
        <v>5922418.7</v>
      </c>
      <c r="H1570" s="19" t="n">
        <f aca="false">IFERROR(VALUE(SUBSTITUTE(TRIM('수출입 실적(품목별)'!E1574),",","")),"")</f>
        <v>3755662</v>
      </c>
      <c r="I1570" s="18" t="n">
        <f aca="false">IFERROR(VALUE(SUBSTITUTE(TRIM('수출입 실적(품목별)'!F1574),",","")),"")</f>
        <v>26730321.3</v>
      </c>
      <c r="J1570" s="19" t="n">
        <f aca="false">IFERROR(VALUE(SUBSTITUTE(TRIM('수출입 실적(품목별)'!G1574),",","")),"")</f>
        <v>11684063</v>
      </c>
      <c r="K1570" s="19" t="n">
        <f aca="false">IFERROR(VALUE(SUBSTITUTE(TRIM('수출입 실적(품목별)'!H1574),",","")),"")</f>
        <v>-7928401</v>
      </c>
    </row>
    <row r="1571" customFormat="false" ht="15" hidden="false" customHeight="true" outlineLevel="0" collapsed="false">
      <c r="A1571" s="11" t="str">
        <f aca="false">TRIM('수출입 실적(품목별)'!A1575)</f>
        <v>2025.05</v>
      </c>
      <c r="B1571" s="17" t="n">
        <f aca="false">IFERROR(VALUE(LEFT($A1571,4)),"")</f>
        <v>2025</v>
      </c>
      <c r="C1571" s="17" t="n">
        <f aca="false">IFERROR(VALUE(RIGHT($A1571,2)),"")</f>
        <v>5</v>
      </c>
      <c r="D1571" s="17" t="n">
        <f aca="false">IFERROR(ROUNDUP($C1571/3,0),"")</f>
        <v>2</v>
      </c>
      <c r="E1571" s="11" t="str">
        <f aca="false">TRIM('수출입 실적(품목별)'!B1575)</f>
        <v>28</v>
      </c>
      <c r="F1571" s="11" t="str">
        <f aca="false">TRIM('수출입 실적(품목별)'!C1575)</f>
        <v>무기화학품, 귀금속ㆍ희토류(稀土類)금속ㆍ방사성원소ㆍ동위원소의 유기화합물이나 무기화합물</v>
      </c>
      <c r="G1571" s="18" t="n">
        <f aca="false">IFERROR(VALUE(SUBSTITUTE(TRIM('수출입 실적(품목별)'!D1575),",","")),"")</f>
        <v>425099.3</v>
      </c>
      <c r="H1571" s="19" t="n">
        <f aca="false">IFERROR(VALUE(SUBSTITUTE(TRIM('수출입 실적(품목별)'!E1575),",","")),"")</f>
        <v>766628</v>
      </c>
      <c r="I1571" s="18" t="n">
        <f aca="false">IFERROR(VALUE(SUBSTITUTE(TRIM('수출입 실적(품목별)'!F1575),",","")),"")</f>
        <v>404916.4</v>
      </c>
      <c r="J1571" s="19" t="n">
        <f aca="false">IFERROR(VALUE(SUBSTITUTE(TRIM('수출입 실적(품목별)'!G1575),",","")),"")</f>
        <v>782537</v>
      </c>
      <c r="K1571" s="19" t="n">
        <f aca="false">IFERROR(VALUE(SUBSTITUTE(TRIM('수출입 실적(품목별)'!H1575),",","")),"")</f>
        <v>-15910</v>
      </c>
    </row>
    <row r="1572" customFormat="false" ht="15" hidden="false" customHeight="true" outlineLevel="0" collapsed="false">
      <c r="A1572" s="11" t="str">
        <f aca="false">TRIM('수출입 실적(품목별)'!A1576)</f>
        <v>2025.05</v>
      </c>
      <c r="B1572" s="17" t="n">
        <f aca="false">IFERROR(VALUE(LEFT($A1572,4)),"")</f>
        <v>2025</v>
      </c>
      <c r="C1572" s="17" t="n">
        <f aca="false">IFERROR(VALUE(RIGHT($A1572,2)),"")</f>
        <v>5</v>
      </c>
      <c r="D1572" s="17" t="n">
        <f aca="false">IFERROR(ROUNDUP($C1572/3,0),"")</f>
        <v>2</v>
      </c>
      <c r="E1572" s="11" t="str">
        <f aca="false">TRIM('수출입 실적(품목별)'!B1576)</f>
        <v>29</v>
      </c>
      <c r="F1572" s="11" t="str">
        <f aca="false">TRIM('수출입 실적(품목별)'!C1576)</f>
        <v>유기화학품</v>
      </c>
      <c r="G1572" s="18" t="n">
        <f aca="false">IFERROR(VALUE(SUBSTITUTE(TRIM('수출입 실적(품목별)'!D1576),",","")),"")</f>
        <v>1510944.4</v>
      </c>
      <c r="H1572" s="19" t="n">
        <f aca="false">IFERROR(VALUE(SUBSTITUTE(TRIM('수출입 실적(품목별)'!E1576),",","")),"")</f>
        <v>1474854</v>
      </c>
      <c r="I1572" s="18" t="n">
        <f aca="false">IFERROR(VALUE(SUBSTITUTE(TRIM('수출입 실적(품목별)'!F1576),",","")),"")</f>
        <v>700835.2</v>
      </c>
      <c r="J1572" s="19" t="n">
        <f aca="false">IFERROR(VALUE(SUBSTITUTE(TRIM('수출입 실적(품목별)'!G1576),",","")),"")</f>
        <v>1106904</v>
      </c>
      <c r="K1572" s="19" t="n">
        <f aca="false">IFERROR(VALUE(SUBSTITUTE(TRIM('수출입 실적(품목별)'!H1576),",","")),"")</f>
        <v>367951</v>
      </c>
    </row>
    <row r="1573" customFormat="false" ht="15" hidden="false" customHeight="true" outlineLevel="0" collapsed="false">
      <c r="A1573" s="11" t="str">
        <f aca="false">TRIM('수출입 실적(품목별)'!A1577)</f>
        <v>2025.05</v>
      </c>
      <c r="B1573" s="17" t="n">
        <f aca="false">IFERROR(VALUE(LEFT($A1573,4)),"")</f>
        <v>2025</v>
      </c>
      <c r="C1573" s="17" t="n">
        <f aca="false">IFERROR(VALUE(RIGHT($A1573,2)),"")</f>
        <v>5</v>
      </c>
      <c r="D1573" s="17" t="n">
        <f aca="false">IFERROR(ROUNDUP($C1573/3,0),"")</f>
        <v>2</v>
      </c>
      <c r="E1573" s="11" t="str">
        <f aca="false">TRIM('수출입 실적(품목별)'!B1577)</f>
        <v>30</v>
      </c>
      <c r="F1573" s="11" t="str">
        <f aca="false">TRIM('수출입 실적(품목별)'!C1577)</f>
        <v>의료용품</v>
      </c>
      <c r="G1573" s="18" t="n">
        <f aca="false">IFERROR(VALUE(SUBSTITUTE(TRIM('수출입 실적(품목별)'!D1577),",","")),"")</f>
        <v>2296.9</v>
      </c>
      <c r="H1573" s="19" t="n">
        <f aca="false">IFERROR(VALUE(SUBSTITUTE(TRIM('수출입 실적(품목별)'!E1577),",","")),"")</f>
        <v>766771</v>
      </c>
      <c r="I1573" s="18" t="n">
        <f aca="false">IFERROR(VALUE(SUBSTITUTE(TRIM('수출입 실적(품목별)'!F1577),",","")),"")</f>
        <v>7686.5</v>
      </c>
      <c r="J1573" s="19" t="n">
        <f aca="false">IFERROR(VALUE(SUBSTITUTE(TRIM('수출입 실적(품목별)'!G1577),",","")),"")</f>
        <v>722334</v>
      </c>
      <c r="K1573" s="19" t="n">
        <f aca="false">IFERROR(VALUE(SUBSTITUTE(TRIM('수출입 실적(품목별)'!H1577),",","")),"")</f>
        <v>44436</v>
      </c>
    </row>
    <row r="1574" customFormat="false" ht="15" hidden="false" customHeight="true" outlineLevel="0" collapsed="false">
      <c r="A1574" s="11" t="str">
        <f aca="false">TRIM('수출입 실적(품목별)'!A1578)</f>
        <v>2025.05</v>
      </c>
      <c r="B1574" s="17" t="n">
        <f aca="false">IFERROR(VALUE(LEFT($A1574,4)),"")</f>
        <v>2025</v>
      </c>
      <c r="C1574" s="17" t="n">
        <f aca="false">IFERROR(VALUE(RIGHT($A1574,2)),"")</f>
        <v>5</v>
      </c>
      <c r="D1574" s="17" t="n">
        <f aca="false">IFERROR(ROUNDUP($C1574/3,0),"")</f>
        <v>2</v>
      </c>
      <c r="E1574" s="11" t="str">
        <f aca="false">TRIM('수출입 실적(품목별)'!B1578)</f>
        <v>31</v>
      </c>
      <c r="F1574" s="11" t="str">
        <f aca="false">TRIM('수출입 실적(품목별)'!C1578)</f>
        <v>비료</v>
      </c>
      <c r="G1574" s="18" t="n">
        <f aca="false">IFERROR(VALUE(SUBSTITUTE(TRIM('수출입 실적(품목별)'!D1578),",","")),"")</f>
        <v>92269.7</v>
      </c>
      <c r="H1574" s="19" t="n">
        <f aca="false">IFERROR(VALUE(SUBSTITUTE(TRIM('수출입 실적(품목별)'!E1578),",","")),"")</f>
        <v>32628</v>
      </c>
      <c r="I1574" s="18" t="n">
        <f aca="false">IFERROR(VALUE(SUBSTITUTE(TRIM('수출입 실적(품목별)'!F1578),",","")),"")</f>
        <v>184566.2</v>
      </c>
      <c r="J1574" s="19" t="n">
        <f aca="false">IFERROR(VALUE(SUBSTITUTE(TRIM('수출입 실적(품목별)'!G1578),",","")),"")</f>
        <v>73663</v>
      </c>
      <c r="K1574" s="19" t="n">
        <f aca="false">IFERROR(VALUE(SUBSTITUTE(TRIM('수출입 실적(품목별)'!H1578),",","")),"")</f>
        <v>-41034</v>
      </c>
    </row>
    <row r="1575" customFormat="false" ht="15" hidden="false" customHeight="true" outlineLevel="0" collapsed="false">
      <c r="A1575" s="11" t="str">
        <f aca="false">TRIM('수출입 실적(품목별)'!A1579)</f>
        <v>2025.05</v>
      </c>
      <c r="B1575" s="17" t="n">
        <f aca="false">IFERROR(VALUE(LEFT($A1575,4)),"")</f>
        <v>2025</v>
      </c>
      <c r="C1575" s="17" t="n">
        <f aca="false">IFERROR(VALUE(RIGHT($A1575,2)),"")</f>
        <v>5</v>
      </c>
      <c r="D1575" s="17" t="n">
        <f aca="false">IFERROR(ROUNDUP($C1575/3,0),"")</f>
        <v>2</v>
      </c>
      <c r="E1575" s="11" t="str">
        <f aca="false">TRIM('수출입 실적(품목별)'!B1579)</f>
        <v>32</v>
      </c>
      <c r="F1575" s="11" t="str">
        <f aca="false">TRIM('수출입 실적(품목별)'!C1579)</f>
        <v>유연용ㆍ염색용 추출물(extract), 탄닌과 이들의 유도체, 염료ㆍ안료와 그 밖의 착색제, 페인트ㆍ바니시(varnish), 퍼티(putty)와 그 밖의 매스틱(mastic), 잉크</v>
      </c>
      <c r="G1575" s="18" t="n">
        <f aca="false">IFERROR(VALUE(SUBSTITUTE(TRIM('수출입 실적(품목별)'!D1579),",","")),"")</f>
        <v>27305.7</v>
      </c>
      <c r="H1575" s="19" t="n">
        <f aca="false">IFERROR(VALUE(SUBSTITUTE(TRIM('수출입 실적(품목별)'!E1579),",","")),"")</f>
        <v>208300</v>
      </c>
      <c r="I1575" s="18" t="n">
        <f aca="false">IFERROR(VALUE(SUBSTITUTE(TRIM('수출입 실적(품목별)'!F1579),",","")),"")</f>
        <v>26114.1</v>
      </c>
      <c r="J1575" s="19" t="n">
        <f aca="false">IFERROR(VALUE(SUBSTITUTE(TRIM('수출입 실적(품목별)'!G1579),",","")),"")</f>
        <v>187636</v>
      </c>
      <c r="K1575" s="19" t="n">
        <f aca="false">IFERROR(VALUE(SUBSTITUTE(TRIM('수출입 실적(품목별)'!H1579),",","")),"")</f>
        <v>20664</v>
      </c>
    </row>
    <row r="1576" customFormat="false" ht="15" hidden="false" customHeight="true" outlineLevel="0" collapsed="false">
      <c r="A1576" s="11" t="str">
        <f aca="false">TRIM('수출입 실적(품목별)'!A1580)</f>
        <v>2025.05</v>
      </c>
      <c r="B1576" s="17" t="n">
        <f aca="false">IFERROR(VALUE(LEFT($A1576,4)),"")</f>
        <v>2025</v>
      </c>
      <c r="C1576" s="17" t="n">
        <f aca="false">IFERROR(VALUE(RIGHT($A1576,2)),"")</f>
        <v>5</v>
      </c>
      <c r="D1576" s="17" t="n">
        <f aca="false">IFERROR(ROUNDUP($C1576/3,0),"")</f>
        <v>2</v>
      </c>
      <c r="E1576" s="11" t="str">
        <f aca="false">TRIM('수출입 실적(품목별)'!B1580)</f>
        <v>33</v>
      </c>
      <c r="F1576" s="11" t="str">
        <f aca="false">TRIM('수출입 실적(품목별)'!C1580)</f>
        <v>정유(essential oil)와 레지노이드(resinoid), 조제향료와 화장품ㆍ화장용품</v>
      </c>
      <c r="G1576" s="18" t="n">
        <f aca="false">IFERROR(VALUE(SUBSTITUTE(TRIM('수출입 실적(품목별)'!D1580),",","")),"")</f>
        <v>44484.4</v>
      </c>
      <c r="H1576" s="19" t="n">
        <f aca="false">IFERROR(VALUE(SUBSTITUTE(TRIM('수출입 실적(품목별)'!E1580),",","")),"")</f>
        <v>924692</v>
      </c>
      <c r="I1576" s="18" t="n">
        <f aca="false">IFERROR(VALUE(SUBSTITUTE(TRIM('수출입 실적(품목별)'!F1580),",","")),"")</f>
        <v>9259.6</v>
      </c>
      <c r="J1576" s="19" t="n">
        <f aca="false">IFERROR(VALUE(SUBSTITUTE(TRIM('수출입 실적(품목별)'!G1580),",","")),"")</f>
        <v>170951</v>
      </c>
      <c r="K1576" s="19" t="n">
        <f aca="false">IFERROR(VALUE(SUBSTITUTE(TRIM('수출입 실적(품목별)'!H1580),",","")),"")</f>
        <v>753741</v>
      </c>
    </row>
    <row r="1577" customFormat="false" ht="15" hidden="false" customHeight="true" outlineLevel="0" collapsed="false">
      <c r="A1577" s="11" t="str">
        <f aca="false">TRIM('수출입 실적(품목별)'!A1581)</f>
        <v>2025.05</v>
      </c>
      <c r="B1577" s="17" t="n">
        <f aca="false">IFERROR(VALUE(LEFT($A1577,4)),"")</f>
        <v>2025</v>
      </c>
      <c r="C1577" s="17" t="n">
        <f aca="false">IFERROR(VALUE(RIGHT($A1577,2)),"")</f>
        <v>5</v>
      </c>
      <c r="D1577" s="17" t="n">
        <f aca="false">IFERROR(ROUNDUP($C1577/3,0),"")</f>
        <v>2</v>
      </c>
      <c r="E1577" s="11" t="str">
        <f aca="false">TRIM('수출입 실적(품목별)'!B1581)</f>
        <v>34</v>
      </c>
      <c r="F1577" s="11" t="str">
        <f aca="false">TRIM('수출입 실적(품목별)'!C1581)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577" s="18" t="n">
        <f aca="false">IFERROR(VALUE(SUBSTITUTE(TRIM('수출입 실적(품목별)'!D1581),",","")),"")</f>
        <v>49384.7</v>
      </c>
      <c r="H1577" s="19" t="n">
        <f aca="false">IFERROR(VALUE(SUBSTITUTE(TRIM('수출입 실적(품목별)'!E1581),",","")),"")</f>
        <v>146838</v>
      </c>
      <c r="I1577" s="18" t="n">
        <f aca="false">IFERROR(VALUE(SUBSTITUTE(TRIM('수출입 실적(품목별)'!F1581),",","")),"")</f>
        <v>25783</v>
      </c>
      <c r="J1577" s="19" t="n">
        <f aca="false">IFERROR(VALUE(SUBSTITUTE(TRIM('수출입 실적(품목별)'!G1581),",","")),"")</f>
        <v>102303</v>
      </c>
      <c r="K1577" s="19" t="n">
        <f aca="false">IFERROR(VALUE(SUBSTITUTE(TRIM('수출입 실적(품목별)'!H1581),",","")),"")</f>
        <v>44535</v>
      </c>
    </row>
    <row r="1578" customFormat="false" ht="15" hidden="false" customHeight="true" outlineLevel="0" collapsed="false">
      <c r="A1578" s="11" t="str">
        <f aca="false">TRIM('수출입 실적(품목별)'!A1582)</f>
        <v>2025.05</v>
      </c>
      <c r="B1578" s="17" t="n">
        <f aca="false">IFERROR(VALUE(LEFT($A1578,4)),"")</f>
        <v>2025</v>
      </c>
      <c r="C1578" s="17" t="n">
        <f aca="false">IFERROR(VALUE(RIGHT($A1578,2)),"")</f>
        <v>5</v>
      </c>
      <c r="D1578" s="17" t="n">
        <f aca="false">IFERROR(ROUNDUP($C1578/3,0),"")</f>
        <v>2</v>
      </c>
      <c r="E1578" s="11" t="str">
        <f aca="false">TRIM('수출입 실적(품목별)'!B1582)</f>
        <v>35</v>
      </c>
      <c r="F1578" s="11" t="str">
        <f aca="false">TRIM('수출입 실적(품목별)'!C1582)</f>
        <v>단백질계 물질, 변성전분, 글루(glue), 효소</v>
      </c>
      <c r="G1578" s="18" t="n">
        <f aca="false">IFERROR(VALUE(SUBSTITUTE(TRIM('수출입 실적(품목별)'!D1582),",","")),"")</f>
        <v>6742.4</v>
      </c>
      <c r="H1578" s="19" t="n">
        <f aca="false">IFERROR(VALUE(SUBSTITUTE(TRIM('수출입 실적(품목별)'!E1582),",","")),"")</f>
        <v>81469</v>
      </c>
      <c r="I1578" s="18" t="n">
        <f aca="false">IFERROR(VALUE(SUBSTITUTE(TRIM('수출입 실적(품목별)'!F1582),",","")),"")</f>
        <v>19149.6</v>
      </c>
      <c r="J1578" s="19" t="n">
        <f aca="false">IFERROR(VALUE(SUBSTITUTE(TRIM('수출입 실적(품목별)'!G1582),",","")),"")</f>
        <v>81999</v>
      </c>
      <c r="K1578" s="19" t="n">
        <f aca="false">IFERROR(VALUE(SUBSTITUTE(TRIM('수출입 실적(품목별)'!H1582),",","")),"")</f>
        <v>-530</v>
      </c>
    </row>
    <row r="1579" customFormat="false" ht="15" hidden="false" customHeight="true" outlineLevel="0" collapsed="false">
      <c r="A1579" s="11" t="str">
        <f aca="false">TRIM('수출입 실적(품목별)'!A1583)</f>
        <v>2025.05</v>
      </c>
      <c r="B1579" s="17" t="n">
        <f aca="false">IFERROR(VALUE(LEFT($A1579,4)),"")</f>
        <v>2025</v>
      </c>
      <c r="C1579" s="17" t="n">
        <f aca="false">IFERROR(VALUE(RIGHT($A1579,2)),"")</f>
        <v>5</v>
      </c>
      <c r="D1579" s="17" t="n">
        <f aca="false">IFERROR(ROUNDUP($C1579/3,0),"")</f>
        <v>2</v>
      </c>
      <c r="E1579" s="11" t="str">
        <f aca="false">TRIM('수출입 실적(품목별)'!B1583)</f>
        <v>36</v>
      </c>
      <c r="F1579" s="11" t="str">
        <f aca="false">TRIM('수출입 실적(품목별)'!C1583)</f>
        <v>화약류, 화공품, 성냥, 발화성 합금, 특정 가연성 조제품</v>
      </c>
      <c r="G1579" s="18" t="n">
        <f aca="false">IFERROR(VALUE(SUBSTITUTE(TRIM('수출입 실적(품목별)'!D1583),",","")),"")</f>
        <v>120.8</v>
      </c>
      <c r="H1579" s="19" t="n">
        <f aca="false">IFERROR(VALUE(SUBSTITUTE(TRIM('수출입 실적(품목별)'!E1583),",","")),"")</f>
        <v>2617</v>
      </c>
      <c r="I1579" s="18" t="n">
        <f aca="false">IFERROR(VALUE(SUBSTITUTE(TRIM('수출입 실적(품목별)'!F1583),",","")),"")</f>
        <v>182.7</v>
      </c>
      <c r="J1579" s="19" t="n">
        <f aca="false">IFERROR(VALUE(SUBSTITUTE(TRIM('수출입 실적(품목별)'!G1583),",","")),"")</f>
        <v>1570</v>
      </c>
      <c r="K1579" s="19" t="n">
        <f aca="false">IFERROR(VALUE(SUBSTITUTE(TRIM('수출입 실적(품목별)'!H1583),",","")),"")</f>
        <v>1047</v>
      </c>
    </row>
    <row r="1580" customFormat="false" ht="15" hidden="false" customHeight="true" outlineLevel="0" collapsed="false">
      <c r="A1580" s="11" t="str">
        <f aca="false">TRIM('수출입 실적(품목별)'!A1584)</f>
        <v>2025.05</v>
      </c>
      <c r="B1580" s="17" t="n">
        <f aca="false">IFERROR(VALUE(LEFT($A1580,4)),"")</f>
        <v>2025</v>
      </c>
      <c r="C1580" s="17" t="n">
        <f aca="false">IFERROR(VALUE(RIGHT($A1580,2)),"")</f>
        <v>5</v>
      </c>
      <c r="D1580" s="17" t="n">
        <f aca="false">IFERROR(ROUNDUP($C1580/3,0),"")</f>
        <v>2</v>
      </c>
      <c r="E1580" s="11" t="str">
        <f aca="false">TRIM('수출입 실적(품목별)'!B1584)</f>
        <v>37</v>
      </c>
      <c r="F1580" s="11" t="str">
        <f aca="false">TRIM('수출입 실적(품목별)'!C1584)</f>
        <v>사진용이나 영화용 재료</v>
      </c>
      <c r="G1580" s="18" t="n">
        <f aca="false">IFERROR(VALUE(SUBSTITUTE(TRIM('수출입 실적(품목별)'!D1584),",","")),"")</f>
        <v>1738.4</v>
      </c>
      <c r="H1580" s="19" t="n">
        <f aca="false">IFERROR(VALUE(SUBSTITUTE(TRIM('수출입 실적(품목별)'!E1584),",","")),"")</f>
        <v>90100</v>
      </c>
      <c r="I1580" s="18" t="n">
        <f aca="false">IFERROR(VALUE(SUBSTITUTE(TRIM('수출입 실적(품목별)'!F1584),",","")),"")</f>
        <v>2873.4</v>
      </c>
      <c r="J1580" s="19" t="n">
        <f aca="false">IFERROR(VALUE(SUBSTITUTE(TRIM('수출입 실적(품목별)'!G1584),",","")),"")</f>
        <v>91796</v>
      </c>
      <c r="K1580" s="19" t="n">
        <f aca="false">IFERROR(VALUE(SUBSTITUTE(TRIM('수출입 실적(품목별)'!H1584),",","")),"")</f>
        <v>-1696</v>
      </c>
    </row>
    <row r="1581" customFormat="false" ht="15" hidden="false" customHeight="true" outlineLevel="0" collapsed="false">
      <c r="A1581" s="11" t="str">
        <f aca="false">TRIM('수출입 실적(품목별)'!A1585)</f>
        <v>2025.05</v>
      </c>
      <c r="B1581" s="17" t="n">
        <f aca="false">IFERROR(VALUE(LEFT($A1581,4)),"")</f>
        <v>2025</v>
      </c>
      <c r="C1581" s="17" t="n">
        <f aca="false">IFERROR(VALUE(RIGHT($A1581,2)),"")</f>
        <v>5</v>
      </c>
      <c r="D1581" s="17" t="n">
        <f aca="false">IFERROR(ROUNDUP($C1581/3,0),"")</f>
        <v>2</v>
      </c>
      <c r="E1581" s="11" t="str">
        <f aca="false">TRIM('수출입 실적(품목별)'!B1585)</f>
        <v>38</v>
      </c>
      <c r="F1581" s="11" t="str">
        <f aca="false">TRIM('수출입 실적(품목별)'!C1585)</f>
        <v>각종 화학공업 생산품</v>
      </c>
      <c r="G1581" s="18" t="n">
        <f aca="false">IFERROR(VALUE(SUBSTITUTE(TRIM('수출입 실적(품목별)'!D1585),",","")),"")</f>
        <v>85247</v>
      </c>
      <c r="H1581" s="19" t="n">
        <f aca="false">IFERROR(VALUE(SUBSTITUTE(TRIM('수출입 실적(품목별)'!E1585),",","")),"")</f>
        <v>569962</v>
      </c>
      <c r="I1581" s="18" t="n">
        <f aca="false">IFERROR(VALUE(SUBSTITUTE(TRIM('수출입 실적(품목별)'!F1585),",","")),"")</f>
        <v>269029</v>
      </c>
      <c r="J1581" s="19" t="n">
        <f aca="false">IFERROR(VALUE(SUBSTITUTE(TRIM('수출입 실적(품목별)'!G1585),",","")),"")</f>
        <v>754066</v>
      </c>
      <c r="K1581" s="19" t="n">
        <f aca="false">IFERROR(VALUE(SUBSTITUTE(TRIM('수출입 실적(품목별)'!H1585),",","")),"")</f>
        <v>-184104</v>
      </c>
    </row>
    <row r="1582" customFormat="false" ht="15" hidden="false" customHeight="true" outlineLevel="0" collapsed="false">
      <c r="A1582" s="11" t="str">
        <f aca="false">TRIM('수출입 실적(품목별)'!A1586)</f>
        <v>2025.05</v>
      </c>
      <c r="B1582" s="17" t="n">
        <f aca="false">IFERROR(VALUE(LEFT($A1582,4)),"")</f>
        <v>2025</v>
      </c>
      <c r="C1582" s="17" t="n">
        <f aca="false">IFERROR(VALUE(RIGHT($A1582,2)),"")</f>
        <v>5</v>
      </c>
      <c r="D1582" s="17" t="n">
        <f aca="false">IFERROR(ROUNDUP($C1582/3,0),"")</f>
        <v>2</v>
      </c>
      <c r="E1582" s="11" t="str">
        <f aca="false">TRIM('수출입 실적(품목별)'!B1586)</f>
        <v>39</v>
      </c>
      <c r="F1582" s="11" t="str">
        <f aca="false">TRIM('수출입 실적(품목별)'!C1586)</f>
        <v>플라스틱과 그 제품</v>
      </c>
      <c r="G1582" s="18" t="n">
        <f aca="false">IFERROR(VALUE(SUBSTITUTE(TRIM('수출입 실적(품목별)'!D1586),",","")),"")</f>
        <v>1362953.5</v>
      </c>
      <c r="H1582" s="19" t="n">
        <f aca="false">IFERROR(VALUE(SUBSTITUTE(TRIM('수출입 실적(품목별)'!E1586),",","")),"")</f>
        <v>2749744</v>
      </c>
      <c r="I1582" s="18" t="n">
        <f aca="false">IFERROR(VALUE(SUBSTITUTE(TRIM('수출입 실적(품목별)'!F1586),",","")),"")</f>
        <v>285029.1</v>
      </c>
      <c r="J1582" s="19" t="n">
        <f aca="false">IFERROR(VALUE(SUBSTITUTE(TRIM('수출입 실적(품목별)'!G1586),",","")),"")</f>
        <v>1115915</v>
      </c>
      <c r="K1582" s="19" t="n">
        <f aca="false">IFERROR(VALUE(SUBSTITUTE(TRIM('수출입 실적(품목별)'!H1586),",","")),"")</f>
        <v>1633829</v>
      </c>
    </row>
    <row r="1583" customFormat="false" ht="15" hidden="false" customHeight="true" outlineLevel="0" collapsed="false">
      <c r="A1583" s="11" t="str">
        <f aca="false">TRIM('수출입 실적(품목별)'!A1587)</f>
        <v>2025.05</v>
      </c>
      <c r="B1583" s="17" t="n">
        <f aca="false">IFERROR(VALUE(LEFT($A1583,4)),"")</f>
        <v>2025</v>
      </c>
      <c r="C1583" s="17" t="n">
        <f aca="false">IFERROR(VALUE(RIGHT($A1583,2)),"")</f>
        <v>5</v>
      </c>
      <c r="D1583" s="17" t="n">
        <f aca="false">IFERROR(ROUNDUP($C1583/3,0),"")</f>
        <v>2</v>
      </c>
      <c r="E1583" s="11" t="str">
        <f aca="false">TRIM('수출입 실적(품목별)'!B1587)</f>
        <v>40</v>
      </c>
      <c r="F1583" s="11" t="str">
        <f aca="false">TRIM('수출입 실적(품목별)'!C1587)</f>
        <v>고무와 그 제품</v>
      </c>
      <c r="G1583" s="18" t="n">
        <f aca="false">IFERROR(VALUE(SUBSTITUTE(TRIM('수출입 실적(품목별)'!D1587),",","")),"")</f>
        <v>249442</v>
      </c>
      <c r="H1583" s="19" t="n">
        <f aca="false">IFERROR(VALUE(SUBSTITUTE(TRIM('수출입 실적(품목별)'!E1587),",","")),"")</f>
        <v>675860</v>
      </c>
      <c r="I1583" s="18" t="n">
        <f aca="false">IFERROR(VALUE(SUBSTITUTE(TRIM('수출입 실적(품목별)'!F1587),",","")),"")</f>
        <v>76958.8</v>
      </c>
      <c r="J1583" s="19" t="n">
        <f aca="false">IFERROR(VALUE(SUBSTITUTE(TRIM('수출입 실적(품목별)'!G1587),",","")),"")</f>
        <v>255880</v>
      </c>
      <c r="K1583" s="19" t="n">
        <f aca="false">IFERROR(VALUE(SUBSTITUTE(TRIM('수출입 실적(품목별)'!H1587),",","")),"")</f>
        <v>419980</v>
      </c>
    </row>
    <row r="1584" customFormat="false" ht="15" hidden="false" customHeight="true" outlineLevel="0" collapsed="false">
      <c r="A1584" s="11" t="str">
        <f aca="false">TRIM('수출입 실적(품목별)'!A1588)</f>
        <v>2025.05</v>
      </c>
      <c r="B1584" s="17" t="n">
        <f aca="false">IFERROR(VALUE(LEFT($A1584,4)),"")</f>
        <v>2025</v>
      </c>
      <c r="C1584" s="17" t="n">
        <f aca="false">IFERROR(VALUE(RIGHT($A1584,2)),"")</f>
        <v>5</v>
      </c>
      <c r="D1584" s="17" t="n">
        <f aca="false">IFERROR(ROUNDUP($C1584/3,0),"")</f>
        <v>2</v>
      </c>
      <c r="E1584" s="11" t="str">
        <f aca="false">TRIM('수출입 실적(품목별)'!B1588)</f>
        <v>41</v>
      </c>
      <c r="F1584" s="11" t="str">
        <f aca="false">TRIM('수출입 실적(품목별)'!C1588)</f>
        <v>원피(모피는 제외한다)와 가죽</v>
      </c>
      <c r="G1584" s="18" t="n">
        <f aca="false">IFERROR(VALUE(SUBSTITUTE(TRIM('수출입 실적(품목별)'!D1588),",","")),"")</f>
        <v>2386.3</v>
      </c>
      <c r="H1584" s="19" t="n">
        <f aca="false">IFERROR(VALUE(SUBSTITUTE(TRIM('수출입 실적(품목별)'!E1588),",","")),"")</f>
        <v>19718</v>
      </c>
      <c r="I1584" s="18" t="n">
        <f aca="false">IFERROR(VALUE(SUBSTITUTE(TRIM('수출입 실적(품목별)'!F1588),",","")),"")</f>
        <v>7096.6</v>
      </c>
      <c r="J1584" s="19" t="n">
        <f aca="false">IFERROR(VALUE(SUBSTITUTE(TRIM('수출입 실적(품목별)'!G1588),",","")),"")</f>
        <v>19185</v>
      </c>
      <c r="K1584" s="19" t="n">
        <f aca="false">IFERROR(VALUE(SUBSTITUTE(TRIM('수출입 실적(품목별)'!H1588),",","")),"")</f>
        <v>533</v>
      </c>
    </row>
    <row r="1585" customFormat="false" ht="15" hidden="false" customHeight="true" outlineLevel="0" collapsed="false">
      <c r="A1585" s="11" t="str">
        <f aca="false">TRIM('수출입 실적(품목별)'!A1589)</f>
        <v>2025.05</v>
      </c>
      <c r="B1585" s="17" t="n">
        <f aca="false">IFERROR(VALUE(LEFT($A1585,4)),"")</f>
        <v>2025</v>
      </c>
      <c r="C1585" s="17" t="n">
        <f aca="false">IFERROR(VALUE(RIGHT($A1585,2)),"")</f>
        <v>5</v>
      </c>
      <c r="D1585" s="17" t="n">
        <f aca="false">IFERROR(ROUNDUP($C1585/3,0),"")</f>
        <v>2</v>
      </c>
      <c r="E1585" s="11" t="str">
        <f aca="false">TRIM('수출입 실적(품목별)'!B1589)</f>
        <v>42</v>
      </c>
      <c r="F1585" s="11" t="str">
        <f aca="false">TRIM('수출입 실적(품목별)'!C1589)</f>
        <v>가죽제품, 마구, 여행용구ㆍ핸드백과 이와 유사한 용기, 동물 거트(gut)[누에의 거트(gut)는 제외한다]의 제품</v>
      </c>
      <c r="G1585" s="18" t="n">
        <f aca="false">IFERROR(VALUE(SUBSTITUTE(TRIM('수출입 실적(품목별)'!D1589),",","")),"")</f>
        <v>845.8</v>
      </c>
      <c r="H1585" s="19" t="n">
        <f aca="false">IFERROR(VALUE(SUBSTITUTE(TRIM('수출입 실적(품목별)'!E1589),",","")),"")</f>
        <v>38063</v>
      </c>
      <c r="I1585" s="18" t="n">
        <f aca="false">IFERROR(VALUE(SUBSTITUTE(TRIM('수출입 실적(품목별)'!F1589),",","")),"")</f>
        <v>9045.8</v>
      </c>
      <c r="J1585" s="19" t="n">
        <f aca="false">IFERROR(VALUE(SUBSTITUTE(TRIM('수출입 실적(품목별)'!G1589),",","")),"")</f>
        <v>291477</v>
      </c>
      <c r="K1585" s="19" t="n">
        <f aca="false">IFERROR(VALUE(SUBSTITUTE(TRIM('수출입 실적(품목별)'!H1589),",","")),"")</f>
        <v>-253414</v>
      </c>
    </row>
    <row r="1586" customFormat="false" ht="15" hidden="false" customHeight="true" outlineLevel="0" collapsed="false">
      <c r="A1586" s="11" t="str">
        <f aca="false">TRIM('수출입 실적(품목별)'!A1590)</f>
        <v>2025.05</v>
      </c>
      <c r="B1586" s="17" t="n">
        <f aca="false">IFERROR(VALUE(LEFT($A1586,4)),"")</f>
        <v>2025</v>
      </c>
      <c r="C1586" s="17" t="n">
        <f aca="false">IFERROR(VALUE(RIGHT($A1586,2)),"")</f>
        <v>5</v>
      </c>
      <c r="D1586" s="17" t="n">
        <f aca="false">IFERROR(ROUNDUP($C1586/3,0),"")</f>
        <v>2</v>
      </c>
      <c r="E1586" s="11" t="str">
        <f aca="false">TRIM('수출입 실적(품목별)'!B1590)</f>
        <v>43</v>
      </c>
      <c r="F1586" s="11" t="str">
        <f aca="false">TRIM('수출입 실적(품목별)'!C1590)</f>
        <v>모피ㆍ인조모피와 이들의 제품</v>
      </c>
      <c r="G1586" s="18" t="n">
        <f aca="false">IFERROR(VALUE(SUBSTITUTE(TRIM('수출입 실적(품목별)'!D1590),",","")),"")</f>
        <v>4.8</v>
      </c>
      <c r="H1586" s="19" t="n">
        <f aca="false">IFERROR(VALUE(SUBSTITUTE(TRIM('수출입 실적(품목별)'!E1590),",","")),"")</f>
        <v>936</v>
      </c>
      <c r="I1586" s="18" t="n">
        <f aca="false">IFERROR(VALUE(SUBSTITUTE(TRIM('수출입 실적(품목별)'!F1590),",","")),"")</f>
        <v>51.9</v>
      </c>
      <c r="J1586" s="19" t="n">
        <f aca="false">IFERROR(VALUE(SUBSTITUTE(TRIM('수출입 실적(품목별)'!G1590),",","")),"")</f>
        <v>10280</v>
      </c>
      <c r="K1586" s="19" t="n">
        <f aca="false">IFERROR(VALUE(SUBSTITUTE(TRIM('수출입 실적(품목별)'!H1590),",","")),"")</f>
        <v>-9345</v>
      </c>
    </row>
    <row r="1587" customFormat="false" ht="15" hidden="false" customHeight="true" outlineLevel="0" collapsed="false">
      <c r="A1587" s="11" t="str">
        <f aca="false">TRIM('수출입 실적(품목별)'!A1591)</f>
        <v>2025.05</v>
      </c>
      <c r="B1587" s="17" t="n">
        <f aca="false">IFERROR(VALUE(LEFT($A1587,4)),"")</f>
        <v>2025</v>
      </c>
      <c r="C1587" s="17" t="n">
        <f aca="false">IFERROR(VALUE(RIGHT($A1587,2)),"")</f>
        <v>5</v>
      </c>
      <c r="D1587" s="17" t="n">
        <f aca="false">IFERROR(ROUNDUP($C1587/3,0),"")</f>
        <v>2</v>
      </c>
      <c r="E1587" s="11" t="str">
        <f aca="false">TRIM('수출입 실적(품목별)'!B1591)</f>
        <v>44</v>
      </c>
      <c r="F1587" s="11" t="str">
        <f aca="false">TRIM('수출입 실적(품목별)'!C1591)</f>
        <v>목재와 그 제품, 목탄</v>
      </c>
      <c r="G1587" s="18" t="n">
        <f aca="false">IFERROR(VALUE(SUBSTITUTE(TRIM('수출입 실적(품목별)'!D1591),",","")),"")</f>
        <v>3935.4</v>
      </c>
      <c r="H1587" s="19" t="n">
        <f aca="false">IFERROR(VALUE(SUBSTITUTE(TRIM('수출입 실적(품목별)'!E1591),",","")),"")</f>
        <v>4882</v>
      </c>
      <c r="I1587" s="18" t="n">
        <f aca="false">IFERROR(VALUE(SUBSTITUTE(TRIM('수출입 실적(품목별)'!F1591),",","")),"")</f>
        <v>759017.7</v>
      </c>
      <c r="J1587" s="19" t="n">
        <f aca="false">IFERROR(VALUE(SUBSTITUTE(TRIM('수출입 실적(품목별)'!G1591),",","")),"")</f>
        <v>232044</v>
      </c>
      <c r="K1587" s="19" t="n">
        <f aca="false">IFERROR(VALUE(SUBSTITUTE(TRIM('수출입 실적(품목별)'!H1591),",","")),"")</f>
        <v>-227161</v>
      </c>
    </row>
    <row r="1588" customFormat="false" ht="15" hidden="false" customHeight="true" outlineLevel="0" collapsed="false">
      <c r="A1588" s="11" t="str">
        <f aca="false">TRIM('수출입 실적(품목별)'!A1592)</f>
        <v>2025.05</v>
      </c>
      <c r="B1588" s="17" t="n">
        <f aca="false">IFERROR(VALUE(LEFT($A1588,4)),"")</f>
        <v>2025</v>
      </c>
      <c r="C1588" s="17" t="n">
        <f aca="false">IFERROR(VALUE(RIGHT($A1588,2)),"")</f>
        <v>5</v>
      </c>
      <c r="D1588" s="17" t="n">
        <f aca="false">IFERROR(ROUNDUP($C1588/3,0),"")</f>
        <v>2</v>
      </c>
      <c r="E1588" s="11" t="str">
        <f aca="false">TRIM('수출입 실적(품목별)'!B1592)</f>
        <v>45</v>
      </c>
      <c r="F1588" s="11" t="str">
        <f aca="false">TRIM('수출입 실적(품목별)'!C1592)</f>
        <v>코르크(cork)와 그 제품</v>
      </c>
      <c r="G1588" s="18" t="n">
        <f aca="false">IFERROR(VALUE(SUBSTITUTE(TRIM('수출입 실적(품목별)'!D1592),",","")),"")</f>
        <v>13.3</v>
      </c>
      <c r="H1588" s="19" t="n">
        <f aca="false">IFERROR(VALUE(SUBSTITUTE(TRIM('수출입 실적(품목별)'!E1592),",","")),"")</f>
        <v>71</v>
      </c>
      <c r="I1588" s="18" t="n">
        <f aca="false">IFERROR(VALUE(SUBSTITUTE(TRIM('수출입 실적(품목별)'!F1592),",","")),"")</f>
        <v>92.9</v>
      </c>
      <c r="J1588" s="19" t="n">
        <f aca="false">IFERROR(VALUE(SUBSTITUTE(TRIM('수출입 실적(품목별)'!G1592),",","")),"")</f>
        <v>377</v>
      </c>
      <c r="K1588" s="19" t="n">
        <f aca="false">IFERROR(VALUE(SUBSTITUTE(TRIM('수출입 실적(품목별)'!H1592),",","")),"")</f>
        <v>-306</v>
      </c>
    </row>
    <row r="1589" customFormat="false" ht="15" hidden="false" customHeight="true" outlineLevel="0" collapsed="false">
      <c r="A1589" s="11" t="str">
        <f aca="false">TRIM('수출입 실적(품목별)'!A1593)</f>
        <v>2025.05</v>
      </c>
      <c r="B1589" s="17" t="n">
        <f aca="false">IFERROR(VALUE(LEFT($A1589,4)),"")</f>
        <v>2025</v>
      </c>
      <c r="C1589" s="17" t="n">
        <f aca="false">IFERROR(VALUE(RIGHT($A1589,2)),"")</f>
        <v>5</v>
      </c>
      <c r="D1589" s="17" t="n">
        <f aca="false">IFERROR(ROUNDUP($C1589/3,0),"")</f>
        <v>2</v>
      </c>
      <c r="E1589" s="11" t="str">
        <f aca="false">TRIM('수출입 실적(품목별)'!B1593)</f>
        <v>46</v>
      </c>
      <c r="F1589" s="11" t="str">
        <f aca="false">TRIM('수출입 실적(품목별)'!C1593)</f>
        <v>짚ㆍ에스파르토(esparto)나 그 밖의 조물 재료의 제품, 바구니 세공물(basketware)과 지조세공물(枝條細工物)</v>
      </c>
      <c r="G1589" s="18" t="n">
        <f aca="false">IFERROR(VALUE(SUBSTITUTE(TRIM('수출입 실적(품목별)'!D1593),",","")),"")</f>
        <v>4.2</v>
      </c>
      <c r="H1589" s="19" t="n">
        <f aca="false">IFERROR(VALUE(SUBSTITUTE(TRIM('수출입 실적(품목별)'!E1593),",","")),"")</f>
        <v>162</v>
      </c>
      <c r="I1589" s="18" t="n">
        <f aca="false">IFERROR(VALUE(SUBSTITUTE(TRIM('수출입 실적(품목별)'!F1593),",","")),"")</f>
        <v>613.8</v>
      </c>
      <c r="J1589" s="19" t="n">
        <f aca="false">IFERROR(VALUE(SUBSTITUTE(TRIM('수출입 실적(품목별)'!G1593),",","")),"")</f>
        <v>3224</v>
      </c>
      <c r="K1589" s="19" t="n">
        <f aca="false">IFERROR(VALUE(SUBSTITUTE(TRIM('수출입 실적(품목별)'!H1593),",","")),"")</f>
        <v>-3062</v>
      </c>
    </row>
    <row r="1590" customFormat="false" ht="15" hidden="false" customHeight="true" outlineLevel="0" collapsed="false">
      <c r="A1590" s="11" t="str">
        <f aca="false">TRIM('수출입 실적(품목별)'!A1594)</f>
        <v>2025.05</v>
      </c>
      <c r="B1590" s="17" t="n">
        <f aca="false">IFERROR(VALUE(LEFT($A1590,4)),"")</f>
        <v>2025</v>
      </c>
      <c r="C1590" s="17" t="n">
        <f aca="false">IFERROR(VALUE(RIGHT($A1590,2)),"")</f>
        <v>5</v>
      </c>
      <c r="D1590" s="17" t="n">
        <f aca="false">IFERROR(ROUNDUP($C1590/3,0),"")</f>
        <v>2</v>
      </c>
      <c r="E1590" s="11" t="str">
        <f aca="false">TRIM('수출입 실적(품목별)'!B1594)</f>
        <v>47</v>
      </c>
      <c r="F1590" s="11" t="str">
        <f aca="false">TRIM('수출입 실적(품목별)'!C1594)</f>
        <v>목재나 그 밖의 섬유질 셀룰로오스재료의 펄프, 회수한 종이ㆍ판지[웨이스트(waste)와 스크랩(scrap)]</v>
      </c>
      <c r="G1590" s="18" t="n">
        <f aca="false">IFERROR(VALUE(SUBSTITUTE(TRIM('수출입 실적(품목별)'!D1594),",","")),"")</f>
        <v>46267.6</v>
      </c>
      <c r="H1590" s="19" t="n">
        <f aca="false">IFERROR(VALUE(SUBSTITUTE(TRIM('수출입 실적(품목별)'!E1594),",","")),"")</f>
        <v>7752</v>
      </c>
      <c r="I1590" s="18" t="n">
        <f aca="false">IFERROR(VALUE(SUBSTITUTE(TRIM('수출입 실적(품목별)'!F1594),",","")),"")</f>
        <v>223499.6</v>
      </c>
      <c r="J1590" s="19" t="n">
        <f aca="false">IFERROR(VALUE(SUBSTITUTE(TRIM('수출입 실적(품목별)'!G1594),",","")),"")</f>
        <v>119422</v>
      </c>
      <c r="K1590" s="19" t="n">
        <f aca="false">IFERROR(VALUE(SUBSTITUTE(TRIM('수출입 실적(품목별)'!H1594),",","")),"")</f>
        <v>-111671</v>
      </c>
    </row>
    <row r="1591" customFormat="false" ht="15" hidden="false" customHeight="true" outlineLevel="0" collapsed="false">
      <c r="A1591" s="11" t="str">
        <f aca="false">TRIM('수출입 실적(품목별)'!A1595)</f>
        <v>2025.05</v>
      </c>
      <c r="B1591" s="17" t="n">
        <f aca="false">IFERROR(VALUE(LEFT($A1591,4)),"")</f>
        <v>2025</v>
      </c>
      <c r="C1591" s="17" t="n">
        <f aca="false">IFERROR(VALUE(RIGHT($A1591,2)),"")</f>
        <v>5</v>
      </c>
      <c r="D1591" s="17" t="n">
        <f aca="false">IFERROR(ROUNDUP($C1591/3,0),"")</f>
        <v>2</v>
      </c>
      <c r="E1591" s="11" t="str">
        <f aca="false">TRIM('수출입 실적(품목별)'!B1595)</f>
        <v>48</v>
      </c>
      <c r="F1591" s="11" t="str">
        <f aca="false">TRIM('수출입 실적(품목별)'!C1595)</f>
        <v>종이와 판지, 제지용 펄프ㆍ종이ㆍ판지의 제품</v>
      </c>
      <c r="G1591" s="18" t="n">
        <f aca="false">IFERROR(VALUE(SUBSTITUTE(TRIM('수출입 실적(품목별)'!D1595),",","")),"")</f>
        <v>229147.3</v>
      </c>
      <c r="H1591" s="19" t="n">
        <f aca="false">IFERROR(VALUE(SUBSTITUTE(TRIM('수출입 실적(품목별)'!E1595),",","")),"")</f>
        <v>211153</v>
      </c>
      <c r="I1591" s="18" t="n">
        <f aca="false">IFERROR(VALUE(SUBSTITUTE(TRIM('수출입 실적(품목별)'!F1595),",","")),"")</f>
        <v>129781.8</v>
      </c>
      <c r="J1591" s="19" t="n">
        <f aca="false">IFERROR(VALUE(SUBSTITUTE(TRIM('수출입 실적(품목별)'!G1595),",","")),"")</f>
        <v>190379</v>
      </c>
      <c r="K1591" s="19" t="n">
        <f aca="false">IFERROR(VALUE(SUBSTITUTE(TRIM('수출입 실적(품목별)'!H1595),",","")),"")</f>
        <v>20774</v>
      </c>
    </row>
    <row r="1592" customFormat="false" ht="15" hidden="false" customHeight="true" outlineLevel="0" collapsed="false">
      <c r="A1592" s="11" t="str">
        <f aca="false">TRIM('수출입 실적(품목별)'!A1596)</f>
        <v>2025.05</v>
      </c>
      <c r="B1592" s="17" t="n">
        <f aca="false">IFERROR(VALUE(LEFT($A1592,4)),"")</f>
        <v>2025</v>
      </c>
      <c r="C1592" s="17" t="n">
        <f aca="false">IFERROR(VALUE(RIGHT($A1592,2)),"")</f>
        <v>5</v>
      </c>
      <c r="D1592" s="17" t="n">
        <f aca="false">IFERROR(ROUNDUP($C1592/3,0),"")</f>
        <v>2</v>
      </c>
      <c r="E1592" s="11" t="str">
        <f aca="false">TRIM('수출입 실적(품목별)'!B1596)</f>
        <v>49</v>
      </c>
      <c r="F1592" s="11" t="str">
        <f aca="false">TRIM('수출입 실적(품목별)'!C1596)</f>
        <v>인쇄서적ㆍ신문ㆍ회화ㆍ그 밖의 인쇄물, 수제(手製)문서ㆍ타자문서ㆍ도면</v>
      </c>
      <c r="G1592" s="18" t="n">
        <f aca="false">IFERROR(VALUE(SUBSTITUTE(TRIM('수출입 실적(품목별)'!D1596),",","")),"")</f>
        <v>5063.9</v>
      </c>
      <c r="H1592" s="19" t="n">
        <f aca="false">IFERROR(VALUE(SUBSTITUTE(TRIM('수출입 실적(품목별)'!E1596),",","")),"")</f>
        <v>40435</v>
      </c>
      <c r="I1592" s="18" t="n">
        <f aca="false">IFERROR(VALUE(SUBSTITUTE(TRIM('수출입 실적(품목별)'!F1596),",","")),"")</f>
        <v>1361</v>
      </c>
      <c r="J1592" s="19" t="n">
        <f aca="false">IFERROR(VALUE(SUBSTITUTE(TRIM('수출입 실적(품목별)'!G1596),",","")),"")</f>
        <v>23432</v>
      </c>
      <c r="K1592" s="19" t="n">
        <f aca="false">IFERROR(VALUE(SUBSTITUTE(TRIM('수출입 실적(품목별)'!H1596),",","")),"")</f>
        <v>17004</v>
      </c>
    </row>
    <row r="1593" customFormat="false" ht="15" hidden="false" customHeight="true" outlineLevel="0" collapsed="false">
      <c r="A1593" s="11" t="str">
        <f aca="false">TRIM('수출입 실적(품목별)'!A1597)</f>
        <v>2025.05</v>
      </c>
      <c r="B1593" s="17" t="n">
        <f aca="false">IFERROR(VALUE(LEFT($A1593,4)),"")</f>
        <v>2025</v>
      </c>
      <c r="C1593" s="17" t="n">
        <f aca="false">IFERROR(VALUE(RIGHT($A1593,2)),"")</f>
        <v>5</v>
      </c>
      <c r="D1593" s="17" t="n">
        <f aca="false">IFERROR(ROUNDUP($C1593/3,0),"")</f>
        <v>2</v>
      </c>
      <c r="E1593" s="11" t="str">
        <f aca="false">TRIM('수출입 실적(품목별)'!B1597)</f>
        <v>50</v>
      </c>
      <c r="F1593" s="11" t="str">
        <f aca="false">TRIM('수출입 실적(품목별)'!C1597)</f>
        <v>견</v>
      </c>
      <c r="G1593" s="18" t="n">
        <f aca="false">IFERROR(VALUE(SUBSTITUTE(TRIM('수출입 실적(품목별)'!D1597),",","")),"")</f>
        <v>7</v>
      </c>
      <c r="H1593" s="19" t="n">
        <f aca="false">IFERROR(VALUE(SUBSTITUTE(TRIM('수출입 실적(품목별)'!E1597),",","")),"")</f>
        <v>1093</v>
      </c>
      <c r="I1593" s="18" t="n">
        <f aca="false">IFERROR(VALUE(SUBSTITUTE(TRIM('수출입 실적(품목별)'!F1597),",","")),"")</f>
        <v>20.3</v>
      </c>
      <c r="J1593" s="19" t="n">
        <f aca="false">IFERROR(VALUE(SUBSTITUTE(TRIM('수출입 실적(품목별)'!G1597),",","")),"")</f>
        <v>2023</v>
      </c>
      <c r="K1593" s="19" t="n">
        <f aca="false">IFERROR(VALUE(SUBSTITUTE(TRIM('수출입 실적(품목별)'!H1597),",","")),"")</f>
        <v>-930</v>
      </c>
    </row>
    <row r="1594" customFormat="false" ht="15" hidden="false" customHeight="true" outlineLevel="0" collapsed="false">
      <c r="A1594" s="11" t="str">
        <f aca="false">TRIM('수출입 실적(품목별)'!A1598)</f>
        <v>2025.05</v>
      </c>
      <c r="B1594" s="17" t="n">
        <f aca="false">IFERROR(VALUE(LEFT($A1594,4)),"")</f>
        <v>2025</v>
      </c>
      <c r="C1594" s="17" t="n">
        <f aca="false">IFERROR(VALUE(RIGHT($A1594,2)),"")</f>
        <v>5</v>
      </c>
      <c r="D1594" s="17" t="n">
        <f aca="false">IFERROR(ROUNDUP($C1594/3,0),"")</f>
        <v>2</v>
      </c>
      <c r="E1594" s="11" t="str">
        <f aca="false">TRIM('수출입 실적(품목별)'!B1598)</f>
        <v>51</v>
      </c>
      <c r="F1594" s="11" t="str">
        <f aca="false">TRIM('수출입 실적(품목별)'!C1598)</f>
        <v>양모ㆍ동물의 부드러운 털이나 거친 털ㆍ말의 털로 만든 실과 직물</v>
      </c>
      <c r="G1594" s="18" t="n">
        <f aca="false">IFERROR(VALUE(SUBSTITUTE(TRIM('수출입 실적(품목별)'!D1598),",","")),"")</f>
        <v>295.7</v>
      </c>
      <c r="H1594" s="19" t="n">
        <f aca="false">IFERROR(VALUE(SUBSTITUTE(TRIM('수출입 실적(품목별)'!E1598),",","")),"")</f>
        <v>6844</v>
      </c>
      <c r="I1594" s="18" t="n">
        <f aca="false">IFERROR(VALUE(SUBSTITUTE(TRIM('수출입 실적(품목별)'!F1598),",","")),"")</f>
        <v>894.1</v>
      </c>
      <c r="J1594" s="19" t="n">
        <f aca="false">IFERROR(VALUE(SUBSTITUTE(TRIM('수출입 실적(품목별)'!G1598),",","")),"")</f>
        <v>22566</v>
      </c>
      <c r="K1594" s="19" t="n">
        <f aca="false">IFERROR(VALUE(SUBSTITUTE(TRIM('수출입 실적(품목별)'!H1598),",","")),"")</f>
        <v>-15722</v>
      </c>
    </row>
    <row r="1595" customFormat="false" ht="15" hidden="false" customHeight="true" outlineLevel="0" collapsed="false">
      <c r="A1595" s="11" t="str">
        <f aca="false">TRIM('수출입 실적(품목별)'!A1599)</f>
        <v>2025.05</v>
      </c>
      <c r="B1595" s="17" t="n">
        <f aca="false">IFERROR(VALUE(LEFT($A1595,4)),"")</f>
        <v>2025</v>
      </c>
      <c r="C1595" s="17" t="n">
        <f aca="false">IFERROR(VALUE(RIGHT($A1595,2)),"")</f>
        <v>5</v>
      </c>
      <c r="D1595" s="17" t="n">
        <f aca="false">IFERROR(ROUNDUP($C1595/3,0),"")</f>
        <v>2</v>
      </c>
      <c r="E1595" s="11" t="str">
        <f aca="false">TRIM('수출입 실적(품목별)'!B1599)</f>
        <v>52</v>
      </c>
      <c r="F1595" s="11" t="str">
        <f aca="false">TRIM('수출입 실적(품목별)'!C1599)</f>
        <v>면</v>
      </c>
      <c r="G1595" s="18" t="n">
        <f aca="false">IFERROR(VALUE(SUBSTITUTE(TRIM('수출입 실적(품목별)'!D1599),",","")),"")</f>
        <v>3586</v>
      </c>
      <c r="H1595" s="19" t="n">
        <f aca="false">IFERROR(VALUE(SUBSTITUTE(TRIM('수출입 실적(품목별)'!E1599),",","")),"")</f>
        <v>26928</v>
      </c>
      <c r="I1595" s="18" t="n">
        <f aca="false">IFERROR(VALUE(SUBSTITUTE(TRIM('수출입 실적(품목별)'!F1599),",","")),"")</f>
        <v>19527.3</v>
      </c>
      <c r="J1595" s="19" t="n">
        <f aca="false">IFERROR(VALUE(SUBSTITUTE(TRIM('수출입 실적(품목별)'!G1599),",","")),"")</f>
        <v>60121</v>
      </c>
      <c r="K1595" s="19" t="n">
        <f aca="false">IFERROR(VALUE(SUBSTITUTE(TRIM('수출입 실적(품목별)'!H1599),",","")),"")</f>
        <v>-33193</v>
      </c>
    </row>
    <row r="1596" customFormat="false" ht="15" hidden="false" customHeight="true" outlineLevel="0" collapsed="false">
      <c r="A1596" s="11" t="str">
        <f aca="false">TRIM('수출입 실적(품목별)'!A1600)</f>
        <v>2025.05</v>
      </c>
      <c r="B1596" s="17" t="n">
        <f aca="false">IFERROR(VALUE(LEFT($A1596,4)),"")</f>
        <v>2025</v>
      </c>
      <c r="C1596" s="17" t="n">
        <f aca="false">IFERROR(VALUE(RIGHT($A1596,2)),"")</f>
        <v>5</v>
      </c>
      <c r="D1596" s="17" t="n">
        <f aca="false">IFERROR(ROUNDUP($C1596/3,0),"")</f>
        <v>2</v>
      </c>
      <c r="E1596" s="11" t="str">
        <f aca="false">TRIM('수출입 실적(품목별)'!B1600)</f>
        <v>53</v>
      </c>
      <c r="F1596" s="11" t="str">
        <f aca="false">TRIM('수출입 실적(품목별)'!C1600)</f>
        <v>그 밖의 식물성 방직용 섬유, 종이실(paper yarn)과 종이실로 만든 직물</v>
      </c>
      <c r="G1596" s="18" t="n">
        <f aca="false">IFERROR(VALUE(SUBSTITUTE(TRIM('수출입 실적(품목별)'!D1600),",","")),"")</f>
        <v>12.9</v>
      </c>
      <c r="H1596" s="19" t="n">
        <f aca="false">IFERROR(VALUE(SUBSTITUTE(TRIM('수출입 실적(품목별)'!E1600),",","")),"")</f>
        <v>397</v>
      </c>
      <c r="I1596" s="18" t="n">
        <f aca="false">IFERROR(VALUE(SUBSTITUTE(TRIM('수출입 실적(품목별)'!F1600),",","")),"")</f>
        <v>942</v>
      </c>
      <c r="J1596" s="19" t="n">
        <f aca="false">IFERROR(VALUE(SUBSTITUTE(TRIM('수출입 실적(품목별)'!G1600),",","")),"")</f>
        <v>4062</v>
      </c>
      <c r="K1596" s="19" t="n">
        <f aca="false">IFERROR(VALUE(SUBSTITUTE(TRIM('수출입 실적(품목별)'!H1600),",","")),"")</f>
        <v>-3664</v>
      </c>
    </row>
    <row r="1597" customFormat="false" ht="15" hidden="false" customHeight="true" outlineLevel="0" collapsed="false">
      <c r="A1597" s="11" t="str">
        <f aca="false">TRIM('수출입 실적(품목별)'!A1601)</f>
        <v>2025.05</v>
      </c>
      <c r="B1597" s="17" t="n">
        <f aca="false">IFERROR(VALUE(LEFT($A1597,4)),"")</f>
        <v>2025</v>
      </c>
      <c r="C1597" s="17" t="n">
        <f aca="false">IFERROR(VALUE(RIGHT($A1597,2)),"")</f>
        <v>5</v>
      </c>
      <c r="D1597" s="17" t="n">
        <f aca="false">IFERROR(ROUNDUP($C1597/3,0),"")</f>
        <v>2</v>
      </c>
      <c r="E1597" s="11" t="str">
        <f aca="false">TRIM('수출입 실적(품목별)'!B1601)</f>
        <v>54</v>
      </c>
      <c r="F1597" s="11" t="str">
        <f aca="false">TRIM('수출입 실적(품목별)'!C1601)</f>
        <v>인조필라멘트, 인조방직용 섬유재료의 스트립(strip)과 이와 유사한 것</v>
      </c>
      <c r="G1597" s="18" t="n">
        <f aca="false">IFERROR(VALUE(SUBSTITUTE(TRIM('수출입 실적(품목별)'!D1601),",","")),"")</f>
        <v>23003.2</v>
      </c>
      <c r="H1597" s="19" t="n">
        <f aca="false">IFERROR(VALUE(SUBSTITUTE(TRIM('수출입 실적(품목별)'!E1601),",","")),"")</f>
        <v>150468</v>
      </c>
      <c r="I1597" s="18" t="n">
        <f aca="false">IFERROR(VALUE(SUBSTITUTE(TRIM('수출입 실적(품목별)'!F1601),",","")),"")</f>
        <v>40482.3</v>
      </c>
      <c r="J1597" s="19" t="n">
        <f aca="false">IFERROR(VALUE(SUBSTITUTE(TRIM('수출입 실적(품목별)'!G1601),",","")),"")</f>
        <v>83583</v>
      </c>
      <c r="K1597" s="19" t="n">
        <f aca="false">IFERROR(VALUE(SUBSTITUTE(TRIM('수출입 실적(품목별)'!H1601),",","")),"")</f>
        <v>66885</v>
      </c>
    </row>
    <row r="1598" customFormat="false" ht="15" hidden="false" customHeight="true" outlineLevel="0" collapsed="false">
      <c r="A1598" s="11" t="str">
        <f aca="false">TRIM('수출입 실적(품목별)'!A1602)</f>
        <v>2025.05</v>
      </c>
      <c r="B1598" s="17" t="n">
        <f aca="false">IFERROR(VALUE(LEFT($A1598,4)),"")</f>
        <v>2025</v>
      </c>
      <c r="C1598" s="17" t="n">
        <f aca="false">IFERROR(VALUE(RIGHT($A1598,2)),"")</f>
        <v>5</v>
      </c>
      <c r="D1598" s="17" t="n">
        <f aca="false">IFERROR(ROUNDUP($C1598/3,0),"")</f>
        <v>2</v>
      </c>
      <c r="E1598" s="11" t="str">
        <f aca="false">TRIM('수출입 실적(품목별)'!B1602)</f>
        <v>55</v>
      </c>
      <c r="F1598" s="11" t="str">
        <f aca="false">TRIM('수출입 실적(품목별)'!C1602)</f>
        <v>인조스테이플섬유</v>
      </c>
      <c r="G1598" s="18" t="n">
        <f aca="false">IFERROR(VALUE(SUBSTITUTE(TRIM('수출입 실적(품목별)'!D1602),",","")),"")</f>
        <v>52935.5</v>
      </c>
      <c r="H1598" s="19" t="n">
        <f aca="false">IFERROR(VALUE(SUBSTITUTE(TRIM('수출입 실적(품목별)'!E1602),",","")),"")</f>
        <v>99608</v>
      </c>
      <c r="I1598" s="18" t="n">
        <f aca="false">IFERROR(VALUE(SUBSTITUTE(TRIM('수출입 실적(품목별)'!F1602),",","")),"")</f>
        <v>13128.1</v>
      </c>
      <c r="J1598" s="19" t="n">
        <f aca="false">IFERROR(VALUE(SUBSTITUTE(TRIM('수출입 실적(품목별)'!G1602),",","")),"")</f>
        <v>49057</v>
      </c>
      <c r="K1598" s="19" t="n">
        <f aca="false">IFERROR(VALUE(SUBSTITUTE(TRIM('수출입 실적(품목별)'!H1602),",","")),"")</f>
        <v>50551</v>
      </c>
    </row>
    <row r="1599" customFormat="false" ht="15" hidden="false" customHeight="true" outlineLevel="0" collapsed="false">
      <c r="A1599" s="11" t="str">
        <f aca="false">TRIM('수출입 실적(품목별)'!A1603)</f>
        <v>2025.05</v>
      </c>
      <c r="B1599" s="17" t="n">
        <f aca="false">IFERROR(VALUE(LEFT($A1599,4)),"")</f>
        <v>2025</v>
      </c>
      <c r="C1599" s="17" t="n">
        <f aca="false">IFERROR(VALUE(RIGHT($A1599,2)),"")</f>
        <v>5</v>
      </c>
      <c r="D1599" s="17" t="n">
        <f aca="false">IFERROR(ROUNDUP($C1599/3,0),"")</f>
        <v>2</v>
      </c>
      <c r="E1599" s="11" t="str">
        <f aca="false">TRIM('수출입 실적(품목별)'!B1603)</f>
        <v>56</v>
      </c>
      <c r="F1599" s="11" t="str">
        <f aca="false">TRIM('수출입 실적(품목별)'!C1603)</f>
        <v>워딩(wadding)ㆍ펠트(felt)ㆍ부직포, 특수사, 끈ㆍ배의 밧줄(cordage)ㆍ로프ㆍ케이블과 이들의 제품</v>
      </c>
      <c r="G1599" s="18" t="n">
        <f aca="false">IFERROR(VALUE(SUBSTITUTE(TRIM('수출입 실적(품목별)'!D1603),",","")),"")</f>
        <v>9842.3</v>
      </c>
      <c r="H1599" s="19" t="n">
        <f aca="false">IFERROR(VALUE(SUBSTITUTE(TRIM('수출입 실적(품목별)'!E1603),",","")),"")</f>
        <v>61922</v>
      </c>
      <c r="I1599" s="18" t="n">
        <f aca="false">IFERROR(VALUE(SUBSTITUTE(TRIM('수출입 실적(품목별)'!F1603),",","")),"")</f>
        <v>19315.2</v>
      </c>
      <c r="J1599" s="19" t="n">
        <f aca="false">IFERROR(VALUE(SUBSTITUTE(TRIM('수출입 실적(품목별)'!G1603),",","")),"")</f>
        <v>58031</v>
      </c>
      <c r="K1599" s="19" t="n">
        <f aca="false">IFERROR(VALUE(SUBSTITUTE(TRIM('수출입 실적(품목별)'!H1603),",","")),"")</f>
        <v>3891</v>
      </c>
    </row>
    <row r="1600" customFormat="false" ht="15" hidden="false" customHeight="true" outlineLevel="0" collapsed="false">
      <c r="A1600" s="11" t="str">
        <f aca="false">TRIM('수출입 실적(품목별)'!A1604)</f>
        <v>2025.05</v>
      </c>
      <c r="B1600" s="17" t="n">
        <f aca="false">IFERROR(VALUE(LEFT($A1600,4)),"")</f>
        <v>2025</v>
      </c>
      <c r="C1600" s="17" t="n">
        <f aca="false">IFERROR(VALUE(RIGHT($A1600,2)),"")</f>
        <v>5</v>
      </c>
      <c r="D1600" s="17" t="n">
        <f aca="false">IFERROR(ROUNDUP($C1600/3,0),"")</f>
        <v>2</v>
      </c>
      <c r="E1600" s="11" t="str">
        <f aca="false">TRIM('수출입 실적(품목별)'!B1604)</f>
        <v>57</v>
      </c>
      <c r="F1600" s="11" t="str">
        <f aca="false">TRIM('수출입 실적(품목별)'!C1604)</f>
        <v>양탄자류와 그 밖의 방직용 섬유로 만든 바닥깔개</v>
      </c>
      <c r="G1600" s="18" t="n">
        <f aca="false">IFERROR(VALUE(SUBSTITUTE(TRIM('수출입 실적(품목별)'!D1604),",","")),"")</f>
        <v>552.4</v>
      </c>
      <c r="H1600" s="19" t="n">
        <f aca="false">IFERROR(VALUE(SUBSTITUTE(TRIM('수출입 실적(품목별)'!E1604),",","")),"")</f>
        <v>6131</v>
      </c>
      <c r="I1600" s="18" t="n">
        <f aca="false">IFERROR(VALUE(SUBSTITUTE(TRIM('수출입 실적(품목별)'!F1604),",","")),"")</f>
        <v>5541.5</v>
      </c>
      <c r="J1600" s="19" t="n">
        <f aca="false">IFERROR(VALUE(SUBSTITUTE(TRIM('수출입 실적(품목별)'!G1604),",","")),"")</f>
        <v>9095</v>
      </c>
      <c r="K1600" s="19" t="n">
        <f aca="false">IFERROR(VALUE(SUBSTITUTE(TRIM('수출입 실적(품목별)'!H1604),",","")),"")</f>
        <v>-2964</v>
      </c>
    </row>
    <row r="1601" customFormat="false" ht="15" hidden="false" customHeight="true" outlineLevel="0" collapsed="false">
      <c r="A1601" s="11" t="str">
        <f aca="false">TRIM('수출입 실적(품목별)'!A1605)</f>
        <v>2025.05</v>
      </c>
      <c r="B1601" s="17" t="n">
        <f aca="false">IFERROR(VALUE(LEFT($A1601,4)),"")</f>
        <v>2025</v>
      </c>
      <c r="C1601" s="17" t="n">
        <f aca="false">IFERROR(VALUE(RIGHT($A1601,2)),"")</f>
        <v>5</v>
      </c>
      <c r="D1601" s="17" t="n">
        <f aca="false">IFERROR(ROUNDUP($C1601/3,0),"")</f>
        <v>2</v>
      </c>
      <c r="E1601" s="11" t="str">
        <f aca="false">TRIM('수출입 실적(품목별)'!B1605)</f>
        <v>58</v>
      </c>
      <c r="F1601" s="11" t="str">
        <f aca="false">TRIM('수출입 실적(품목별)'!C1605)</f>
        <v>특수직물, 터프트(tuft)한 직물, 레이스, 태피스트리(tapestry), 트리밍(trimming), 자수천</v>
      </c>
      <c r="G1601" s="18" t="n">
        <f aca="false">IFERROR(VALUE(SUBSTITUTE(TRIM('수출입 실적(품목별)'!D1605),",","")),"")</f>
        <v>1273.4</v>
      </c>
      <c r="H1601" s="19" t="n">
        <f aca="false">IFERROR(VALUE(SUBSTITUTE(TRIM('수출입 실적(품목별)'!E1605),",","")),"")</f>
        <v>15258</v>
      </c>
      <c r="I1601" s="18" t="n">
        <f aca="false">IFERROR(VALUE(SUBSTITUTE(TRIM('수출입 실적(품목별)'!F1605),",","")),"")</f>
        <v>880.5</v>
      </c>
      <c r="J1601" s="19" t="n">
        <f aca="false">IFERROR(VALUE(SUBSTITUTE(TRIM('수출입 실적(품목별)'!G1605),",","")),"")</f>
        <v>7748</v>
      </c>
      <c r="K1601" s="19" t="n">
        <f aca="false">IFERROR(VALUE(SUBSTITUTE(TRIM('수출입 실적(품목별)'!H1605),",","")),"")</f>
        <v>7511</v>
      </c>
    </row>
    <row r="1602" customFormat="false" ht="15" hidden="false" customHeight="true" outlineLevel="0" collapsed="false">
      <c r="A1602" s="11" t="str">
        <f aca="false">TRIM('수출입 실적(품목별)'!A1606)</f>
        <v>2025.05</v>
      </c>
      <c r="B1602" s="17" t="n">
        <f aca="false">IFERROR(VALUE(LEFT($A1602,4)),"")</f>
        <v>2025</v>
      </c>
      <c r="C1602" s="17" t="n">
        <f aca="false">IFERROR(VALUE(RIGHT($A1602,2)),"")</f>
        <v>5</v>
      </c>
      <c r="D1602" s="17" t="n">
        <f aca="false">IFERROR(ROUNDUP($C1602/3,0),"")</f>
        <v>2</v>
      </c>
      <c r="E1602" s="11" t="str">
        <f aca="false">TRIM('수출입 실적(품목별)'!B1606)</f>
        <v>59</v>
      </c>
      <c r="F1602" s="11" t="str">
        <f aca="false">TRIM('수출입 실적(품목별)'!C1606)</f>
        <v>침투ㆍ도포ㆍ피복하거나 적층한 방직용 섬유의 직물, 공업용인 방직용 섬유제품</v>
      </c>
      <c r="G1602" s="18" t="n">
        <f aca="false">IFERROR(VALUE(SUBSTITUTE(TRIM('수출입 실적(품목별)'!D1606),",","")),"")</f>
        <v>8536.7</v>
      </c>
      <c r="H1602" s="19" t="n">
        <f aca="false">IFERROR(VALUE(SUBSTITUTE(TRIM('수출입 실적(품목별)'!E1606),",","")),"")</f>
        <v>88395</v>
      </c>
      <c r="I1602" s="18" t="n">
        <f aca="false">IFERROR(VALUE(SUBSTITUTE(TRIM('수출입 실적(품목별)'!F1606),",","")),"")</f>
        <v>6249.4</v>
      </c>
      <c r="J1602" s="19" t="n">
        <f aca="false">IFERROR(VALUE(SUBSTITUTE(TRIM('수출입 실적(품목별)'!G1606),",","")),"")</f>
        <v>36898</v>
      </c>
      <c r="K1602" s="19" t="n">
        <f aca="false">IFERROR(VALUE(SUBSTITUTE(TRIM('수출입 실적(품목별)'!H1606),",","")),"")</f>
        <v>51497</v>
      </c>
    </row>
    <row r="1603" customFormat="false" ht="15" hidden="false" customHeight="true" outlineLevel="0" collapsed="false">
      <c r="A1603" s="11" t="str">
        <f aca="false">TRIM('수출입 실적(품목별)'!A1607)</f>
        <v>2025.05</v>
      </c>
      <c r="B1603" s="17" t="n">
        <f aca="false">IFERROR(VALUE(LEFT($A1603,4)),"")</f>
        <v>2025</v>
      </c>
      <c r="C1603" s="17" t="n">
        <f aca="false">IFERROR(VALUE(RIGHT($A1603,2)),"")</f>
        <v>5</v>
      </c>
      <c r="D1603" s="17" t="n">
        <f aca="false">IFERROR(ROUNDUP($C1603/3,0),"")</f>
        <v>2</v>
      </c>
      <c r="E1603" s="11" t="str">
        <f aca="false">TRIM('수출입 실적(품목별)'!B1607)</f>
        <v>60</v>
      </c>
      <c r="F1603" s="11" t="str">
        <f aca="false">TRIM('수출입 실적(품목별)'!C1607)</f>
        <v>메리야스 편물과 뜨개질 편물</v>
      </c>
      <c r="G1603" s="18" t="n">
        <f aca="false">IFERROR(VALUE(SUBSTITUTE(TRIM('수출입 실적(품목별)'!D1607),",","")),"")</f>
        <v>16897.9</v>
      </c>
      <c r="H1603" s="19" t="n">
        <f aca="false">IFERROR(VALUE(SUBSTITUTE(TRIM('수출입 실적(품목별)'!E1607),",","")),"")</f>
        <v>137237</v>
      </c>
      <c r="I1603" s="18" t="n">
        <f aca="false">IFERROR(VALUE(SUBSTITUTE(TRIM('수출입 실적(품목별)'!F1607),",","")),"")</f>
        <v>2020.7</v>
      </c>
      <c r="J1603" s="19" t="n">
        <f aca="false">IFERROR(VALUE(SUBSTITUTE(TRIM('수출입 실적(품목별)'!G1607),",","")),"")</f>
        <v>9879</v>
      </c>
      <c r="K1603" s="19" t="n">
        <f aca="false">IFERROR(VALUE(SUBSTITUTE(TRIM('수출입 실적(품목별)'!H1607),",","")),"")</f>
        <v>127358</v>
      </c>
    </row>
    <row r="1604" customFormat="false" ht="15" hidden="false" customHeight="true" outlineLevel="0" collapsed="false">
      <c r="A1604" s="11" t="str">
        <f aca="false">TRIM('수출입 실적(품목별)'!A1608)</f>
        <v>2025.05</v>
      </c>
      <c r="B1604" s="17" t="n">
        <f aca="false">IFERROR(VALUE(LEFT($A1604,4)),"")</f>
        <v>2025</v>
      </c>
      <c r="C1604" s="17" t="n">
        <f aca="false">IFERROR(VALUE(RIGHT($A1604,2)),"")</f>
        <v>5</v>
      </c>
      <c r="D1604" s="17" t="n">
        <f aca="false">IFERROR(ROUNDUP($C1604/3,0),"")</f>
        <v>2</v>
      </c>
      <c r="E1604" s="11" t="str">
        <f aca="false">TRIM('수출입 실적(품목별)'!B1608)</f>
        <v>61</v>
      </c>
      <c r="F1604" s="11" t="str">
        <f aca="false">TRIM('수출입 실적(품목별)'!C1608)</f>
        <v>의류와 그 부속품(메리야스 편물이나 뜨개질 편물로 한정한다)</v>
      </c>
      <c r="G1604" s="18" t="n">
        <f aca="false">IFERROR(VALUE(SUBSTITUTE(TRIM('수출입 실적(품목별)'!D1608),",","")),"")</f>
        <v>2569</v>
      </c>
      <c r="H1604" s="19" t="n">
        <f aca="false">IFERROR(VALUE(SUBSTITUTE(TRIM('수출입 실적(품목별)'!E1608),",","")),"")</f>
        <v>73379</v>
      </c>
      <c r="I1604" s="18" t="n">
        <f aca="false">IFERROR(VALUE(SUBSTITUTE(TRIM('수출입 실적(품목별)'!F1608),",","")),"")</f>
        <v>16423.5</v>
      </c>
      <c r="J1604" s="19" t="n">
        <f aca="false">IFERROR(VALUE(SUBSTITUTE(TRIM('수출입 실적(품목별)'!G1608),",","")),"")</f>
        <v>314900</v>
      </c>
      <c r="K1604" s="19" t="n">
        <f aca="false">IFERROR(VALUE(SUBSTITUTE(TRIM('수출입 실적(품목별)'!H1608),",","")),"")</f>
        <v>-241520</v>
      </c>
    </row>
    <row r="1605" customFormat="false" ht="15" hidden="false" customHeight="true" outlineLevel="0" collapsed="false">
      <c r="A1605" s="11" t="str">
        <f aca="false">TRIM('수출입 실적(품목별)'!A1609)</f>
        <v>2025.05</v>
      </c>
      <c r="B1605" s="17" t="n">
        <f aca="false">IFERROR(VALUE(LEFT($A1605,4)),"")</f>
        <v>2025</v>
      </c>
      <c r="C1605" s="17" t="n">
        <f aca="false">IFERROR(VALUE(RIGHT($A1605,2)),"")</f>
        <v>5</v>
      </c>
      <c r="D1605" s="17" t="n">
        <f aca="false">IFERROR(ROUNDUP($C1605/3,0),"")</f>
        <v>2</v>
      </c>
      <c r="E1605" s="11" t="str">
        <f aca="false">TRIM('수출입 실적(품목별)'!B1609)</f>
        <v>62</v>
      </c>
      <c r="F1605" s="11" t="str">
        <f aca="false">TRIM('수출입 실적(품목별)'!C1609)</f>
        <v>의류와 그 부속품(메리야스 편물이나 뜨개질편물은 제외한다)</v>
      </c>
      <c r="G1605" s="18" t="n">
        <f aca="false">IFERROR(VALUE(SUBSTITUTE(TRIM('수출입 실적(품목별)'!D1609),",","")),"")</f>
        <v>3152.2</v>
      </c>
      <c r="H1605" s="19" t="n">
        <f aca="false">IFERROR(VALUE(SUBSTITUTE(TRIM('수출입 실적(품목별)'!E1609),",","")),"")</f>
        <v>82230</v>
      </c>
      <c r="I1605" s="18" t="n">
        <f aca="false">IFERROR(VALUE(SUBSTITUTE(TRIM('수출입 실적(품목별)'!F1609),",","")),"")</f>
        <v>15007.5</v>
      </c>
      <c r="J1605" s="19" t="n">
        <f aca="false">IFERROR(VALUE(SUBSTITUTE(TRIM('수출입 실적(품목별)'!G1609),",","")),"")</f>
        <v>399066</v>
      </c>
      <c r="K1605" s="19" t="n">
        <f aca="false">IFERROR(VALUE(SUBSTITUTE(TRIM('수출입 실적(품목별)'!H1609),",","")),"")</f>
        <v>-316836</v>
      </c>
    </row>
    <row r="1606" customFormat="false" ht="15" hidden="false" customHeight="true" outlineLevel="0" collapsed="false">
      <c r="A1606" s="11" t="str">
        <f aca="false">TRIM('수출입 실적(품목별)'!A1610)</f>
        <v>2025.05</v>
      </c>
      <c r="B1606" s="17" t="n">
        <f aca="false">IFERROR(VALUE(LEFT($A1606,4)),"")</f>
        <v>2025</v>
      </c>
      <c r="C1606" s="17" t="n">
        <f aca="false">IFERROR(VALUE(RIGHT($A1606,2)),"")</f>
        <v>5</v>
      </c>
      <c r="D1606" s="17" t="n">
        <f aca="false">IFERROR(ROUNDUP($C1606/3,0),"")</f>
        <v>2</v>
      </c>
      <c r="E1606" s="11" t="str">
        <f aca="false">TRIM('수출입 실적(품목별)'!B1610)</f>
        <v>63</v>
      </c>
      <c r="F1606" s="11" t="str">
        <f aca="false">TRIM('수출입 실적(품목별)'!C1610)</f>
        <v>제품으로 된 방직용 섬유의 그 밖의 물품, 세트, 사용하던 의류ㆍ방직용 섬유제품, 넝마</v>
      </c>
      <c r="G1606" s="18" t="n">
        <f aca="false">IFERROR(VALUE(SUBSTITUTE(TRIM('수출입 실적(품목별)'!D1610),",","")),"")</f>
        <v>29275.2</v>
      </c>
      <c r="H1606" s="19" t="n">
        <f aca="false">IFERROR(VALUE(SUBSTITUTE(TRIM('수출입 실적(품목별)'!E1610),",","")),"")</f>
        <v>56186</v>
      </c>
      <c r="I1606" s="18" t="n">
        <f aca="false">IFERROR(VALUE(SUBSTITUTE(TRIM('수출입 실적(품목별)'!F1610),",","")),"")</f>
        <v>25524.5</v>
      </c>
      <c r="J1606" s="19" t="n">
        <f aca="false">IFERROR(VALUE(SUBSTITUTE(TRIM('수출입 실적(품목별)'!G1610),",","")),"")</f>
        <v>116465</v>
      </c>
      <c r="K1606" s="19" t="n">
        <f aca="false">IFERROR(VALUE(SUBSTITUTE(TRIM('수출입 실적(품목별)'!H1610),",","")),"")</f>
        <v>-60279</v>
      </c>
    </row>
    <row r="1607" customFormat="false" ht="15" hidden="false" customHeight="true" outlineLevel="0" collapsed="false">
      <c r="A1607" s="11" t="str">
        <f aca="false">TRIM('수출입 실적(품목별)'!A1611)</f>
        <v>2025.05</v>
      </c>
      <c r="B1607" s="17" t="n">
        <f aca="false">IFERROR(VALUE(LEFT($A1607,4)),"")</f>
        <v>2025</v>
      </c>
      <c r="C1607" s="17" t="n">
        <f aca="false">IFERROR(VALUE(RIGHT($A1607,2)),"")</f>
        <v>5</v>
      </c>
      <c r="D1607" s="17" t="n">
        <f aca="false">IFERROR(ROUNDUP($C1607/3,0),"")</f>
        <v>2</v>
      </c>
      <c r="E1607" s="11" t="str">
        <f aca="false">TRIM('수출입 실적(품목별)'!B1611)</f>
        <v>64</v>
      </c>
      <c r="F1607" s="11" t="str">
        <f aca="false">TRIM('수출입 실적(품목별)'!C1611)</f>
        <v>신발류ㆍ각반과 이와 유사한 것, 이들의 부분품</v>
      </c>
      <c r="G1607" s="18" t="n">
        <f aca="false">IFERROR(VALUE(SUBSTITUTE(TRIM('수출입 실적(품목별)'!D1611),",","")),"")</f>
        <v>1127.6</v>
      </c>
      <c r="H1607" s="19" t="n">
        <f aca="false">IFERROR(VALUE(SUBSTITUTE(TRIM('수출입 실적(품목별)'!E1611),",","")),"")</f>
        <v>29619</v>
      </c>
      <c r="I1607" s="18" t="n">
        <f aca="false">IFERROR(VALUE(SUBSTITUTE(TRIM('수출입 실적(품목별)'!F1611),",","")),"")</f>
        <v>10825.5</v>
      </c>
      <c r="J1607" s="19" t="n">
        <f aca="false">IFERROR(VALUE(SUBSTITUTE(TRIM('수출입 실적(품목별)'!G1611),",","")),"")</f>
        <v>272904</v>
      </c>
      <c r="K1607" s="19" t="n">
        <f aca="false">IFERROR(VALUE(SUBSTITUTE(TRIM('수출입 실적(품목별)'!H1611),",","")),"")</f>
        <v>-243285</v>
      </c>
    </row>
    <row r="1608" customFormat="false" ht="15" hidden="false" customHeight="true" outlineLevel="0" collapsed="false">
      <c r="A1608" s="11" t="str">
        <f aca="false">TRIM('수출입 실적(품목별)'!A1612)</f>
        <v>2025.05</v>
      </c>
      <c r="B1608" s="17" t="n">
        <f aca="false">IFERROR(VALUE(LEFT($A1608,4)),"")</f>
        <v>2025</v>
      </c>
      <c r="C1608" s="17" t="n">
        <f aca="false">IFERROR(VALUE(RIGHT($A1608,2)),"")</f>
        <v>5</v>
      </c>
      <c r="D1608" s="17" t="n">
        <f aca="false">IFERROR(ROUNDUP($C1608/3,0),"")</f>
        <v>2</v>
      </c>
      <c r="E1608" s="11" t="str">
        <f aca="false">TRIM('수출입 실적(품목별)'!B1612)</f>
        <v>65</v>
      </c>
      <c r="F1608" s="11" t="str">
        <f aca="false">TRIM('수출입 실적(품목별)'!C1612)</f>
        <v>모자류와 그 부분품</v>
      </c>
      <c r="G1608" s="18" t="n">
        <f aca="false">IFERROR(VALUE(SUBSTITUTE(TRIM('수출입 실적(품목별)'!D1612),",","")),"")</f>
        <v>258.1</v>
      </c>
      <c r="H1608" s="19" t="n">
        <f aca="false">IFERROR(VALUE(SUBSTITUTE(TRIM('수출입 실적(품목별)'!E1612),",","")),"")</f>
        <v>10051</v>
      </c>
      <c r="I1608" s="18" t="n">
        <f aca="false">IFERROR(VALUE(SUBSTITUTE(TRIM('수출입 실적(품목별)'!F1612),",","")),"")</f>
        <v>920.2</v>
      </c>
      <c r="J1608" s="19" t="n">
        <f aca="false">IFERROR(VALUE(SUBSTITUTE(TRIM('수출입 실적(품목별)'!G1612),",","")),"")</f>
        <v>23947</v>
      </c>
      <c r="K1608" s="19" t="n">
        <f aca="false">IFERROR(VALUE(SUBSTITUTE(TRIM('수출입 실적(품목별)'!H1612),",","")),"")</f>
        <v>-13897</v>
      </c>
    </row>
    <row r="1609" customFormat="false" ht="15" hidden="false" customHeight="true" outlineLevel="0" collapsed="false">
      <c r="A1609" s="11" t="str">
        <f aca="false">TRIM('수출입 실적(품목별)'!A1613)</f>
        <v>2025.05</v>
      </c>
      <c r="B1609" s="17" t="n">
        <f aca="false">IFERROR(VALUE(LEFT($A1609,4)),"")</f>
        <v>2025</v>
      </c>
      <c r="C1609" s="17" t="n">
        <f aca="false">IFERROR(VALUE(RIGHT($A1609,2)),"")</f>
        <v>5</v>
      </c>
      <c r="D1609" s="17" t="n">
        <f aca="false">IFERROR(ROUNDUP($C1609/3,0),"")</f>
        <v>2</v>
      </c>
      <c r="E1609" s="11" t="str">
        <f aca="false">TRIM('수출입 실적(품목별)'!B1613)</f>
        <v>66</v>
      </c>
      <c r="F1609" s="11" t="str">
        <f aca="false">TRIM('수출입 실적(품목별)'!C1613)</f>
        <v>산류(傘類)ㆍ지팡이ㆍ시트스틱(seat-stick)ㆍ채찍ㆍ승마용 채찍과 이들의 부분품</v>
      </c>
      <c r="G1609" s="18" t="n">
        <f aca="false">IFERROR(VALUE(SUBSTITUTE(TRIM('수출입 실적(품목별)'!D1613),",","")),"")</f>
        <v>16</v>
      </c>
      <c r="H1609" s="19" t="n">
        <f aca="false">IFERROR(VALUE(SUBSTITUTE(TRIM('수출입 실적(품목별)'!E1613),",","")),"")</f>
        <v>210</v>
      </c>
      <c r="I1609" s="18" t="n">
        <f aca="false">IFERROR(VALUE(SUBSTITUTE(TRIM('수출입 실적(품목별)'!F1613),",","")),"")</f>
        <v>2307.4</v>
      </c>
      <c r="J1609" s="19" t="n">
        <f aca="false">IFERROR(VALUE(SUBSTITUTE(TRIM('수출입 실적(품목별)'!G1613),",","")),"")</f>
        <v>16126</v>
      </c>
      <c r="K1609" s="19" t="n">
        <f aca="false">IFERROR(VALUE(SUBSTITUTE(TRIM('수출입 실적(품목별)'!H1613),",","")),"")</f>
        <v>-15916</v>
      </c>
    </row>
    <row r="1610" customFormat="false" ht="15" hidden="false" customHeight="true" outlineLevel="0" collapsed="false">
      <c r="A1610" s="11" t="str">
        <f aca="false">TRIM('수출입 실적(품목별)'!A1614)</f>
        <v>2025.05</v>
      </c>
      <c r="B1610" s="17" t="n">
        <f aca="false">IFERROR(VALUE(LEFT($A1610,4)),"")</f>
        <v>2025</v>
      </c>
      <c r="C1610" s="17" t="n">
        <f aca="false">IFERROR(VALUE(RIGHT($A1610,2)),"")</f>
        <v>5</v>
      </c>
      <c r="D1610" s="17" t="n">
        <f aca="false">IFERROR(ROUNDUP($C1610/3,0),"")</f>
        <v>2</v>
      </c>
      <c r="E1610" s="11" t="str">
        <f aca="false">TRIM('수출입 실적(품목별)'!B1614)</f>
        <v>67</v>
      </c>
      <c r="F1610" s="11" t="str">
        <f aca="false">TRIM('수출입 실적(품목별)'!C1614)</f>
        <v>조제 깃털ㆍ솜털과 그 제품, 조화, 사람 머리카락으로 된 제품</v>
      </c>
      <c r="G1610" s="18" t="n">
        <f aca="false">IFERROR(VALUE(SUBSTITUTE(TRIM('수출입 실적(품목별)'!D1614),",","")),"")</f>
        <v>15.8</v>
      </c>
      <c r="H1610" s="19" t="n">
        <f aca="false">IFERROR(VALUE(SUBSTITUTE(TRIM('수출입 실적(품목별)'!E1614),",","")),"")</f>
        <v>1847</v>
      </c>
      <c r="I1610" s="18" t="n">
        <f aca="false">IFERROR(VALUE(SUBSTITUTE(TRIM('수출입 실적(품목별)'!F1614),",","")),"")</f>
        <v>343.2</v>
      </c>
      <c r="J1610" s="19" t="n">
        <f aca="false">IFERROR(VALUE(SUBSTITUTE(TRIM('수출입 실적(품목별)'!G1614),",","")),"")</f>
        <v>7026</v>
      </c>
      <c r="K1610" s="19" t="n">
        <f aca="false">IFERROR(VALUE(SUBSTITUTE(TRIM('수출입 실적(품목별)'!H1614),",","")),"")</f>
        <v>-5179</v>
      </c>
    </row>
    <row r="1611" customFormat="false" ht="15" hidden="false" customHeight="true" outlineLevel="0" collapsed="false">
      <c r="A1611" s="11" t="str">
        <f aca="false">TRIM('수출입 실적(품목별)'!A1615)</f>
        <v>2025.05</v>
      </c>
      <c r="B1611" s="17" t="n">
        <f aca="false">IFERROR(VALUE(LEFT($A1611,4)),"")</f>
        <v>2025</v>
      </c>
      <c r="C1611" s="17" t="n">
        <f aca="false">IFERROR(VALUE(RIGHT($A1611,2)),"")</f>
        <v>5</v>
      </c>
      <c r="D1611" s="17" t="n">
        <f aca="false">IFERROR(ROUNDUP($C1611/3,0),"")</f>
        <v>2</v>
      </c>
      <c r="E1611" s="11" t="str">
        <f aca="false">TRIM('수출입 실적(품목별)'!B1615)</f>
        <v>68</v>
      </c>
      <c r="F1611" s="11" t="str">
        <f aca="false">TRIM('수출입 실적(품목별)'!C1615)</f>
        <v>돌ㆍ플라스터(plaster)ㆍ시멘트ㆍ석면ㆍ운모나 이와 유사한 재료의 제품</v>
      </c>
      <c r="G1611" s="18" t="n">
        <f aca="false">IFERROR(VALUE(SUBSTITUTE(TRIM('수출입 실적(품목별)'!D1615),",","")),"")</f>
        <v>11816.3</v>
      </c>
      <c r="H1611" s="19" t="n">
        <f aca="false">IFERROR(VALUE(SUBSTITUTE(TRIM('수출입 실적(품목별)'!E1615),",","")),"")</f>
        <v>74339</v>
      </c>
      <c r="I1611" s="18" t="n">
        <f aca="false">IFERROR(VALUE(SUBSTITUTE(TRIM('수출입 실적(품목별)'!F1615),",","")),"")</f>
        <v>189847.9</v>
      </c>
      <c r="J1611" s="19" t="n">
        <f aca="false">IFERROR(VALUE(SUBSTITUTE(TRIM('수출입 실적(품목별)'!G1615),",","")),"")</f>
        <v>107993</v>
      </c>
      <c r="K1611" s="19" t="n">
        <f aca="false">IFERROR(VALUE(SUBSTITUTE(TRIM('수출입 실적(품목별)'!H1615),",","")),"")</f>
        <v>-33654</v>
      </c>
    </row>
    <row r="1612" customFormat="false" ht="15" hidden="false" customHeight="true" outlineLevel="0" collapsed="false">
      <c r="A1612" s="11" t="str">
        <f aca="false">TRIM('수출입 실적(품목별)'!A1616)</f>
        <v>2025.05</v>
      </c>
      <c r="B1612" s="17" t="n">
        <f aca="false">IFERROR(VALUE(LEFT($A1612,4)),"")</f>
        <v>2025</v>
      </c>
      <c r="C1612" s="17" t="n">
        <f aca="false">IFERROR(VALUE(RIGHT($A1612,2)),"")</f>
        <v>5</v>
      </c>
      <c r="D1612" s="17" t="n">
        <f aca="false">IFERROR(ROUNDUP($C1612/3,0),"")</f>
        <v>2</v>
      </c>
      <c r="E1612" s="11" t="str">
        <f aca="false">TRIM('수출입 실적(품목별)'!B1616)</f>
        <v>69</v>
      </c>
      <c r="F1612" s="11" t="str">
        <f aca="false">TRIM('수출입 실적(품목별)'!C1616)</f>
        <v>도자제품</v>
      </c>
      <c r="G1612" s="18" t="n">
        <f aca="false">IFERROR(VALUE(SUBSTITUTE(TRIM('수출입 실적(품목별)'!D1616),",","")),"")</f>
        <v>2414.3</v>
      </c>
      <c r="H1612" s="19" t="n">
        <f aca="false">IFERROR(VALUE(SUBSTITUTE(TRIM('수출입 실적(품목별)'!E1616),",","")),"")</f>
        <v>29043</v>
      </c>
      <c r="I1612" s="18" t="n">
        <f aca="false">IFERROR(VALUE(SUBSTITUTE(TRIM('수출입 실적(품목별)'!F1616),",","")),"")</f>
        <v>141083.9</v>
      </c>
      <c r="J1612" s="19" t="n">
        <f aca="false">IFERROR(VALUE(SUBSTITUTE(TRIM('수출입 실적(품목별)'!G1616),",","")),"")</f>
        <v>129874</v>
      </c>
      <c r="K1612" s="19" t="n">
        <f aca="false">IFERROR(VALUE(SUBSTITUTE(TRIM('수출입 실적(품목별)'!H1616),",","")),"")</f>
        <v>-100830</v>
      </c>
    </row>
    <row r="1613" customFormat="false" ht="15" hidden="false" customHeight="true" outlineLevel="0" collapsed="false">
      <c r="A1613" s="11" t="str">
        <f aca="false">TRIM('수출입 실적(품목별)'!A1617)</f>
        <v>2025.05</v>
      </c>
      <c r="B1613" s="17" t="n">
        <f aca="false">IFERROR(VALUE(LEFT($A1613,4)),"")</f>
        <v>2025</v>
      </c>
      <c r="C1613" s="17" t="n">
        <f aca="false">IFERROR(VALUE(RIGHT($A1613,2)),"")</f>
        <v>5</v>
      </c>
      <c r="D1613" s="17" t="n">
        <f aca="false">IFERROR(ROUNDUP($C1613/3,0),"")</f>
        <v>2</v>
      </c>
      <c r="E1613" s="11" t="str">
        <f aca="false">TRIM('수출입 실적(품목별)'!B1617)</f>
        <v>70</v>
      </c>
      <c r="F1613" s="11" t="str">
        <f aca="false">TRIM('수출입 실적(품목별)'!C1617)</f>
        <v>유리와 유리제품</v>
      </c>
      <c r="G1613" s="18" t="n">
        <f aca="false">IFERROR(VALUE(SUBSTITUTE(TRIM('수출입 실적(품목별)'!D1617),",","")),"")</f>
        <v>29000.7</v>
      </c>
      <c r="H1613" s="19" t="n">
        <f aca="false">IFERROR(VALUE(SUBSTITUTE(TRIM('수출입 실적(품목별)'!E1617),",","")),"")</f>
        <v>165451</v>
      </c>
      <c r="I1613" s="18" t="n">
        <f aca="false">IFERROR(VALUE(SUBSTITUTE(TRIM('수출입 실적(품목별)'!F1617),",","")),"")</f>
        <v>79214.1</v>
      </c>
      <c r="J1613" s="19" t="n">
        <f aca="false">IFERROR(VALUE(SUBSTITUTE(TRIM('수출입 실적(품목별)'!G1617),",","")),"")</f>
        <v>211390</v>
      </c>
      <c r="K1613" s="19" t="n">
        <f aca="false">IFERROR(VALUE(SUBSTITUTE(TRIM('수출입 실적(품목별)'!H1617),",","")),"")</f>
        <v>-45940</v>
      </c>
    </row>
    <row r="1614" customFormat="false" ht="15" hidden="false" customHeight="true" outlineLevel="0" collapsed="false">
      <c r="A1614" s="11" t="str">
        <f aca="false">TRIM('수출입 실적(품목별)'!A1618)</f>
        <v>2025.05</v>
      </c>
      <c r="B1614" s="17" t="n">
        <f aca="false">IFERROR(VALUE(LEFT($A1614,4)),"")</f>
        <v>2025</v>
      </c>
      <c r="C1614" s="17" t="n">
        <f aca="false">IFERROR(VALUE(RIGHT($A1614,2)),"")</f>
        <v>5</v>
      </c>
      <c r="D1614" s="17" t="n">
        <f aca="false">IFERROR(ROUNDUP($C1614/3,0),"")</f>
        <v>2</v>
      </c>
      <c r="E1614" s="11" t="str">
        <f aca="false">TRIM('수출입 실적(품목별)'!B1618)</f>
        <v>71</v>
      </c>
      <c r="F1614" s="11" t="str">
        <f aca="false">TRIM('수출입 실적(품목별)'!C1618)</f>
        <v>천연진주ㆍ양식진주ㆍ귀석ㆍ반귀석ㆍ귀금속ㆍ귀금속을 입힌 금속과 이들의 제품, 모조 신변장식용품, 주화</v>
      </c>
      <c r="G1614" s="18" t="n">
        <f aca="false">IFERROR(VALUE(SUBSTITUTE(TRIM('수출입 실적(품목별)'!D1618),",","")),"")</f>
        <v>672.6</v>
      </c>
      <c r="H1614" s="19" t="n">
        <f aca="false">IFERROR(VALUE(SUBSTITUTE(TRIM('수출입 실적(품목별)'!E1618),",","")),"")</f>
        <v>627794</v>
      </c>
      <c r="I1614" s="18" t="n">
        <f aca="false">IFERROR(VALUE(SUBSTITUTE(TRIM('수출입 실적(품목별)'!F1618),",","")),"")</f>
        <v>1290.8</v>
      </c>
      <c r="J1614" s="19" t="n">
        <f aca="false">IFERROR(VALUE(SUBSTITUTE(TRIM('수출입 실적(품목별)'!G1618),",","")),"")</f>
        <v>681186</v>
      </c>
      <c r="K1614" s="19" t="n">
        <f aca="false">IFERROR(VALUE(SUBSTITUTE(TRIM('수출입 실적(품목별)'!H1618),",","")),"")</f>
        <v>-53392</v>
      </c>
    </row>
    <row r="1615" customFormat="false" ht="15" hidden="false" customHeight="true" outlineLevel="0" collapsed="false">
      <c r="A1615" s="11" t="str">
        <f aca="false">TRIM('수출입 실적(품목별)'!A1619)</f>
        <v>2025.05</v>
      </c>
      <c r="B1615" s="17" t="n">
        <f aca="false">IFERROR(VALUE(LEFT($A1615,4)),"")</f>
        <v>2025</v>
      </c>
      <c r="C1615" s="17" t="n">
        <f aca="false">IFERROR(VALUE(RIGHT($A1615,2)),"")</f>
        <v>5</v>
      </c>
      <c r="D1615" s="17" t="n">
        <f aca="false">IFERROR(ROUNDUP($C1615/3,0),"")</f>
        <v>2</v>
      </c>
      <c r="E1615" s="11" t="str">
        <f aca="false">TRIM('수출입 실적(품목별)'!B1619)</f>
        <v>72</v>
      </c>
      <c r="F1615" s="11" t="str">
        <f aca="false">TRIM('수출입 실적(품목별)'!C1619)</f>
        <v>철강</v>
      </c>
      <c r="G1615" s="18" t="n">
        <f aca="false">IFERROR(VALUE(SUBSTITUTE(TRIM('수출입 실적(품목별)'!D1619),",","")),"")</f>
        <v>2220896.5</v>
      </c>
      <c r="H1615" s="19" t="n">
        <f aca="false">IFERROR(VALUE(SUBSTITUTE(TRIM('수출입 실적(품목별)'!E1619),",","")),"")</f>
        <v>1927363</v>
      </c>
      <c r="I1615" s="18" t="n">
        <f aca="false">IFERROR(VALUE(SUBSTITUTE(TRIM('수출입 실적(품목별)'!F1619),",","")),"")</f>
        <v>1248355.4</v>
      </c>
      <c r="J1615" s="19" t="n">
        <f aca="false">IFERROR(VALUE(SUBSTITUTE(TRIM('수출입 실적(품목별)'!G1619),",","")),"")</f>
        <v>988661</v>
      </c>
      <c r="K1615" s="19" t="n">
        <f aca="false">IFERROR(VALUE(SUBSTITUTE(TRIM('수출입 실적(품목별)'!H1619),",","")),"")</f>
        <v>938702</v>
      </c>
    </row>
    <row r="1616" customFormat="false" ht="15" hidden="false" customHeight="true" outlineLevel="0" collapsed="false">
      <c r="A1616" s="11" t="str">
        <f aca="false">TRIM('수출입 실적(품목별)'!A1620)</f>
        <v>2025.05</v>
      </c>
      <c r="B1616" s="17" t="n">
        <f aca="false">IFERROR(VALUE(LEFT($A1616,4)),"")</f>
        <v>2025</v>
      </c>
      <c r="C1616" s="17" t="n">
        <f aca="false">IFERROR(VALUE(RIGHT($A1616,2)),"")</f>
        <v>5</v>
      </c>
      <c r="D1616" s="17" t="n">
        <f aca="false">IFERROR(ROUNDUP($C1616/3,0),"")</f>
        <v>2</v>
      </c>
      <c r="E1616" s="11" t="str">
        <f aca="false">TRIM('수출입 실적(품목별)'!B1620)</f>
        <v>73</v>
      </c>
      <c r="F1616" s="11" t="str">
        <f aca="false">TRIM('수출입 실적(품목별)'!C1620)</f>
        <v>철강의 제품</v>
      </c>
      <c r="G1616" s="18" t="n">
        <f aca="false">IFERROR(VALUE(SUBSTITUTE(TRIM('수출입 실적(품목별)'!D1620),",","")),"")</f>
        <v>273035.7</v>
      </c>
      <c r="H1616" s="19" t="n">
        <f aca="false">IFERROR(VALUE(SUBSTITUTE(TRIM('수출입 실적(품목별)'!E1620),",","")),"")</f>
        <v>738713</v>
      </c>
      <c r="I1616" s="18" t="n">
        <f aca="false">IFERROR(VALUE(SUBSTITUTE(TRIM('수출입 실적(품목별)'!F1620),",","")),"")</f>
        <v>246500.2</v>
      </c>
      <c r="J1616" s="19" t="n">
        <f aca="false">IFERROR(VALUE(SUBSTITUTE(TRIM('수출입 실적(품목별)'!G1620),",","")),"")</f>
        <v>637777</v>
      </c>
      <c r="K1616" s="19" t="n">
        <f aca="false">IFERROR(VALUE(SUBSTITUTE(TRIM('수출입 실적(품목별)'!H1620),",","")),"")</f>
        <v>100936</v>
      </c>
    </row>
    <row r="1617" customFormat="false" ht="15" hidden="false" customHeight="true" outlineLevel="0" collapsed="false">
      <c r="A1617" s="11" t="str">
        <f aca="false">TRIM('수출입 실적(품목별)'!A1621)</f>
        <v>2025.05</v>
      </c>
      <c r="B1617" s="17" t="n">
        <f aca="false">IFERROR(VALUE(LEFT($A1617,4)),"")</f>
        <v>2025</v>
      </c>
      <c r="C1617" s="17" t="n">
        <f aca="false">IFERROR(VALUE(RIGHT($A1617,2)),"")</f>
        <v>5</v>
      </c>
      <c r="D1617" s="17" t="n">
        <f aca="false">IFERROR(ROUNDUP($C1617/3,0),"")</f>
        <v>2</v>
      </c>
      <c r="E1617" s="11" t="str">
        <f aca="false">TRIM('수출입 실적(품목별)'!B1621)</f>
        <v>74</v>
      </c>
      <c r="F1617" s="11" t="str">
        <f aca="false">TRIM('수출입 실적(품목별)'!C1621)</f>
        <v>구리와 그 제품</v>
      </c>
      <c r="G1617" s="18" t="n">
        <f aca="false">IFERROR(VALUE(SUBSTITUTE(TRIM('수출입 실적(품목별)'!D1621),",","")),"")</f>
        <v>57348.5</v>
      </c>
      <c r="H1617" s="19" t="n">
        <f aca="false">IFERROR(VALUE(SUBSTITUTE(TRIM('수출입 실적(품목별)'!E1621),",","")),"")</f>
        <v>574017</v>
      </c>
      <c r="I1617" s="18" t="n">
        <f aca="false">IFERROR(VALUE(SUBSTITUTE(TRIM('수출입 실적(품목별)'!F1621),",","")),"")</f>
        <v>65279.2</v>
      </c>
      <c r="J1617" s="19" t="n">
        <f aca="false">IFERROR(VALUE(SUBSTITUTE(TRIM('수출입 실적(품목별)'!G1621),",","")),"")</f>
        <v>643459</v>
      </c>
      <c r="K1617" s="19" t="n">
        <f aca="false">IFERROR(VALUE(SUBSTITUTE(TRIM('수출입 실적(품목별)'!H1621),",","")),"")</f>
        <v>-69442</v>
      </c>
    </row>
    <row r="1618" customFormat="false" ht="15" hidden="false" customHeight="true" outlineLevel="0" collapsed="false">
      <c r="A1618" s="11" t="str">
        <f aca="false">TRIM('수출입 실적(품목별)'!A1622)</f>
        <v>2025.05</v>
      </c>
      <c r="B1618" s="17" t="n">
        <f aca="false">IFERROR(VALUE(LEFT($A1618,4)),"")</f>
        <v>2025</v>
      </c>
      <c r="C1618" s="17" t="n">
        <f aca="false">IFERROR(VALUE(RIGHT($A1618,2)),"")</f>
        <v>5</v>
      </c>
      <c r="D1618" s="17" t="n">
        <f aca="false">IFERROR(ROUNDUP($C1618/3,0),"")</f>
        <v>2</v>
      </c>
      <c r="E1618" s="11" t="str">
        <f aca="false">TRIM('수출입 실적(품목별)'!B1622)</f>
        <v>75</v>
      </c>
      <c r="F1618" s="11" t="str">
        <f aca="false">TRIM('수출입 실적(품목별)'!C1622)</f>
        <v>니켈과 그 제품</v>
      </c>
      <c r="G1618" s="18" t="n">
        <f aca="false">IFERROR(VALUE(SUBSTITUTE(TRIM('수출입 실적(품목별)'!D1622),",","")),"")</f>
        <v>1064</v>
      </c>
      <c r="H1618" s="19" t="n">
        <f aca="false">IFERROR(VALUE(SUBSTITUTE(TRIM('수출입 실적(품목별)'!E1622),",","")),"")</f>
        <v>19365</v>
      </c>
      <c r="I1618" s="18" t="n">
        <f aca="false">IFERROR(VALUE(SUBSTITUTE(TRIM('수출입 실적(품목별)'!F1622),",","")),"")</f>
        <v>5086.5</v>
      </c>
      <c r="J1618" s="19" t="n">
        <f aca="false">IFERROR(VALUE(SUBSTITUTE(TRIM('수출입 실적(품목별)'!G1622),",","")),"")</f>
        <v>107626</v>
      </c>
      <c r="K1618" s="19" t="n">
        <f aca="false">IFERROR(VALUE(SUBSTITUTE(TRIM('수출입 실적(품목별)'!H1622),",","")),"")</f>
        <v>-88261</v>
      </c>
    </row>
    <row r="1619" customFormat="false" ht="15" hidden="false" customHeight="true" outlineLevel="0" collapsed="false">
      <c r="A1619" s="11" t="str">
        <f aca="false">TRIM('수출입 실적(품목별)'!A1623)</f>
        <v>2025.05</v>
      </c>
      <c r="B1619" s="17" t="n">
        <f aca="false">IFERROR(VALUE(LEFT($A1619,4)),"")</f>
        <v>2025</v>
      </c>
      <c r="C1619" s="17" t="n">
        <f aca="false">IFERROR(VALUE(RIGHT($A1619,2)),"")</f>
        <v>5</v>
      </c>
      <c r="D1619" s="17" t="n">
        <f aca="false">IFERROR(ROUNDUP($C1619/3,0),"")</f>
        <v>2</v>
      </c>
      <c r="E1619" s="11" t="str">
        <f aca="false">TRIM('수출입 실적(품목별)'!B1623)</f>
        <v>76</v>
      </c>
      <c r="F1619" s="11" t="str">
        <f aca="false">TRIM('수출입 실적(품목별)'!C1623)</f>
        <v>알루미늄과 그 제품</v>
      </c>
      <c r="G1619" s="18" t="n">
        <f aca="false">IFERROR(VALUE(SUBSTITUTE(TRIM('수출입 실적(품목별)'!D1623),",","")),"")</f>
        <v>107220.9</v>
      </c>
      <c r="H1619" s="19" t="n">
        <f aca="false">IFERROR(VALUE(SUBSTITUTE(TRIM('수출입 실적(품목별)'!E1623),",","")),"")</f>
        <v>420446</v>
      </c>
      <c r="I1619" s="18" t="n">
        <f aca="false">IFERROR(VALUE(SUBSTITUTE(TRIM('수출입 실적(품목별)'!F1623),",","")),"")</f>
        <v>274127</v>
      </c>
      <c r="J1619" s="19" t="n">
        <f aca="false">IFERROR(VALUE(SUBSTITUTE(TRIM('수출입 실적(품목별)'!G1623),",","")),"")</f>
        <v>823395</v>
      </c>
      <c r="K1619" s="19" t="n">
        <f aca="false">IFERROR(VALUE(SUBSTITUTE(TRIM('수출입 실적(품목별)'!H1623),",","")),"")</f>
        <v>-402949</v>
      </c>
    </row>
    <row r="1620" customFormat="false" ht="15" hidden="false" customHeight="true" outlineLevel="0" collapsed="false">
      <c r="A1620" s="11" t="str">
        <f aca="false">TRIM('수출입 실적(품목별)'!A1624)</f>
        <v>2025.05</v>
      </c>
      <c r="B1620" s="17" t="n">
        <f aca="false">IFERROR(VALUE(LEFT($A1620,4)),"")</f>
        <v>2025</v>
      </c>
      <c r="C1620" s="17" t="n">
        <f aca="false">IFERROR(VALUE(RIGHT($A1620,2)),"")</f>
        <v>5</v>
      </c>
      <c r="D1620" s="17" t="n">
        <f aca="false">IFERROR(ROUNDUP($C1620/3,0),"")</f>
        <v>2</v>
      </c>
      <c r="E1620" s="11" t="str">
        <f aca="false">TRIM('수출입 실적(품목별)'!B1624)</f>
        <v>78</v>
      </c>
      <c r="F1620" s="11" t="str">
        <f aca="false">TRIM('수출입 실적(품목별)'!C1624)</f>
        <v>납과 그 제품</v>
      </c>
      <c r="G1620" s="18" t="n">
        <f aca="false">IFERROR(VALUE(SUBSTITUTE(TRIM('수출입 실적(품목별)'!D1624),",","")),"")</f>
        <v>20900.8</v>
      </c>
      <c r="H1620" s="19" t="n">
        <f aca="false">IFERROR(VALUE(SUBSTITUTE(TRIM('수출입 실적(품목별)'!E1624),",","")),"")</f>
        <v>46441</v>
      </c>
      <c r="I1620" s="18" t="n">
        <f aca="false">IFERROR(VALUE(SUBSTITUTE(TRIM('수출입 실적(품목별)'!F1624),",","")),"")</f>
        <v>15911.6</v>
      </c>
      <c r="J1620" s="19" t="n">
        <f aca="false">IFERROR(VALUE(SUBSTITUTE(TRIM('수출입 실적(품목별)'!G1624),",","")),"")</f>
        <v>36137</v>
      </c>
      <c r="K1620" s="19" t="n">
        <f aca="false">IFERROR(VALUE(SUBSTITUTE(TRIM('수출입 실적(품목별)'!H1624),",","")),"")</f>
        <v>10304</v>
      </c>
    </row>
    <row r="1621" customFormat="false" ht="15" hidden="false" customHeight="true" outlineLevel="0" collapsed="false">
      <c r="A1621" s="11" t="str">
        <f aca="false">TRIM('수출입 실적(품목별)'!A1625)</f>
        <v>2025.05</v>
      </c>
      <c r="B1621" s="17" t="n">
        <f aca="false">IFERROR(VALUE(LEFT($A1621,4)),"")</f>
        <v>2025</v>
      </c>
      <c r="C1621" s="17" t="n">
        <f aca="false">IFERROR(VALUE(RIGHT($A1621,2)),"")</f>
        <v>5</v>
      </c>
      <c r="D1621" s="17" t="n">
        <f aca="false">IFERROR(ROUNDUP($C1621/3,0),"")</f>
        <v>2</v>
      </c>
      <c r="E1621" s="11" t="str">
        <f aca="false">TRIM('수출입 실적(품목별)'!B1625)</f>
        <v>79</v>
      </c>
      <c r="F1621" s="11" t="str">
        <f aca="false">TRIM('수출입 실적(품목별)'!C1625)</f>
        <v>아연과 그 제품</v>
      </c>
      <c r="G1621" s="18" t="n">
        <f aca="false">IFERROR(VALUE(SUBSTITUTE(TRIM('수출입 실적(품목별)'!D1625),",","")),"")</f>
        <v>26175.9</v>
      </c>
      <c r="H1621" s="19" t="n">
        <f aca="false">IFERROR(VALUE(SUBSTITUTE(TRIM('수출입 실적(품목별)'!E1625),",","")),"")</f>
        <v>74307</v>
      </c>
      <c r="I1621" s="18" t="n">
        <f aca="false">IFERROR(VALUE(SUBSTITUTE(TRIM('수출입 실적(품목별)'!F1625),",","")),"")</f>
        <v>2072.1</v>
      </c>
      <c r="J1621" s="19" t="n">
        <f aca="false">IFERROR(VALUE(SUBSTITUTE(TRIM('수출입 실적(품목별)'!G1625),",","")),"")</f>
        <v>7026</v>
      </c>
      <c r="K1621" s="19" t="n">
        <f aca="false">IFERROR(VALUE(SUBSTITUTE(TRIM('수출입 실적(품목별)'!H1625),",","")),"")</f>
        <v>67282</v>
      </c>
    </row>
    <row r="1622" customFormat="false" ht="15" hidden="false" customHeight="true" outlineLevel="0" collapsed="false">
      <c r="A1622" s="11" t="str">
        <f aca="false">TRIM('수출입 실적(품목별)'!A1626)</f>
        <v>2025.05</v>
      </c>
      <c r="B1622" s="17" t="n">
        <f aca="false">IFERROR(VALUE(LEFT($A1622,4)),"")</f>
        <v>2025</v>
      </c>
      <c r="C1622" s="17" t="n">
        <f aca="false">IFERROR(VALUE(RIGHT($A1622,2)),"")</f>
        <v>5</v>
      </c>
      <c r="D1622" s="17" t="n">
        <f aca="false">IFERROR(ROUNDUP($C1622/3,0),"")</f>
        <v>2</v>
      </c>
      <c r="E1622" s="11" t="str">
        <f aca="false">TRIM('수출입 실적(품목별)'!B1626)</f>
        <v>80</v>
      </c>
      <c r="F1622" s="11" t="str">
        <f aca="false">TRIM('수출입 실적(품목별)'!C1626)</f>
        <v>주석과 그 제품</v>
      </c>
      <c r="G1622" s="18" t="n">
        <f aca="false">IFERROR(VALUE(SUBSTITUTE(TRIM('수출입 실적(품목별)'!D1626),",","")),"")</f>
        <v>229.5</v>
      </c>
      <c r="H1622" s="19" t="n">
        <f aca="false">IFERROR(VALUE(SUBSTITUTE(TRIM('수출입 실적(품목별)'!E1626),",","")),"")</f>
        <v>7511</v>
      </c>
      <c r="I1622" s="18" t="n">
        <f aca="false">IFERROR(VALUE(SUBSTITUTE(TRIM('수출입 실적(품목별)'!F1626),",","")),"")</f>
        <v>1185</v>
      </c>
      <c r="J1622" s="19" t="n">
        <f aca="false">IFERROR(VALUE(SUBSTITUTE(TRIM('수출입 실적(품목별)'!G1626),",","")),"")</f>
        <v>41207</v>
      </c>
      <c r="K1622" s="19" t="n">
        <f aca="false">IFERROR(VALUE(SUBSTITUTE(TRIM('수출입 실적(품목별)'!H1626),",","")),"")</f>
        <v>-33696</v>
      </c>
    </row>
    <row r="1623" customFormat="false" ht="15" hidden="false" customHeight="true" outlineLevel="0" collapsed="false">
      <c r="A1623" s="11" t="str">
        <f aca="false">TRIM('수출입 실적(품목별)'!A1627)</f>
        <v>2025.05</v>
      </c>
      <c r="B1623" s="17" t="n">
        <f aca="false">IFERROR(VALUE(LEFT($A1623,4)),"")</f>
        <v>2025</v>
      </c>
      <c r="C1623" s="17" t="n">
        <f aca="false">IFERROR(VALUE(RIGHT($A1623,2)),"")</f>
        <v>5</v>
      </c>
      <c r="D1623" s="17" t="n">
        <f aca="false">IFERROR(ROUNDUP($C1623/3,0),"")</f>
        <v>2</v>
      </c>
      <c r="E1623" s="11" t="str">
        <f aca="false">TRIM('수출입 실적(품목별)'!B1627)</f>
        <v>81</v>
      </c>
      <c r="F1623" s="11" t="str">
        <f aca="false">TRIM('수출입 실적(품목별)'!C1627)</f>
        <v>그 밖의 비금속(卑金屬), 서멧(cermet), 이들의 제품</v>
      </c>
      <c r="G1623" s="18" t="n">
        <f aca="false">IFERROR(VALUE(SUBSTITUTE(TRIM('수출입 실적(품목별)'!D1627),",","")),"")</f>
        <v>2441.9</v>
      </c>
      <c r="H1623" s="19" t="n">
        <f aca="false">IFERROR(VALUE(SUBSTITUTE(TRIM('수출입 실적(품목별)'!E1627),",","")),"")</f>
        <v>43598</v>
      </c>
      <c r="I1623" s="18" t="n">
        <f aca="false">IFERROR(VALUE(SUBSTITUTE(TRIM('수출입 실적(품목별)'!F1627),",","")),"")</f>
        <v>14209.1</v>
      </c>
      <c r="J1623" s="19" t="n">
        <f aca="false">IFERROR(VALUE(SUBSTITUTE(TRIM('수출입 실적(품목별)'!G1627),",","")),"")</f>
        <v>129378</v>
      </c>
      <c r="K1623" s="19" t="n">
        <f aca="false">IFERROR(VALUE(SUBSTITUTE(TRIM('수출입 실적(품목별)'!H1627),",","")),"")</f>
        <v>-85780</v>
      </c>
    </row>
    <row r="1624" customFormat="false" ht="15" hidden="false" customHeight="true" outlineLevel="0" collapsed="false">
      <c r="A1624" s="11" t="str">
        <f aca="false">TRIM('수출입 실적(품목별)'!A1628)</f>
        <v>2025.05</v>
      </c>
      <c r="B1624" s="17" t="n">
        <f aca="false">IFERROR(VALUE(LEFT($A1624,4)),"")</f>
        <v>2025</v>
      </c>
      <c r="C1624" s="17" t="n">
        <f aca="false">IFERROR(VALUE(RIGHT($A1624,2)),"")</f>
        <v>5</v>
      </c>
      <c r="D1624" s="17" t="n">
        <f aca="false">IFERROR(ROUNDUP($C1624/3,0),"")</f>
        <v>2</v>
      </c>
      <c r="E1624" s="11" t="str">
        <f aca="false">TRIM('수출입 실적(품목별)'!B1628)</f>
        <v>82</v>
      </c>
      <c r="F1624" s="11" t="str">
        <f aca="false">TRIM('수출입 실적(품목별)'!C1628)</f>
        <v>비금속(卑金屬)으로 만든 공구ㆍ도구ㆍ칼붙이ㆍ스푼ㆍ포크, 이들의 부분품</v>
      </c>
      <c r="G1624" s="18" t="n">
        <f aca="false">IFERROR(VALUE(SUBSTITUTE(TRIM('수출입 실적(품목별)'!D1628),",","")),"")</f>
        <v>5125.8</v>
      </c>
      <c r="H1624" s="19" t="n">
        <f aca="false">IFERROR(VALUE(SUBSTITUTE(TRIM('수출입 실적(품목별)'!E1628),",","")),"")</f>
        <v>132859</v>
      </c>
      <c r="I1624" s="18" t="n">
        <f aca="false">IFERROR(VALUE(SUBSTITUTE(TRIM('수출입 실적(품목별)'!F1628),",","")),"")</f>
        <v>5918.8</v>
      </c>
      <c r="J1624" s="19" t="n">
        <f aca="false">IFERROR(VALUE(SUBSTITUTE(TRIM('수출입 실적(품목별)'!G1628),",","")),"")</f>
        <v>90286</v>
      </c>
      <c r="K1624" s="19" t="n">
        <f aca="false">IFERROR(VALUE(SUBSTITUTE(TRIM('수출입 실적(품목별)'!H1628),",","")),"")</f>
        <v>42573</v>
      </c>
    </row>
    <row r="1625" customFormat="false" ht="15" hidden="false" customHeight="true" outlineLevel="0" collapsed="false">
      <c r="A1625" s="11" t="str">
        <f aca="false">TRIM('수출입 실적(품목별)'!A1629)</f>
        <v>2025.05</v>
      </c>
      <c r="B1625" s="17" t="n">
        <f aca="false">IFERROR(VALUE(LEFT($A1625,4)),"")</f>
        <v>2025</v>
      </c>
      <c r="C1625" s="17" t="n">
        <f aca="false">IFERROR(VALUE(RIGHT($A1625,2)),"")</f>
        <v>5</v>
      </c>
      <c r="D1625" s="17" t="n">
        <f aca="false">IFERROR(ROUNDUP($C1625/3,0),"")</f>
        <v>2</v>
      </c>
      <c r="E1625" s="11" t="str">
        <f aca="false">TRIM('수출입 실적(품목별)'!B1629)</f>
        <v>83</v>
      </c>
      <c r="F1625" s="11" t="str">
        <f aca="false">TRIM('수출입 실적(품목별)'!C1629)</f>
        <v>비금속(卑金屬)으로 만든 각종 제품</v>
      </c>
      <c r="G1625" s="18" t="n">
        <f aca="false">IFERROR(VALUE(SUBSTITUTE(TRIM('수출입 실적(품목별)'!D1629),",","")),"")</f>
        <v>23526.4</v>
      </c>
      <c r="H1625" s="19" t="n">
        <f aca="false">IFERROR(VALUE(SUBSTITUTE(TRIM('수출입 실적(품목별)'!E1629),",","")),"")</f>
        <v>135520</v>
      </c>
      <c r="I1625" s="18" t="n">
        <f aca="false">IFERROR(VALUE(SUBSTITUTE(TRIM('수출입 실적(품목별)'!F1629),",","")),"")</f>
        <v>11376.2</v>
      </c>
      <c r="J1625" s="19" t="n">
        <f aca="false">IFERROR(VALUE(SUBSTITUTE(TRIM('수출입 실적(품목별)'!G1629),",","")),"")</f>
        <v>79120</v>
      </c>
      <c r="K1625" s="19" t="n">
        <f aca="false">IFERROR(VALUE(SUBSTITUTE(TRIM('수출입 실적(품목별)'!H1629),",","")),"")</f>
        <v>56400</v>
      </c>
    </row>
    <row r="1626" customFormat="false" ht="15" hidden="false" customHeight="true" outlineLevel="0" collapsed="false">
      <c r="A1626" s="11" t="str">
        <f aca="false">TRIM('수출입 실적(품목별)'!A1630)</f>
        <v>2025.05</v>
      </c>
      <c r="B1626" s="17" t="n">
        <f aca="false">IFERROR(VALUE(LEFT($A1626,4)),"")</f>
        <v>2025</v>
      </c>
      <c r="C1626" s="17" t="n">
        <f aca="false">IFERROR(VALUE(RIGHT($A1626,2)),"")</f>
        <v>5</v>
      </c>
      <c r="D1626" s="17" t="n">
        <f aca="false">IFERROR(ROUNDUP($C1626/3,0),"")</f>
        <v>2</v>
      </c>
      <c r="E1626" s="11" t="str">
        <f aca="false">TRIM('수출입 실적(품목별)'!B1630)</f>
        <v>84</v>
      </c>
      <c r="F1626" s="11" t="str">
        <f aca="false">TRIM('수출입 실적(품목별)'!C1630)</f>
        <v>원자로ㆍ보일러ㆍ기계류와 이들의 부분품</v>
      </c>
      <c r="G1626" s="18" t="n">
        <f aca="false">IFERROR(VALUE(SUBSTITUTE(TRIM('수출입 실적(품목별)'!D1630),",","")),"")</f>
        <v>369026.7</v>
      </c>
      <c r="H1626" s="19" t="n">
        <f aca="false">IFERROR(VALUE(SUBSTITUTE(TRIM('수출입 실적(품목별)'!E1630),",","")),"")</f>
        <v>6838785</v>
      </c>
      <c r="I1626" s="18" t="n">
        <f aca="false">IFERROR(VALUE(SUBSTITUTE(TRIM('수출입 실적(품목별)'!F1630),",","")),"")</f>
        <v>222620.4</v>
      </c>
      <c r="J1626" s="19" t="n">
        <f aca="false">IFERROR(VALUE(SUBSTITUTE(TRIM('수출입 실적(품목별)'!G1630),",","")),"")</f>
        <v>5743960</v>
      </c>
      <c r="K1626" s="19" t="n">
        <f aca="false">IFERROR(VALUE(SUBSTITUTE(TRIM('수출입 실적(품목별)'!H1630),",","")),"")</f>
        <v>1094825</v>
      </c>
    </row>
    <row r="1627" customFormat="false" ht="15" hidden="false" customHeight="true" outlineLevel="0" collapsed="false">
      <c r="A1627" s="11" t="str">
        <f aca="false">TRIM('수출입 실적(품목별)'!A1631)</f>
        <v>2025.05</v>
      </c>
      <c r="B1627" s="17" t="n">
        <f aca="false">IFERROR(VALUE(LEFT($A1627,4)),"")</f>
        <v>2025</v>
      </c>
      <c r="C1627" s="17" t="n">
        <f aca="false">IFERROR(VALUE(RIGHT($A1627,2)),"")</f>
        <v>5</v>
      </c>
      <c r="D1627" s="17" t="n">
        <f aca="false">IFERROR(ROUNDUP($C1627/3,0),"")</f>
        <v>2</v>
      </c>
      <c r="E1627" s="11" t="str">
        <f aca="false">TRIM('수출입 실적(품목별)'!B1631)</f>
        <v>85</v>
      </c>
      <c r="F1627" s="11" t="str">
        <f aca="false">TRIM('수출입 실적(품목별)'!C1631)</f>
        <v>전기기기와 그 부분품, 녹음기ㆍ음성 재생기ㆍ텔레비전의 영상과 음성의 기록기ㆍ재생기와 이들의 부분품ㆍ부속품</v>
      </c>
      <c r="G1627" s="18" t="n">
        <f aca="false">IFERROR(VALUE(SUBSTITUTE(TRIM('수출입 실적(품목별)'!D1631),",","")),"")</f>
        <v>212837</v>
      </c>
      <c r="H1627" s="19" t="n">
        <f aca="false">IFERROR(VALUE(SUBSTITUTE(TRIM('수출입 실적(품목별)'!E1631),",","")),"")</f>
        <v>18809466</v>
      </c>
      <c r="I1627" s="18" t="n">
        <f aca="false">IFERROR(VALUE(SUBSTITUTE(TRIM('수출입 실적(품목별)'!F1631),",","")),"")</f>
        <v>198226.7</v>
      </c>
      <c r="J1627" s="19" t="n">
        <f aca="false">IFERROR(VALUE(SUBSTITUTE(TRIM('수출입 실적(품목별)'!G1631),",","")),"")</f>
        <v>9757326</v>
      </c>
      <c r="K1627" s="19" t="n">
        <f aca="false">IFERROR(VALUE(SUBSTITUTE(TRIM('수출입 실적(품목별)'!H1631),",","")),"")</f>
        <v>9052141</v>
      </c>
    </row>
    <row r="1628" customFormat="false" ht="15" hidden="false" customHeight="true" outlineLevel="0" collapsed="false">
      <c r="A1628" s="11" t="str">
        <f aca="false">TRIM('수출입 실적(품목별)'!A1632)</f>
        <v>2025.05</v>
      </c>
      <c r="B1628" s="17" t="n">
        <f aca="false">IFERROR(VALUE(LEFT($A1628,4)),"")</f>
        <v>2025</v>
      </c>
      <c r="C1628" s="17" t="n">
        <f aca="false">IFERROR(VALUE(RIGHT($A1628,2)),"")</f>
        <v>5</v>
      </c>
      <c r="D1628" s="17" t="n">
        <f aca="false">IFERROR(ROUNDUP($C1628/3,0),"")</f>
        <v>2</v>
      </c>
      <c r="E1628" s="11" t="str">
        <f aca="false">TRIM('수출입 실적(품목별)'!B1632)</f>
        <v>86</v>
      </c>
      <c r="F1628" s="11" t="str">
        <f aca="false">TRIM('수출입 실적(품목별)'!C1632)</f>
        <v>철도용이나 궤도용 기관차ㆍ차량과 이들의 부분품, 철도용이나 궤도용 장비품과 그 부분품, 기계식(전기기계식을 포함한다) 각종 교통신호용 기기</v>
      </c>
      <c r="G1628" s="18" t="n">
        <f aca="false">IFERROR(VALUE(SUBSTITUTE(TRIM('수출입 실적(품목별)'!D1632),",","")),"")</f>
        <v>10327</v>
      </c>
      <c r="H1628" s="19" t="n">
        <f aca="false">IFERROR(VALUE(SUBSTITUTE(TRIM('수출입 실적(품목별)'!E1632),",","")),"")</f>
        <v>33215</v>
      </c>
      <c r="I1628" s="18" t="n">
        <f aca="false">IFERROR(VALUE(SUBSTITUTE(TRIM('수출입 실적(품목별)'!F1632),",","")),"")</f>
        <v>9947.9</v>
      </c>
      <c r="J1628" s="19" t="n">
        <f aca="false">IFERROR(VALUE(SUBSTITUTE(TRIM('수출입 실적(품목별)'!G1632),",","")),"")</f>
        <v>39931</v>
      </c>
      <c r="K1628" s="19" t="n">
        <f aca="false">IFERROR(VALUE(SUBSTITUTE(TRIM('수출입 실적(품목별)'!H1632),",","")),"")</f>
        <v>-6716</v>
      </c>
    </row>
    <row r="1629" customFormat="false" ht="15" hidden="false" customHeight="true" outlineLevel="0" collapsed="false">
      <c r="A1629" s="11" t="str">
        <f aca="false">TRIM('수출입 실적(품목별)'!A1633)</f>
        <v>2025.05</v>
      </c>
      <c r="B1629" s="17" t="n">
        <f aca="false">IFERROR(VALUE(LEFT($A1629,4)),"")</f>
        <v>2025</v>
      </c>
      <c r="C1629" s="17" t="n">
        <f aca="false">IFERROR(VALUE(RIGHT($A1629,2)),"")</f>
        <v>5</v>
      </c>
      <c r="D1629" s="17" t="n">
        <f aca="false">IFERROR(ROUNDUP($C1629/3,0),"")</f>
        <v>2</v>
      </c>
      <c r="E1629" s="11" t="str">
        <f aca="false">TRIM('수출입 실적(품목별)'!B1633)</f>
        <v>87</v>
      </c>
      <c r="F1629" s="11" t="str">
        <f aca="false">TRIM('수출입 실적(품목별)'!C1633)</f>
        <v>철도용이나 궤도용 외의 차량과 그 부분품ㆍ부속품</v>
      </c>
      <c r="G1629" s="18" t="n">
        <f aca="false">IFERROR(VALUE(SUBSTITUTE(TRIM('수출입 실적(품목별)'!D1633),",","")),"")</f>
        <v>729904.8</v>
      </c>
      <c r="H1629" s="19" t="n">
        <f aca="false">IFERROR(VALUE(SUBSTITUTE(TRIM('수출입 실적(품목별)'!E1633),",","")),"")</f>
        <v>7679192</v>
      </c>
      <c r="I1629" s="18" t="n">
        <f aca="false">IFERROR(VALUE(SUBSTITUTE(TRIM('수출입 실적(품목별)'!F1633),",","")),"")</f>
        <v>125800.7</v>
      </c>
      <c r="J1629" s="19" t="n">
        <f aca="false">IFERROR(VALUE(SUBSTITUTE(TRIM('수출입 실적(품목별)'!G1633),",","")),"")</f>
        <v>2000385</v>
      </c>
      <c r="K1629" s="19" t="n">
        <f aca="false">IFERROR(VALUE(SUBSTITUTE(TRIM('수출입 실적(품목별)'!H1633),",","")),"")</f>
        <v>5678808</v>
      </c>
    </row>
    <row r="1630" customFormat="false" ht="15" hidden="false" customHeight="true" outlineLevel="0" collapsed="false">
      <c r="A1630" s="11" t="str">
        <f aca="false">TRIM('수출입 실적(품목별)'!A1634)</f>
        <v>2025.05</v>
      </c>
      <c r="B1630" s="17" t="n">
        <f aca="false">IFERROR(VALUE(LEFT($A1630,4)),"")</f>
        <v>2025</v>
      </c>
      <c r="C1630" s="17" t="n">
        <f aca="false">IFERROR(VALUE(RIGHT($A1630,2)),"")</f>
        <v>5</v>
      </c>
      <c r="D1630" s="17" t="n">
        <f aca="false">IFERROR(ROUNDUP($C1630/3,0),"")</f>
        <v>2</v>
      </c>
      <c r="E1630" s="11" t="str">
        <f aca="false">TRIM('수출입 실적(품목별)'!B1634)</f>
        <v>88</v>
      </c>
      <c r="F1630" s="11" t="str">
        <f aca="false">TRIM('수출입 실적(품목별)'!C1634)</f>
        <v>항공기와 우주선, 이들의 부분품</v>
      </c>
      <c r="G1630" s="18" t="n">
        <f aca="false">IFERROR(VALUE(SUBSTITUTE(TRIM('수출입 실적(품목별)'!D1634),",","")),"")</f>
        <v>653.6</v>
      </c>
      <c r="H1630" s="19" t="n">
        <f aca="false">IFERROR(VALUE(SUBSTITUTE(TRIM('수출입 실적(품목별)'!E1634),",","")),"")</f>
        <v>316673</v>
      </c>
      <c r="I1630" s="18" t="n">
        <f aca="false">IFERROR(VALUE(SUBSTITUTE(TRIM('수출입 실적(품목별)'!F1634),",","")),"")</f>
        <v>398.1</v>
      </c>
      <c r="J1630" s="19" t="n">
        <f aca="false">IFERROR(VALUE(SUBSTITUTE(TRIM('수출입 실적(품목별)'!G1634),",","")),"")</f>
        <v>395629</v>
      </c>
      <c r="K1630" s="19" t="n">
        <f aca="false">IFERROR(VALUE(SUBSTITUTE(TRIM('수출입 실적(품목별)'!H1634),",","")),"")</f>
        <v>-78956</v>
      </c>
    </row>
    <row r="1631" customFormat="false" ht="15" hidden="false" customHeight="true" outlineLevel="0" collapsed="false">
      <c r="A1631" s="11" t="str">
        <f aca="false">TRIM('수출입 실적(품목별)'!A1635)</f>
        <v>2025.05</v>
      </c>
      <c r="B1631" s="17" t="n">
        <f aca="false">IFERROR(VALUE(LEFT($A1631,4)),"")</f>
        <v>2025</v>
      </c>
      <c r="C1631" s="17" t="n">
        <f aca="false">IFERROR(VALUE(RIGHT($A1631,2)),"")</f>
        <v>5</v>
      </c>
      <c r="D1631" s="17" t="n">
        <f aca="false">IFERROR(ROUNDUP($C1631/3,0),"")</f>
        <v>2</v>
      </c>
      <c r="E1631" s="11" t="str">
        <f aca="false">TRIM('수출입 실적(품목별)'!B1635)</f>
        <v>89</v>
      </c>
      <c r="F1631" s="11" t="str">
        <f aca="false">TRIM('수출입 실적(품목별)'!C1635)</f>
        <v>선박과 수상 구조물</v>
      </c>
      <c r="G1631" s="18" t="n">
        <f aca="false">IFERROR(VALUE(SUBSTITUTE(TRIM('수출입 실적(품목별)'!D1635),",","")),"")</f>
        <v>1022087.1</v>
      </c>
      <c r="H1631" s="19" t="n">
        <f aca="false">IFERROR(VALUE(SUBSTITUTE(TRIM('수출입 실적(품목별)'!E1635),",","")),"")</f>
        <v>2123018</v>
      </c>
      <c r="I1631" s="18" t="n">
        <f aca="false">IFERROR(VALUE(SUBSTITUTE(TRIM('수출입 실적(품목별)'!F1635),",","")),"")</f>
        <v>303900.7</v>
      </c>
      <c r="J1631" s="19" t="n">
        <f aca="false">IFERROR(VALUE(SUBSTITUTE(TRIM('수출입 실적(품목별)'!G1635),",","")),"")</f>
        <v>367781</v>
      </c>
      <c r="K1631" s="19" t="n">
        <f aca="false">IFERROR(VALUE(SUBSTITUTE(TRIM('수출입 실적(품목별)'!H1635),",","")),"")</f>
        <v>1755237</v>
      </c>
    </row>
    <row r="1632" customFormat="false" ht="15" hidden="false" customHeight="true" outlineLevel="0" collapsed="false">
      <c r="A1632" s="11" t="str">
        <f aca="false">TRIM('수출입 실적(품목별)'!A1636)</f>
        <v>2025.05</v>
      </c>
      <c r="B1632" s="17" t="n">
        <f aca="false">IFERROR(VALUE(LEFT($A1632,4)),"")</f>
        <v>2025</v>
      </c>
      <c r="C1632" s="17" t="n">
        <f aca="false">IFERROR(VALUE(RIGHT($A1632,2)),"")</f>
        <v>5</v>
      </c>
      <c r="D1632" s="17" t="n">
        <f aca="false">IFERROR(ROUNDUP($C1632/3,0),"")</f>
        <v>2</v>
      </c>
      <c r="E1632" s="11" t="str">
        <f aca="false">TRIM('수출입 실적(품목별)'!B1636)</f>
        <v>90</v>
      </c>
      <c r="F1632" s="11" t="str">
        <f aca="false">TRIM('수출입 실적(품목별)'!C1636)</f>
        <v>광학기기ㆍ사진용 기기ㆍ영화용 기기ㆍ측정기기ㆍ검사기기ㆍ정밀기기ㆍ의료용 기기, 이들의 부분품과 부속품</v>
      </c>
      <c r="G1632" s="18" t="n">
        <f aca="false">IFERROR(VALUE(SUBSTITUTE(TRIM('수출입 실적(품목별)'!D1636),",","")),"")</f>
        <v>15388.6</v>
      </c>
      <c r="H1632" s="19" t="n">
        <f aca="false">IFERROR(VALUE(SUBSTITUTE(TRIM('수출입 실적(품목별)'!E1636),",","")),"")</f>
        <v>1327302</v>
      </c>
      <c r="I1632" s="18" t="n">
        <f aca="false">IFERROR(VALUE(SUBSTITUTE(TRIM('수출입 실적(품목별)'!F1636),",","")),"")</f>
        <v>15210.3</v>
      </c>
      <c r="J1632" s="19" t="n">
        <f aca="false">IFERROR(VALUE(SUBSTITUTE(TRIM('수출입 실적(품목별)'!G1636),",","")),"")</f>
        <v>1913000</v>
      </c>
      <c r="K1632" s="19" t="n">
        <f aca="false">IFERROR(VALUE(SUBSTITUTE(TRIM('수출입 실적(품목별)'!H1636),",","")),"")</f>
        <v>-585698</v>
      </c>
    </row>
    <row r="1633" customFormat="false" ht="15" hidden="false" customHeight="true" outlineLevel="0" collapsed="false">
      <c r="A1633" s="11" t="str">
        <f aca="false">TRIM('수출입 실적(품목별)'!A1637)</f>
        <v>2025.05</v>
      </c>
      <c r="B1633" s="17" t="n">
        <f aca="false">IFERROR(VALUE(LEFT($A1633,4)),"")</f>
        <v>2025</v>
      </c>
      <c r="C1633" s="17" t="n">
        <f aca="false">IFERROR(VALUE(RIGHT($A1633,2)),"")</f>
        <v>5</v>
      </c>
      <c r="D1633" s="17" t="n">
        <f aca="false">IFERROR(ROUNDUP($C1633/3,0),"")</f>
        <v>2</v>
      </c>
      <c r="E1633" s="11" t="str">
        <f aca="false">TRIM('수출입 실적(품목별)'!B1637)</f>
        <v>91</v>
      </c>
      <c r="F1633" s="11" t="str">
        <f aca="false">TRIM('수출입 실적(품목별)'!C1637)</f>
        <v>시계와 그 부분품</v>
      </c>
      <c r="G1633" s="18" t="n">
        <f aca="false">IFERROR(VALUE(SUBSTITUTE(TRIM('수출입 실적(품목별)'!D1637),",","")),"")</f>
        <v>22.5</v>
      </c>
      <c r="H1633" s="19" t="n">
        <f aca="false">IFERROR(VALUE(SUBSTITUTE(TRIM('수출입 실적(품목별)'!E1637),",","")),"")</f>
        <v>18605</v>
      </c>
      <c r="I1633" s="18" t="n">
        <f aca="false">IFERROR(VALUE(SUBSTITUTE(TRIM('수출입 실적(품목별)'!F1637),",","")),"")</f>
        <v>286.9</v>
      </c>
      <c r="J1633" s="19" t="n">
        <f aca="false">IFERROR(VALUE(SUBSTITUTE(TRIM('수출입 실적(품목별)'!G1637),",","")),"")</f>
        <v>90183</v>
      </c>
      <c r="K1633" s="19" t="n">
        <f aca="false">IFERROR(VALUE(SUBSTITUTE(TRIM('수출입 실적(품목별)'!H1637),",","")),"")</f>
        <v>-71578</v>
      </c>
    </row>
    <row r="1634" customFormat="false" ht="15" hidden="false" customHeight="true" outlineLevel="0" collapsed="false">
      <c r="A1634" s="11" t="str">
        <f aca="false">TRIM('수출입 실적(품목별)'!A1638)</f>
        <v>2025.05</v>
      </c>
      <c r="B1634" s="17" t="n">
        <f aca="false">IFERROR(VALUE(LEFT($A1634,4)),"")</f>
        <v>2025</v>
      </c>
      <c r="C1634" s="17" t="n">
        <f aca="false">IFERROR(VALUE(RIGHT($A1634,2)),"")</f>
        <v>5</v>
      </c>
      <c r="D1634" s="17" t="n">
        <f aca="false">IFERROR(ROUNDUP($C1634/3,0),"")</f>
        <v>2</v>
      </c>
      <c r="E1634" s="11" t="str">
        <f aca="false">TRIM('수출입 실적(품목별)'!B1638)</f>
        <v>92</v>
      </c>
      <c r="F1634" s="11" t="str">
        <f aca="false">TRIM('수출입 실적(품목별)'!C1638)</f>
        <v>악기와 그 부분품과 부속품</v>
      </c>
      <c r="G1634" s="18" t="n">
        <f aca="false">IFERROR(VALUE(SUBSTITUTE(TRIM('수출입 실적(품목별)'!D1638),",","")),"")</f>
        <v>397.8</v>
      </c>
      <c r="H1634" s="19" t="n">
        <f aca="false">IFERROR(VALUE(SUBSTITUTE(TRIM('수출입 실적(품목별)'!E1638),",","")),"")</f>
        <v>10243</v>
      </c>
      <c r="I1634" s="18" t="n">
        <f aca="false">IFERROR(VALUE(SUBSTITUTE(TRIM('수출입 실적(품목별)'!F1638),",","")),"")</f>
        <v>772.6</v>
      </c>
      <c r="J1634" s="19" t="n">
        <f aca="false">IFERROR(VALUE(SUBSTITUTE(TRIM('수출입 실적(품목별)'!G1638),",","")),"")</f>
        <v>17481</v>
      </c>
      <c r="K1634" s="19" t="n">
        <f aca="false">IFERROR(VALUE(SUBSTITUTE(TRIM('수출입 실적(품목별)'!H1638),",","")),"")</f>
        <v>-7238</v>
      </c>
    </row>
    <row r="1635" customFormat="false" ht="15" hidden="false" customHeight="true" outlineLevel="0" collapsed="false">
      <c r="A1635" s="11" t="str">
        <f aca="false">TRIM('수출입 실적(품목별)'!A1639)</f>
        <v>2025.05</v>
      </c>
      <c r="B1635" s="17" t="n">
        <f aca="false">IFERROR(VALUE(LEFT($A1635,4)),"")</f>
        <v>2025</v>
      </c>
      <c r="C1635" s="17" t="n">
        <f aca="false">IFERROR(VALUE(RIGHT($A1635,2)),"")</f>
        <v>5</v>
      </c>
      <c r="D1635" s="17" t="n">
        <f aca="false">IFERROR(ROUNDUP($C1635/3,0),"")</f>
        <v>2</v>
      </c>
      <c r="E1635" s="11" t="str">
        <f aca="false">TRIM('수출입 실적(품목별)'!B1639)</f>
        <v>93</v>
      </c>
      <c r="F1635" s="11" t="str">
        <f aca="false">TRIM('수출입 실적(품목별)'!C1639)</f>
        <v>무기ㆍ총포탄과 이들의 부분품과 부속품</v>
      </c>
      <c r="G1635" s="18" t="n">
        <f aca="false">IFERROR(VALUE(SUBSTITUTE(TRIM('수출입 실적(품목별)'!D1639),",","")),"")</f>
        <v>3140.3</v>
      </c>
      <c r="H1635" s="19" t="n">
        <f aca="false">IFERROR(VALUE(SUBSTITUTE(TRIM('수출입 실적(품목별)'!E1639),",","")),"")</f>
        <v>279281</v>
      </c>
      <c r="I1635" s="18" t="n">
        <f aca="false">IFERROR(VALUE(SUBSTITUTE(TRIM('수출입 실적(품목별)'!F1639),",","")),"")</f>
        <v>128.9</v>
      </c>
      <c r="J1635" s="19" t="n">
        <f aca="false">IFERROR(VALUE(SUBSTITUTE(TRIM('수출입 실적(품목별)'!G1639),",","")),"")</f>
        <v>32512</v>
      </c>
      <c r="K1635" s="19" t="n">
        <f aca="false">IFERROR(VALUE(SUBSTITUTE(TRIM('수출입 실적(품목별)'!H1639),",","")),"")</f>
        <v>246769</v>
      </c>
    </row>
    <row r="1636" customFormat="false" ht="15" hidden="false" customHeight="true" outlineLevel="0" collapsed="false">
      <c r="A1636" s="11" t="str">
        <f aca="false">TRIM('수출입 실적(품목별)'!A1640)</f>
        <v>2025.05</v>
      </c>
      <c r="B1636" s="17" t="n">
        <f aca="false">IFERROR(VALUE(LEFT($A1636,4)),"")</f>
        <v>2025</v>
      </c>
      <c r="C1636" s="17" t="n">
        <f aca="false">IFERROR(VALUE(RIGHT($A1636,2)),"")</f>
        <v>5</v>
      </c>
      <c r="D1636" s="17" t="n">
        <f aca="false">IFERROR(ROUNDUP($C1636/3,0),"")</f>
        <v>2</v>
      </c>
      <c r="E1636" s="11" t="str">
        <f aca="false">TRIM('수출입 실적(품목별)'!B1640)</f>
        <v>94</v>
      </c>
      <c r="F1636" s="11" t="str">
        <f aca="false">TRIM('수출입 실적(품목별)'!C1640)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636" s="18" t="n">
        <f aca="false">IFERROR(VALUE(SUBSTITUTE(TRIM('수출입 실적(품목별)'!D1640),",","")),"")</f>
        <v>15218.7</v>
      </c>
      <c r="H1636" s="19" t="n">
        <f aca="false">IFERROR(VALUE(SUBSTITUTE(TRIM('수출입 실적(품목별)'!E1640),",","")),"")</f>
        <v>113605</v>
      </c>
      <c r="I1636" s="18" t="n">
        <f aca="false">IFERROR(VALUE(SUBSTITUTE(TRIM('수출입 실적(품목별)'!F1640),",","")),"")</f>
        <v>74428.6</v>
      </c>
      <c r="J1636" s="19" t="n">
        <f aca="false">IFERROR(VALUE(SUBSTITUTE(TRIM('수출입 실적(품목별)'!G1640),",","")),"")</f>
        <v>316100</v>
      </c>
      <c r="K1636" s="19" t="n">
        <f aca="false">IFERROR(VALUE(SUBSTITUTE(TRIM('수출입 실적(품목별)'!H1640),",","")),"")</f>
        <v>-202496</v>
      </c>
    </row>
    <row r="1637" customFormat="false" ht="15" hidden="false" customHeight="true" outlineLevel="0" collapsed="false">
      <c r="A1637" s="11" t="str">
        <f aca="false">TRIM('수출입 실적(품목별)'!A1641)</f>
        <v>2025.05</v>
      </c>
      <c r="B1637" s="17" t="n">
        <f aca="false">IFERROR(VALUE(LEFT($A1637,4)),"")</f>
        <v>2025</v>
      </c>
      <c r="C1637" s="17" t="n">
        <f aca="false">IFERROR(VALUE(RIGHT($A1637,2)),"")</f>
        <v>5</v>
      </c>
      <c r="D1637" s="17" t="n">
        <f aca="false">IFERROR(ROUNDUP($C1637/3,0),"")</f>
        <v>2</v>
      </c>
      <c r="E1637" s="11" t="str">
        <f aca="false">TRIM('수출입 실적(품목별)'!B1641)</f>
        <v>95</v>
      </c>
      <c r="F1637" s="11" t="str">
        <f aca="false">TRIM('수출입 실적(품목별)'!C1641)</f>
        <v>완구ㆍ게임용구ㆍ운동용구와 이들의 부분품과 부속품</v>
      </c>
      <c r="G1637" s="18" t="n">
        <f aca="false">IFERROR(VALUE(SUBSTITUTE(TRIM('수출입 실적(품목별)'!D1641),",","")),"")</f>
        <v>2176.7</v>
      </c>
      <c r="H1637" s="19" t="n">
        <f aca="false">IFERROR(VALUE(SUBSTITUTE(TRIM('수출입 실적(품목별)'!E1641),",","")),"")</f>
        <v>47558</v>
      </c>
      <c r="I1637" s="18" t="n">
        <f aca="false">IFERROR(VALUE(SUBSTITUTE(TRIM('수출입 실적(품목별)'!F1641),",","")),"")</f>
        <v>16156.3</v>
      </c>
      <c r="J1637" s="19" t="n">
        <f aca="false">IFERROR(VALUE(SUBSTITUTE(TRIM('수출입 실적(품목별)'!G1641),",","")),"")</f>
        <v>202838</v>
      </c>
      <c r="K1637" s="19" t="n">
        <f aca="false">IFERROR(VALUE(SUBSTITUTE(TRIM('수출입 실적(품목별)'!H1641),",","")),"")</f>
        <v>-155280</v>
      </c>
    </row>
    <row r="1638" customFormat="false" ht="15" hidden="false" customHeight="true" outlineLevel="0" collapsed="false">
      <c r="A1638" s="11" t="str">
        <f aca="false">TRIM('수출입 실적(품목별)'!A1642)</f>
        <v>2025.05</v>
      </c>
      <c r="B1638" s="17" t="n">
        <f aca="false">IFERROR(VALUE(LEFT($A1638,4)),"")</f>
        <v>2025</v>
      </c>
      <c r="C1638" s="17" t="n">
        <f aca="false">IFERROR(VALUE(RIGHT($A1638,2)),"")</f>
        <v>5</v>
      </c>
      <c r="D1638" s="17" t="n">
        <f aca="false">IFERROR(ROUNDUP($C1638/3,0),"")</f>
        <v>2</v>
      </c>
      <c r="E1638" s="11" t="str">
        <f aca="false">TRIM('수출입 실적(품목별)'!B1642)</f>
        <v>96</v>
      </c>
      <c r="F1638" s="11" t="str">
        <f aca="false">TRIM('수출입 실적(품목별)'!C1642)</f>
        <v>잡품</v>
      </c>
      <c r="G1638" s="18" t="n">
        <f aca="false">IFERROR(VALUE(SUBSTITUTE(TRIM('수출입 실적(품목별)'!D1642),",","")),"")</f>
        <v>2284.7</v>
      </c>
      <c r="H1638" s="19" t="n">
        <f aca="false">IFERROR(VALUE(SUBSTITUTE(TRIM('수출입 실적(품목별)'!E1642),",","")),"")</f>
        <v>39476</v>
      </c>
      <c r="I1638" s="18" t="n">
        <f aca="false">IFERROR(VALUE(SUBSTITUTE(TRIM('수출입 실적(품목별)'!F1642),",","")),"")</f>
        <v>10935.4</v>
      </c>
      <c r="J1638" s="19" t="n">
        <f aca="false">IFERROR(VALUE(SUBSTITUTE(TRIM('수출입 실적(품목별)'!G1642),",","")),"")</f>
        <v>92766</v>
      </c>
      <c r="K1638" s="19" t="n">
        <f aca="false">IFERROR(VALUE(SUBSTITUTE(TRIM('수출입 실적(품목별)'!H1642),",","")),"")</f>
        <v>-53289</v>
      </c>
    </row>
    <row r="1639" customFormat="false" ht="15" hidden="false" customHeight="true" outlineLevel="0" collapsed="false">
      <c r="A1639" s="11" t="str">
        <f aca="false">TRIM('수출입 실적(품목별)'!A1643)</f>
        <v>2025.05</v>
      </c>
      <c r="B1639" s="17" t="n">
        <f aca="false">IFERROR(VALUE(LEFT($A1639,4)),"")</f>
        <v>2025</v>
      </c>
      <c r="C1639" s="17" t="n">
        <f aca="false">IFERROR(VALUE(RIGHT($A1639,2)),"")</f>
        <v>5</v>
      </c>
      <c r="D1639" s="17" t="n">
        <f aca="false">IFERROR(ROUNDUP($C1639/3,0),"")</f>
        <v>2</v>
      </c>
      <c r="E1639" s="11" t="str">
        <f aca="false">TRIM('수출입 실적(품목별)'!B1643)</f>
        <v>97</v>
      </c>
      <c r="F1639" s="11" t="str">
        <f aca="false">TRIM('수출입 실적(품목별)'!C1643)</f>
        <v>예술품ㆍ수집품ㆍ골동품</v>
      </c>
      <c r="G1639" s="18" t="n">
        <f aca="false">IFERROR(VALUE(SUBSTITUTE(TRIM('수출입 실적(품목별)'!D1643),",","")),"")</f>
        <v>13.5</v>
      </c>
      <c r="H1639" s="19" t="n">
        <f aca="false">IFERROR(VALUE(SUBSTITUTE(TRIM('수출입 실적(품목별)'!E1643),",","")),"")</f>
        <v>27479</v>
      </c>
      <c r="I1639" s="18" t="n">
        <f aca="false">IFERROR(VALUE(SUBSTITUTE(TRIM('수출입 실적(품목별)'!F1643),",","")),"")</f>
        <v>50.9</v>
      </c>
      <c r="J1639" s="19" t="n">
        <f aca="false">IFERROR(VALUE(SUBSTITUTE(TRIM('수출입 실적(품목별)'!G1643),",","")),"")</f>
        <v>53318</v>
      </c>
      <c r="K1639" s="19" t="n">
        <f aca="false">IFERROR(VALUE(SUBSTITUTE(TRIM('수출입 실적(품목별)'!H1643),",","")),"")</f>
        <v>-25838</v>
      </c>
    </row>
    <row r="1640" customFormat="false" ht="15" hidden="false" customHeight="true" outlineLevel="0" collapsed="false">
      <c r="A1640" s="11" t="str">
        <f aca="false">TRIM('수출입 실적(품목별)'!A1644)</f>
        <v>2025.06</v>
      </c>
      <c r="B1640" s="17" t="n">
        <f aca="false">IFERROR(VALUE(LEFT($A1640,4)),"")</f>
        <v>2025</v>
      </c>
      <c r="C1640" s="17" t="n">
        <f aca="false">IFERROR(VALUE(RIGHT($A1640,2)),"")</f>
        <v>6</v>
      </c>
      <c r="D1640" s="17" t="n">
        <f aca="false">IFERROR(ROUNDUP($C1640/3,0),"")</f>
        <v>2</v>
      </c>
      <c r="E1640" s="11" t="str">
        <f aca="false">TRIM('수출입 실적(품목별)'!B1644)</f>
        <v>01</v>
      </c>
      <c r="F1640" s="11" t="str">
        <f aca="false">TRIM('수출입 실적(품목별)'!C1644)</f>
        <v>살아 있는 동물</v>
      </c>
      <c r="G1640" s="18" t="n">
        <f aca="false">IFERROR(VALUE(SUBSTITUTE(TRIM('수출입 실적(품목별)'!D1644),",","")),"")</f>
        <v>3.4</v>
      </c>
      <c r="H1640" s="19" t="n">
        <f aca="false">IFERROR(VALUE(SUBSTITUTE(TRIM('수출입 실적(품목별)'!E1644),",","")),"")</f>
        <v>594</v>
      </c>
      <c r="I1640" s="18" t="n">
        <f aca="false">IFERROR(VALUE(SUBSTITUTE(TRIM('수출입 실적(품목별)'!F1644),",","")),"")</f>
        <v>88.3</v>
      </c>
      <c r="J1640" s="19" t="n">
        <f aca="false">IFERROR(VALUE(SUBSTITUTE(TRIM('수출입 실적(품목별)'!G1644),",","")),"")</f>
        <v>4854</v>
      </c>
      <c r="K1640" s="19" t="n">
        <f aca="false">IFERROR(VALUE(SUBSTITUTE(TRIM('수출입 실적(품목별)'!H1644),",","")),"")</f>
        <v>-4260</v>
      </c>
    </row>
    <row r="1641" customFormat="false" ht="15" hidden="false" customHeight="true" outlineLevel="0" collapsed="false">
      <c r="A1641" s="11" t="str">
        <f aca="false">TRIM('수출입 실적(품목별)'!A1645)</f>
        <v>2025.06</v>
      </c>
      <c r="B1641" s="17" t="n">
        <f aca="false">IFERROR(VALUE(LEFT($A1641,4)),"")</f>
        <v>2025</v>
      </c>
      <c r="C1641" s="17" t="n">
        <f aca="false">IFERROR(VALUE(RIGHT($A1641,2)),"")</f>
        <v>6</v>
      </c>
      <c r="D1641" s="17" t="n">
        <f aca="false">IFERROR(ROUNDUP($C1641/3,0),"")</f>
        <v>2</v>
      </c>
      <c r="E1641" s="11" t="str">
        <f aca="false">TRIM('수출입 실적(품목별)'!B1645)</f>
        <v>02</v>
      </c>
      <c r="F1641" s="11" t="str">
        <f aca="false">TRIM('수출입 실적(품목별)'!C1645)</f>
        <v>육과 식용 설육(屑肉)</v>
      </c>
      <c r="G1641" s="18" t="n">
        <f aca="false">IFERROR(VALUE(SUBSTITUTE(TRIM('수출입 실적(품목별)'!D1645),",","")),"")</f>
        <v>2520.9</v>
      </c>
      <c r="H1641" s="19" t="n">
        <f aca="false">IFERROR(VALUE(SUBSTITUTE(TRIM('수출입 실적(품목별)'!E1645),",","")),"")</f>
        <v>3762</v>
      </c>
      <c r="I1641" s="18" t="n">
        <f aca="false">IFERROR(VALUE(SUBSTITUTE(TRIM('수출입 실적(품목별)'!F1645),",","")),"")</f>
        <v>116211.8</v>
      </c>
      <c r="J1641" s="19" t="n">
        <f aca="false">IFERROR(VALUE(SUBSTITUTE(TRIM('수출입 실적(품목별)'!G1645),",","")),"")</f>
        <v>593995</v>
      </c>
      <c r="K1641" s="19" t="n">
        <f aca="false">IFERROR(VALUE(SUBSTITUTE(TRIM('수출입 실적(품목별)'!H1645),",","")),"")</f>
        <v>-590232</v>
      </c>
    </row>
    <row r="1642" customFormat="false" ht="15" hidden="false" customHeight="true" outlineLevel="0" collapsed="false">
      <c r="A1642" s="11" t="str">
        <f aca="false">TRIM('수출입 실적(품목별)'!A1646)</f>
        <v>2025.06</v>
      </c>
      <c r="B1642" s="17" t="n">
        <f aca="false">IFERROR(VALUE(LEFT($A1642,4)),"")</f>
        <v>2025</v>
      </c>
      <c r="C1642" s="17" t="n">
        <f aca="false">IFERROR(VALUE(RIGHT($A1642,2)),"")</f>
        <v>6</v>
      </c>
      <c r="D1642" s="17" t="n">
        <f aca="false">IFERROR(ROUNDUP($C1642/3,0),"")</f>
        <v>2</v>
      </c>
      <c r="E1642" s="11" t="str">
        <f aca="false">TRIM('수출입 실적(품목별)'!B1646)</f>
        <v>03</v>
      </c>
      <c r="F1642" s="11" t="str">
        <f aca="false">TRIM('수출입 실적(품목별)'!C1646)</f>
        <v>어류ㆍ갑각류ㆍ연체동물과 그 밖의 수생(水生) 무척추동물</v>
      </c>
      <c r="G1642" s="18" t="n">
        <f aca="false">IFERROR(VALUE(SUBSTITUTE(TRIM('수출입 실적(품목별)'!D1646),",","")),"")</f>
        <v>43363.3</v>
      </c>
      <c r="H1642" s="19" t="n">
        <f aca="false">IFERROR(VALUE(SUBSTITUTE(TRIM('수출입 실적(품목별)'!E1646),",","")),"")</f>
        <v>128775</v>
      </c>
      <c r="I1642" s="18" t="n">
        <f aca="false">IFERROR(VALUE(SUBSTITUTE(TRIM('수출입 실적(품목별)'!F1646),",","")),"")</f>
        <v>91867.2</v>
      </c>
      <c r="J1642" s="19" t="n">
        <f aca="false">IFERROR(VALUE(SUBSTITUTE(TRIM('수출입 실적(품목별)'!G1646),",","")),"")</f>
        <v>403815</v>
      </c>
      <c r="K1642" s="19" t="n">
        <f aca="false">IFERROR(VALUE(SUBSTITUTE(TRIM('수출입 실적(품목별)'!H1646),",","")),"")</f>
        <v>-275040</v>
      </c>
    </row>
    <row r="1643" customFormat="false" ht="15" hidden="false" customHeight="true" outlineLevel="0" collapsed="false">
      <c r="A1643" s="11" t="str">
        <f aca="false">TRIM('수출입 실적(품목별)'!A1647)</f>
        <v>2025.06</v>
      </c>
      <c r="B1643" s="17" t="n">
        <f aca="false">IFERROR(VALUE(LEFT($A1643,4)),"")</f>
        <v>2025</v>
      </c>
      <c r="C1643" s="17" t="n">
        <f aca="false">IFERROR(VALUE(RIGHT($A1643,2)),"")</f>
        <v>6</v>
      </c>
      <c r="D1643" s="17" t="n">
        <f aca="false">IFERROR(ROUNDUP($C1643/3,0),"")</f>
        <v>2</v>
      </c>
      <c r="E1643" s="11" t="str">
        <f aca="false">TRIM('수출입 실적(품목별)'!B1647)</f>
        <v>04</v>
      </c>
      <c r="F1643" s="11" t="str">
        <f aca="false">TRIM('수출입 실적(품목별)'!C1647)</f>
        <v>낙농품, 새의 알, 천연꿀, 다른 류로 분류되지 않은 식용인 동물성 생산품</v>
      </c>
      <c r="G1643" s="18" t="n">
        <f aca="false">IFERROR(VALUE(SUBSTITUTE(TRIM('수출입 실적(품목별)'!D1647),",","")),"")</f>
        <v>1953.9</v>
      </c>
      <c r="H1643" s="19" t="n">
        <f aca="false">IFERROR(VALUE(SUBSTITUTE(TRIM('수출입 실적(품목별)'!E1647),",","")),"")</f>
        <v>4489</v>
      </c>
      <c r="I1643" s="18" t="n">
        <f aca="false">IFERROR(VALUE(SUBSTITUTE(TRIM('수출입 실적(품목별)'!F1647),",","")),"")</f>
        <v>30863.2</v>
      </c>
      <c r="J1643" s="19" t="n">
        <f aca="false">IFERROR(VALUE(SUBSTITUTE(TRIM('수출입 실적(품목별)'!G1647),",","")),"")</f>
        <v>133473</v>
      </c>
      <c r="K1643" s="19" t="n">
        <f aca="false">IFERROR(VALUE(SUBSTITUTE(TRIM('수출입 실적(품목별)'!H1647),",","")),"")</f>
        <v>-128984</v>
      </c>
    </row>
    <row r="1644" customFormat="false" ht="15" hidden="false" customHeight="true" outlineLevel="0" collapsed="false">
      <c r="A1644" s="11" t="str">
        <f aca="false">TRIM('수출입 실적(품목별)'!A1648)</f>
        <v>2025.06</v>
      </c>
      <c r="B1644" s="17" t="n">
        <f aca="false">IFERROR(VALUE(LEFT($A1644,4)),"")</f>
        <v>2025</v>
      </c>
      <c r="C1644" s="17" t="n">
        <f aca="false">IFERROR(VALUE(RIGHT($A1644,2)),"")</f>
        <v>6</v>
      </c>
      <c r="D1644" s="17" t="n">
        <f aca="false">IFERROR(ROUNDUP($C1644/3,0),"")</f>
        <v>2</v>
      </c>
      <c r="E1644" s="11" t="str">
        <f aca="false">TRIM('수출입 실적(품목별)'!B1648)</f>
        <v>05</v>
      </c>
      <c r="F1644" s="11" t="str">
        <f aca="false">TRIM('수출입 실적(품목별)'!C1648)</f>
        <v>다른 류로 분류되지 않은 동물성 생산품</v>
      </c>
      <c r="G1644" s="18" t="n">
        <f aca="false">IFERROR(VALUE(SUBSTITUTE(TRIM('수출입 실적(품목별)'!D1648),",","")),"")</f>
        <v>2493.2</v>
      </c>
      <c r="H1644" s="19" t="n">
        <f aca="false">IFERROR(VALUE(SUBSTITUTE(TRIM('수출입 실적(품목별)'!E1648),",","")),"")</f>
        <v>8722</v>
      </c>
      <c r="I1644" s="18" t="n">
        <f aca="false">IFERROR(VALUE(SUBSTITUTE(TRIM('수출입 실적(품목별)'!F1648),",","")),"")</f>
        <v>3709.5</v>
      </c>
      <c r="J1644" s="19" t="n">
        <f aca="false">IFERROR(VALUE(SUBSTITUTE(TRIM('수출입 실적(품목별)'!G1648),",","")),"")</f>
        <v>14557</v>
      </c>
      <c r="K1644" s="19" t="n">
        <f aca="false">IFERROR(VALUE(SUBSTITUTE(TRIM('수출입 실적(품목별)'!H1648),",","")),"")</f>
        <v>-5834</v>
      </c>
    </row>
    <row r="1645" customFormat="false" ht="15" hidden="false" customHeight="true" outlineLevel="0" collapsed="false">
      <c r="A1645" s="11" t="str">
        <f aca="false">TRIM('수출입 실적(품목별)'!A1649)</f>
        <v>2025.06</v>
      </c>
      <c r="B1645" s="17" t="n">
        <f aca="false">IFERROR(VALUE(LEFT($A1645,4)),"")</f>
        <v>2025</v>
      </c>
      <c r="C1645" s="17" t="n">
        <f aca="false">IFERROR(VALUE(RIGHT($A1645,2)),"")</f>
        <v>6</v>
      </c>
      <c r="D1645" s="17" t="n">
        <f aca="false">IFERROR(ROUNDUP($C1645/3,0),"")</f>
        <v>2</v>
      </c>
      <c r="E1645" s="11" t="str">
        <f aca="false">TRIM('수출입 실적(품목별)'!B1649)</f>
        <v>06</v>
      </c>
      <c r="F1645" s="11" t="str">
        <f aca="false">TRIM('수출입 실적(품목별)'!C1649)</f>
        <v>살아 있는 수목과 그 밖의 식물, 인경(鱗莖)ㆍ뿌리와 이와 유사한 물품, 절화(切花)와 장식용 잎</v>
      </c>
      <c r="G1645" s="18" t="n">
        <f aca="false">IFERROR(VALUE(SUBSTITUTE(TRIM('수출입 실적(품목별)'!D1649),",","")),"")</f>
        <v>44.7</v>
      </c>
      <c r="H1645" s="19" t="n">
        <f aca="false">IFERROR(VALUE(SUBSTITUTE(TRIM('수출입 실적(품목별)'!E1649),",","")),"")</f>
        <v>355</v>
      </c>
      <c r="I1645" s="18" t="n">
        <f aca="false">IFERROR(VALUE(SUBSTITUTE(TRIM('수출입 실적(품목별)'!F1649),",","")),"")</f>
        <v>6030</v>
      </c>
      <c r="J1645" s="19" t="n">
        <f aca="false">IFERROR(VALUE(SUBSTITUTE(TRIM('수출입 실적(품목별)'!G1649),",","")),"")</f>
        <v>9904</v>
      </c>
      <c r="K1645" s="19" t="n">
        <f aca="false">IFERROR(VALUE(SUBSTITUTE(TRIM('수출입 실적(품목별)'!H1649),",","")),"")</f>
        <v>-9549</v>
      </c>
    </row>
    <row r="1646" customFormat="false" ht="15" hidden="false" customHeight="true" outlineLevel="0" collapsed="false">
      <c r="A1646" s="11" t="str">
        <f aca="false">TRIM('수출입 실적(품목별)'!A1650)</f>
        <v>2025.06</v>
      </c>
      <c r="B1646" s="17" t="n">
        <f aca="false">IFERROR(VALUE(LEFT($A1646,4)),"")</f>
        <v>2025</v>
      </c>
      <c r="C1646" s="17" t="n">
        <f aca="false">IFERROR(VALUE(RIGHT($A1646,2)),"")</f>
        <v>6</v>
      </c>
      <c r="D1646" s="17" t="n">
        <f aca="false">IFERROR(ROUNDUP($C1646/3,0),"")</f>
        <v>2</v>
      </c>
      <c r="E1646" s="11" t="str">
        <f aca="false">TRIM('수출입 실적(품목별)'!B1650)</f>
        <v>07</v>
      </c>
      <c r="F1646" s="11" t="str">
        <f aca="false">TRIM('수출입 실적(품목별)'!C1650)</f>
        <v>식용의 채소ㆍ뿌리ㆍ괴경(塊莖)</v>
      </c>
      <c r="G1646" s="18" t="n">
        <f aca="false">IFERROR(VALUE(SUBSTITUTE(TRIM('수출입 실적(품목별)'!D1650),",","")),"")</f>
        <v>6497.4</v>
      </c>
      <c r="H1646" s="19" t="n">
        <f aca="false">IFERROR(VALUE(SUBSTITUTE(TRIM('수출입 실적(품목별)'!E1650),",","")),"")</f>
        <v>10849</v>
      </c>
      <c r="I1646" s="18" t="n">
        <f aca="false">IFERROR(VALUE(SUBSTITUTE(TRIM('수출입 실적(품목별)'!F1650),",","")),"")</f>
        <v>72970.3</v>
      </c>
      <c r="J1646" s="19" t="n">
        <f aca="false">IFERROR(VALUE(SUBSTITUTE(TRIM('수출입 실적(품목별)'!G1650),",","")),"")</f>
        <v>54708</v>
      </c>
      <c r="K1646" s="19" t="n">
        <f aca="false">IFERROR(VALUE(SUBSTITUTE(TRIM('수출입 실적(품목별)'!H1650),",","")),"")</f>
        <v>-43859</v>
      </c>
    </row>
    <row r="1647" customFormat="false" ht="15" hidden="false" customHeight="true" outlineLevel="0" collapsed="false">
      <c r="A1647" s="11" t="str">
        <f aca="false">TRIM('수출입 실적(품목별)'!A1651)</f>
        <v>2025.06</v>
      </c>
      <c r="B1647" s="17" t="n">
        <f aca="false">IFERROR(VALUE(LEFT($A1647,4)),"")</f>
        <v>2025</v>
      </c>
      <c r="C1647" s="17" t="n">
        <f aca="false">IFERROR(VALUE(RIGHT($A1647,2)),"")</f>
        <v>6</v>
      </c>
      <c r="D1647" s="17" t="n">
        <f aca="false">IFERROR(ROUNDUP($C1647/3,0),"")</f>
        <v>2</v>
      </c>
      <c r="E1647" s="11" t="str">
        <f aca="false">TRIM('수출입 실적(품목별)'!B1651)</f>
        <v>08</v>
      </c>
      <c r="F1647" s="11" t="str">
        <f aca="false">TRIM('수출입 실적(품목별)'!C1651)</f>
        <v>식용의 과실과 견과류, 감귤류ㆍ멜론의 껍질</v>
      </c>
      <c r="G1647" s="18" t="n">
        <f aca="false">IFERROR(VALUE(SUBSTITUTE(TRIM('수출입 실적(품목별)'!D1651),",","")),"")</f>
        <v>245.6</v>
      </c>
      <c r="H1647" s="19" t="n">
        <f aca="false">IFERROR(VALUE(SUBSTITUTE(TRIM('수출입 실적(품목별)'!E1651),",","")),"")</f>
        <v>1573</v>
      </c>
      <c r="I1647" s="18" t="n">
        <f aca="false">IFERROR(VALUE(SUBSTITUTE(TRIM('수출입 실적(품목별)'!F1651),",","")),"")</f>
        <v>77193.2</v>
      </c>
      <c r="J1647" s="19" t="n">
        <f aca="false">IFERROR(VALUE(SUBSTITUTE(TRIM('수출입 실적(품목별)'!G1651),",","")),"")</f>
        <v>189791</v>
      </c>
      <c r="K1647" s="19" t="n">
        <f aca="false">IFERROR(VALUE(SUBSTITUTE(TRIM('수출입 실적(품목별)'!H1651),",","")),"")</f>
        <v>-188219</v>
      </c>
    </row>
    <row r="1648" customFormat="false" ht="15" hidden="false" customHeight="true" outlineLevel="0" collapsed="false">
      <c r="A1648" s="11" t="str">
        <f aca="false">TRIM('수출입 실적(품목별)'!A1652)</f>
        <v>2025.06</v>
      </c>
      <c r="B1648" s="17" t="n">
        <f aca="false">IFERROR(VALUE(LEFT($A1648,4)),"")</f>
        <v>2025</v>
      </c>
      <c r="C1648" s="17" t="n">
        <f aca="false">IFERROR(VALUE(RIGHT($A1648,2)),"")</f>
        <v>6</v>
      </c>
      <c r="D1648" s="17" t="n">
        <f aca="false">IFERROR(ROUNDUP($C1648/3,0),"")</f>
        <v>2</v>
      </c>
      <c r="E1648" s="11" t="str">
        <f aca="false">TRIM('수출입 실적(품목별)'!B1652)</f>
        <v>09</v>
      </c>
      <c r="F1648" s="11" t="str">
        <f aca="false">TRIM('수출입 실적(품목별)'!C1652)</f>
        <v>커피ㆍ차ㆍ마테(maté)ㆍ향신료</v>
      </c>
      <c r="G1648" s="18" t="n">
        <f aca="false">IFERROR(VALUE(SUBSTITUTE(TRIM('수출입 실적(품목별)'!D1652),",","")),"")</f>
        <v>447</v>
      </c>
      <c r="H1648" s="19" t="n">
        <f aca="false">IFERROR(VALUE(SUBSTITUTE(TRIM('수출입 실적(품목별)'!E1652),",","")),"")</f>
        <v>4653</v>
      </c>
      <c r="I1648" s="18" t="n">
        <f aca="false">IFERROR(VALUE(SUBSTITUTE(TRIM('수출입 실적(품목별)'!F1652),",","")),"")</f>
        <v>20813.1</v>
      </c>
      <c r="J1648" s="19" t="n">
        <f aca="false">IFERROR(VALUE(SUBSTITUTE(TRIM('수출입 실적(품목별)'!G1652),",","")),"")</f>
        <v>175426</v>
      </c>
      <c r="K1648" s="19" t="n">
        <f aca="false">IFERROR(VALUE(SUBSTITUTE(TRIM('수출입 실적(품목별)'!H1652),",","")),"")</f>
        <v>-170773</v>
      </c>
    </row>
    <row r="1649" customFormat="false" ht="15" hidden="false" customHeight="true" outlineLevel="0" collapsed="false">
      <c r="A1649" s="11" t="str">
        <f aca="false">TRIM('수출입 실적(품목별)'!A1653)</f>
        <v>2025.06</v>
      </c>
      <c r="B1649" s="17" t="n">
        <f aca="false">IFERROR(VALUE(LEFT($A1649,4)),"")</f>
        <v>2025</v>
      </c>
      <c r="C1649" s="17" t="n">
        <f aca="false">IFERROR(VALUE(RIGHT($A1649,2)),"")</f>
        <v>6</v>
      </c>
      <c r="D1649" s="17" t="n">
        <f aca="false">IFERROR(ROUNDUP($C1649/3,0),"")</f>
        <v>2</v>
      </c>
      <c r="E1649" s="11" t="str">
        <f aca="false">TRIM('수출입 실적(품목별)'!B1653)</f>
        <v>10</v>
      </c>
      <c r="F1649" s="11" t="str">
        <f aca="false">TRIM('수출입 실적(품목별)'!C1653)</f>
        <v>곡물</v>
      </c>
      <c r="G1649" s="18" t="n">
        <f aca="false">IFERROR(VALUE(SUBSTITUTE(TRIM('수출입 실적(품목별)'!D1653),",","")),"")</f>
        <v>406.1</v>
      </c>
      <c r="H1649" s="19" t="n">
        <f aca="false">IFERROR(VALUE(SUBSTITUTE(TRIM('수출입 실적(품목별)'!E1653),",","")),"")</f>
        <v>895</v>
      </c>
      <c r="I1649" s="18" t="n">
        <f aca="false">IFERROR(VALUE(SUBSTITUTE(TRIM('수출입 실적(품목별)'!F1653),",","")),"")</f>
        <v>1404728.8</v>
      </c>
      <c r="J1649" s="19" t="n">
        <f aca="false">IFERROR(VALUE(SUBSTITUTE(TRIM('수출입 실적(품목별)'!G1653),",","")),"")</f>
        <v>393516</v>
      </c>
      <c r="K1649" s="19" t="n">
        <f aca="false">IFERROR(VALUE(SUBSTITUTE(TRIM('수출입 실적(품목별)'!H1653),",","")),"")</f>
        <v>-392621</v>
      </c>
    </row>
    <row r="1650" customFormat="false" ht="15" hidden="false" customHeight="true" outlineLevel="0" collapsed="false">
      <c r="A1650" s="11" t="str">
        <f aca="false">TRIM('수출입 실적(품목별)'!A1654)</f>
        <v>2025.06</v>
      </c>
      <c r="B1650" s="17" t="n">
        <f aca="false">IFERROR(VALUE(LEFT($A1650,4)),"")</f>
        <v>2025</v>
      </c>
      <c r="C1650" s="17" t="n">
        <f aca="false">IFERROR(VALUE(RIGHT($A1650,2)),"")</f>
        <v>6</v>
      </c>
      <c r="D1650" s="17" t="n">
        <f aca="false">IFERROR(ROUNDUP($C1650/3,0),"")</f>
        <v>2</v>
      </c>
      <c r="E1650" s="11" t="str">
        <f aca="false">TRIM('수출입 실적(품목별)'!B1654)</f>
        <v>11</v>
      </c>
      <c r="F1650" s="11" t="str">
        <f aca="false">TRIM('수출입 실적(품목별)'!C1654)</f>
        <v>제분공업의 생산품과 맥아, 전분, 이눌린(inulin), 밀의 글루텐(gluten)</v>
      </c>
      <c r="G1650" s="18" t="n">
        <f aca="false">IFERROR(VALUE(SUBSTITUTE(TRIM('수출입 실적(품목별)'!D1654),",","")),"")</f>
        <v>4251.2</v>
      </c>
      <c r="H1650" s="19" t="n">
        <f aca="false">IFERROR(VALUE(SUBSTITUTE(TRIM('수출입 실적(품목별)'!E1654),",","")),"")</f>
        <v>3253</v>
      </c>
      <c r="I1650" s="18" t="n">
        <f aca="false">IFERROR(VALUE(SUBSTITUTE(TRIM('수출입 실적(품목별)'!F1654),",","")),"")</f>
        <v>34108.8</v>
      </c>
      <c r="J1650" s="19" t="n">
        <f aca="false">IFERROR(VALUE(SUBSTITUTE(TRIM('수출입 실적(품목별)'!G1654),",","")),"")</f>
        <v>29037</v>
      </c>
      <c r="K1650" s="19" t="n">
        <f aca="false">IFERROR(VALUE(SUBSTITUTE(TRIM('수출입 실적(품목별)'!H1654),",","")),"")</f>
        <v>-25784</v>
      </c>
    </row>
    <row r="1651" customFormat="false" ht="15" hidden="false" customHeight="true" outlineLevel="0" collapsed="false">
      <c r="A1651" s="11" t="str">
        <f aca="false">TRIM('수출입 실적(품목별)'!A1655)</f>
        <v>2025.06</v>
      </c>
      <c r="B1651" s="17" t="n">
        <f aca="false">IFERROR(VALUE(LEFT($A1651,4)),"")</f>
        <v>2025</v>
      </c>
      <c r="C1651" s="17" t="n">
        <f aca="false">IFERROR(VALUE(RIGHT($A1651,2)),"")</f>
        <v>6</v>
      </c>
      <c r="D1651" s="17" t="n">
        <f aca="false">IFERROR(ROUNDUP($C1651/3,0),"")</f>
        <v>2</v>
      </c>
      <c r="E1651" s="11" t="str">
        <f aca="false">TRIM('수출입 실적(품목별)'!B1655)</f>
        <v>12</v>
      </c>
      <c r="F1651" s="11" t="str">
        <f aca="false">TRIM('수출입 실적(품목별)'!C1655)</f>
        <v>채유(採油)에 적합한 종자와 과실, 각종 종자와 과실, 공업용ㆍ의약용 식물, 짚과 사료용 식물</v>
      </c>
      <c r="G1651" s="18" t="n">
        <f aca="false">IFERROR(VALUE(SUBSTITUTE(TRIM('수출입 실적(품목별)'!D1655),",","")),"")</f>
        <v>2472.6</v>
      </c>
      <c r="H1651" s="19" t="n">
        <f aca="false">IFERROR(VALUE(SUBSTITUTE(TRIM('수출입 실적(품목별)'!E1655),",","")),"")</f>
        <v>67749</v>
      </c>
      <c r="I1651" s="18" t="n">
        <f aca="false">IFERROR(VALUE(SUBSTITUTE(TRIM('수출입 실적(품목별)'!F1655),",","")),"")</f>
        <v>260386.4</v>
      </c>
      <c r="J1651" s="19" t="n">
        <f aca="false">IFERROR(VALUE(SUBSTITUTE(TRIM('수출입 실적(품목별)'!G1655),",","")),"")</f>
        <v>147623</v>
      </c>
      <c r="K1651" s="19" t="n">
        <f aca="false">IFERROR(VALUE(SUBSTITUTE(TRIM('수출입 실적(품목별)'!H1655),",","")),"")</f>
        <v>-79874</v>
      </c>
    </row>
    <row r="1652" customFormat="false" ht="15" hidden="false" customHeight="true" outlineLevel="0" collapsed="false">
      <c r="A1652" s="11" t="str">
        <f aca="false">TRIM('수출입 실적(품목별)'!A1656)</f>
        <v>2025.06</v>
      </c>
      <c r="B1652" s="17" t="n">
        <f aca="false">IFERROR(VALUE(LEFT($A1652,4)),"")</f>
        <v>2025</v>
      </c>
      <c r="C1652" s="17" t="n">
        <f aca="false">IFERROR(VALUE(RIGHT($A1652,2)),"")</f>
        <v>6</v>
      </c>
      <c r="D1652" s="17" t="n">
        <f aca="false">IFERROR(ROUNDUP($C1652/3,0),"")</f>
        <v>2</v>
      </c>
      <c r="E1652" s="11" t="str">
        <f aca="false">TRIM('수출입 실적(품목별)'!B1656)</f>
        <v>13</v>
      </c>
      <c r="F1652" s="11" t="str">
        <f aca="false">TRIM('수출입 실적(품목별)'!C1656)</f>
        <v>락(lac), 검ㆍ수지ㆍ그 밖의 식물성 수액과 추출물(extract)</v>
      </c>
      <c r="G1652" s="18" t="n">
        <f aca="false">IFERROR(VALUE(SUBSTITUTE(TRIM('수출입 실적(품목별)'!D1656),",","")),"")</f>
        <v>302.7</v>
      </c>
      <c r="H1652" s="19" t="n">
        <f aca="false">IFERROR(VALUE(SUBSTITUTE(TRIM('수출입 실적(품목별)'!E1656),",","")),"")</f>
        <v>6657</v>
      </c>
      <c r="I1652" s="18" t="n">
        <f aca="false">IFERROR(VALUE(SUBSTITUTE(TRIM('수출입 실적(품목별)'!F1656),",","")),"")</f>
        <v>7222.6</v>
      </c>
      <c r="J1652" s="19" t="n">
        <f aca="false">IFERROR(VALUE(SUBSTITUTE(TRIM('수출입 실적(품목별)'!G1656),",","")),"")</f>
        <v>25671</v>
      </c>
      <c r="K1652" s="19" t="n">
        <f aca="false">IFERROR(VALUE(SUBSTITUTE(TRIM('수출입 실적(품목별)'!H1656),",","")),"")</f>
        <v>-19014</v>
      </c>
    </row>
    <row r="1653" customFormat="false" ht="15" hidden="false" customHeight="true" outlineLevel="0" collapsed="false">
      <c r="A1653" s="11" t="str">
        <f aca="false">TRIM('수출입 실적(품목별)'!A1657)</f>
        <v>2025.06</v>
      </c>
      <c r="B1653" s="17" t="n">
        <f aca="false">IFERROR(VALUE(LEFT($A1653,4)),"")</f>
        <v>2025</v>
      </c>
      <c r="C1653" s="17" t="n">
        <f aca="false">IFERROR(VALUE(RIGHT($A1653,2)),"")</f>
        <v>6</v>
      </c>
      <c r="D1653" s="17" t="n">
        <f aca="false">IFERROR(ROUNDUP($C1653/3,0),"")</f>
        <v>2</v>
      </c>
      <c r="E1653" s="11" t="str">
        <f aca="false">TRIM('수출입 실적(품목별)'!B1657)</f>
        <v>14</v>
      </c>
      <c r="F1653" s="11" t="str">
        <f aca="false">TRIM('수출입 실적(품목별)'!C1657)</f>
        <v>식물성 편조물(編組物)용 재료와 다른 류로 분류되지 않은 식물성 생산품</v>
      </c>
      <c r="G1653" s="18" t="n">
        <f aca="false">IFERROR(VALUE(SUBSTITUTE(TRIM('수출입 실적(품목별)'!D1657),",","")),"")</f>
        <v>10.6</v>
      </c>
      <c r="H1653" s="19" t="n">
        <f aca="false">IFERROR(VALUE(SUBSTITUTE(TRIM('수출입 실적(품목별)'!E1657),",","")),"")</f>
        <v>19</v>
      </c>
      <c r="I1653" s="18" t="n">
        <f aca="false">IFERROR(VALUE(SUBSTITUTE(TRIM('수출입 실적(품목별)'!F1657),",","")),"")</f>
        <v>15024.6</v>
      </c>
      <c r="J1653" s="19" t="n">
        <f aca="false">IFERROR(VALUE(SUBSTITUTE(TRIM('수출입 실적(품목별)'!G1657),",","")),"")</f>
        <v>4932</v>
      </c>
      <c r="K1653" s="19" t="n">
        <f aca="false">IFERROR(VALUE(SUBSTITUTE(TRIM('수출입 실적(품목별)'!H1657),",","")),"")</f>
        <v>-4913</v>
      </c>
    </row>
    <row r="1654" customFormat="false" ht="15" hidden="false" customHeight="true" outlineLevel="0" collapsed="false">
      <c r="A1654" s="11" t="str">
        <f aca="false">TRIM('수출입 실적(품목별)'!A1658)</f>
        <v>2025.06</v>
      </c>
      <c r="B1654" s="17" t="n">
        <f aca="false">IFERROR(VALUE(LEFT($A1654,4)),"")</f>
        <v>2025</v>
      </c>
      <c r="C1654" s="17" t="n">
        <f aca="false">IFERROR(VALUE(RIGHT($A1654,2)),"")</f>
        <v>6</v>
      </c>
      <c r="D1654" s="17" t="n">
        <f aca="false">IFERROR(ROUNDUP($C1654/3,0),"")</f>
        <v>2</v>
      </c>
      <c r="E1654" s="11" t="str">
        <f aca="false">TRIM('수출입 실적(품목별)'!B1658)</f>
        <v>15</v>
      </c>
      <c r="F1654" s="11" t="str">
        <f aca="false">TRIM('수출입 실적(품목별)'!C1658)</f>
        <v>동물성ㆍ식물성ㆍ미생물성 지방과 기름 및이들의 분해생산물, 조제한 식용 지방과 동물성ㆍ식물성 왁스</v>
      </c>
      <c r="G1654" s="18" t="n">
        <f aca="false">IFERROR(VALUE(SUBSTITUTE(TRIM('수출입 실적(품목별)'!D1658),",","")),"")</f>
        <v>35093.6</v>
      </c>
      <c r="H1654" s="19" t="n">
        <f aca="false">IFERROR(VALUE(SUBSTITUTE(TRIM('수출입 실적(품목별)'!E1658),",","")),"")</f>
        <v>39548</v>
      </c>
      <c r="I1654" s="18" t="n">
        <f aca="false">IFERROR(VALUE(SUBSTITUTE(TRIM('수출입 실적(품목별)'!F1658),",","")),"")</f>
        <v>166588.9</v>
      </c>
      <c r="J1654" s="19" t="n">
        <f aca="false">IFERROR(VALUE(SUBSTITUTE(TRIM('수출입 실적(품목별)'!G1658),",","")),"")</f>
        <v>232337</v>
      </c>
      <c r="K1654" s="19" t="n">
        <f aca="false">IFERROR(VALUE(SUBSTITUTE(TRIM('수출입 실적(품목별)'!H1658),",","")),"")</f>
        <v>-192789</v>
      </c>
    </row>
    <row r="1655" customFormat="false" ht="15" hidden="false" customHeight="true" outlineLevel="0" collapsed="false">
      <c r="A1655" s="11" t="str">
        <f aca="false">TRIM('수출입 실적(품목별)'!A1659)</f>
        <v>2025.06</v>
      </c>
      <c r="B1655" s="17" t="n">
        <f aca="false">IFERROR(VALUE(LEFT($A1655,4)),"")</f>
        <v>2025</v>
      </c>
      <c r="C1655" s="17" t="n">
        <f aca="false">IFERROR(VALUE(RIGHT($A1655,2)),"")</f>
        <v>6</v>
      </c>
      <c r="D1655" s="17" t="n">
        <f aca="false">IFERROR(ROUNDUP($C1655/3,0),"")</f>
        <v>2</v>
      </c>
      <c r="E1655" s="11" t="str">
        <f aca="false">TRIM('수출입 실적(품목별)'!B1659)</f>
        <v>16</v>
      </c>
      <c r="F1655" s="11" t="str">
        <f aca="false">TRIM('수출입 실적(품목별)'!C1659)</f>
        <v>육류ㆍ어류ㆍ갑각류ㆍ연체동물이나 그 밖의 수생(水生) 무척추동물 또는 곤충의 조제품</v>
      </c>
      <c r="G1655" s="18" t="n">
        <f aca="false">IFERROR(VALUE(SUBSTITUTE(TRIM('수출입 실적(품목별)'!D1659),",","")),"")</f>
        <v>4227.8</v>
      </c>
      <c r="H1655" s="19" t="n">
        <f aca="false">IFERROR(VALUE(SUBSTITUTE(TRIM('수출입 실적(품목별)'!E1659),",","")),"")</f>
        <v>27363</v>
      </c>
      <c r="I1655" s="18" t="n">
        <f aca="false">IFERROR(VALUE(SUBSTITUTE(TRIM('수출입 실적(품목별)'!F1659),",","")),"")</f>
        <v>17402.3</v>
      </c>
      <c r="J1655" s="19" t="n">
        <f aca="false">IFERROR(VALUE(SUBSTITUTE(TRIM('수출입 실적(품목별)'!G1659),",","")),"")</f>
        <v>103444</v>
      </c>
      <c r="K1655" s="19" t="n">
        <f aca="false">IFERROR(VALUE(SUBSTITUTE(TRIM('수출입 실적(품목별)'!H1659),",","")),"")</f>
        <v>-76081</v>
      </c>
    </row>
    <row r="1656" customFormat="false" ht="15" hidden="false" customHeight="true" outlineLevel="0" collapsed="false">
      <c r="A1656" s="11" t="str">
        <f aca="false">TRIM('수출입 실적(품목별)'!A1660)</f>
        <v>2025.06</v>
      </c>
      <c r="B1656" s="17" t="n">
        <f aca="false">IFERROR(VALUE(LEFT($A1656,4)),"")</f>
        <v>2025</v>
      </c>
      <c r="C1656" s="17" t="n">
        <f aca="false">IFERROR(VALUE(RIGHT($A1656,2)),"")</f>
        <v>6</v>
      </c>
      <c r="D1656" s="17" t="n">
        <f aca="false">IFERROR(ROUNDUP($C1656/3,0),"")</f>
        <v>2</v>
      </c>
      <c r="E1656" s="11" t="str">
        <f aca="false">TRIM('수출입 실적(품목별)'!B1660)</f>
        <v>17</v>
      </c>
      <c r="F1656" s="11" t="str">
        <f aca="false">TRIM('수출입 실적(품목별)'!C1660)</f>
        <v>당류(糖類)와 설탕과자</v>
      </c>
      <c r="G1656" s="18" t="n">
        <f aca="false">IFERROR(VALUE(SUBSTITUTE(TRIM('수출입 실적(품목별)'!D1660),",","")),"")</f>
        <v>29080.5</v>
      </c>
      <c r="H1656" s="19" t="n">
        <f aca="false">IFERROR(VALUE(SUBSTITUTE(TRIM('수출입 실적(품목별)'!E1660),",","")),"")</f>
        <v>26243</v>
      </c>
      <c r="I1656" s="18" t="n">
        <f aca="false">IFERROR(VALUE(SUBSTITUTE(TRIM('수출입 실적(품목별)'!F1660),",","")),"")</f>
        <v>191894.9</v>
      </c>
      <c r="J1656" s="19" t="n">
        <f aca="false">IFERROR(VALUE(SUBSTITUTE(TRIM('수출입 실적(품목별)'!G1660),",","")),"")</f>
        <v>117415</v>
      </c>
      <c r="K1656" s="19" t="n">
        <f aca="false">IFERROR(VALUE(SUBSTITUTE(TRIM('수출입 실적(품목별)'!H1660),",","")),"")</f>
        <v>-91172</v>
      </c>
    </row>
    <row r="1657" customFormat="false" ht="15" hidden="false" customHeight="true" outlineLevel="0" collapsed="false">
      <c r="A1657" s="11" t="str">
        <f aca="false">TRIM('수출입 실적(품목별)'!A1661)</f>
        <v>2025.06</v>
      </c>
      <c r="B1657" s="17" t="n">
        <f aca="false">IFERROR(VALUE(LEFT($A1657,4)),"")</f>
        <v>2025</v>
      </c>
      <c r="C1657" s="17" t="n">
        <f aca="false">IFERROR(VALUE(RIGHT($A1657,2)),"")</f>
        <v>6</v>
      </c>
      <c r="D1657" s="17" t="n">
        <f aca="false">IFERROR(ROUNDUP($C1657/3,0),"")</f>
        <v>2</v>
      </c>
      <c r="E1657" s="11" t="str">
        <f aca="false">TRIM('수출입 실적(품목별)'!B1661)</f>
        <v>18</v>
      </c>
      <c r="F1657" s="11" t="str">
        <f aca="false">TRIM('수출입 실적(품목별)'!C1661)</f>
        <v>코코아와 그 조제품</v>
      </c>
      <c r="G1657" s="18" t="n">
        <f aca="false">IFERROR(VALUE(SUBSTITUTE(TRIM('수출입 실적(품목별)'!D1661),",","")),"")</f>
        <v>2003.2</v>
      </c>
      <c r="H1657" s="19" t="n">
        <f aca="false">IFERROR(VALUE(SUBSTITUTE(TRIM('수출입 실적(품목별)'!E1661),",","")),"")</f>
        <v>6254</v>
      </c>
      <c r="I1657" s="18" t="n">
        <f aca="false">IFERROR(VALUE(SUBSTITUTE(TRIM('수출입 실적(품목별)'!F1661),",","")),"")</f>
        <v>5429.5</v>
      </c>
      <c r="J1657" s="19" t="n">
        <f aca="false">IFERROR(VALUE(SUBSTITUTE(TRIM('수출입 실적(품목별)'!G1661),",","")),"")</f>
        <v>50709</v>
      </c>
      <c r="K1657" s="19" t="n">
        <f aca="false">IFERROR(VALUE(SUBSTITUTE(TRIM('수출입 실적(품목별)'!H1661),",","")),"")</f>
        <v>-44454</v>
      </c>
    </row>
    <row r="1658" customFormat="false" ht="15" hidden="false" customHeight="true" outlineLevel="0" collapsed="false">
      <c r="A1658" s="11" t="str">
        <f aca="false">TRIM('수출입 실적(품목별)'!A1662)</f>
        <v>2025.06</v>
      </c>
      <c r="B1658" s="17" t="n">
        <f aca="false">IFERROR(VALUE(LEFT($A1658,4)),"")</f>
        <v>2025</v>
      </c>
      <c r="C1658" s="17" t="n">
        <f aca="false">IFERROR(VALUE(RIGHT($A1658,2)),"")</f>
        <v>6</v>
      </c>
      <c r="D1658" s="17" t="n">
        <f aca="false">IFERROR(ROUNDUP($C1658/3,0),"")</f>
        <v>2</v>
      </c>
      <c r="E1658" s="11" t="str">
        <f aca="false">TRIM('수출입 실적(품목별)'!B1662)</f>
        <v>19</v>
      </c>
      <c r="F1658" s="11" t="str">
        <f aca="false">TRIM('수출입 실적(품목별)'!C1662)</f>
        <v>곡물ㆍ고운 가루ㆍ전분ㆍ밀크의 조제품과 베이커리 제품</v>
      </c>
      <c r="G1658" s="18" t="n">
        <f aca="false">IFERROR(VALUE(SUBSTITUTE(TRIM('수출입 실적(품목별)'!D1662),",","")),"")</f>
        <v>53804.3</v>
      </c>
      <c r="H1658" s="19" t="n">
        <f aca="false">IFERROR(VALUE(SUBSTITUTE(TRIM('수출입 실적(품목별)'!E1662),",","")),"")</f>
        <v>221837</v>
      </c>
      <c r="I1658" s="18" t="n">
        <f aca="false">IFERROR(VALUE(SUBSTITUTE(TRIM('수출입 실적(품목별)'!F1662),",","")),"")</f>
        <v>28171.7</v>
      </c>
      <c r="J1658" s="19" t="n">
        <f aca="false">IFERROR(VALUE(SUBSTITUTE(TRIM('수출입 실적(품목별)'!G1662),",","")),"")</f>
        <v>91607</v>
      </c>
      <c r="K1658" s="19" t="n">
        <f aca="false">IFERROR(VALUE(SUBSTITUTE(TRIM('수출입 실적(품목별)'!H1662),",","")),"")</f>
        <v>130230</v>
      </c>
    </row>
    <row r="1659" customFormat="false" ht="15" hidden="false" customHeight="true" outlineLevel="0" collapsed="false">
      <c r="A1659" s="11" t="str">
        <f aca="false">TRIM('수출입 실적(품목별)'!A1663)</f>
        <v>2025.06</v>
      </c>
      <c r="B1659" s="17" t="n">
        <f aca="false">IFERROR(VALUE(LEFT($A1659,4)),"")</f>
        <v>2025</v>
      </c>
      <c r="C1659" s="17" t="n">
        <f aca="false">IFERROR(VALUE(RIGHT($A1659,2)),"")</f>
        <v>6</v>
      </c>
      <c r="D1659" s="17" t="n">
        <f aca="false">IFERROR(ROUNDUP($C1659/3,0),"")</f>
        <v>2</v>
      </c>
      <c r="E1659" s="11" t="str">
        <f aca="false">TRIM('수출입 실적(품목별)'!B1663)</f>
        <v>20</v>
      </c>
      <c r="F1659" s="11" t="str">
        <f aca="false">TRIM('수출입 실적(품목별)'!C1663)</f>
        <v>채소ㆍ과실ㆍ견과류나 식물의그 밖의 부분의 조제품</v>
      </c>
      <c r="G1659" s="18" t="n">
        <f aca="false">IFERROR(VALUE(SUBSTITUTE(TRIM('수출입 실적(품목별)'!D1663),",","")),"")</f>
        <v>9845.4</v>
      </c>
      <c r="H1659" s="19" t="n">
        <f aca="false">IFERROR(VALUE(SUBSTITUTE(TRIM('수출입 실적(품목별)'!E1663),",","")),"")</f>
        <v>79820</v>
      </c>
      <c r="I1659" s="18" t="n">
        <f aca="false">IFERROR(VALUE(SUBSTITUTE(TRIM('수출입 실적(품목별)'!F1663),",","")),"")</f>
        <v>98291.6</v>
      </c>
      <c r="J1659" s="19" t="n">
        <f aca="false">IFERROR(VALUE(SUBSTITUTE(TRIM('수출입 실적(품목별)'!G1663),",","")),"")</f>
        <v>145846</v>
      </c>
      <c r="K1659" s="19" t="n">
        <f aca="false">IFERROR(VALUE(SUBSTITUTE(TRIM('수출입 실적(품목별)'!H1663),",","")),"")</f>
        <v>-66026</v>
      </c>
    </row>
    <row r="1660" customFormat="false" ht="15" hidden="false" customHeight="true" outlineLevel="0" collapsed="false">
      <c r="A1660" s="11" t="str">
        <f aca="false">TRIM('수출입 실적(품목별)'!A1664)</f>
        <v>2025.06</v>
      </c>
      <c r="B1660" s="17" t="n">
        <f aca="false">IFERROR(VALUE(LEFT($A1660,4)),"")</f>
        <v>2025</v>
      </c>
      <c r="C1660" s="17" t="n">
        <f aca="false">IFERROR(VALUE(RIGHT($A1660,2)),"")</f>
        <v>6</v>
      </c>
      <c r="D1660" s="17" t="n">
        <f aca="false">IFERROR(ROUNDUP($C1660/3,0),"")</f>
        <v>2</v>
      </c>
      <c r="E1660" s="11" t="str">
        <f aca="false">TRIM('수출입 실적(품목별)'!B1664)</f>
        <v>21</v>
      </c>
      <c r="F1660" s="11" t="str">
        <f aca="false">TRIM('수출입 실적(품목별)'!C1664)</f>
        <v>각종 조제 식료품</v>
      </c>
      <c r="G1660" s="18" t="n">
        <f aca="false">IFERROR(VALUE(SUBSTITUTE(TRIM('수출입 실적(품목별)'!D1664),",","")),"")</f>
        <v>36139.5</v>
      </c>
      <c r="H1660" s="19" t="n">
        <f aca="false">IFERROR(VALUE(SUBSTITUTE(TRIM('수출입 실적(품목별)'!E1664),",","")),"")</f>
        <v>157189</v>
      </c>
      <c r="I1660" s="18" t="n">
        <f aca="false">IFERROR(VALUE(SUBSTITUTE(TRIM('수출입 실적(품목별)'!F1664),",","")),"")</f>
        <v>31042.3</v>
      </c>
      <c r="J1660" s="19" t="n">
        <f aca="false">IFERROR(VALUE(SUBSTITUTE(TRIM('수출입 실적(품목별)'!G1664),",","")),"")</f>
        <v>237844</v>
      </c>
      <c r="K1660" s="19" t="n">
        <f aca="false">IFERROR(VALUE(SUBSTITUTE(TRIM('수출입 실적(품목별)'!H1664),",","")),"")</f>
        <v>-80655</v>
      </c>
    </row>
    <row r="1661" customFormat="false" ht="15" hidden="false" customHeight="true" outlineLevel="0" collapsed="false">
      <c r="A1661" s="11" t="str">
        <f aca="false">TRIM('수출입 실적(품목별)'!A1665)</f>
        <v>2025.06</v>
      </c>
      <c r="B1661" s="17" t="n">
        <f aca="false">IFERROR(VALUE(LEFT($A1661,4)),"")</f>
        <v>2025</v>
      </c>
      <c r="C1661" s="17" t="n">
        <f aca="false">IFERROR(VALUE(RIGHT($A1661,2)),"")</f>
        <v>6</v>
      </c>
      <c r="D1661" s="17" t="n">
        <f aca="false">IFERROR(ROUNDUP($C1661/3,0),"")</f>
        <v>2</v>
      </c>
      <c r="E1661" s="11" t="str">
        <f aca="false">TRIM('수출입 실적(품목별)'!B1665)</f>
        <v>22</v>
      </c>
      <c r="F1661" s="11" t="str">
        <f aca="false">TRIM('수출입 실적(품목별)'!C1665)</f>
        <v>음료ㆍ주류ㆍ식초</v>
      </c>
      <c r="G1661" s="18" t="n">
        <f aca="false">IFERROR(VALUE(SUBSTITUTE(TRIM('수출입 실적(품목별)'!D1665),",","")),"")</f>
        <v>76987.8</v>
      </c>
      <c r="H1661" s="19" t="n">
        <f aca="false">IFERROR(VALUE(SUBSTITUTE(TRIM('수출입 실적(품목별)'!E1665),",","")),"")</f>
        <v>93992</v>
      </c>
      <c r="I1661" s="18" t="n">
        <f aca="false">IFERROR(VALUE(SUBSTITUTE(TRIM('수출입 실적(품목별)'!F1665),",","")),"")</f>
        <v>92260.6</v>
      </c>
      <c r="J1661" s="19" t="n">
        <f aca="false">IFERROR(VALUE(SUBSTITUTE(TRIM('수출입 실적(품목별)'!G1665),",","")),"")</f>
        <v>132019</v>
      </c>
      <c r="K1661" s="19" t="n">
        <f aca="false">IFERROR(VALUE(SUBSTITUTE(TRIM('수출입 실적(품목별)'!H1665),",","")),"")</f>
        <v>-38028</v>
      </c>
    </row>
    <row r="1662" customFormat="false" ht="15" hidden="false" customHeight="true" outlineLevel="0" collapsed="false">
      <c r="A1662" s="11" t="str">
        <f aca="false">TRIM('수출입 실적(품목별)'!A1666)</f>
        <v>2025.06</v>
      </c>
      <c r="B1662" s="17" t="n">
        <f aca="false">IFERROR(VALUE(LEFT($A1662,4)),"")</f>
        <v>2025</v>
      </c>
      <c r="C1662" s="17" t="n">
        <f aca="false">IFERROR(VALUE(RIGHT($A1662,2)),"")</f>
        <v>6</v>
      </c>
      <c r="D1662" s="17" t="n">
        <f aca="false">IFERROR(ROUNDUP($C1662/3,0),"")</f>
        <v>2</v>
      </c>
      <c r="E1662" s="11" t="str">
        <f aca="false">TRIM('수출입 실적(품목별)'!B1666)</f>
        <v>23</v>
      </c>
      <c r="F1662" s="11" t="str">
        <f aca="false">TRIM('수출입 실적(품목별)'!C1666)</f>
        <v>식품 공업에서 생기는 잔재물과 웨이스트(waste), 조제 사료</v>
      </c>
      <c r="G1662" s="18" t="n">
        <f aca="false">IFERROR(VALUE(SUBSTITUTE(TRIM('수출입 실적(품목별)'!D1666),",","")),"")</f>
        <v>22965</v>
      </c>
      <c r="H1662" s="19" t="n">
        <f aca="false">IFERROR(VALUE(SUBSTITUTE(TRIM('수출입 실적(품목별)'!E1666),",","")),"")</f>
        <v>25701</v>
      </c>
      <c r="I1662" s="18" t="n">
        <f aca="false">IFERROR(VALUE(SUBSTITUTE(TRIM('수출입 실적(품목별)'!F1666),",","")),"")</f>
        <v>578859</v>
      </c>
      <c r="J1662" s="19" t="n">
        <f aca="false">IFERROR(VALUE(SUBSTITUTE(TRIM('수출입 실적(품목별)'!G1666),",","")),"")</f>
        <v>189850</v>
      </c>
      <c r="K1662" s="19" t="n">
        <f aca="false">IFERROR(VALUE(SUBSTITUTE(TRIM('수출입 실적(품목별)'!H1666),",","")),"")</f>
        <v>-164149</v>
      </c>
    </row>
    <row r="1663" customFormat="false" ht="15" hidden="false" customHeight="true" outlineLevel="0" collapsed="false">
      <c r="A1663" s="11" t="str">
        <f aca="false">TRIM('수출입 실적(품목별)'!A1667)</f>
        <v>2025.06</v>
      </c>
      <c r="B1663" s="17" t="n">
        <f aca="false">IFERROR(VALUE(LEFT($A1663,4)),"")</f>
        <v>2025</v>
      </c>
      <c r="C1663" s="17" t="n">
        <f aca="false">IFERROR(VALUE(RIGHT($A1663,2)),"")</f>
        <v>6</v>
      </c>
      <c r="D1663" s="17" t="n">
        <f aca="false">IFERROR(ROUNDUP($C1663/3,0),"")</f>
        <v>2</v>
      </c>
      <c r="E1663" s="11" t="str">
        <f aca="false">TRIM('수출입 실적(품목별)'!B1667)</f>
        <v>24</v>
      </c>
      <c r="F1663" s="11" t="str">
        <f aca="false">TRIM('수출입 실적(품목별)'!C1667)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663" s="18" t="n">
        <f aca="false">IFERROR(VALUE(SUBSTITUTE(TRIM('수출입 실적(품목별)'!D1667),",","")),"")</f>
        <v>8797.4</v>
      </c>
      <c r="H1663" s="19" t="n">
        <f aca="false">IFERROR(VALUE(SUBSTITUTE(TRIM('수출입 실적(품목별)'!E1667),",","")),"")</f>
        <v>95341</v>
      </c>
      <c r="I1663" s="18" t="n">
        <f aca="false">IFERROR(VALUE(SUBSTITUTE(TRIM('수출입 실적(품목별)'!F1667),",","")),"")</f>
        <v>4905.5</v>
      </c>
      <c r="J1663" s="19" t="n">
        <f aca="false">IFERROR(VALUE(SUBSTITUTE(TRIM('수출입 실적(품목별)'!G1667),",","")),"")</f>
        <v>41935</v>
      </c>
      <c r="K1663" s="19" t="n">
        <f aca="false">IFERROR(VALUE(SUBSTITUTE(TRIM('수출입 실적(품목별)'!H1667),",","")),"")</f>
        <v>53406</v>
      </c>
    </row>
    <row r="1664" customFormat="false" ht="15" hidden="false" customHeight="true" outlineLevel="0" collapsed="false">
      <c r="A1664" s="11" t="str">
        <f aca="false">TRIM('수출입 실적(품목별)'!A1668)</f>
        <v>2025.06</v>
      </c>
      <c r="B1664" s="17" t="n">
        <f aca="false">IFERROR(VALUE(LEFT($A1664,4)),"")</f>
        <v>2025</v>
      </c>
      <c r="C1664" s="17" t="n">
        <f aca="false">IFERROR(VALUE(RIGHT($A1664,2)),"")</f>
        <v>6</v>
      </c>
      <c r="D1664" s="17" t="n">
        <f aca="false">IFERROR(ROUNDUP($C1664/3,0),"")</f>
        <v>2</v>
      </c>
      <c r="E1664" s="11" t="str">
        <f aca="false">TRIM('수출입 실적(품목별)'!B1668)</f>
        <v>25</v>
      </c>
      <c r="F1664" s="11" t="str">
        <f aca="false">TRIM('수출입 실적(품목별)'!C1668)</f>
        <v>소금, 황, 토석류(土石類), 석고ㆍ석회ㆍ시멘트</v>
      </c>
      <c r="G1664" s="18" t="n">
        <f aca="false">IFERROR(VALUE(SUBSTITUTE(TRIM('수출입 실적(품목별)'!D1668),",","")),"")</f>
        <v>535360.8</v>
      </c>
      <c r="H1664" s="19" t="n">
        <f aca="false">IFERROR(VALUE(SUBSTITUTE(TRIM('수출입 실적(품목별)'!E1668),",","")),"")</f>
        <v>39996</v>
      </c>
      <c r="I1664" s="18" t="n">
        <f aca="false">IFERROR(VALUE(SUBSTITUTE(TRIM('수출입 실적(품목별)'!F1668),",","")),"")</f>
        <v>923546.7</v>
      </c>
      <c r="J1664" s="19" t="n">
        <f aca="false">IFERROR(VALUE(SUBSTITUTE(TRIM('수출입 실적(품목별)'!G1668),",","")),"")</f>
        <v>79317</v>
      </c>
      <c r="K1664" s="19" t="n">
        <f aca="false">IFERROR(VALUE(SUBSTITUTE(TRIM('수출입 실적(품목별)'!H1668),",","")),"")</f>
        <v>-39321</v>
      </c>
    </row>
    <row r="1665" customFormat="false" ht="15" hidden="false" customHeight="true" outlineLevel="0" collapsed="false">
      <c r="A1665" s="11" t="str">
        <f aca="false">TRIM('수출입 실적(품목별)'!A1669)</f>
        <v>2025.06</v>
      </c>
      <c r="B1665" s="17" t="n">
        <f aca="false">IFERROR(VALUE(LEFT($A1665,4)),"")</f>
        <v>2025</v>
      </c>
      <c r="C1665" s="17" t="n">
        <f aca="false">IFERROR(VALUE(RIGHT($A1665,2)),"")</f>
        <v>6</v>
      </c>
      <c r="D1665" s="17" t="n">
        <f aca="false">IFERROR(ROUNDUP($C1665/3,0),"")</f>
        <v>2</v>
      </c>
      <c r="E1665" s="11" t="str">
        <f aca="false">TRIM('수출입 실적(품목별)'!B1669)</f>
        <v>26</v>
      </c>
      <c r="F1665" s="11" t="str">
        <f aca="false">TRIM('수출입 실적(품목별)'!C1669)</f>
        <v>광(鑛)ㆍ슬래그(slag)ㆍ회(灰)</v>
      </c>
      <c r="G1665" s="18" t="n">
        <f aca="false">IFERROR(VALUE(SUBSTITUTE(TRIM('수출입 실적(품목별)'!D1669),",","")),"")</f>
        <v>172345.2</v>
      </c>
      <c r="H1665" s="19" t="n">
        <f aca="false">IFERROR(VALUE(SUBSTITUTE(TRIM('수출입 실적(품목별)'!E1669),",","")),"")</f>
        <v>54902</v>
      </c>
      <c r="I1665" s="18" t="n">
        <f aca="false">IFERROR(VALUE(SUBSTITUTE(TRIM('수출입 실적(품목별)'!F1669),",","")),"")</f>
        <v>6732991.4</v>
      </c>
      <c r="J1665" s="19" t="n">
        <f aca="false">IFERROR(VALUE(SUBSTITUTE(TRIM('수출입 실적(품목별)'!G1669),",","")),"")</f>
        <v>2043230</v>
      </c>
      <c r="K1665" s="19" t="n">
        <f aca="false">IFERROR(VALUE(SUBSTITUTE(TRIM('수출입 실적(품목별)'!H1669),",","")),"")</f>
        <v>-1988328</v>
      </c>
    </row>
    <row r="1666" customFormat="false" ht="15" hidden="false" customHeight="true" outlineLevel="0" collapsed="false">
      <c r="A1666" s="11" t="str">
        <f aca="false">TRIM('수출입 실적(품목별)'!A1670)</f>
        <v>2025.06</v>
      </c>
      <c r="B1666" s="17" t="n">
        <f aca="false">IFERROR(VALUE(LEFT($A1666,4)),"")</f>
        <v>2025</v>
      </c>
      <c r="C1666" s="17" t="n">
        <f aca="false">IFERROR(VALUE(RIGHT($A1666,2)),"")</f>
        <v>6</v>
      </c>
      <c r="D1666" s="17" t="n">
        <f aca="false">IFERROR(ROUNDUP($C1666/3,0),"")</f>
        <v>2</v>
      </c>
      <c r="E1666" s="11" t="str">
        <f aca="false">TRIM('수출입 실적(품목별)'!B1670)</f>
        <v>27</v>
      </c>
      <c r="F1666" s="11" t="str">
        <f aca="false">TRIM('수출입 실적(품목별)'!C1670)</f>
        <v>광물성 연료ㆍ광물유(鑛物油)와 이들의 증류물, 역청(瀝靑)물질, 광물성 왁스</v>
      </c>
      <c r="G1666" s="18" t="n">
        <f aca="false">IFERROR(VALUE(SUBSTITUTE(TRIM('수출입 실적(품목별)'!D1670),",","")),"")</f>
        <v>5786724.2</v>
      </c>
      <c r="H1666" s="19" t="n">
        <f aca="false">IFERROR(VALUE(SUBSTITUTE(TRIM('수출입 실적(품목별)'!E1670),",","")),"")</f>
        <v>3907126</v>
      </c>
      <c r="I1666" s="18" t="n">
        <f aca="false">IFERROR(VALUE(SUBSTITUTE(TRIM('수출입 실적(품목별)'!F1670),",","")),"")</f>
        <v>25129584.9</v>
      </c>
      <c r="J1666" s="19" t="n">
        <f aca="false">IFERROR(VALUE(SUBSTITUTE(TRIM('수출입 실적(품목별)'!G1670),",","")),"")</f>
        <v>10139369</v>
      </c>
      <c r="K1666" s="19" t="n">
        <f aca="false">IFERROR(VALUE(SUBSTITUTE(TRIM('수출입 실적(품목별)'!H1670),",","")),"")</f>
        <v>-6232243</v>
      </c>
    </row>
    <row r="1667" customFormat="false" ht="15" hidden="false" customHeight="true" outlineLevel="0" collapsed="false">
      <c r="A1667" s="11" t="str">
        <f aca="false">TRIM('수출입 실적(품목별)'!A1671)</f>
        <v>2025.06</v>
      </c>
      <c r="B1667" s="17" t="n">
        <f aca="false">IFERROR(VALUE(LEFT($A1667,4)),"")</f>
        <v>2025</v>
      </c>
      <c r="C1667" s="17" t="n">
        <f aca="false">IFERROR(VALUE(RIGHT($A1667,2)),"")</f>
        <v>6</v>
      </c>
      <c r="D1667" s="17" t="n">
        <f aca="false">IFERROR(ROUNDUP($C1667/3,0),"")</f>
        <v>2</v>
      </c>
      <c r="E1667" s="11" t="str">
        <f aca="false">TRIM('수출입 실적(품목별)'!B1671)</f>
        <v>28</v>
      </c>
      <c r="F1667" s="11" t="str">
        <f aca="false">TRIM('수출입 실적(품목별)'!C1671)</f>
        <v>무기화학품, 귀금속ㆍ희토류(稀土類)금속ㆍ방사성원소ㆍ동위원소의 유기화합물이나 무기화합물</v>
      </c>
      <c r="G1667" s="18" t="n">
        <f aca="false">IFERROR(VALUE(SUBSTITUTE(TRIM('수출입 실적(품목별)'!D1671),",","")),"")</f>
        <v>457121.2</v>
      </c>
      <c r="H1667" s="19" t="n">
        <f aca="false">IFERROR(VALUE(SUBSTITUTE(TRIM('수출입 실적(품목별)'!E1671),",","")),"")</f>
        <v>775086</v>
      </c>
      <c r="I1667" s="18" t="n">
        <f aca="false">IFERROR(VALUE(SUBSTITUTE(TRIM('수출입 실적(품목별)'!F1671),",","")),"")</f>
        <v>321394.1</v>
      </c>
      <c r="J1667" s="19" t="n">
        <f aca="false">IFERROR(VALUE(SUBSTITUTE(TRIM('수출입 실적(품목별)'!G1671),",","")),"")</f>
        <v>873310</v>
      </c>
      <c r="K1667" s="19" t="n">
        <f aca="false">IFERROR(VALUE(SUBSTITUTE(TRIM('수출입 실적(품목별)'!H1671),",","")),"")</f>
        <v>-98223</v>
      </c>
    </row>
    <row r="1668" customFormat="false" ht="15" hidden="false" customHeight="true" outlineLevel="0" collapsed="false">
      <c r="A1668" s="11" t="str">
        <f aca="false">TRIM('수출입 실적(품목별)'!A1672)</f>
        <v>2025.06</v>
      </c>
      <c r="B1668" s="17" t="n">
        <f aca="false">IFERROR(VALUE(LEFT($A1668,4)),"")</f>
        <v>2025</v>
      </c>
      <c r="C1668" s="17" t="n">
        <f aca="false">IFERROR(VALUE(RIGHT($A1668,2)),"")</f>
        <v>6</v>
      </c>
      <c r="D1668" s="17" t="n">
        <f aca="false">IFERROR(ROUNDUP($C1668/3,0),"")</f>
        <v>2</v>
      </c>
      <c r="E1668" s="11" t="str">
        <f aca="false">TRIM('수출입 실적(품목별)'!B1672)</f>
        <v>29</v>
      </c>
      <c r="F1668" s="11" t="str">
        <f aca="false">TRIM('수출입 실적(품목별)'!C1672)</f>
        <v>유기화학품</v>
      </c>
      <c r="G1668" s="18" t="n">
        <f aca="false">IFERROR(VALUE(SUBSTITUTE(TRIM('수출입 실적(품목별)'!D1672),",","")),"")</f>
        <v>1639968.6</v>
      </c>
      <c r="H1668" s="19" t="n">
        <f aca="false">IFERROR(VALUE(SUBSTITUTE(TRIM('수출입 실적(품목별)'!E1672),",","")),"")</f>
        <v>1572396</v>
      </c>
      <c r="I1668" s="18" t="n">
        <f aca="false">IFERROR(VALUE(SUBSTITUTE(TRIM('수출입 실적(품목별)'!F1672),",","")),"")</f>
        <v>663487.2</v>
      </c>
      <c r="J1668" s="19" t="n">
        <f aca="false">IFERROR(VALUE(SUBSTITUTE(TRIM('수출입 실적(품목별)'!G1672),",","")),"")</f>
        <v>1096541</v>
      </c>
      <c r="K1668" s="19" t="n">
        <f aca="false">IFERROR(VALUE(SUBSTITUTE(TRIM('수출입 실적(품목별)'!H1672),",","")),"")</f>
        <v>475855</v>
      </c>
    </row>
    <row r="1669" customFormat="false" ht="15" hidden="false" customHeight="true" outlineLevel="0" collapsed="false">
      <c r="A1669" s="11" t="str">
        <f aca="false">TRIM('수출입 실적(품목별)'!A1673)</f>
        <v>2025.06</v>
      </c>
      <c r="B1669" s="17" t="n">
        <f aca="false">IFERROR(VALUE(LEFT($A1669,4)),"")</f>
        <v>2025</v>
      </c>
      <c r="C1669" s="17" t="n">
        <f aca="false">IFERROR(VALUE(RIGHT($A1669,2)),"")</f>
        <v>6</v>
      </c>
      <c r="D1669" s="17" t="n">
        <f aca="false">IFERROR(ROUNDUP($C1669/3,0),"")</f>
        <v>2</v>
      </c>
      <c r="E1669" s="11" t="str">
        <f aca="false">TRIM('수출입 실적(품목별)'!B1673)</f>
        <v>30</v>
      </c>
      <c r="F1669" s="11" t="str">
        <f aca="false">TRIM('수출입 실적(품목별)'!C1673)</f>
        <v>의료용품</v>
      </c>
      <c r="G1669" s="18" t="n">
        <f aca="false">IFERROR(VALUE(SUBSTITUTE(TRIM('수출입 실적(품목별)'!D1673),",","")),"")</f>
        <v>2714.6</v>
      </c>
      <c r="H1669" s="19" t="n">
        <f aca="false">IFERROR(VALUE(SUBSTITUTE(TRIM('수출입 실적(품목별)'!E1673),",","")),"")</f>
        <v>969786</v>
      </c>
      <c r="I1669" s="18" t="n">
        <f aca="false">IFERROR(VALUE(SUBSTITUTE(TRIM('수출입 실적(품목별)'!F1673),",","")),"")</f>
        <v>8120</v>
      </c>
      <c r="J1669" s="19" t="n">
        <f aca="false">IFERROR(VALUE(SUBSTITUTE(TRIM('수출입 실적(품목별)'!G1673),",","")),"")</f>
        <v>789665</v>
      </c>
      <c r="K1669" s="19" t="n">
        <f aca="false">IFERROR(VALUE(SUBSTITUTE(TRIM('수출입 실적(품목별)'!H1673),",","")),"")</f>
        <v>180121</v>
      </c>
    </row>
    <row r="1670" customFormat="false" ht="15" hidden="false" customHeight="true" outlineLevel="0" collapsed="false">
      <c r="A1670" s="11" t="str">
        <f aca="false">TRIM('수출입 실적(품목별)'!A1674)</f>
        <v>2025.06</v>
      </c>
      <c r="B1670" s="17" t="n">
        <f aca="false">IFERROR(VALUE(LEFT($A1670,4)),"")</f>
        <v>2025</v>
      </c>
      <c r="C1670" s="17" t="n">
        <f aca="false">IFERROR(VALUE(RIGHT($A1670,2)),"")</f>
        <v>6</v>
      </c>
      <c r="D1670" s="17" t="n">
        <f aca="false">IFERROR(ROUNDUP($C1670/3,0),"")</f>
        <v>2</v>
      </c>
      <c r="E1670" s="11" t="str">
        <f aca="false">TRIM('수출입 실적(품목별)'!B1674)</f>
        <v>31</v>
      </c>
      <c r="F1670" s="11" t="str">
        <f aca="false">TRIM('수출입 실적(품목별)'!C1674)</f>
        <v>비료</v>
      </c>
      <c r="G1670" s="18" t="n">
        <f aca="false">IFERROR(VALUE(SUBSTITUTE(TRIM('수출입 실적(품목별)'!D1674),",","")),"")</f>
        <v>107709.5</v>
      </c>
      <c r="H1670" s="19" t="n">
        <f aca="false">IFERROR(VALUE(SUBSTITUTE(TRIM('수출입 실적(품목별)'!E1674),",","")),"")</f>
        <v>40518</v>
      </c>
      <c r="I1670" s="18" t="n">
        <f aca="false">IFERROR(VALUE(SUBSTITUTE(TRIM('수출입 실적(품목별)'!F1674),",","")),"")</f>
        <v>166227.1</v>
      </c>
      <c r="J1670" s="19" t="n">
        <f aca="false">IFERROR(VALUE(SUBSTITUTE(TRIM('수출입 실적(품목별)'!G1674),",","")),"")</f>
        <v>64087</v>
      </c>
      <c r="K1670" s="19" t="n">
        <f aca="false">IFERROR(VALUE(SUBSTITUTE(TRIM('수출입 실적(품목별)'!H1674),",","")),"")</f>
        <v>-23569</v>
      </c>
    </row>
    <row r="1671" customFormat="false" ht="15" hidden="false" customHeight="true" outlineLevel="0" collapsed="false">
      <c r="A1671" s="11" t="str">
        <f aca="false">TRIM('수출입 실적(품목별)'!A1675)</f>
        <v>2025.06</v>
      </c>
      <c r="B1671" s="17" t="n">
        <f aca="false">IFERROR(VALUE(LEFT($A1671,4)),"")</f>
        <v>2025</v>
      </c>
      <c r="C1671" s="17" t="n">
        <f aca="false">IFERROR(VALUE(RIGHT($A1671,2)),"")</f>
        <v>6</v>
      </c>
      <c r="D1671" s="17" t="n">
        <f aca="false">IFERROR(ROUNDUP($C1671/3,0),"")</f>
        <v>2</v>
      </c>
      <c r="E1671" s="11" t="str">
        <f aca="false">TRIM('수출입 실적(품목별)'!B1675)</f>
        <v>32</v>
      </c>
      <c r="F1671" s="11" t="str">
        <f aca="false">TRIM('수출입 실적(품목별)'!C1675)</f>
        <v>유연용ㆍ염색용 추출물(extract), 탄닌과 이들의 유도체, 염료ㆍ안료와 그 밖의 착색제, 페인트ㆍ바니시(varnish), 퍼티(putty)와 그 밖의 매스틱(mastic), 잉크</v>
      </c>
      <c r="G1671" s="18" t="n">
        <f aca="false">IFERROR(VALUE(SUBSTITUTE(TRIM('수출입 실적(품목별)'!D1675),",","")),"")</f>
        <v>28621.4</v>
      </c>
      <c r="H1671" s="19" t="n">
        <f aca="false">IFERROR(VALUE(SUBSTITUTE(TRIM('수출입 실적(품목별)'!E1675),",","")),"")</f>
        <v>223739</v>
      </c>
      <c r="I1671" s="18" t="n">
        <f aca="false">IFERROR(VALUE(SUBSTITUTE(TRIM('수출입 실적(품목별)'!F1675),",","")),"")</f>
        <v>24696.2</v>
      </c>
      <c r="J1671" s="19" t="n">
        <f aca="false">IFERROR(VALUE(SUBSTITUTE(TRIM('수출입 실적(품목별)'!G1675),",","")),"")</f>
        <v>190624</v>
      </c>
      <c r="K1671" s="19" t="n">
        <f aca="false">IFERROR(VALUE(SUBSTITUTE(TRIM('수출입 실적(품목별)'!H1675),",","")),"")</f>
        <v>33115</v>
      </c>
    </row>
    <row r="1672" customFormat="false" ht="15" hidden="false" customHeight="true" outlineLevel="0" collapsed="false">
      <c r="A1672" s="11" t="str">
        <f aca="false">TRIM('수출입 실적(품목별)'!A1676)</f>
        <v>2025.06</v>
      </c>
      <c r="B1672" s="17" t="n">
        <f aca="false">IFERROR(VALUE(LEFT($A1672,4)),"")</f>
        <v>2025</v>
      </c>
      <c r="C1672" s="17" t="n">
        <f aca="false">IFERROR(VALUE(RIGHT($A1672,2)),"")</f>
        <v>6</v>
      </c>
      <c r="D1672" s="17" t="n">
        <f aca="false">IFERROR(ROUNDUP($C1672/3,0),"")</f>
        <v>2</v>
      </c>
      <c r="E1672" s="11" t="str">
        <f aca="false">TRIM('수출입 실적(품목별)'!B1676)</f>
        <v>33</v>
      </c>
      <c r="F1672" s="11" t="str">
        <f aca="false">TRIM('수출입 실적(품목별)'!C1676)</f>
        <v>정유(essential oil)와 레지노이드(resinoid), 조제향료와 화장품ㆍ화장용품</v>
      </c>
      <c r="G1672" s="18" t="n">
        <f aca="false">IFERROR(VALUE(SUBSTITUTE(TRIM('수출입 실적(품목별)'!D1676),",","")),"")</f>
        <v>40082.3</v>
      </c>
      <c r="H1672" s="19" t="n">
        <f aca="false">IFERROR(VALUE(SUBSTITUTE(TRIM('수출입 실적(품목별)'!E1676),",","")),"")</f>
        <v>907377</v>
      </c>
      <c r="I1672" s="18" t="n">
        <f aca="false">IFERROR(VALUE(SUBSTITUTE(TRIM('수출입 실적(품목별)'!F1676),",","")),"")</f>
        <v>9762.5</v>
      </c>
      <c r="J1672" s="19" t="n">
        <f aca="false">IFERROR(VALUE(SUBSTITUTE(TRIM('수출입 실적(품목별)'!G1676),",","")),"")</f>
        <v>186256</v>
      </c>
      <c r="K1672" s="19" t="n">
        <f aca="false">IFERROR(VALUE(SUBSTITUTE(TRIM('수출입 실적(품목별)'!H1676),",","")),"")</f>
        <v>721120</v>
      </c>
    </row>
    <row r="1673" customFormat="false" ht="15" hidden="false" customHeight="true" outlineLevel="0" collapsed="false">
      <c r="A1673" s="11" t="str">
        <f aca="false">TRIM('수출입 실적(품목별)'!A1677)</f>
        <v>2025.06</v>
      </c>
      <c r="B1673" s="17" t="n">
        <f aca="false">IFERROR(VALUE(LEFT($A1673,4)),"")</f>
        <v>2025</v>
      </c>
      <c r="C1673" s="17" t="n">
        <f aca="false">IFERROR(VALUE(RIGHT($A1673,2)),"")</f>
        <v>6</v>
      </c>
      <c r="D1673" s="17" t="n">
        <f aca="false">IFERROR(ROUNDUP($C1673/3,0),"")</f>
        <v>2</v>
      </c>
      <c r="E1673" s="11" t="str">
        <f aca="false">TRIM('수출입 실적(품목별)'!B1677)</f>
        <v>34</v>
      </c>
      <c r="F1673" s="11" t="str">
        <f aca="false">TRIM('수출입 실적(품목별)'!C1677)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673" s="18" t="n">
        <f aca="false">IFERROR(VALUE(SUBSTITUTE(TRIM('수출입 실적(품목별)'!D1677),",","")),"")</f>
        <v>50086.9</v>
      </c>
      <c r="H1673" s="19" t="n">
        <f aca="false">IFERROR(VALUE(SUBSTITUTE(TRIM('수출입 실적(품목별)'!E1677),",","")),"")</f>
        <v>156708</v>
      </c>
      <c r="I1673" s="18" t="n">
        <f aca="false">IFERROR(VALUE(SUBSTITUTE(TRIM('수출입 실적(품목별)'!F1677),",","")),"")</f>
        <v>24002.9</v>
      </c>
      <c r="J1673" s="19" t="n">
        <f aca="false">IFERROR(VALUE(SUBSTITUTE(TRIM('수출입 실적(품목별)'!G1677),",","")),"")</f>
        <v>99390</v>
      </c>
      <c r="K1673" s="19" t="n">
        <f aca="false">IFERROR(VALUE(SUBSTITUTE(TRIM('수출입 실적(품목별)'!H1677),",","")),"")</f>
        <v>57318</v>
      </c>
    </row>
    <row r="1674" customFormat="false" ht="15" hidden="false" customHeight="true" outlineLevel="0" collapsed="false">
      <c r="A1674" s="11" t="str">
        <f aca="false">TRIM('수출입 실적(품목별)'!A1678)</f>
        <v>2025.06</v>
      </c>
      <c r="B1674" s="17" t="n">
        <f aca="false">IFERROR(VALUE(LEFT($A1674,4)),"")</f>
        <v>2025</v>
      </c>
      <c r="C1674" s="17" t="n">
        <f aca="false">IFERROR(VALUE(RIGHT($A1674,2)),"")</f>
        <v>6</v>
      </c>
      <c r="D1674" s="17" t="n">
        <f aca="false">IFERROR(ROUNDUP($C1674/3,0),"")</f>
        <v>2</v>
      </c>
      <c r="E1674" s="11" t="str">
        <f aca="false">TRIM('수출입 실적(품목별)'!B1678)</f>
        <v>35</v>
      </c>
      <c r="F1674" s="11" t="str">
        <f aca="false">TRIM('수출입 실적(품목별)'!C1678)</f>
        <v>단백질계 물질, 변성전분, 글루(glue), 효소</v>
      </c>
      <c r="G1674" s="18" t="n">
        <f aca="false">IFERROR(VALUE(SUBSTITUTE(TRIM('수출입 실적(품목별)'!D1678),",","")),"")</f>
        <v>6084.6</v>
      </c>
      <c r="H1674" s="19" t="n">
        <f aca="false">IFERROR(VALUE(SUBSTITUTE(TRIM('수출입 실적(품목별)'!E1678),",","")),"")</f>
        <v>77644</v>
      </c>
      <c r="I1674" s="18" t="n">
        <f aca="false">IFERROR(VALUE(SUBSTITUTE(TRIM('수출입 실적(품목별)'!F1678),",","")),"")</f>
        <v>19419.9</v>
      </c>
      <c r="J1674" s="19" t="n">
        <f aca="false">IFERROR(VALUE(SUBSTITUTE(TRIM('수출입 실적(품목별)'!G1678),",","")),"")</f>
        <v>83886</v>
      </c>
      <c r="K1674" s="19" t="n">
        <f aca="false">IFERROR(VALUE(SUBSTITUTE(TRIM('수출입 실적(품목별)'!H1678),",","")),"")</f>
        <v>-6241</v>
      </c>
    </row>
    <row r="1675" customFormat="false" ht="15" hidden="false" customHeight="true" outlineLevel="0" collapsed="false">
      <c r="A1675" s="11" t="str">
        <f aca="false">TRIM('수출입 실적(품목별)'!A1679)</f>
        <v>2025.06</v>
      </c>
      <c r="B1675" s="17" t="n">
        <f aca="false">IFERROR(VALUE(LEFT($A1675,4)),"")</f>
        <v>2025</v>
      </c>
      <c r="C1675" s="17" t="n">
        <f aca="false">IFERROR(VALUE(RIGHT($A1675,2)),"")</f>
        <v>6</v>
      </c>
      <c r="D1675" s="17" t="n">
        <f aca="false">IFERROR(ROUNDUP($C1675/3,0),"")</f>
        <v>2</v>
      </c>
      <c r="E1675" s="11" t="str">
        <f aca="false">TRIM('수출입 실적(품목별)'!B1679)</f>
        <v>36</v>
      </c>
      <c r="F1675" s="11" t="str">
        <f aca="false">TRIM('수출입 실적(품목별)'!C1679)</f>
        <v>화약류, 화공품, 성냥, 발화성 합금, 특정 가연성 조제품</v>
      </c>
      <c r="G1675" s="18" t="n">
        <f aca="false">IFERROR(VALUE(SUBSTITUTE(TRIM('수출입 실적(품목별)'!D1679),",","")),"")</f>
        <v>282</v>
      </c>
      <c r="H1675" s="19" t="n">
        <f aca="false">IFERROR(VALUE(SUBSTITUTE(TRIM('수출입 실적(품목별)'!E1679),",","")),"")</f>
        <v>3992</v>
      </c>
      <c r="I1675" s="18" t="n">
        <f aca="false">IFERROR(VALUE(SUBSTITUTE(TRIM('수출입 실적(품목별)'!F1679),",","")),"")</f>
        <v>242.7</v>
      </c>
      <c r="J1675" s="19" t="n">
        <f aca="false">IFERROR(VALUE(SUBSTITUTE(TRIM('수출입 실적(품목별)'!G1679),",","")),"")</f>
        <v>8178</v>
      </c>
      <c r="K1675" s="19" t="n">
        <f aca="false">IFERROR(VALUE(SUBSTITUTE(TRIM('수출입 실적(품목별)'!H1679),",","")),"")</f>
        <v>-4186</v>
      </c>
    </row>
    <row r="1676" customFormat="false" ht="15" hidden="false" customHeight="true" outlineLevel="0" collapsed="false">
      <c r="A1676" s="11" t="str">
        <f aca="false">TRIM('수출입 실적(품목별)'!A1680)</f>
        <v>2025.06</v>
      </c>
      <c r="B1676" s="17" t="n">
        <f aca="false">IFERROR(VALUE(LEFT($A1676,4)),"")</f>
        <v>2025</v>
      </c>
      <c r="C1676" s="17" t="n">
        <f aca="false">IFERROR(VALUE(RIGHT($A1676,2)),"")</f>
        <v>6</v>
      </c>
      <c r="D1676" s="17" t="n">
        <f aca="false">IFERROR(ROUNDUP($C1676/3,0),"")</f>
        <v>2</v>
      </c>
      <c r="E1676" s="11" t="str">
        <f aca="false">TRIM('수출입 실적(품목별)'!B1680)</f>
        <v>37</v>
      </c>
      <c r="F1676" s="11" t="str">
        <f aca="false">TRIM('수출입 실적(품목별)'!C1680)</f>
        <v>사진용이나 영화용 재료</v>
      </c>
      <c r="G1676" s="18" t="n">
        <f aca="false">IFERROR(VALUE(SUBSTITUTE(TRIM('수출입 실적(품목별)'!D1680),",","")),"")</f>
        <v>1723.3</v>
      </c>
      <c r="H1676" s="19" t="n">
        <f aca="false">IFERROR(VALUE(SUBSTITUTE(TRIM('수출입 실적(품목별)'!E1680),",","")),"")</f>
        <v>89265</v>
      </c>
      <c r="I1676" s="18" t="n">
        <f aca="false">IFERROR(VALUE(SUBSTITUTE(TRIM('수출입 실적(품목별)'!F1680),",","")),"")</f>
        <v>2740.5</v>
      </c>
      <c r="J1676" s="19" t="n">
        <f aca="false">IFERROR(VALUE(SUBSTITUTE(TRIM('수출입 실적(품목별)'!G1680),",","")),"")</f>
        <v>93292</v>
      </c>
      <c r="K1676" s="19" t="n">
        <f aca="false">IFERROR(VALUE(SUBSTITUTE(TRIM('수출입 실적(품목별)'!H1680),",","")),"")</f>
        <v>-4027</v>
      </c>
    </row>
    <row r="1677" customFormat="false" ht="15" hidden="false" customHeight="true" outlineLevel="0" collapsed="false">
      <c r="A1677" s="11" t="str">
        <f aca="false">TRIM('수출입 실적(품목별)'!A1681)</f>
        <v>2025.06</v>
      </c>
      <c r="B1677" s="17" t="n">
        <f aca="false">IFERROR(VALUE(LEFT($A1677,4)),"")</f>
        <v>2025</v>
      </c>
      <c r="C1677" s="17" t="n">
        <f aca="false">IFERROR(VALUE(RIGHT($A1677,2)),"")</f>
        <v>6</v>
      </c>
      <c r="D1677" s="17" t="n">
        <f aca="false">IFERROR(ROUNDUP($C1677/3,0),"")</f>
        <v>2</v>
      </c>
      <c r="E1677" s="11" t="str">
        <f aca="false">TRIM('수출입 실적(품목별)'!B1681)</f>
        <v>38</v>
      </c>
      <c r="F1677" s="11" t="str">
        <f aca="false">TRIM('수출입 실적(품목별)'!C1681)</f>
        <v>각종 화학공업 생산품</v>
      </c>
      <c r="G1677" s="18" t="n">
        <f aca="false">IFERROR(VALUE(SUBSTITUTE(TRIM('수출입 실적(품목별)'!D1681),",","")),"")</f>
        <v>89468.8</v>
      </c>
      <c r="H1677" s="19" t="n">
        <f aca="false">IFERROR(VALUE(SUBSTITUTE(TRIM('수출입 실적(품목별)'!E1681),",","")),"")</f>
        <v>617744</v>
      </c>
      <c r="I1677" s="18" t="n">
        <f aca="false">IFERROR(VALUE(SUBSTITUTE(TRIM('수출입 실적(품목별)'!F1681),",","")),"")</f>
        <v>231475.3</v>
      </c>
      <c r="J1677" s="19" t="n">
        <f aca="false">IFERROR(VALUE(SUBSTITUTE(TRIM('수출입 실적(품목별)'!G1681),",","")),"")</f>
        <v>798572</v>
      </c>
      <c r="K1677" s="19" t="n">
        <f aca="false">IFERROR(VALUE(SUBSTITUTE(TRIM('수출입 실적(품목별)'!H1681),",","")),"")</f>
        <v>-180828</v>
      </c>
    </row>
    <row r="1678" customFormat="false" ht="15" hidden="false" customHeight="true" outlineLevel="0" collapsed="false">
      <c r="A1678" s="11" t="str">
        <f aca="false">TRIM('수출입 실적(품목별)'!A1682)</f>
        <v>2025.06</v>
      </c>
      <c r="B1678" s="17" t="n">
        <f aca="false">IFERROR(VALUE(LEFT($A1678,4)),"")</f>
        <v>2025</v>
      </c>
      <c r="C1678" s="17" t="n">
        <f aca="false">IFERROR(VALUE(RIGHT($A1678,2)),"")</f>
        <v>6</v>
      </c>
      <c r="D1678" s="17" t="n">
        <f aca="false">IFERROR(ROUNDUP($C1678/3,0),"")</f>
        <v>2</v>
      </c>
      <c r="E1678" s="11" t="str">
        <f aca="false">TRIM('수출입 실적(품목별)'!B1682)</f>
        <v>39</v>
      </c>
      <c r="F1678" s="11" t="str">
        <f aca="false">TRIM('수출입 실적(품목별)'!C1682)</f>
        <v>플라스틱과 그 제품</v>
      </c>
      <c r="G1678" s="18" t="n">
        <f aca="false">IFERROR(VALUE(SUBSTITUTE(TRIM('수출입 실적(품목별)'!D1682),",","")),"")</f>
        <v>1366116.9</v>
      </c>
      <c r="H1678" s="19" t="n">
        <f aca="false">IFERROR(VALUE(SUBSTITUTE(TRIM('수출입 실적(품목별)'!E1682),",","")),"")</f>
        <v>2722389</v>
      </c>
      <c r="I1678" s="18" t="n">
        <f aca="false">IFERROR(VALUE(SUBSTITUTE(TRIM('수출입 실적(품목별)'!F1682),",","")),"")</f>
        <v>294254</v>
      </c>
      <c r="J1678" s="19" t="n">
        <f aca="false">IFERROR(VALUE(SUBSTITUTE(TRIM('수출입 실적(품목별)'!G1682),",","")),"")</f>
        <v>1130373</v>
      </c>
      <c r="K1678" s="19" t="n">
        <f aca="false">IFERROR(VALUE(SUBSTITUTE(TRIM('수출입 실적(품목별)'!H1682),",","")),"")</f>
        <v>1592016</v>
      </c>
    </row>
    <row r="1679" customFormat="false" ht="15" hidden="false" customHeight="true" outlineLevel="0" collapsed="false">
      <c r="A1679" s="11" t="str">
        <f aca="false">TRIM('수출입 실적(품목별)'!A1683)</f>
        <v>2025.06</v>
      </c>
      <c r="B1679" s="17" t="n">
        <f aca="false">IFERROR(VALUE(LEFT($A1679,4)),"")</f>
        <v>2025</v>
      </c>
      <c r="C1679" s="17" t="n">
        <f aca="false">IFERROR(VALUE(RIGHT($A1679,2)),"")</f>
        <v>6</v>
      </c>
      <c r="D1679" s="17" t="n">
        <f aca="false">IFERROR(ROUNDUP($C1679/3,0),"")</f>
        <v>2</v>
      </c>
      <c r="E1679" s="11" t="str">
        <f aca="false">TRIM('수출입 실적(품목별)'!B1683)</f>
        <v>40</v>
      </c>
      <c r="F1679" s="11" t="str">
        <f aca="false">TRIM('수출입 실적(품목별)'!C1683)</f>
        <v>고무와 그 제품</v>
      </c>
      <c r="G1679" s="18" t="n">
        <f aca="false">IFERROR(VALUE(SUBSTITUTE(TRIM('수출입 실적(품목별)'!D1683),",","")),"")</f>
        <v>240386.2</v>
      </c>
      <c r="H1679" s="19" t="n">
        <f aca="false">IFERROR(VALUE(SUBSTITUTE(TRIM('수출입 실적(품목별)'!E1683),",","")),"")</f>
        <v>628525</v>
      </c>
      <c r="I1679" s="18" t="n">
        <f aca="false">IFERROR(VALUE(SUBSTITUTE(TRIM('수출입 실적(품목별)'!F1683),",","")),"")</f>
        <v>79343.8</v>
      </c>
      <c r="J1679" s="19" t="n">
        <f aca="false">IFERROR(VALUE(SUBSTITUTE(TRIM('수출입 실적(품목별)'!G1683),",","")),"")</f>
        <v>272115</v>
      </c>
      <c r="K1679" s="19" t="n">
        <f aca="false">IFERROR(VALUE(SUBSTITUTE(TRIM('수출입 실적(품목별)'!H1683),",","")),"")</f>
        <v>356410</v>
      </c>
    </row>
    <row r="1680" customFormat="false" ht="15" hidden="false" customHeight="true" outlineLevel="0" collapsed="false">
      <c r="A1680" s="11" t="str">
        <f aca="false">TRIM('수출입 실적(품목별)'!A1684)</f>
        <v>2025.06</v>
      </c>
      <c r="B1680" s="17" t="n">
        <f aca="false">IFERROR(VALUE(LEFT($A1680,4)),"")</f>
        <v>2025</v>
      </c>
      <c r="C1680" s="17" t="n">
        <f aca="false">IFERROR(VALUE(RIGHT($A1680,2)),"")</f>
        <v>6</v>
      </c>
      <c r="D1680" s="17" t="n">
        <f aca="false">IFERROR(ROUNDUP($C1680/3,0),"")</f>
        <v>2</v>
      </c>
      <c r="E1680" s="11" t="str">
        <f aca="false">TRIM('수출입 실적(품목별)'!B1684)</f>
        <v>41</v>
      </c>
      <c r="F1680" s="11" t="str">
        <f aca="false">TRIM('수출입 실적(품목별)'!C1684)</f>
        <v>원피(모피는 제외한다)와 가죽</v>
      </c>
      <c r="G1680" s="18" t="n">
        <f aca="false">IFERROR(VALUE(SUBSTITUTE(TRIM('수출입 실적(품목별)'!D1684),",","")),"")</f>
        <v>2853.1</v>
      </c>
      <c r="H1680" s="19" t="n">
        <f aca="false">IFERROR(VALUE(SUBSTITUTE(TRIM('수출입 실적(품목별)'!E1684),",","")),"")</f>
        <v>24065</v>
      </c>
      <c r="I1680" s="18" t="n">
        <f aca="false">IFERROR(VALUE(SUBSTITUTE(TRIM('수출입 실적(품목별)'!F1684),",","")),"")</f>
        <v>9096.6</v>
      </c>
      <c r="J1680" s="19" t="n">
        <f aca="false">IFERROR(VALUE(SUBSTITUTE(TRIM('수출입 실적(품목별)'!G1684),",","")),"")</f>
        <v>23401</v>
      </c>
      <c r="K1680" s="19" t="n">
        <f aca="false">IFERROR(VALUE(SUBSTITUTE(TRIM('수출입 실적(품목별)'!H1684),",","")),"")</f>
        <v>664</v>
      </c>
    </row>
    <row r="1681" customFormat="false" ht="15" hidden="false" customHeight="true" outlineLevel="0" collapsed="false">
      <c r="A1681" s="11" t="str">
        <f aca="false">TRIM('수출입 실적(품목별)'!A1685)</f>
        <v>2025.06</v>
      </c>
      <c r="B1681" s="17" t="n">
        <f aca="false">IFERROR(VALUE(LEFT($A1681,4)),"")</f>
        <v>2025</v>
      </c>
      <c r="C1681" s="17" t="n">
        <f aca="false">IFERROR(VALUE(RIGHT($A1681,2)),"")</f>
        <v>6</v>
      </c>
      <c r="D1681" s="17" t="n">
        <f aca="false">IFERROR(ROUNDUP($C1681/3,0),"")</f>
        <v>2</v>
      </c>
      <c r="E1681" s="11" t="str">
        <f aca="false">TRIM('수출입 실적(품목별)'!B1685)</f>
        <v>42</v>
      </c>
      <c r="F1681" s="11" t="str">
        <f aca="false">TRIM('수출입 실적(품목별)'!C1685)</f>
        <v>가죽제품, 마구, 여행용구ㆍ핸드백과 이와 유사한 용기, 동물 거트(gut)[누에의 거트(gut)는 제외한다]의 제품</v>
      </c>
      <c r="G1681" s="18" t="n">
        <f aca="false">IFERROR(VALUE(SUBSTITUTE(TRIM('수출입 실적(품목별)'!D1685),",","")),"")</f>
        <v>791</v>
      </c>
      <c r="H1681" s="19" t="n">
        <f aca="false">IFERROR(VALUE(SUBSTITUTE(TRIM('수출입 실적(품목별)'!E1685),",","")),"")</f>
        <v>49177</v>
      </c>
      <c r="I1681" s="18" t="n">
        <f aca="false">IFERROR(VALUE(SUBSTITUTE(TRIM('수출입 실적(품목별)'!F1685),",","")),"")</f>
        <v>8995.2</v>
      </c>
      <c r="J1681" s="19" t="n">
        <f aca="false">IFERROR(VALUE(SUBSTITUTE(TRIM('수출입 실적(품목별)'!G1685),",","")),"")</f>
        <v>291501</v>
      </c>
      <c r="K1681" s="19" t="n">
        <f aca="false">IFERROR(VALUE(SUBSTITUTE(TRIM('수출입 실적(품목별)'!H1685),",","")),"")</f>
        <v>-242325</v>
      </c>
    </row>
    <row r="1682" customFormat="false" ht="15" hidden="false" customHeight="true" outlineLevel="0" collapsed="false">
      <c r="A1682" s="11" t="str">
        <f aca="false">TRIM('수출입 실적(품목별)'!A1686)</f>
        <v>2025.06</v>
      </c>
      <c r="B1682" s="17" t="n">
        <f aca="false">IFERROR(VALUE(LEFT($A1682,4)),"")</f>
        <v>2025</v>
      </c>
      <c r="C1682" s="17" t="n">
        <f aca="false">IFERROR(VALUE(RIGHT($A1682,2)),"")</f>
        <v>6</v>
      </c>
      <c r="D1682" s="17" t="n">
        <f aca="false">IFERROR(ROUNDUP($C1682/3,0),"")</f>
        <v>2</v>
      </c>
      <c r="E1682" s="11" t="str">
        <f aca="false">TRIM('수출입 실적(품목별)'!B1686)</f>
        <v>43</v>
      </c>
      <c r="F1682" s="11" t="str">
        <f aca="false">TRIM('수출입 실적(품목별)'!C1686)</f>
        <v>모피ㆍ인조모피와 이들의 제품</v>
      </c>
      <c r="G1682" s="18" t="n">
        <f aca="false">IFERROR(VALUE(SUBSTITUTE(TRIM('수출입 실적(품목별)'!D1686),",","")),"")</f>
        <v>8.6</v>
      </c>
      <c r="H1682" s="19" t="n">
        <f aca="false">IFERROR(VALUE(SUBSTITUTE(TRIM('수출입 실적(품목별)'!E1686),",","")),"")</f>
        <v>952</v>
      </c>
      <c r="I1682" s="18" t="n">
        <f aca="false">IFERROR(VALUE(SUBSTITUTE(TRIM('수출입 실적(품목별)'!F1686),",","")),"")</f>
        <v>53.9</v>
      </c>
      <c r="J1682" s="19" t="n">
        <f aca="false">IFERROR(VALUE(SUBSTITUTE(TRIM('수출입 실적(품목별)'!G1686),",","")),"")</f>
        <v>12131</v>
      </c>
      <c r="K1682" s="19" t="n">
        <f aca="false">IFERROR(VALUE(SUBSTITUTE(TRIM('수출입 실적(품목별)'!H1686),",","")),"")</f>
        <v>-11180</v>
      </c>
    </row>
    <row r="1683" customFormat="false" ht="15" hidden="false" customHeight="true" outlineLevel="0" collapsed="false">
      <c r="A1683" s="11" t="str">
        <f aca="false">TRIM('수출입 실적(품목별)'!A1687)</f>
        <v>2025.06</v>
      </c>
      <c r="B1683" s="17" t="n">
        <f aca="false">IFERROR(VALUE(LEFT($A1683,4)),"")</f>
        <v>2025</v>
      </c>
      <c r="C1683" s="17" t="n">
        <f aca="false">IFERROR(VALUE(RIGHT($A1683,2)),"")</f>
        <v>6</v>
      </c>
      <c r="D1683" s="17" t="n">
        <f aca="false">IFERROR(ROUNDUP($C1683/3,0),"")</f>
        <v>2</v>
      </c>
      <c r="E1683" s="11" t="str">
        <f aca="false">TRIM('수출입 실적(품목별)'!B1687)</f>
        <v>44</v>
      </c>
      <c r="F1683" s="11" t="str">
        <f aca="false">TRIM('수출입 실적(품목별)'!C1687)</f>
        <v>목재와 그 제품, 목탄</v>
      </c>
      <c r="G1683" s="18" t="n">
        <f aca="false">IFERROR(VALUE(SUBSTITUTE(TRIM('수출입 실적(품목별)'!D1687),",","")),"")</f>
        <v>4145.5</v>
      </c>
      <c r="H1683" s="19" t="n">
        <f aca="false">IFERROR(VALUE(SUBSTITUTE(TRIM('수출입 실적(품목별)'!E1687),",","")),"")</f>
        <v>6909</v>
      </c>
      <c r="I1683" s="18" t="n">
        <f aca="false">IFERROR(VALUE(SUBSTITUTE(TRIM('수출입 실적(품목별)'!F1687),",","")),"")</f>
        <v>794520.9</v>
      </c>
      <c r="J1683" s="19" t="n">
        <f aca="false">IFERROR(VALUE(SUBSTITUTE(TRIM('수출입 실적(품목별)'!G1687),",","")),"")</f>
        <v>242264</v>
      </c>
      <c r="K1683" s="19" t="n">
        <f aca="false">IFERROR(VALUE(SUBSTITUTE(TRIM('수출입 실적(품목별)'!H1687),",","")),"")</f>
        <v>-235354</v>
      </c>
    </row>
    <row r="1684" customFormat="false" ht="15" hidden="false" customHeight="true" outlineLevel="0" collapsed="false">
      <c r="A1684" s="11" t="str">
        <f aca="false">TRIM('수출입 실적(품목별)'!A1688)</f>
        <v>2025.06</v>
      </c>
      <c r="B1684" s="17" t="n">
        <f aca="false">IFERROR(VALUE(LEFT($A1684,4)),"")</f>
        <v>2025</v>
      </c>
      <c r="C1684" s="17" t="n">
        <f aca="false">IFERROR(VALUE(RIGHT($A1684,2)),"")</f>
        <v>6</v>
      </c>
      <c r="D1684" s="17" t="n">
        <f aca="false">IFERROR(ROUNDUP($C1684/3,0),"")</f>
        <v>2</v>
      </c>
      <c r="E1684" s="11" t="str">
        <f aca="false">TRIM('수출입 실적(품목별)'!B1688)</f>
        <v>45</v>
      </c>
      <c r="F1684" s="11" t="str">
        <f aca="false">TRIM('수출입 실적(품목별)'!C1688)</f>
        <v>코르크(cork)와 그 제품</v>
      </c>
      <c r="G1684" s="18" t="n">
        <f aca="false">IFERROR(VALUE(SUBSTITUTE(TRIM('수출입 실적(품목별)'!D1688),",","")),"")</f>
        <v>0.7</v>
      </c>
      <c r="H1684" s="19" t="n">
        <f aca="false">IFERROR(VALUE(SUBSTITUTE(TRIM('수출입 실적(품목별)'!E1688),",","")),"")</f>
        <v>18</v>
      </c>
      <c r="I1684" s="18" t="n">
        <f aca="false">IFERROR(VALUE(SUBSTITUTE(TRIM('수출입 실적(품목별)'!F1688),",","")),"")</f>
        <v>80.9</v>
      </c>
      <c r="J1684" s="19" t="n">
        <f aca="false">IFERROR(VALUE(SUBSTITUTE(TRIM('수출입 실적(품목별)'!G1688),",","")),"")</f>
        <v>373</v>
      </c>
      <c r="K1684" s="19" t="n">
        <f aca="false">IFERROR(VALUE(SUBSTITUTE(TRIM('수출입 실적(품목별)'!H1688),",","")),"")</f>
        <v>-356</v>
      </c>
    </row>
    <row r="1685" customFormat="false" ht="15" hidden="false" customHeight="true" outlineLevel="0" collapsed="false">
      <c r="A1685" s="11" t="str">
        <f aca="false">TRIM('수출입 실적(품목별)'!A1689)</f>
        <v>2025.06</v>
      </c>
      <c r="B1685" s="17" t="n">
        <f aca="false">IFERROR(VALUE(LEFT($A1685,4)),"")</f>
        <v>2025</v>
      </c>
      <c r="C1685" s="17" t="n">
        <f aca="false">IFERROR(VALUE(RIGHT($A1685,2)),"")</f>
        <v>6</v>
      </c>
      <c r="D1685" s="17" t="n">
        <f aca="false">IFERROR(ROUNDUP($C1685/3,0),"")</f>
        <v>2</v>
      </c>
      <c r="E1685" s="11" t="str">
        <f aca="false">TRIM('수출입 실적(품목별)'!B1689)</f>
        <v>46</v>
      </c>
      <c r="F1685" s="11" t="str">
        <f aca="false">TRIM('수출입 실적(품목별)'!C1689)</f>
        <v>짚ㆍ에스파르토(esparto)나 그 밖의 조물 재료의 제품, 바구니 세공물(basketware)과 지조세공물(枝條細工物)</v>
      </c>
      <c r="G1685" s="18" t="n">
        <f aca="false">IFERROR(VALUE(SUBSTITUTE(TRIM('수출입 실적(품목별)'!D1689),",","")),"")</f>
        <v>3.5</v>
      </c>
      <c r="H1685" s="19" t="n">
        <f aca="false">IFERROR(VALUE(SUBSTITUTE(TRIM('수출입 실적(품목별)'!E1689),",","")),"")</f>
        <v>121</v>
      </c>
      <c r="I1685" s="18" t="n">
        <f aca="false">IFERROR(VALUE(SUBSTITUTE(TRIM('수출입 실적(품목별)'!F1689),",","")),"")</f>
        <v>388.9</v>
      </c>
      <c r="J1685" s="19" t="n">
        <f aca="false">IFERROR(VALUE(SUBSTITUTE(TRIM('수출입 실적(품목별)'!G1689),",","")),"")</f>
        <v>2231</v>
      </c>
      <c r="K1685" s="19" t="n">
        <f aca="false">IFERROR(VALUE(SUBSTITUTE(TRIM('수출입 실적(품목별)'!H1689),",","")),"")</f>
        <v>-2110</v>
      </c>
    </row>
    <row r="1686" customFormat="false" ht="15" hidden="false" customHeight="true" outlineLevel="0" collapsed="false">
      <c r="A1686" s="11" t="str">
        <f aca="false">TRIM('수출입 실적(품목별)'!A1690)</f>
        <v>2025.06</v>
      </c>
      <c r="B1686" s="17" t="n">
        <f aca="false">IFERROR(VALUE(LEFT($A1686,4)),"")</f>
        <v>2025</v>
      </c>
      <c r="C1686" s="17" t="n">
        <f aca="false">IFERROR(VALUE(RIGHT($A1686,2)),"")</f>
        <v>6</v>
      </c>
      <c r="D1686" s="17" t="n">
        <f aca="false">IFERROR(ROUNDUP($C1686/3,0),"")</f>
        <v>2</v>
      </c>
      <c r="E1686" s="11" t="str">
        <f aca="false">TRIM('수출입 실적(품목별)'!B1690)</f>
        <v>47</v>
      </c>
      <c r="F1686" s="11" t="str">
        <f aca="false">TRIM('수출입 실적(품목별)'!C1690)</f>
        <v>목재나 그 밖의 섬유질 셀룰로오스재료의 펄프, 회수한 종이ㆍ판지[웨이스트(waste)와 스크랩(scrap)]</v>
      </c>
      <c r="G1686" s="18" t="n">
        <f aca="false">IFERROR(VALUE(SUBSTITUTE(TRIM('수출입 실적(품목별)'!D1690),",","")),"")</f>
        <v>36438.6</v>
      </c>
      <c r="H1686" s="19" t="n">
        <f aca="false">IFERROR(VALUE(SUBSTITUTE(TRIM('수출입 실적(품목별)'!E1690),",","")),"")</f>
        <v>6556</v>
      </c>
      <c r="I1686" s="18" t="n">
        <f aca="false">IFERROR(VALUE(SUBSTITUTE(TRIM('수출입 실적(품목별)'!F1690),",","")),"")</f>
        <v>222759.6</v>
      </c>
      <c r="J1686" s="19" t="n">
        <f aca="false">IFERROR(VALUE(SUBSTITUTE(TRIM('수출입 실적(품목별)'!G1690),",","")),"")</f>
        <v>116917</v>
      </c>
      <c r="K1686" s="19" t="n">
        <f aca="false">IFERROR(VALUE(SUBSTITUTE(TRIM('수출입 실적(품목별)'!H1690),",","")),"")</f>
        <v>-110361</v>
      </c>
    </row>
    <row r="1687" customFormat="false" ht="15" hidden="false" customHeight="true" outlineLevel="0" collapsed="false">
      <c r="A1687" s="11" t="str">
        <f aca="false">TRIM('수출입 실적(품목별)'!A1691)</f>
        <v>2025.06</v>
      </c>
      <c r="B1687" s="17" t="n">
        <f aca="false">IFERROR(VALUE(LEFT($A1687,4)),"")</f>
        <v>2025</v>
      </c>
      <c r="C1687" s="17" t="n">
        <f aca="false">IFERROR(VALUE(RIGHT($A1687,2)),"")</f>
        <v>6</v>
      </c>
      <c r="D1687" s="17" t="n">
        <f aca="false">IFERROR(ROUNDUP($C1687/3,0),"")</f>
        <v>2</v>
      </c>
      <c r="E1687" s="11" t="str">
        <f aca="false">TRIM('수출입 실적(품목별)'!B1691)</f>
        <v>48</v>
      </c>
      <c r="F1687" s="11" t="str">
        <f aca="false">TRIM('수출입 실적(품목별)'!C1691)</f>
        <v>종이와 판지, 제지용 펄프ㆍ종이ㆍ판지의 제품</v>
      </c>
      <c r="G1687" s="18" t="n">
        <f aca="false">IFERROR(VALUE(SUBSTITUTE(TRIM('수출입 실적(품목별)'!D1691),",","")),"")</f>
        <v>217449</v>
      </c>
      <c r="H1687" s="19" t="n">
        <f aca="false">IFERROR(VALUE(SUBSTITUTE(TRIM('수출입 실적(품목별)'!E1691),",","")),"")</f>
        <v>209379</v>
      </c>
      <c r="I1687" s="18" t="n">
        <f aca="false">IFERROR(VALUE(SUBSTITUTE(TRIM('수출입 실적(품목별)'!F1691),",","")),"")</f>
        <v>124414.9</v>
      </c>
      <c r="J1687" s="19" t="n">
        <f aca="false">IFERROR(VALUE(SUBSTITUTE(TRIM('수출입 실적(품목별)'!G1691),",","")),"")</f>
        <v>188409</v>
      </c>
      <c r="K1687" s="19" t="n">
        <f aca="false">IFERROR(VALUE(SUBSTITUTE(TRIM('수출입 실적(품목별)'!H1691),",","")),"")</f>
        <v>20970</v>
      </c>
    </row>
    <row r="1688" customFormat="false" ht="15" hidden="false" customHeight="true" outlineLevel="0" collapsed="false">
      <c r="A1688" s="11" t="str">
        <f aca="false">TRIM('수출입 실적(품목별)'!A1692)</f>
        <v>2025.06</v>
      </c>
      <c r="B1688" s="17" t="n">
        <f aca="false">IFERROR(VALUE(LEFT($A1688,4)),"")</f>
        <v>2025</v>
      </c>
      <c r="C1688" s="17" t="n">
        <f aca="false">IFERROR(VALUE(RIGHT($A1688,2)),"")</f>
        <v>6</v>
      </c>
      <c r="D1688" s="17" t="n">
        <f aca="false">IFERROR(ROUNDUP($C1688/3,0),"")</f>
        <v>2</v>
      </c>
      <c r="E1688" s="11" t="str">
        <f aca="false">TRIM('수출입 실적(품목별)'!B1692)</f>
        <v>49</v>
      </c>
      <c r="F1688" s="11" t="str">
        <f aca="false">TRIM('수출입 실적(품목별)'!C1692)</f>
        <v>인쇄서적ㆍ신문ㆍ회화ㆍ그 밖의 인쇄물, 수제(手製)문서ㆍ타자문서ㆍ도면</v>
      </c>
      <c r="G1688" s="18" t="n">
        <f aca="false">IFERROR(VALUE(SUBSTITUTE(TRIM('수출입 실적(품목별)'!D1692),",","")),"")</f>
        <v>5628.4</v>
      </c>
      <c r="H1688" s="19" t="n">
        <f aca="false">IFERROR(VALUE(SUBSTITUTE(TRIM('수출입 실적(품목별)'!E1692),",","")),"")</f>
        <v>41597</v>
      </c>
      <c r="I1688" s="18" t="n">
        <f aca="false">IFERROR(VALUE(SUBSTITUTE(TRIM('수출입 실적(품목별)'!F1692),",","")),"")</f>
        <v>1317.8</v>
      </c>
      <c r="J1688" s="19" t="n">
        <f aca="false">IFERROR(VALUE(SUBSTITUTE(TRIM('수출입 실적(품목별)'!G1692),",","")),"")</f>
        <v>20978</v>
      </c>
      <c r="K1688" s="19" t="n">
        <f aca="false">IFERROR(VALUE(SUBSTITUTE(TRIM('수출입 실적(품목별)'!H1692),",","")),"")</f>
        <v>20619</v>
      </c>
    </row>
    <row r="1689" customFormat="false" ht="15" hidden="false" customHeight="true" outlineLevel="0" collapsed="false">
      <c r="A1689" s="11" t="str">
        <f aca="false">TRIM('수출입 실적(품목별)'!A1693)</f>
        <v>2025.06</v>
      </c>
      <c r="B1689" s="17" t="n">
        <f aca="false">IFERROR(VALUE(LEFT($A1689,4)),"")</f>
        <v>2025</v>
      </c>
      <c r="C1689" s="17" t="n">
        <f aca="false">IFERROR(VALUE(RIGHT($A1689,2)),"")</f>
        <v>6</v>
      </c>
      <c r="D1689" s="17" t="n">
        <f aca="false">IFERROR(ROUNDUP($C1689/3,0),"")</f>
        <v>2</v>
      </c>
      <c r="E1689" s="11" t="str">
        <f aca="false">TRIM('수출입 실적(품목별)'!B1693)</f>
        <v>50</v>
      </c>
      <c r="F1689" s="11" t="str">
        <f aca="false">TRIM('수출입 실적(품목별)'!C1693)</f>
        <v>견</v>
      </c>
      <c r="G1689" s="18" t="n">
        <f aca="false">IFERROR(VALUE(SUBSTITUTE(TRIM('수출입 실적(품목별)'!D1693),",","")),"")</f>
        <v>9.3</v>
      </c>
      <c r="H1689" s="19" t="n">
        <f aca="false">IFERROR(VALUE(SUBSTITUTE(TRIM('수출입 실적(품목별)'!E1693),",","")),"")</f>
        <v>1530</v>
      </c>
      <c r="I1689" s="18" t="n">
        <f aca="false">IFERROR(VALUE(SUBSTITUTE(TRIM('수출입 실적(품목별)'!F1693),",","")),"")</f>
        <v>33.5</v>
      </c>
      <c r="J1689" s="19" t="n">
        <f aca="false">IFERROR(VALUE(SUBSTITUTE(TRIM('수출입 실적(품목별)'!G1693),",","")),"")</f>
        <v>2161</v>
      </c>
      <c r="K1689" s="19" t="n">
        <f aca="false">IFERROR(VALUE(SUBSTITUTE(TRIM('수출입 실적(품목별)'!H1693),",","")),"")</f>
        <v>-631</v>
      </c>
    </row>
    <row r="1690" customFormat="false" ht="15" hidden="false" customHeight="true" outlineLevel="0" collapsed="false">
      <c r="A1690" s="11" t="str">
        <f aca="false">TRIM('수출입 실적(품목별)'!A1694)</f>
        <v>2025.06</v>
      </c>
      <c r="B1690" s="17" t="n">
        <f aca="false">IFERROR(VALUE(LEFT($A1690,4)),"")</f>
        <v>2025</v>
      </c>
      <c r="C1690" s="17" t="n">
        <f aca="false">IFERROR(VALUE(RIGHT($A1690,2)),"")</f>
        <v>6</v>
      </c>
      <c r="D1690" s="17" t="n">
        <f aca="false">IFERROR(ROUNDUP($C1690/3,0),"")</f>
        <v>2</v>
      </c>
      <c r="E1690" s="11" t="str">
        <f aca="false">TRIM('수출입 실적(품목별)'!B1694)</f>
        <v>51</v>
      </c>
      <c r="F1690" s="11" t="str">
        <f aca="false">TRIM('수출입 실적(품목별)'!C1694)</f>
        <v>양모ㆍ동물의 부드러운 털이나 거친 털ㆍ말의 털로 만든 실과 직물</v>
      </c>
      <c r="G1690" s="18" t="n">
        <f aca="false">IFERROR(VALUE(SUBSTITUTE(TRIM('수출입 실적(품목별)'!D1694),",","")),"")</f>
        <v>311.7</v>
      </c>
      <c r="H1690" s="19" t="n">
        <f aca="false">IFERROR(VALUE(SUBSTITUTE(TRIM('수출입 실적(품목별)'!E1694),",","")),"")</f>
        <v>5585</v>
      </c>
      <c r="I1690" s="18" t="n">
        <f aca="false">IFERROR(VALUE(SUBSTITUTE(TRIM('수출입 실적(품목별)'!F1694),",","")),"")</f>
        <v>837.6</v>
      </c>
      <c r="J1690" s="19" t="n">
        <f aca="false">IFERROR(VALUE(SUBSTITUTE(TRIM('수출입 실적(품목별)'!G1694),",","")),"")</f>
        <v>23109</v>
      </c>
      <c r="K1690" s="19" t="n">
        <f aca="false">IFERROR(VALUE(SUBSTITUTE(TRIM('수출입 실적(품목별)'!H1694),",","")),"")</f>
        <v>-17523</v>
      </c>
    </row>
    <row r="1691" customFormat="false" ht="15" hidden="false" customHeight="true" outlineLevel="0" collapsed="false">
      <c r="A1691" s="11" t="str">
        <f aca="false">TRIM('수출입 실적(품목별)'!A1695)</f>
        <v>2025.06</v>
      </c>
      <c r="B1691" s="17" t="n">
        <f aca="false">IFERROR(VALUE(LEFT($A1691,4)),"")</f>
        <v>2025</v>
      </c>
      <c r="C1691" s="17" t="n">
        <f aca="false">IFERROR(VALUE(RIGHT($A1691,2)),"")</f>
        <v>6</v>
      </c>
      <c r="D1691" s="17" t="n">
        <f aca="false">IFERROR(ROUNDUP($C1691/3,0),"")</f>
        <v>2</v>
      </c>
      <c r="E1691" s="11" t="str">
        <f aca="false">TRIM('수출입 실적(품목별)'!B1695)</f>
        <v>52</v>
      </c>
      <c r="F1691" s="11" t="str">
        <f aca="false">TRIM('수출입 실적(품목별)'!C1695)</f>
        <v>면</v>
      </c>
      <c r="G1691" s="18" t="n">
        <f aca="false">IFERROR(VALUE(SUBSTITUTE(TRIM('수출입 실적(품목별)'!D1695),",","")),"")</f>
        <v>3166.6</v>
      </c>
      <c r="H1691" s="19" t="n">
        <f aca="false">IFERROR(VALUE(SUBSTITUTE(TRIM('수출입 실적(품목별)'!E1695),",","")),"")</f>
        <v>25149</v>
      </c>
      <c r="I1691" s="18" t="n">
        <f aca="false">IFERROR(VALUE(SUBSTITUTE(TRIM('수출입 실적(품목별)'!F1695),",","")),"")</f>
        <v>17372</v>
      </c>
      <c r="J1691" s="19" t="n">
        <f aca="false">IFERROR(VALUE(SUBSTITUTE(TRIM('수출입 실적(품목별)'!G1695),",","")),"")</f>
        <v>51709</v>
      </c>
      <c r="K1691" s="19" t="n">
        <f aca="false">IFERROR(VALUE(SUBSTITUTE(TRIM('수출입 실적(품목별)'!H1695),",","")),"")</f>
        <v>-26561</v>
      </c>
    </row>
    <row r="1692" customFormat="false" ht="15" hidden="false" customHeight="true" outlineLevel="0" collapsed="false">
      <c r="A1692" s="11" t="str">
        <f aca="false">TRIM('수출입 실적(품목별)'!A1696)</f>
        <v>2025.06</v>
      </c>
      <c r="B1692" s="17" t="n">
        <f aca="false">IFERROR(VALUE(LEFT($A1692,4)),"")</f>
        <v>2025</v>
      </c>
      <c r="C1692" s="17" t="n">
        <f aca="false">IFERROR(VALUE(RIGHT($A1692,2)),"")</f>
        <v>6</v>
      </c>
      <c r="D1692" s="17" t="n">
        <f aca="false">IFERROR(ROUNDUP($C1692/3,0),"")</f>
        <v>2</v>
      </c>
      <c r="E1692" s="11" t="str">
        <f aca="false">TRIM('수출입 실적(품목별)'!B1696)</f>
        <v>53</v>
      </c>
      <c r="F1692" s="11" t="str">
        <f aca="false">TRIM('수출입 실적(품목별)'!C1696)</f>
        <v>그 밖의 식물성 방직용 섬유, 종이실(paper yarn)과 종이실로 만든 직물</v>
      </c>
      <c r="G1692" s="18" t="n">
        <f aca="false">IFERROR(VALUE(SUBSTITUTE(TRIM('수출입 실적(품목별)'!D1696),",","")),"")</f>
        <v>32</v>
      </c>
      <c r="H1692" s="19" t="n">
        <f aca="false">IFERROR(VALUE(SUBSTITUTE(TRIM('수출입 실적(품목별)'!E1696),",","")),"")</f>
        <v>332</v>
      </c>
      <c r="I1692" s="18" t="n">
        <f aca="false">IFERROR(VALUE(SUBSTITUTE(TRIM('수출입 실적(품목별)'!F1696),",","")),"")</f>
        <v>1477.3</v>
      </c>
      <c r="J1692" s="19" t="n">
        <f aca="false">IFERROR(VALUE(SUBSTITUTE(TRIM('수출입 실적(품목별)'!G1696),",","")),"")</f>
        <v>4588</v>
      </c>
      <c r="K1692" s="19" t="n">
        <f aca="false">IFERROR(VALUE(SUBSTITUTE(TRIM('수출입 실적(품목별)'!H1696),",","")),"")</f>
        <v>-4256</v>
      </c>
    </row>
    <row r="1693" customFormat="false" ht="15" hidden="false" customHeight="true" outlineLevel="0" collapsed="false">
      <c r="A1693" s="11" t="str">
        <f aca="false">TRIM('수출입 실적(품목별)'!A1697)</f>
        <v>2025.06</v>
      </c>
      <c r="B1693" s="17" t="n">
        <f aca="false">IFERROR(VALUE(LEFT($A1693,4)),"")</f>
        <v>2025</v>
      </c>
      <c r="C1693" s="17" t="n">
        <f aca="false">IFERROR(VALUE(RIGHT($A1693,2)),"")</f>
        <v>6</v>
      </c>
      <c r="D1693" s="17" t="n">
        <f aca="false">IFERROR(ROUNDUP($C1693/3,0),"")</f>
        <v>2</v>
      </c>
      <c r="E1693" s="11" t="str">
        <f aca="false">TRIM('수출입 실적(품목별)'!B1697)</f>
        <v>54</v>
      </c>
      <c r="F1693" s="11" t="str">
        <f aca="false">TRIM('수출입 실적(품목별)'!C1697)</f>
        <v>인조필라멘트, 인조방직용 섬유재료의 스트립(strip)과 이와 유사한 것</v>
      </c>
      <c r="G1693" s="18" t="n">
        <f aca="false">IFERROR(VALUE(SUBSTITUTE(TRIM('수출입 실적(품목별)'!D1697),",","")),"")</f>
        <v>20406.5</v>
      </c>
      <c r="H1693" s="19" t="n">
        <f aca="false">IFERROR(VALUE(SUBSTITUTE(TRIM('수출입 실적(품목별)'!E1697),",","")),"")</f>
        <v>134567</v>
      </c>
      <c r="I1693" s="18" t="n">
        <f aca="false">IFERROR(VALUE(SUBSTITUTE(TRIM('수출입 실적(품목별)'!F1697),",","")),"")</f>
        <v>39408.7</v>
      </c>
      <c r="J1693" s="19" t="n">
        <f aca="false">IFERROR(VALUE(SUBSTITUTE(TRIM('수출입 실적(품목별)'!G1697),",","")),"")</f>
        <v>81639</v>
      </c>
      <c r="K1693" s="19" t="n">
        <f aca="false">IFERROR(VALUE(SUBSTITUTE(TRIM('수출입 실적(품목별)'!H1697),",","")),"")</f>
        <v>52929</v>
      </c>
    </row>
    <row r="1694" customFormat="false" ht="15" hidden="false" customHeight="true" outlineLevel="0" collapsed="false">
      <c r="A1694" s="11" t="str">
        <f aca="false">TRIM('수출입 실적(품목별)'!A1698)</f>
        <v>2025.06</v>
      </c>
      <c r="B1694" s="17" t="n">
        <f aca="false">IFERROR(VALUE(LEFT($A1694,4)),"")</f>
        <v>2025</v>
      </c>
      <c r="C1694" s="17" t="n">
        <f aca="false">IFERROR(VALUE(RIGHT($A1694,2)),"")</f>
        <v>6</v>
      </c>
      <c r="D1694" s="17" t="n">
        <f aca="false">IFERROR(ROUNDUP($C1694/3,0),"")</f>
        <v>2</v>
      </c>
      <c r="E1694" s="11" t="str">
        <f aca="false">TRIM('수출입 실적(품목별)'!B1698)</f>
        <v>55</v>
      </c>
      <c r="F1694" s="11" t="str">
        <f aca="false">TRIM('수출입 실적(품목별)'!C1698)</f>
        <v>인조스테이플섬유</v>
      </c>
      <c r="G1694" s="18" t="n">
        <f aca="false">IFERROR(VALUE(SUBSTITUTE(TRIM('수출입 실적(품목별)'!D1698),",","")),"")</f>
        <v>44393.9</v>
      </c>
      <c r="H1694" s="19" t="n">
        <f aca="false">IFERROR(VALUE(SUBSTITUTE(TRIM('수출입 실적(품목별)'!E1698),",","")),"")</f>
        <v>85626</v>
      </c>
      <c r="I1694" s="18" t="n">
        <f aca="false">IFERROR(VALUE(SUBSTITUTE(TRIM('수출입 실적(품목별)'!F1698),",","")),"")</f>
        <v>13124.9</v>
      </c>
      <c r="J1694" s="19" t="n">
        <f aca="false">IFERROR(VALUE(SUBSTITUTE(TRIM('수출입 실적(품목별)'!G1698),",","")),"")</f>
        <v>49765</v>
      </c>
      <c r="K1694" s="19" t="n">
        <f aca="false">IFERROR(VALUE(SUBSTITUTE(TRIM('수출입 실적(품목별)'!H1698),",","")),"")</f>
        <v>35861</v>
      </c>
    </row>
    <row r="1695" customFormat="false" ht="15" hidden="false" customHeight="true" outlineLevel="0" collapsed="false">
      <c r="A1695" s="11" t="str">
        <f aca="false">TRIM('수출입 실적(품목별)'!A1699)</f>
        <v>2025.06</v>
      </c>
      <c r="B1695" s="17" t="n">
        <f aca="false">IFERROR(VALUE(LEFT($A1695,4)),"")</f>
        <v>2025</v>
      </c>
      <c r="C1695" s="17" t="n">
        <f aca="false">IFERROR(VALUE(RIGHT($A1695,2)),"")</f>
        <v>6</v>
      </c>
      <c r="D1695" s="17" t="n">
        <f aca="false">IFERROR(ROUNDUP($C1695/3,0),"")</f>
        <v>2</v>
      </c>
      <c r="E1695" s="11" t="str">
        <f aca="false">TRIM('수출입 실적(품목별)'!B1699)</f>
        <v>56</v>
      </c>
      <c r="F1695" s="11" t="str">
        <f aca="false">TRIM('수출입 실적(품목별)'!C1699)</f>
        <v>워딩(wadding)ㆍ펠트(felt)ㆍ부직포, 특수사, 끈ㆍ배의 밧줄(cordage)ㆍ로프ㆍ케이블과 이들의 제품</v>
      </c>
      <c r="G1695" s="18" t="n">
        <f aca="false">IFERROR(VALUE(SUBSTITUTE(TRIM('수출입 실적(품목별)'!D1699),",","")),"")</f>
        <v>10084.3</v>
      </c>
      <c r="H1695" s="19" t="n">
        <f aca="false">IFERROR(VALUE(SUBSTITUTE(TRIM('수출입 실적(품목별)'!E1699),",","")),"")</f>
        <v>65094</v>
      </c>
      <c r="I1695" s="18" t="n">
        <f aca="false">IFERROR(VALUE(SUBSTITUTE(TRIM('수출입 실적(품목별)'!F1699),",","")),"")</f>
        <v>18959.4</v>
      </c>
      <c r="J1695" s="19" t="n">
        <f aca="false">IFERROR(VALUE(SUBSTITUTE(TRIM('수출입 실적(품목별)'!G1699),",","")),"")</f>
        <v>56423</v>
      </c>
      <c r="K1695" s="19" t="n">
        <f aca="false">IFERROR(VALUE(SUBSTITUTE(TRIM('수출입 실적(품목별)'!H1699),",","")),"")</f>
        <v>8671</v>
      </c>
    </row>
    <row r="1696" customFormat="false" ht="15" hidden="false" customHeight="true" outlineLevel="0" collapsed="false">
      <c r="A1696" s="11" t="str">
        <f aca="false">TRIM('수출입 실적(품목별)'!A1700)</f>
        <v>2025.06</v>
      </c>
      <c r="B1696" s="17" t="n">
        <f aca="false">IFERROR(VALUE(LEFT($A1696,4)),"")</f>
        <v>2025</v>
      </c>
      <c r="C1696" s="17" t="n">
        <f aca="false">IFERROR(VALUE(RIGHT($A1696,2)),"")</f>
        <v>6</v>
      </c>
      <c r="D1696" s="17" t="n">
        <f aca="false">IFERROR(ROUNDUP($C1696/3,0),"")</f>
        <v>2</v>
      </c>
      <c r="E1696" s="11" t="str">
        <f aca="false">TRIM('수출입 실적(품목별)'!B1700)</f>
        <v>57</v>
      </c>
      <c r="F1696" s="11" t="str">
        <f aca="false">TRIM('수출입 실적(품목별)'!C1700)</f>
        <v>양탄자류와 그 밖의 방직용 섬유로 만든 바닥깔개</v>
      </c>
      <c r="G1696" s="18" t="n">
        <f aca="false">IFERROR(VALUE(SUBSTITUTE(TRIM('수출입 실적(품목별)'!D1700),",","")),"")</f>
        <v>628.3</v>
      </c>
      <c r="H1696" s="19" t="n">
        <f aca="false">IFERROR(VALUE(SUBSTITUTE(TRIM('수출입 실적(품목별)'!E1700),",","")),"")</f>
        <v>6660</v>
      </c>
      <c r="I1696" s="18" t="n">
        <f aca="false">IFERROR(VALUE(SUBSTITUTE(TRIM('수출입 실적(품목별)'!F1700),",","")),"")</f>
        <v>5418</v>
      </c>
      <c r="J1696" s="19" t="n">
        <f aca="false">IFERROR(VALUE(SUBSTITUTE(TRIM('수출입 실적(품목별)'!G1700),",","")),"")</f>
        <v>9209</v>
      </c>
      <c r="K1696" s="19" t="n">
        <f aca="false">IFERROR(VALUE(SUBSTITUTE(TRIM('수출입 실적(품목별)'!H1700),",","")),"")</f>
        <v>-2550</v>
      </c>
    </row>
    <row r="1697" customFormat="false" ht="15" hidden="false" customHeight="true" outlineLevel="0" collapsed="false">
      <c r="A1697" s="11" t="str">
        <f aca="false">TRIM('수출입 실적(품목별)'!A1701)</f>
        <v>2025.06</v>
      </c>
      <c r="B1697" s="17" t="n">
        <f aca="false">IFERROR(VALUE(LEFT($A1697,4)),"")</f>
        <v>2025</v>
      </c>
      <c r="C1697" s="17" t="n">
        <f aca="false">IFERROR(VALUE(RIGHT($A1697,2)),"")</f>
        <v>6</v>
      </c>
      <c r="D1697" s="17" t="n">
        <f aca="false">IFERROR(ROUNDUP($C1697/3,0),"")</f>
        <v>2</v>
      </c>
      <c r="E1697" s="11" t="str">
        <f aca="false">TRIM('수출입 실적(품목별)'!B1701)</f>
        <v>58</v>
      </c>
      <c r="F1697" s="11" t="str">
        <f aca="false">TRIM('수출입 실적(품목별)'!C1701)</f>
        <v>특수직물, 터프트(tuft)한 직물, 레이스, 태피스트리(tapestry), 트리밍(trimming), 자수천</v>
      </c>
      <c r="G1697" s="18" t="n">
        <f aca="false">IFERROR(VALUE(SUBSTITUTE(TRIM('수출입 실적(품목별)'!D1701),",","")),"")</f>
        <v>1312.6</v>
      </c>
      <c r="H1697" s="19" t="n">
        <f aca="false">IFERROR(VALUE(SUBSTITUTE(TRIM('수출입 실적(품목별)'!E1701),",","")),"")</f>
        <v>15653</v>
      </c>
      <c r="I1697" s="18" t="n">
        <f aca="false">IFERROR(VALUE(SUBSTITUTE(TRIM('수출입 실적(품목별)'!F1701),",","")),"")</f>
        <v>744.6</v>
      </c>
      <c r="J1697" s="19" t="n">
        <f aca="false">IFERROR(VALUE(SUBSTITUTE(TRIM('수출입 실적(품목별)'!G1701),",","")),"")</f>
        <v>6485</v>
      </c>
      <c r="K1697" s="19" t="n">
        <f aca="false">IFERROR(VALUE(SUBSTITUTE(TRIM('수출입 실적(품목별)'!H1701),",","")),"")</f>
        <v>9167</v>
      </c>
    </row>
    <row r="1698" customFormat="false" ht="15" hidden="false" customHeight="true" outlineLevel="0" collapsed="false">
      <c r="A1698" s="11" t="str">
        <f aca="false">TRIM('수출입 실적(품목별)'!A1702)</f>
        <v>2025.06</v>
      </c>
      <c r="B1698" s="17" t="n">
        <f aca="false">IFERROR(VALUE(LEFT($A1698,4)),"")</f>
        <v>2025</v>
      </c>
      <c r="C1698" s="17" t="n">
        <f aca="false">IFERROR(VALUE(RIGHT($A1698,2)),"")</f>
        <v>6</v>
      </c>
      <c r="D1698" s="17" t="n">
        <f aca="false">IFERROR(ROUNDUP($C1698/3,0),"")</f>
        <v>2</v>
      </c>
      <c r="E1698" s="11" t="str">
        <f aca="false">TRIM('수출입 실적(품목별)'!B1702)</f>
        <v>59</v>
      </c>
      <c r="F1698" s="11" t="str">
        <f aca="false">TRIM('수출입 실적(품목별)'!C1702)</f>
        <v>침투ㆍ도포ㆍ피복하거나 적층한 방직용 섬유의 직물, 공업용인 방직용 섬유제품</v>
      </c>
      <c r="G1698" s="18" t="n">
        <f aca="false">IFERROR(VALUE(SUBSTITUTE(TRIM('수출입 실적(품목별)'!D1702),",","")),"")</f>
        <v>8310.9</v>
      </c>
      <c r="H1698" s="19" t="n">
        <f aca="false">IFERROR(VALUE(SUBSTITUTE(TRIM('수출입 실적(품목별)'!E1702),",","")),"")</f>
        <v>87070</v>
      </c>
      <c r="I1698" s="18" t="n">
        <f aca="false">IFERROR(VALUE(SUBSTITUTE(TRIM('수출입 실적(품목별)'!F1702),",","")),"")</f>
        <v>5202</v>
      </c>
      <c r="J1698" s="19" t="n">
        <f aca="false">IFERROR(VALUE(SUBSTITUTE(TRIM('수출입 실적(품목별)'!G1702),",","")),"")</f>
        <v>37650</v>
      </c>
      <c r="K1698" s="19" t="n">
        <f aca="false">IFERROR(VALUE(SUBSTITUTE(TRIM('수출입 실적(품목별)'!H1702),",","")),"")</f>
        <v>49420</v>
      </c>
    </row>
    <row r="1699" customFormat="false" ht="15" hidden="false" customHeight="true" outlineLevel="0" collapsed="false">
      <c r="A1699" s="11" t="str">
        <f aca="false">TRIM('수출입 실적(품목별)'!A1703)</f>
        <v>2025.06</v>
      </c>
      <c r="B1699" s="17" t="n">
        <f aca="false">IFERROR(VALUE(LEFT($A1699,4)),"")</f>
        <v>2025</v>
      </c>
      <c r="C1699" s="17" t="n">
        <f aca="false">IFERROR(VALUE(RIGHT($A1699,2)),"")</f>
        <v>6</v>
      </c>
      <c r="D1699" s="17" t="n">
        <f aca="false">IFERROR(ROUNDUP($C1699/3,0),"")</f>
        <v>2</v>
      </c>
      <c r="E1699" s="11" t="str">
        <f aca="false">TRIM('수출입 실적(품목별)'!B1703)</f>
        <v>60</v>
      </c>
      <c r="F1699" s="11" t="str">
        <f aca="false">TRIM('수출입 실적(품목별)'!C1703)</f>
        <v>메리야스 편물과 뜨개질 편물</v>
      </c>
      <c r="G1699" s="18" t="n">
        <f aca="false">IFERROR(VALUE(SUBSTITUTE(TRIM('수출입 실적(품목별)'!D1703),",","")),"")</f>
        <v>16455.5</v>
      </c>
      <c r="H1699" s="19" t="n">
        <f aca="false">IFERROR(VALUE(SUBSTITUTE(TRIM('수출입 실적(품목별)'!E1703),",","")),"")</f>
        <v>130373</v>
      </c>
      <c r="I1699" s="18" t="n">
        <f aca="false">IFERROR(VALUE(SUBSTITUTE(TRIM('수출입 실적(품목별)'!F1703),",","")),"")</f>
        <v>1755.7</v>
      </c>
      <c r="J1699" s="19" t="n">
        <f aca="false">IFERROR(VALUE(SUBSTITUTE(TRIM('수출입 실적(품목별)'!G1703),",","")),"")</f>
        <v>8978</v>
      </c>
      <c r="K1699" s="19" t="n">
        <f aca="false">IFERROR(VALUE(SUBSTITUTE(TRIM('수출입 실적(품목별)'!H1703),",","")),"")</f>
        <v>121395</v>
      </c>
    </row>
    <row r="1700" customFormat="false" ht="15" hidden="false" customHeight="true" outlineLevel="0" collapsed="false">
      <c r="A1700" s="11" t="str">
        <f aca="false">TRIM('수출입 실적(품목별)'!A1704)</f>
        <v>2025.06</v>
      </c>
      <c r="B1700" s="17" t="n">
        <f aca="false">IFERROR(VALUE(LEFT($A1700,4)),"")</f>
        <v>2025</v>
      </c>
      <c r="C1700" s="17" t="n">
        <f aca="false">IFERROR(VALUE(RIGHT($A1700,2)),"")</f>
        <v>6</v>
      </c>
      <c r="D1700" s="17" t="n">
        <f aca="false">IFERROR(ROUNDUP($C1700/3,0),"")</f>
        <v>2</v>
      </c>
      <c r="E1700" s="11" t="str">
        <f aca="false">TRIM('수출입 실적(품목별)'!B1704)</f>
        <v>61</v>
      </c>
      <c r="F1700" s="11" t="str">
        <f aca="false">TRIM('수출입 실적(품목별)'!C1704)</f>
        <v>의류와 그 부속품(메리야스 편물이나 뜨개질 편물로 한정한다)</v>
      </c>
      <c r="G1700" s="18" t="n">
        <f aca="false">IFERROR(VALUE(SUBSTITUTE(TRIM('수출입 실적(품목별)'!D1704),",","")),"")</f>
        <v>2375.3</v>
      </c>
      <c r="H1700" s="19" t="n">
        <f aca="false">IFERROR(VALUE(SUBSTITUTE(TRIM('수출입 실적(품목별)'!E1704),",","")),"")</f>
        <v>72488</v>
      </c>
      <c r="I1700" s="18" t="n">
        <f aca="false">IFERROR(VALUE(SUBSTITUTE(TRIM('수출입 실적(품목별)'!F1704),",","")),"")</f>
        <v>16897.8</v>
      </c>
      <c r="J1700" s="19" t="n">
        <f aca="false">IFERROR(VALUE(SUBSTITUTE(TRIM('수출입 실적(품목별)'!G1704),",","")),"")</f>
        <v>338473</v>
      </c>
      <c r="K1700" s="19" t="n">
        <f aca="false">IFERROR(VALUE(SUBSTITUTE(TRIM('수출입 실적(품목별)'!H1704),",","")),"")</f>
        <v>-265985</v>
      </c>
    </row>
    <row r="1701" customFormat="false" ht="15" hidden="false" customHeight="true" outlineLevel="0" collapsed="false">
      <c r="A1701" s="11" t="str">
        <f aca="false">TRIM('수출입 실적(품목별)'!A1705)</f>
        <v>2025.06</v>
      </c>
      <c r="B1701" s="17" t="n">
        <f aca="false">IFERROR(VALUE(LEFT($A1701,4)),"")</f>
        <v>2025</v>
      </c>
      <c r="C1701" s="17" t="n">
        <f aca="false">IFERROR(VALUE(RIGHT($A1701,2)),"")</f>
        <v>6</v>
      </c>
      <c r="D1701" s="17" t="n">
        <f aca="false">IFERROR(ROUNDUP($C1701/3,0),"")</f>
        <v>2</v>
      </c>
      <c r="E1701" s="11" t="str">
        <f aca="false">TRIM('수출입 실적(품목별)'!B1705)</f>
        <v>62</v>
      </c>
      <c r="F1701" s="11" t="str">
        <f aca="false">TRIM('수출입 실적(품목별)'!C1705)</f>
        <v>의류와 그 부속품(메리야스 편물이나 뜨개질편물은 제외한다)</v>
      </c>
      <c r="G1701" s="18" t="n">
        <f aca="false">IFERROR(VALUE(SUBSTITUTE(TRIM('수출입 실적(품목별)'!D1705),",","")),"")</f>
        <v>2937.7</v>
      </c>
      <c r="H1701" s="19" t="n">
        <f aca="false">IFERROR(VALUE(SUBSTITUTE(TRIM('수출입 실적(품목별)'!E1705),",","")),"")</f>
        <v>71992</v>
      </c>
      <c r="I1701" s="18" t="n">
        <f aca="false">IFERROR(VALUE(SUBSTITUTE(TRIM('수출입 실적(품목별)'!F1705),",","")),"")</f>
        <v>15319.2</v>
      </c>
      <c r="J1701" s="19" t="n">
        <f aca="false">IFERROR(VALUE(SUBSTITUTE(TRIM('수출입 실적(품목별)'!G1705),",","")),"")</f>
        <v>435277</v>
      </c>
      <c r="K1701" s="19" t="n">
        <f aca="false">IFERROR(VALUE(SUBSTITUTE(TRIM('수출입 실적(품목별)'!H1705),",","")),"")</f>
        <v>-363285</v>
      </c>
    </row>
    <row r="1702" customFormat="false" ht="15" hidden="false" customHeight="true" outlineLevel="0" collapsed="false">
      <c r="A1702" s="11" t="str">
        <f aca="false">TRIM('수출입 실적(품목별)'!A1706)</f>
        <v>2025.06</v>
      </c>
      <c r="B1702" s="17" t="n">
        <f aca="false">IFERROR(VALUE(LEFT($A1702,4)),"")</f>
        <v>2025</v>
      </c>
      <c r="C1702" s="17" t="n">
        <f aca="false">IFERROR(VALUE(RIGHT($A1702,2)),"")</f>
        <v>6</v>
      </c>
      <c r="D1702" s="17" t="n">
        <f aca="false">IFERROR(ROUNDUP($C1702/3,0),"")</f>
        <v>2</v>
      </c>
      <c r="E1702" s="11" t="str">
        <f aca="false">TRIM('수출입 실적(품목별)'!B1706)</f>
        <v>63</v>
      </c>
      <c r="F1702" s="11" t="str">
        <f aca="false">TRIM('수출입 실적(품목별)'!C1706)</f>
        <v>제품으로 된 방직용 섬유의 그 밖의 물품, 세트, 사용하던 의류ㆍ방직용 섬유제품, 넝마</v>
      </c>
      <c r="G1702" s="18" t="n">
        <f aca="false">IFERROR(VALUE(SUBSTITUTE(TRIM('수출입 실적(품목별)'!D1706),",","")),"")</f>
        <v>26289.1</v>
      </c>
      <c r="H1702" s="19" t="n">
        <f aca="false">IFERROR(VALUE(SUBSTITUTE(TRIM('수출입 실적(품목별)'!E1706),",","")),"")</f>
        <v>48398</v>
      </c>
      <c r="I1702" s="18" t="n">
        <f aca="false">IFERROR(VALUE(SUBSTITUTE(TRIM('수출입 실적(품목별)'!F1706),",","")),"")</f>
        <v>27123.9</v>
      </c>
      <c r="J1702" s="19" t="n">
        <f aca="false">IFERROR(VALUE(SUBSTITUTE(TRIM('수출입 실적(품목별)'!G1706),",","")),"")</f>
        <v>115791</v>
      </c>
      <c r="K1702" s="19" t="n">
        <f aca="false">IFERROR(VALUE(SUBSTITUTE(TRIM('수출입 실적(품목별)'!H1706),",","")),"")</f>
        <v>-67393</v>
      </c>
    </row>
    <row r="1703" customFormat="false" ht="15" hidden="false" customHeight="true" outlineLevel="0" collapsed="false">
      <c r="A1703" s="11" t="str">
        <f aca="false">TRIM('수출입 실적(품목별)'!A1707)</f>
        <v>2025.06</v>
      </c>
      <c r="B1703" s="17" t="n">
        <f aca="false">IFERROR(VALUE(LEFT($A1703,4)),"")</f>
        <v>2025</v>
      </c>
      <c r="C1703" s="17" t="n">
        <f aca="false">IFERROR(VALUE(RIGHT($A1703,2)),"")</f>
        <v>6</v>
      </c>
      <c r="D1703" s="17" t="n">
        <f aca="false">IFERROR(ROUNDUP($C1703/3,0),"")</f>
        <v>2</v>
      </c>
      <c r="E1703" s="11" t="str">
        <f aca="false">TRIM('수출입 실적(품목별)'!B1707)</f>
        <v>64</v>
      </c>
      <c r="F1703" s="11" t="str">
        <f aca="false">TRIM('수출입 실적(품목별)'!C1707)</f>
        <v>신발류ㆍ각반과 이와 유사한 것, 이들의 부분품</v>
      </c>
      <c r="G1703" s="18" t="n">
        <f aca="false">IFERROR(VALUE(SUBSTITUTE(TRIM('수출입 실적(품목별)'!D1707),",","")),"")</f>
        <v>1261.3</v>
      </c>
      <c r="H1703" s="19" t="n">
        <f aca="false">IFERROR(VALUE(SUBSTITUTE(TRIM('수출입 실적(품목별)'!E1707),",","")),"")</f>
        <v>32434</v>
      </c>
      <c r="I1703" s="18" t="n">
        <f aca="false">IFERROR(VALUE(SUBSTITUTE(TRIM('수출입 실적(품목별)'!F1707),",","")),"")</f>
        <v>11371.1</v>
      </c>
      <c r="J1703" s="19" t="n">
        <f aca="false">IFERROR(VALUE(SUBSTITUTE(TRIM('수출입 실적(품목별)'!G1707),",","")),"")</f>
        <v>316926</v>
      </c>
      <c r="K1703" s="19" t="n">
        <f aca="false">IFERROR(VALUE(SUBSTITUTE(TRIM('수출입 실적(품목별)'!H1707),",","")),"")</f>
        <v>-284492</v>
      </c>
    </row>
    <row r="1704" customFormat="false" ht="15" hidden="false" customHeight="true" outlineLevel="0" collapsed="false">
      <c r="A1704" s="11" t="str">
        <f aca="false">TRIM('수출입 실적(품목별)'!A1708)</f>
        <v>2025.06</v>
      </c>
      <c r="B1704" s="17" t="n">
        <f aca="false">IFERROR(VALUE(LEFT($A1704,4)),"")</f>
        <v>2025</v>
      </c>
      <c r="C1704" s="17" t="n">
        <f aca="false">IFERROR(VALUE(RIGHT($A1704,2)),"")</f>
        <v>6</v>
      </c>
      <c r="D1704" s="17" t="n">
        <f aca="false">IFERROR(ROUNDUP($C1704/3,0),"")</f>
        <v>2</v>
      </c>
      <c r="E1704" s="11" t="str">
        <f aca="false">TRIM('수출입 실적(품목별)'!B1708)</f>
        <v>65</v>
      </c>
      <c r="F1704" s="11" t="str">
        <f aca="false">TRIM('수출입 실적(품목별)'!C1708)</f>
        <v>모자류와 그 부분품</v>
      </c>
      <c r="G1704" s="18" t="n">
        <f aca="false">IFERROR(VALUE(SUBSTITUTE(TRIM('수출입 실적(품목별)'!D1708),",","")),"")</f>
        <v>277.5</v>
      </c>
      <c r="H1704" s="19" t="n">
        <f aca="false">IFERROR(VALUE(SUBSTITUTE(TRIM('수출입 실적(품목별)'!E1708),",","")),"")</f>
        <v>10250</v>
      </c>
      <c r="I1704" s="18" t="n">
        <f aca="false">IFERROR(VALUE(SUBSTITUTE(TRIM('수출입 실적(품목별)'!F1708),",","")),"")</f>
        <v>962</v>
      </c>
      <c r="J1704" s="19" t="n">
        <f aca="false">IFERROR(VALUE(SUBSTITUTE(TRIM('수출입 실적(품목별)'!G1708),",","")),"")</f>
        <v>27315</v>
      </c>
      <c r="K1704" s="19" t="n">
        <f aca="false">IFERROR(VALUE(SUBSTITUTE(TRIM('수출입 실적(품목별)'!H1708),",","")),"")</f>
        <v>-17066</v>
      </c>
    </row>
    <row r="1705" customFormat="false" ht="15" hidden="false" customHeight="true" outlineLevel="0" collapsed="false">
      <c r="A1705" s="11" t="str">
        <f aca="false">TRIM('수출입 실적(품목별)'!A1709)</f>
        <v>2025.06</v>
      </c>
      <c r="B1705" s="17" t="n">
        <f aca="false">IFERROR(VALUE(LEFT($A1705,4)),"")</f>
        <v>2025</v>
      </c>
      <c r="C1705" s="17" t="n">
        <f aca="false">IFERROR(VALUE(RIGHT($A1705,2)),"")</f>
        <v>6</v>
      </c>
      <c r="D1705" s="17" t="n">
        <f aca="false">IFERROR(ROUNDUP($C1705/3,0),"")</f>
        <v>2</v>
      </c>
      <c r="E1705" s="11" t="str">
        <f aca="false">TRIM('수출입 실적(품목별)'!B1709)</f>
        <v>66</v>
      </c>
      <c r="F1705" s="11" t="str">
        <f aca="false">TRIM('수출입 실적(품목별)'!C1709)</f>
        <v>산류(傘類)ㆍ지팡이ㆍ시트스틱(seat-stick)ㆍ채찍ㆍ승마용 채찍과 이들의 부분품</v>
      </c>
      <c r="G1705" s="18" t="n">
        <f aca="false">IFERROR(VALUE(SUBSTITUTE(TRIM('수출입 실적(품목별)'!D1709),",","")),"")</f>
        <v>11.6</v>
      </c>
      <c r="H1705" s="19" t="n">
        <f aca="false">IFERROR(VALUE(SUBSTITUTE(TRIM('수출입 실적(품목별)'!E1709),",","")),"")</f>
        <v>318</v>
      </c>
      <c r="I1705" s="18" t="n">
        <f aca="false">IFERROR(VALUE(SUBSTITUTE(TRIM('수출입 실적(품목별)'!F1709),",","")),"")</f>
        <v>2411.3</v>
      </c>
      <c r="J1705" s="19" t="n">
        <f aca="false">IFERROR(VALUE(SUBSTITUTE(TRIM('수출입 실적(품목별)'!G1709),",","")),"")</f>
        <v>16653</v>
      </c>
      <c r="K1705" s="19" t="n">
        <f aca="false">IFERROR(VALUE(SUBSTITUTE(TRIM('수출입 실적(품목별)'!H1709),",","")),"")</f>
        <v>-16336</v>
      </c>
    </row>
    <row r="1706" customFormat="false" ht="15" hidden="false" customHeight="true" outlineLevel="0" collapsed="false">
      <c r="A1706" s="11" t="str">
        <f aca="false">TRIM('수출입 실적(품목별)'!A1710)</f>
        <v>2025.06</v>
      </c>
      <c r="B1706" s="17" t="n">
        <f aca="false">IFERROR(VALUE(LEFT($A1706,4)),"")</f>
        <v>2025</v>
      </c>
      <c r="C1706" s="17" t="n">
        <f aca="false">IFERROR(VALUE(RIGHT($A1706,2)),"")</f>
        <v>6</v>
      </c>
      <c r="D1706" s="17" t="n">
        <f aca="false">IFERROR(ROUNDUP($C1706/3,0),"")</f>
        <v>2</v>
      </c>
      <c r="E1706" s="11" t="str">
        <f aca="false">TRIM('수출입 실적(품목별)'!B1710)</f>
        <v>67</v>
      </c>
      <c r="F1706" s="11" t="str">
        <f aca="false">TRIM('수출입 실적(품목별)'!C1710)</f>
        <v>조제 깃털ㆍ솜털과 그 제품, 조화, 사람 머리카락으로 된 제품</v>
      </c>
      <c r="G1706" s="18" t="n">
        <f aca="false">IFERROR(VALUE(SUBSTITUTE(TRIM('수출입 실적(품목별)'!D1710),",","")),"")</f>
        <v>25.2</v>
      </c>
      <c r="H1706" s="19" t="n">
        <f aca="false">IFERROR(VALUE(SUBSTITUTE(TRIM('수출입 실적(품목별)'!E1710),",","")),"")</f>
        <v>1748</v>
      </c>
      <c r="I1706" s="18" t="n">
        <f aca="false">IFERROR(VALUE(SUBSTITUTE(TRIM('수출입 실적(품목별)'!F1710),",","")),"")</f>
        <v>363.7</v>
      </c>
      <c r="J1706" s="19" t="n">
        <f aca="false">IFERROR(VALUE(SUBSTITUTE(TRIM('수출입 실적(품목별)'!G1710),",","")),"")</f>
        <v>6369</v>
      </c>
      <c r="K1706" s="19" t="n">
        <f aca="false">IFERROR(VALUE(SUBSTITUTE(TRIM('수출입 실적(품목별)'!H1710),",","")),"")</f>
        <v>-4621</v>
      </c>
    </row>
    <row r="1707" customFormat="false" ht="15" hidden="false" customHeight="true" outlineLevel="0" collapsed="false">
      <c r="A1707" s="11" t="str">
        <f aca="false">TRIM('수출입 실적(품목별)'!A1711)</f>
        <v>2025.06</v>
      </c>
      <c r="B1707" s="17" t="n">
        <f aca="false">IFERROR(VALUE(LEFT($A1707,4)),"")</f>
        <v>2025</v>
      </c>
      <c r="C1707" s="17" t="n">
        <f aca="false">IFERROR(VALUE(RIGHT($A1707,2)),"")</f>
        <v>6</v>
      </c>
      <c r="D1707" s="17" t="n">
        <f aca="false">IFERROR(ROUNDUP($C1707/3,0),"")</f>
        <v>2</v>
      </c>
      <c r="E1707" s="11" t="str">
        <f aca="false">TRIM('수출입 실적(품목별)'!B1711)</f>
        <v>68</v>
      </c>
      <c r="F1707" s="11" t="str">
        <f aca="false">TRIM('수출입 실적(품목별)'!C1711)</f>
        <v>돌ㆍ플라스터(plaster)ㆍ시멘트ㆍ석면ㆍ운모나 이와 유사한 재료의 제품</v>
      </c>
      <c r="G1707" s="18" t="n">
        <f aca="false">IFERROR(VALUE(SUBSTITUTE(TRIM('수출입 실적(품목별)'!D1711),",","")),"")</f>
        <v>10125.6</v>
      </c>
      <c r="H1707" s="19" t="n">
        <f aca="false">IFERROR(VALUE(SUBSTITUTE(TRIM('수출입 실적(품목별)'!E1711),",","")),"")</f>
        <v>76468</v>
      </c>
      <c r="I1707" s="18" t="n">
        <f aca="false">IFERROR(VALUE(SUBSTITUTE(TRIM('수출입 실적(품목별)'!F1711),",","")),"")</f>
        <v>191980</v>
      </c>
      <c r="J1707" s="19" t="n">
        <f aca="false">IFERROR(VALUE(SUBSTITUTE(TRIM('수출입 실적(품목별)'!G1711),",","")),"")</f>
        <v>104671</v>
      </c>
      <c r="K1707" s="19" t="n">
        <f aca="false">IFERROR(VALUE(SUBSTITUTE(TRIM('수출입 실적(품목별)'!H1711),",","")),"")</f>
        <v>-28203</v>
      </c>
    </row>
    <row r="1708" customFormat="false" ht="15" hidden="false" customHeight="true" outlineLevel="0" collapsed="false">
      <c r="A1708" s="11" t="str">
        <f aca="false">TRIM('수출입 실적(품목별)'!A1712)</f>
        <v>2025.06</v>
      </c>
      <c r="B1708" s="17" t="n">
        <f aca="false">IFERROR(VALUE(LEFT($A1708,4)),"")</f>
        <v>2025</v>
      </c>
      <c r="C1708" s="17" t="n">
        <f aca="false">IFERROR(VALUE(RIGHT($A1708,2)),"")</f>
        <v>6</v>
      </c>
      <c r="D1708" s="17" t="n">
        <f aca="false">IFERROR(ROUNDUP($C1708/3,0),"")</f>
        <v>2</v>
      </c>
      <c r="E1708" s="11" t="str">
        <f aca="false">TRIM('수출입 실적(품목별)'!B1712)</f>
        <v>69</v>
      </c>
      <c r="F1708" s="11" t="str">
        <f aca="false">TRIM('수출입 실적(품목별)'!C1712)</f>
        <v>도자제품</v>
      </c>
      <c r="G1708" s="18" t="n">
        <f aca="false">IFERROR(VALUE(SUBSTITUTE(TRIM('수출입 실적(품목별)'!D1712),",","")),"")</f>
        <v>2573.6</v>
      </c>
      <c r="H1708" s="19" t="n">
        <f aca="false">IFERROR(VALUE(SUBSTITUTE(TRIM('수출입 실적(품목별)'!E1712),",","")),"")</f>
        <v>29414</v>
      </c>
      <c r="I1708" s="18" t="n">
        <f aca="false">IFERROR(VALUE(SUBSTITUTE(TRIM('수출입 실적(품목별)'!F1712),",","")),"")</f>
        <v>134720.5</v>
      </c>
      <c r="J1708" s="19" t="n">
        <f aca="false">IFERROR(VALUE(SUBSTITUTE(TRIM('수출입 실적(품목별)'!G1712),",","")),"")</f>
        <v>134282</v>
      </c>
      <c r="K1708" s="19" t="n">
        <f aca="false">IFERROR(VALUE(SUBSTITUTE(TRIM('수출입 실적(품목별)'!H1712),",","")),"")</f>
        <v>-104869</v>
      </c>
    </row>
    <row r="1709" customFormat="false" ht="15" hidden="false" customHeight="true" outlineLevel="0" collapsed="false">
      <c r="A1709" s="11" t="str">
        <f aca="false">TRIM('수출입 실적(품목별)'!A1713)</f>
        <v>2025.06</v>
      </c>
      <c r="B1709" s="17" t="n">
        <f aca="false">IFERROR(VALUE(LEFT($A1709,4)),"")</f>
        <v>2025</v>
      </c>
      <c r="C1709" s="17" t="n">
        <f aca="false">IFERROR(VALUE(RIGHT($A1709,2)),"")</f>
        <v>6</v>
      </c>
      <c r="D1709" s="17" t="n">
        <f aca="false">IFERROR(ROUNDUP($C1709/3,0),"")</f>
        <v>2</v>
      </c>
      <c r="E1709" s="11" t="str">
        <f aca="false">TRIM('수출입 실적(품목별)'!B1713)</f>
        <v>70</v>
      </c>
      <c r="F1709" s="11" t="str">
        <f aca="false">TRIM('수출입 실적(품목별)'!C1713)</f>
        <v>유리와 유리제품</v>
      </c>
      <c r="G1709" s="18" t="n">
        <f aca="false">IFERROR(VALUE(SUBSTITUTE(TRIM('수출입 실적(품목별)'!D1713),",","")),"")</f>
        <v>27611.5</v>
      </c>
      <c r="H1709" s="19" t="n">
        <f aca="false">IFERROR(VALUE(SUBSTITUTE(TRIM('수출입 실적(품목별)'!E1713),",","")),"")</f>
        <v>166472</v>
      </c>
      <c r="I1709" s="18" t="n">
        <f aca="false">IFERROR(VALUE(SUBSTITUTE(TRIM('수출입 실적(품목별)'!F1713),",","")),"")</f>
        <v>79013.1</v>
      </c>
      <c r="J1709" s="19" t="n">
        <f aca="false">IFERROR(VALUE(SUBSTITUTE(TRIM('수출입 실적(품목별)'!G1713),",","")),"")</f>
        <v>224425</v>
      </c>
      <c r="K1709" s="19" t="n">
        <f aca="false">IFERROR(VALUE(SUBSTITUTE(TRIM('수출입 실적(품목별)'!H1713),",","")),"")</f>
        <v>-57953</v>
      </c>
    </row>
    <row r="1710" customFormat="false" ht="15" hidden="false" customHeight="true" outlineLevel="0" collapsed="false">
      <c r="A1710" s="11" t="str">
        <f aca="false">TRIM('수출입 실적(품목별)'!A1714)</f>
        <v>2025.06</v>
      </c>
      <c r="B1710" s="17" t="n">
        <f aca="false">IFERROR(VALUE(LEFT($A1710,4)),"")</f>
        <v>2025</v>
      </c>
      <c r="C1710" s="17" t="n">
        <f aca="false">IFERROR(VALUE(RIGHT($A1710,2)),"")</f>
        <v>6</v>
      </c>
      <c r="D1710" s="17" t="n">
        <f aca="false">IFERROR(ROUNDUP($C1710/3,0),"")</f>
        <v>2</v>
      </c>
      <c r="E1710" s="11" t="str">
        <f aca="false">TRIM('수출입 실적(품목별)'!B1714)</f>
        <v>71</v>
      </c>
      <c r="F1710" s="11" t="str">
        <f aca="false">TRIM('수출입 실적(품목별)'!C1714)</f>
        <v>천연진주ㆍ양식진주ㆍ귀석ㆍ반귀석ㆍ귀금속ㆍ귀금속을 입힌 금속과 이들의 제품, 모조 신변장식용품, 주화</v>
      </c>
      <c r="G1710" s="18" t="n">
        <f aca="false">IFERROR(VALUE(SUBSTITUTE(TRIM('수출입 실적(품목별)'!D1714),",","")),"")</f>
        <v>752.6</v>
      </c>
      <c r="H1710" s="19" t="n">
        <f aca="false">IFERROR(VALUE(SUBSTITUTE(TRIM('수출입 실적(품목별)'!E1714),",","")),"")</f>
        <v>721336</v>
      </c>
      <c r="I1710" s="18" t="n">
        <f aca="false">IFERROR(VALUE(SUBSTITUTE(TRIM('수출입 실적(품목별)'!F1714),",","")),"")</f>
        <v>1264.6</v>
      </c>
      <c r="J1710" s="19" t="n">
        <f aca="false">IFERROR(VALUE(SUBSTITUTE(TRIM('수출입 실적(품목별)'!G1714),",","")),"")</f>
        <v>658389</v>
      </c>
      <c r="K1710" s="19" t="n">
        <f aca="false">IFERROR(VALUE(SUBSTITUTE(TRIM('수출입 실적(품목별)'!H1714),",","")),"")</f>
        <v>62947</v>
      </c>
    </row>
    <row r="1711" customFormat="false" ht="15" hidden="false" customHeight="true" outlineLevel="0" collapsed="false">
      <c r="A1711" s="11" t="str">
        <f aca="false">TRIM('수출입 실적(품목별)'!A1715)</f>
        <v>2025.06</v>
      </c>
      <c r="B1711" s="17" t="n">
        <f aca="false">IFERROR(VALUE(LEFT($A1711,4)),"")</f>
        <v>2025</v>
      </c>
      <c r="C1711" s="17" t="n">
        <f aca="false">IFERROR(VALUE(RIGHT($A1711,2)),"")</f>
        <v>6</v>
      </c>
      <c r="D1711" s="17" t="n">
        <f aca="false">IFERROR(ROUNDUP($C1711/3,0),"")</f>
        <v>2</v>
      </c>
      <c r="E1711" s="11" t="str">
        <f aca="false">TRIM('수출입 실적(품목별)'!B1715)</f>
        <v>72</v>
      </c>
      <c r="F1711" s="11" t="str">
        <f aca="false">TRIM('수출입 실적(품목별)'!C1715)</f>
        <v>철강</v>
      </c>
      <c r="G1711" s="18" t="n">
        <f aca="false">IFERROR(VALUE(SUBSTITUTE(TRIM('수출입 실적(품목별)'!D1715),",","")),"")</f>
        <v>1980575.8</v>
      </c>
      <c r="H1711" s="19" t="n">
        <f aca="false">IFERROR(VALUE(SUBSTITUTE(TRIM('수출입 실적(품목별)'!E1715),",","")),"")</f>
        <v>1757624</v>
      </c>
      <c r="I1711" s="18" t="n">
        <f aca="false">IFERROR(VALUE(SUBSTITUTE(TRIM('수출입 실적(품목별)'!F1715),",","")),"")</f>
        <v>1216954.7</v>
      </c>
      <c r="J1711" s="19" t="n">
        <f aca="false">IFERROR(VALUE(SUBSTITUTE(TRIM('수출입 실적(품목별)'!G1715),",","")),"")</f>
        <v>957763</v>
      </c>
      <c r="K1711" s="19" t="n">
        <f aca="false">IFERROR(VALUE(SUBSTITUTE(TRIM('수출입 실적(품목별)'!H1715),",","")),"")</f>
        <v>799862</v>
      </c>
    </row>
    <row r="1712" customFormat="false" ht="15" hidden="false" customHeight="true" outlineLevel="0" collapsed="false">
      <c r="A1712" s="11" t="str">
        <f aca="false">TRIM('수출입 실적(품목별)'!A1716)</f>
        <v>2025.06</v>
      </c>
      <c r="B1712" s="17" t="n">
        <f aca="false">IFERROR(VALUE(LEFT($A1712,4)),"")</f>
        <v>2025</v>
      </c>
      <c r="C1712" s="17" t="n">
        <f aca="false">IFERROR(VALUE(RIGHT($A1712,2)),"")</f>
        <v>6</v>
      </c>
      <c r="D1712" s="17" t="n">
        <f aca="false">IFERROR(ROUNDUP($C1712/3,0),"")</f>
        <v>2</v>
      </c>
      <c r="E1712" s="11" t="str">
        <f aca="false">TRIM('수출입 실적(품목별)'!B1716)</f>
        <v>73</v>
      </c>
      <c r="F1712" s="11" t="str">
        <f aca="false">TRIM('수출입 실적(품목별)'!C1716)</f>
        <v>철강의 제품</v>
      </c>
      <c r="G1712" s="18" t="n">
        <f aca="false">IFERROR(VALUE(SUBSTITUTE(TRIM('수출입 실적(품목별)'!D1716),",","")),"")</f>
        <v>260399.6</v>
      </c>
      <c r="H1712" s="19" t="n">
        <f aca="false">IFERROR(VALUE(SUBSTITUTE(TRIM('수출입 실적(품목별)'!E1716),",","")),"")</f>
        <v>696345</v>
      </c>
      <c r="I1712" s="18" t="n">
        <f aca="false">IFERROR(VALUE(SUBSTITUTE(TRIM('수출입 실적(품목별)'!F1716),",","")),"")</f>
        <v>225028</v>
      </c>
      <c r="J1712" s="19" t="n">
        <f aca="false">IFERROR(VALUE(SUBSTITUTE(TRIM('수출입 실적(품목별)'!G1716),",","")),"")</f>
        <v>630498</v>
      </c>
      <c r="K1712" s="19" t="n">
        <f aca="false">IFERROR(VALUE(SUBSTITUTE(TRIM('수출입 실적(품목별)'!H1716),",","")),"")</f>
        <v>65847</v>
      </c>
    </row>
    <row r="1713" customFormat="false" ht="15" hidden="false" customHeight="true" outlineLevel="0" collapsed="false">
      <c r="A1713" s="11" t="str">
        <f aca="false">TRIM('수출입 실적(품목별)'!A1717)</f>
        <v>2025.06</v>
      </c>
      <c r="B1713" s="17" t="n">
        <f aca="false">IFERROR(VALUE(LEFT($A1713,4)),"")</f>
        <v>2025</v>
      </c>
      <c r="C1713" s="17" t="n">
        <f aca="false">IFERROR(VALUE(RIGHT($A1713,2)),"")</f>
        <v>6</v>
      </c>
      <c r="D1713" s="17" t="n">
        <f aca="false">IFERROR(ROUNDUP($C1713/3,0),"")</f>
        <v>2</v>
      </c>
      <c r="E1713" s="11" t="str">
        <f aca="false">TRIM('수출입 실적(품목별)'!B1717)</f>
        <v>74</v>
      </c>
      <c r="F1713" s="11" t="str">
        <f aca="false">TRIM('수출입 실적(품목별)'!C1717)</f>
        <v>구리와 그 제품</v>
      </c>
      <c r="G1713" s="18" t="n">
        <f aca="false">IFERROR(VALUE(SUBSTITUTE(TRIM('수출입 실적(품목별)'!D1717),",","")),"")</f>
        <v>57343.9</v>
      </c>
      <c r="H1713" s="19" t="n">
        <f aca="false">IFERROR(VALUE(SUBSTITUTE(TRIM('수출입 실적(품목별)'!E1717),",","")),"")</f>
        <v>571897</v>
      </c>
      <c r="I1713" s="18" t="n">
        <f aca="false">IFERROR(VALUE(SUBSTITUTE(TRIM('수출입 실적(품목별)'!F1717),",","")),"")</f>
        <v>70374.2</v>
      </c>
      <c r="J1713" s="19" t="n">
        <f aca="false">IFERROR(VALUE(SUBSTITUTE(TRIM('수출입 실적(품목별)'!G1717),",","")),"")</f>
        <v>722164</v>
      </c>
      <c r="K1713" s="19" t="n">
        <f aca="false">IFERROR(VALUE(SUBSTITUTE(TRIM('수출입 실적(품목별)'!H1717),",","")),"")</f>
        <v>-150266</v>
      </c>
    </row>
    <row r="1714" customFormat="false" ht="15" hidden="false" customHeight="true" outlineLevel="0" collapsed="false">
      <c r="A1714" s="11" t="str">
        <f aca="false">TRIM('수출입 실적(품목별)'!A1718)</f>
        <v>2025.06</v>
      </c>
      <c r="B1714" s="17" t="n">
        <f aca="false">IFERROR(VALUE(LEFT($A1714,4)),"")</f>
        <v>2025</v>
      </c>
      <c r="C1714" s="17" t="n">
        <f aca="false">IFERROR(VALUE(RIGHT($A1714,2)),"")</f>
        <v>6</v>
      </c>
      <c r="D1714" s="17" t="n">
        <f aca="false">IFERROR(ROUNDUP($C1714/3,0),"")</f>
        <v>2</v>
      </c>
      <c r="E1714" s="11" t="str">
        <f aca="false">TRIM('수출입 실적(품목별)'!B1718)</f>
        <v>75</v>
      </c>
      <c r="F1714" s="11" t="str">
        <f aca="false">TRIM('수출입 실적(품목별)'!C1718)</f>
        <v>니켈과 그 제품</v>
      </c>
      <c r="G1714" s="18" t="n">
        <f aca="false">IFERROR(VALUE(SUBSTITUTE(TRIM('수출입 실적(품목별)'!D1718),",","")),"")</f>
        <v>652.4</v>
      </c>
      <c r="H1714" s="19" t="n">
        <f aca="false">IFERROR(VALUE(SUBSTITUTE(TRIM('수출입 실적(품목별)'!E1718),",","")),"")</f>
        <v>13594</v>
      </c>
      <c r="I1714" s="18" t="n">
        <f aca="false">IFERROR(VALUE(SUBSTITUTE(TRIM('수출입 실적(품목별)'!F1718),",","")),"")</f>
        <v>11017.8</v>
      </c>
      <c r="J1714" s="19" t="n">
        <f aca="false">IFERROR(VALUE(SUBSTITUTE(TRIM('수출입 실적(품목별)'!G1718),",","")),"")</f>
        <v>137935</v>
      </c>
      <c r="K1714" s="19" t="n">
        <f aca="false">IFERROR(VALUE(SUBSTITUTE(TRIM('수출입 실적(품목별)'!H1718),",","")),"")</f>
        <v>-124342</v>
      </c>
    </row>
    <row r="1715" customFormat="false" ht="15" hidden="false" customHeight="true" outlineLevel="0" collapsed="false">
      <c r="A1715" s="11" t="str">
        <f aca="false">TRIM('수출입 실적(품목별)'!A1719)</f>
        <v>2025.06</v>
      </c>
      <c r="B1715" s="17" t="n">
        <f aca="false">IFERROR(VALUE(LEFT($A1715,4)),"")</f>
        <v>2025</v>
      </c>
      <c r="C1715" s="17" t="n">
        <f aca="false">IFERROR(VALUE(RIGHT($A1715,2)),"")</f>
        <v>6</v>
      </c>
      <c r="D1715" s="17" t="n">
        <f aca="false">IFERROR(ROUNDUP($C1715/3,0),"")</f>
        <v>2</v>
      </c>
      <c r="E1715" s="11" t="str">
        <f aca="false">TRIM('수출입 실적(품목별)'!B1719)</f>
        <v>76</v>
      </c>
      <c r="F1715" s="11" t="str">
        <f aca="false">TRIM('수출입 실적(품목별)'!C1719)</f>
        <v>알루미늄과 그 제품</v>
      </c>
      <c r="G1715" s="18" t="n">
        <f aca="false">IFERROR(VALUE(SUBSTITUTE(TRIM('수출입 실적(품목별)'!D1719),",","")),"")</f>
        <v>111824.6</v>
      </c>
      <c r="H1715" s="19" t="n">
        <f aca="false">IFERROR(VALUE(SUBSTITUTE(TRIM('수출입 실적(품목별)'!E1719),",","")),"")</f>
        <v>435321</v>
      </c>
      <c r="I1715" s="18" t="n">
        <f aca="false">IFERROR(VALUE(SUBSTITUTE(TRIM('수출입 실적(품목별)'!F1719),",","")),"")</f>
        <v>244484.3</v>
      </c>
      <c r="J1715" s="19" t="n">
        <f aca="false">IFERROR(VALUE(SUBSTITUTE(TRIM('수출입 실적(품목별)'!G1719),",","")),"")</f>
        <v>739359</v>
      </c>
      <c r="K1715" s="19" t="n">
        <f aca="false">IFERROR(VALUE(SUBSTITUTE(TRIM('수출입 실적(품목별)'!H1719),",","")),"")</f>
        <v>-304039</v>
      </c>
    </row>
    <row r="1716" customFormat="false" ht="15" hidden="false" customHeight="true" outlineLevel="0" collapsed="false">
      <c r="A1716" s="11" t="str">
        <f aca="false">TRIM('수출입 실적(품목별)'!A1720)</f>
        <v>2025.06</v>
      </c>
      <c r="B1716" s="17" t="n">
        <f aca="false">IFERROR(VALUE(LEFT($A1716,4)),"")</f>
        <v>2025</v>
      </c>
      <c r="C1716" s="17" t="n">
        <f aca="false">IFERROR(VALUE(RIGHT($A1716,2)),"")</f>
        <v>6</v>
      </c>
      <c r="D1716" s="17" t="n">
        <f aca="false">IFERROR(ROUNDUP($C1716/3,0),"")</f>
        <v>2</v>
      </c>
      <c r="E1716" s="11" t="str">
        <f aca="false">TRIM('수출입 실적(품목별)'!B1720)</f>
        <v>78</v>
      </c>
      <c r="F1716" s="11" t="str">
        <f aca="false">TRIM('수출입 실적(품목별)'!C1720)</f>
        <v>납과 그 제품</v>
      </c>
      <c r="G1716" s="18" t="n">
        <f aca="false">IFERROR(VALUE(SUBSTITUTE(TRIM('수출입 실적(품목별)'!D1720),",","")),"")</f>
        <v>27004.9</v>
      </c>
      <c r="H1716" s="19" t="n">
        <f aca="false">IFERROR(VALUE(SUBSTITUTE(TRIM('수출입 실적(품목별)'!E1720),",","")),"")</f>
        <v>58745</v>
      </c>
      <c r="I1716" s="18" t="n">
        <f aca="false">IFERROR(VALUE(SUBSTITUTE(TRIM('수출입 실적(품목별)'!F1720),",","")),"")</f>
        <v>14427.8</v>
      </c>
      <c r="J1716" s="19" t="n">
        <f aca="false">IFERROR(VALUE(SUBSTITUTE(TRIM('수출입 실적(품목별)'!G1720),",","")),"")</f>
        <v>32732</v>
      </c>
      <c r="K1716" s="19" t="n">
        <f aca="false">IFERROR(VALUE(SUBSTITUTE(TRIM('수출입 실적(품목별)'!H1720),",","")),"")</f>
        <v>26013</v>
      </c>
    </row>
    <row r="1717" customFormat="false" ht="15" hidden="false" customHeight="true" outlineLevel="0" collapsed="false">
      <c r="A1717" s="11" t="str">
        <f aca="false">TRIM('수출입 실적(품목별)'!A1721)</f>
        <v>2025.06</v>
      </c>
      <c r="B1717" s="17" t="n">
        <f aca="false">IFERROR(VALUE(LEFT($A1717,4)),"")</f>
        <v>2025</v>
      </c>
      <c r="C1717" s="17" t="n">
        <f aca="false">IFERROR(VALUE(RIGHT($A1717,2)),"")</f>
        <v>6</v>
      </c>
      <c r="D1717" s="17" t="n">
        <f aca="false">IFERROR(ROUNDUP($C1717/3,0),"")</f>
        <v>2</v>
      </c>
      <c r="E1717" s="11" t="str">
        <f aca="false">TRIM('수출입 실적(품목별)'!B1721)</f>
        <v>79</v>
      </c>
      <c r="F1717" s="11" t="str">
        <f aca="false">TRIM('수출입 실적(품목별)'!C1721)</f>
        <v>아연과 그 제품</v>
      </c>
      <c r="G1717" s="18" t="n">
        <f aca="false">IFERROR(VALUE(SUBSTITUTE(TRIM('수출입 실적(품목별)'!D1721),",","")),"")</f>
        <v>39956.6</v>
      </c>
      <c r="H1717" s="19" t="n">
        <f aca="false">IFERROR(VALUE(SUBSTITUTE(TRIM('수출입 실적(품목별)'!E1721),",","")),"")</f>
        <v>113767</v>
      </c>
      <c r="I1717" s="18" t="n">
        <f aca="false">IFERROR(VALUE(SUBSTITUTE(TRIM('수출입 실적(품목별)'!F1721),",","")),"")</f>
        <v>1603</v>
      </c>
      <c r="J1717" s="19" t="n">
        <f aca="false">IFERROR(VALUE(SUBSTITUTE(TRIM('수출입 실적(품목별)'!G1721),",","")),"")</f>
        <v>5500</v>
      </c>
      <c r="K1717" s="19" t="n">
        <f aca="false">IFERROR(VALUE(SUBSTITUTE(TRIM('수출입 실적(품목별)'!H1721),",","")),"")</f>
        <v>108267</v>
      </c>
    </row>
    <row r="1718" customFormat="false" ht="15" hidden="false" customHeight="true" outlineLevel="0" collapsed="false">
      <c r="A1718" s="11" t="str">
        <f aca="false">TRIM('수출입 실적(품목별)'!A1722)</f>
        <v>2025.06</v>
      </c>
      <c r="B1718" s="17" t="n">
        <f aca="false">IFERROR(VALUE(LEFT($A1718,4)),"")</f>
        <v>2025</v>
      </c>
      <c r="C1718" s="17" t="n">
        <f aca="false">IFERROR(VALUE(RIGHT($A1718,2)),"")</f>
        <v>6</v>
      </c>
      <c r="D1718" s="17" t="n">
        <f aca="false">IFERROR(ROUNDUP($C1718/3,0),"")</f>
        <v>2</v>
      </c>
      <c r="E1718" s="11" t="str">
        <f aca="false">TRIM('수출입 실적(품목별)'!B1722)</f>
        <v>80</v>
      </c>
      <c r="F1718" s="11" t="str">
        <f aca="false">TRIM('수출입 실적(품목별)'!C1722)</f>
        <v>주석과 그 제품</v>
      </c>
      <c r="G1718" s="18" t="n">
        <f aca="false">IFERROR(VALUE(SUBSTITUTE(TRIM('수출입 실적(품목별)'!D1722),",","")),"")</f>
        <v>118</v>
      </c>
      <c r="H1718" s="19" t="n">
        <f aca="false">IFERROR(VALUE(SUBSTITUTE(TRIM('수출입 실적(품목별)'!E1722),",","")),"")</f>
        <v>7631</v>
      </c>
      <c r="I1718" s="18" t="n">
        <f aca="false">IFERROR(VALUE(SUBSTITUTE(TRIM('수출입 실적(품목별)'!F1722),",","")),"")</f>
        <v>1413.1</v>
      </c>
      <c r="J1718" s="19" t="n">
        <f aca="false">IFERROR(VALUE(SUBSTITUTE(TRIM('수출입 실적(품목별)'!G1722),",","")),"")</f>
        <v>49021</v>
      </c>
      <c r="K1718" s="19" t="n">
        <f aca="false">IFERROR(VALUE(SUBSTITUTE(TRIM('수출입 실적(품목별)'!H1722),",","")),"")</f>
        <v>-41390</v>
      </c>
    </row>
    <row r="1719" customFormat="false" ht="15" hidden="false" customHeight="true" outlineLevel="0" collapsed="false">
      <c r="A1719" s="11" t="str">
        <f aca="false">TRIM('수출입 실적(품목별)'!A1723)</f>
        <v>2025.06</v>
      </c>
      <c r="B1719" s="17" t="n">
        <f aca="false">IFERROR(VALUE(LEFT($A1719,4)),"")</f>
        <v>2025</v>
      </c>
      <c r="C1719" s="17" t="n">
        <f aca="false">IFERROR(VALUE(RIGHT($A1719,2)),"")</f>
        <v>6</v>
      </c>
      <c r="D1719" s="17" t="n">
        <f aca="false">IFERROR(ROUNDUP($C1719/3,0),"")</f>
        <v>2</v>
      </c>
      <c r="E1719" s="11" t="str">
        <f aca="false">TRIM('수출입 실적(품목별)'!B1723)</f>
        <v>81</v>
      </c>
      <c r="F1719" s="11" t="str">
        <f aca="false">TRIM('수출입 실적(품목별)'!C1723)</f>
        <v>그 밖의 비금속(卑金屬), 서멧(cermet), 이들의 제품</v>
      </c>
      <c r="G1719" s="18" t="n">
        <f aca="false">IFERROR(VALUE(SUBSTITUTE(TRIM('수출입 실적(품목별)'!D1723),",","")),"")</f>
        <v>2659</v>
      </c>
      <c r="H1719" s="19" t="n">
        <f aca="false">IFERROR(VALUE(SUBSTITUTE(TRIM('수출입 실적(품목별)'!E1723),",","")),"")</f>
        <v>53318</v>
      </c>
      <c r="I1719" s="18" t="n">
        <f aca="false">IFERROR(VALUE(SUBSTITUTE(TRIM('수출입 실적(품목별)'!F1723),",","")),"")</f>
        <v>16158.6</v>
      </c>
      <c r="J1719" s="19" t="n">
        <f aca="false">IFERROR(VALUE(SUBSTITUTE(TRIM('수출입 실적(품목별)'!G1723),",","")),"")</f>
        <v>127269</v>
      </c>
      <c r="K1719" s="19" t="n">
        <f aca="false">IFERROR(VALUE(SUBSTITUTE(TRIM('수출입 실적(품목별)'!H1723),",","")),"")</f>
        <v>-73950</v>
      </c>
    </row>
    <row r="1720" customFormat="false" ht="15" hidden="false" customHeight="true" outlineLevel="0" collapsed="false">
      <c r="A1720" s="11" t="str">
        <f aca="false">TRIM('수출입 실적(품목별)'!A1724)</f>
        <v>2025.06</v>
      </c>
      <c r="B1720" s="17" t="n">
        <f aca="false">IFERROR(VALUE(LEFT($A1720,4)),"")</f>
        <v>2025</v>
      </c>
      <c r="C1720" s="17" t="n">
        <f aca="false">IFERROR(VALUE(RIGHT($A1720,2)),"")</f>
        <v>6</v>
      </c>
      <c r="D1720" s="17" t="n">
        <f aca="false">IFERROR(ROUNDUP($C1720/3,0),"")</f>
        <v>2</v>
      </c>
      <c r="E1720" s="11" t="str">
        <f aca="false">TRIM('수출입 실적(품목별)'!B1724)</f>
        <v>82</v>
      </c>
      <c r="F1720" s="11" t="str">
        <f aca="false">TRIM('수출입 실적(품목별)'!C1724)</f>
        <v>비금속(卑金屬)으로 만든 공구ㆍ도구ㆍ칼붙이ㆍ스푼ㆍ포크, 이들의 부분품</v>
      </c>
      <c r="G1720" s="18" t="n">
        <f aca="false">IFERROR(VALUE(SUBSTITUTE(TRIM('수출입 실적(품목별)'!D1724),",","")),"")</f>
        <v>8325.3</v>
      </c>
      <c r="H1720" s="19" t="n">
        <f aca="false">IFERROR(VALUE(SUBSTITUTE(TRIM('수출입 실적(품목별)'!E1724),",","")),"")</f>
        <v>165613</v>
      </c>
      <c r="I1720" s="18" t="n">
        <f aca="false">IFERROR(VALUE(SUBSTITUTE(TRIM('수출입 실적(품목별)'!F1724),",","")),"")</f>
        <v>4765.1</v>
      </c>
      <c r="J1720" s="19" t="n">
        <f aca="false">IFERROR(VALUE(SUBSTITUTE(TRIM('수출입 실적(품목별)'!G1724),",","")),"")</f>
        <v>82838</v>
      </c>
      <c r="K1720" s="19" t="n">
        <f aca="false">IFERROR(VALUE(SUBSTITUTE(TRIM('수출입 실적(품목별)'!H1724),",","")),"")</f>
        <v>82775</v>
      </c>
    </row>
    <row r="1721" customFormat="false" ht="15" hidden="false" customHeight="true" outlineLevel="0" collapsed="false">
      <c r="A1721" s="11" t="str">
        <f aca="false">TRIM('수출입 실적(품목별)'!A1725)</f>
        <v>2025.06</v>
      </c>
      <c r="B1721" s="17" t="n">
        <f aca="false">IFERROR(VALUE(LEFT($A1721,4)),"")</f>
        <v>2025</v>
      </c>
      <c r="C1721" s="17" t="n">
        <f aca="false">IFERROR(VALUE(RIGHT($A1721,2)),"")</f>
        <v>6</v>
      </c>
      <c r="D1721" s="17" t="n">
        <f aca="false">IFERROR(ROUNDUP($C1721/3,0),"")</f>
        <v>2</v>
      </c>
      <c r="E1721" s="11" t="str">
        <f aca="false">TRIM('수출입 실적(품목별)'!B1725)</f>
        <v>83</v>
      </c>
      <c r="F1721" s="11" t="str">
        <f aca="false">TRIM('수출입 실적(품목별)'!C1725)</f>
        <v>비금속(卑金屬)으로 만든 각종 제품</v>
      </c>
      <c r="G1721" s="18" t="n">
        <f aca="false">IFERROR(VALUE(SUBSTITUTE(TRIM('수출입 실적(품목별)'!D1725),",","")),"")</f>
        <v>23266.7</v>
      </c>
      <c r="H1721" s="19" t="n">
        <f aca="false">IFERROR(VALUE(SUBSTITUTE(TRIM('수출입 실적(품목별)'!E1725),",","")),"")</f>
        <v>137469</v>
      </c>
      <c r="I1721" s="18" t="n">
        <f aca="false">IFERROR(VALUE(SUBSTITUTE(TRIM('수출입 실적(품목별)'!F1725),",","")),"")</f>
        <v>11001</v>
      </c>
      <c r="J1721" s="19" t="n">
        <f aca="false">IFERROR(VALUE(SUBSTITUTE(TRIM('수출입 실적(품목별)'!G1725),",","")),"")</f>
        <v>77959</v>
      </c>
      <c r="K1721" s="19" t="n">
        <f aca="false">IFERROR(VALUE(SUBSTITUTE(TRIM('수출입 실적(품목별)'!H1725),",","")),"")</f>
        <v>59510</v>
      </c>
    </row>
    <row r="1722" customFormat="false" ht="15" hidden="false" customHeight="true" outlineLevel="0" collapsed="false">
      <c r="A1722" s="11" t="str">
        <f aca="false">TRIM('수출입 실적(품목별)'!A1726)</f>
        <v>2025.06</v>
      </c>
      <c r="B1722" s="17" t="n">
        <f aca="false">IFERROR(VALUE(LEFT($A1722,4)),"")</f>
        <v>2025</v>
      </c>
      <c r="C1722" s="17" t="n">
        <f aca="false">IFERROR(VALUE(RIGHT($A1722,2)),"")</f>
        <v>6</v>
      </c>
      <c r="D1722" s="17" t="n">
        <f aca="false">IFERROR(ROUNDUP($C1722/3,0),"")</f>
        <v>2</v>
      </c>
      <c r="E1722" s="11" t="str">
        <f aca="false">TRIM('수출입 실적(품목별)'!B1726)</f>
        <v>84</v>
      </c>
      <c r="F1722" s="11" t="str">
        <f aca="false">TRIM('수출입 실적(품목별)'!C1726)</f>
        <v>원자로ㆍ보일러ㆍ기계류와 이들의 부분품</v>
      </c>
      <c r="G1722" s="18" t="n">
        <f aca="false">IFERROR(VALUE(SUBSTITUTE(TRIM('수출입 실적(품목별)'!D1726),",","")),"")</f>
        <v>360555.9</v>
      </c>
      <c r="H1722" s="19" t="n">
        <f aca="false">IFERROR(VALUE(SUBSTITUTE(TRIM('수출입 실적(품목별)'!E1726),",","")),"")</f>
        <v>7429562</v>
      </c>
      <c r="I1722" s="18" t="n">
        <f aca="false">IFERROR(VALUE(SUBSTITUTE(TRIM('수출입 실적(품목별)'!F1726),",","")),"")</f>
        <v>228569.6</v>
      </c>
      <c r="J1722" s="19" t="n">
        <f aca="false">IFERROR(VALUE(SUBSTITUTE(TRIM('수출입 실적(품목별)'!G1726),",","")),"")</f>
        <v>6368004</v>
      </c>
      <c r="K1722" s="19" t="n">
        <f aca="false">IFERROR(VALUE(SUBSTITUTE(TRIM('수출입 실적(품목별)'!H1726),",","")),"")</f>
        <v>1061558</v>
      </c>
    </row>
    <row r="1723" customFormat="false" ht="15" hidden="false" customHeight="true" outlineLevel="0" collapsed="false">
      <c r="A1723" s="11" t="str">
        <f aca="false">TRIM('수출입 실적(품목별)'!A1727)</f>
        <v>2025.06</v>
      </c>
      <c r="B1723" s="17" t="n">
        <f aca="false">IFERROR(VALUE(LEFT($A1723,4)),"")</f>
        <v>2025</v>
      </c>
      <c r="C1723" s="17" t="n">
        <f aca="false">IFERROR(VALUE(RIGHT($A1723,2)),"")</f>
        <v>6</v>
      </c>
      <c r="D1723" s="17" t="n">
        <f aca="false">IFERROR(ROUNDUP($C1723/3,0),"")</f>
        <v>2</v>
      </c>
      <c r="E1723" s="11" t="str">
        <f aca="false">TRIM('수출입 실적(품목별)'!B1727)</f>
        <v>85</v>
      </c>
      <c r="F1723" s="11" t="str">
        <f aca="false">TRIM('수출입 실적(품목별)'!C1727)</f>
        <v>전기기기와 그 부분품, 녹음기ㆍ음성 재생기ㆍ텔레비전의 영상과 음성의 기록기ㆍ재생기와 이들의 부분품ㆍ부속품</v>
      </c>
      <c r="G1723" s="18" t="n">
        <f aca="false">IFERROR(VALUE(SUBSTITUTE(TRIM('수출입 실적(품목별)'!D1727),",","")),"")</f>
        <v>226543.6</v>
      </c>
      <c r="H1723" s="19" t="n">
        <f aca="false">IFERROR(VALUE(SUBSTITUTE(TRIM('수출입 실적(품목별)'!E1727),",","")),"")</f>
        <v>19535265</v>
      </c>
      <c r="I1723" s="18" t="n">
        <f aca="false">IFERROR(VALUE(SUBSTITUTE(TRIM('수출입 실적(품목별)'!F1727),",","")),"")</f>
        <v>205183.5</v>
      </c>
      <c r="J1723" s="19" t="n">
        <f aca="false">IFERROR(VALUE(SUBSTITUTE(TRIM('수출입 실적(품목별)'!G1727),",","")),"")</f>
        <v>10470324</v>
      </c>
      <c r="K1723" s="19" t="n">
        <f aca="false">IFERROR(VALUE(SUBSTITUTE(TRIM('수출입 실적(품목별)'!H1727),",","")),"")</f>
        <v>9064941</v>
      </c>
    </row>
    <row r="1724" customFormat="false" ht="15" hidden="false" customHeight="true" outlineLevel="0" collapsed="false">
      <c r="A1724" s="11" t="str">
        <f aca="false">TRIM('수출입 실적(품목별)'!A1728)</f>
        <v>2025.06</v>
      </c>
      <c r="B1724" s="17" t="n">
        <f aca="false">IFERROR(VALUE(LEFT($A1724,4)),"")</f>
        <v>2025</v>
      </c>
      <c r="C1724" s="17" t="n">
        <f aca="false">IFERROR(VALUE(RIGHT($A1724,2)),"")</f>
        <v>6</v>
      </c>
      <c r="D1724" s="17" t="n">
        <f aca="false">IFERROR(ROUNDUP($C1724/3,0),"")</f>
        <v>2</v>
      </c>
      <c r="E1724" s="11" t="str">
        <f aca="false">TRIM('수출입 실적(품목별)'!B1728)</f>
        <v>86</v>
      </c>
      <c r="F1724" s="11" t="str">
        <f aca="false">TRIM('수출입 실적(품목별)'!C1728)</f>
        <v>철도용이나 궤도용 기관차ㆍ차량과 이들의 부분품, 철도용이나 궤도용 장비품과 그 부분품, 기계식(전기기계식을 포함한다) 각종 교통신호용 기기</v>
      </c>
      <c r="G1724" s="18" t="n">
        <f aca="false">IFERROR(VALUE(SUBSTITUTE(TRIM('수출입 실적(품목별)'!D1728),",","")),"")</f>
        <v>10401.4</v>
      </c>
      <c r="H1724" s="19" t="n">
        <f aca="false">IFERROR(VALUE(SUBSTITUTE(TRIM('수출입 실적(품목별)'!E1728),",","")),"")</f>
        <v>35191</v>
      </c>
      <c r="I1724" s="18" t="n">
        <f aca="false">IFERROR(VALUE(SUBSTITUTE(TRIM('수출입 실적(품목별)'!F1728),",","")),"")</f>
        <v>9648.6</v>
      </c>
      <c r="J1724" s="19" t="n">
        <f aca="false">IFERROR(VALUE(SUBSTITUTE(TRIM('수출입 실적(품목별)'!G1728),",","")),"")</f>
        <v>42157</v>
      </c>
      <c r="K1724" s="19" t="n">
        <f aca="false">IFERROR(VALUE(SUBSTITUTE(TRIM('수출입 실적(품목별)'!H1728),",","")),"")</f>
        <v>-6965</v>
      </c>
    </row>
    <row r="1725" customFormat="false" ht="15" hidden="false" customHeight="true" outlineLevel="0" collapsed="false">
      <c r="A1725" s="11" t="str">
        <f aca="false">TRIM('수출입 실적(품목별)'!A1729)</f>
        <v>2025.06</v>
      </c>
      <c r="B1725" s="17" t="n">
        <f aca="false">IFERROR(VALUE(LEFT($A1725,4)),"")</f>
        <v>2025</v>
      </c>
      <c r="C1725" s="17" t="n">
        <f aca="false">IFERROR(VALUE(RIGHT($A1725,2)),"")</f>
        <v>6</v>
      </c>
      <c r="D1725" s="17" t="n">
        <f aca="false">IFERROR(ROUNDUP($C1725/3,0),"")</f>
        <v>2</v>
      </c>
      <c r="E1725" s="11" t="str">
        <f aca="false">TRIM('수출입 실적(품목별)'!B1729)</f>
        <v>87</v>
      </c>
      <c r="F1725" s="11" t="str">
        <f aca="false">TRIM('수출입 실적(품목별)'!C1729)</f>
        <v>철도용이나 궤도용 외의 차량과 그 부분품ㆍ부속품</v>
      </c>
      <c r="G1725" s="18" t="n">
        <f aca="false">IFERROR(VALUE(SUBSTITUTE(TRIM('수출입 실적(품목별)'!D1729),",","")),"")</f>
        <v>739807.6</v>
      </c>
      <c r="H1725" s="19" t="n">
        <f aca="false">IFERROR(VALUE(SUBSTITUTE(TRIM('수출입 실적(품목별)'!E1729),",","")),"")</f>
        <v>8230226</v>
      </c>
      <c r="I1725" s="18" t="n">
        <f aca="false">IFERROR(VALUE(SUBSTITUTE(TRIM('수출입 실적(품목별)'!F1729),",","")),"")</f>
        <v>110477.2</v>
      </c>
      <c r="J1725" s="19" t="n">
        <f aca="false">IFERROR(VALUE(SUBSTITUTE(TRIM('수출입 실적(품목별)'!G1729),",","")),"")</f>
        <v>1758477</v>
      </c>
      <c r="K1725" s="19" t="n">
        <f aca="false">IFERROR(VALUE(SUBSTITUTE(TRIM('수출입 실적(품목별)'!H1729),",","")),"")</f>
        <v>6471749</v>
      </c>
    </row>
    <row r="1726" customFormat="false" ht="15" hidden="false" customHeight="true" outlineLevel="0" collapsed="false">
      <c r="A1726" s="11" t="str">
        <f aca="false">TRIM('수출입 실적(품목별)'!A1730)</f>
        <v>2025.06</v>
      </c>
      <c r="B1726" s="17" t="n">
        <f aca="false">IFERROR(VALUE(LEFT($A1726,4)),"")</f>
        <v>2025</v>
      </c>
      <c r="C1726" s="17" t="n">
        <f aca="false">IFERROR(VALUE(RIGHT($A1726,2)),"")</f>
        <v>6</v>
      </c>
      <c r="D1726" s="17" t="n">
        <f aca="false">IFERROR(ROUNDUP($C1726/3,0),"")</f>
        <v>2</v>
      </c>
      <c r="E1726" s="11" t="str">
        <f aca="false">TRIM('수출입 실적(품목별)'!B1730)</f>
        <v>88</v>
      </c>
      <c r="F1726" s="11" t="str">
        <f aca="false">TRIM('수출입 실적(품목별)'!C1730)</f>
        <v>항공기와 우주선, 이들의 부분품</v>
      </c>
      <c r="G1726" s="18" t="n">
        <f aca="false">IFERROR(VALUE(SUBSTITUTE(TRIM('수출입 실적(품목별)'!D1730),",","")),"")</f>
        <v>633.1</v>
      </c>
      <c r="H1726" s="19" t="n">
        <f aca="false">IFERROR(VALUE(SUBSTITUTE(TRIM('수출입 실적(품목별)'!E1730),",","")),"")</f>
        <v>203592</v>
      </c>
      <c r="I1726" s="18" t="n">
        <f aca="false">IFERROR(VALUE(SUBSTITUTE(TRIM('수출입 실적(품목별)'!F1730),",","")),"")</f>
        <v>357.7</v>
      </c>
      <c r="J1726" s="19" t="n">
        <f aca="false">IFERROR(VALUE(SUBSTITUTE(TRIM('수출입 실적(품목별)'!G1730),",","")),"")</f>
        <v>281174</v>
      </c>
      <c r="K1726" s="19" t="n">
        <f aca="false">IFERROR(VALUE(SUBSTITUTE(TRIM('수출입 실적(품목별)'!H1730),",","")),"")</f>
        <v>-77581</v>
      </c>
    </row>
    <row r="1727" customFormat="false" ht="15" hidden="false" customHeight="true" outlineLevel="0" collapsed="false">
      <c r="A1727" s="11" t="str">
        <f aca="false">TRIM('수출입 실적(품목별)'!A1731)</f>
        <v>2025.06</v>
      </c>
      <c r="B1727" s="17" t="n">
        <f aca="false">IFERROR(VALUE(LEFT($A1727,4)),"")</f>
        <v>2025</v>
      </c>
      <c r="C1727" s="17" t="n">
        <f aca="false">IFERROR(VALUE(RIGHT($A1727,2)),"")</f>
        <v>6</v>
      </c>
      <c r="D1727" s="17" t="n">
        <f aca="false">IFERROR(ROUNDUP($C1727/3,0),"")</f>
        <v>2</v>
      </c>
      <c r="E1727" s="11" t="str">
        <f aca="false">TRIM('수출입 실적(품목별)'!B1731)</f>
        <v>89</v>
      </c>
      <c r="F1727" s="11" t="str">
        <f aca="false">TRIM('수출입 실적(품목별)'!C1731)</f>
        <v>선박과 수상 구조물</v>
      </c>
      <c r="G1727" s="18" t="n">
        <f aca="false">IFERROR(VALUE(SUBSTITUTE(TRIM('수출입 실적(품목별)'!D1731),",","")),"")</f>
        <v>989172.2</v>
      </c>
      <c r="H1727" s="19" t="n">
        <f aca="false">IFERROR(VALUE(SUBSTITUTE(TRIM('수출입 실적(품목별)'!E1731),",","")),"")</f>
        <v>2293326</v>
      </c>
      <c r="I1727" s="18" t="n">
        <f aca="false">IFERROR(VALUE(SUBSTITUTE(TRIM('수출입 실적(품목별)'!F1731),",","")),"")</f>
        <v>455353.7</v>
      </c>
      <c r="J1727" s="19" t="n">
        <f aca="false">IFERROR(VALUE(SUBSTITUTE(TRIM('수출입 실적(품목별)'!G1731),",","")),"")</f>
        <v>375132</v>
      </c>
      <c r="K1727" s="19" t="n">
        <f aca="false">IFERROR(VALUE(SUBSTITUTE(TRIM('수출입 실적(품목별)'!H1731),",","")),"")</f>
        <v>1918194</v>
      </c>
    </row>
    <row r="1728" customFormat="false" ht="15" hidden="false" customHeight="true" outlineLevel="0" collapsed="false">
      <c r="A1728" s="11" t="str">
        <f aca="false">TRIM('수출입 실적(품목별)'!A1732)</f>
        <v>2025.06</v>
      </c>
      <c r="B1728" s="17" t="n">
        <f aca="false">IFERROR(VALUE(LEFT($A1728,4)),"")</f>
        <v>2025</v>
      </c>
      <c r="C1728" s="17" t="n">
        <f aca="false">IFERROR(VALUE(RIGHT($A1728,2)),"")</f>
        <v>6</v>
      </c>
      <c r="D1728" s="17" t="n">
        <f aca="false">IFERROR(ROUNDUP($C1728/3,0),"")</f>
        <v>2</v>
      </c>
      <c r="E1728" s="11" t="str">
        <f aca="false">TRIM('수출입 실적(품목별)'!B1732)</f>
        <v>90</v>
      </c>
      <c r="F1728" s="11" t="str">
        <f aca="false">TRIM('수출입 실적(품목별)'!C1732)</f>
        <v>광학기기ㆍ사진용 기기ㆍ영화용 기기ㆍ측정기기ㆍ검사기기ㆍ정밀기기ㆍ의료용 기기, 이들의 부분품과 부속품</v>
      </c>
      <c r="G1728" s="18" t="n">
        <f aca="false">IFERROR(VALUE(SUBSTITUTE(TRIM('수출입 실적(품목별)'!D1732),",","")),"")</f>
        <v>15294.5</v>
      </c>
      <c r="H1728" s="19" t="n">
        <f aca="false">IFERROR(VALUE(SUBSTITUTE(TRIM('수출입 실적(품목별)'!E1732),",","")),"")</f>
        <v>1419577</v>
      </c>
      <c r="I1728" s="18" t="n">
        <f aca="false">IFERROR(VALUE(SUBSTITUTE(TRIM('수출입 실적(품목별)'!F1732),",","")),"")</f>
        <v>15507.2</v>
      </c>
      <c r="J1728" s="19" t="n">
        <f aca="false">IFERROR(VALUE(SUBSTITUTE(TRIM('수출입 실적(품목별)'!G1732),",","")),"")</f>
        <v>2081593</v>
      </c>
      <c r="K1728" s="19" t="n">
        <f aca="false">IFERROR(VALUE(SUBSTITUTE(TRIM('수출입 실적(품목별)'!H1732),",","")),"")</f>
        <v>-662016</v>
      </c>
    </row>
    <row r="1729" customFormat="false" ht="15" hidden="false" customHeight="true" outlineLevel="0" collapsed="false">
      <c r="A1729" s="11" t="str">
        <f aca="false">TRIM('수출입 실적(품목별)'!A1733)</f>
        <v>2025.06</v>
      </c>
      <c r="B1729" s="17" t="n">
        <f aca="false">IFERROR(VALUE(LEFT($A1729,4)),"")</f>
        <v>2025</v>
      </c>
      <c r="C1729" s="17" t="n">
        <f aca="false">IFERROR(VALUE(RIGHT($A1729,2)),"")</f>
        <v>6</v>
      </c>
      <c r="D1729" s="17" t="n">
        <f aca="false">IFERROR(ROUNDUP($C1729/3,0),"")</f>
        <v>2</v>
      </c>
      <c r="E1729" s="11" t="str">
        <f aca="false">TRIM('수출입 실적(품목별)'!B1733)</f>
        <v>91</v>
      </c>
      <c r="F1729" s="11" t="str">
        <f aca="false">TRIM('수출입 실적(품목별)'!C1733)</f>
        <v>시계와 그 부분품</v>
      </c>
      <c r="G1729" s="18" t="n">
        <f aca="false">IFERROR(VALUE(SUBSTITUTE(TRIM('수출입 실적(품목별)'!D1733),",","")),"")</f>
        <v>13.5</v>
      </c>
      <c r="H1729" s="19" t="n">
        <f aca="false">IFERROR(VALUE(SUBSTITUTE(TRIM('수출입 실적(품목별)'!E1733),",","")),"")</f>
        <v>103555</v>
      </c>
      <c r="I1729" s="18" t="n">
        <f aca="false">IFERROR(VALUE(SUBSTITUTE(TRIM('수출입 실적(품목별)'!F1733),",","")),"")</f>
        <v>266.8</v>
      </c>
      <c r="J1729" s="19" t="n">
        <f aca="false">IFERROR(VALUE(SUBSTITUTE(TRIM('수출입 실적(품목별)'!G1733),",","")),"")</f>
        <v>90672</v>
      </c>
      <c r="K1729" s="19" t="n">
        <f aca="false">IFERROR(VALUE(SUBSTITUTE(TRIM('수출입 실적(품목별)'!H1733),",","")),"")</f>
        <v>12883</v>
      </c>
    </row>
    <row r="1730" customFormat="false" ht="15" hidden="false" customHeight="true" outlineLevel="0" collapsed="false">
      <c r="A1730" s="11" t="str">
        <f aca="false">TRIM('수출입 실적(품목별)'!A1734)</f>
        <v>2025.06</v>
      </c>
      <c r="B1730" s="17" t="n">
        <f aca="false">IFERROR(VALUE(LEFT($A1730,4)),"")</f>
        <v>2025</v>
      </c>
      <c r="C1730" s="17" t="n">
        <f aca="false">IFERROR(VALUE(RIGHT($A1730,2)),"")</f>
        <v>6</v>
      </c>
      <c r="D1730" s="17" t="n">
        <f aca="false">IFERROR(ROUNDUP($C1730/3,0),"")</f>
        <v>2</v>
      </c>
      <c r="E1730" s="11" t="str">
        <f aca="false">TRIM('수출입 실적(품목별)'!B1734)</f>
        <v>92</v>
      </c>
      <c r="F1730" s="11" t="str">
        <f aca="false">TRIM('수출입 실적(품목별)'!C1734)</f>
        <v>악기와 그 부분품과 부속품</v>
      </c>
      <c r="G1730" s="18" t="n">
        <f aca="false">IFERROR(VALUE(SUBSTITUTE(TRIM('수출입 실적(품목별)'!D1734),",","")),"")</f>
        <v>354.8</v>
      </c>
      <c r="H1730" s="19" t="n">
        <f aca="false">IFERROR(VALUE(SUBSTITUTE(TRIM('수출입 실적(품목별)'!E1734),",","")),"")</f>
        <v>9742</v>
      </c>
      <c r="I1730" s="18" t="n">
        <f aca="false">IFERROR(VALUE(SUBSTITUTE(TRIM('수출입 실적(품목별)'!F1734),",","")),"")</f>
        <v>606.7</v>
      </c>
      <c r="J1730" s="19" t="n">
        <f aca="false">IFERROR(VALUE(SUBSTITUTE(TRIM('수출입 실적(품목별)'!G1734),",","")),"")</f>
        <v>15630</v>
      </c>
      <c r="K1730" s="19" t="n">
        <f aca="false">IFERROR(VALUE(SUBSTITUTE(TRIM('수출입 실적(품목별)'!H1734),",","")),"")</f>
        <v>-5889</v>
      </c>
    </row>
    <row r="1731" customFormat="false" ht="15" hidden="false" customHeight="true" outlineLevel="0" collapsed="false">
      <c r="A1731" s="11" t="str">
        <f aca="false">TRIM('수출입 실적(품목별)'!A1735)</f>
        <v>2025.06</v>
      </c>
      <c r="B1731" s="17" t="n">
        <f aca="false">IFERROR(VALUE(LEFT($A1731,4)),"")</f>
        <v>2025</v>
      </c>
      <c r="C1731" s="17" t="n">
        <f aca="false">IFERROR(VALUE(RIGHT($A1731,2)),"")</f>
        <v>6</v>
      </c>
      <c r="D1731" s="17" t="n">
        <f aca="false">IFERROR(ROUNDUP($C1731/3,0),"")</f>
        <v>2</v>
      </c>
      <c r="E1731" s="11" t="str">
        <f aca="false">TRIM('수출입 실적(품목별)'!B1735)</f>
        <v>93</v>
      </c>
      <c r="F1731" s="11" t="str">
        <f aca="false">TRIM('수출입 실적(품목별)'!C1735)</f>
        <v>무기ㆍ총포탄과 이들의 부분품과 부속품</v>
      </c>
      <c r="G1731" s="18" t="n">
        <f aca="false">IFERROR(VALUE(SUBSTITUTE(TRIM('수출입 실적(품목별)'!D1735),",","")),"")</f>
        <v>3568.2</v>
      </c>
      <c r="H1731" s="19" t="n">
        <f aca="false">IFERROR(VALUE(SUBSTITUTE(TRIM('수출입 실적(품목별)'!E1735),",","")),"")</f>
        <v>400342</v>
      </c>
      <c r="I1731" s="18" t="n">
        <f aca="false">IFERROR(VALUE(SUBSTITUTE(TRIM('수출입 실적(품목별)'!F1735),",","")),"")</f>
        <v>91.5</v>
      </c>
      <c r="J1731" s="19" t="n">
        <f aca="false">IFERROR(VALUE(SUBSTITUTE(TRIM('수출입 실적(품목별)'!G1735),",","")),"")</f>
        <v>29226</v>
      </c>
      <c r="K1731" s="19" t="n">
        <f aca="false">IFERROR(VALUE(SUBSTITUTE(TRIM('수출입 실적(품목별)'!H1735),",","")),"")</f>
        <v>371116</v>
      </c>
    </row>
    <row r="1732" customFormat="false" ht="15" hidden="false" customHeight="true" outlineLevel="0" collapsed="false">
      <c r="A1732" s="11" t="str">
        <f aca="false">TRIM('수출입 실적(품목별)'!A1736)</f>
        <v>2025.06</v>
      </c>
      <c r="B1732" s="17" t="n">
        <f aca="false">IFERROR(VALUE(LEFT($A1732,4)),"")</f>
        <v>2025</v>
      </c>
      <c r="C1732" s="17" t="n">
        <f aca="false">IFERROR(VALUE(RIGHT($A1732,2)),"")</f>
        <v>6</v>
      </c>
      <c r="D1732" s="17" t="n">
        <f aca="false">IFERROR(ROUNDUP($C1732/3,0),"")</f>
        <v>2</v>
      </c>
      <c r="E1732" s="11" t="str">
        <f aca="false">TRIM('수출입 실적(품목별)'!B1736)</f>
        <v>94</v>
      </c>
      <c r="F1732" s="11" t="str">
        <f aca="false">TRIM('수출입 실적(품목별)'!C1736)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732" s="18" t="n">
        <f aca="false">IFERROR(VALUE(SUBSTITUTE(TRIM('수출입 실적(품목별)'!D1736),",","")),"")</f>
        <v>14844.9</v>
      </c>
      <c r="H1732" s="19" t="n">
        <f aca="false">IFERROR(VALUE(SUBSTITUTE(TRIM('수출입 실적(품목별)'!E1736),",","")),"")</f>
        <v>105943</v>
      </c>
      <c r="I1732" s="18" t="n">
        <f aca="false">IFERROR(VALUE(SUBSTITUTE(TRIM('수출입 실적(품목별)'!F1736),",","")),"")</f>
        <v>70682.2</v>
      </c>
      <c r="J1732" s="19" t="n">
        <f aca="false">IFERROR(VALUE(SUBSTITUTE(TRIM('수출입 실적(품목별)'!G1736),",","")),"")</f>
        <v>317959</v>
      </c>
      <c r="K1732" s="19" t="n">
        <f aca="false">IFERROR(VALUE(SUBSTITUTE(TRIM('수출입 실적(품목별)'!H1736),",","")),"")</f>
        <v>-212016</v>
      </c>
    </row>
    <row r="1733" customFormat="false" ht="15" hidden="false" customHeight="true" outlineLevel="0" collapsed="false">
      <c r="A1733" s="11" t="str">
        <f aca="false">TRIM('수출입 실적(품목별)'!A1737)</f>
        <v>2025.06</v>
      </c>
      <c r="B1733" s="17" t="n">
        <f aca="false">IFERROR(VALUE(LEFT($A1733,4)),"")</f>
        <v>2025</v>
      </c>
      <c r="C1733" s="17" t="n">
        <f aca="false">IFERROR(VALUE(RIGHT($A1733,2)),"")</f>
        <v>6</v>
      </c>
      <c r="D1733" s="17" t="n">
        <f aca="false">IFERROR(ROUNDUP($C1733/3,0),"")</f>
        <v>2</v>
      </c>
      <c r="E1733" s="11" t="str">
        <f aca="false">TRIM('수출입 실적(품목별)'!B1737)</f>
        <v>95</v>
      </c>
      <c r="F1733" s="11" t="str">
        <f aca="false">TRIM('수출입 실적(품목별)'!C1737)</f>
        <v>완구ㆍ게임용구ㆍ운동용구와 이들의 부분품과 부속품</v>
      </c>
      <c r="G1733" s="18" t="n">
        <f aca="false">IFERROR(VALUE(SUBSTITUTE(TRIM('수출입 실적(품목별)'!D1737),",","")),"")</f>
        <v>2383.8</v>
      </c>
      <c r="H1733" s="19" t="n">
        <f aca="false">IFERROR(VALUE(SUBSTITUTE(TRIM('수출입 실적(품목별)'!E1737),",","")),"")</f>
        <v>54169</v>
      </c>
      <c r="I1733" s="18" t="n">
        <f aca="false">IFERROR(VALUE(SUBSTITUTE(TRIM('수출입 실적(품목별)'!F1737),",","")),"")</f>
        <v>14782</v>
      </c>
      <c r="J1733" s="19" t="n">
        <f aca="false">IFERROR(VALUE(SUBSTITUTE(TRIM('수출입 실적(품목별)'!G1737),",","")),"")</f>
        <v>214766</v>
      </c>
      <c r="K1733" s="19" t="n">
        <f aca="false">IFERROR(VALUE(SUBSTITUTE(TRIM('수출입 실적(품목별)'!H1737),",","")),"")</f>
        <v>-160597</v>
      </c>
    </row>
    <row r="1734" customFormat="false" ht="15" hidden="false" customHeight="true" outlineLevel="0" collapsed="false">
      <c r="A1734" s="11" t="str">
        <f aca="false">TRIM('수출입 실적(품목별)'!A1738)</f>
        <v>2025.06</v>
      </c>
      <c r="B1734" s="17" t="n">
        <f aca="false">IFERROR(VALUE(LEFT($A1734,4)),"")</f>
        <v>2025</v>
      </c>
      <c r="C1734" s="17" t="n">
        <f aca="false">IFERROR(VALUE(RIGHT($A1734,2)),"")</f>
        <v>6</v>
      </c>
      <c r="D1734" s="17" t="n">
        <f aca="false">IFERROR(ROUNDUP($C1734/3,0),"")</f>
        <v>2</v>
      </c>
      <c r="E1734" s="11" t="str">
        <f aca="false">TRIM('수출입 실적(품목별)'!B1738)</f>
        <v>96</v>
      </c>
      <c r="F1734" s="11" t="str">
        <f aca="false">TRIM('수출입 실적(품목별)'!C1738)</f>
        <v>잡품</v>
      </c>
      <c r="G1734" s="18" t="n">
        <f aca="false">IFERROR(VALUE(SUBSTITUTE(TRIM('수출입 실적(품목별)'!D1738),",","")),"")</f>
        <v>2171.7</v>
      </c>
      <c r="H1734" s="19" t="n">
        <f aca="false">IFERROR(VALUE(SUBSTITUTE(TRIM('수출입 실적(품목별)'!E1738),",","")),"")</f>
        <v>36953</v>
      </c>
      <c r="I1734" s="18" t="n">
        <f aca="false">IFERROR(VALUE(SUBSTITUTE(TRIM('수출입 실적(품목별)'!F1738),",","")),"")</f>
        <v>11757.4</v>
      </c>
      <c r="J1734" s="19" t="n">
        <f aca="false">IFERROR(VALUE(SUBSTITUTE(TRIM('수출입 실적(품목별)'!G1738),",","")),"")</f>
        <v>95658</v>
      </c>
      <c r="K1734" s="19" t="n">
        <f aca="false">IFERROR(VALUE(SUBSTITUTE(TRIM('수출입 실적(품목별)'!H1738),",","")),"")</f>
        <v>-58705</v>
      </c>
    </row>
    <row r="1735" customFormat="false" ht="15" hidden="false" customHeight="true" outlineLevel="0" collapsed="false">
      <c r="A1735" s="11" t="str">
        <f aca="false">TRIM('수출입 실적(품목별)'!A1739)</f>
        <v>2025.06</v>
      </c>
      <c r="B1735" s="17" t="n">
        <f aca="false">IFERROR(VALUE(LEFT($A1735,4)),"")</f>
        <v>2025</v>
      </c>
      <c r="C1735" s="17" t="n">
        <f aca="false">IFERROR(VALUE(RIGHT($A1735,2)),"")</f>
        <v>6</v>
      </c>
      <c r="D1735" s="17" t="n">
        <f aca="false">IFERROR(ROUNDUP($C1735/3,0),"")</f>
        <v>2</v>
      </c>
      <c r="E1735" s="11" t="str">
        <f aca="false">TRIM('수출입 실적(품목별)'!B1739)</f>
        <v>97</v>
      </c>
      <c r="F1735" s="11" t="str">
        <f aca="false">TRIM('수출입 실적(품목별)'!C1739)</f>
        <v>예술품ㆍ수집품ㆍ골동품</v>
      </c>
      <c r="G1735" s="18" t="n">
        <f aca="false">IFERROR(VALUE(SUBSTITUTE(TRIM('수출입 실적(품목별)'!D1739),",","")),"")</f>
        <v>10.5</v>
      </c>
      <c r="H1735" s="19" t="n">
        <f aca="false">IFERROR(VALUE(SUBSTITUTE(TRIM('수출입 실적(품목별)'!E1739),",","")),"")</f>
        <v>8750</v>
      </c>
      <c r="I1735" s="18" t="n">
        <f aca="false">IFERROR(VALUE(SUBSTITUTE(TRIM('수출입 실적(품목별)'!F1739),",","")),"")</f>
        <v>49.5</v>
      </c>
      <c r="J1735" s="19" t="n">
        <f aca="false">IFERROR(VALUE(SUBSTITUTE(TRIM('수출입 실적(품목별)'!G1739),",","")),"")</f>
        <v>24777</v>
      </c>
      <c r="K1735" s="19" t="n">
        <f aca="false">IFERROR(VALUE(SUBSTITUTE(TRIM('수출입 실적(품목별)'!H1739),",","")),"")</f>
        <v>-16026</v>
      </c>
    </row>
    <row r="1736" customFormat="false" ht="15" hidden="false" customHeight="true" outlineLevel="0" collapsed="false">
      <c r="A1736" s="11" t="str">
        <f aca="false">TRIM('수출입 실적(품목별)'!A1740)</f>
        <v>2025.07</v>
      </c>
      <c r="B1736" s="17" t="n">
        <f aca="false">IFERROR(VALUE(LEFT($A1736,4)),"")</f>
        <v>2025</v>
      </c>
      <c r="C1736" s="17" t="n">
        <f aca="false">IFERROR(VALUE(RIGHT($A1736,2)),"")</f>
        <v>7</v>
      </c>
      <c r="D1736" s="17" t="n">
        <f aca="false">IFERROR(ROUNDUP($C1736/3,0),"")</f>
        <v>3</v>
      </c>
      <c r="E1736" s="11" t="str">
        <f aca="false">TRIM('수출입 실적(품목별)'!B1740)</f>
        <v>01</v>
      </c>
      <c r="F1736" s="11" t="str">
        <f aca="false">TRIM('수출입 실적(품목별)'!C1740)</f>
        <v>살아 있는 동물</v>
      </c>
      <c r="G1736" s="18" t="n">
        <f aca="false">IFERROR(VALUE(SUBSTITUTE(TRIM('수출입 실적(품목별)'!D1740),",","")),"")</f>
        <v>2</v>
      </c>
      <c r="H1736" s="19" t="n">
        <f aca="false">IFERROR(VALUE(SUBSTITUTE(TRIM('수출입 실적(품목별)'!E1740),",","")),"")</f>
        <v>468</v>
      </c>
      <c r="I1736" s="18" t="n">
        <f aca="false">IFERROR(VALUE(SUBSTITUTE(TRIM('수출입 실적(품목별)'!F1740),",","")),"")</f>
        <v>80.2</v>
      </c>
      <c r="J1736" s="19" t="n">
        <f aca="false">IFERROR(VALUE(SUBSTITUTE(TRIM('수출입 실적(품목별)'!G1740),",","")),"")</f>
        <v>8406</v>
      </c>
      <c r="K1736" s="19" t="n">
        <f aca="false">IFERROR(VALUE(SUBSTITUTE(TRIM('수출입 실적(품목별)'!H1740),",","")),"")</f>
        <v>-7938</v>
      </c>
    </row>
    <row r="1737" customFormat="false" ht="15" hidden="false" customHeight="true" outlineLevel="0" collapsed="false">
      <c r="A1737" s="11" t="str">
        <f aca="false">TRIM('수출입 실적(품목별)'!A1741)</f>
        <v>2025.07</v>
      </c>
      <c r="B1737" s="17" t="n">
        <f aca="false">IFERROR(VALUE(LEFT($A1737,4)),"")</f>
        <v>2025</v>
      </c>
      <c r="C1737" s="17" t="n">
        <f aca="false">IFERROR(VALUE(RIGHT($A1737,2)),"")</f>
        <v>7</v>
      </c>
      <c r="D1737" s="17" t="n">
        <f aca="false">IFERROR(ROUNDUP($C1737/3,0),"")</f>
        <v>3</v>
      </c>
      <c r="E1737" s="11" t="str">
        <f aca="false">TRIM('수출입 실적(품목별)'!B1741)</f>
        <v>02</v>
      </c>
      <c r="F1737" s="11" t="str">
        <f aca="false">TRIM('수출입 실적(품목별)'!C1741)</f>
        <v>육과 식용 설육(屑肉)</v>
      </c>
      <c r="G1737" s="18" t="n">
        <f aca="false">IFERROR(VALUE(SUBSTITUTE(TRIM('수출입 실적(품목별)'!D1741),",","")),"")</f>
        <v>4207.9</v>
      </c>
      <c r="H1737" s="19" t="n">
        <f aca="false">IFERROR(VALUE(SUBSTITUTE(TRIM('수출입 실적(품목별)'!E1741),",","")),"")</f>
        <v>5982</v>
      </c>
      <c r="I1737" s="18" t="n">
        <f aca="false">IFERROR(VALUE(SUBSTITUTE(TRIM('수출입 실적(품목별)'!F1741),",","")),"")</f>
        <v>111235.3</v>
      </c>
      <c r="J1737" s="19" t="n">
        <f aca="false">IFERROR(VALUE(SUBSTITUTE(TRIM('수출입 실적(품목별)'!G1741),",","")),"")</f>
        <v>611387</v>
      </c>
      <c r="K1737" s="19" t="n">
        <f aca="false">IFERROR(VALUE(SUBSTITUTE(TRIM('수출입 실적(품목별)'!H1741),",","")),"")</f>
        <v>-605404</v>
      </c>
    </row>
    <row r="1738" customFormat="false" ht="15" hidden="false" customHeight="true" outlineLevel="0" collapsed="false">
      <c r="A1738" s="11" t="str">
        <f aca="false">TRIM('수출입 실적(품목별)'!A1742)</f>
        <v>2025.07</v>
      </c>
      <c r="B1738" s="17" t="n">
        <f aca="false">IFERROR(VALUE(LEFT($A1738,4)),"")</f>
        <v>2025</v>
      </c>
      <c r="C1738" s="17" t="n">
        <f aca="false">IFERROR(VALUE(RIGHT($A1738,2)),"")</f>
        <v>7</v>
      </c>
      <c r="D1738" s="17" t="n">
        <f aca="false">IFERROR(ROUNDUP($C1738/3,0),"")</f>
        <v>3</v>
      </c>
      <c r="E1738" s="11" t="str">
        <f aca="false">TRIM('수출입 실적(품목별)'!B1742)</f>
        <v>03</v>
      </c>
      <c r="F1738" s="11" t="str">
        <f aca="false">TRIM('수출입 실적(품목별)'!C1742)</f>
        <v>어류ㆍ갑각류ㆍ연체동물과 그 밖의 수생(水生) 무척추동물</v>
      </c>
      <c r="G1738" s="18" t="n">
        <f aca="false">IFERROR(VALUE(SUBSTITUTE(TRIM('수출입 실적(품목별)'!D1742),",","")),"")</f>
        <v>55128.3</v>
      </c>
      <c r="H1738" s="19" t="n">
        <f aca="false">IFERROR(VALUE(SUBSTITUTE(TRIM('수출입 실적(품목별)'!E1742),",","")),"")</f>
        <v>156545</v>
      </c>
      <c r="I1738" s="18" t="n">
        <f aca="false">IFERROR(VALUE(SUBSTITUTE(TRIM('수출입 실적(품목별)'!F1742),",","")),"")</f>
        <v>114356.2</v>
      </c>
      <c r="J1738" s="19" t="n">
        <f aca="false">IFERROR(VALUE(SUBSTITUTE(TRIM('수출입 실적(품목별)'!G1742),",","")),"")</f>
        <v>426131</v>
      </c>
      <c r="K1738" s="19" t="n">
        <f aca="false">IFERROR(VALUE(SUBSTITUTE(TRIM('수출입 실적(품목별)'!H1742),",","")),"")</f>
        <v>-269586</v>
      </c>
    </row>
    <row r="1739" customFormat="false" ht="15" hidden="false" customHeight="true" outlineLevel="0" collapsed="false">
      <c r="A1739" s="11" t="str">
        <f aca="false">TRIM('수출입 실적(품목별)'!A1743)</f>
        <v>2025.07</v>
      </c>
      <c r="B1739" s="17" t="n">
        <f aca="false">IFERROR(VALUE(LEFT($A1739,4)),"")</f>
        <v>2025</v>
      </c>
      <c r="C1739" s="17" t="n">
        <f aca="false">IFERROR(VALUE(RIGHT($A1739,2)),"")</f>
        <v>7</v>
      </c>
      <c r="D1739" s="17" t="n">
        <f aca="false">IFERROR(ROUNDUP($C1739/3,0),"")</f>
        <v>3</v>
      </c>
      <c r="E1739" s="11" t="str">
        <f aca="false">TRIM('수출입 실적(품목별)'!B1743)</f>
        <v>04</v>
      </c>
      <c r="F1739" s="11" t="str">
        <f aca="false">TRIM('수출입 실적(품목별)'!C1743)</f>
        <v>낙농품, 새의 알, 천연꿀, 다른 류로 분류되지 않은 식용인 동물성 생산품</v>
      </c>
      <c r="G1739" s="18" t="n">
        <f aca="false">IFERROR(VALUE(SUBSTITUTE(TRIM('수출입 실적(품목별)'!D1743),",","")),"")</f>
        <v>2573.3</v>
      </c>
      <c r="H1739" s="19" t="n">
        <f aca="false">IFERROR(VALUE(SUBSTITUTE(TRIM('수출입 실적(품목별)'!E1743),",","")),"")</f>
        <v>7894</v>
      </c>
      <c r="I1739" s="18" t="n">
        <f aca="false">IFERROR(VALUE(SUBSTITUTE(TRIM('수출입 실적(품목별)'!F1743),",","")),"")</f>
        <v>40398.6</v>
      </c>
      <c r="J1739" s="19" t="n">
        <f aca="false">IFERROR(VALUE(SUBSTITUTE(TRIM('수출입 실적(품목별)'!G1743),",","")),"")</f>
        <v>177681</v>
      </c>
      <c r="K1739" s="19" t="n">
        <f aca="false">IFERROR(VALUE(SUBSTITUTE(TRIM('수출입 실적(품목별)'!H1743),",","")),"")</f>
        <v>-169787</v>
      </c>
    </row>
    <row r="1740" customFormat="false" ht="15" hidden="false" customHeight="true" outlineLevel="0" collapsed="false">
      <c r="A1740" s="11" t="str">
        <f aca="false">TRIM('수출입 실적(품목별)'!A1744)</f>
        <v>2025.07</v>
      </c>
      <c r="B1740" s="17" t="n">
        <f aca="false">IFERROR(VALUE(LEFT($A1740,4)),"")</f>
        <v>2025</v>
      </c>
      <c r="C1740" s="17" t="n">
        <f aca="false">IFERROR(VALUE(RIGHT($A1740,2)),"")</f>
        <v>7</v>
      </c>
      <c r="D1740" s="17" t="n">
        <f aca="false">IFERROR(ROUNDUP($C1740/3,0),"")</f>
        <v>3</v>
      </c>
      <c r="E1740" s="11" t="str">
        <f aca="false">TRIM('수출입 실적(품목별)'!B1744)</f>
        <v>05</v>
      </c>
      <c r="F1740" s="11" t="str">
        <f aca="false">TRIM('수출입 실적(품목별)'!C1744)</f>
        <v>다른 류로 분류되지 않은 동물성 생산품</v>
      </c>
      <c r="G1740" s="18" t="n">
        <f aca="false">IFERROR(VALUE(SUBSTITUTE(TRIM('수출입 실적(품목별)'!D1744),",","")),"")</f>
        <v>3920.4</v>
      </c>
      <c r="H1740" s="19" t="n">
        <f aca="false">IFERROR(VALUE(SUBSTITUTE(TRIM('수출입 실적(품목별)'!E1744),",","")),"")</f>
        <v>6637</v>
      </c>
      <c r="I1740" s="18" t="n">
        <f aca="false">IFERROR(VALUE(SUBSTITUTE(TRIM('수출입 실적(품목별)'!F1744),",","")),"")</f>
        <v>4492.7</v>
      </c>
      <c r="J1740" s="19" t="n">
        <f aca="false">IFERROR(VALUE(SUBSTITUTE(TRIM('수출입 실적(품목별)'!G1744),",","")),"")</f>
        <v>20621</v>
      </c>
      <c r="K1740" s="19" t="n">
        <f aca="false">IFERROR(VALUE(SUBSTITUTE(TRIM('수출입 실적(품목별)'!H1744),",","")),"")</f>
        <v>-13984</v>
      </c>
    </row>
    <row r="1741" customFormat="false" ht="15" hidden="false" customHeight="true" outlineLevel="0" collapsed="false">
      <c r="A1741" s="11" t="str">
        <f aca="false">TRIM('수출입 실적(품목별)'!A1745)</f>
        <v>2025.07</v>
      </c>
      <c r="B1741" s="17" t="n">
        <f aca="false">IFERROR(VALUE(LEFT($A1741,4)),"")</f>
        <v>2025</v>
      </c>
      <c r="C1741" s="17" t="n">
        <f aca="false">IFERROR(VALUE(RIGHT($A1741,2)),"")</f>
        <v>7</v>
      </c>
      <c r="D1741" s="17" t="n">
        <f aca="false">IFERROR(ROUNDUP($C1741/3,0),"")</f>
        <v>3</v>
      </c>
      <c r="E1741" s="11" t="str">
        <f aca="false">TRIM('수출입 실적(품목별)'!B1745)</f>
        <v>06</v>
      </c>
      <c r="F1741" s="11" t="str">
        <f aca="false">TRIM('수출입 실적(품목별)'!C1745)</f>
        <v>살아 있는 수목과 그 밖의 식물, 인경(鱗莖)ㆍ뿌리와 이와 유사한 물품, 절화(切花)와 장식용 잎</v>
      </c>
      <c r="G1741" s="18" t="n">
        <f aca="false">IFERROR(VALUE(SUBSTITUTE(TRIM('수출입 실적(품목별)'!D1745),",","")),"")</f>
        <v>29.1</v>
      </c>
      <c r="H1741" s="19" t="n">
        <f aca="false">IFERROR(VALUE(SUBSTITUTE(TRIM('수출입 실적(품목별)'!E1745),",","")),"")</f>
        <v>198</v>
      </c>
      <c r="I1741" s="18" t="n">
        <f aca="false">IFERROR(VALUE(SUBSTITUTE(TRIM('수출입 실적(품목별)'!F1745),",","")),"")</f>
        <v>5721.5</v>
      </c>
      <c r="J1741" s="19" t="n">
        <f aca="false">IFERROR(VALUE(SUBSTITUTE(TRIM('수출입 실적(품목별)'!G1745),",","")),"")</f>
        <v>9073</v>
      </c>
      <c r="K1741" s="19" t="n">
        <f aca="false">IFERROR(VALUE(SUBSTITUTE(TRIM('수출입 실적(품목별)'!H1745),",","")),"")</f>
        <v>-8875</v>
      </c>
    </row>
    <row r="1742" customFormat="false" ht="15" hidden="false" customHeight="true" outlineLevel="0" collapsed="false">
      <c r="A1742" s="11" t="str">
        <f aca="false">TRIM('수출입 실적(품목별)'!A1746)</f>
        <v>2025.07</v>
      </c>
      <c r="B1742" s="17" t="n">
        <f aca="false">IFERROR(VALUE(LEFT($A1742,4)),"")</f>
        <v>2025</v>
      </c>
      <c r="C1742" s="17" t="n">
        <f aca="false">IFERROR(VALUE(RIGHT($A1742,2)),"")</f>
        <v>7</v>
      </c>
      <c r="D1742" s="17" t="n">
        <f aca="false">IFERROR(ROUNDUP($C1742/3,0),"")</f>
        <v>3</v>
      </c>
      <c r="E1742" s="11" t="str">
        <f aca="false">TRIM('수출입 실적(품목별)'!B1746)</f>
        <v>07</v>
      </c>
      <c r="F1742" s="11" t="str">
        <f aca="false">TRIM('수출입 실적(품목별)'!C1746)</f>
        <v>식용의 채소ㆍ뿌리ㆍ괴경(塊莖)</v>
      </c>
      <c r="G1742" s="18" t="n">
        <f aca="false">IFERROR(VALUE(SUBSTITUTE(TRIM('수출입 실적(품목별)'!D1746),",","")),"")</f>
        <v>4896.4</v>
      </c>
      <c r="H1742" s="19" t="n">
        <f aca="false">IFERROR(VALUE(SUBSTITUTE(TRIM('수출입 실적(품목별)'!E1746),",","")),"")</f>
        <v>9864</v>
      </c>
      <c r="I1742" s="18" t="n">
        <f aca="false">IFERROR(VALUE(SUBSTITUTE(TRIM('수출입 실적(품목별)'!F1746),",","")),"")</f>
        <v>87068.4</v>
      </c>
      <c r="J1742" s="19" t="n">
        <f aca="false">IFERROR(VALUE(SUBSTITUTE(TRIM('수출입 실적(품목별)'!G1746),",","")),"")</f>
        <v>71878</v>
      </c>
      <c r="K1742" s="19" t="n">
        <f aca="false">IFERROR(VALUE(SUBSTITUTE(TRIM('수출입 실적(품목별)'!H1746),",","")),"")</f>
        <v>-62014</v>
      </c>
    </row>
    <row r="1743" customFormat="false" ht="15" hidden="false" customHeight="true" outlineLevel="0" collapsed="false">
      <c r="A1743" s="11" t="str">
        <f aca="false">TRIM('수출입 실적(품목별)'!A1747)</f>
        <v>2025.07</v>
      </c>
      <c r="B1743" s="17" t="n">
        <f aca="false">IFERROR(VALUE(LEFT($A1743,4)),"")</f>
        <v>2025</v>
      </c>
      <c r="C1743" s="17" t="n">
        <f aca="false">IFERROR(VALUE(RIGHT($A1743,2)),"")</f>
        <v>7</v>
      </c>
      <c r="D1743" s="17" t="n">
        <f aca="false">IFERROR(ROUNDUP($C1743/3,0),"")</f>
        <v>3</v>
      </c>
      <c r="E1743" s="11" t="str">
        <f aca="false">TRIM('수출입 실적(품목별)'!B1747)</f>
        <v>08</v>
      </c>
      <c r="F1743" s="11" t="str">
        <f aca="false">TRIM('수출입 실적(품목별)'!C1747)</f>
        <v>식용의 과실과 견과류, 감귤류ㆍ멜론의 껍질</v>
      </c>
      <c r="G1743" s="18" t="n">
        <f aca="false">IFERROR(VALUE(SUBSTITUTE(TRIM('수출입 실적(품목별)'!D1747),",","")),"")</f>
        <v>627.9</v>
      </c>
      <c r="H1743" s="19" t="n">
        <f aca="false">IFERROR(VALUE(SUBSTITUTE(TRIM('수출입 실적(품목별)'!E1747),",","")),"")</f>
        <v>5700</v>
      </c>
      <c r="I1743" s="18" t="n">
        <f aca="false">IFERROR(VALUE(SUBSTITUTE(TRIM('수출입 실적(품목별)'!F1747),",","")),"")</f>
        <v>71584.5</v>
      </c>
      <c r="J1743" s="19" t="n">
        <f aca="false">IFERROR(VALUE(SUBSTITUTE(TRIM('수출입 실적(품목별)'!G1747),",","")),"")</f>
        <v>182282</v>
      </c>
      <c r="K1743" s="19" t="n">
        <f aca="false">IFERROR(VALUE(SUBSTITUTE(TRIM('수출입 실적(품목별)'!H1747),",","")),"")</f>
        <v>-176581</v>
      </c>
    </row>
    <row r="1744" customFormat="false" ht="15" hidden="false" customHeight="true" outlineLevel="0" collapsed="false">
      <c r="A1744" s="11" t="str">
        <f aca="false">TRIM('수출입 실적(품목별)'!A1748)</f>
        <v>2025.07</v>
      </c>
      <c r="B1744" s="17" t="n">
        <f aca="false">IFERROR(VALUE(LEFT($A1744,4)),"")</f>
        <v>2025</v>
      </c>
      <c r="C1744" s="17" t="n">
        <f aca="false">IFERROR(VALUE(RIGHT($A1744,2)),"")</f>
        <v>7</v>
      </c>
      <c r="D1744" s="17" t="n">
        <f aca="false">IFERROR(ROUNDUP($C1744/3,0),"")</f>
        <v>3</v>
      </c>
      <c r="E1744" s="11" t="str">
        <f aca="false">TRIM('수출입 실적(품목별)'!B1748)</f>
        <v>09</v>
      </c>
      <c r="F1744" s="11" t="str">
        <f aca="false">TRIM('수출입 실적(품목별)'!C1748)</f>
        <v>커피ㆍ차ㆍ마테(maté)ㆍ향신료</v>
      </c>
      <c r="G1744" s="18" t="n">
        <f aca="false">IFERROR(VALUE(SUBSTITUTE(TRIM('수출입 실적(품목별)'!D1748),",","")),"")</f>
        <v>410</v>
      </c>
      <c r="H1744" s="19" t="n">
        <f aca="false">IFERROR(VALUE(SUBSTITUTE(TRIM('수출입 실적(품목별)'!E1748),",","")),"")</f>
        <v>3774</v>
      </c>
      <c r="I1744" s="18" t="n">
        <f aca="false">IFERROR(VALUE(SUBSTITUTE(TRIM('수출입 실적(품목별)'!F1748),",","")),"")</f>
        <v>20508.3</v>
      </c>
      <c r="J1744" s="19" t="n">
        <f aca="false">IFERROR(VALUE(SUBSTITUTE(TRIM('수출입 실적(품목별)'!G1748),",","")),"")</f>
        <v>175496</v>
      </c>
      <c r="K1744" s="19" t="n">
        <f aca="false">IFERROR(VALUE(SUBSTITUTE(TRIM('수출입 실적(품목별)'!H1748),",","")),"")</f>
        <v>-171721</v>
      </c>
    </row>
    <row r="1745" customFormat="false" ht="15" hidden="false" customHeight="true" outlineLevel="0" collapsed="false">
      <c r="A1745" s="11" t="str">
        <f aca="false">TRIM('수출입 실적(품목별)'!A1749)</f>
        <v>2025.07</v>
      </c>
      <c r="B1745" s="17" t="n">
        <f aca="false">IFERROR(VALUE(LEFT($A1745,4)),"")</f>
        <v>2025</v>
      </c>
      <c r="C1745" s="17" t="n">
        <f aca="false">IFERROR(VALUE(RIGHT($A1745,2)),"")</f>
        <v>7</v>
      </c>
      <c r="D1745" s="17" t="n">
        <f aca="false">IFERROR(ROUNDUP($C1745/3,0),"")</f>
        <v>3</v>
      </c>
      <c r="E1745" s="11" t="str">
        <f aca="false">TRIM('수출입 실적(품목별)'!B1749)</f>
        <v>10</v>
      </c>
      <c r="F1745" s="11" t="str">
        <f aca="false">TRIM('수출입 실적(품목별)'!C1749)</f>
        <v>곡물</v>
      </c>
      <c r="G1745" s="18" t="n">
        <f aca="false">IFERROR(VALUE(SUBSTITUTE(TRIM('수출입 실적(품목별)'!D1749),",","")),"")</f>
        <v>334.3</v>
      </c>
      <c r="H1745" s="19" t="n">
        <f aca="false">IFERROR(VALUE(SUBSTITUTE(TRIM('수출입 실적(품목별)'!E1749),",","")),"")</f>
        <v>816</v>
      </c>
      <c r="I1745" s="18" t="n">
        <f aca="false">IFERROR(VALUE(SUBSTITUTE(TRIM('수출입 실적(품목별)'!F1749),",","")),"")</f>
        <v>1259025.6</v>
      </c>
      <c r="J1745" s="19" t="n">
        <f aca="false">IFERROR(VALUE(SUBSTITUTE(TRIM('수출입 실적(품목별)'!G1749),",","")),"")</f>
        <v>336908</v>
      </c>
      <c r="K1745" s="19" t="n">
        <f aca="false">IFERROR(VALUE(SUBSTITUTE(TRIM('수출입 실적(품목별)'!H1749),",","")),"")</f>
        <v>-336092</v>
      </c>
    </row>
    <row r="1746" customFormat="false" ht="15" hidden="false" customHeight="true" outlineLevel="0" collapsed="false">
      <c r="A1746" s="11" t="str">
        <f aca="false">TRIM('수출입 실적(품목별)'!A1750)</f>
        <v>2025.07</v>
      </c>
      <c r="B1746" s="17" t="n">
        <f aca="false">IFERROR(VALUE(LEFT($A1746,4)),"")</f>
        <v>2025</v>
      </c>
      <c r="C1746" s="17" t="n">
        <f aca="false">IFERROR(VALUE(RIGHT($A1746,2)),"")</f>
        <v>7</v>
      </c>
      <c r="D1746" s="17" t="n">
        <f aca="false">IFERROR(ROUNDUP($C1746/3,0),"")</f>
        <v>3</v>
      </c>
      <c r="E1746" s="11" t="str">
        <f aca="false">TRIM('수출입 실적(품목별)'!B1750)</f>
        <v>11</v>
      </c>
      <c r="F1746" s="11" t="str">
        <f aca="false">TRIM('수출입 실적(품목별)'!C1750)</f>
        <v>제분공업의 생산품과 맥아, 전분, 이눌린(inulin), 밀의 글루텐(gluten)</v>
      </c>
      <c r="G1746" s="18" t="n">
        <f aca="false">IFERROR(VALUE(SUBSTITUTE(TRIM('수출입 실적(품목별)'!D1750),",","")),"")</f>
        <v>4532.2</v>
      </c>
      <c r="H1746" s="19" t="n">
        <f aca="false">IFERROR(VALUE(SUBSTITUTE(TRIM('수출입 실적(품목별)'!E1750),",","")),"")</f>
        <v>3183</v>
      </c>
      <c r="I1746" s="18" t="n">
        <f aca="false">IFERROR(VALUE(SUBSTITUTE(TRIM('수출입 실적(품목별)'!F1750),",","")),"")</f>
        <v>41197.2</v>
      </c>
      <c r="J1746" s="19" t="n">
        <f aca="false">IFERROR(VALUE(SUBSTITUTE(TRIM('수출입 실적(품목별)'!G1750),",","")),"")</f>
        <v>35693</v>
      </c>
      <c r="K1746" s="19" t="n">
        <f aca="false">IFERROR(VALUE(SUBSTITUTE(TRIM('수출입 실적(품목별)'!H1750),",","")),"")</f>
        <v>-32511</v>
      </c>
    </row>
    <row r="1747" customFormat="false" ht="15" hidden="false" customHeight="true" outlineLevel="0" collapsed="false">
      <c r="A1747" s="11" t="str">
        <f aca="false">TRIM('수출입 실적(품목별)'!A1751)</f>
        <v>2025.07</v>
      </c>
      <c r="B1747" s="17" t="n">
        <f aca="false">IFERROR(VALUE(LEFT($A1747,4)),"")</f>
        <v>2025</v>
      </c>
      <c r="C1747" s="17" t="n">
        <f aca="false">IFERROR(VALUE(RIGHT($A1747,2)),"")</f>
        <v>7</v>
      </c>
      <c r="D1747" s="17" t="n">
        <f aca="false">IFERROR(ROUNDUP($C1747/3,0),"")</f>
        <v>3</v>
      </c>
      <c r="E1747" s="11" t="str">
        <f aca="false">TRIM('수출입 실적(품목별)'!B1751)</f>
        <v>12</v>
      </c>
      <c r="F1747" s="11" t="str">
        <f aca="false">TRIM('수출입 실적(품목별)'!C1751)</f>
        <v>채유(採油)에 적합한 종자와 과실, 각종 종자와 과실, 공업용ㆍ의약용 식물, 짚과 사료용 식물</v>
      </c>
      <c r="G1747" s="18" t="n">
        <f aca="false">IFERROR(VALUE(SUBSTITUTE(TRIM('수출입 실적(품목별)'!D1751),",","")),"")</f>
        <v>2819.4</v>
      </c>
      <c r="H1747" s="19" t="n">
        <f aca="false">IFERROR(VALUE(SUBSTITUTE(TRIM('수출입 실적(품목별)'!E1751),",","")),"")</f>
        <v>80340</v>
      </c>
      <c r="I1747" s="18" t="n">
        <f aca="false">IFERROR(VALUE(SUBSTITUTE(TRIM('수출입 실적(품목별)'!F1751),",","")),"")</f>
        <v>266199</v>
      </c>
      <c r="J1747" s="19" t="n">
        <f aca="false">IFERROR(VALUE(SUBSTITUTE(TRIM('수출입 실적(품목별)'!G1751),",","")),"")</f>
        <v>145039</v>
      </c>
      <c r="K1747" s="19" t="n">
        <f aca="false">IFERROR(VALUE(SUBSTITUTE(TRIM('수출입 실적(품목별)'!H1751),",","")),"")</f>
        <v>-64699</v>
      </c>
    </row>
    <row r="1748" customFormat="false" ht="15" hidden="false" customHeight="true" outlineLevel="0" collapsed="false">
      <c r="A1748" s="11" t="str">
        <f aca="false">TRIM('수출입 실적(품목별)'!A1752)</f>
        <v>2025.07</v>
      </c>
      <c r="B1748" s="17" t="n">
        <f aca="false">IFERROR(VALUE(LEFT($A1748,4)),"")</f>
        <v>2025</v>
      </c>
      <c r="C1748" s="17" t="n">
        <f aca="false">IFERROR(VALUE(RIGHT($A1748,2)),"")</f>
        <v>7</v>
      </c>
      <c r="D1748" s="17" t="n">
        <f aca="false">IFERROR(ROUNDUP($C1748/3,0),"")</f>
        <v>3</v>
      </c>
      <c r="E1748" s="11" t="str">
        <f aca="false">TRIM('수출입 실적(품목별)'!B1752)</f>
        <v>13</v>
      </c>
      <c r="F1748" s="11" t="str">
        <f aca="false">TRIM('수출입 실적(품목별)'!C1752)</f>
        <v>락(lac), 검ㆍ수지ㆍ그 밖의 식물성 수액과 추출물(extract)</v>
      </c>
      <c r="G1748" s="18" t="n">
        <f aca="false">IFERROR(VALUE(SUBSTITUTE(TRIM('수출입 실적(품목별)'!D1752),",","")),"")</f>
        <v>384.1</v>
      </c>
      <c r="H1748" s="19" t="n">
        <f aca="false">IFERROR(VALUE(SUBSTITUTE(TRIM('수출입 실적(품목별)'!E1752),",","")),"")</f>
        <v>7852</v>
      </c>
      <c r="I1748" s="18" t="n">
        <f aca="false">IFERROR(VALUE(SUBSTITUTE(TRIM('수출입 실적(품목별)'!F1752),",","")),"")</f>
        <v>7799.5</v>
      </c>
      <c r="J1748" s="19" t="n">
        <f aca="false">IFERROR(VALUE(SUBSTITUTE(TRIM('수출입 실적(품목별)'!G1752),",","")),"")</f>
        <v>33978</v>
      </c>
      <c r="K1748" s="19" t="n">
        <f aca="false">IFERROR(VALUE(SUBSTITUTE(TRIM('수출입 실적(품목별)'!H1752),",","")),"")</f>
        <v>-26126</v>
      </c>
    </row>
    <row r="1749" customFormat="false" ht="15" hidden="false" customHeight="true" outlineLevel="0" collapsed="false">
      <c r="A1749" s="11" t="str">
        <f aca="false">TRIM('수출입 실적(품목별)'!A1753)</f>
        <v>2025.07</v>
      </c>
      <c r="B1749" s="17" t="n">
        <f aca="false">IFERROR(VALUE(LEFT($A1749,4)),"")</f>
        <v>2025</v>
      </c>
      <c r="C1749" s="17" t="n">
        <f aca="false">IFERROR(VALUE(RIGHT($A1749,2)),"")</f>
        <v>7</v>
      </c>
      <c r="D1749" s="17" t="n">
        <f aca="false">IFERROR(ROUNDUP($C1749/3,0),"")</f>
        <v>3</v>
      </c>
      <c r="E1749" s="11" t="str">
        <f aca="false">TRIM('수출입 실적(품목별)'!B1753)</f>
        <v>14</v>
      </c>
      <c r="F1749" s="11" t="str">
        <f aca="false">TRIM('수출입 실적(품목별)'!C1753)</f>
        <v>식물성 편조물(編組物)용 재료와 다른 류로 분류되지 않은 식물성 생산품</v>
      </c>
      <c r="G1749" s="18" t="n">
        <f aca="false">IFERROR(VALUE(SUBSTITUTE(TRIM('수출입 실적(품목별)'!D1753),",","")),"")</f>
        <v>16.2</v>
      </c>
      <c r="H1749" s="19" t="n">
        <f aca="false">IFERROR(VALUE(SUBSTITUTE(TRIM('수출입 실적(품목별)'!E1753),",","")),"")</f>
        <v>44</v>
      </c>
      <c r="I1749" s="18" t="n">
        <f aca="false">IFERROR(VALUE(SUBSTITUTE(TRIM('수출입 실적(품목별)'!F1753),",","")),"")</f>
        <v>15947.7</v>
      </c>
      <c r="J1749" s="19" t="n">
        <f aca="false">IFERROR(VALUE(SUBSTITUTE(TRIM('수출입 실적(품목별)'!G1753),",","")),"")</f>
        <v>6103</v>
      </c>
      <c r="K1749" s="19" t="n">
        <f aca="false">IFERROR(VALUE(SUBSTITUTE(TRIM('수출입 실적(품목별)'!H1753),",","")),"")</f>
        <v>-6059</v>
      </c>
    </row>
    <row r="1750" customFormat="false" ht="15" hidden="false" customHeight="true" outlineLevel="0" collapsed="false">
      <c r="A1750" s="11" t="str">
        <f aca="false">TRIM('수출입 실적(품목별)'!A1754)</f>
        <v>2025.07</v>
      </c>
      <c r="B1750" s="17" t="n">
        <f aca="false">IFERROR(VALUE(LEFT($A1750,4)),"")</f>
        <v>2025</v>
      </c>
      <c r="C1750" s="17" t="n">
        <f aca="false">IFERROR(VALUE(RIGHT($A1750,2)),"")</f>
        <v>7</v>
      </c>
      <c r="D1750" s="17" t="n">
        <f aca="false">IFERROR(ROUNDUP($C1750/3,0),"")</f>
        <v>3</v>
      </c>
      <c r="E1750" s="11" t="str">
        <f aca="false">TRIM('수출입 실적(품목별)'!B1754)</f>
        <v>15</v>
      </c>
      <c r="F1750" s="11" t="str">
        <f aca="false">TRIM('수출입 실적(품목별)'!C1754)</f>
        <v>동물성ㆍ식물성ㆍ미생물성 지방과 기름 및이들의 분해생산물, 조제한 식용 지방과 동물성ㆍ식물성 왁스</v>
      </c>
      <c r="G1750" s="18" t="n">
        <f aca="false">IFERROR(VALUE(SUBSTITUTE(TRIM('수출입 실적(품목별)'!D1754),",","")),"")</f>
        <v>25914.9</v>
      </c>
      <c r="H1750" s="19" t="n">
        <f aca="false">IFERROR(VALUE(SUBSTITUTE(TRIM('수출입 실적(품목별)'!E1754),",","")),"")</f>
        <v>31028</v>
      </c>
      <c r="I1750" s="18" t="n">
        <f aca="false">IFERROR(VALUE(SUBSTITUTE(TRIM('수출입 실적(품목별)'!F1754),",","")),"")</f>
        <v>143183.2</v>
      </c>
      <c r="J1750" s="19" t="n">
        <f aca="false">IFERROR(VALUE(SUBSTITUTE(TRIM('수출입 실적(품목별)'!G1754),",","")),"")</f>
        <v>210552</v>
      </c>
      <c r="K1750" s="19" t="n">
        <f aca="false">IFERROR(VALUE(SUBSTITUTE(TRIM('수출입 실적(품목별)'!H1754),",","")),"")</f>
        <v>-179524</v>
      </c>
    </row>
    <row r="1751" customFormat="false" ht="15" hidden="false" customHeight="true" outlineLevel="0" collapsed="false">
      <c r="A1751" s="11" t="str">
        <f aca="false">TRIM('수출입 실적(품목별)'!A1755)</f>
        <v>2025.07</v>
      </c>
      <c r="B1751" s="17" t="n">
        <f aca="false">IFERROR(VALUE(LEFT($A1751,4)),"")</f>
        <v>2025</v>
      </c>
      <c r="C1751" s="17" t="n">
        <f aca="false">IFERROR(VALUE(RIGHT($A1751,2)),"")</f>
        <v>7</v>
      </c>
      <c r="D1751" s="17" t="n">
        <f aca="false">IFERROR(ROUNDUP($C1751/3,0),"")</f>
        <v>3</v>
      </c>
      <c r="E1751" s="11" t="str">
        <f aca="false">TRIM('수출입 실적(품목별)'!B1755)</f>
        <v>16</v>
      </c>
      <c r="F1751" s="11" t="str">
        <f aca="false">TRIM('수출입 실적(품목별)'!C1755)</f>
        <v>육류ㆍ어류ㆍ갑각류ㆍ연체동물이나 그 밖의 수생(水生) 무척추동물 또는 곤충의 조제품</v>
      </c>
      <c r="G1751" s="18" t="n">
        <f aca="false">IFERROR(VALUE(SUBSTITUTE(TRIM('수출입 실적(품목별)'!D1755),",","")),"")</f>
        <v>4520.2</v>
      </c>
      <c r="H1751" s="19" t="n">
        <f aca="false">IFERROR(VALUE(SUBSTITUTE(TRIM('수출입 실적(품목별)'!E1755),",","")),"")</f>
        <v>29198</v>
      </c>
      <c r="I1751" s="18" t="n">
        <f aca="false">IFERROR(VALUE(SUBSTITUTE(TRIM('수출입 실적(품목별)'!F1755),",","")),"")</f>
        <v>17783.4</v>
      </c>
      <c r="J1751" s="19" t="n">
        <f aca="false">IFERROR(VALUE(SUBSTITUTE(TRIM('수출입 실적(품목별)'!G1755),",","")),"")</f>
        <v>104017</v>
      </c>
      <c r="K1751" s="19" t="n">
        <f aca="false">IFERROR(VALUE(SUBSTITUTE(TRIM('수출입 실적(품목별)'!H1755),",","")),"")</f>
        <v>-74820</v>
      </c>
    </row>
    <row r="1752" customFormat="false" ht="15" hidden="false" customHeight="true" outlineLevel="0" collapsed="false">
      <c r="A1752" s="11" t="str">
        <f aca="false">TRIM('수출입 실적(품목별)'!A1756)</f>
        <v>2025.07</v>
      </c>
      <c r="B1752" s="17" t="n">
        <f aca="false">IFERROR(VALUE(LEFT($A1752,4)),"")</f>
        <v>2025</v>
      </c>
      <c r="C1752" s="17" t="n">
        <f aca="false">IFERROR(VALUE(RIGHT($A1752,2)),"")</f>
        <v>7</v>
      </c>
      <c r="D1752" s="17" t="n">
        <f aca="false">IFERROR(ROUNDUP($C1752/3,0),"")</f>
        <v>3</v>
      </c>
      <c r="E1752" s="11" t="str">
        <f aca="false">TRIM('수출입 실적(품목별)'!B1756)</f>
        <v>17</v>
      </c>
      <c r="F1752" s="11" t="str">
        <f aca="false">TRIM('수출입 실적(품목별)'!C1756)</f>
        <v>당류(糖類)와 설탕과자</v>
      </c>
      <c r="G1752" s="18" t="n">
        <f aca="false">IFERROR(VALUE(SUBSTITUTE(TRIM('수출입 실적(품목별)'!D1756),",","")),"")</f>
        <v>30953.7</v>
      </c>
      <c r="H1752" s="19" t="n">
        <f aca="false">IFERROR(VALUE(SUBSTITUTE(TRIM('수출입 실적(품목별)'!E1756),",","")),"")</f>
        <v>28492</v>
      </c>
      <c r="I1752" s="18" t="n">
        <f aca="false">IFERROR(VALUE(SUBSTITUTE(TRIM('수출입 실적(품목별)'!F1756),",","")),"")</f>
        <v>224556.9</v>
      </c>
      <c r="J1752" s="19" t="n">
        <f aca="false">IFERROR(VALUE(SUBSTITUTE(TRIM('수출입 실적(품목별)'!G1756),",","")),"")</f>
        <v>130580</v>
      </c>
      <c r="K1752" s="19" t="n">
        <f aca="false">IFERROR(VALUE(SUBSTITUTE(TRIM('수출입 실적(품목별)'!H1756),",","")),"")</f>
        <v>-102087</v>
      </c>
    </row>
    <row r="1753" customFormat="false" ht="15" hidden="false" customHeight="true" outlineLevel="0" collapsed="false">
      <c r="A1753" s="11" t="str">
        <f aca="false">TRIM('수출입 실적(품목별)'!A1757)</f>
        <v>2025.07</v>
      </c>
      <c r="B1753" s="17" t="n">
        <f aca="false">IFERROR(VALUE(LEFT($A1753,4)),"")</f>
        <v>2025</v>
      </c>
      <c r="C1753" s="17" t="n">
        <f aca="false">IFERROR(VALUE(RIGHT($A1753,2)),"")</f>
        <v>7</v>
      </c>
      <c r="D1753" s="17" t="n">
        <f aca="false">IFERROR(ROUNDUP($C1753/3,0),"")</f>
        <v>3</v>
      </c>
      <c r="E1753" s="11" t="str">
        <f aca="false">TRIM('수출입 실적(품목별)'!B1757)</f>
        <v>18</v>
      </c>
      <c r="F1753" s="11" t="str">
        <f aca="false">TRIM('수출입 실적(품목별)'!C1757)</f>
        <v>코코아와 그 조제품</v>
      </c>
      <c r="G1753" s="18" t="n">
        <f aca="false">IFERROR(VALUE(SUBSTITUTE(TRIM('수출입 실적(품목별)'!D1757),",","")),"")</f>
        <v>2271.1</v>
      </c>
      <c r="H1753" s="19" t="n">
        <f aca="false">IFERROR(VALUE(SUBSTITUTE(TRIM('수출입 실적(품목별)'!E1757),",","")),"")</f>
        <v>7853</v>
      </c>
      <c r="I1753" s="18" t="n">
        <f aca="false">IFERROR(VALUE(SUBSTITUTE(TRIM('수출입 실적(품목별)'!F1757),",","")),"")</f>
        <v>5069.1</v>
      </c>
      <c r="J1753" s="19" t="n">
        <f aca="false">IFERROR(VALUE(SUBSTITUTE(TRIM('수출입 실적(품목별)'!G1757),",","")),"")</f>
        <v>46928</v>
      </c>
      <c r="K1753" s="19" t="n">
        <f aca="false">IFERROR(VALUE(SUBSTITUTE(TRIM('수출입 실적(품목별)'!H1757),",","")),"")</f>
        <v>-39075</v>
      </c>
    </row>
    <row r="1754" customFormat="false" ht="15" hidden="false" customHeight="true" outlineLevel="0" collapsed="false">
      <c r="A1754" s="11" t="str">
        <f aca="false">TRIM('수출입 실적(품목별)'!A1758)</f>
        <v>2025.07</v>
      </c>
      <c r="B1754" s="17" t="n">
        <f aca="false">IFERROR(VALUE(LEFT($A1754,4)),"")</f>
        <v>2025</v>
      </c>
      <c r="C1754" s="17" t="n">
        <f aca="false">IFERROR(VALUE(RIGHT($A1754,2)),"")</f>
        <v>7</v>
      </c>
      <c r="D1754" s="17" t="n">
        <f aca="false">IFERROR(ROUNDUP($C1754/3,0),"")</f>
        <v>3</v>
      </c>
      <c r="E1754" s="11" t="str">
        <f aca="false">TRIM('수출입 실적(품목별)'!B1758)</f>
        <v>19</v>
      </c>
      <c r="F1754" s="11" t="str">
        <f aca="false">TRIM('수출입 실적(품목별)'!C1758)</f>
        <v>곡물ㆍ고운 가루ㆍ전분ㆍ밀크의 조제품과 베이커리 제품</v>
      </c>
      <c r="G1754" s="18" t="n">
        <f aca="false">IFERROR(VALUE(SUBSTITUTE(TRIM('수출입 실적(품목별)'!D1758),",","")),"")</f>
        <v>57550.4</v>
      </c>
      <c r="H1754" s="19" t="n">
        <f aca="false">IFERROR(VALUE(SUBSTITUTE(TRIM('수출입 실적(품목별)'!E1758),",","")),"")</f>
        <v>228953</v>
      </c>
      <c r="I1754" s="18" t="n">
        <f aca="false">IFERROR(VALUE(SUBSTITUTE(TRIM('수출입 실적(품목별)'!F1758),",","")),"")</f>
        <v>31533.8</v>
      </c>
      <c r="J1754" s="19" t="n">
        <f aca="false">IFERROR(VALUE(SUBSTITUTE(TRIM('수출입 실적(품목별)'!G1758),",","")),"")</f>
        <v>101798</v>
      </c>
      <c r="K1754" s="19" t="n">
        <f aca="false">IFERROR(VALUE(SUBSTITUTE(TRIM('수출입 실적(품목별)'!H1758),",","")),"")</f>
        <v>127155</v>
      </c>
    </row>
    <row r="1755" customFormat="false" ht="15" hidden="false" customHeight="true" outlineLevel="0" collapsed="false">
      <c r="A1755" s="11" t="str">
        <f aca="false">TRIM('수출입 실적(품목별)'!A1759)</f>
        <v>2025.07</v>
      </c>
      <c r="B1755" s="17" t="n">
        <f aca="false">IFERROR(VALUE(LEFT($A1755,4)),"")</f>
        <v>2025</v>
      </c>
      <c r="C1755" s="17" t="n">
        <f aca="false">IFERROR(VALUE(RIGHT($A1755,2)),"")</f>
        <v>7</v>
      </c>
      <c r="D1755" s="17" t="n">
        <f aca="false">IFERROR(ROUNDUP($C1755/3,0),"")</f>
        <v>3</v>
      </c>
      <c r="E1755" s="11" t="str">
        <f aca="false">TRIM('수출입 실적(품목별)'!B1759)</f>
        <v>20</v>
      </c>
      <c r="F1755" s="11" t="str">
        <f aca="false">TRIM('수출입 실적(품목별)'!C1759)</f>
        <v>채소ㆍ과실ㆍ견과류나 식물의그 밖의 부분의 조제품</v>
      </c>
      <c r="G1755" s="18" t="n">
        <f aca="false">IFERROR(VALUE(SUBSTITUTE(TRIM('수출입 실적(품목별)'!D1759),",","")),"")</f>
        <v>9794.7</v>
      </c>
      <c r="H1755" s="19" t="n">
        <f aca="false">IFERROR(VALUE(SUBSTITUTE(TRIM('수출입 실적(품목별)'!E1759),",","")),"")</f>
        <v>85119</v>
      </c>
      <c r="I1755" s="18" t="n">
        <f aca="false">IFERROR(VALUE(SUBSTITUTE(TRIM('수출입 실적(품목별)'!F1759),",","")),"")</f>
        <v>101875.1</v>
      </c>
      <c r="J1755" s="19" t="n">
        <f aca="false">IFERROR(VALUE(SUBSTITUTE(TRIM('수출입 실적(품목별)'!G1759),",","")),"")</f>
        <v>152692</v>
      </c>
      <c r="K1755" s="19" t="n">
        <f aca="false">IFERROR(VALUE(SUBSTITUTE(TRIM('수출입 실적(품목별)'!H1759),",","")),"")</f>
        <v>-67574</v>
      </c>
    </row>
    <row r="1756" customFormat="false" ht="15" hidden="false" customHeight="true" outlineLevel="0" collapsed="false">
      <c r="A1756" s="11" t="str">
        <f aca="false">TRIM('수출입 실적(품목별)'!A1760)</f>
        <v>2025.07</v>
      </c>
      <c r="B1756" s="17" t="n">
        <f aca="false">IFERROR(VALUE(LEFT($A1756,4)),"")</f>
        <v>2025</v>
      </c>
      <c r="C1756" s="17" t="n">
        <f aca="false">IFERROR(VALUE(RIGHT($A1756,2)),"")</f>
        <v>7</v>
      </c>
      <c r="D1756" s="17" t="n">
        <f aca="false">IFERROR(ROUNDUP($C1756/3,0),"")</f>
        <v>3</v>
      </c>
      <c r="E1756" s="11" t="str">
        <f aca="false">TRIM('수출입 실적(품목별)'!B1760)</f>
        <v>21</v>
      </c>
      <c r="F1756" s="11" t="str">
        <f aca="false">TRIM('수출입 실적(품목별)'!C1760)</f>
        <v>각종 조제 식료품</v>
      </c>
      <c r="G1756" s="18" t="n">
        <f aca="false">IFERROR(VALUE(SUBSTITUTE(TRIM('수출입 실적(품목별)'!D1760),",","")),"")</f>
        <v>38934.7</v>
      </c>
      <c r="H1756" s="19" t="n">
        <f aca="false">IFERROR(VALUE(SUBSTITUTE(TRIM('수출입 실적(품목별)'!E1760),",","")),"")</f>
        <v>167042</v>
      </c>
      <c r="I1756" s="18" t="n">
        <f aca="false">IFERROR(VALUE(SUBSTITUTE(TRIM('수출입 실적(품목별)'!F1760),",","")),"")</f>
        <v>37439.5</v>
      </c>
      <c r="J1756" s="19" t="n">
        <f aca="false">IFERROR(VALUE(SUBSTITUTE(TRIM('수출입 실적(품목별)'!G1760),",","")),"")</f>
        <v>264325</v>
      </c>
      <c r="K1756" s="19" t="n">
        <f aca="false">IFERROR(VALUE(SUBSTITUTE(TRIM('수출입 실적(품목별)'!H1760),",","")),"")</f>
        <v>-97283</v>
      </c>
    </row>
    <row r="1757" customFormat="false" ht="15" hidden="false" customHeight="true" outlineLevel="0" collapsed="false">
      <c r="A1757" s="11" t="str">
        <f aca="false">TRIM('수출입 실적(품목별)'!A1761)</f>
        <v>2025.07</v>
      </c>
      <c r="B1757" s="17" t="n">
        <f aca="false">IFERROR(VALUE(LEFT($A1757,4)),"")</f>
        <v>2025</v>
      </c>
      <c r="C1757" s="17" t="n">
        <f aca="false">IFERROR(VALUE(RIGHT($A1757,2)),"")</f>
        <v>7</v>
      </c>
      <c r="D1757" s="17" t="n">
        <f aca="false">IFERROR(ROUNDUP($C1757/3,0),"")</f>
        <v>3</v>
      </c>
      <c r="E1757" s="11" t="str">
        <f aca="false">TRIM('수출입 실적(품목별)'!B1761)</f>
        <v>22</v>
      </c>
      <c r="F1757" s="11" t="str">
        <f aca="false">TRIM('수출입 실적(품목별)'!C1761)</f>
        <v>음료ㆍ주류ㆍ식초</v>
      </c>
      <c r="G1757" s="18" t="n">
        <f aca="false">IFERROR(VALUE(SUBSTITUTE(TRIM('수출입 실적(품목별)'!D1761),",","")),"")</f>
        <v>81812.4</v>
      </c>
      <c r="H1757" s="19" t="n">
        <f aca="false">IFERROR(VALUE(SUBSTITUTE(TRIM('수출입 실적(품목별)'!E1761),",","")),"")</f>
        <v>99219</v>
      </c>
      <c r="I1757" s="18" t="n">
        <f aca="false">IFERROR(VALUE(SUBSTITUTE(TRIM('수출입 실적(품목별)'!F1761),",","")),"")</f>
        <v>88392.6</v>
      </c>
      <c r="J1757" s="19" t="n">
        <f aca="false">IFERROR(VALUE(SUBSTITUTE(TRIM('수출입 실적(품목별)'!G1761),",","")),"")</f>
        <v>142154</v>
      </c>
      <c r="K1757" s="19" t="n">
        <f aca="false">IFERROR(VALUE(SUBSTITUTE(TRIM('수출입 실적(품목별)'!H1761),",","")),"")</f>
        <v>-42934</v>
      </c>
    </row>
    <row r="1758" customFormat="false" ht="15" hidden="false" customHeight="true" outlineLevel="0" collapsed="false">
      <c r="A1758" s="11" t="str">
        <f aca="false">TRIM('수출입 실적(품목별)'!A1762)</f>
        <v>2025.07</v>
      </c>
      <c r="B1758" s="17" t="n">
        <f aca="false">IFERROR(VALUE(LEFT($A1758,4)),"")</f>
        <v>2025</v>
      </c>
      <c r="C1758" s="17" t="n">
        <f aca="false">IFERROR(VALUE(RIGHT($A1758,2)),"")</f>
        <v>7</v>
      </c>
      <c r="D1758" s="17" t="n">
        <f aca="false">IFERROR(ROUNDUP($C1758/3,0),"")</f>
        <v>3</v>
      </c>
      <c r="E1758" s="11" t="str">
        <f aca="false">TRIM('수출입 실적(품목별)'!B1762)</f>
        <v>23</v>
      </c>
      <c r="F1758" s="11" t="str">
        <f aca="false">TRIM('수출입 실적(품목별)'!C1762)</f>
        <v>식품 공업에서 생기는 잔재물과 웨이스트(waste), 조제 사료</v>
      </c>
      <c r="G1758" s="18" t="n">
        <f aca="false">IFERROR(VALUE(SUBSTITUTE(TRIM('수출입 실적(품목별)'!D1762),",","")),"")</f>
        <v>26928.6</v>
      </c>
      <c r="H1758" s="19" t="n">
        <f aca="false">IFERROR(VALUE(SUBSTITUTE(TRIM('수출입 실적(품목별)'!E1762),",","")),"")</f>
        <v>30661</v>
      </c>
      <c r="I1758" s="18" t="n">
        <f aca="false">IFERROR(VALUE(SUBSTITUTE(TRIM('수출입 실적(품목별)'!F1762),",","")),"")</f>
        <v>511707.3</v>
      </c>
      <c r="J1758" s="19" t="n">
        <f aca="false">IFERROR(VALUE(SUBSTITUTE(TRIM('수출입 실적(품목별)'!G1762),",","")),"")</f>
        <v>177479</v>
      </c>
      <c r="K1758" s="19" t="n">
        <f aca="false">IFERROR(VALUE(SUBSTITUTE(TRIM('수출입 실적(품목별)'!H1762),",","")),"")</f>
        <v>-146818</v>
      </c>
    </row>
    <row r="1759" customFormat="false" ht="15" hidden="false" customHeight="true" outlineLevel="0" collapsed="false">
      <c r="A1759" s="11" t="str">
        <f aca="false">TRIM('수출입 실적(품목별)'!A1763)</f>
        <v>2025.07</v>
      </c>
      <c r="B1759" s="17" t="n">
        <f aca="false">IFERROR(VALUE(LEFT($A1759,4)),"")</f>
        <v>2025</v>
      </c>
      <c r="C1759" s="17" t="n">
        <f aca="false">IFERROR(VALUE(RIGHT($A1759,2)),"")</f>
        <v>7</v>
      </c>
      <c r="D1759" s="17" t="n">
        <f aca="false">IFERROR(ROUNDUP($C1759/3,0),"")</f>
        <v>3</v>
      </c>
      <c r="E1759" s="11" t="str">
        <f aca="false">TRIM('수출입 실적(품목별)'!B1763)</f>
        <v>24</v>
      </c>
      <c r="F1759" s="11" t="str">
        <f aca="false">TRIM('수출입 실적(품목별)'!C1763)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759" s="18" t="n">
        <f aca="false">IFERROR(VALUE(SUBSTITUTE(TRIM('수출입 실적(품목별)'!D1763),",","")),"")</f>
        <v>9366.6</v>
      </c>
      <c r="H1759" s="19" t="n">
        <f aca="false">IFERROR(VALUE(SUBSTITUTE(TRIM('수출입 실적(품목별)'!E1763),",","")),"")</f>
        <v>76429</v>
      </c>
      <c r="I1759" s="18" t="n">
        <f aca="false">IFERROR(VALUE(SUBSTITUTE(TRIM('수출입 실적(품목별)'!F1763),",","")),"")</f>
        <v>4979.5</v>
      </c>
      <c r="J1759" s="19" t="n">
        <f aca="false">IFERROR(VALUE(SUBSTITUTE(TRIM('수출입 실적(품목별)'!G1763),",","")),"")</f>
        <v>49237</v>
      </c>
      <c r="K1759" s="19" t="n">
        <f aca="false">IFERROR(VALUE(SUBSTITUTE(TRIM('수출입 실적(품목별)'!H1763),",","")),"")</f>
        <v>27192</v>
      </c>
    </row>
    <row r="1760" customFormat="false" ht="15" hidden="false" customHeight="true" outlineLevel="0" collapsed="false">
      <c r="A1760" s="11" t="str">
        <f aca="false">TRIM('수출입 실적(품목별)'!A1764)</f>
        <v>2025.07</v>
      </c>
      <c r="B1760" s="17" t="n">
        <f aca="false">IFERROR(VALUE(LEFT($A1760,4)),"")</f>
        <v>2025</v>
      </c>
      <c r="C1760" s="17" t="n">
        <f aca="false">IFERROR(VALUE(RIGHT($A1760,2)),"")</f>
        <v>7</v>
      </c>
      <c r="D1760" s="17" t="n">
        <f aca="false">IFERROR(ROUNDUP($C1760/3,0),"")</f>
        <v>3</v>
      </c>
      <c r="E1760" s="11" t="str">
        <f aca="false">TRIM('수출입 실적(품목별)'!B1764)</f>
        <v>25</v>
      </c>
      <c r="F1760" s="11" t="str">
        <f aca="false">TRIM('수출입 실적(품목별)'!C1764)</f>
        <v>소금, 황, 토석류(土石類), 석고ㆍ석회ㆍ시멘트</v>
      </c>
      <c r="G1760" s="18" t="n">
        <f aca="false">IFERROR(VALUE(SUBSTITUTE(TRIM('수출입 실적(품목별)'!D1764),",","")),"")</f>
        <v>581055.5</v>
      </c>
      <c r="H1760" s="19" t="n">
        <f aca="false">IFERROR(VALUE(SUBSTITUTE(TRIM('수출입 실적(품목별)'!E1764),",","")),"")</f>
        <v>46733</v>
      </c>
      <c r="I1760" s="18" t="n">
        <f aca="false">IFERROR(VALUE(SUBSTITUTE(TRIM('수출입 실적(품목별)'!F1764),",","")),"")</f>
        <v>775583.2</v>
      </c>
      <c r="J1760" s="19" t="n">
        <f aca="false">IFERROR(VALUE(SUBSTITUTE(TRIM('수출입 실적(품목별)'!G1764),",","")),"")</f>
        <v>75177</v>
      </c>
      <c r="K1760" s="19" t="n">
        <f aca="false">IFERROR(VALUE(SUBSTITUTE(TRIM('수출입 실적(품목별)'!H1764),",","")),"")</f>
        <v>-28444</v>
      </c>
    </row>
    <row r="1761" customFormat="false" ht="15" hidden="false" customHeight="true" outlineLevel="0" collapsed="false">
      <c r="A1761" s="11" t="str">
        <f aca="false">TRIM('수출입 실적(품목별)'!A1765)</f>
        <v>2025.07</v>
      </c>
      <c r="B1761" s="17" t="n">
        <f aca="false">IFERROR(VALUE(LEFT($A1761,4)),"")</f>
        <v>2025</v>
      </c>
      <c r="C1761" s="17" t="n">
        <f aca="false">IFERROR(VALUE(RIGHT($A1761,2)),"")</f>
        <v>7</v>
      </c>
      <c r="D1761" s="17" t="n">
        <f aca="false">IFERROR(ROUNDUP($C1761/3,0),"")</f>
        <v>3</v>
      </c>
      <c r="E1761" s="11" t="str">
        <f aca="false">TRIM('수출입 실적(품목별)'!B1765)</f>
        <v>26</v>
      </c>
      <c r="F1761" s="11" t="str">
        <f aca="false">TRIM('수출입 실적(품목별)'!C1765)</f>
        <v>광(鑛)ㆍ슬래그(slag)ㆍ회(灰)</v>
      </c>
      <c r="G1761" s="18" t="n">
        <f aca="false">IFERROR(VALUE(SUBSTITUTE(TRIM('수출입 실적(품목별)'!D1765),",","")),"")</f>
        <v>185248.7</v>
      </c>
      <c r="H1761" s="19" t="n">
        <f aca="false">IFERROR(VALUE(SUBSTITUTE(TRIM('수출입 실적(품목별)'!E1765),",","")),"")</f>
        <v>46145</v>
      </c>
      <c r="I1761" s="18" t="n">
        <f aca="false">IFERROR(VALUE(SUBSTITUTE(TRIM('수출입 실적(품목별)'!F1765),",","")),"")</f>
        <v>5974797.2</v>
      </c>
      <c r="J1761" s="19" t="n">
        <f aca="false">IFERROR(VALUE(SUBSTITUTE(TRIM('수출입 실적(품목별)'!G1765),",","")),"")</f>
        <v>1745268</v>
      </c>
      <c r="K1761" s="19" t="n">
        <f aca="false">IFERROR(VALUE(SUBSTITUTE(TRIM('수출입 실적(품목별)'!H1765),",","")),"")</f>
        <v>-1699123</v>
      </c>
    </row>
    <row r="1762" customFormat="false" ht="15" hidden="false" customHeight="true" outlineLevel="0" collapsed="false">
      <c r="A1762" s="11" t="str">
        <f aca="false">TRIM('수출입 실적(품목별)'!A1766)</f>
        <v>2025.07</v>
      </c>
      <c r="B1762" s="17" t="n">
        <f aca="false">IFERROR(VALUE(LEFT($A1762,4)),"")</f>
        <v>2025</v>
      </c>
      <c r="C1762" s="17" t="n">
        <f aca="false">IFERROR(VALUE(RIGHT($A1762,2)),"")</f>
        <v>7</v>
      </c>
      <c r="D1762" s="17" t="n">
        <f aca="false">IFERROR(ROUNDUP($C1762/3,0),"")</f>
        <v>3</v>
      </c>
      <c r="E1762" s="11" t="str">
        <f aca="false">TRIM('수출입 실적(품목별)'!B1766)</f>
        <v>27</v>
      </c>
      <c r="F1762" s="11" t="str">
        <f aca="false">TRIM('수출입 실적(품목별)'!C1766)</f>
        <v>광물성 연료ㆍ광물유(鑛物油)와 이들의 증류물, 역청(瀝靑)물질, 광물성 왁스</v>
      </c>
      <c r="G1762" s="18" t="n">
        <f aca="false">IFERROR(VALUE(SUBSTITUTE(TRIM('수출입 실적(품목별)'!D1766),",","")),"")</f>
        <v>6380976.2</v>
      </c>
      <c r="H1762" s="19" t="n">
        <f aca="false">IFERROR(VALUE(SUBSTITUTE(TRIM('수출입 실적(품목별)'!E1766),",","")),"")</f>
        <v>4407315</v>
      </c>
      <c r="I1762" s="18" t="n">
        <f aca="false">IFERROR(VALUE(SUBSTITUTE(TRIM('수출입 실적(품목별)'!F1766),",","")),"")</f>
        <v>30557087.9</v>
      </c>
      <c r="J1762" s="19" t="n">
        <f aca="false">IFERROR(VALUE(SUBSTITUTE(TRIM('수출입 실적(품목별)'!G1766),",","")),"")</f>
        <v>11667589</v>
      </c>
      <c r="K1762" s="19" t="n">
        <f aca="false">IFERROR(VALUE(SUBSTITUTE(TRIM('수출입 실적(품목별)'!H1766),",","")),"")</f>
        <v>-7260274</v>
      </c>
    </row>
    <row r="1763" customFormat="false" ht="15" hidden="false" customHeight="true" outlineLevel="0" collapsed="false">
      <c r="A1763" s="11" t="str">
        <f aca="false">TRIM('수출입 실적(품목별)'!A1767)</f>
        <v>2025.07</v>
      </c>
      <c r="B1763" s="17" t="n">
        <f aca="false">IFERROR(VALUE(LEFT($A1763,4)),"")</f>
        <v>2025</v>
      </c>
      <c r="C1763" s="17" t="n">
        <f aca="false">IFERROR(VALUE(RIGHT($A1763,2)),"")</f>
        <v>7</v>
      </c>
      <c r="D1763" s="17" t="n">
        <f aca="false">IFERROR(ROUNDUP($C1763/3,0),"")</f>
        <v>3</v>
      </c>
      <c r="E1763" s="11" t="str">
        <f aca="false">TRIM('수출입 실적(품목별)'!B1767)</f>
        <v>28</v>
      </c>
      <c r="F1763" s="11" t="str">
        <f aca="false">TRIM('수출입 실적(품목별)'!C1767)</f>
        <v>무기화학품, 귀금속ㆍ희토류(稀土類)금속ㆍ방사성원소ㆍ동위원소의 유기화합물이나 무기화합물</v>
      </c>
      <c r="G1763" s="18" t="n">
        <f aca="false">IFERROR(VALUE(SUBSTITUTE(TRIM('수출입 실적(품목별)'!D1767),",","")),"")</f>
        <v>473648.7</v>
      </c>
      <c r="H1763" s="19" t="n">
        <f aca="false">IFERROR(VALUE(SUBSTITUTE(TRIM('수출입 실적(품목별)'!E1767),",","")),"")</f>
        <v>783831</v>
      </c>
      <c r="I1763" s="18" t="n">
        <f aca="false">IFERROR(VALUE(SUBSTITUTE(TRIM('수출입 실적(품목별)'!F1767),",","")),"")</f>
        <v>399872.8</v>
      </c>
      <c r="J1763" s="19" t="n">
        <f aca="false">IFERROR(VALUE(SUBSTITUTE(TRIM('수출입 실적(품목별)'!G1767),",","")),"")</f>
        <v>916311</v>
      </c>
      <c r="K1763" s="19" t="n">
        <f aca="false">IFERROR(VALUE(SUBSTITUTE(TRIM('수출입 실적(품목별)'!H1767),",","")),"")</f>
        <v>-132480</v>
      </c>
    </row>
    <row r="1764" customFormat="false" ht="15" hidden="false" customHeight="true" outlineLevel="0" collapsed="false">
      <c r="A1764" s="11" t="str">
        <f aca="false">TRIM('수출입 실적(품목별)'!A1768)</f>
        <v>2025.07</v>
      </c>
      <c r="B1764" s="17" t="n">
        <f aca="false">IFERROR(VALUE(LEFT($A1764,4)),"")</f>
        <v>2025</v>
      </c>
      <c r="C1764" s="17" t="n">
        <f aca="false">IFERROR(VALUE(RIGHT($A1764,2)),"")</f>
        <v>7</v>
      </c>
      <c r="D1764" s="17" t="n">
        <f aca="false">IFERROR(ROUNDUP($C1764/3,0),"")</f>
        <v>3</v>
      </c>
      <c r="E1764" s="11" t="str">
        <f aca="false">TRIM('수출입 실적(품목별)'!B1768)</f>
        <v>29</v>
      </c>
      <c r="F1764" s="11" t="str">
        <f aca="false">TRIM('수출입 실적(품목별)'!C1768)</f>
        <v>유기화학품</v>
      </c>
      <c r="G1764" s="18" t="n">
        <f aca="false">IFERROR(VALUE(SUBSTITUTE(TRIM('수출입 실적(품목별)'!D1768),",","")),"")</f>
        <v>1695342.7</v>
      </c>
      <c r="H1764" s="19" t="n">
        <f aca="false">IFERROR(VALUE(SUBSTITUTE(TRIM('수출입 실적(품목별)'!E1768),",","")),"")</f>
        <v>1626140</v>
      </c>
      <c r="I1764" s="18" t="n">
        <f aca="false">IFERROR(VALUE(SUBSTITUTE(TRIM('수출입 실적(품목별)'!F1768),",","")),"")</f>
        <v>724668.7</v>
      </c>
      <c r="J1764" s="19" t="n">
        <f aca="false">IFERROR(VALUE(SUBSTITUTE(TRIM('수출입 실적(품목별)'!G1768),",","")),"")</f>
        <v>1163324</v>
      </c>
      <c r="K1764" s="19" t="n">
        <f aca="false">IFERROR(VALUE(SUBSTITUTE(TRIM('수출입 실적(품목별)'!H1768),",","")),"")</f>
        <v>462815</v>
      </c>
    </row>
    <row r="1765" customFormat="false" ht="15" hidden="false" customHeight="true" outlineLevel="0" collapsed="false">
      <c r="A1765" s="11" t="str">
        <f aca="false">TRIM('수출입 실적(품목별)'!A1769)</f>
        <v>2025.07</v>
      </c>
      <c r="B1765" s="17" t="n">
        <f aca="false">IFERROR(VALUE(LEFT($A1765,4)),"")</f>
        <v>2025</v>
      </c>
      <c r="C1765" s="17" t="n">
        <f aca="false">IFERROR(VALUE(RIGHT($A1765,2)),"")</f>
        <v>7</v>
      </c>
      <c r="D1765" s="17" t="n">
        <f aca="false">IFERROR(ROUNDUP($C1765/3,0),"")</f>
        <v>3</v>
      </c>
      <c r="E1765" s="11" t="str">
        <f aca="false">TRIM('수출입 실적(품목별)'!B1769)</f>
        <v>30</v>
      </c>
      <c r="F1765" s="11" t="str">
        <f aca="false">TRIM('수출입 실적(품목별)'!C1769)</f>
        <v>의료용품</v>
      </c>
      <c r="G1765" s="18" t="n">
        <f aca="false">IFERROR(VALUE(SUBSTITUTE(TRIM('수출입 실적(품목별)'!D1769),",","")),"")</f>
        <v>2884.6</v>
      </c>
      <c r="H1765" s="19" t="n">
        <f aca="false">IFERROR(VALUE(SUBSTITUTE(TRIM('수출입 실적(품목별)'!E1769),",","")),"")</f>
        <v>584318</v>
      </c>
      <c r="I1765" s="18" t="n">
        <f aca="false">IFERROR(VALUE(SUBSTITUTE(TRIM('수출입 실적(품목별)'!F1769),",","")),"")</f>
        <v>7337.7</v>
      </c>
      <c r="J1765" s="19" t="n">
        <f aca="false">IFERROR(VALUE(SUBSTITUTE(TRIM('수출입 실적(품목별)'!G1769),",","")),"")</f>
        <v>933618</v>
      </c>
      <c r="K1765" s="19" t="n">
        <f aca="false">IFERROR(VALUE(SUBSTITUTE(TRIM('수출입 실적(품목별)'!H1769),",","")),"")</f>
        <v>-349300</v>
      </c>
    </row>
    <row r="1766" customFormat="false" ht="15" hidden="false" customHeight="true" outlineLevel="0" collapsed="false">
      <c r="A1766" s="11" t="str">
        <f aca="false">TRIM('수출입 실적(품목별)'!A1770)</f>
        <v>2025.07</v>
      </c>
      <c r="B1766" s="17" t="n">
        <f aca="false">IFERROR(VALUE(LEFT($A1766,4)),"")</f>
        <v>2025</v>
      </c>
      <c r="C1766" s="17" t="n">
        <f aca="false">IFERROR(VALUE(RIGHT($A1766,2)),"")</f>
        <v>7</v>
      </c>
      <c r="D1766" s="17" t="n">
        <f aca="false">IFERROR(ROUNDUP($C1766/3,0),"")</f>
        <v>3</v>
      </c>
      <c r="E1766" s="11" t="str">
        <f aca="false">TRIM('수출입 실적(품목별)'!B1770)</f>
        <v>31</v>
      </c>
      <c r="F1766" s="11" t="str">
        <f aca="false">TRIM('수출입 실적(품목별)'!C1770)</f>
        <v>비료</v>
      </c>
      <c r="G1766" s="18" t="n">
        <f aca="false">IFERROR(VALUE(SUBSTITUTE(TRIM('수출입 실적(품목별)'!D1770),",","")),"")</f>
        <v>102541.1</v>
      </c>
      <c r="H1766" s="19" t="n">
        <f aca="false">IFERROR(VALUE(SUBSTITUTE(TRIM('수출입 실적(품목별)'!E1770),",","")),"")</f>
        <v>38686</v>
      </c>
      <c r="I1766" s="18" t="n">
        <f aca="false">IFERROR(VALUE(SUBSTITUTE(TRIM('수출입 실적(품목별)'!F1770),",","")),"")</f>
        <v>151941.8</v>
      </c>
      <c r="J1766" s="19" t="n">
        <f aca="false">IFERROR(VALUE(SUBSTITUTE(TRIM('수출입 실적(품목별)'!G1770),",","")),"")</f>
        <v>65381</v>
      </c>
      <c r="K1766" s="19" t="n">
        <f aca="false">IFERROR(VALUE(SUBSTITUTE(TRIM('수출입 실적(품목별)'!H1770),",","")),"")</f>
        <v>-26695</v>
      </c>
    </row>
    <row r="1767" customFormat="false" ht="15" hidden="false" customHeight="true" outlineLevel="0" collapsed="false">
      <c r="A1767" s="11" t="str">
        <f aca="false">TRIM('수출입 실적(품목별)'!A1771)</f>
        <v>2025.07</v>
      </c>
      <c r="B1767" s="17" t="n">
        <f aca="false">IFERROR(VALUE(LEFT($A1767,4)),"")</f>
        <v>2025</v>
      </c>
      <c r="C1767" s="17" t="n">
        <f aca="false">IFERROR(VALUE(RIGHT($A1767,2)),"")</f>
        <v>7</v>
      </c>
      <c r="D1767" s="17" t="n">
        <f aca="false">IFERROR(ROUNDUP($C1767/3,0),"")</f>
        <v>3</v>
      </c>
      <c r="E1767" s="11" t="str">
        <f aca="false">TRIM('수출입 실적(품목별)'!B1771)</f>
        <v>32</v>
      </c>
      <c r="F1767" s="11" t="str">
        <f aca="false">TRIM('수출입 실적(품목별)'!C1771)</f>
        <v>유연용ㆍ염색용 추출물(extract), 탄닌과 이들의 유도체, 염료ㆍ안료와 그 밖의 착색제, 페인트ㆍ바니시(varnish), 퍼티(putty)와 그 밖의 매스틱(mastic), 잉크</v>
      </c>
      <c r="G1767" s="18" t="n">
        <f aca="false">IFERROR(VALUE(SUBSTITUTE(TRIM('수출입 실적(품목별)'!D1771),",","")),"")</f>
        <v>29765.5</v>
      </c>
      <c r="H1767" s="19" t="n">
        <f aca="false">IFERROR(VALUE(SUBSTITUTE(TRIM('수출입 실적(품목별)'!E1771),",","")),"")</f>
        <v>227752</v>
      </c>
      <c r="I1767" s="18" t="n">
        <f aca="false">IFERROR(VALUE(SUBSTITUTE(TRIM('수출입 실적(품목별)'!F1771),",","")),"")</f>
        <v>26190</v>
      </c>
      <c r="J1767" s="19" t="n">
        <f aca="false">IFERROR(VALUE(SUBSTITUTE(TRIM('수출입 실적(품목별)'!G1771),",","")),"")</f>
        <v>207945</v>
      </c>
      <c r="K1767" s="19" t="n">
        <f aca="false">IFERROR(VALUE(SUBSTITUTE(TRIM('수출입 실적(품목별)'!H1771),",","")),"")</f>
        <v>19807</v>
      </c>
    </row>
    <row r="1768" customFormat="false" ht="15" hidden="false" customHeight="true" outlineLevel="0" collapsed="false">
      <c r="A1768" s="11" t="str">
        <f aca="false">TRIM('수출입 실적(품목별)'!A1772)</f>
        <v>2025.07</v>
      </c>
      <c r="B1768" s="17" t="n">
        <f aca="false">IFERROR(VALUE(LEFT($A1768,4)),"")</f>
        <v>2025</v>
      </c>
      <c r="C1768" s="17" t="n">
        <f aca="false">IFERROR(VALUE(RIGHT($A1768,2)),"")</f>
        <v>7</v>
      </c>
      <c r="D1768" s="17" t="n">
        <f aca="false">IFERROR(ROUNDUP($C1768/3,0),"")</f>
        <v>3</v>
      </c>
      <c r="E1768" s="11" t="str">
        <f aca="false">TRIM('수출입 실적(품목별)'!B1772)</f>
        <v>33</v>
      </c>
      <c r="F1768" s="11" t="str">
        <f aca="false">TRIM('수출입 실적(품목별)'!C1772)</f>
        <v>정유(essential oil)와 레지노이드(resinoid), 조제향료와 화장품ㆍ화장용품</v>
      </c>
      <c r="G1768" s="18" t="n">
        <f aca="false">IFERROR(VALUE(SUBSTITUTE(TRIM('수출입 실적(품목별)'!D1772),",","")),"")</f>
        <v>42939.7</v>
      </c>
      <c r="H1768" s="19" t="n">
        <f aca="false">IFERROR(VALUE(SUBSTITUTE(TRIM('수출입 실적(품목별)'!E1772),",","")),"")</f>
        <v>949010</v>
      </c>
      <c r="I1768" s="18" t="n">
        <f aca="false">IFERROR(VALUE(SUBSTITUTE(TRIM('수출입 실적(품목별)'!F1772),",","")),"")</f>
        <v>9430.5</v>
      </c>
      <c r="J1768" s="19" t="n">
        <f aca="false">IFERROR(VALUE(SUBSTITUTE(TRIM('수출입 실적(품목별)'!G1772),",","")),"")</f>
        <v>178331</v>
      </c>
      <c r="K1768" s="19" t="n">
        <f aca="false">IFERROR(VALUE(SUBSTITUTE(TRIM('수출입 실적(품목별)'!H1772),",","")),"")</f>
        <v>770679</v>
      </c>
    </row>
    <row r="1769" customFormat="false" ht="15" hidden="false" customHeight="true" outlineLevel="0" collapsed="false">
      <c r="A1769" s="11" t="str">
        <f aca="false">TRIM('수출입 실적(품목별)'!A1773)</f>
        <v>2025.07</v>
      </c>
      <c r="B1769" s="17" t="n">
        <f aca="false">IFERROR(VALUE(LEFT($A1769,4)),"")</f>
        <v>2025</v>
      </c>
      <c r="C1769" s="17" t="n">
        <f aca="false">IFERROR(VALUE(RIGHT($A1769,2)),"")</f>
        <v>7</v>
      </c>
      <c r="D1769" s="17" t="n">
        <f aca="false">IFERROR(ROUNDUP($C1769/3,0),"")</f>
        <v>3</v>
      </c>
      <c r="E1769" s="11" t="str">
        <f aca="false">TRIM('수출입 실적(품목별)'!B1773)</f>
        <v>34</v>
      </c>
      <c r="F1769" s="11" t="str">
        <f aca="false">TRIM('수출입 실적(품목별)'!C1773)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769" s="18" t="n">
        <f aca="false">IFERROR(VALUE(SUBSTITUTE(TRIM('수출입 실적(품목별)'!D1773),",","")),"")</f>
        <v>59111</v>
      </c>
      <c r="H1769" s="19" t="n">
        <f aca="false">IFERROR(VALUE(SUBSTITUTE(TRIM('수출입 실적(품목별)'!E1773),",","")),"")</f>
        <v>171202</v>
      </c>
      <c r="I1769" s="18" t="n">
        <f aca="false">IFERROR(VALUE(SUBSTITUTE(TRIM('수출입 실적(품목별)'!F1773),",","")),"")</f>
        <v>26088.3</v>
      </c>
      <c r="J1769" s="19" t="n">
        <f aca="false">IFERROR(VALUE(SUBSTITUTE(TRIM('수출입 실적(품목별)'!G1773),",","")),"")</f>
        <v>104678</v>
      </c>
      <c r="K1769" s="19" t="n">
        <f aca="false">IFERROR(VALUE(SUBSTITUTE(TRIM('수출입 실적(품목별)'!H1773),",","")),"")</f>
        <v>66524</v>
      </c>
    </row>
    <row r="1770" customFormat="false" ht="15" hidden="false" customHeight="true" outlineLevel="0" collapsed="false">
      <c r="A1770" s="11" t="str">
        <f aca="false">TRIM('수출입 실적(품목별)'!A1774)</f>
        <v>2025.07</v>
      </c>
      <c r="B1770" s="17" t="n">
        <f aca="false">IFERROR(VALUE(LEFT($A1770,4)),"")</f>
        <v>2025</v>
      </c>
      <c r="C1770" s="17" t="n">
        <f aca="false">IFERROR(VALUE(RIGHT($A1770,2)),"")</f>
        <v>7</v>
      </c>
      <c r="D1770" s="17" t="n">
        <f aca="false">IFERROR(ROUNDUP($C1770/3,0),"")</f>
        <v>3</v>
      </c>
      <c r="E1770" s="11" t="str">
        <f aca="false">TRIM('수출입 실적(품목별)'!B1774)</f>
        <v>35</v>
      </c>
      <c r="F1770" s="11" t="str">
        <f aca="false">TRIM('수출입 실적(품목별)'!C1774)</f>
        <v>단백질계 물질, 변성전분, 글루(glue), 효소</v>
      </c>
      <c r="G1770" s="18" t="n">
        <f aca="false">IFERROR(VALUE(SUBSTITUTE(TRIM('수출입 실적(품목별)'!D1774),",","")),"")</f>
        <v>6671.9</v>
      </c>
      <c r="H1770" s="19" t="n">
        <f aca="false">IFERROR(VALUE(SUBSTITUTE(TRIM('수출입 실적(품목별)'!E1774),",","")),"")</f>
        <v>84694</v>
      </c>
      <c r="I1770" s="18" t="n">
        <f aca="false">IFERROR(VALUE(SUBSTITUTE(TRIM('수출입 실적(품목별)'!F1774),",","")),"")</f>
        <v>27327.8</v>
      </c>
      <c r="J1770" s="19" t="n">
        <f aca="false">IFERROR(VALUE(SUBSTITUTE(TRIM('수출입 실적(품목별)'!G1774),",","")),"")</f>
        <v>103493</v>
      </c>
      <c r="K1770" s="19" t="n">
        <f aca="false">IFERROR(VALUE(SUBSTITUTE(TRIM('수출입 실적(품목별)'!H1774),",","")),"")</f>
        <v>-18799</v>
      </c>
    </row>
    <row r="1771" customFormat="false" ht="15" hidden="false" customHeight="true" outlineLevel="0" collapsed="false">
      <c r="A1771" s="11" t="str">
        <f aca="false">TRIM('수출입 실적(품목별)'!A1775)</f>
        <v>2025.07</v>
      </c>
      <c r="B1771" s="17" t="n">
        <f aca="false">IFERROR(VALUE(LEFT($A1771,4)),"")</f>
        <v>2025</v>
      </c>
      <c r="C1771" s="17" t="n">
        <f aca="false">IFERROR(VALUE(RIGHT($A1771,2)),"")</f>
        <v>7</v>
      </c>
      <c r="D1771" s="17" t="n">
        <f aca="false">IFERROR(ROUNDUP($C1771/3,0),"")</f>
        <v>3</v>
      </c>
      <c r="E1771" s="11" t="str">
        <f aca="false">TRIM('수출입 실적(품목별)'!B1775)</f>
        <v>36</v>
      </c>
      <c r="F1771" s="11" t="str">
        <f aca="false">TRIM('수출입 실적(품목별)'!C1775)</f>
        <v>화약류, 화공품, 성냥, 발화성 합금, 특정 가연성 조제품</v>
      </c>
      <c r="G1771" s="18" t="n">
        <f aca="false">IFERROR(VALUE(SUBSTITUTE(TRIM('수출입 실적(품목별)'!D1775),",","")),"")</f>
        <v>291.4</v>
      </c>
      <c r="H1771" s="19" t="n">
        <f aca="false">IFERROR(VALUE(SUBSTITUTE(TRIM('수출입 실적(품목별)'!E1775),",","")),"")</f>
        <v>4511</v>
      </c>
      <c r="I1771" s="18" t="n">
        <f aca="false">IFERROR(VALUE(SUBSTITUTE(TRIM('수출입 실적(품목별)'!F1775),",","")),"")</f>
        <v>496.1</v>
      </c>
      <c r="J1771" s="19" t="n">
        <f aca="false">IFERROR(VALUE(SUBSTITUTE(TRIM('수출입 실적(품목별)'!G1775),",","")),"")</f>
        <v>6957</v>
      </c>
      <c r="K1771" s="19" t="n">
        <f aca="false">IFERROR(VALUE(SUBSTITUTE(TRIM('수출입 실적(품목별)'!H1775),",","")),"")</f>
        <v>-2447</v>
      </c>
    </row>
    <row r="1772" customFormat="false" ht="15" hidden="false" customHeight="true" outlineLevel="0" collapsed="false">
      <c r="A1772" s="11" t="str">
        <f aca="false">TRIM('수출입 실적(품목별)'!A1776)</f>
        <v>2025.07</v>
      </c>
      <c r="B1772" s="17" t="n">
        <f aca="false">IFERROR(VALUE(LEFT($A1772,4)),"")</f>
        <v>2025</v>
      </c>
      <c r="C1772" s="17" t="n">
        <f aca="false">IFERROR(VALUE(RIGHT($A1772,2)),"")</f>
        <v>7</v>
      </c>
      <c r="D1772" s="17" t="n">
        <f aca="false">IFERROR(ROUNDUP($C1772/3,0),"")</f>
        <v>3</v>
      </c>
      <c r="E1772" s="11" t="str">
        <f aca="false">TRIM('수출입 실적(품목별)'!B1776)</f>
        <v>37</v>
      </c>
      <c r="F1772" s="11" t="str">
        <f aca="false">TRIM('수출입 실적(품목별)'!C1776)</f>
        <v>사진용이나 영화용 재료</v>
      </c>
      <c r="G1772" s="18" t="n">
        <f aca="false">IFERROR(VALUE(SUBSTITUTE(TRIM('수출입 실적(품목별)'!D1776),",","")),"")</f>
        <v>2130.3</v>
      </c>
      <c r="H1772" s="19" t="n">
        <f aca="false">IFERROR(VALUE(SUBSTITUTE(TRIM('수출입 실적(품목별)'!E1776),",","")),"")</f>
        <v>99456</v>
      </c>
      <c r="I1772" s="18" t="n">
        <f aca="false">IFERROR(VALUE(SUBSTITUTE(TRIM('수출입 실적(품목별)'!F1776),",","")),"")</f>
        <v>2847.4</v>
      </c>
      <c r="J1772" s="19" t="n">
        <f aca="false">IFERROR(VALUE(SUBSTITUTE(TRIM('수출입 실적(품목별)'!G1776),",","")),"")</f>
        <v>99668</v>
      </c>
      <c r="K1772" s="19" t="n">
        <f aca="false">IFERROR(VALUE(SUBSTITUTE(TRIM('수출입 실적(품목별)'!H1776),",","")),"")</f>
        <v>-212</v>
      </c>
    </row>
    <row r="1773" customFormat="false" ht="15" hidden="false" customHeight="true" outlineLevel="0" collapsed="false">
      <c r="A1773" s="11" t="str">
        <f aca="false">TRIM('수출입 실적(품목별)'!A1777)</f>
        <v>2025.07</v>
      </c>
      <c r="B1773" s="17" t="n">
        <f aca="false">IFERROR(VALUE(LEFT($A1773,4)),"")</f>
        <v>2025</v>
      </c>
      <c r="C1773" s="17" t="n">
        <f aca="false">IFERROR(VALUE(RIGHT($A1773,2)),"")</f>
        <v>7</v>
      </c>
      <c r="D1773" s="17" t="n">
        <f aca="false">IFERROR(ROUNDUP($C1773/3,0),"")</f>
        <v>3</v>
      </c>
      <c r="E1773" s="11" t="str">
        <f aca="false">TRIM('수출입 실적(품목별)'!B1777)</f>
        <v>38</v>
      </c>
      <c r="F1773" s="11" t="str">
        <f aca="false">TRIM('수출입 실적(품목별)'!C1777)</f>
        <v>각종 화학공업 생산품</v>
      </c>
      <c r="G1773" s="18" t="n">
        <f aca="false">IFERROR(VALUE(SUBSTITUTE(TRIM('수출입 실적(품목별)'!D1777),",","")),"")</f>
        <v>128005.4</v>
      </c>
      <c r="H1773" s="19" t="n">
        <f aca="false">IFERROR(VALUE(SUBSTITUTE(TRIM('수출입 실적(품목별)'!E1777),",","")),"")</f>
        <v>651006</v>
      </c>
      <c r="I1773" s="18" t="n">
        <f aca="false">IFERROR(VALUE(SUBSTITUTE(TRIM('수출입 실적(품목별)'!F1777),",","")),"")</f>
        <v>185565.8</v>
      </c>
      <c r="J1773" s="19" t="n">
        <f aca="false">IFERROR(VALUE(SUBSTITUTE(TRIM('수출입 실적(품목별)'!G1777),",","")),"")</f>
        <v>841837</v>
      </c>
      <c r="K1773" s="19" t="n">
        <f aca="false">IFERROR(VALUE(SUBSTITUTE(TRIM('수출입 실적(품목별)'!H1777),",","")),"")</f>
        <v>-190831</v>
      </c>
    </row>
    <row r="1774" customFormat="false" ht="15" hidden="false" customHeight="true" outlineLevel="0" collapsed="false">
      <c r="A1774" s="11" t="str">
        <f aca="false">TRIM('수출입 실적(품목별)'!A1778)</f>
        <v>2025.07</v>
      </c>
      <c r="B1774" s="17" t="n">
        <f aca="false">IFERROR(VALUE(LEFT($A1774,4)),"")</f>
        <v>2025</v>
      </c>
      <c r="C1774" s="17" t="n">
        <f aca="false">IFERROR(VALUE(RIGHT($A1774,2)),"")</f>
        <v>7</v>
      </c>
      <c r="D1774" s="17" t="n">
        <f aca="false">IFERROR(ROUNDUP($C1774/3,0),"")</f>
        <v>3</v>
      </c>
      <c r="E1774" s="11" t="str">
        <f aca="false">TRIM('수출입 실적(품목별)'!B1778)</f>
        <v>39</v>
      </c>
      <c r="F1774" s="11" t="str">
        <f aca="false">TRIM('수출입 실적(품목별)'!C1778)</f>
        <v>플라스틱과 그 제품</v>
      </c>
      <c r="G1774" s="18" t="n">
        <f aca="false">IFERROR(VALUE(SUBSTITUTE(TRIM('수출입 실적(품목별)'!D1778),",","")),"")</f>
        <v>1576020.4</v>
      </c>
      <c r="H1774" s="19" t="n">
        <f aca="false">IFERROR(VALUE(SUBSTITUTE(TRIM('수출입 실적(품목별)'!E1778),",","")),"")</f>
        <v>3063537</v>
      </c>
      <c r="I1774" s="18" t="n">
        <f aca="false">IFERROR(VALUE(SUBSTITUTE(TRIM('수출입 실적(품목별)'!F1778),",","")),"")</f>
        <v>314327.4</v>
      </c>
      <c r="J1774" s="19" t="n">
        <f aca="false">IFERROR(VALUE(SUBSTITUTE(TRIM('수출입 실적(품목별)'!G1778),",","")),"")</f>
        <v>1195741</v>
      </c>
      <c r="K1774" s="19" t="n">
        <f aca="false">IFERROR(VALUE(SUBSTITUTE(TRIM('수출입 실적(품목별)'!H1778),",","")),"")</f>
        <v>1867796</v>
      </c>
    </row>
    <row r="1775" customFormat="false" ht="15" hidden="false" customHeight="true" outlineLevel="0" collapsed="false">
      <c r="A1775" s="11" t="str">
        <f aca="false">TRIM('수출입 실적(품목별)'!A1779)</f>
        <v>2025.07</v>
      </c>
      <c r="B1775" s="17" t="n">
        <f aca="false">IFERROR(VALUE(LEFT($A1775,4)),"")</f>
        <v>2025</v>
      </c>
      <c r="C1775" s="17" t="n">
        <f aca="false">IFERROR(VALUE(RIGHT($A1775,2)),"")</f>
        <v>7</v>
      </c>
      <c r="D1775" s="17" t="n">
        <f aca="false">IFERROR(ROUNDUP($C1775/3,0),"")</f>
        <v>3</v>
      </c>
      <c r="E1775" s="11" t="str">
        <f aca="false">TRIM('수출입 실적(품목별)'!B1779)</f>
        <v>40</v>
      </c>
      <c r="F1775" s="11" t="str">
        <f aca="false">TRIM('수출입 실적(품목별)'!C1779)</f>
        <v>고무와 그 제품</v>
      </c>
      <c r="G1775" s="18" t="n">
        <f aca="false">IFERROR(VALUE(SUBSTITUTE(TRIM('수출입 실적(품목별)'!D1779),",","")),"")</f>
        <v>257122.8</v>
      </c>
      <c r="H1775" s="19" t="n">
        <f aca="false">IFERROR(VALUE(SUBSTITUTE(TRIM('수출입 실적(품목별)'!E1779),",","")),"")</f>
        <v>667898</v>
      </c>
      <c r="I1775" s="18" t="n">
        <f aca="false">IFERROR(VALUE(SUBSTITUTE(TRIM('수출입 실적(품목별)'!F1779),",","")),"")</f>
        <v>82686.8</v>
      </c>
      <c r="J1775" s="19" t="n">
        <f aca="false">IFERROR(VALUE(SUBSTITUTE(TRIM('수출입 실적(품목별)'!G1779),",","")),"")</f>
        <v>270509</v>
      </c>
      <c r="K1775" s="19" t="n">
        <f aca="false">IFERROR(VALUE(SUBSTITUTE(TRIM('수출입 실적(품목별)'!H1779),",","")),"")</f>
        <v>397389</v>
      </c>
    </row>
    <row r="1776" customFormat="false" ht="15" hidden="false" customHeight="true" outlineLevel="0" collapsed="false">
      <c r="A1776" s="11" t="str">
        <f aca="false">TRIM('수출입 실적(품목별)'!A1780)</f>
        <v>2025.07</v>
      </c>
      <c r="B1776" s="17" t="n">
        <f aca="false">IFERROR(VALUE(LEFT($A1776,4)),"")</f>
        <v>2025</v>
      </c>
      <c r="C1776" s="17" t="n">
        <f aca="false">IFERROR(VALUE(RIGHT($A1776,2)),"")</f>
        <v>7</v>
      </c>
      <c r="D1776" s="17" t="n">
        <f aca="false">IFERROR(ROUNDUP($C1776/3,0),"")</f>
        <v>3</v>
      </c>
      <c r="E1776" s="11" t="str">
        <f aca="false">TRIM('수출입 실적(품목별)'!B1780)</f>
        <v>41</v>
      </c>
      <c r="F1776" s="11" t="str">
        <f aca="false">TRIM('수출입 실적(품목별)'!C1780)</f>
        <v>원피(모피는 제외한다)와 가죽</v>
      </c>
      <c r="G1776" s="18" t="n">
        <f aca="false">IFERROR(VALUE(SUBSTITUTE(TRIM('수출입 실적(품목별)'!D1780),",","")),"")</f>
        <v>2883.3</v>
      </c>
      <c r="H1776" s="19" t="n">
        <f aca="false">IFERROR(VALUE(SUBSTITUTE(TRIM('수출입 실적(품목별)'!E1780),",","")),"")</f>
        <v>21345</v>
      </c>
      <c r="I1776" s="18" t="n">
        <f aca="false">IFERROR(VALUE(SUBSTITUTE(TRIM('수출입 실적(품목별)'!F1780),",","")),"")</f>
        <v>7269.3</v>
      </c>
      <c r="J1776" s="19" t="n">
        <f aca="false">IFERROR(VALUE(SUBSTITUTE(TRIM('수출입 실적(품목별)'!G1780),",","")),"")</f>
        <v>22147</v>
      </c>
      <c r="K1776" s="19" t="n">
        <f aca="false">IFERROR(VALUE(SUBSTITUTE(TRIM('수출입 실적(품목별)'!H1780),",","")),"")</f>
        <v>-803</v>
      </c>
    </row>
    <row r="1777" customFormat="false" ht="15" hidden="false" customHeight="true" outlineLevel="0" collapsed="false">
      <c r="A1777" s="11" t="str">
        <f aca="false">TRIM('수출입 실적(품목별)'!A1781)</f>
        <v>2025.07</v>
      </c>
      <c r="B1777" s="17" t="n">
        <f aca="false">IFERROR(VALUE(LEFT($A1777,4)),"")</f>
        <v>2025</v>
      </c>
      <c r="C1777" s="17" t="n">
        <f aca="false">IFERROR(VALUE(RIGHT($A1777,2)),"")</f>
        <v>7</v>
      </c>
      <c r="D1777" s="17" t="n">
        <f aca="false">IFERROR(ROUNDUP($C1777/3,0),"")</f>
        <v>3</v>
      </c>
      <c r="E1777" s="11" t="str">
        <f aca="false">TRIM('수출입 실적(품목별)'!B1781)</f>
        <v>42</v>
      </c>
      <c r="F1777" s="11" t="str">
        <f aca="false">TRIM('수출입 실적(품목별)'!C1781)</f>
        <v>가죽제품, 마구, 여행용구ㆍ핸드백과 이와 유사한 용기, 동물 거트(gut)[누에의 거트(gut)는 제외한다]의 제품</v>
      </c>
      <c r="G1777" s="18" t="n">
        <f aca="false">IFERROR(VALUE(SUBSTITUTE(TRIM('수출입 실적(품목별)'!D1781),",","")),"")</f>
        <v>1156.5</v>
      </c>
      <c r="H1777" s="19" t="n">
        <f aca="false">IFERROR(VALUE(SUBSTITUTE(TRIM('수출입 실적(품목별)'!E1781),",","")),"")</f>
        <v>43808</v>
      </c>
      <c r="I1777" s="18" t="n">
        <f aca="false">IFERROR(VALUE(SUBSTITUTE(TRIM('수출입 실적(품목별)'!F1781),",","")),"")</f>
        <v>9609.9</v>
      </c>
      <c r="J1777" s="19" t="n">
        <f aca="false">IFERROR(VALUE(SUBSTITUTE(TRIM('수출입 실적(품목별)'!G1781),",","")),"")</f>
        <v>319505</v>
      </c>
      <c r="K1777" s="19" t="n">
        <f aca="false">IFERROR(VALUE(SUBSTITUTE(TRIM('수출입 실적(품목별)'!H1781),",","")),"")</f>
        <v>-275697</v>
      </c>
    </row>
    <row r="1778" customFormat="false" ht="15" hidden="false" customHeight="true" outlineLevel="0" collapsed="false">
      <c r="A1778" s="11" t="str">
        <f aca="false">TRIM('수출입 실적(품목별)'!A1782)</f>
        <v>2025.07</v>
      </c>
      <c r="B1778" s="17" t="n">
        <f aca="false">IFERROR(VALUE(LEFT($A1778,4)),"")</f>
        <v>2025</v>
      </c>
      <c r="C1778" s="17" t="n">
        <f aca="false">IFERROR(VALUE(RIGHT($A1778,2)),"")</f>
        <v>7</v>
      </c>
      <c r="D1778" s="17" t="n">
        <f aca="false">IFERROR(ROUNDUP($C1778/3,0),"")</f>
        <v>3</v>
      </c>
      <c r="E1778" s="11" t="str">
        <f aca="false">TRIM('수출입 실적(품목별)'!B1782)</f>
        <v>43</v>
      </c>
      <c r="F1778" s="11" t="str">
        <f aca="false">TRIM('수출입 실적(품목별)'!C1782)</f>
        <v>모피ㆍ인조모피와 이들의 제품</v>
      </c>
      <c r="G1778" s="18" t="n">
        <f aca="false">IFERROR(VALUE(SUBSTITUTE(TRIM('수출입 실적(품목별)'!D1782),",","")),"")</f>
        <v>7.9</v>
      </c>
      <c r="H1778" s="19" t="n">
        <f aca="false">IFERROR(VALUE(SUBSTITUTE(TRIM('수출입 실적(품목별)'!E1782),",","")),"")</f>
        <v>1247</v>
      </c>
      <c r="I1778" s="18" t="n">
        <f aca="false">IFERROR(VALUE(SUBSTITUTE(TRIM('수출입 실적(품목별)'!F1782),",","")),"")</f>
        <v>76.1</v>
      </c>
      <c r="J1778" s="19" t="n">
        <f aca="false">IFERROR(VALUE(SUBSTITUTE(TRIM('수출입 실적(품목별)'!G1782),",","")),"")</f>
        <v>15878</v>
      </c>
      <c r="K1778" s="19" t="n">
        <f aca="false">IFERROR(VALUE(SUBSTITUTE(TRIM('수출입 실적(품목별)'!H1782),",","")),"")</f>
        <v>-14631</v>
      </c>
    </row>
    <row r="1779" customFormat="false" ht="15" hidden="false" customHeight="true" outlineLevel="0" collapsed="false">
      <c r="A1779" s="11" t="str">
        <f aca="false">TRIM('수출입 실적(품목별)'!A1783)</f>
        <v>2025.07</v>
      </c>
      <c r="B1779" s="17" t="n">
        <f aca="false">IFERROR(VALUE(LEFT($A1779,4)),"")</f>
        <v>2025</v>
      </c>
      <c r="C1779" s="17" t="n">
        <f aca="false">IFERROR(VALUE(RIGHT($A1779,2)),"")</f>
        <v>7</v>
      </c>
      <c r="D1779" s="17" t="n">
        <f aca="false">IFERROR(ROUNDUP($C1779/3,0),"")</f>
        <v>3</v>
      </c>
      <c r="E1779" s="11" t="str">
        <f aca="false">TRIM('수출입 실적(품목별)'!B1783)</f>
        <v>44</v>
      </c>
      <c r="F1779" s="11" t="str">
        <f aca="false">TRIM('수출입 실적(품목별)'!C1783)</f>
        <v>목재와 그 제품, 목탄</v>
      </c>
      <c r="G1779" s="18" t="n">
        <f aca="false">IFERROR(VALUE(SUBSTITUTE(TRIM('수출입 실적(품목별)'!D1783),",","")),"")</f>
        <v>4103.8</v>
      </c>
      <c r="H1779" s="19" t="n">
        <f aca="false">IFERROR(VALUE(SUBSTITUTE(TRIM('수출입 실적(품목별)'!E1783),",","")),"")</f>
        <v>7140</v>
      </c>
      <c r="I1779" s="18" t="n">
        <f aca="false">IFERROR(VALUE(SUBSTITUTE(TRIM('수출입 실적(품목별)'!F1783),",","")),"")</f>
        <v>756785.8</v>
      </c>
      <c r="J1779" s="19" t="n">
        <f aca="false">IFERROR(VALUE(SUBSTITUTE(TRIM('수출입 실적(품목별)'!G1783),",","")),"")</f>
        <v>234216</v>
      </c>
      <c r="K1779" s="19" t="n">
        <f aca="false">IFERROR(VALUE(SUBSTITUTE(TRIM('수출입 실적(품목별)'!H1783),",","")),"")</f>
        <v>-227076</v>
      </c>
    </row>
    <row r="1780" customFormat="false" ht="15" hidden="false" customHeight="true" outlineLevel="0" collapsed="false">
      <c r="A1780" s="11" t="str">
        <f aca="false">TRIM('수출입 실적(품목별)'!A1784)</f>
        <v>2025.07</v>
      </c>
      <c r="B1780" s="17" t="n">
        <f aca="false">IFERROR(VALUE(LEFT($A1780,4)),"")</f>
        <v>2025</v>
      </c>
      <c r="C1780" s="17" t="n">
        <f aca="false">IFERROR(VALUE(RIGHT($A1780,2)),"")</f>
        <v>7</v>
      </c>
      <c r="D1780" s="17" t="n">
        <f aca="false">IFERROR(ROUNDUP($C1780/3,0),"")</f>
        <v>3</v>
      </c>
      <c r="E1780" s="11" t="str">
        <f aca="false">TRIM('수출입 실적(품목별)'!B1784)</f>
        <v>45</v>
      </c>
      <c r="F1780" s="11" t="str">
        <f aca="false">TRIM('수출입 실적(품목별)'!C1784)</f>
        <v>코르크(cork)와 그 제품</v>
      </c>
      <c r="G1780" s="18" t="n">
        <f aca="false">IFERROR(VALUE(SUBSTITUTE(TRIM('수출입 실적(품목별)'!D1784),",","")),"")</f>
        <v>2.3</v>
      </c>
      <c r="H1780" s="19" t="n">
        <f aca="false">IFERROR(VALUE(SUBSTITUTE(TRIM('수출입 실적(품목별)'!E1784),",","")),"")</f>
        <v>66</v>
      </c>
      <c r="I1780" s="18" t="n">
        <f aca="false">IFERROR(VALUE(SUBSTITUTE(TRIM('수출입 실적(품목별)'!F1784),",","")),"")</f>
        <v>137.1</v>
      </c>
      <c r="J1780" s="19" t="n">
        <f aca="false">IFERROR(VALUE(SUBSTITUTE(TRIM('수출입 실적(품목별)'!G1784),",","")),"")</f>
        <v>573</v>
      </c>
      <c r="K1780" s="19" t="n">
        <f aca="false">IFERROR(VALUE(SUBSTITUTE(TRIM('수출입 실적(품목별)'!H1784),",","")),"")</f>
        <v>-507</v>
      </c>
    </row>
    <row r="1781" customFormat="false" ht="15" hidden="false" customHeight="true" outlineLevel="0" collapsed="false">
      <c r="A1781" s="11" t="str">
        <f aca="false">TRIM('수출입 실적(품목별)'!A1785)</f>
        <v>2025.07</v>
      </c>
      <c r="B1781" s="17" t="n">
        <f aca="false">IFERROR(VALUE(LEFT($A1781,4)),"")</f>
        <v>2025</v>
      </c>
      <c r="C1781" s="17" t="n">
        <f aca="false">IFERROR(VALUE(RIGHT($A1781,2)),"")</f>
        <v>7</v>
      </c>
      <c r="D1781" s="17" t="n">
        <f aca="false">IFERROR(ROUNDUP($C1781/3,0),"")</f>
        <v>3</v>
      </c>
      <c r="E1781" s="11" t="str">
        <f aca="false">TRIM('수출입 실적(품목별)'!B1785)</f>
        <v>46</v>
      </c>
      <c r="F1781" s="11" t="str">
        <f aca="false">TRIM('수출입 실적(품목별)'!C1785)</f>
        <v>짚ㆍ에스파르토(esparto)나 그 밖의 조물 재료의 제품, 바구니 세공물(basketware)과 지조세공물(枝條細工物)</v>
      </c>
      <c r="G1781" s="18" t="n">
        <f aca="false">IFERROR(VALUE(SUBSTITUTE(TRIM('수출입 실적(품목별)'!D1785),",","")),"")</f>
        <v>2.4</v>
      </c>
      <c r="H1781" s="19" t="n">
        <f aca="false">IFERROR(VALUE(SUBSTITUTE(TRIM('수출입 실적(품목별)'!E1785),",","")),"")</f>
        <v>125</v>
      </c>
      <c r="I1781" s="18" t="n">
        <f aca="false">IFERROR(VALUE(SUBSTITUTE(TRIM('수출입 실적(품목별)'!F1785),",","")),"")</f>
        <v>503.8</v>
      </c>
      <c r="J1781" s="19" t="n">
        <f aca="false">IFERROR(VALUE(SUBSTITUTE(TRIM('수출입 실적(품목별)'!G1785),",","")),"")</f>
        <v>2323</v>
      </c>
      <c r="K1781" s="19" t="n">
        <f aca="false">IFERROR(VALUE(SUBSTITUTE(TRIM('수출입 실적(품목별)'!H1785),",","")),"")</f>
        <v>-2198</v>
      </c>
    </row>
    <row r="1782" customFormat="false" ht="15" hidden="false" customHeight="true" outlineLevel="0" collapsed="false">
      <c r="A1782" s="11" t="str">
        <f aca="false">TRIM('수출입 실적(품목별)'!A1786)</f>
        <v>2025.07</v>
      </c>
      <c r="B1782" s="17" t="n">
        <f aca="false">IFERROR(VALUE(LEFT($A1782,4)),"")</f>
        <v>2025</v>
      </c>
      <c r="C1782" s="17" t="n">
        <f aca="false">IFERROR(VALUE(RIGHT($A1782,2)),"")</f>
        <v>7</v>
      </c>
      <c r="D1782" s="17" t="n">
        <f aca="false">IFERROR(ROUNDUP($C1782/3,0),"")</f>
        <v>3</v>
      </c>
      <c r="E1782" s="11" t="str">
        <f aca="false">TRIM('수출입 실적(품목별)'!B1786)</f>
        <v>47</v>
      </c>
      <c r="F1782" s="11" t="str">
        <f aca="false">TRIM('수출입 실적(품목별)'!C1786)</f>
        <v>목재나 그 밖의 섬유질 셀룰로오스재료의 펄프, 회수한 종이ㆍ판지[웨이스트(waste)와 스크랩(scrap)]</v>
      </c>
      <c r="G1782" s="18" t="n">
        <f aca="false">IFERROR(VALUE(SUBSTITUTE(TRIM('수출입 실적(품목별)'!D1786),",","")),"")</f>
        <v>37785.8</v>
      </c>
      <c r="H1782" s="19" t="n">
        <f aca="false">IFERROR(VALUE(SUBSTITUTE(TRIM('수출입 실적(품목별)'!E1786),",","")),"")</f>
        <v>8480</v>
      </c>
      <c r="I1782" s="18" t="n">
        <f aca="false">IFERROR(VALUE(SUBSTITUTE(TRIM('수출입 실적(품목별)'!F1786),",","")),"")</f>
        <v>250386.9</v>
      </c>
      <c r="J1782" s="19" t="n">
        <f aca="false">IFERROR(VALUE(SUBSTITUTE(TRIM('수출입 실적(품목별)'!G1786),",","")),"")</f>
        <v>129270</v>
      </c>
      <c r="K1782" s="19" t="n">
        <f aca="false">IFERROR(VALUE(SUBSTITUTE(TRIM('수출입 실적(품목별)'!H1786),",","")),"")</f>
        <v>-120790</v>
      </c>
    </row>
    <row r="1783" customFormat="false" ht="15" hidden="false" customHeight="true" outlineLevel="0" collapsed="false">
      <c r="A1783" s="11" t="str">
        <f aca="false">TRIM('수출입 실적(품목별)'!A1787)</f>
        <v>2025.07</v>
      </c>
      <c r="B1783" s="17" t="n">
        <f aca="false">IFERROR(VALUE(LEFT($A1783,4)),"")</f>
        <v>2025</v>
      </c>
      <c r="C1783" s="17" t="n">
        <f aca="false">IFERROR(VALUE(RIGHT($A1783,2)),"")</f>
        <v>7</v>
      </c>
      <c r="D1783" s="17" t="n">
        <f aca="false">IFERROR(ROUNDUP($C1783/3,0),"")</f>
        <v>3</v>
      </c>
      <c r="E1783" s="11" t="str">
        <f aca="false">TRIM('수출입 실적(품목별)'!B1787)</f>
        <v>48</v>
      </c>
      <c r="F1783" s="11" t="str">
        <f aca="false">TRIM('수출입 실적(품목별)'!C1787)</f>
        <v>종이와 판지, 제지용 펄프ㆍ종이ㆍ판지의 제품</v>
      </c>
      <c r="G1783" s="18" t="n">
        <f aca="false">IFERROR(VALUE(SUBSTITUTE(TRIM('수출입 실적(품목별)'!D1787),",","")),"")</f>
        <v>244766.3</v>
      </c>
      <c r="H1783" s="19" t="n">
        <f aca="false">IFERROR(VALUE(SUBSTITUTE(TRIM('수출입 실적(품목별)'!E1787),",","")),"")</f>
        <v>232353</v>
      </c>
      <c r="I1783" s="18" t="n">
        <f aca="false">IFERROR(VALUE(SUBSTITUTE(TRIM('수출입 실적(품목별)'!F1787),",","")),"")</f>
        <v>129814.7</v>
      </c>
      <c r="J1783" s="19" t="n">
        <f aca="false">IFERROR(VALUE(SUBSTITUTE(TRIM('수출입 실적(품목별)'!G1787),",","")),"")</f>
        <v>195507</v>
      </c>
      <c r="K1783" s="19" t="n">
        <f aca="false">IFERROR(VALUE(SUBSTITUTE(TRIM('수출입 실적(품목별)'!H1787),",","")),"")</f>
        <v>36846</v>
      </c>
    </row>
    <row r="1784" customFormat="false" ht="15" hidden="false" customHeight="true" outlineLevel="0" collapsed="false">
      <c r="A1784" s="11" t="str">
        <f aca="false">TRIM('수출입 실적(품목별)'!A1788)</f>
        <v>2025.07</v>
      </c>
      <c r="B1784" s="17" t="n">
        <f aca="false">IFERROR(VALUE(LEFT($A1784,4)),"")</f>
        <v>2025</v>
      </c>
      <c r="C1784" s="17" t="n">
        <f aca="false">IFERROR(VALUE(RIGHT($A1784,2)),"")</f>
        <v>7</v>
      </c>
      <c r="D1784" s="17" t="n">
        <f aca="false">IFERROR(ROUNDUP($C1784/3,0),"")</f>
        <v>3</v>
      </c>
      <c r="E1784" s="11" t="str">
        <f aca="false">TRIM('수출입 실적(품목별)'!B1788)</f>
        <v>49</v>
      </c>
      <c r="F1784" s="11" t="str">
        <f aca="false">TRIM('수출입 실적(품목별)'!C1788)</f>
        <v>인쇄서적ㆍ신문ㆍ회화ㆍ그 밖의 인쇄물, 수제(手製)문서ㆍ타자문서ㆍ도면</v>
      </c>
      <c r="G1784" s="18" t="n">
        <f aca="false">IFERROR(VALUE(SUBSTITUTE(TRIM('수출입 실적(품목별)'!D1788),",","")),"")</f>
        <v>4953.8</v>
      </c>
      <c r="H1784" s="19" t="n">
        <f aca="false">IFERROR(VALUE(SUBSTITUTE(TRIM('수출입 실적(품목별)'!E1788),",","")),"")</f>
        <v>42815</v>
      </c>
      <c r="I1784" s="18" t="n">
        <f aca="false">IFERROR(VALUE(SUBSTITUTE(TRIM('수출입 실적(품목별)'!F1788),",","")),"")</f>
        <v>1301.6</v>
      </c>
      <c r="J1784" s="19" t="n">
        <f aca="false">IFERROR(VALUE(SUBSTITUTE(TRIM('수출입 실적(품목별)'!G1788),",","")),"")</f>
        <v>23750</v>
      </c>
      <c r="K1784" s="19" t="n">
        <f aca="false">IFERROR(VALUE(SUBSTITUTE(TRIM('수출입 실적(품목별)'!H1788),",","")),"")</f>
        <v>19065</v>
      </c>
    </row>
    <row r="1785" customFormat="false" ht="15" hidden="false" customHeight="true" outlineLevel="0" collapsed="false">
      <c r="A1785" s="11" t="str">
        <f aca="false">TRIM('수출입 실적(품목별)'!A1789)</f>
        <v>2025.07</v>
      </c>
      <c r="B1785" s="17" t="n">
        <f aca="false">IFERROR(VALUE(LEFT($A1785,4)),"")</f>
        <v>2025</v>
      </c>
      <c r="C1785" s="17" t="n">
        <f aca="false">IFERROR(VALUE(RIGHT($A1785,2)),"")</f>
        <v>7</v>
      </c>
      <c r="D1785" s="17" t="n">
        <f aca="false">IFERROR(ROUNDUP($C1785/3,0),"")</f>
        <v>3</v>
      </c>
      <c r="E1785" s="11" t="str">
        <f aca="false">TRIM('수출입 실적(품목별)'!B1789)</f>
        <v>50</v>
      </c>
      <c r="F1785" s="11" t="str">
        <f aca="false">TRIM('수출입 실적(품목별)'!C1789)</f>
        <v>견</v>
      </c>
      <c r="G1785" s="18" t="n">
        <f aca="false">IFERROR(VALUE(SUBSTITUTE(TRIM('수출입 실적(품목별)'!D1789),",","")),"")</f>
        <v>17.2</v>
      </c>
      <c r="H1785" s="19" t="n">
        <f aca="false">IFERROR(VALUE(SUBSTITUTE(TRIM('수출입 실적(품목별)'!E1789),",","")),"")</f>
        <v>2490</v>
      </c>
      <c r="I1785" s="18" t="n">
        <f aca="false">IFERROR(VALUE(SUBSTITUTE(TRIM('수출입 실적(품목별)'!F1789),",","")),"")</f>
        <v>30.3</v>
      </c>
      <c r="J1785" s="19" t="n">
        <f aca="false">IFERROR(VALUE(SUBSTITUTE(TRIM('수출입 실적(품목별)'!G1789),",","")),"")</f>
        <v>2522</v>
      </c>
      <c r="K1785" s="19" t="n">
        <f aca="false">IFERROR(VALUE(SUBSTITUTE(TRIM('수출입 실적(품목별)'!H1789),",","")),"")</f>
        <v>-32</v>
      </c>
    </row>
    <row r="1786" customFormat="false" ht="15" hidden="false" customHeight="true" outlineLevel="0" collapsed="false">
      <c r="A1786" s="11" t="str">
        <f aca="false">TRIM('수출입 실적(품목별)'!A1790)</f>
        <v>2025.07</v>
      </c>
      <c r="B1786" s="17" t="n">
        <f aca="false">IFERROR(VALUE(LEFT($A1786,4)),"")</f>
        <v>2025</v>
      </c>
      <c r="C1786" s="17" t="n">
        <f aca="false">IFERROR(VALUE(RIGHT($A1786,2)),"")</f>
        <v>7</v>
      </c>
      <c r="D1786" s="17" t="n">
        <f aca="false">IFERROR(ROUNDUP($C1786/3,0),"")</f>
        <v>3</v>
      </c>
      <c r="E1786" s="11" t="str">
        <f aca="false">TRIM('수출입 실적(품목별)'!B1790)</f>
        <v>51</v>
      </c>
      <c r="F1786" s="11" t="str">
        <f aca="false">TRIM('수출입 실적(품목별)'!C1790)</f>
        <v>양모ㆍ동물의 부드러운 털이나 거친 털ㆍ말의 털로 만든 실과 직물</v>
      </c>
      <c r="G1786" s="18" t="n">
        <f aca="false">IFERROR(VALUE(SUBSTITUTE(TRIM('수출입 실적(품목별)'!D1790),",","")),"")</f>
        <v>369.8</v>
      </c>
      <c r="H1786" s="19" t="n">
        <f aca="false">IFERROR(VALUE(SUBSTITUTE(TRIM('수출입 실적(품목별)'!E1790),",","")),"")</f>
        <v>5836</v>
      </c>
      <c r="I1786" s="18" t="n">
        <f aca="false">IFERROR(VALUE(SUBSTITUTE(TRIM('수출입 실적(품목별)'!F1790),",","")),"")</f>
        <v>823.7</v>
      </c>
      <c r="J1786" s="19" t="n">
        <f aca="false">IFERROR(VALUE(SUBSTITUTE(TRIM('수출입 실적(품목별)'!G1790),",","")),"")</f>
        <v>22329</v>
      </c>
      <c r="K1786" s="19" t="n">
        <f aca="false">IFERROR(VALUE(SUBSTITUTE(TRIM('수출입 실적(품목별)'!H1790),",","")),"")</f>
        <v>-16493</v>
      </c>
    </row>
    <row r="1787" customFormat="false" ht="15" hidden="false" customHeight="true" outlineLevel="0" collapsed="false">
      <c r="A1787" s="11" t="str">
        <f aca="false">TRIM('수출입 실적(품목별)'!A1791)</f>
        <v>2025.07</v>
      </c>
      <c r="B1787" s="17" t="n">
        <f aca="false">IFERROR(VALUE(LEFT($A1787,4)),"")</f>
        <v>2025</v>
      </c>
      <c r="C1787" s="17" t="n">
        <f aca="false">IFERROR(VALUE(RIGHT($A1787,2)),"")</f>
        <v>7</v>
      </c>
      <c r="D1787" s="17" t="n">
        <f aca="false">IFERROR(ROUNDUP($C1787/3,0),"")</f>
        <v>3</v>
      </c>
      <c r="E1787" s="11" t="str">
        <f aca="false">TRIM('수출입 실적(품목별)'!B1791)</f>
        <v>52</v>
      </c>
      <c r="F1787" s="11" t="str">
        <f aca="false">TRIM('수출입 실적(품목별)'!C1791)</f>
        <v>면</v>
      </c>
      <c r="G1787" s="18" t="n">
        <f aca="false">IFERROR(VALUE(SUBSTITUTE(TRIM('수출입 실적(품목별)'!D1791),",","")),"")</f>
        <v>3220.2</v>
      </c>
      <c r="H1787" s="19" t="n">
        <f aca="false">IFERROR(VALUE(SUBSTITUTE(TRIM('수출입 실적(품목별)'!E1791),",","")),"")</f>
        <v>23214</v>
      </c>
      <c r="I1787" s="18" t="n">
        <f aca="false">IFERROR(VALUE(SUBSTITUTE(TRIM('수출입 실적(품목별)'!F1791),",","")),"")</f>
        <v>20312.9</v>
      </c>
      <c r="J1787" s="19" t="n">
        <f aca="false">IFERROR(VALUE(SUBSTITUTE(TRIM('수출입 실적(품목별)'!G1791),",","")),"")</f>
        <v>60170</v>
      </c>
      <c r="K1787" s="19" t="n">
        <f aca="false">IFERROR(VALUE(SUBSTITUTE(TRIM('수출입 실적(품목별)'!H1791),",","")),"")</f>
        <v>-36957</v>
      </c>
    </row>
    <row r="1788" customFormat="false" ht="15" hidden="false" customHeight="true" outlineLevel="0" collapsed="false">
      <c r="A1788" s="11" t="str">
        <f aca="false">TRIM('수출입 실적(품목별)'!A1792)</f>
        <v>2025.07</v>
      </c>
      <c r="B1788" s="17" t="n">
        <f aca="false">IFERROR(VALUE(LEFT($A1788,4)),"")</f>
        <v>2025</v>
      </c>
      <c r="C1788" s="17" t="n">
        <f aca="false">IFERROR(VALUE(RIGHT($A1788,2)),"")</f>
        <v>7</v>
      </c>
      <c r="D1788" s="17" t="n">
        <f aca="false">IFERROR(ROUNDUP($C1788/3,0),"")</f>
        <v>3</v>
      </c>
      <c r="E1788" s="11" t="str">
        <f aca="false">TRIM('수출입 실적(품목별)'!B1792)</f>
        <v>53</v>
      </c>
      <c r="F1788" s="11" t="str">
        <f aca="false">TRIM('수출입 실적(품목별)'!C1792)</f>
        <v>그 밖의 식물성 방직용 섬유, 종이실(paper yarn)과 종이실로 만든 직물</v>
      </c>
      <c r="G1788" s="18" t="n">
        <f aca="false">IFERROR(VALUE(SUBSTITUTE(TRIM('수출입 실적(품목별)'!D1792),",","")),"")</f>
        <v>20.6</v>
      </c>
      <c r="H1788" s="19" t="n">
        <f aca="false">IFERROR(VALUE(SUBSTITUTE(TRIM('수출입 실적(품목별)'!E1792),",","")),"")</f>
        <v>338</v>
      </c>
      <c r="I1788" s="18" t="n">
        <f aca="false">IFERROR(VALUE(SUBSTITUTE(TRIM('수출입 실적(품목별)'!F1792),",","")),"")</f>
        <v>1000.5</v>
      </c>
      <c r="J1788" s="19" t="n">
        <f aca="false">IFERROR(VALUE(SUBSTITUTE(TRIM('수출입 실적(품목별)'!G1792),",","")),"")</f>
        <v>3056</v>
      </c>
      <c r="K1788" s="19" t="n">
        <f aca="false">IFERROR(VALUE(SUBSTITUTE(TRIM('수출입 실적(품목별)'!H1792),",","")),"")</f>
        <v>-2719</v>
      </c>
    </row>
    <row r="1789" customFormat="false" ht="15" hidden="false" customHeight="true" outlineLevel="0" collapsed="false">
      <c r="A1789" s="11" t="str">
        <f aca="false">TRIM('수출입 실적(품목별)'!A1793)</f>
        <v>2025.07</v>
      </c>
      <c r="B1789" s="17" t="n">
        <f aca="false">IFERROR(VALUE(LEFT($A1789,4)),"")</f>
        <v>2025</v>
      </c>
      <c r="C1789" s="17" t="n">
        <f aca="false">IFERROR(VALUE(RIGHT($A1789,2)),"")</f>
        <v>7</v>
      </c>
      <c r="D1789" s="17" t="n">
        <f aca="false">IFERROR(ROUNDUP($C1789/3,0),"")</f>
        <v>3</v>
      </c>
      <c r="E1789" s="11" t="str">
        <f aca="false">TRIM('수출입 실적(품목별)'!B1793)</f>
        <v>54</v>
      </c>
      <c r="F1789" s="11" t="str">
        <f aca="false">TRIM('수출입 실적(품목별)'!C1793)</f>
        <v>인조필라멘트, 인조방직용 섬유재료의 스트립(strip)과 이와 유사한 것</v>
      </c>
      <c r="G1789" s="18" t="n">
        <f aca="false">IFERROR(VALUE(SUBSTITUTE(TRIM('수출입 실적(품목별)'!D1793),",","")),"")</f>
        <v>22817.6</v>
      </c>
      <c r="H1789" s="19" t="n">
        <f aca="false">IFERROR(VALUE(SUBSTITUTE(TRIM('수출입 실적(품목별)'!E1793),",","")),"")</f>
        <v>147159</v>
      </c>
      <c r="I1789" s="18" t="n">
        <f aca="false">IFERROR(VALUE(SUBSTITUTE(TRIM('수출입 실적(품목별)'!F1793),",","")),"")</f>
        <v>39266.8</v>
      </c>
      <c r="J1789" s="19" t="n">
        <f aca="false">IFERROR(VALUE(SUBSTITUTE(TRIM('수출입 실적(품목별)'!G1793),",","")),"")</f>
        <v>82552</v>
      </c>
      <c r="K1789" s="19" t="n">
        <f aca="false">IFERROR(VALUE(SUBSTITUTE(TRIM('수출입 실적(품목별)'!H1793),",","")),"")</f>
        <v>64606</v>
      </c>
    </row>
    <row r="1790" customFormat="false" ht="15" hidden="false" customHeight="true" outlineLevel="0" collapsed="false">
      <c r="A1790" s="11" t="str">
        <f aca="false">TRIM('수출입 실적(품목별)'!A1794)</f>
        <v>2025.07</v>
      </c>
      <c r="B1790" s="17" t="n">
        <f aca="false">IFERROR(VALUE(LEFT($A1790,4)),"")</f>
        <v>2025</v>
      </c>
      <c r="C1790" s="17" t="n">
        <f aca="false">IFERROR(VALUE(RIGHT($A1790,2)),"")</f>
        <v>7</v>
      </c>
      <c r="D1790" s="17" t="n">
        <f aca="false">IFERROR(ROUNDUP($C1790/3,0),"")</f>
        <v>3</v>
      </c>
      <c r="E1790" s="11" t="str">
        <f aca="false">TRIM('수출입 실적(품목별)'!B1794)</f>
        <v>55</v>
      </c>
      <c r="F1790" s="11" t="str">
        <f aca="false">TRIM('수출입 실적(품목별)'!C1794)</f>
        <v>인조스테이플섬유</v>
      </c>
      <c r="G1790" s="18" t="n">
        <f aca="false">IFERROR(VALUE(SUBSTITUTE(TRIM('수출입 실적(품목별)'!D1794),",","")),"")</f>
        <v>51018.1</v>
      </c>
      <c r="H1790" s="19" t="n">
        <f aca="false">IFERROR(VALUE(SUBSTITUTE(TRIM('수출입 실적(품목별)'!E1794),",","")),"")</f>
        <v>92716</v>
      </c>
      <c r="I1790" s="18" t="n">
        <f aca="false">IFERROR(VALUE(SUBSTITUTE(TRIM('수출입 실적(품목별)'!F1794),",","")),"")</f>
        <v>12533.6</v>
      </c>
      <c r="J1790" s="19" t="n">
        <f aca="false">IFERROR(VALUE(SUBSTITUTE(TRIM('수출입 실적(품목별)'!G1794),",","")),"")</f>
        <v>46264</v>
      </c>
      <c r="K1790" s="19" t="n">
        <f aca="false">IFERROR(VALUE(SUBSTITUTE(TRIM('수출입 실적(품목별)'!H1794),",","")),"")</f>
        <v>46452</v>
      </c>
    </row>
    <row r="1791" customFormat="false" ht="15" hidden="false" customHeight="true" outlineLevel="0" collapsed="false">
      <c r="A1791" s="11" t="str">
        <f aca="false">TRIM('수출입 실적(품목별)'!A1795)</f>
        <v>2025.07</v>
      </c>
      <c r="B1791" s="17" t="n">
        <f aca="false">IFERROR(VALUE(LEFT($A1791,4)),"")</f>
        <v>2025</v>
      </c>
      <c r="C1791" s="17" t="n">
        <f aca="false">IFERROR(VALUE(RIGHT($A1791,2)),"")</f>
        <v>7</v>
      </c>
      <c r="D1791" s="17" t="n">
        <f aca="false">IFERROR(ROUNDUP($C1791/3,0),"")</f>
        <v>3</v>
      </c>
      <c r="E1791" s="11" t="str">
        <f aca="false">TRIM('수출입 실적(품목별)'!B1795)</f>
        <v>56</v>
      </c>
      <c r="F1791" s="11" t="str">
        <f aca="false">TRIM('수출입 실적(품목별)'!C1795)</f>
        <v>워딩(wadding)ㆍ펠트(felt)ㆍ부직포, 특수사, 끈ㆍ배의 밧줄(cordage)ㆍ로프ㆍ케이블과 이들의 제품</v>
      </c>
      <c r="G1791" s="18" t="n">
        <f aca="false">IFERROR(VALUE(SUBSTITUTE(TRIM('수출입 실적(품목별)'!D1795),",","")),"")</f>
        <v>10954.6</v>
      </c>
      <c r="H1791" s="19" t="n">
        <f aca="false">IFERROR(VALUE(SUBSTITUTE(TRIM('수출입 실적(품목별)'!E1795),",","")),"")</f>
        <v>69122</v>
      </c>
      <c r="I1791" s="18" t="n">
        <f aca="false">IFERROR(VALUE(SUBSTITUTE(TRIM('수출입 실적(품목별)'!F1795),",","")),"")</f>
        <v>20868.1</v>
      </c>
      <c r="J1791" s="19" t="n">
        <f aca="false">IFERROR(VALUE(SUBSTITUTE(TRIM('수출입 실적(품목별)'!G1795),",","")),"")</f>
        <v>61733</v>
      </c>
      <c r="K1791" s="19" t="n">
        <f aca="false">IFERROR(VALUE(SUBSTITUTE(TRIM('수출입 실적(품목별)'!H1795),",","")),"")</f>
        <v>7389</v>
      </c>
    </row>
    <row r="1792" customFormat="false" ht="15" hidden="false" customHeight="true" outlineLevel="0" collapsed="false">
      <c r="A1792" s="11" t="str">
        <f aca="false">TRIM('수출입 실적(품목별)'!A1796)</f>
        <v>2025.07</v>
      </c>
      <c r="B1792" s="17" t="n">
        <f aca="false">IFERROR(VALUE(LEFT($A1792,4)),"")</f>
        <v>2025</v>
      </c>
      <c r="C1792" s="17" t="n">
        <f aca="false">IFERROR(VALUE(RIGHT($A1792,2)),"")</f>
        <v>7</v>
      </c>
      <c r="D1792" s="17" t="n">
        <f aca="false">IFERROR(ROUNDUP($C1792/3,0),"")</f>
        <v>3</v>
      </c>
      <c r="E1792" s="11" t="str">
        <f aca="false">TRIM('수출입 실적(품목별)'!B1796)</f>
        <v>57</v>
      </c>
      <c r="F1792" s="11" t="str">
        <f aca="false">TRIM('수출입 실적(품목별)'!C1796)</f>
        <v>양탄자류와 그 밖의 방직용 섬유로 만든 바닥깔개</v>
      </c>
      <c r="G1792" s="18" t="n">
        <f aca="false">IFERROR(VALUE(SUBSTITUTE(TRIM('수출입 실적(품목별)'!D1796),",","")),"")</f>
        <v>680.7</v>
      </c>
      <c r="H1792" s="19" t="n">
        <f aca="false">IFERROR(VALUE(SUBSTITUTE(TRIM('수출입 실적(품목별)'!E1796),",","")),"")</f>
        <v>5734</v>
      </c>
      <c r="I1792" s="18" t="n">
        <f aca="false">IFERROR(VALUE(SUBSTITUTE(TRIM('수출입 실적(품목별)'!F1796),",","")),"")</f>
        <v>5003.1</v>
      </c>
      <c r="J1792" s="19" t="n">
        <f aca="false">IFERROR(VALUE(SUBSTITUTE(TRIM('수출입 실적(품목별)'!G1796),",","")),"")</f>
        <v>10440</v>
      </c>
      <c r="K1792" s="19" t="n">
        <f aca="false">IFERROR(VALUE(SUBSTITUTE(TRIM('수출입 실적(품목별)'!H1796),",","")),"")</f>
        <v>-4706</v>
      </c>
    </row>
    <row r="1793" customFormat="false" ht="15" hidden="false" customHeight="true" outlineLevel="0" collapsed="false">
      <c r="A1793" s="11" t="str">
        <f aca="false">TRIM('수출입 실적(품목별)'!A1797)</f>
        <v>2025.07</v>
      </c>
      <c r="B1793" s="17" t="n">
        <f aca="false">IFERROR(VALUE(LEFT($A1793,4)),"")</f>
        <v>2025</v>
      </c>
      <c r="C1793" s="17" t="n">
        <f aca="false">IFERROR(VALUE(RIGHT($A1793,2)),"")</f>
        <v>7</v>
      </c>
      <c r="D1793" s="17" t="n">
        <f aca="false">IFERROR(ROUNDUP($C1793/3,0),"")</f>
        <v>3</v>
      </c>
      <c r="E1793" s="11" t="str">
        <f aca="false">TRIM('수출입 실적(품목별)'!B1797)</f>
        <v>58</v>
      </c>
      <c r="F1793" s="11" t="str">
        <f aca="false">TRIM('수출입 실적(품목별)'!C1797)</f>
        <v>특수직물, 터프트(tuft)한 직물, 레이스, 태피스트리(tapestry), 트리밍(trimming), 자수천</v>
      </c>
      <c r="G1793" s="18" t="n">
        <f aca="false">IFERROR(VALUE(SUBSTITUTE(TRIM('수출입 실적(품목별)'!D1797),",","")),"")</f>
        <v>1153.8</v>
      </c>
      <c r="H1793" s="19" t="n">
        <f aca="false">IFERROR(VALUE(SUBSTITUTE(TRIM('수출입 실적(품목별)'!E1797),",","")),"")</f>
        <v>13882</v>
      </c>
      <c r="I1793" s="18" t="n">
        <f aca="false">IFERROR(VALUE(SUBSTITUTE(TRIM('수출입 실적(품목별)'!F1797),",","")),"")</f>
        <v>893.5</v>
      </c>
      <c r="J1793" s="19" t="n">
        <f aca="false">IFERROR(VALUE(SUBSTITUTE(TRIM('수출입 실적(품목별)'!G1797),",","")),"")</f>
        <v>6979</v>
      </c>
      <c r="K1793" s="19" t="n">
        <f aca="false">IFERROR(VALUE(SUBSTITUTE(TRIM('수출입 실적(품목별)'!H1797),",","")),"")</f>
        <v>6903</v>
      </c>
    </row>
    <row r="1794" customFormat="false" ht="15" hidden="false" customHeight="true" outlineLevel="0" collapsed="false">
      <c r="A1794" s="11" t="str">
        <f aca="false">TRIM('수출입 실적(품목별)'!A1798)</f>
        <v>2025.07</v>
      </c>
      <c r="B1794" s="17" t="n">
        <f aca="false">IFERROR(VALUE(LEFT($A1794,4)),"")</f>
        <v>2025</v>
      </c>
      <c r="C1794" s="17" t="n">
        <f aca="false">IFERROR(VALUE(RIGHT($A1794,2)),"")</f>
        <v>7</v>
      </c>
      <c r="D1794" s="17" t="n">
        <f aca="false">IFERROR(ROUNDUP($C1794/3,0),"")</f>
        <v>3</v>
      </c>
      <c r="E1794" s="11" t="str">
        <f aca="false">TRIM('수출입 실적(품목별)'!B1798)</f>
        <v>59</v>
      </c>
      <c r="F1794" s="11" t="str">
        <f aca="false">TRIM('수출입 실적(품목별)'!C1798)</f>
        <v>침투ㆍ도포ㆍ피복하거나 적층한 방직용 섬유의 직물, 공업용인 방직용 섬유제품</v>
      </c>
      <c r="G1794" s="18" t="n">
        <f aca="false">IFERROR(VALUE(SUBSTITUTE(TRIM('수출입 실적(품목별)'!D1798),",","")),"")</f>
        <v>9412.7</v>
      </c>
      <c r="H1794" s="19" t="n">
        <f aca="false">IFERROR(VALUE(SUBSTITUTE(TRIM('수출입 실적(품목별)'!E1798),",","")),"")</f>
        <v>103472</v>
      </c>
      <c r="I1794" s="18" t="n">
        <f aca="false">IFERROR(VALUE(SUBSTITUTE(TRIM('수출입 실적(품목별)'!F1798),",","")),"")</f>
        <v>6584.7</v>
      </c>
      <c r="J1794" s="19" t="n">
        <f aca="false">IFERROR(VALUE(SUBSTITUTE(TRIM('수출입 실적(품목별)'!G1798),",","")),"")</f>
        <v>38347</v>
      </c>
      <c r="K1794" s="19" t="n">
        <f aca="false">IFERROR(VALUE(SUBSTITUTE(TRIM('수출입 실적(품목별)'!H1798),",","")),"")</f>
        <v>65125</v>
      </c>
    </row>
    <row r="1795" customFormat="false" ht="15" hidden="false" customHeight="true" outlineLevel="0" collapsed="false">
      <c r="A1795" s="11" t="str">
        <f aca="false">TRIM('수출입 실적(품목별)'!A1799)</f>
        <v>2025.07</v>
      </c>
      <c r="B1795" s="17" t="n">
        <f aca="false">IFERROR(VALUE(LEFT($A1795,4)),"")</f>
        <v>2025</v>
      </c>
      <c r="C1795" s="17" t="n">
        <f aca="false">IFERROR(VALUE(RIGHT($A1795,2)),"")</f>
        <v>7</v>
      </c>
      <c r="D1795" s="17" t="n">
        <f aca="false">IFERROR(ROUNDUP($C1795/3,0),"")</f>
        <v>3</v>
      </c>
      <c r="E1795" s="11" t="str">
        <f aca="false">TRIM('수출입 실적(품목별)'!B1799)</f>
        <v>60</v>
      </c>
      <c r="F1795" s="11" t="str">
        <f aca="false">TRIM('수출입 실적(품목별)'!C1799)</f>
        <v>메리야스 편물과 뜨개질 편물</v>
      </c>
      <c r="G1795" s="18" t="n">
        <f aca="false">IFERROR(VALUE(SUBSTITUTE(TRIM('수출입 실적(품목별)'!D1799),",","")),"")</f>
        <v>16662.3</v>
      </c>
      <c r="H1795" s="19" t="n">
        <f aca="false">IFERROR(VALUE(SUBSTITUTE(TRIM('수출입 실적(품목별)'!E1799),",","")),"")</f>
        <v>124239</v>
      </c>
      <c r="I1795" s="18" t="n">
        <f aca="false">IFERROR(VALUE(SUBSTITUTE(TRIM('수출입 실적(품목별)'!F1799),",","")),"")</f>
        <v>1958.3</v>
      </c>
      <c r="J1795" s="19" t="n">
        <f aca="false">IFERROR(VALUE(SUBSTITUTE(TRIM('수출입 실적(품목별)'!G1799),",","")),"")</f>
        <v>9924</v>
      </c>
      <c r="K1795" s="19" t="n">
        <f aca="false">IFERROR(VALUE(SUBSTITUTE(TRIM('수출입 실적(품목별)'!H1799),",","")),"")</f>
        <v>114315</v>
      </c>
    </row>
    <row r="1796" customFormat="false" ht="15" hidden="false" customHeight="true" outlineLevel="0" collapsed="false">
      <c r="A1796" s="11" t="str">
        <f aca="false">TRIM('수출입 실적(품목별)'!A1800)</f>
        <v>2025.07</v>
      </c>
      <c r="B1796" s="17" t="n">
        <f aca="false">IFERROR(VALUE(LEFT($A1796,4)),"")</f>
        <v>2025</v>
      </c>
      <c r="C1796" s="17" t="n">
        <f aca="false">IFERROR(VALUE(RIGHT($A1796,2)),"")</f>
        <v>7</v>
      </c>
      <c r="D1796" s="17" t="n">
        <f aca="false">IFERROR(ROUNDUP($C1796/3,0),"")</f>
        <v>3</v>
      </c>
      <c r="E1796" s="11" t="str">
        <f aca="false">TRIM('수출입 실적(품목별)'!B1800)</f>
        <v>61</v>
      </c>
      <c r="F1796" s="11" t="str">
        <f aca="false">TRIM('수출입 실적(품목별)'!C1800)</f>
        <v>의류와 그 부속품(메리야스 편물이나 뜨개질 편물로 한정한다)</v>
      </c>
      <c r="G1796" s="18" t="n">
        <f aca="false">IFERROR(VALUE(SUBSTITUTE(TRIM('수출입 실적(품목별)'!D1800),",","")),"")</f>
        <v>2480.9</v>
      </c>
      <c r="H1796" s="19" t="n">
        <f aca="false">IFERROR(VALUE(SUBSTITUTE(TRIM('수출입 실적(품목별)'!E1800),",","")),"")</f>
        <v>77746</v>
      </c>
      <c r="I1796" s="18" t="n">
        <f aca="false">IFERROR(VALUE(SUBSTITUTE(TRIM('수출입 실적(품목별)'!F1800),",","")),"")</f>
        <v>19430.8</v>
      </c>
      <c r="J1796" s="19" t="n">
        <f aca="false">IFERROR(VALUE(SUBSTITUTE(TRIM('수출입 실적(품목별)'!G1800),",","")),"")</f>
        <v>409205</v>
      </c>
      <c r="K1796" s="19" t="n">
        <f aca="false">IFERROR(VALUE(SUBSTITUTE(TRIM('수출입 실적(품목별)'!H1800),",","")),"")</f>
        <v>-331459</v>
      </c>
    </row>
    <row r="1797" customFormat="false" ht="15" hidden="false" customHeight="true" outlineLevel="0" collapsed="false">
      <c r="A1797" s="11" t="str">
        <f aca="false">TRIM('수출입 실적(품목별)'!A1801)</f>
        <v>2025.07</v>
      </c>
      <c r="B1797" s="17" t="n">
        <f aca="false">IFERROR(VALUE(LEFT($A1797,4)),"")</f>
        <v>2025</v>
      </c>
      <c r="C1797" s="17" t="n">
        <f aca="false">IFERROR(VALUE(RIGHT($A1797,2)),"")</f>
        <v>7</v>
      </c>
      <c r="D1797" s="17" t="n">
        <f aca="false">IFERROR(ROUNDUP($C1797/3,0),"")</f>
        <v>3</v>
      </c>
      <c r="E1797" s="11" t="str">
        <f aca="false">TRIM('수출입 실적(품목별)'!B1801)</f>
        <v>62</v>
      </c>
      <c r="F1797" s="11" t="str">
        <f aca="false">TRIM('수출입 실적(품목별)'!C1801)</f>
        <v>의류와 그 부속품(메리야스 편물이나 뜨개질편물은 제외한다)</v>
      </c>
      <c r="G1797" s="18" t="n">
        <f aca="false">IFERROR(VALUE(SUBSTITUTE(TRIM('수출입 실적(품목별)'!D1801),",","")),"")</f>
        <v>2534.1</v>
      </c>
      <c r="H1797" s="19" t="n">
        <f aca="false">IFERROR(VALUE(SUBSTITUTE(TRIM('수출입 실적(품목별)'!E1801),",","")),"")</f>
        <v>65402</v>
      </c>
      <c r="I1797" s="18" t="n">
        <f aca="false">IFERROR(VALUE(SUBSTITUTE(TRIM('수출입 실적(품목별)'!F1801),",","")),"")</f>
        <v>18695.8</v>
      </c>
      <c r="J1797" s="19" t="n">
        <f aca="false">IFERROR(VALUE(SUBSTITUTE(TRIM('수출입 실적(품목별)'!G1801),",","")),"")</f>
        <v>588070</v>
      </c>
      <c r="K1797" s="19" t="n">
        <f aca="false">IFERROR(VALUE(SUBSTITUTE(TRIM('수출입 실적(품목별)'!H1801),",","")),"")</f>
        <v>-522668</v>
      </c>
    </row>
    <row r="1798" customFormat="false" ht="15" hidden="false" customHeight="true" outlineLevel="0" collapsed="false">
      <c r="A1798" s="11" t="str">
        <f aca="false">TRIM('수출입 실적(품목별)'!A1802)</f>
        <v>2025.07</v>
      </c>
      <c r="B1798" s="17" t="n">
        <f aca="false">IFERROR(VALUE(LEFT($A1798,4)),"")</f>
        <v>2025</v>
      </c>
      <c r="C1798" s="17" t="n">
        <f aca="false">IFERROR(VALUE(RIGHT($A1798,2)),"")</f>
        <v>7</v>
      </c>
      <c r="D1798" s="17" t="n">
        <f aca="false">IFERROR(ROUNDUP($C1798/3,0),"")</f>
        <v>3</v>
      </c>
      <c r="E1798" s="11" t="str">
        <f aca="false">TRIM('수출입 실적(품목별)'!B1802)</f>
        <v>63</v>
      </c>
      <c r="F1798" s="11" t="str">
        <f aca="false">TRIM('수출입 실적(품목별)'!C1802)</f>
        <v>제품으로 된 방직용 섬유의 그 밖의 물품, 세트, 사용하던 의류ㆍ방직용 섬유제품, 넝마</v>
      </c>
      <c r="G1798" s="18" t="n">
        <f aca="false">IFERROR(VALUE(SUBSTITUTE(TRIM('수출입 실적(품목별)'!D1802),",","")),"")</f>
        <v>31781.6</v>
      </c>
      <c r="H1798" s="19" t="n">
        <f aca="false">IFERROR(VALUE(SUBSTITUTE(TRIM('수출입 실적(품목별)'!E1802),",","")),"")</f>
        <v>57568</v>
      </c>
      <c r="I1798" s="18" t="n">
        <f aca="false">IFERROR(VALUE(SUBSTITUTE(TRIM('수출입 실적(품목별)'!F1802),",","")),"")</f>
        <v>28356.5</v>
      </c>
      <c r="J1798" s="19" t="n">
        <f aca="false">IFERROR(VALUE(SUBSTITUTE(TRIM('수출입 실적(품목별)'!G1802),",","")),"")</f>
        <v>125530</v>
      </c>
      <c r="K1798" s="19" t="n">
        <f aca="false">IFERROR(VALUE(SUBSTITUTE(TRIM('수출입 실적(품목별)'!H1802),",","")),"")</f>
        <v>-67962</v>
      </c>
    </row>
    <row r="1799" customFormat="false" ht="15" hidden="false" customHeight="true" outlineLevel="0" collapsed="false">
      <c r="A1799" s="11" t="str">
        <f aca="false">TRIM('수출입 실적(품목별)'!A1803)</f>
        <v>2025.07</v>
      </c>
      <c r="B1799" s="17" t="n">
        <f aca="false">IFERROR(VALUE(LEFT($A1799,4)),"")</f>
        <v>2025</v>
      </c>
      <c r="C1799" s="17" t="n">
        <f aca="false">IFERROR(VALUE(RIGHT($A1799,2)),"")</f>
        <v>7</v>
      </c>
      <c r="D1799" s="17" t="n">
        <f aca="false">IFERROR(ROUNDUP($C1799/3,0),"")</f>
        <v>3</v>
      </c>
      <c r="E1799" s="11" t="str">
        <f aca="false">TRIM('수출입 실적(품목별)'!B1803)</f>
        <v>64</v>
      </c>
      <c r="F1799" s="11" t="str">
        <f aca="false">TRIM('수출입 실적(품목별)'!C1803)</f>
        <v>신발류ㆍ각반과 이와 유사한 것, 이들의 부분품</v>
      </c>
      <c r="G1799" s="18" t="n">
        <f aca="false">IFERROR(VALUE(SUBSTITUTE(TRIM('수출입 실적(품목별)'!D1803),",","")),"")</f>
        <v>1302.9</v>
      </c>
      <c r="H1799" s="19" t="n">
        <f aca="false">IFERROR(VALUE(SUBSTITUTE(TRIM('수출입 실적(품목별)'!E1803),",","")),"")</f>
        <v>29703</v>
      </c>
      <c r="I1799" s="18" t="n">
        <f aca="false">IFERROR(VALUE(SUBSTITUTE(TRIM('수출입 실적(품목별)'!F1803),",","")),"")</f>
        <v>10960.8</v>
      </c>
      <c r="J1799" s="19" t="n">
        <f aca="false">IFERROR(VALUE(SUBSTITUTE(TRIM('수출입 실적(품목별)'!G1803),",","")),"")</f>
        <v>317861</v>
      </c>
      <c r="K1799" s="19" t="n">
        <f aca="false">IFERROR(VALUE(SUBSTITUTE(TRIM('수출입 실적(품목별)'!H1803),",","")),"")</f>
        <v>-288158</v>
      </c>
    </row>
    <row r="1800" customFormat="false" ht="15" hidden="false" customHeight="true" outlineLevel="0" collapsed="false">
      <c r="A1800" s="11" t="str">
        <f aca="false">TRIM('수출입 실적(품목별)'!A1804)</f>
        <v>2025.07</v>
      </c>
      <c r="B1800" s="17" t="n">
        <f aca="false">IFERROR(VALUE(LEFT($A1800,4)),"")</f>
        <v>2025</v>
      </c>
      <c r="C1800" s="17" t="n">
        <f aca="false">IFERROR(VALUE(RIGHT($A1800,2)),"")</f>
        <v>7</v>
      </c>
      <c r="D1800" s="17" t="n">
        <f aca="false">IFERROR(ROUNDUP($C1800/3,0),"")</f>
        <v>3</v>
      </c>
      <c r="E1800" s="11" t="str">
        <f aca="false">TRIM('수출입 실적(품목별)'!B1804)</f>
        <v>65</v>
      </c>
      <c r="F1800" s="11" t="str">
        <f aca="false">TRIM('수출입 실적(품목별)'!C1804)</f>
        <v>모자류와 그 부분품</v>
      </c>
      <c r="G1800" s="18" t="n">
        <f aca="false">IFERROR(VALUE(SUBSTITUTE(TRIM('수출입 실적(품목별)'!D1804),",","")),"")</f>
        <v>249.3</v>
      </c>
      <c r="H1800" s="19" t="n">
        <f aca="false">IFERROR(VALUE(SUBSTITUTE(TRIM('수출입 실적(품목별)'!E1804),",","")),"")</f>
        <v>10452</v>
      </c>
      <c r="I1800" s="18" t="n">
        <f aca="false">IFERROR(VALUE(SUBSTITUTE(TRIM('수출입 실적(품목별)'!F1804),",","")),"")</f>
        <v>954.3</v>
      </c>
      <c r="J1800" s="19" t="n">
        <f aca="false">IFERROR(VALUE(SUBSTITUTE(TRIM('수출입 실적(품목별)'!G1804),",","")),"")</f>
        <v>27099</v>
      </c>
      <c r="K1800" s="19" t="n">
        <f aca="false">IFERROR(VALUE(SUBSTITUTE(TRIM('수출입 실적(품목별)'!H1804),",","")),"")</f>
        <v>-16647</v>
      </c>
    </row>
    <row r="1801" customFormat="false" ht="15" hidden="false" customHeight="true" outlineLevel="0" collapsed="false">
      <c r="A1801" s="11" t="str">
        <f aca="false">TRIM('수출입 실적(품목별)'!A1805)</f>
        <v>2025.07</v>
      </c>
      <c r="B1801" s="17" t="n">
        <f aca="false">IFERROR(VALUE(LEFT($A1801,4)),"")</f>
        <v>2025</v>
      </c>
      <c r="C1801" s="17" t="n">
        <f aca="false">IFERROR(VALUE(RIGHT($A1801,2)),"")</f>
        <v>7</v>
      </c>
      <c r="D1801" s="17" t="n">
        <f aca="false">IFERROR(ROUNDUP($C1801/3,0),"")</f>
        <v>3</v>
      </c>
      <c r="E1801" s="11" t="str">
        <f aca="false">TRIM('수출입 실적(품목별)'!B1805)</f>
        <v>66</v>
      </c>
      <c r="F1801" s="11" t="str">
        <f aca="false">TRIM('수출입 실적(품목별)'!C1805)</f>
        <v>산류(傘類)ㆍ지팡이ㆍ시트스틱(seat-stick)ㆍ채찍ㆍ승마용 채찍과 이들의 부분품</v>
      </c>
      <c r="G1801" s="18" t="n">
        <f aca="false">IFERROR(VALUE(SUBSTITUTE(TRIM('수출입 실적(품목별)'!D1805),",","")),"")</f>
        <v>14.9</v>
      </c>
      <c r="H1801" s="19" t="n">
        <f aca="false">IFERROR(VALUE(SUBSTITUTE(TRIM('수출입 실적(품목별)'!E1805),",","")),"")</f>
        <v>358</v>
      </c>
      <c r="I1801" s="18" t="n">
        <f aca="false">IFERROR(VALUE(SUBSTITUTE(TRIM('수출입 실적(품목별)'!F1805),",","")),"")</f>
        <v>2507.7</v>
      </c>
      <c r="J1801" s="19" t="n">
        <f aca="false">IFERROR(VALUE(SUBSTITUTE(TRIM('수출입 실적(품목별)'!G1805),",","")),"")</f>
        <v>17205</v>
      </c>
      <c r="K1801" s="19" t="n">
        <f aca="false">IFERROR(VALUE(SUBSTITUTE(TRIM('수출입 실적(품목별)'!H1805),",","")),"")</f>
        <v>-16847</v>
      </c>
    </row>
    <row r="1802" customFormat="false" ht="15" hidden="false" customHeight="true" outlineLevel="0" collapsed="false">
      <c r="A1802" s="11" t="str">
        <f aca="false">TRIM('수출입 실적(품목별)'!A1806)</f>
        <v>2025.07</v>
      </c>
      <c r="B1802" s="17" t="n">
        <f aca="false">IFERROR(VALUE(LEFT($A1802,4)),"")</f>
        <v>2025</v>
      </c>
      <c r="C1802" s="17" t="n">
        <f aca="false">IFERROR(VALUE(RIGHT($A1802,2)),"")</f>
        <v>7</v>
      </c>
      <c r="D1802" s="17" t="n">
        <f aca="false">IFERROR(ROUNDUP($C1802/3,0),"")</f>
        <v>3</v>
      </c>
      <c r="E1802" s="11" t="str">
        <f aca="false">TRIM('수출입 실적(품목별)'!B1806)</f>
        <v>67</v>
      </c>
      <c r="F1802" s="11" t="str">
        <f aca="false">TRIM('수출입 실적(품목별)'!C1806)</f>
        <v>조제 깃털ㆍ솜털과 그 제품, 조화, 사람 머리카락으로 된 제품</v>
      </c>
      <c r="G1802" s="18" t="n">
        <f aca="false">IFERROR(VALUE(SUBSTITUTE(TRIM('수출입 실적(품목별)'!D1806),",","")),"")</f>
        <v>14.4</v>
      </c>
      <c r="H1802" s="19" t="n">
        <f aca="false">IFERROR(VALUE(SUBSTITUTE(TRIM('수출입 실적(품목별)'!E1806),",","")),"")</f>
        <v>1670</v>
      </c>
      <c r="I1802" s="18" t="n">
        <f aca="false">IFERROR(VALUE(SUBSTITUTE(TRIM('수출입 실적(품목별)'!F1806),",","")),"")</f>
        <v>428.4</v>
      </c>
      <c r="J1802" s="19" t="n">
        <f aca="false">IFERROR(VALUE(SUBSTITUTE(TRIM('수출입 실적(품목별)'!G1806),",","")),"")</f>
        <v>7572</v>
      </c>
      <c r="K1802" s="19" t="n">
        <f aca="false">IFERROR(VALUE(SUBSTITUTE(TRIM('수출입 실적(품목별)'!H1806),",","")),"")</f>
        <v>-5902</v>
      </c>
    </row>
    <row r="1803" customFormat="false" ht="15" hidden="false" customHeight="true" outlineLevel="0" collapsed="false">
      <c r="A1803" s="11" t="str">
        <f aca="false">TRIM('수출입 실적(품목별)'!A1807)</f>
        <v>2025.07</v>
      </c>
      <c r="B1803" s="17" t="n">
        <f aca="false">IFERROR(VALUE(LEFT($A1803,4)),"")</f>
        <v>2025</v>
      </c>
      <c r="C1803" s="17" t="n">
        <f aca="false">IFERROR(VALUE(RIGHT($A1803,2)),"")</f>
        <v>7</v>
      </c>
      <c r="D1803" s="17" t="n">
        <f aca="false">IFERROR(ROUNDUP($C1803/3,0),"")</f>
        <v>3</v>
      </c>
      <c r="E1803" s="11" t="str">
        <f aca="false">TRIM('수출입 실적(품목별)'!B1807)</f>
        <v>68</v>
      </c>
      <c r="F1803" s="11" t="str">
        <f aca="false">TRIM('수출입 실적(품목별)'!C1807)</f>
        <v>돌ㆍ플라스터(plaster)ㆍ시멘트ㆍ석면ㆍ운모나 이와 유사한 재료의 제품</v>
      </c>
      <c r="G1803" s="18" t="n">
        <f aca="false">IFERROR(VALUE(SUBSTITUTE(TRIM('수출입 실적(품목별)'!D1807),",","")),"")</f>
        <v>10284.1</v>
      </c>
      <c r="H1803" s="19" t="n">
        <f aca="false">IFERROR(VALUE(SUBSTITUTE(TRIM('수출입 실적(품목별)'!E1807),",","")),"")</f>
        <v>76083</v>
      </c>
      <c r="I1803" s="18" t="n">
        <f aca="false">IFERROR(VALUE(SUBSTITUTE(TRIM('수출입 실적(품목별)'!F1807),",","")),"")</f>
        <v>187095</v>
      </c>
      <c r="J1803" s="19" t="n">
        <f aca="false">IFERROR(VALUE(SUBSTITUTE(TRIM('수출입 실적(품목별)'!G1807),",","")),"")</f>
        <v>110462</v>
      </c>
      <c r="K1803" s="19" t="n">
        <f aca="false">IFERROR(VALUE(SUBSTITUTE(TRIM('수출입 실적(품목별)'!H1807),",","")),"")</f>
        <v>-34379</v>
      </c>
    </row>
    <row r="1804" customFormat="false" ht="15" hidden="false" customHeight="true" outlineLevel="0" collapsed="false">
      <c r="A1804" s="11" t="str">
        <f aca="false">TRIM('수출입 실적(품목별)'!A1808)</f>
        <v>2025.07</v>
      </c>
      <c r="B1804" s="17" t="n">
        <f aca="false">IFERROR(VALUE(LEFT($A1804,4)),"")</f>
        <v>2025</v>
      </c>
      <c r="C1804" s="17" t="n">
        <f aca="false">IFERROR(VALUE(RIGHT($A1804,2)),"")</f>
        <v>7</v>
      </c>
      <c r="D1804" s="17" t="n">
        <f aca="false">IFERROR(ROUNDUP($C1804/3,0),"")</f>
        <v>3</v>
      </c>
      <c r="E1804" s="11" t="str">
        <f aca="false">TRIM('수출입 실적(품목별)'!B1808)</f>
        <v>69</v>
      </c>
      <c r="F1804" s="11" t="str">
        <f aca="false">TRIM('수출입 실적(품목별)'!C1808)</f>
        <v>도자제품</v>
      </c>
      <c r="G1804" s="18" t="n">
        <f aca="false">IFERROR(VALUE(SUBSTITUTE(TRIM('수출입 실적(품목별)'!D1808),",","")),"")</f>
        <v>3277.3</v>
      </c>
      <c r="H1804" s="19" t="n">
        <f aca="false">IFERROR(VALUE(SUBSTITUTE(TRIM('수출입 실적(품목별)'!E1808),",","")),"")</f>
        <v>33421</v>
      </c>
      <c r="I1804" s="18" t="n">
        <f aca="false">IFERROR(VALUE(SUBSTITUTE(TRIM('수출입 실적(품목별)'!F1808),",","")),"")</f>
        <v>135160.6</v>
      </c>
      <c r="J1804" s="19" t="n">
        <f aca="false">IFERROR(VALUE(SUBSTITUTE(TRIM('수출입 실적(품목별)'!G1808),",","")),"")</f>
        <v>139047</v>
      </c>
      <c r="K1804" s="19" t="n">
        <f aca="false">IFERROR(VALUE(SUBSTITUTE(TRIM('수출입 실적(품목별)'!H1808),",","")),"")</f>
        <v>-105627</v>
      </c>
    </row>
    <row r="1805" customFormat="false" ht="15" hidden="false" customHeight="true" outlineLevel="0" collapsed="false">
      <c r="A1805" s="11" t="str">
        <f aca="false">TRIM('수출입 실적(품목별)'!A1809)</f>
        <v>2025.07</v>
      </c>
      <c r="B1805" s="17" t="n">
        <f aca="false">IFERROR(VALUE(LEFT($A1805,4)),"")</f>
        <v>2025</v>
      </c>
      <c r="C1805" s="17" t="n">
        <f aca="false">IFERROR(VALUE(RIGHT($A1805,2)),"")</f>
        <v>7</v>
      </c>
      <c r="D1805" s="17" t="n">
        <f aca="false">IFERROR(ROUNDUP($C1805/3,0),"")</f>
        <v>3</v>
      </c>
      <c r="E1805" s="11" t="str">
        <f aca="false">TRIM('수출입 실적(품목별)'!B1809)</f>
        <v>70</v>
      </c>
      <c r="F1805" s="11" t="str">
        <f aca="false">TRIM('수출입 실적(품목별)'!C1809)</f>
        <v>유리와 유리제품</v>
      </c>
      <c r="G1805" s="18" t="n">
        <f aca="false">IFERROR(VALUE(SUBSTITUTE(TRIM('수출입 실적(품목별)'!D1809),",","")),"")</f>
        <v>30683.6</v>
      </c>
      <c r="H1805" s="19" t="n">
        <f aca="false">IFERROR(VALUE(SUBSTITUTE(TRIM('수출입 실적(품목별)'!E1809),",","")),"")</f>
        <v>176588</v>
      </c>
      <c r="I1805" s="18" t="n">
        <f aca="false">IFERROR(VALUE(SUBSTITUTE(TRIM('수출입 실적(품목별)'!F1809),",","")),"")</f>
        <v>91645.8</v>
      </c>
      <c r="J1805" s="19" t="n">
        <f aca="false">IFERROR(VALUE(SUBSTITUTE(TRIM('수출입 실적(품목별)'!G1809),",","")),"")</f>
        <v>240563</v>
      </c>
      <c r="K1805" s="19" t="n">
        <f aca="false">IFERROR(VALUE(SUBSTITUTE(TRIM('수출입 실적(품목별)'!H1809),",","")),"")</f>
        <v>-63976</v>
      </c>
    </row>
    <row r="1806" customFormat="false" ht="15" hidden="false" customHeight="true" outlineLevel="0" collapsed="false">
      <c r="A1806" s="11" t="str">
        <f aca="false">TRIM('수출입 실적(품목별)'!A1810)</f>
        <v>2025.07</v>
      </c>
      <c r="B1806" s="17" t="n">
        <f aca="false">IFERROR(VALUE(LEFT($A1806,4)),"")</f>
        <v>2025</v>
      </c>
      <c r="C1806" s="17" t="n">
        <f aca="false">IFERROR(VALUE(RIGHT($A1806,2)),"")</f>
        <v>7</v>
      </c>
      <c r="D1806" s="17" t="n">
        <f aca="false">IFERROR(ROUNDUP($C1806/3,0),"")</f>
        <v>3</v>
      </c>
      <c r="E1806" s="11" t="str">
        <f aca="false">TRIM('수출입 실적(품목별)'!B1810)</f>
        <v>71</v>
      </c>
      <c r="F1806" s="11" t="str">
        <f aca="false">TRIM('수출입 실적(품목별)'!C1810)</f>
        <v>천연진주ㆍ양식진주ㆍ귀석ㆍ반귀석ㆍ귀금속ㆍ귀금속을 입힌 금속과 이들의 제품, 모조 신변장식용품, 주화</v>
      </c>
      <c r="G1806" s="18" t="n">
        <f aca="false">IFERROR(VALUE(SUBSTITUTE(TRIM('수출입 실적(품목별)'!D1810),",","")),"")</f>
        <v>926.7</v>
      </c>
      <c r="H1806" s="19" t="n">
        <f aca="false">IFERROR(VALUE(SUBSTITUTE(TRIM('수출입 실적(품목별)'!E1810),",","")),"")</f>
        <v>649964</v>
      </c>
      <c r="I1806" s="18" t="n">
        <f aca="false">IFERROR(VALUE(SUBSTITUTE(TRIM('수출입 실적(품목별)'!F1810),",","")),"")</f>
        <v>1465.3</v>
      </c>
      <c r="J1806" s="19" t="n">
        <f aca="false">IFERROR(VALUE(SUBSTITUTE(TRIM('수출입 실적(품목별)'!G1810),",","")),"")</f>
        <v>696269</v>
      </c>
      <c r="K1806" s="19" t="n">
        <f aca="false">IFERROR(VALUE(SUBSTITUTE(TRIM('수출입 실적(품목별)'!H1810),",","")),"")</f>
        <v>-46306</v>
      </c>
    </row>
    <row r="1807" customFormat="false" ht="15" hidden="false" customHeight="true" outlineLevel="0" collapsed="false">
      <c r="A1807" s="11" t="str">
        <f aca="false">TRIM('수출입 실적(품목별)'!A1811)</f>
        <v>2025.07</v>
      </c>
      <c r="B1807" s="17" t="n">
        <f aca="false">IFERROR(VALUE(LEFT($A1807,4)),"")</f>
        <v>2025</v>
      </c>
      <c r="C1807" s="17" t="n">
        <f aca="false">IFERROR(VALUE(RIGHT($A1807,2)),"")</f>
        <v>7</v>
      </c>
      <c r="D1807" s="17" t="n">
        <f aca="false">IFERROR(ROUNDUP($C1807/3,0),"")</f>
        <v>3</v>
      </c>
      <c r="E1807" s="11" t="str">
        <f aca="false">TRIM('수출입 실적(품목별)'!B1811)</f>
        <v>72</v>
      </c>
      <c r="F1807" s="11" t="str">
        <f aca="false">TRIM('수출입 실적(품목별)'!C1811)</f>
        <v>철강</v>
      </c>
      <c r="G1807" s="18" t="n">
        <f aca="false">IFERROR(VALUE(SUBSTITUTE(TRIM('수출입 실적(품목별)'!D1811),",","")),"")</f>
        <v>2341344.6</v>
      </c>
      <c r="H1807" s="19" t="n">
        <f aca="false">IFERROR(VALUE(SUBSTITUTE(TRIM('수출입 실적(품목별)'!E1811),",","")),"")</f>
        <v>2076452</v>
      </c>
      <c r="I1807" s="18" t="n">
        <f aca="false">IFERROR(VALUE(SUBSTITUTE(TRIM('수출입 실적(품목별)'!F1811),",","")),"")</f>
        <v>1564144.1</v>
      </c>
      <c r="J1807" s="19" t="n">
        <f aca="false">IFERROR(VALUE(SUBSTITUTE(TRIM('수출입 실적(품목별)'!G1811),",","")),"")</f>
        <v>1132563</v>
      </c>
      <c r="K1807" s="19" t="n">
        <f aca="false">IFERROR(VALUE(SUBSTITUTE(TRIM('수출입 실적(품목별)'!H1811),",","")),"")</f>
        <v>943890</v>
      </c>
    </row>
    <row r="1808" customFormat="false" ht="15" hidden="false" customHeight="true" outlineLevel="0" collapsed="false">
      <c r="A1808" s="11" t="str">
        <f aca="false">TRIM('수출입 실적(품목별)'!A1812)</f>
        <v>2025.07</v>
      </c>
      <c r="B1808" s="17" t="n">
        <f aca="false">IFERROR(VALUE(LEFT($A1808,4)),"")</f>
        <v>2025</v>
      </c>
      <c r="C1808" s="17" t="n">
        <f aca="false">IFERROR(VALUE(RIGHT($A1808,2)),"")</f>
        <v>7</v>
      </c>
      <c r="D1808" s="17" t="n">
        <f aca="false">IFERROR(ROUNDUP($C1808/3,0),"")</f>
        <v>3</v>
      </c>
      <c r="E1808" s="11" t="str">
        <f aca="false">TRIM('수출입 실적(품목별)'!B1812)</f>
        <v>73</v>
      </c>
      <c r="F1808" s="11" t="str">
        <f aca="false">TRIM('수출입 실적(품목별)'!C1812)</f>
        <v>철강의 제품</v>
      </c>
      <c r="G1808" s="18" t="n">
        <f aca="false">IFERROR(VALUE(SUBSTITUTE(TRIM('수출입 실적(품목별)'!D1812),",","")),"")</f>
        <v>264213</v>
      </c>
      <c r="H1808" s="19" t="n">
        <f aca="false">IFERROR(VALUE(SUBSTITUTE(TRIM('수출입 실적(품목별)'!E1812),",","")),"")</f>
        <v>771359</v>
      </c>
      <c r="I1808" s="18" t="n">
        <f aca="false">IFERROR(VALUE(SUBSTITUTE(TRIM('수출입 실적(품목별)'!F1812),",","")),"")</f>
        <v>232326.7</v>
      </c>
      <c r="J1808" s="19" t="n">
        <f aca="false">IFERROR(VALUE(SUBSTITUTE(TRIM('수출입 실적(품목별)'!G1812),",","")),"")</f>
        <v>651279</v>
      </c>
      <c r="K1808" s="19" t="n">
        <f aca="false">IFERROR(VALUE(SUBSTITUTE(TRIM('수출입 실적(품목별)'!H1812),",","")),"")</f>
        <v>120080</v>
      </c>
    </row>
    <row r="1809" customFormat="false" ht="15" hidden="false" customHeight="true" outlineLevel="0" collapsed="false">
      <c r="A1809" s="11" t="str">
        <f aca="false">TRIM('수출입 실적(품목별)'!A1813)</f>
        <v>2025.07</v>
      </c>
      <c r="B1809" s="17" t="n">
        <f aca="false">IFERROR(VALUE(LEFT($A1809,4)),"")</f>
        <v>2025</v>
      </c>
      <c r="C1809" s="17" t="n">
        <f aca="false">IFERROR(VALUE(RIGHT($A1809,2)),"")</f>
        <v>7</v>
      </c>
      <c r="D1809" s="17" t="n">
        <f aca="false">IFERROR(ROUNDUP($C1809/3,0),"")</f>
        <v>3</v>
      </c>
      <c r="E1809" s="11" t="str">
        <f aca="false">TRIM('수출입 실적(품목별)'!B1813)</f>
        <v>74</v>
      </c>
      <c r="F1809" s="11" t="str">
        <f aca="false">TRIM('수출입 실적(품목별)'!C1813)</f>
        <v>구리와 그 제품</v>
      </c>
      <c r="G1809" s="18" t="n">
        <f aca="false">IFERROR(VALUE(SUBSTITUTE(TRIM('수출입 실적(품목별)'!D1813),",","")),"")</f>
        <v>64526</v>
      </c>
      <c r="H1809" s="19" t="n">
        <f aca="false">IFERROR(VALUE(SUBSTITUTE(TRIM('수출입 실적(품목별)'!E1813),",","")),"")</f>
        <v>656623</v>
      </c>
      <c r="I1809" s="18" t="n">
        <f aca="false">IFERROR(VALUE(SUBSTITUTE(TRIM('수출입 실적(품목별)'!F1813),",","")),"")</f>
        <v>79162.8</v>
      </c>
      <c r="J1809" s="19" t="n">
        <f aca="false">IFERROR(VALUE(SUBSTITUTE(TRIM('수출입 실적(품목별)'!G1813),",","")),"")</f>
        <v>806953</v>
      </c>
      <c r="K1809" s="19" t="n">
        <f aca="false">IFERROR(VALUE(SUBSTITUTE(TRIM('수출입 실적(품목별)'!H1813),",","")),"")</f>
        <v>-150330</v>
      </c>
    </row>
    <row r="1810" customFormat="false" ht="15" hidden="false" customHeight="true" outlineLevel="0" collapsed="false">
      <c r="A1810" s="11" t="str">
        <f aca="false">TRIM('수출입 실적(품목별)'!A1814)</f>
        <v>2025.07</v>
      </c>
      <c r="B1810" s="17" t="n">
        <f aca="false">IFERROR(VALUE(LEFT($A1810,4)),"")</f>
        <v>2025</v>
      </c>
      <c r="C1810" s="17" t="n">
        <f aca="false">IFERROR(VALUE(RIGHT($A1810,2)),"")</f>
        <v>7</v>
      </c>
      <c r="D1810" s="17" t="n">
        <f aca="false">IFERROR(ROUNDUP($C1810/3,0),"")</f>
        <v>3</v>
      </c>
      <c r="E1810" s="11" t="str">
        <f aca="false">TRIM('수출입 실적(품목별)'!B1814)</f>
        <v>75</v>
      </c>
      <c r="F1810" s="11" t="str">
        <f aca="false">TRIM('수출입 실적(품목별)'!C1814)</f>
        <v>니켈과 그 제품</v>
      </c>
      <c r="G1810" s="18" t="n">
        <f aca="false">IFERROR(VALUE(SUBSTITUTE(TRIM('수출입 실적(품목별)'!D1814),",","")),"")</f>
        <v>1185.6</v>
      </c>
      <c r="H1810" s="19" t="n">
        <f aca="false">IFERROR(VALUE(SUBSTITUTE(TRIM('수출입 실적(품목별)'!E1814),",","")),"")</f>
        <v>20973</v>
      </c>
      <c r="I1810" s="18" t="n">
        <f aca="false">IFERROR(VALUE(SUBSTITUTE(TRIM('수출입 실적(품목별)'!F1814),",","")),"")</f>
        <v>6010</v>
      </c>
      <c r="J1810" s="19" t="n">
        <f aca="false">IFERROR(VALUE(SUBSTITUTE(TRIM('수출입 실적(품목별)'!G1814),",","")),"")</f>
        <v>133997</v>
      </c>
      <c r="K1810" s="19" t="n">
        <f aca="false">IFERROR(VALUE(SUBSTITUTE(TRIM('수출입 실적(품목별)'!H1814),",","")),"")</f>
        <v>-113024</v>
      </c>
    </row>
    <row r="1811" customFormat="false" ht="15" hidden="false" customHeight="true" outlineLevel="0" collapsed="false">
      <c r="A1811" s="11" t="str">
        <f aca="false">TRIM('수출입 실적(품목별)'!A1815)</f>
        <v>2025.07</v>
      </c>
      <c r="B1811" s="17" t="n">
        <f aca="false">IFERROR(VALUE(LEFT($A1811,4)),"")</f>
        <v>2025</v>
      </c>
      <c r="C1811" s="17" t="n">
        <f aca="false">IFERROR(VALUE(RIGHT($A1811,2)),"")</f>
        <v>7</v>
      </c>
      <c r="D1811" s="17" t="n">
        <f aca="false">IFERROR(ROUNDUP($C1811/3,0),"")</f>
        <v>3</v>
      </c>
      <c r="E1811" s="11" t="str">
        <f aca="false">TRIM('수출입 실적(품목별)'!B1815)</f>
        <v>76</v>
      </c>
      <c r="F1811" s="11" t="str">
        <f aca="false">TRIM('수출입 실적(품목별)'!C1815)</f>
        <v>알루미늄과 그 제품</v>
      </c>
      <c r="G1811" s="18" t="n">
        <f aca="false">IFERROR(VALUE(SUBSTITUTE(TRIM('수출입 실적(품목별)'!D1815),",","")),"")</f>
        <v>115330.6</v>
      </c>
      <c r="H1811" s="19" t="n">
        <f aca="false">IFERROR(VALUE(SUBSTITUTE(TRIM('수출입 실적(품목별)'!E1815),",","")),"")</f>
        <v>473777</v>
      </c>
      <c r="I1811" s="18" t="n">
        <f aca="false">IFERROR(VALUE(SUBSTITUTE(TRIM('수출입 실적(품목별)'!F1815),",","")),"")</f>
        <v>254077.6</v>
      </c>
      <c r="J1811" s="19" t="n">
        <f aca="false">IFERROR(VALUE(SUBSTITUTE(TRIM('수출입 실적(품목별)'!G1815),",","")),"")</f>
        <v>771743</v>
      </c>
      <c r="K1811" s="19" t="n">
        <f aca="false">IFERROR(VALUE(SUBSTITUTE(TRIM('수출입 실적(품목별)'!H1815),",","")),"")</f>
        <v>-297966</v>
      </c>
    </row>
    <row r="1812" customFormat="false" ht="15" hidden="false" customHeight="true" outlineLevel="0" collapsed="false">
      <c r="A1812" s="11" t="str">
        <f aca="false">TRIM('수출입 실적(품목별)'!A1816)</f>
        <v>2025.07</v>
      </c>
      <c r="B1812" s="17" t="n">
        <f aca="false">IFERROR(VALUE(LEFT($A1812,4)),"")</f>
        <v>2025</v>
      </c>
      <c r="C1812" s="17" t="n">
        <f aca="false">IFERROR(VALUE(RIGHT($A1812,2)),"")</f>
        <v>7</v>
      </c>
      <c r="D1812" s="17" t="n">
        <f aca="false">IFERROR(ROUNDUP($C1812/3,0),"")</f>
        <v>3</v>
      </c>
      <c r="E1812" s="11" t="str">
        <f aca="false">TRIM('수출입 실적(품목별)'!B1816)</f>
        <v>78</v>
      </c>
      <c r="F1812" s="11" t="str">
        <f aca="false">TRIM('수출입 실적(품목별)'!C1816)</f>
        <v>납과 그 제품</v>
      </c>
      <c r="G1812" s="18" t="n">
        <f aca="false">IFERROR(VALUE(SUBSTITUTE(TRIM('수출입 실적(품목별)'!D1816),",","")),"")</f>
        <v>28091.7</v>
      </c>
      <c r="H1812" s="19" t="n">
        <f aca="false">IFERROR(VALUE(SUBSTITUTE(TRIM('수출입 실적(품목별)'!E1816),",","")),"")</f>
        <v>63075</v>
      </c>
      <c r="I1812" s="18" t="n">
        <f aca="false">IFERROR(VALUE(SUBSTITUTE(TRIM('수출입 실적(품목별)'!F1816),",","")),"")</f>
        <v>14701.9</v>
      </c>
      <c r="J1812" s="19" t="n">
        <f aca="false">IFERROR(VALUE(SUBSTITUTE(TRIM('수출입 실적(품목별)'!G1816),",","")),"")</f>
        <v>33076</v>
      </c>
      <c r="K1812" s="19" t="n">
        <f aca="false">IFERROR(VALUE(SUBSTITUTE(TRIM('수출입 실적(품목별)'!H1816),",","")),"")</f>
        <v>29999</v>
      </c>
    </row>
    <row r="1813" customFormat="false" ht="15" hidden="false" customHeight="true" outlineLevel="0" collapsed="false">
      <c r="A1813" s="11" t="str">
        <f aca="false">TRIM('수출입 실적(품목별)'!A1817)</f>
        <v>2025.07</v>
      </c>
      <c r="B1813" s="17" t="n">
        <f aca="false">IFERROR(VALUE(LEFT($A1813,4)),"")</f>
        <v>2025</v>
      </c>
      <c r="C1813" s="17" t="n">
        <f aca="false">IFERROR(VALUE(RIGHT($A1813,2)),"")</f>
        <v>7</v>
      </c>
      <c r="D1813" s="17" t="n">
        <f aca="false">IFERROR(ROUNDUP($C1813/3,0),"")</f>
        <v>3</v>
      </c>
      <c r="E1813" s="11" t="str">
        <f aca="false">TRIM('수출입 실적(품목별)'!B1817)</f>
        <v>79</v>
      </c>
      <c r="F1813" s="11" t="str">
        <f aca="false">TRIM('수출입 실적(품목별)'!C1817)</f>
        <v>아연과 그 제품</v>
      </c>
      <c r="G1813" s="18" t="n">
        <f aca="false">IFERROR(VALUE(SUBSTITUTE(TRIM('수출입 실적(품목별)'!D1817),",","")),"")</f>
        <v>47053.2</v>
      </c>
      <c r="H1813" s="19" t="n">
        <f aca="false">IFERROR(VALUE(SUBSTITUTE(TRIM('수출입 실적(품목별)'!E1817),",","")),"")</f>
        <v>136441</v>
      </c>
      <c r="I1813" s="18" t="n">
        <f aca="false">IFERROR(VALUE(SUBSTITUTE(TRIM('수출입 실적(품목별)'!F1817),",","")),"")</f>
        <v>2344</v>
      </c>
      <c r="J1813" s="19" t="n">
        <f aca="false">IFERROR(VALUE(SUBSTITUTE(TRIM('수출입 실적(품목별)'!G1817),",","")),"")</f>
        <v>8201</v>
      </c>
      <c r="K1813" s="19" t="n">
        <f aca="false">IFERROR(VALUE(SUBSTITUTE(TRIM('수출입 실적(품목별)'!H1817),",","")),"")</f>
        <v>128240</v>
      </c>
    </row>
    <row r="1814" customFormat="false" ht="15" hidden="false" customHeight="true" outlineLevel="0" collapsed="false">
      <c r="A1814" s="11" t="str">
        <f aca="false">TRIM('수출입 실적(품목별)'!A1818)</f>
        <v>2025.07</v>
      </c>
      <c r="B1814" s="17" t="n">
        <f aca="false">IFERROR(VALUE(LEFT($A1814,4)),"")</f>
        <v>2025</v>
      </c>
      <c r="C1814" s="17" t="n">
        <f aca="false">IFERROR(VALUE(RIGHT($A1814,2)),"")</f>
        <v>7</v>
      </c>
      <c r="D1814" s="17" t="n">
        <f aca="false">IFERROR(ROUNDUP($C1814/3,0),"")</f>
        <v>3</v>
      </c>
      <c r="E1814" s="11" t="str">
        <f aca="false">TRIM('수출입 실적(품목별)'!B1818)</f>
        <v>80</v>
      </c>
      <c r="F1814" s="11" t="str">
        <f aca="false">TRIM('수출입 실적(품목별)'!C1818)</f>
        <v>주석과 그 제품</v>
      </c>
      <c r="G1814" s="18" t="n">
        <f aca="false">IFERROR(VALUE(SUBSTITUTE(TRIM('수출입 실적(품목별)'!D1818),",","")),"")</f>
        <v>188.7</v>
      </c>
      <c r="H1814" s="19" t="n">
        <f aca="false">IFERROR(VALUE(SUBSTITUTE(TRIM('수출입 실적(품목별)'!E1818),",","")),"")</f>
        <v>9374</v>
      </c>
      <c r="I1814" s="18" t="n">
        <f aca="false">IFERROR(VALUE(SUBSTITUTE(TRIM('수출입 실적(품목별)'!F1818),",","")),"")</f>
        <v>1408.3</v>
      </c>
      <c r="J1814" s="19" t="n">
        <f aca="false">IFERROR(VALUE(SUBSTITUTE(TRIM('수출입 실적(품목별)'!G1818),",","")),"")</f>
        <v>51710</v>
      </c>
      <c r="K1814" s="19" t="n">
        <f aca="false">IFERROR(VALUE(SUBSTITUTE(TRIM('수출입 실적(품목별)'!H1818),",","")),"")</f>
        <v>-42337</v>
      </c>
    </row>
    <row r="1815" customFormat="false" ht="15" hidden="false" customHeight="true" outlineLevel="0" collapsed="false">
      <c r="A1815" s="11" t="str">
        <f aca="false">TRIM('수출입 실적(품목별)'!A1819)</f>
        <v>2025.07</v>
      </c>
      <c r="B1815" s="17" t="n">
        <f aca="false">IFERROR(VALUE(LEFT($A1815,4)),"")</f>
        <v>2025</v>
      </c>
      <c r="C1815" s="17" t="n">
        <f aca="false">IFERROR(VALUE(RIGHT($A1815,2)),"")</f>
        <v>7</v>
      </c>
      <c r="D1815" s="17" t="n">
        <f aca="false">IFERROR(ROUNDUP($C1815/3,0),"")</f>
        <v>3</v>
      </c>
      <c r="E1815" s="11" t="str">
        <f aca="false">TRIM('수출입 실적(품목별)'!B1819)</f>
        <v>81</v>
      </c>
      <c r="F1815" s="11" t="str">
        <f aca="false">TRIM('수출입 실적(품목별)'!C1819)</f>
        <v>그 밖의 비금속(卑金屬), 서멧(cermet), 이들의 제품</v>
      </c>
      <c r="G1815" s="18" t="n">
        <f aca="false">IFERROR(VALUE(SUBSTITUTE(TRIM('수출입 실적(품목별)'!D1819),",","")),"")</f>
        <v>2515</v>
      </c>
      <c r="H1815" s="19" t="n">
        <f aca="false">IFERROR(VALUE(SUBSTITUTE(TRIM('수출입 실적(품목별)'!E1819),",","")),"")</f>
        <v>42910</v>
      </c>
      <c r="I1815" s="18" t="n">
        <f aca="false">IFERROR(VALUE(SUBSTITUTE(TRIM('수출입 실적(품목별)'!F1819),",","")),"")</f>
        <v>18681.1</v>
      </c>
      <c r="J1815" s="19" t="n">
        <f aca="false">IFERROR(VALUE(SUBSTITUTE(TRIM('수출입 실적(품목별)'!G1819),",","")),"")</f>
        <v>144520</v>
      </c>
      <c r="K1815" s="19" t="n">
        <f aca="false">IFERROR(VALUE(SUBSTITUTE(TRIM('수출입 실적(품목별)'!H1819),",","")),"")</f>
        <v>-101610</v>
      </c>
    </row>
    <row r="1816" customFormat="false" ht="15" hidden="false" customHeight="true" outlineLevel="0" collapsed="false">
      <c r="A1816" s="11" t="str">
        <f aca="false">TRIM('수출입 실적(품목별)'!A1820)</f>
        <v>2025.07</v>
      </c>
      <c r="B1816" s="17" t="n">
        <f aca="false">IFERROR(VALUE(LEFT($A1816,4)),"")</f>
        <v>2025</v>
      </c>
      <c r="C1816" s="17" t="n">
        <f aca="false">IFERROR(VALUE(RIGHT($A1816,2)),"")</f>
        <v>7</v>
      </c>
      <c r="D1816" s="17" t="n">
        <f aca="false">IFERROR(ROUNDUP($C1816/3,0),"")</f>
        <v>3</v>
      </c>
      <c r="E1816" s="11" t="str">
        <f aca="false">TRIM('수출입 실적(품목별)'!B1820)</f>
        <v>82</v>
      </c>
      <c r="F1816" s="11" t="str">
        <f aca="false">TRIM('수출입 실적(품목별)'!C1820)</f>
        <v>비금속(卑金屬)으로 만든 공구ㆍ도구ㆍ칼붙이ㆍ스푼ㆍ포크, 이들의 부분품</v>
      </c>
      <c r="G1816" s="18" t="n">
        <f aca="false">IFERROR(VALUE(SUBSTITUTE(TRIM('수출입 실적(품목별)'!D1820),",","")),"")</f>
        <v>9494.3</v>
      </c>
      <c r="H1816" s="19" t="n">
        <f aca="false">IFERROR(VALUE(SUBSTITUTE(TRIM('수출입 실적(품목별)'!E1820),",","")),"")</f>
        <v>195870</v>
      </c>
      <c r="I1816" s="18" t="n">
        <f aca="false">IFERROR(VALUE(SUBSTITUTE(TRIM('수출입 실적(품목별)'!F1820),",","")),"")</f>
        <v>4652.6</v>
      </c>
      <c r="J1816" s="19" t="n">
        <f aca="false">IFERROR(VALUE(SUBSTITUTE(TRIM('수출입 실적(품목별)'!G1820),",","")),"")</f>
        <v>85208</v>
      </c>
      <c r="K1816" s="19" t="n">
        <f aca="false">IFERROR(VALUE(SUBSTITUTE(TRIM('수출입 실적(품목별)'!H1820),",","")),"")</f>
        <v>110662</v>
      </c>
    </row>
    <row r="1817" customFormat="false" ht="15" hidden="false" customHeight="true" outlineLevel="0" collapsed="false">
      <c r="A1817" s="11" t="str">
        <f aca="false">TRIM('수출입 실적(품목별)'!A1821)</f>
        <v>2025.07</v>
      </c>
      <c r="B1817" s="17" t="n">
        <f aca="false">IFERROR(VALUE(LEFT($A1817,4)),"")</f>
        <v>2025</v>
      </c>
      <c r="C1817" s="17" t="n">
        <f aca="false">IFERROR(VALUE(RIGHT($A1817,2)),"")</f>
        <v>7</v>
      </c>
      <c r="D1817" s="17" t="n">
        <f aca="false">IFERROR(ROUNDUP($C1817/3,0),"")</f>
        <v>3</v>
      </c>
      <c r="E1817" s="11" t="str">
        <f aca="false">TRIM('수출입 실적(품목별)'!B1821)</f>
        <v>83</v>
      </c>
      <c r="F1817" s="11" t="str">
        <f aca="false">TRIM('수출입 실적(품목별)'!C1821)</f>
        <v>비금속(卑金屬)으로 만든 각종 제품</v>
      </c>
      <c r="G1817" s="18" t="n">
        <f aca="false">IFERROR(VALUE(SUBSTITUTE(TRIM('수출입 실적(품목별)'!D1821),",","")),"")</f>
        <v>26226.9</v>
      </c>
      <c r="H1817" s="19" t="n">
        <f aca="false">IFERROR(VALUE(SUBSTITUTE(TRIM('수출입 실적(품목별)'!E1821),",","")),"")</f>
        <v>156457</v>
      </c>
      <c r="I1817" s="18" t="n">
        <f aca="false">IFERROR(VALUE(SUBSTITUTE(TRIM('수출입 실적(품목별)'!F1821),",","")),"")</f>
        <v>10789.1</v>
      </c>
      <c r="J1817" s="19" t="n">
        <f aca="false">IFERROR(VALUE(SUBSTITUTE(TRIM('수출입 실적(품목별)'!G1821),",","")),"")</f>
        <v>82305</v>
      </c>
      <c r="K1817" s="19" t="n">
        <f aca="false">IFERROR(VALUE(SUBSTITUTE(TRIM('수출입 실적(품목별)'!H1821),",","")),"")</f>
        <v>74152</v>
      </c>
    </row>
    <row r="1818" customFormat="false" ht="15" hidden="false" customHeight="true" outlineLevel="0" collapsed="false">
      <c r="A1818" s="11" t="str">
        <f aca="false">TRIM('수출입 실적(품목별)'!A1822)</f>
        <v>2025.07</v>
      </c>
      <c r="B1818" s="17" t="n">
        <f aca="false">IFERROR(VALUE(LEFT($A1818,4)),"")</f>
        <v>2025</v>
      </c>
      <c r="C1818" s="17" t="n">
        <f aca="false">IFERROR(VALUE(RIGHT($A1818,2)),"")</f>
        <v>7</v>
      </c>
      <c r="D1818" s="17" t="n">
        <f aca="false">IFERROR(ROUNDUP($C1818/3,0),"")</f>
        <v>3</v>
      </c>
      <c r="E1818" s="11" t="str">
        <f aca="false">TRIM('수출입 실적(품목별)'!B1822)</f>
        <v>84</v>
      </c>
      <c r="F1818" s="11" t="str">
        <f aca="false">TRIM('수출입 실적(품목별)'!C1822)</f>
        <v>원자로ㆍ보일러ㆍ기계류와 이들의 부분품</v>
      </c>
      <c r="G1818" s="18" t="n">
        <f aca="false">IFERROR(VALUE(SUBSTITUTE(TRIM('수출입 실적(품목별)'!D1822),",","")),"")</f>
        <v>396924.2</v>
      </c>
      <c r="H1818" s="19" t="n">
        <f aca="false">IFERROR(VALUE(SUBSTITUTE(TRIM('수출입 실적(품목별)'!E1822),",","")),"")</f>
        <v>7485072</v>
      </c>
      <c r="I1818" s="18" t="n">
        <f aca="false">IFERROR(VALUE(SUBSTITUTE(TRIM('수출입 실적(품목별)'!F1822),",","")),"")</f>
        <v>240703.4</v>
      </c>
      <c r="J1818" s="19" t="n">
        <f aca="false">IFERROR(VALUE(SUBSTITUTE(TRIM('수출입 실적(품목별)'!G1822),",","")),"")</f>
        <v>6156235</v>
      </c>
      <c r="K1818" s="19" t="n">
        <f aca="false">IFERROR(VALUE(SUBSTITUTE(TRIM('수출입 실적(품목별)'!H1822),",","")),"")</f>
        <v>1328837</v>
      </c>
    </row>
    <row r="1819" customFormat="false" ht="15" hidden="false" customHeight="true" outlineLevel="0" collapsed="false">
      <c r="A1819" s="11" t="str">
        <f aca="false">TRIM('수출입 실적(품목별)'!A1823)</f>
        <v>2025.07</v>
      </c>
      <c r="B1819" s="17" t="n">
        <f aca="false">IFERROR(VALUE(LEFT($A1819,4)),"")</f>
        <v>2025</v>
      </c>
      <c r="C1819" s="17" t="n">
        <f aca="false">IFERROR(VALUE(RIGHT($A1819,2)),"")</f>
        <v>7</v>
      </c>
      <c r="D1819" s="17" t="n">
        <f aca="false">IFERROR(ROUNDUP($C1819/3,0),"")</f>
        <v>3</v>
      </c>
      <c r="E1819" s="11" t="str">
        <f aca="false">TRIM('수출입 실적(품목별)'!B1823)</f>
        <v>85</v>
      </c>
      <c r="F1819" s="11" t="str">
        <f aca="false">TRIM('수출입 실적(품목별)'!C1823)</f>
        <v>전기기기와 그 부분품, 녹음기ㆍ음성 재생기ㆍ텔레비전의 영상과 음성의 기록기ㆍ재생기와 이들의 부분품ㆍ부속품</v>
      </c>
      <c r="G1819" s="18" t="n">
        <f aca="false">IFERROR(VALUE(SUBSTITUTE(TRIM('수출입 실적(품목별)'!D1823),",","")),"")</f>
        <v>241668</v>
      </c>
      <c r="H1819" s="19" t="n">
        <f aca="false">IFERROR(VALUE(SUBSTITUTE(TRIM('수출입 실적(품목별)'!E1823),",","")),"")</f>
        <v>19989877</v>
      </c>
      <c r="I1819" s="18" t="n">
        <f aca="false">IFERROR(VALUE(SUBSTITUTE(TRIM('수출입 실적(품목별)'!F1823),",","")),"")</f>
        <v>209539.3</v>
      </c>
      <c r="J1819" s="19" t="n">
        <f aca="false">IFERROR(VALUE(SUBSTITUTE(TRIM('수출입 실적(품목별)'!G1823),",","")),"")</f>
        <v>11337591</v>
      </c>
      <c r="K1819" s="19" t="n">
        <f aca="false">IFERROR(VALUE(SUBSTITUTE(TRIM('수출입 실적(품목별)'!H1823),",","")),"")</f>
        <v>8652286</v>
      </c>
    </row>
    <row r="1820" customFormat="false" ht="15" hidden="false" customHeight="true" outlineLevel="0" collapsed="false">
      <c r="A1820" s="11" t="str">
        <f aca="false">TRIM('수출입 실적(품목별)'!A1824)</f>
        <v>2025.07</v>
      </c>
      <c r="B1820" s="17" t="n">
        <f aca="false">IFERROR(VALUE(LEFT($A1820,4)),"")</f>
        <v>2025</v>
      </c>
      <c r="C1820" s="17" t="n">
        <f aca="false">IFERROR(VALUE(RIGHT($A1820,2)),"")</f>
        <v>7</v>
      </c>
      <c r="D1820" s="17" t="n">
        <f aca="false">IFERROR(ROUNDUP($C1820/3,0),"")</f>
        <v>3</v>
      </c>
      <c r="E1820" s="11" t="str">
        <f aca="false">TRIM('수출입 실적(품목별)'!B1824)</f>
        <v>86</v>
      </c>
      <c r="F1820" s="11" t="str">
        <f aca="false">TRIM('수출입 실적(품목별)'!C1824)</f>
        <v>철도용이나 궤도용 기관차ㆍ차량과 이들의 부분품, 철도용이나 궤도용 장비품과 그 부분품, 기계식(전기기계식을 포함한다) 각종 교통신호용 기기</v>
      </c>
      <c r="G1820" s="18" t="n">
        <f aca="false">IFERROR(VALUE(SUBSTITUTE(TRIM('수출입 실적(품목별)'!D1824),",","")),"")</f>
        <v>11388</v>
      </c>
      <c r="H1820" s="19" t="n">
        <f aca="false">IFERROR(VALUE(SUBSTITUTE(TRIM('수출입 실적(품목별)'!E1824),",","")),"")</f>
        <v>21632</v>
      </c>
      <c r="I1820" s="18" t="n">
        <f aca="false">IFERROR(VALUE(SUBSTITUTE(TRIM('수출입 실적(품목별)'!F1824),",","")),"")</f>
        <v>10962.6</v>
      </c>
      <c r="J1820" s="19" t="n">
        <f aca="false">IFERROR(VALUE(SUBSTITUTE(TRIM('수출입 실적(품목별)'!G1824),",","")),"")</f>
        <v>53706</v>
      </c>
      <c r="K1820" s="19" t="n">
        <f aca="false">IFERROR(VALUE(SUBSTITUTE(TRIM('수출입 실적(품목별)'!H1824),",","")),"")</f>
        <v>-32075</v>
      </c>
    </row>
    <row r="1821" customFormat="false" ht="15" hidden="false" customHeight="true" outlineLevel="0" collapsed="false">
      <c r="A1821" s="11" t="str">
        <f aca="false">TRIM('수출입 실적(품목별)'!A1825)</f>
        <v>2025.07</v>
      </c>
      <c r="B1821" s="17" t="n">
        <f aca="false">IFERROR(VALUE(LEFT($A1821,4)),"")</f>
        <v>2025</v>
      </c>
      <c r="C1821" s="17" t="n">
        <f aca="false">IFERROR(VALUE(RIGHT($A1821,2)),"")</f>
        <v>7</v>
      </c>
      <c r="D1821" s="17" t="n">
        <f aca="false">IFERROR(ROUNDUP($C1821/3,0),"")</f>
        <v>3</v>
      </c>
      <c r="E1821" s="11" t="str">
        <f aca="false">TRIM('수출입 실적(품목별)'!B1825)</f>
        <v>87</v>
      </c>
      <c r="F1821" s="11" t="str">
        <f aca="false">TRIM('수출입 실적(품목별)'!C1825)</f>
        <v>철도용이나 궤도용 외의 차량과 그 부분품ㆍ부속품</v>
      </c>
      <c r="G1821" s="18" t="n">
        <f aca="false">IFERROR(VALUE(SUBSTITUTE(TRIM('수출입 실적(품목별)'!D1825),",","")),"")</f>
        <v>758026.6</v>
      </c>
      <c r="H1821" s="19" t="n">
        <f aca="false">IFERROR(VALUE(SUBSTITUTE(TRIM('수출입 실적(품목별)'!E1825),",","")),"")</f>
        <v>7697863</v>
      </c>
      <c r="I1821" s="18" t="n">
        <f aca="false">IFERROR(VALUE(SUBSTITUTE(TRIM('수출입 실적(품목별)'!F1825),",","")),"")</f>
        <v>117317.7</v>
      </c>
      <c r="J1821" s="19" t="n">
        <f aca="false">IFERROR(VALUE(SUBSTITUTE(TRIM('수출입 실적(품목별)'!G1825),",","")),"")</f>
        <v>1923188</v>
      </c>
      <c r="K1821" s="19" t="n">
        <f aca="false">IFERROR(VALUE(SUBSTITUTE(TRIM('수출입 실적(품목별)'!H1825),",","")),"")</f>
        <v>5774675</v>
      </c>
    </row>
    <row r="1822" customFormat="false" ht="15" hidden="false" customHeight="true" outlineLevel="0" collapsed="false">
      <c r="A1822" s="11" t="str">
        <f aca="false">TRIM('수출입 실적(품목별)'!A1826)</f>
        <v>2025.07</v>
      </c>
      <c r="B1822" s="17" t="n">
        <f aca="false">IFERROR(VALUE(LEFT($A1822,4)),"")</f>
        <v>2025</v>
      </c>
      <c r="C1822" s="17" t="n">
        <f aca="false">IFERROR(VALUE(RIGHT($A1822,2)),"")</f>
        <v>7</v>
      </c>
      <c r="D1822" s="17" t="n">
        <f aca="false">IFERROR(ROUNDUP($C1822/3,0),"")</f>
        <v>3</v>
      </c>
      <c r="E1822" s="11" t="str">
        <f aca="false">TRIM('수출입 실적(품목별)'!B1826)</f>
        <v>88</v>
      </c>
      <c r="F1822" s="11" t="str">
        <f aca="false">TRIM('수출입 실적(품목별)'!C1826)</f>
        <v>항공기와 우주선, 이들의 부분품</v>
      </c>
      <c r="G1822" s="18" t="n">
        <f aca="false">IFERROR(VALUE(SUBSTITUTE(TRIM('수출입 실적(품목별)'!D1826),",","")),"")</f>
        <v>582.6</v>
      </c>
      <c r="H1822" s="19" t="n">
        <f aca="false">IFERROR(VALUE(SUBSTITUTE(TRIM('수출입 실적(품목별)'!E1826),",","")),"")</f>
        <v>205007</v>
      </c>
      <c r="I1822" s="18" t="n">
        <f aca="false">IFERROR(VALUE(SUBSTITUTE(TRIM('수출입 실적(품목별)'!F1826),",","")),"")</f>
        <v>417.6</v>
      </c>
      <c r="J1822" s="19" t="n">
        <f aca="false">IFERROR(VALUE(SUBSTITUTE(TRIM('수출입 실적(품목별)'!G1826),",","")),"")</f>
        <v>406930</v>
      </c>
      <c r="K1822" s="19" t="n">
        <f aca="false">IFERROR(VALUE(SUBSTITUTE(TRIM('수출입 실적(품목별)'!H1826),",","")),"")</f>
        <v>-201923</v>
      </c>
    </row>
    <row r="1823" customFormat="false" ht="15" hidden="false" customHeight="true" outlineLevel="0" collapsed="false">
      <c r="A1823" s="11" t="str">
        <f aca="false">TRIM('수출입 실적(품목별)'!A1827)</f>
        <v>2025.07</v>
      </c>
      <c r="B1823" s="17" t="n">
        <f aca="false">IFERROR(VALUE(LEFT($A1823,4)),"")</f>
        <v>2025</v>
      </c>
      <c r="C1823" s="17" t="n">
        <f aca="false">IFERROR(VALUE(RIGHT($A1823,2)),"")</f>
        <v>7</v>
      </c>
      <c r="D1823" s="17" t="n">
        <f aca="false">IFERROR(ROUNDUP($C1823/3,0),"")</f>
        <v>3</v>
      </c>
      <c r="E1823" s="11" t="str">
        <f aca="false">TRIM('수출입 실적(품목별)'!B1827)</f>
        <v>89</v>
      </c>
      <c r="F1823" s="11" t="str">
        <f aca="false">TRIM('수출입 실적(품목별)'!C1827)</f>
        <v>선박과 수상 구조물</v>
      </c>
      <c r="G1823" s="18" t="n">
        <f aca="false">IFERROR(VALUE(SUBSTITUTE(TRIM('수출입 실적(품목별)'!D1827),",","")),"")</f>
        <v>813917.7</v>
      </c>
      <c r="H1823" s="19" t="n">
        <f aca="false">IFERROR(VALUE(SUBSTITUTE(TRIM('수출입 실적(품목별)'!E1827),",","")),"")</f>
        <v>2062824</v>
      </c>
      <c r="I1823" s="18" t="n">
        <f aca="false">IFERROR(VALUE(SUBSTITUTE(TRIM('수출입 실적(품목별)'!F1827),",","")),"")</f>
        <v>356512.4</v>
      </c>
      <c r="J1823" s="19" t="n">
        <f aca="false">IFERROR(VALUE(SUBSTITUTE(TRIM('수출입 실적(품목별)'!G1827),",","")),"")</f>
        <v>323186</v>
      </c>
      <c r="K1823" s="19" t="n">
        <f aca="false">IFERROR(VALUE(SUBSTITUTE(TRIM('수출입 실적(품목별)'!H1827),",","")),"")</f>
        <v>1739638</v>
      </c>
    </row>
    <row r="1824" customFormat="false" ht="15" hidden="false" customHeight="true" outlineLevel="0" collapsed="false">
      <c r="A1824" s="11" t="str">
        <f aca="false">TRIM('수출입 실적(품목별)'!A1828)</f>
        <v>2025.07</v>
      </c>
      <c r="B1824" s="17" t="n">
        <f aca="false">IFERROR(VALUE(LEFT($A1824,4)),"")</f>
        <v>2025</v>
      </c>
      <c r="C1824" s="17" t="n">
        <f aca="false">IFERROR(VALUE(RIGHT($A1824,2)),"")</f>
        <v>7</v>
      </c>
      <c r="D1824" s="17" t="n">
        <f aca="false">IFERROR(ROUNDUP($C1824/3,0),"")</f>
        <v>3</v>
      </c>
      <c r="E1824" s="11" t="str">
        <f aca="false">TRIM('수출입 실적(품목별)'!B1828)</f>
        <v>90</v>
      </c>
      <c r="F1824" s="11" t="str">
        <f aca="false">TRIM('수출입 실적(품목별)'!C1828)</f>
        <v>광학기기ㆍ사진용 기기ㆍ영화용 기기ㆍ측정기기ㆍ검사기기ㆍ정밀기기ㆍ의료용 기기, 이들의 부분품과 부속품</v>
      </c>
      <c r="G1824" s="18" t="n">
        <f aca="false">IFERROR(VALUE(SUBSTITUTE(TRIM('수출입 실적(품목별)'!D1828),",","")),"")</f>
        <v>16675</v>
      </c>
      <c r="H1824" s="19" t="n">
        <f aca="false">IFERROR(VALUE(SUBSTITUTE(TRIM('수출입 실적(품목별)'!E1828),",","")),"")</f>
        <v>1466284</v>
      </c>
      <c r="I1824" s="18" t="n">
        <f aca="false">IFERROR(VALUE(SUBSTITUTE(TRIM('수출입 실적(품목별)'!F1828),",","")),"")</f>
        <v>16231.8</v>
      </c>
      <c r="J1824" s="19" t="n">
        <f aca="false">IFERROR(VALUE(SUBSTITUTE(TRIM('수출입 실적(품목별)'!G1828),",","")),"")</f>
        <v>2101728</v>
      </c>
      <c r="K1824" s="19" t="n">
        <f aca="false">IFERROR(VALUE(SUBSTITUTE(TRIM('수출입 실적(품목별)'!H1828),",","")),"")</f>
        <v>-635444</v>
      </c>
    </row>
    <row r="1825" customFormat="false" ht="15" hidden="false" customHeight="true" outlineLevel="0" collapsed="false">
      <c r="A1825" s="11" t="str">
        <f aca="false">TRIM('수출입 실적(품목별)'!A1829)</f>
        <v>2025.07</v>
      </c>
      <c r="B1825" s="17" t="n">
        <f aca="false">IFERROR(VALUE(LEFT($A1825,4)),"")</f>
        <v>2025</v>
      </c>
      <c r="C1825" s="17" t="n">
        <f aca="false">IFERROR(VALUE(RIGHT($A1825,2)),"")</f>
        <v>7</v>
      </c>
      <c r="D1825" s="17" t="n">
        <f aca="false">IFERROR(ROUNDUP($C1825/3,0),"")</f>
        <v>3</v>
      </c>
      <c r="E1825" s="11" t="str">
        <f aca="false">TRIM('수출입 실적(품목별)'!B1829)</f>
        <v>91</v>
      </c>
      <c r="F1825" s="11" t="str">
        <f aca="false">TRIM('수출입 실적(품목별)'!C1829)</f>
        <v>시계와 그 부분품</v>
      </c>
      <c r="G1825" s="18" t="n">
        <f aca="false">IFERROR(VALUE(SUBSTITUTE(TRIM('수출입 실적(품목별)'!D1829),",","")),"")</f>
        <v>22.2</v>
      </c>
      <c r="H1825" s="19" t="n">
        <f aca="false">IFERROR(VALUE(SUBSTITUTE(TRIM('수출입 실적(품목별)'!E1829),",","")),"")</f>
        <v>20399</v>
      </c>
      <c r="I1825" s="18" t="n">
        <f aca="false">IFERROR(VALUE(SUBSTITUTE(TRIM('수출입 실적(품목별)'!F1829),",","")),"")</f>
        <v>267.4</v>
      </c>
      <c r="J1825" s="19" t="n">
        <f aca="false">IFERROR(VALUE(SUBSTITUTE(TRIM('수출입 실적(품목별)'!G1829),",","")),"")</f>
        <v>109858</v>
      </c>
      <c r="K1825" s="19" t="n">
        <f aca="false">IFERROR(VALUE(SUBSTITUTE(TRIM('수출입 실적(품목별)'!H1829),",","")),"")</f>
        <v>-89459</v>
      </c>
    </row>
    <row r="1826" customFormat="false" ht="15" hidden="false" customHeight="true" outlineLevel="0" collapsed="false">
      <c r="A1826" s="11" t="str">
        <f aca="false">TRIM('수출입 실적(품목별)'!A1830)</f>
        <v>2025.07</v>
      </c>
      <c r="B1826" s="17" t="n">
        <f aca="false">IFERROR(VALUE(LEFT($A1826,4)),"")</f>
        <v>2025</v>
      </c>
      <c r="C1826" s="17" t="n">
        <f aca="false">IFERROR(VALUE(RIGHT($A1826,2)),"")</f>
        <v>7</v>
      </c>
      <c r="D1826" s="17" t="n">
        <f aca="false">IFERROR(ROUNDUP($C1826/3,0),"")</f>
        <v>3</v>
      </c>
      <c r="E1826" s="11" t="str">
        <f aca="false">TRIM('수출입 실적(품목별)'!B1830)</f>
        <v>92</v>
      </c>
      <c r="F1826" s="11" t="str">
        <f aca="false">TRIM('수출입 실적(품목별)'!C1830)</f>
        <v>악기와 그 부분품과 부속품</v>
      </c>
      <c r="G1826" s="18" t="n">
        <f aca="false">IFERROR(VALUE(SUBSTITUTE(TRIM('수출입 실적(품목별)'!D1830),",","")),"")</f>
        <v>436.2</v>
      </c>
      <c r="H1826" s="19" t="n">
        <f aca="false">IFERROR(VALUE(SUBSTITUTE(TRIM('수출입 실적(품목별)'!E1830),",","")),"")</f>
        <v>10207</v>
      </c>
      <c r="I1826" s="18" t="n">
        <f aca="false">IFERROR(VALUE(SUBSTITUTE(TRIM('수출입 실적(품목별)'!F1830),",","")),"")</f>
        <v>611.4</v>
      </c>
      <c r="J1826" s="19" t="n">
        <f aca="false">IFERROR(VALUE(SUBSTITUTE(TRIM('수출입 실적(품목별)'!G1830),",","")),"")</f>
        <v>15727</v>
      </c>
      <c r="K1826" s="19" t="n">
        <f aca="false">IFERROR(VALUE(SUBSTITUTE(TRIM('수출입 실적(품목별)'!H1830),",","")),"")</f>
        <v>-5519</v>
      </c>
    </row>
    <row r="1827" customFormat="false" ht="15" hidden="false" customHeight="true" outlineLevel="0" collapsed="false">
      <c r="A1827" s="11" t="str">
        <f aca="false">TRIM('수출입 실적(품목별)'!A1831)</f>
        <v>2025.07</v>
      </c>
      <c r="B1827" s="17" t="n">
        <f aca="false">IFERROR(VALUE(LEFT($A1827,4)),"")</f>
        <v>2025</v>
      </c>
      <c r="C1827" s="17" t="n">
        <f aca="false">IFERROR(VALUE(RIGHT($A1827,2)),"")</f>
        <v>7</v>
      </c>
      <c r="D1827" s="17" t="n">
        <f aca="false">IFERROR(ROUNDUP($C1827/3,0),"")</f>
        <v>3</v>
      </c>
      <c r="E1827" s="11" t="str">
        <f aca="false">TRIM('수출입 실적(품목별)'!B1831)</f>
        <v>93</v>
      </c>
      <c r="F1827" s="11" t="str">
        <f aca="false">TRIM('수출입 실적(품목별)'!C1831)</f>
        <v>무기ㆍ총포탄과 이들의 부분품과 부속품</v>
      </c>
      <c r="G1827" s="18" t="n">
        <f aca="false">IFERROR(VALUE(SUBSTITUTE(TRIM('수출입 실적(품목별)'!D1831),",","")),"")</f>
        <v>2093.6</v>
      </c>
      <c r="H1827" s="19" t="n">
        <f aca="false">IFERROR(VALUE(SUBSTITUTE(TRIM('수출입 실적(품목별)'!E1831),",","")),"")</f>
        <v>226702</v>
      </c>
      <c r="I1827" s="18" t="n">
        <f aca="false">IFERROR(VALUE(SUBSTITUTE(TRIM('수출입 실적(품목별)'!F1831),",","")),"")</f>
        <v>79.7</v>
      </c>
      <c r="J1827" s="19" t="n">
        <f aca="false">IFERROR(VALUE(SUBSTITUTE(TRIM('수출입 실적(품목별)'!G1831),",","")),"")</f>
        <v>19659</v>
      </c>
      <c r="K1827" s="19" t="n">
        <f aca="false">IFERROR(VALUE(SUBSTITUTE(TRIM('수출입 실적(품목별)'!H1831),",","")),"")</f>
        <v>207043</v>
      </c>
    </row>
    <row r="1828" customFormat="false" ht="15" hidden="false" customHeight="true" outlineLevel="0" collapsed="false">
      <c r="A1828" s="11" t="str">
        <f aca="false">TRIM('수출입 실적(품목별)'!A1832)</f>
        <v>2025.07</v>
      </c>
      <c r="B1828" s="17" t="n">
        <f aca="false">IFERROR(VALUE(LEFT($A1828,4)),"")</f>
        <v>2025</v>
      </c>
      <c r="C1828" s="17" t="n">
        <f aca="false">IFERROR(VALUE(RIGHT($A1828,2)),"")</f>
        <v>7</v>
      </c>
      <c r="D1828" s="17" t="n">
        <f aca="false">IFERROR(ROUNDUP($C1828/3,0),"")</f>
        <v>3</v>
      </c>
      <c r="E1828" s="11" t="str">
        <f aca="false">TRIM('수출입 실적(품목별)'!B1832)</f>
        <v>94</v>
      </c>
      <c r="F1828" s="11" t="str">
        <f aca="false">TRIM('수출입 실적(품목별)'!C1832)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828" s="18" t="n">
        <f aca="false">IFERROR(VALUE(SUBSTITUTE(TRIM('수출입 실적(품목별)'!D1832),",","")),"")</f>
        <v>16551.5</v>
      </c>
      <c r="H1828" s="19" t="n">
        <f aca="false">IFERROR(VALUE(SUBSTITUTE(TRIM('수출입 실적(품목별)'!E1832),",","")),"")</f>
        <v>122496</v>
      </c>
      <c r="I1828" s="18" t="n">
        <f aca="false">IFERROR(VALUE(SUBSTITUTE(TRIM('수출입 실적(품목별)'!F1832),",","")),"")</f>
        <v>76371.6</v>
      </c>
      <c r="J1828" s="19" t="n">
        <f aca="false">IFERROR(VALUE(SUBSTITUTE(TRIM('수출입 실적(품목별)'!G1832),",","")),"")</f>
        <v>336882</v>
      </c>
      <c r="K1828" s="19" t="n">
        <f aca="false">IFERROR(VALUE(SUBSTITUTE(TRIM('수출입 실적(품목별)'!H1832),",","")),"")</f>
        <v>-214386</v>
      </c>
    </row>
    <row r="1829" customFormat="false" ht="15" hidden="false" customHeight="true" outlineLevel="0" collapsed="false">
      <c r="A1829" s="11" t="str">
        <f aca="false">TRIM('수출입 실적(품목별)'!A1833)</f>
        <v>2025.07</v>
      </c>
      <c r="B1829" s="17" t="n">
        <f aca="false">IFERROR(VALUE(LEFT($A1829,4)),"")</f>
        <v>2025</v>
      </c>
      <c r="C1829" s="17" t="n">
        <f aca="false">IFERROR(VALUE(RIGHT($A1829,2)),"")</f>
        <v>7</v>
      </c>
      <c r="D1829" s="17" t="n">
        <f aca="false">IFERROR(ROUNDUP($C1829/3,0),"")</f>
        <v>3</v>
      </c>
      <c r="E1829" s="11" t="str">
        <f aca="false">TRIM('수출입 실적(품목별)'!B1833)</f>
        <v>95</v>
      </c>
      <c r="F1829" s="11" t="str">
        <f aca="false">TRIM('수출입 실적(품목별)'!C1833)</f>
        <v>완구ㆍ게임용구ㆍ운동용구와 이들의 부분품과 부속품</v>
      </c>
      <c r="G1829" s="18" t="n">
        <f aca="false">IFERROR(VALUE(SUBSTITUTE(TRIM('수출입 실적(품목별)'!D1833),",","")),"")</f>
        <v>2357.1</v>
      </c>
      <c r="H1829" s="19" t="n">
        <f aca="false">IFERROR(VALUE(SUBSTITUTE(TRIM('수출입 실적(품목별)'!E1833),",","")),"")</f>
        <v>56166</v>
      </c>
      <c r="I1829" s="18" t="n">
        <f aca="false">IFERROR(VALUE(SUBSTITUTE(TRIM('수출입 실적(품목별)'!F1833),",","")),"")</f>
        <v>16803</v>
      </c>
      <c r="J1829" s="19" t="n">
        <f aca="false">IFERROR(VALUE(SUBSTITUTE(TRIM('수출입 실적(품목별)'!G1833),",","")),"")</f>
        <v>224436</v>
      </c>
      <c r="K1829" s="19" t="n">
        <f aca="false">IFERROR(VALUE(SUBSTITUTE(TRIM('수출입 실적(품목별)'!H1833),",","")),"")</f>
        <v>-168270</v>
      </c>
    </row>
    <row r="1830" customFormat="false" ht="15" hidden="false" customHeight="true" outlineLevel="0" collapsed="false">
      <c r="A1830" s="11" t="str">
        <f aca="false">TRIM('수출입 실적(품목별)'!A1834)</f>
        <v>2025.07</v>
      </c>
      <c r="B1830" s="17" t="n">
        <f aca="false">IFERROR(VALUE(LEFT($A1830,4)),"")</f>
        <v>2025</v>
      </c>
      <c r="C1830" s="17" t="n">
        <f aca="false">IFERROR(VALUE(RIGHT($A1830,2)),"")</f>
        <v>7</v>
      </c>
      <c r="D1830" s="17" t="n">
        <f aca="false">IFERROR(ROUNDUP($C1830/3,0),"")</f>
        <v>3</v>
      </c>
      <c r="E1830" s="11" t="str">
        <f aca="false">TRIM('수출입 실적(품목별)'!B1834)</f>
        <v>96</v>
      </c>
      <c r="F1830" s="11" t="str">
        <f aca="false">TRIM('수출입 실적(품목별)'!C1834)</f>
        <v>잡품</v>
      </c>
      <c r="G1830" s="18" t="n">
        <f aca="false">IFERROR(VALUE(SUBSTITUTE(TRIM('수출입 실적(품목별)'!D1834),",","")),"")</f>
        <v>2627.6</v>
      </c>
      <c r="H1830" s="19" t="n">
        <f aca="false">IFERROR(VALUE(SUBSTITUTE(TRIM('수출입 실적(품목별)'!E1834),",","")),"")</f>
        <v>42220</v>
      </c>
      <c r="I1830" s="18" t="n">
        <f aca="false">IFERROR(VALUE(SUBSTITUTE(TRIM('수출입 실적(품목별)'!F1834),",","")),"")</f>
        <v>11317.8</v>
      </c>
      <c r="J1830" s="19" t="n">
        <f aca="false">IFERROR(VALUE(SUBSTITUTE(TRIM('수출입 실적(품목별)'!G1834),",","")),"")</f>
        <v>92588</v>
      </c>
      <c r="K1830" s="19" t="n">
        <f aca="false">IFERROR(VALUE(SUBSTITUTE(TRIM('수출입 실적(품목별)'!H1834),",","")),"")</f>
        <v>-50368</v>
      </c>
    </row>
    <row r="1831" customFormat="false" ht="15" hidden="false" customHeight="true" outlineLevel="0" collapsed="false">
      <c r="A1831" s="11" t="str">
        <f aca="false">TRIM('수출입 실적(품목별)'!A1835)</f>
        <v>2025.07</v>
      </c>
      <c r="B1831" s="17" t="n">
        <f aca="false">IFERROR(VALUE(LEFT($A1831,4)),"")</f>
        <v>2025</v>
      </c>
      <c r="C1831" s="17" t="n">
        <f aca="false">IFERROR(VALUE(RIGHT($A1831,2)),"")</f>
        <v>7</v>
      </c>
      <c r="D1831" s="17" t="n">
        <f aca="false">IFERROR(ROUNDUP($C1831/3,0),"")</f>
        <v>3</v>
      </c>
      <c r="E1831" s="11" t="str">
        <f aca="false">TRIM('수출입 실적(품목별)'!B1835)</f>
        <v>97</v>
      </c>
      <c r="F1831" s="11" t="str">
        <f aca="false">TRIM('수출입 실적(품목별)'!C1835)</f>
        <v>예술품ㆍ수집품ㆍ골동품</v>
      </c>
      <c r="G1831" s="18" t="n">
        <f aca="false">IFERROR(VALUE(SUBSTITUTE(TRIM('수출입 실적(품목별)'!D1835),",","")),"")</f>
        <v>7.8</v>
      </c>
      <c r="H1831" s="19" t="n">
        <f aca="false">IFERROR(VALUE(SUBSTITUTE(TRIM('수출입 실적(품목별)'!E1835),",","")),"")</f>
        <v>36161</v>
      </c>
      <c r="I1831" s="18" t="n">
        <f aca="false">IFERROR(VALUE(SUBSTITUTE(TRIM('수출입 실적(품목별)'!F1835),",","")),"")</f>
        <v>28.5</v>
      </c>
      <c r="J1831" s="19" t="n">
        <f aca="false">IFERROR(VALUE(SUBSTITUTE(TRIM('수출입 실적(품목별)'!G1835),",","")),"")</f>
        <v>22456</v>
      </c>
      <c r="K1831" s="19" t="n">
        <f aca="false">IFERROR(VALUE(SUBSTITUTE(TRIM('수출입 실적(품목별)'!H1835),",","")),"")</f>
        <v>13705</v>
      </c>
    </row>
    <row r="1832" customFormat="false" ht="15" hidden="false" customHeight="true" outlineLevel="0" collapsed="false">
      <c r="A1832" s="11" t="str">
        <f aca="false">TRIM('수출입 실적(품목별)'!A1836)</f>
        <v>2025.08</v>
      </c>
      <c r="B1832" s="17" t="n">
        <f aca="false">IFERROR(VALUE(LEFT($A1832,4)),"")</f>
        <v>2025</v>
      </c>
      <c r="C1832" s="17" t="n">
        <f aca="false">IFERROR(VALUE(RIGHT($A1832,2)),"")</f>
        <v>8</v>
      </c>
      <c r="D1832" s="17" t="n">
        <f aca="false">IFERROR(ROUNDUP($C1832/3,0),"")</f>
        <v>3</v>
      </c>
      <c r="E1832" s="11" t="str">
        <f aca="false">TRIM('수출입 실적(품목별)'!B1836)</f>
        <v>01</v>
      </c>
      <c r="F1832" s="11" t="str">
        <f aca="false">TRIM('수출입 실적(품목별)'!C1836)</f>
        <v>살아 있는 동물</v>
      </c>
      <c r="G1832" s="18" t="n">
        <f aca="false">IFERROR(VALUE(SUBSTITUTE(TRIM('수출입 실적(품목별)'!D1836),",","")),"")</f>
        <v>1.8</v>
      </c>
      <c r="H1832" s="19" t="n">
        <f aca="false">IFERROR(VALUE(SUBSTITUTE(TRIM('수출입 실적(품목별)'!E1836),",","")),"")</f>
        <v>774</v>
      </c>
      <c r="I1832" s="18" t="n">
        <f aca="false">IFERROR(VALUE(SUBSTITUTE(TRIM('수출입 실적(품목별)'!F1836),",","")),"")</f>
        <v>60.3</v>
      </c>
      <c r="J1832" s="19" t="n">
        <f aca="false">IFERROR(VALUE(SUBSTITUTE(TRIM('수출입 실적(품목별)'!G1836),",","")),"")</f>
        <v>5954</v>
      </c>
      <c r="K1832" s="19" t="n">
        <f aca="false">IFERROR(VALUE(SUBSTITUTE(TRIM('수출입 실적(품목별)'!H1836),",","")),"")</f>
        <v>-5180</v>
      </c>
    </row>
    <row r="1833" customFormat="false" ht="15" hidden="false" customHeight="true" outlineLevel="0" collapsed="false">
      <c r="A1833" s="11" t="str">
        <f aca="false">TRIM('수출입 실적(품목별)'!A1837)</f>
        <v>2025.08</v>
      </c>
      <c r="B1833" s="17" t="n">
        <f aca="false">IFERROR(VALUE(LEFT($A1833,4)),"")</f>
        <v>2025</v>
      </c>
      <c r="C1833" s="17" t="n">
        <f aca="false">IFERROR(VALUE(RIGHT($A1833,2)),"")</f>
        <v>8</v>
      </c>
      <c r="D1833" s="17" t="n">
        <f aca="false">IFERROR(ROUNDUP($C1833/3,0),"")</f>
        <v>3</v>
      </c>
      <c r="E1833" s="11" t="str">
        <f aca="false">TRIM('수출입 실적(품목별)'!B1837)</f>
        <v>02</v>
      </c>
      <c r="F1833" s="11" t="str">
        <f aca="false">TRIM('수출입 실적(품목별)'!C1837)</f>
        <v>육과 식용 설육(屑肉)</v>
      </c>
      <c r="G1833" s="18" t="n">
        <f aca="false">IFERROR(VALUE(SUBSTITUTE(TRIM('수출입 실적(품목별)'!D1837),",","")),"")</f>
        <v>4313.9</v>
      </c>
      <c r="H1833" s="19" t="n">
        <f aca="false">IFERROR(VALUE(SUBSTITUTE(TRIM('수출입 실적(품목별)'!E1837),",","")),"")</f>
        <v>5772</v>
      </c>
      <c r="I1833" s="18" t="n">
        <f aca="false">IFERROR(VALUE(SUBSTITUTE(TRIM('수출입 실적(품목별)'!F1837),",","")),"")</f>
        <v>111368.4</v>
      </c>
      <c r="J1833" s="19" t="n">
        <f aca="false">IFERROR(VALUE(SUBSTITUTE(TRIM('수출입 실적(품목별)'!G1837),",","")),"")</f>
        <v>625686</v>
      </c>
      <c r="K1833" s="19" t="n">
        <f aca="false">IFERROR(VALUE(SUBSTITUTE(TRIM('수출입 실적(품목별)'!H1837),",","")),"")</f>
        <v>-619913</v>
      </c>
    </row>
    <row r="1834" customFormat="false" ht="15" hidden="false" customHeight="true" outlineLevel="0" collapsed="false">
      <c r="A1834" s="11" t="str">
        <f aca="false">TRIM('수출입 실적(품목별)'!A1838)</f>
        <v>2025.08</v>
      </c>
      <c r="B1834" s="17" t="n">
        <f aca="false">IFERROR(VALUE(LEFT($A1834,4)),"")</f>
        <v>2025</v>
      </c>
      <c r="C1834" s="17" t="n">
        <f aca="false">IFERROR(VALUE(RIGHT($A1834,2)),"")</f>
        <v>8</v>
      </c>
      <c r="D1834" s="17" t="n">
        <f aca="false">IFERROR(ROUNDUP($C1834/3,0),"")</f>
        <v>3</v>
      </c>
      <c r="E1834" s="11" t="str">
        <f aca="false">TRIM('수출입 실적(품목별)'!B1838)</f>
        <v>03</v>
      </c>
      <c r="F1834" s="11" t="str">
        <f aca="false">TRIM('수출입 실적(품목별)'!C1838)</f>
        <v>어류ㆍ갑각류ㆍ연체동물과 그 밖의 수생(水生) 무척추동물</v>
      </c>
      <c r="G1834" s="18" t="n">
        <f aca="false">IFERROR(VALUE(SUBSTITUTE(TRIM('수출입 실적(품목별)'!D1838),",","")),"")</f>
        <v>46029.4</v>
      </c>
      <c r="H1834" s="19" t="n">
        <f aca="false">IFERROR(VALUE(SUBSTITUTE(TRIM('수출입 실적(품목별)'!E1838),",","")),"")</f>
        <v>133294</v>
      </c>
      <c r="I1834" s="18" t="n">
        <f aca="false">IFERROR(VALUE(SUBSTITUTE(TRIM('수출입 실적(품목별)'!F1838),",","")),"")</f>
        <v>91555.5</v>
      </c>
      <c r="J1834" s="19" t="n">
        <f aca="false">IFERROR(VALUE(SUBSTITUTE(TRIM('수출입 실적(품목별)'!G1838),",","")),"")</f>
        <v>375269</v>
      </c>
      <c r="K1834" s="19" t="n">
        <f aca="false">IFERROR(VALUE(SUBSTITUTE(TRIM('수출입 실적(품목별)'!H1838),",","")),"")</f>
        <v>-241975</v>
      </c>
    </row>
    <row r="1835" customFormat="false" ht="15" hidden="false" customHeight="true" outlineLevel="0" collapsed="false">
      <c r="A1835" s="11" t="str">
        <f aca="false">TRIM('수출입 실적(품목별)'!A1839)</f>
        <v>2025.08</v>
      </c>
      <c r="B1835" s="17" t="n">
        <f aca="false">IFERROR(VALUE(LEFT($A1835,4)),"")</f>
        <v>2025</v>
      </c>
      <c r="C1835" s="17" t="n">
        <f aca="false">IFERROR(VALUE(RIGHT($A1835,2)),"")</f>
        <v>8</v>
      </c>
      <c r="D1835" s="17" t="n">
        <f aca="false">IFERROR(ROUNDUP($C1835/3,0),"")</f>
        <v>3</v>
      </c>
      <c r="E1835" s="11" t="str">
        <f aca="false">TRIM('수출입 실적(품목별)'!B1839)</f>
        <v>04</v>
      </c>
      <c r="F1835" s="11" t="str">
        <f aca="false">TRIM('수출입 실적(품목별)'!C1839)</f>
        <v>낙농품, 새의 알, 천연꿀, 다른 류로 분류되지 않은 식용인 동물성 생산품</v>
      </c>
      <c r="G1835" s="18" t="n">
        <f aca="false">IFERROR(VALUE(SUBSTITUTE(TRIM('수출입 실적(품목별)'!D1839),",","")),"")</f>
        <v>1992.7</v>
      </c>
      <c r="H1835" s="19" t="n">
        <f aca="false">IFERROR(VALUE(SUBSTITUTE(TRIM('수출입 실적(품목별)'!E1839),",","")),"")</f>
        <v>5207</v>
      </c>
      <c r="I1835" s="18" t="n">
        <f aca="false">IFERROR(VALUE(SUBSTITUTE(TRIM('수출입 실적(품목별)'!F1839),",","")),"")</f>
        <v>36365.6</v>
      </c>
      <c r="J1835" s="19" t="n">
        <f aca="false">IFERROR(VALUE(SUBSTITUTE(TRIM('수출입 실적(품목별)'!G1839),",","")),"")</f>
        <v>153760</v>
      </c>
      <c r="K1835" s="19" t="n">
        <f aca="false">IFERROR(VALUE(SUBSTITUTE(TRIM('수출입 실적(품목별)'!H1839),",","")),"")</f>
        <v>-148553</v>
      </c>
    </row>
    <row r="1836" customFormat="false" ht="15" hidden="false" customHeight="true" outlineLevel="0" collapsed="false">
      <c r="A1836" s="11" t="str">
        <f aca="false">TRIM('수출입 실적(품목별)'!A1840)</f>
        <v>2025.08</v>
      </c>
      <c r="B1836" s="17" t="n">
        <f aca="false">IFERROR(VALUE(LEFT($A1836,4)),"")</f>
        <v>2025</v>
      </c>
      <c r="C1836" s="17" t="n">
        <f aca="false">IFERROR(VALUE(RIGHT($A1836,2)),"")</f>
        <v>8</v>
      </c>
      <c r="D1836" s="17" t="n">
        <f aca="false">IFERROR(ROUNDUP($C1836/3,0),"")</f>
        <v>3</v>
      </c>
      <c r="E1836" s="11" t="str">
        <f aca="false">TRIM('수출입 실적(품목별)'!B1840)</f>
        <v>05</v>
      </c>
      <c r="F1836" s="11" t="str">
        <f aca="false">TRIM('수출입 실적(품목별)'!C1840)</f>
        <v>다른 류로 분류되지 않은 동물성 생산품</v>
      </c>
      <c r="G1836" s="18" t="n">
        <f aca="false">IFERROR(VALUE(SUBSTITUTE(TRIM('수출입 실적(품목별)'!D1840),",","")),"")</f>
        <v>3008.1</v>
      </c>
      <c r="H1836" s="19" t="n">
        <f aca="false">IFERROR(VALUE(SUBSTITUTE(TRIM('수출입 실적(품목별)'!E1840),",","")),"")</f>
        <v>7325</v>
      </c>
      <c r="I1836" s="18" t="n">
        <f aca="false">IFERROR(VALUE(SUBSTITUTE(TRIM('수출입 실적(품목별)'!F1840),",","")),"")</f>
        <v>3618.8</v>
      </c>
      <c r="J1836" s="19" t="n">
        <f aca="false">IFERROR(VALUE(SUBSTITUTE(TRIM('수출입 실적(품목별)'!G1840),",","")),"")</f>
        <v>17734</v>
      </c>
      <c r="K1836" s="19" t="n">
        <f aca="false">IFERROR(VALUE(SUBSTITUTE(TRIM('수출입 실적(품목별)'!H1840),",","")),"")</f>
        <v>-10409</v>
      </c>
    </row>
    <row r="1837" customFormat="false" ht="15" hidden="false" customHeight="true" outlineLevel="0" collapsed="false">
      <c r="A1837" s="11" t="str">
        <f aca="false">TRIM('수출입 실적(품목별)'!A1841)</f>
        <v>2025.08</v>
      </c>
      <c r="B1837" s="17" t="n">
        <f aca="false">IFERROR(VALUE(LEFT($A1837,4)),"")</f>
        <v>2025</v>
      </c>
      <c r="C1837" s="17" t="n">
        <f aca="false">IFERROR(VALUE(RIGHT($A1837,2)),"")</f>
        <v>8</v>
      </c>
      <c r="D1837" s="17" t="n">
        <f aca="false">IFERROR(ROUNDUP($C1837/3,0),"")</f>
        <v>3</v>
      </c>
      <c r="E1837" s="11" t="str">
        <f aca="false">TRIM('수출입 실적(품목별)'!B1841)</f>
        <v>06</v>
      </c>
      <c r="F1837" s="11" t="str">
        <f aca="false">TRIM('수출입 실적(품목별)'!C1841)</f>
        <v>살아 있는 수목과 그 밖의 식물, 인경(鱗莖)ㆍ뿌리와 이와 유사한 물품, 절화(切花)와 장식용 잎</v>
      </c>
      <c r="G1837" s="18" t="n">
        <f aca="false">IFERROR(VALUE(SUBSTITUTE(TRIM('수출입 실적(품목별)'!D1841),",","")),"")</f>
        <v>31.5</v>
      </c>
      <c r="H1837" s="19" t="n">
        <f aca="false">IFERROR(VALUE(SUBSTITUTE(TRIM('수출입 실적(품목별)'!E1841),",","")),"")</f>
        <v>367</v>
      </c>
      <c r="I1837" s="18" t="n">
        <f aca="false">IFERROR(VALUE(SUBSTITUTE(TRIM('수출입 실적(품목별)'!F1841),",","")),"")</f>
        <v>6686.6</v>
      </c>
      <c r="J1837" s="19" t="n">
        <f aca="false">IFERROR(VALUE(SUBSTITUTE(TRIM('수출입 실적(품목별)'!G1841),",","")),"")</f>
        <v>10395</v>
      </c>
      <c r="K1837" s="19" t="n">
        <f aca="false">IFERROR(VALUE(SUBSTITUTE(TRIM('수출입 실적(품목별)'!H1841),",","")),"")</f>
        <v>-10028</v>
      </c>
    </row>
    <row r="1838" customFormat="false" ht="15" hidden="false" customHeight="true" outlineLevel="0" collapsed="false">
      <c r="A1838" s="11" t="str">
        <f aca="false">TRIM('수출입 실적(품목별)'!A1842)</f>
        <v>2025.08</v>
      </c>
      <c r="B1838" s="17" t="n">
        <f aca="false">IFERROR(VALUE(LEFT($A1838,4)),"")</f>
        <v>2025</v>
      </c>
      <c r="C1838" s="17" t="n">
        <f aca="false">IFERROR(VALUE(RIGHT($A1838,2)),"")</f>
        <v>8</v>
      </c>
      <c r="D1838" s="17" t="n">
        <f aca="false">IFERROR(ROUNDUP($C1838/3,0),"")</f>
        <v>3</v>
      </c>
      <c r="E1838" s="11" t="str">
        <f aca="false">TRIM('수출입 실적(품목별)'!B1842)</f>
        <v>07</v>
      </c>
      <c r="F1838" s="11" t="str">
        <f aca="false">TRIM('수출입 실적(품목별)'!C1842)</f>
        <v>식용의 채소ㆍ뿌리ㆍ괴경(塊莖)</v>
      </c>
      <c r="G1838" s="18" t="n">
        <f aca="false">IFERROR(VALUE(SUBSTITUTE(TRIM('수출입 실적(품목별)'!D1842),",","")),"")</f>
        <v>2826.3</v>
      </c>
      <c r="H1838" s="19" t="n">
        <f aca="false">IFERROR(VALUE(SUBSTITUTE(TRIM('수출입 실적(품목별)'!E1842),",","")),"")</f>
        <v>8093</v>
      </c>
      <c r="I1838" s="18" t="n">
        <f aca="false">IFERROR(VALUE(SUBSTITUTE(TRIM('수출입 실적(품목별)'!F1842),",","")),"")</f>
        <v>82428.5</v>
      </c>
      <c r="J1838" s="19" t="n">
        <f aca="false">IFERROR(VALUE(SUBSTITUTE(TRIM('수출입 실적(품목별)'!G1842),",","")),"")</f>
        <v>59768</v>
      </c>
      <c r="K1838" s="19" t="n">
        <f aca="false">IFERROR(VALUE(SUBSTITUTE(TRIM('수출입 실적(품목별)'!H1842),",","")),"")</f>
        <v>-51675</v>
      </c>
    </row>
    <row r="1839" customFormat="false" ht="15" hidden="false" customHeight="true" outlineLevel="0" collapsed="false">
      <c r="A1839" s="11" t="str">
        <f aca="false">TRIM('수출입 실적(품목별)'!A1843)</f>
        <v>2025.08</v>
      </c>
      <c r="B1839" s="17" t="n">
        <f aca="false">IFERROR(VALUE(LEFT($A1839,4)),"")</f>
        <v>2025</v>
      </c>
      <c r="C1839" s="17" t="n">
        <f aca="false">IFERROR(VALUE(RIGHT($A1839,2)),"")</f>
        <v>8</v>
      </c>
      <c r="D1839" s="17" t="n">
        <f aca="false">IFERROR(ROUNDUP($C1839/3,0),"")</f>
        <v>3</v>
      </c>
      <c r="E1839" s="11" t="str">
        <f aca="false">TRIM('수출입 실적(품목별)'!B1843)</f>
        <v>08</v>
      </c>
      <c r="F1839" s="11" t="str">
        <f aca="false">TRIM('수출입 실적(품목별)'!C1843)</f>
        <v>식용의 과실과 견과류, 감귤류ㆍ멜론의 껍질</v>
      </c>
      <c r="G1839" s="18" t="n">
        <f aca="false">IFERROR(VALUE(SUBSTITUTE(TRIM('수출입 실적(품목별)'!D1843),",","")),"")</f>
        <v>3171.5</v>
      </c>
      <c r="H1839" s="19" t="n">
        <f aca="false">IFERROR(VALUE(SUBSTITUTE(TRIM('수출입 실적(품목별)'!E1843),",","")),"")</f>
        <v>16433</v>
      </c>
      <c r="I1839" s="18" t="n">
        <f aca="false">IFERROR(VALUE(SUBSTITUTE(TRIM('수출입 실적(품목별)'!F1843),",","")),"")</f>
        <v>63084.7</v>
      </c>
      <c r="J1839" s="19" t="n">
        <f aca="false">IFERROR(VALUE(SUBSTITUTE(TRIM('수출입 실적(품목별)'!G1843),",","")),"")</f>
        <v>133391</v>
      </c>
      <c r="K1839" s="19" t="n">
        <f aca="false">IFERROR(VALUE(SUBSTITUTE(TRIM('수출입 실적(품목별)'!H1843),",","")),"")</f>
        <v>-116958</v>
      </c>
    </row>
    <row r="1840" customFormat="false" ht="15" hidden="false" customHeight="true" outlineLevel="0" collapsed="false">
      <c r="A1840" s="11" t="str">
        <f aca="false">TRIM('수출입 실적(품목별)'!A1844)</f>
        <v>2025.08</v>
      </c>
      <c r="B1840" s="17" t="n">
        <f aca="false">IFERROR(VALUE(LEFT($A1840,4)),"")</f>
        <v>2025</v>
      </c>
      <c r="C1840" s="17" t="n">
        <f aca="false">IFERROR(VALUE(RIGHT($A1840,2)),"")</f>
        <v>8</v>
      </c>
      <c r="D1840" s="17" t="n">
        <f aca="false">IFERROR(ROUNDUP($C1840/3,0),"")</f>
        <v>3</v>
      </c>
      <c r="E1840" s="11" t="str">
        <f aca="false">TRIM('수출입 실적(품목별)'!B1844)</f>
        <v>09</v>
      </c>
      <c r="F1840" s="11" t="str">
        <f aca="false">TRIM('수출입 실적(품목별)'!C1844)</f>
        <v>커피ㆍ차ㆍ마테(maté)ㆍ향신료</v>
      </c>
      <c r="G1840" s="18" t="n">
        <f aca="false">IFERROR(VALUE(SUBSTITUTE(TRIM('수출입 실적(품목별)'!D1844),",","")),"")</f>
        <v>322.6</v>
      </c>
      <c r="H1840" s="19" t="n">
        <f aca="false">IFERROR(VALUE(SUBSTITUTE(TRIM('수출입 실적(품목별)'!E1844),",","")),"")</f>
        <v>2742</v>
      </c>
      <c r="I1840" s="18" t="n">
        <f aca="false">IFERROR(VALUE(SUBSTITUTE(TRIM('수출입 실적(품목별)'!F1844),",","")),"")</f>
        <v>18967.5</v>
      </c>
      <c r="J1840" s="19" t="n">
        <f aca="false">IFERROR(VALUE(SUBSTITUTE(TRIM('수출입 실적(품목별)'!G1844),",","")),"")</f>
        <v>155534</v>
      </c>
      <c r="K1840" s="19" t="n">
        <f aca="false">IFERROR(VALUE(SUBSTITUTE(TRIM('수출입 실적(품목별)'!H1844),",","")),"")</f>
        <v>-152793</v>
      </c>
    </row>
    <row r="1841" customFormat="false" ht="15" hidden="false" customHeight="true" outlineLevel="0" collapsed="false">
      <c r="A1841" s="11" t="str">
        <f aca="false">TRIM('수출입 실적(품목별)'!A1845)</f>
        <v>2025.08</v>
      </c>
      <c r="B1841" s="17" t="n">
        <f aca="false">IFERROR(VALUE(LEFT($A1841,4)),"")</f>
        <v>2025</v>
      </c>
      <c r="C1841" s="17" t="n">
        <f aca="false">IFERROR(VALUE(RIGHT($A1841,2)),"")</f>
        <v>8</v>
      </c>
      <c r="D1841" s="17" t="n">
        <f aca="false">IFERROR(ROUNDUP($C1841/3,0),"")</f>
        <v>3</v>
      </c>
      <c r="E1841" s="11" t="str">
        <f aca="false">TRIM('수출입 실적(품목별)'!B1845)</f>
        <v>10</v>
      </c>
      <c r="F1841" s="11" t="str">
        <f aca="false">TRIM('수출입 실적(품목별)'!C1845)</f>
        <v>곡물</v>
      </c>
      <c r="G1841" s="18" t="n">
        <f aca="false">IFERROR(VALUE(SUBSTITUTE(TRIM('수출입 실적(품목별)'!D1845),",","")),"")</f>
        <v>25333.8</v>
      </c>
      <c r="H1841" s="19" t="n">
        <f aca="false">IFERROR(VALUE(SUBSTITUTE(TRIM('수출입 실적(품목별)'!E1845),",","")),"")</f>
        <v>11882</v>
      </c>
      <c r="I1841" s="18" t="n">
        <f aca="false">IFERROR(VALUE(SUBSTITUTE(TRIM('수출입 실적(품목별)'!F1845),",","")),"")</f>
        <v>1278177.2</v>
      </c>
      <c r="J1841" s="19" t="n">
        <f aca="false">IFERROR(VALUE(SUBSTITUTE(TRIM('수출입 실적(품목별)'!G1845),",","")),"")</f>
        <v>346291</v>
      </c>
      <c r="K1841" s="19" t="n">
        <f aca="false">IFERROR(VALUE(SUBSTITUTE(TRIM('수출입 실적(품목별)'!H1845),",","")),"")</f>
        <v>-334408</v>
      </c>
    </row>
    <row r="1842" customFormat="false" ht="15" hidden="false" customHeight="true" outlineLevel="0" collapsed="false">
      <c r="A1842" s="11" t="str">
        <f aca="false">TRIM('수출입 실적(품목별)'!A1846)</f>
        <v>2025.08</v>
      </c>
      <c r="B1842" s="17" t="n">
        <f aca="false">IFERROR(VALUE(LEFT($A1842,4)),"")</f>
        <v>2025</v>
      </c>
      <c r="C1842" s="17" t="n">
        <f aca="false">IFERROR(VALUE(RIGHT($A1842,2)),"")</f>
        <v>8</v>
      </c>
      <c r="D1842" s="17" t="n">
        <f aca="false">IFERROR(ROUNDUP($C1842/3,0),"")</f>
        <v>3</v>
      </c>
      <c r="E1842" s="11" t="str">
        <f aca="false">TRIM('수출입 실적(품목별)'!B1846)</f>
        <v>11</v>
      </c>
      <c r="F1842" s="11" t="str">
        <f aca="false">TRIM('수출입 실적(품목별)'!C1846)</f>
        <v>제분공업의 생산품과 맥아, 전분, 이눌린(inulin), 밀의 글루텐(gluten)</v>
      </c>
      <c r="G1842" s="18" t="n">
        <f aca="false">IFERROR(VALUE(SUBSTITUTE(TRIM('수출입 실적(품목별)'!D1846),",","")),"")</f>
        <v>5503.2</v>
      </c>
      <c r="H1842" s="19" t="n">
        <f aca="false">IFERROR(VALUE(SUBSTITUTE(TRIM('수출입 실적(품목별)'!E1846),",","")),"")</f>
        <v>3356</v>
      </c>
      <c r="I1842" s="18" t="n">
        <f aca="false">IFERROR(VALUE(SUBSTITUTE(TRIM('수출입 실적(품목별)'!F1846),",","")),"")</f>
        <v>31288.2</v>
      </c>
      <c r="J1842" s="19" t="n">
        <f aca="false">IFERROR(VALUE(SUBSTITUTE(TRIM('수출입 실적(품목별)'!G1846),",","")),"")</f>
        <v>26843</v>
      </c>
      <c r="K1842" s="19" t="n">
        <f aca="false">IFERROR(VALUE(SUBSTITUTE(TRIM('수출입 실적(품목별)'!H1846),",","")),"")</f>
        <v>-23487</v>
      </c>
    </row>
    <row r="1843" customFormat="false" ht="15" hidden="false" customHeight="true" outlineLevel="0" collapsed="false">
      <c r="A1843" s="11" t="str">
        <f aca="false">TRIM('수출입 실적(품목별)'!A1847)</f>
        <v>2025.08</v>
      </c>
      <c r="B1843" s="17" t="n">
        <f aca="false">IFERROR(VALUE(LEFT($A1843,4)),"")</f>
        <v>2025</v>
      </c>
      <c r="C1843" s="17" t="n">
        <f aca="false">IFERROR(VALUE(RIGHT($A1843,2)),"")</f>
        <v>8</v>
      </c>
      <c r="D1843" s="17" t="n">
        <f aca="false">IFERROR(ROUNDUP($C1843/3,0),"")</f>
        <v>3</v>
      </c>
      <c r="E1843" s="11" t="str">
        <f aca="false">TRIM('수출입 실적(품목별)'!B1847)</f>
        <v>12</v>
      </c>
      <c r="F1843" s="11" t="str">
        <f aca="false">TRIM('수출입 실적(품목별)'!C1847)</f>
        <v>채유(採油)에 적합한 종자와 과실, 각종 종자와 과실, 공업용ㆍ의약용 식물, 짚과 사료용 식물</v>
      </c>
      <c r="G1843" s="18" t="n">
        <f aca="false">IFERROR(VALUE(SUBSTITUTE(TRIM('수출입 실적(품목별)'!D1847),",","")),"")</f>
        <v>1885</v>
      </c>
      <c r="H1843" s="19" t="n">
        <f aca="false">IFERROR(VALUE(SUBSTITUTE(TRIM('수출입 실적(품목별)'!E1847),",","")),"")</f>
        <v>53404</v>
      </c>
      <c r="I1843" s="18" t="n">
        <f aca="false">IFERROR(VALUE(SUBSTITUTE(TRIM('수출입 실적(품목별)'!F1847),",","")),"")</f>
        <v>210100</v>
      </c>
      <c r="J1843" s="19" t="n">
        <f aca="false">IFERROR(VALUE(SUBSTITUTE(TRIM('수출입 실적(품목별)'!G1847),",","")),"")</f>
        <v>130130</v>
      </c>
      <c r="K1843" s="19" t="n">
        <f aca="false">IFERROR(VALUE(SUBSTITUTE(TRIM('수출입 실적(품목별)'!H1847),",","")),"")</f>
        <v>-76726</v>
      </c>
    </row>
    <row r="1844" customFormat="false" ht="15" hidden="false" customHeight="true" outlineLevel="0" collapsed="false">
      <c r="A1844" s="11" t="str">
        <f aca="false">TRIM('수출입 실적(품목별)'!A1848)</f>
        <v>2025.08</v>
      </c>
      <c r="B1844" s="17" t="n">
        <f aca="false">IFERROR(VALUE(LEFT($A1844,4)),"")</f>
        <v>2025</v>
      </c>
      <c r="C1844" s="17" t="n">
        <f aca="false">IFERROR(VALUE(RIGHT($A1844,2)),"")</f>
        <v>8</v>
      </c>
      <c r="D1844" s="17" t="n">
        <f aca="false">IFERROR(ROUNDUP($C1844/3,0),"")</f>
        <v>3</v>
      </c>
      <c r="E1844" s="11" t="str">
        <f aca="false">TRIM('수출입 실적(품목별)'!B1848)</f>
        <v>13</v>
      </c>
      <c r="F1844" s="11" t="str">
        <f aca="false">TRIM('수출입 실적(품목별)'!C1848)</f>
        <v>락(lac), 검ㆍ수지ㆍ그 밖의 식물성 수액과 추출물(extract)</v>
      </c>
      <c r="G1844" s="18" t="n">
        <f aca="false">IFERROR(VALUE(SUBSTITUTE(TRIM('수출입 실적(품목별)'!D1848),",","")),"")</f>
        <v>299.7</v>
      </c>
      <c r="H1844" s="19" t="n">
        <f aca="false">IFERROR(VALUE(SUBSTITUTE(TRIM('수출입 실적(품목별)'!E1848),",","")),"")</f>
        <v>6351</v>
      </c>
      <c r="I1844" s="18" t="n">
        <f aca="false">IFERROR(VALUE(SUBSTITUTE(TRIM('수출입 실적(품목별)'!F1848),",","")),"")</f>
        <v>8722.7</v>
      </c>
      <c r="J1844" s="19" t="n">
        <f aca="false">IFERROR(VALUE(SUBSTITUTE(TRIM('수출입 실적(품목별)'!G1848),",","")),"")</f>
        <v>28690</v>
      </c>
      <c r="K1844" s="19" t="n">
        <f aca="false">IFERROR(VALUE(SUBSTITUTE(TRIM('수출입 실적(품목별)'!H1848),",","")),"")</f>
        <v>-22339</v>
      </c>
    </row>
    <row r="1845" customFormat="false" ht="15" hidden="false" customHeight="true" outlineLevel="0" collapsed="false">
      <c r="A1845" s="11" t="str">
        <f aca="false">TRIM('수출입 실적(품목별)'!A1849)</f>
        <v>2025.08</v>
      </c>
      <c r="B1845" s="17" t="n">
        <f aca="false">IFERROR(VALUE(LEFT($A1845,4)),"")</f>
        <v>2025</v>
      </c>
      <c r="C1845" s="17" t="n">
        <f aca="false">IFERROR(VALUE(RIGHT($A1845,2)),"")</f>
        <v>8</v>
      </c>
      <c r="D1845" s="17" t="n">
        <f aca="false">IFERROR(ROUNDUP($C1845/3,0),"")</f>
        <v>3</v>
      </c>
      <c r="E1845" s="11" t="str">
        <f aca="false">TRIM('수출입 실적(품목별)'!B1849)</f>
        <v>14</v>
      </c>
      <c r="F1845" s="11" t="str">
        <f aca="false">TRIM('수출입 실적(품목별)'!C1849)</f>
        <v>식물성 편조물(編組物)용 재료와 다른 류로 분류되지 않은 식물성 생산품</v>
      </c>
      <c r="G1845" s="18" t="n">
        <f aca="false">IFERROR(VALUE(SUBSTITUTE(TRIM('수출입 실적(품목별)'!D1849),",","")),"")</f>
        <v>16.8</v>
      </c>
      <c r="H1845" s="19" t="n">
        <f aca="false">IFERROR(VALUE(SUBSTITUTE(TRIM('수출입 실적(품목별)'!E1849),",","")),"")</f>
        <v>36</v>
      </c>
      <c r="I1845" s="18" t="n">
        <f aca="false">IFERROR(VALUE(SUBSTITUTE(TRIM('수출입 실적(품목별)'!F1849),",","")),"")</f>
        <v>15405.1</v>
      </c>
      <c r="J1845" s="19" t="n">
        <f aca="false">IFERROR(VALUE(SUBSTITUTE(TRIM('수출입 실적(품목별)'!G1849),",","")),"")</f>
        <v>5579</v>
      </c>
      <c r="K1845" s="19" t="n">
        <f aca="false">IFERROR(VALUE(SUBSTITUTE(TRIM('수출입 실적(품목별)'!H1849),",","")),"")</f>
        <v>-5544</v>
      </c>
    </row>
    <row r="1846" customFormat="false" ht="15" hidden="false" customHeight="true" outlineLevel="0" collapsed="false">
      <c r="A1846" s="11" t="str">
        <f aca="false">TRIM('수출입 실적(품목별)'!A1850)</f>
        <v>2025.08</v>
      </c>
      <c r="B1846" s="17" t="n">
        <f aca="false">IFERROR(VALUE(LEFT($A1846,4)),"")</f>
        <v>2025</v>
      </c>
      <c r="C1846" s="17" t="n">
        <f aca="false">IFERROR(VALUE(RIGHT($A1846,2)),"")</f>
        <v>8</v>
      </c>
      <c r="D1846" s="17" t="n">
        <f aca="false">IFERROR(ROUNDUP($C1846/3,0),"")</f>
        <v>3</v>
      </c>
      <c r="E1846" s="11" t="str">
        <f aca="false">TRIM('수출입 실적(품목별)'!B1850)</f>
        <v>15</v>
      </c>
      <c r="F1846" s="11" t="str">
        <f aca="false">TRIM('수출입 실적(품목별)'!C1850)</f>
        <v>동물성ㆍ식물성ㆍ미생물성 지방과 기름 및이들의 분해생산물, 조제한 식용 지방과 동물성ㆍ식물성 왁스</v>
      </c>
      <c r="G1846" s="18" t="n">
        <f aca="false">IFERROR(VALUE(SUBSTITUTE(TRIM('수출입 실적(품목별)'!D1850),",","")),"")</f>
        <v>26801.8</v>
      </c>
      <c r="H1846" s="19" t="n">
        <f aca="false">IFERROR(VALUE(SUBSTITUTE(TRIM('수출입 실적(품목별)'!E1850),",","")),"")</f>
        <v>30037</v>
      </c>
      <c r="I1846" s="18" t="n">
        <f aca="false">IFERROR(VALUE(SUBSTITUTE(TRIM('수출입 실적(품목별)'!F1850),",","")),"")</f>
        <v>165310.9</v>
      </c>
      <c r="J1846" s="19" t="n">
        <f aca="false">IFERROR(VALUE(SUBSTITUTE(TRIM('수출입 실적(품목별)'!G1850),",","")),"")</f>
        <v>234391</v>
      </c>
      <c r="K1846" s="19" t="n">
        <f aca="false">IFERROR(VALUE(SUBSTITUTE(TRIM('수출입 실적(품목별)'!H1850),",","")),"")</f>
        <v>-204354</v>
      </c>
    </row>
    <row r="1847" customFormat="false" ht="15" hidden="false" customHeight="true" outlineLevel="0" collapsed="false">
      <c r="A1847" s="11" t="str">
        <f aca="false">TRIM('수출입 실적(품목별)'!A1851)</f>
        <v>2025.08</v>
      </c>
      <c r="B1847" s="17" t="n">
        <f aca="false">IFERROR(VALUE(LEFT($A1847,4)),"")</f>
        <v>2025</v>
      </c>
      <c r="C1847" s="17" t="n">
        <f aca="false">IFERROR(VALUE(RIGHT($A1847,2)),"")</f>
        <v>8</v>
      </c>
      <c r="D1847" s="17" t="n">
        <f aca="false">IFERROR(ROUNDUP($C1847/3,0),"")</f>
        <v>3</v>
      </c>
      <c r="E1847" s="11" t="str">
        <f aca="false">TRIM('수출입 실적(품목별)'!B1851)</f>
        <v>16</v>
      </c>
      <c r="F1847" s="11" t="str">
        <f aca="false">TRIM('수출입 실적(품목별)'!C1851)</f>
        <v>육류ㆍ어류ㆍ갑각류ㆍ연체동물이나 그 밖의 수생(水生) 무척추동물 또는 곤충의 조제품</v>
      </c>
      <c r="G1847" s="18" t="n">
        <f aca="false">IFERROR(VALUE(SUBSTITUTE(TRIM('수출입 실적(품목별)'!D1851),",","")),"")</f>
        <v>4184.2</v>
      </c>
      <c r="H1847" s="19" t="n">
        <f aca="false">IFERROR(VALUE(SUBSTITUTE(TRIM('수출입 실적(품목별)'!E1851),",","")),"")</f>
        <v>23685</v>
      </c>
      <c r="I1847" s="18" t="n">
        <f aca="false">IFERROR(VALUE(SUBSTITUTE(TRIM('수출입 실적(품목별)'!F1851),",","")),"")</f>
        <v>16340.1</v>
      </c>
      <c r="J1847" s="19" t="n">
        <f aca="false">IFERROR(VALUE(SUBSTITUTE(TRIM('수출입 실적(품목별)'!G1851),",","")),"")</f>
        <v>91097</v>
      </c>
      <c r="K1847" s="19" t="n">
        <f aca="false">IFERROR(VALUE(SUBSTITUTE(TRIM('수출입 실적(품목별)'!H1851),",","")),"")</f>
        <v>-67412</v>
      </c>
    </row>
    <row r="1848" customFormat="false" ht="15" hidden="false" customHeight="true" outlineLevel="0" collapsed="false">
      <c r="A1848" s="11" t="str">
        <f aca="false">TRIM('수출입 실적(품목별)'!A1852)</f>
        <v>2025.08</v>
      </c>
      <c r="B1848" s="17" t="n">
        <f aca="false">IFERROR(VALUE(LEFT($A1848,4)),"")</f>
        <v>2025</v>
      </c>
      <c r="C1848" s="17" t="n">
        <f aca="false">IFERROR(VALUE(RIGHT($A1848,2)),"")</f>
        <v>8</v>
      </c>
      <c r="D1848" s="17" t="n">
        <f aca="false">IFERROR(ROUNDUP($C1848/3,0),"")</f>
        <v>3</v>
      </c>
      <c r="E1848" s="11" t="str">
        <f aca="false">TRIM('수출입 실적(품목별)'!B1852)</f>
        <v>17</v>
      </c>
      <c r="F1848" s="11" t="str">
        <f aca="false">TRIM('수출입 실적(품목별)'!C1852)</f>
        <v>당류(糖類)와 설탕과자</v>
      </c>
      <c r="G1848" s="18" t="n">
        <f aca="false">IFERROR(VALUE(SUBSTITUTE(TRIM('수출입 실적(품목별)'!D1852),",","")),"")</f>
        <v>24925.5</v>
      </c>
      <c r="H1848" s="19" t="n">
        <f aca="false">IFERROR(VALUE(SUBSTITUTE(TRIM('수출입 실적(품목별)'!E1852),",","")),"")</f>
        <v>24279</v>
      </c>
      <c r="I1848" s="18" t="n">
        <f aca="false">IFERROR(VALUE(SUBSTITUTE(TRIM('수출입 실적(품목별)'!F1852),",","")),"")</f>
        <v>203124.3</v>
      </c>
      <c r="J1848" s="19" t="n">
        <f aca="false">IFERROR(VALUE(SUBSTITUTE(TRIM('수출입 실적(품목별)'!G1852),",","")),"")</f>
        <v>123300</v>
      </c>
      <c r="K1848" s="19" t="n">
        <f aca="false">IFERROR(VALUE(SUBSTITUTE(TRIM('수출입 실적(품목별)'!H1852),",","")),"")</f>
        <v>-99021</v>
      </c>
    </row>
    <row r="1849" customFormat="false" ht="15" hidden="false" customHeight="true" outlineLevel="0" collapsed="false">
      <c r="A1849" s="11" t="str">
        <f aca="false">TRIM('수출입 실적(품목별)'!A1853)</f>
        <v>2025.08</v>
      </c>
      <c r="B1849" s="17" t="n">
        <f aca="false">IFERROR(VALUE(LEFT($A1849,4)),"")</f>
        <v>2025</v>
      </c>
      <c r="C1849" s="17" t="n">
        <f aca="false">IFERROR(VALUE(RIGHT($A1849,2)),"")</f>
        <v>8</v>
      </c>
      <c r="D1849" s="17" t="n">
        <f aca="false">IFERROR(ROUNDUP($C1849/3,0),"")</f>
        <v>3</v>
      </c>
      <c r="E1849" s="11" t="str">
        <f aca="false">TRIM('수출입 실적(품목별)'!B1853)</f>
        <v>18</v>
      </c>
      <c r="F1849" s="11" t="str">
        <f aca="false">TRIM('수출입 실적(품목별)'!C1853)</f>
        <v>코코아와 그 조제품</v>
      </c>
      <c r="G1849" s="18" t="n">
        <f aca="false">IFERROR(VALUE(SUBSTITUTE(TRIM('수출입 실적(품목별)'!D1853),",","")),"")</f>
        <v>1685.7</v>
      </c>
      <c r="H1849" s="19" t="n">
        <f aca="false">IFERROR(VALUE(SUBSTITUTE(TRIM('수출입 실적(품목별)'!E1853),",","")),"")</f>
        <v>6490</v>
      </c>
      <c r="I1849" s="18" t="n">
        <f aca="false">IFERROR(VALUE(SUBSTITUTE(TRIM('수출입 실적(품목별)'!F1853),",","")),"")</f>
        <v>4782.7</v>
      </c>
      <c r="J1849" s="19" t="n">
        <f aca="false">IFERROR(VALUE(SUBSTITUTE(TRIM('수출입 실적(품목별)'!G1853),",","")),"")</f>
        <v>48844</v>
      </c>
      <c r="K1849" s="19" t="n">
        <f aca="false">IFERROR(VALUE(SUBSTITUTE(TRIM('수출입 실적(품목별)'!H1853),",","")),"")</f>
        <v>-42354</v>
      </c>
    </row>
    <row r="1850" customFormat="false" ht="15" hidden="false" customHeight="true" outlineLevel="0" collapsed="false">
      <c r="A1850" s="11" t="str">
        <f aca="false">TRIM('수출입 실적(품목별)'!A1854)</f>
        <v>2025.08</v>
      </c>
      <c r="B1850" s="17" t="n">
        <f aca="false">IFERROR(VALUE(LEFT($A1850,4)),"")</f>
        <v>2025</v>
      </c>
      <c r="C1850" s="17" t="n">
        <f aca="false">IFERROR(VALUE(RIGHT($A1850,2)),"")</f>
        <v>8</v>
      </c>
      <c r="D1850" s="17" t="n">
        <f aca="false">IFERROR(ROUNDUP($C1850/3,0),"")</f>
        <v>3</v>
      </c>
      <c r="E1850" s="11" t="str">
        <f aca="false">TRIM('수출입 실적(품목별)'!B1854)</f>
        <v>19</v>
      </c>
      <c r="F1850" s="11" t="str">
        <f aca="false">TRIM('수출입 실적(품목별)'!C1854)</f>
        <v>곡물ㆍ고운 가루ㆍ전분ㆍ밀크의 조제품과 베이커리 제품</v>
      </c>
      <c r="G1850" s="18" t="n">
        <f aca="false">IFERROR(VALUE(SUBSTITUTE(TRIM('수출입 실적(품목별)'!D1854),",","")),"")</f>
        <v>51076.7</v>
      </c>
      <c r="H1850" s="19" t="n">
        <f aca="false">IFERROR(VALUE(SUBSTITUTE(TRIM('수출입 실적(품목별)'!E1854),",","")),"")</f>
        <v>204309</v>
      </c>
      <c r="I1850" s="18" t="n">
        <f aca="false">IFERROR(VALUE(SUBSTITUTE(TRIM('수출입 실적(품목별)'!F1854),",","")),"")</f>
        <v>27551.7</v>
      </c>
      <c r="J1850" s="19" t="n">
        <f aca="false">IFERROR(VALUE(SUBSTITUTE(TRIM('수출입 실적(품목별)'!G1854),",","")),"")</f>
        <v>93468</v>
      </c>
      <c r="K1850" s="19" t="n">
        <f aca="false">IFERROR(VALUE(SUBSTITUTE(TRIM('수출입 실적(품목별)'!H1854),",","")),"")</f>
        <v>110841</v>
      </c>
    </row>
    <row r="1851" customFormat="false" ht="15" hidden="false" customHeight="true" outlineLevel="0" collapsed="false">
      <c r="A1851" s="11" t="str">
        <f aca="false">TRIM('수출입 실적(품목별)'!A1855)</f>
        <v>2025.08</v>
      </c>
      <c r="B1851" s="17" t="n">
        <f aca="false">IFERROR(VALUE(LEFT($A1851,4)),"")</f>
        <v>2025</v>
      </c>
      <c r="C1851" s="17" t="n">
        <f aca="false">IFERROR(VALUE(RIGHT($A1851,2)),"")</f>
        <v>8</v>
      </c>
      <c r="D1851" s="17" t="n">
        <f aca="false">IFERROR(ROUNDUP($C1851/3,0),"")</f>
        <v>3</v>
      </c>
      <c r="E1851" s="11" t="str">
        <f aca="false">TRIM('수출입 실적(품목별)'!B1855)</f>
        <v>20</v>
      </c>
      <c r="F1851" s="11" t="str">
        <f aca="false">TRIM('수출입 실적(품목별)'!C1855)</f>
        <v>채소ㆍ과실ㆍ견과류나 식물의그 밖의 부분의 조제품</v>
      </c>
      <c r="G1851" s="18" t="n">
        <f aca="false">IFERROR(VALUE(SUBSTITUTE(TRIM('수출입 실적(품목별)'!D1855),",","")),"")</f>
        <v>8679.7</v>
      </c>
      <c r="H1851" s="19" t="n">
        <f aca="false">IFERROR(VALUE(SUBSTITUTE(TRIM('수출입 실적(품목별)'!E1855),",","")),"")</f>
        <v>75874</v>
      </c>
      <c r="I1851" s="18" t="n">
        <f aca="false">IFERROR(VALUE(SUBSTITUTE(TRIM('수출입 실적(품목별)'!F1855),",","")),"")</f>
        <v>91311.4</v>
      </c>
      <c r="J1851" s="19" t="n">
        <f aca="false">IFERROR(VALUE(SUBSTITUTE(TRIM('수출입 실적(품목별)'!G1855),",","")),"")</f>
        <v>133000</v>
      </c>
      <c r="K1851" s="19" t="n">
        <f aca="false">IFERROR(VALUE(SUBSTITUTE(TRIM('수출입 실적(품목별)'!H1855),",","")),"")</f>
        <v>-57125</v>
      </c>
    </row>
    <row r="1852" customFormat="false" ht="15" hidden="false" customHeight="true" outlineLevel="0" collapsed="false">
      <c r="A1852" s="11" t="str">
        <f aca="false">TRIM('수출입 실적(품목별)'!A1856)</f>
        <v>2025.08</v>
      </c>
      <c r="B1852" s="17" t="n">
        <f aca="false">IFERROR(VALUE(LEFT($A1852,4)),"")</f>
        <v>2025</v>
      </c>
      <c r="C1852" s="17" t="n">
        <f aca="false">IFERROR(VALUE(RIGHT($A1852,2)),"")</f>
        <v>8</v>
      </c>
      <c r="D1852" s="17" t="n">
        <f aca="false">IFERROR(ROUNDUP($C1852/3,0),"")</f>
        <v>3</v>
      </c>
      <c r="E1852" s="11" t="str">
        <f aca="false">TRIM('수출입 실적(품목별)'!B1856)</f>
        <v>21</v>
      </c>
      <c r="F1852" s="11" t="str">
        <f aca="false">TRIM('수출입 실적(품목별)'!C1856)</f>
        <v>각종 조제 식료품</v>
      </c>
      <c r="G1852" s="18" t="n">
        <f aca="false">IFERROR(VALUE(SUBSTITUTE(TRIM('수출입 실적(품목별)'!D1856),",","")),"")</f>
        <v>34811.7</v>
      </c>
      <c r="H1852" s="19" t="n">
        <f aca="false">IFERROR(VALUE(SUBSTITUTE(TRIM('수출입 실적(품목별)'!E1856),",","")),"")</f>
        <v>144782</v>
      </c>
      <c r="I1852" s="18" t="n">
        <f aca="false">IFERROR(VALUE(SUBSTITUTE(TRIM('수출입 실적(품목별)'!F1856),",","")),"")</f>
        <v>32588.2</v>
      </c>
      <c r="J1852" s="19" t="n">
        <f aca="false">IFERROR(VALUE(SUBSTITUTE(TRIM('수출입 실적(품목별)'!G1856),",","")),"")</f>
        <v>246682</v>
      </c>
      <c r="K1852" s="19" t="n">
        <f aca="false">IFERROR(VALUE(SUBSTITUTE(TRIM('수출입 실적(품목별)'!H1856),",","")),"")</f>
        <v>-101900</v>
      </c>
    </row>
    <row r="1853" customFormat="false" ht="15" hidden="false" customHeight="true" outlineLevel="0" collapsed="false">
      <c r="A1853" s="11" t="str">
        <f aca="false">TRIM('수출입 실적(품목별)'!A1857)</f>
        <v>2025.08</v>
      </c>
      <c r="B1853" s="17" t="n">
        <f aca="false">IFERROR(VALUE(LEFT($A1853,4)),"")</f>
        <v>2025</v>
      </c>
      <c r="C1853" s="17" t="n">
        <f aca="false">IFERROR(VALUE(RIGHT($A1853,2)),"")</f>
        <v>8</v>
      </c>
      <c r="D1853" s="17" t="n">
        <f aca="false">IFERROR(ROUNDUP($C1853/3,0),"")</f>
        <v>3</v>
      </c>
      <c r="E1853" s="11" t="str">
        <f aca="false">TRIM('수출입 실적(품목별)'!B1857)</f>
        <v>22</v>
      </c>
      <c r="F1853" s="11" t="str">
        <f aca="false">TRIM('수출입 실적(품목별)'!C1857)</f>
        <v>음료ㆍ주류ㆍ식초</v>
      </c>
      <c r="G1853" s="18" t="n">
        <f aca="false">IFERROR(VALUE(SUBSTITUTE(TRIM('수출입 실적(품목별)'!D1857),",","")),"")</f>
        <v>70697.1</v>
      </c>
      <c r="H1853" s="19" t="n">
        <f aca="false">IFERROR(VALUE(SUBSTITUTE(TRIM('수출입 실적(품목별)'!E1857),",","")),"")</f>
        <v>87413</v>
      </c>
      <c r="I1853" s="18" t="n">
        <f aca="false">IFERROR(VALUE(SUBSTITUTE(TRIM('수출입 실적(품목별)'!F1857),",","")),"")</f>
        <v>87897.8</v>
      </c>
      <c r="J1853" s="19" t="n">
        <f aca="false">IFERROR(VALUE(SUBSTITUTE(TRIM('수출입 실적(품목별)'!G1857),",","")),"")</f>
        <v>122246</v>
      </c>
      <c r="K1853" s="19" t="n">
        <f aca="false">IFERROR(VALUE(SUBSTITUTE(TRIM('수출입 실적(품목별)'!H1857),",","")),"")</f>
        <v>-34833</v>
      </c>
    </row>
    <row r="1854" customFormat="false" ht="15" hidden="false" customHeight="true" outlineLevel="0" collapsed="false">
      <c r="A1854" s="11" t="str">
        <f aca="false">TRIM('수출입 실적(품목별)'!A1858)</f>
        <v>2025.08</v>
      </c>
      <c r="B1854" s="17" t="n">
        <f aca="false">IFERROR(VALUE(LEFT($A1854,4)),"")</f>
        <v>2025</v>
      </c>
      <c r="C1854" s="17" t="n">
        <f aca="false">IFERROR(VALUE(RIGHT($A1854,2)),"")</f>
        <v>8</v>
      </c>
      <c r="D1854" s="17" t="n">
        <f aca="false">IFERROR(ROUNDUP($C1854/3,0),"")</f>
        <v>3</v>
      </c>
      <c r="E1854" s="11" t="str">
        <f aca="false">TRIM('수출입 실적(품목별)'!B1858)</f>
        <v>23</v>
      </c>
      <c r="F1854" s="11" t="str">
        <f aca="false">TRIM('수출입 실적(품목별)'!C1858)</f>
        <v>식품 공업에서 생기는 잔재물과 웨이스트(waste), 조제 사료</v>
      </c>
      <c r="G1854" s="18" t="n">
        <f aca="false">IFERROR(VALUE(SUBSTITUTE(TRIM('수출입 실적(품목별)'!D1858),",","")),"")</f>
        <v>29944.1</v>
      </c>
      <c r="H1854" s="19" t="n">
        <f aca="false">IFERROR(VALUE(SUBSTITUTE(TRIM('수출입 실적(품목별)'!E1858),",","")),"")</f>
        <v>27593</v>
      </c>
      <c r="I1854" s="18" t="n">
        <f aca="false">IFERROR(VALUE(SUBSTITUTE(TRIM('수출입 실적(품목별)'!F1858),",","")),"")</f>
        <v>618339.5</v>
      </c>
      <c r="J1854" s="19" t="n">
        <f aca="false">IFERROR(VALUE(SUBSTITUTE(TRIM('수출입 실적(품목별)'!G1858),",","")),"")</f>
        <v>195749</v>
      </c>
      <c r="K1854" s="19" t="n">
        <f aca="false">IFERROR(VALUE(SUBSTITUTE(TRIM('수출입 실적(품목별)'!H1858),",","")),"")</f>
        <v>-168156</v>
      </c>
    </row>
    <row r="1855" customFormat="false" ht="15" hidden="false" customHeight="true" outlineLevel="0" collapsed="false">
      <c r="A1855" s="11" t="str">
        <f aca="false">TRIM('수출입 실적(품목별)'!A1859)</f>
        <v>2025.08</v>
      </c>
      <c r="B1855" s="17" t="n">
        <f aca="false">IFERROR(VALUE(LEFT($A1855,4)),"")</f>
        <v>2025</v>
      </c>
      <c r="C1855" s="17" t="n">
        <f aca="false">IFERROR(VALUE(RIGHT($A1855,2)),"")</f>
        <v>8</v>
      </c>
      <c r="D1855" s="17" t="n">
        <f aca="false">IFERROR(ROUNDUP($C1855/3,0),"")</f>
        <v>3</v>
      </c>
      <c r="E1855" s="11" t="str">
        <f aca="false">TRIM('수출입 실적(품목별)'!B1859)</f>
        <v>24</v>
      </c>
      <c r="F1855" s="11" t="str">
        <f aca="false">TRIM('수출입 실적(품목별)'!C1859)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855" s="18" t="n">
        <f aca="false">IFERROR(VALUE(SUBSTITUTE(TRIM('수출입 실적(품목별)'!D1859),",","")),"")</f>
        <v>8451.9</v>
      </c>
      <c r="H1855" s="19" t="n">
        <f aca="false">IFERROR(VALUE(SUBSTITUTE(TRIM('수출입 실적(품목별)'!E1859),",","")),"")</f>
        <v>94228</v>
      </c>
      <c r="I1855" s="18" t="n">
        <f aca="false">IFERROR(VALUE(SUBSTITUTE(TRIM('수출입 실적(품목별)'!F1859),",","")),"")</f>
        <v>3919.7</v>
      </c>
      <c r="J1855" s="19" t="n">
        <f aca="false">IFERROR(VALUE(SUBSTITUTE(TRIM('수출입 실적(품목별)'!G1859),",","")),"")</f>
        <v>39858</v>
      </c>
      <c r="K1855" s="19" t="n">
        <f aca="false">IFERROR(VALUE(SUBSTITUTE(TRIM('수출입 실적(품목별)'!H1859),",","")),"")</f>
        <v>54370</v>
      </c>
    </row>
    <row r="1856" customFormat="false" ht="15" hidden="false" customHeight="true" outlineLevel="0" collapsed="false">
      <c r="A1856" s="11" t="str">
        <f aca="false">TRIM('수출입 실적(품목별)'!A1860)</f>
        <v>2025.08</v>
      </c>
      <c r="B1856" s="17" t="n">
        <f aca="false">IFERROR(VALUE(LEFT($A1856,4)),"")</f>
        <v>2025</v>
      </c>
      <c r="C1856" s="17" t="n">
        <f aca="false">IFERROR(VALUE(RIGHT($A1856,2)),"")</f>
        <v>8</v>
      </c>
      <c r="D1856" s="17" t="n">
        <f aca="false">IFERROR(ROUNDUP($C1856/3,0),"")</f>
        <v>3</v>
      </c>
      <c r="E1856" s="11" t="str">
        <f aca="false">TRIM('수출입 실적(품목별)'!B1860)</f>
        <v>25</v>
      </c>
      <c r="F1856" s="11" t="str">
        <f aca="false">TRIM('수출입 실적(품목별)'!C1860)</f>
        <v>소금, 황, 토석류(土石類), 석고ㆍ석회ㆍ시멘트</v>
      </c>
      <c r="G1856" s="18" t="n">
        <f aca="false">IFERROR(VALUE(SUBSTITUTE(TRIM('수출입 실적(품목별)'!D1860),",","")),"")</f>
        <v>705519.2</v>
      </c>
      <c r="H1856" s="19" t="n">
        <f aca="false">IFERROR(VALUE(SUBSTITUTE(TRIM('수출입 실적(품목별)'!E1860),",","")),"")</f>
        <v>47632</v>
      </c>
      <c r="I1856" s="18" t="n">
        <f aca="false">IFERROR(VALUE(SUBSTITUTE(TRIM('수출입 실적(품목별)'!F1860),",","")),"")</f>
        <v>720224.9</v>
      </c>
      <c r="J1856" s="19" t="n">
        <f aca="false">IFERROR(VALUE(SUBSTITUTE(TRIM('수출입 실적(품목별)'!G1860),",","")),"")</f>
        <v>79321</v>
      </c>
      <c r="K1856" s="19" t="n">
        <f aca="false">IFERROR(VALUE(SUBSTITUTE(TRIM('수출입 실적(품목별)'!H1860),",","")),"")</f>
        <v>-31689</v>
      </c>
    </row>
    <row r="1857" customFormat="false" ht="15" hidden="false" customHeight="true" outlineLevel="0" collapsed="false">
      <c r="A1857" s="11" t="str">
        <f aca="false">TRIM('수출입 실적(품목별)'!A1861)</f>
        <v>2025.08</v>
      </c>
      <c r="B1857" s="17" t="n">
        <f aca="false">IFERROR(VALUE(LEFT($A1857,4)),"")</f>
        <v>2025</v>
      </c>
      <c r="C1857" s="17" t="n">
        <f aca="false">IFERROR(VALUE(RIGHT($A1857,2)),"")</f>
        <v>8</v>
      </c>
      <c r="D1857" s="17" t="n">
        <f aca="false">IFERROR(ROUNDUP($C1857/3,0),"")</f>
        <v>3</v>
      </c>
      <c r="E1857" s="11" t="str">
        <f aca="false">TRIM('수출입 실적(품목별)'!B1861)</f>
        <v>26</v>
      </c>
      <c r="F1857" s="11" t="str">
        <f aca="false">TRIM('수출입 실적(품목별)'!C1861)</f>
        <v>광(鑛)ㆍ슬래그(slag)ㆍ회(灰)</v>
      </c>
      <c r="G1857" s="18" t="n">
        <f aca="false">IFERROR(VALUE(SUBSTITUTE(TRIM('수출입 실적(품목별)'!D1861),",","")),"")</f>
        <v>195421.7</v>
      </c>
      <c r="H1857" s="19" t="n">
        <f aca="false">IFERROR(VALUE(SUBSTITUTE(TRIM('수출입 실적(품목별)'!E1861),",","")),"")</f>
        <v>55932</v>
      </c>
      <c r="I1857" s="18" t="n">
        <f aca="false">IFERROR(VALUE(SUBSTITUTE(TRIM('수출입 실적(품목별)'!F1861),",","")),"")</f>
        <v>5952597</v>
      </c>
      <c r="J1857" s="19" t="n">
        <f aca="false">IFERROR(VALUE(SUBSTITUTE(TRIM('수출입 실적(품목별)'!G1861),",","")),"")</f>
        <v>1592594</v>
      </c>
      <c r="K1857" s="19" t="n">
        <f aca="false">IFERROR(VALUE(SUBSTITUTE(TRIM('수출입 실적(품목별)'!H1861),",","")),"")</f>
        <v>-1536662</v>
      </c>
    </row>
    <row r="1858" customFormat="false" ht="15" hidden="false" customHeight="true" outlineLevel="0" collapsed="false">
      <c r="A1858" s="11" t="str">
        <f aca="false">TRIM('수출입 실적(품목별)'!A1862)</f>
        <v>2025.08</v>
      </c>
      <c r="B1858" s="17" t="n">
        <f aca="false">IFERROR(VALUE(LEFT($A1858,4)),"")</f>
        <v>2025</v>
      </c>
      <c r="C1858" s="17" t="n">
        <f aca="false">IFERROR(VALUE(RIGHT($A1858,2)),"")</f>
        <v>8</v>
      </c>
      <c r="D1858" s="17" t="n">
        <f aca="false">IFERROR(ROUNDUP($C1858/3,0),"")</f>
        <v>3</v>
      </c>
      <c r="E1858" s="11" t="str">
        <f aca="false">TRIM('수출입 실적(품목별)'!B1862)</f>
        <v>27</v>
      </c>
      <c r="F1858" s="11" t="str">
        <f aca="false">TRIM('수출입 실적(품목별)'!C1862)</f>
        <v>광물성 연료ㆍ광물유(鑛物油)와 이들의 증류물, 역청(瀝靑)물질, 광물성 왁스</v>
      </c>
      <c r="G1858" s="18" t="n">
        <f aca="false">IFERROR(VALUE(SUBSTITUTE(TRIM('수출입 실적(품목별)'!D1862),",","")),"")</f>
        <v>6285609.6</v>
      </c>
      <c r="H1858" s="19" t="n">
        <f aca="false">IFERROR(VALUE(SUBSTITUTE(TRIM('수출입 실적(품목별)'!E1862),",","")),"")</f>
        <v>4260591</v>
      </c>
      <c r="I1858" s="18" t="n">
        <f aca="false">IFERROR(VALUE(SUBSTITUTE(TRIM('수출입 실적(품목별)'!F1862),",","")),"")</f>
        <v>32739691</v>
      </c>
      <c r="J1858" s="19" t="n">
        <f aca="false">IFERROR(VALUE(SUBSTITUTE(TRIM('수출입 실적(품목별)'!G1862),",","")),"")</f>
        <v>12791214</v>
      </c>
      <c r="K1858" s="19" t="n">
        <f aca="false">IFERROR(VALUE(SUBSTITUTE(TRIM('수출입 실적(품목별)'!H1862),",","")),"")</f>
        <v>-8530623</v>
      </c>
    </row>
    <row r="1859" customFormat="false" ht="15" hidden="false" customHeight="true" outlineLevel="0" collapsed="false">
      <c r="A1859" s="11" t="str">
        <f aca="false">TRIM('수출입 실적(품목별)'!A1863)</f>
        <v>2025.08</v>
      </c>
      <c r="B1859" s="17" t="n">
        <f aca="false">IFERROR(VALUE(LEFT($A1859,4)),"")</f>
        <v>2025</v>
      </c>
      <c r="C1859" s="17" t="n">
        <f aca="false">IFERROR(VALUE(RIGHT($A1859,2)),"")</f>
        <v>8</v>
      </c>
      <c r="D1859" s="17" t="n">
        <f aca="false">IFERROR(ROUNDUP($C1859/3,0),"")</f>
        <v>3</v>
      </c>
      <c r="E1859" s="11" t="str">
        <f aca="false">TRIM('수출입 실적(품목별)'!B1863)</f>
        <v>28</v>
      </c>
      <c r="F1859" s="11" t="str">
        <f aca="false">TRIM('수출입 실적(품목별)'!C1863)</f>
        <v>무기화학품, 귀금속ㆍ희토류(稀土類)금속ㆍ방사성원소ㆍ동위원소의 유기화합물이나 무기화합물</v>
      </c>
      <c r="G1859" s="18" t="n">
        <f aca="false">IFERROR(VALUE(SUBSTITUTE(TRIM('수출입 실적(품목별)'!D1863),",","")),"")</f>
        <v>477450.6</v>
      </c>
      <c r="H1859" s="19" t="n">
        <f aca="false">IFERROR(VALUE(SUBSTITUTE(TRIM('수출입 실적(품목별)'!E1863),",","")),"")</f>
        <v>679887</v>
      </c>
      <c r="I1859" s="18" t="n">
        <f aca="false">IFERROR(VALUE(SUBSTITUTE(TRIM('수출입 실적(품목별)'!F1863),",","")),"")</f>
        <v>347770.2</v>
      </c>
      <c r="J1859" s="19" t="n">
        <f aca="false">IFERROR(VALUE(SUBSTITUTE(TRIM('수출입 실적(품목별)'!G1863),",","")),"")</f>
        <v>764003</v>
      </c>
      <c r="K1859" s="19" t="n">
        <f aca="false">IFERROR(VALUE(SUBSTITUTE(TRIM('수출입 실적(품목별)'!H1863),",","")),"")</f>
        <v>-84115</v>
      </c>
    </row>
    <row r="1860" customFormat="false" ht="15" hidden="false" customHeight="true" outlineLevel="0" collapsed="false">
      <c r="A1860" s="11" t="str">
        <f aca="false">TRIM('수출입 실적(품목별)'!A1864)</f>
        <v>2025.08</v>
      </c>
      <c r="B1860" s="17" t="n">
        <f aca="false">IFERROR(VALUE(LEFT($A1860,4)),"")</f>
        <v>2025</v>
      </c>
      <c r="C1860" s="17" t="n">
        <f aca="false">IFERROR(VALUE(RIGHT($A1860,2)),"")</f>
        <v>8</v>
      </c>
      <c r="D1860" s="17" t="n">
        <f aca="false">IFERROR(ROUNDUP($C1860/3,0),"")</f>
        <v>3</v>
      </c>
      <c r="E1860" s="11" t="str">
        <f aca="false">TRIM('수출입 실적(품목별)'!B1864)</f>
        <v>29</v>
      </c>
      <c r="F1860" s="11" t="str">
        <f aca="false">TRIM('수출입 실적(품목별)'!C1864)</f>
        <v>유기화학품</v>
      </c>
      <c r="G1860" s="18" t="n">
        <f aca="false">IFERROR(VALUE(SUBSTITUTE(TRIM('수출입 실적(품목별)'!D1864),",","")),"")</f>
        <v>1628531.7</v>
      </c>
      <c r="H1860" s="19" t="n">
        <f aca="false">IFERROR(VALUE(SUBSTITUTE(TRIM('수출입 실적(품목별)'!E1864),",","")),"")</f>
        <v>1554893</v>
      </c>
      <c r="I1860" s="18" t="n">
        <f aca="false">IFERROR(VALUE(SUBSTITUTE(TRIM('수출입 실적(품목별)'!F1864),",","")),"")</f>
        <v>733979.1</v>
      </c>
      <c r="J1860" s="19" t="n">
        <f aca="false">IFERROR(VALUE(SUBSTITUTE(TRIM('수출입 실적(품목별)'!G1864),",","")),"")</f>
        <v>1040155</v>
      </c>
      <c r="K1860" s="19" t="n">
        <f aca="false">IFERROR(VALUE(SUBSTITUTE(TRIM('수출입 실적(품목별)'!H1864),",","")),"")</f>
        <v>514738</v>
      </c>
    </row>
    <row r="1861" customFormat="false" ht="15" hidden="false" customHeight="true" outlineLevel="0" collapsed="false">
      <c r="A1861" s="11" t="str">
        <f aca="false">TRIM('수출입 실적(품목별)'!A1865)</f>
        <v>2025.08</v>
      </c>
      <c r="B1861" s="17" t="n">
        <f aca="false">IFERROR(VALUE(LEFT($A1861,4)),"")</f>
        <v>2025</v>
      </c>
      <c r="C1861" s="17" t="n">
        <f aca="false">IFERROR(VALUE(RIGHT($A1861,2)),"")</f>
        <v>8</v>
      </c>
      <c r="D1861" s="17" t="n">
        <f aca="false">IFERROR(ROUNDUP($C1861/3,0),"")</f>
        <v>3</v>
      </c>
      <c r="E1861" s="11" t="str">
        <f aca="false">TRIM('수출입 실적(품목별)'!B1865)</f>
        <v>30</v>
      </c>
      <c r="F1861" s="11" t="str">
        <f aca="false">TRIM('수출입 실적(품목별)'!C1865)</f>
        <v>의료용품</v>
      </c>
      <c r="G1861" s="18" t="n">
        <f aca="false">IFERROR(VALUE(SUBSTITUTE(TRIM('수출입 실적(품목별)'!D1865),",","")),"")</f>
        <v>2319</v>
      </c>
      <c r="H1861" s="19" t="n">
        <f aca="false">IFERROR(VALUE(SUBSTITUTE(TRIM('수출입 실적(품목별)'!E1865),",","")),"")</f>
        <v>649797</v>
      </c>
      <c r="I1861" s="18" t="n">
        <f aca="false">IFERROR(VALUE(SUBSTITUTE(TRIM('수출입 실적(품목별)'!F1865),",","")),"")</f>
        <v>6458</v>
      </c>
      <c r="J1861" s="19" t="n">
        <f aca="false">IFERROR(VALUE(SUBSTITUTE(TRIM('수출입 실적(품목별)'!G1865),",","")),"")</f>
        <v>822447</v>
      </c>
      <c r="K1861" s="19" t="n">
        <f aca="false">IFERROR(VALUE(SUBSTITUTE(TRIM('수출입 실적(품목별)'!H1865),",","")),"")</f>
        <v>-172649</v>
      </c>
    </row>
    <row r="1862" customFormat="false" ht="15" hidden="false" customHeight="true" outlineLevel="0" collapsed="false">
      <c r="A1862" s="11" t="str">
        <f aca="false">TRIM('수출입 실적(품목별)'!A1866)</f>
        <v>2025.08</v>
      </c>
      <c r="B1862" s="17" t="n">
        <f aca="false">IFERROR(VALUE(LEFT($A1862,4)),"")</f>
        <v>2025</v>
      </c>
      <c r="C1862" s="17" t="n">
        <f aca="false">IFERROR(VALUE(RIGHT($A1862,2)),"")</f>
        <v>8</v>
      </c>
      <c r="D1862" s="17" t="n">
        <f aca="false">IFERROR(ROUNDUP($C1862/3,0),"")</f>
        <v>3</v>
      </c>
      <c r="E1862" s="11" t="str">
        <f aca="false">TRIM('수출입 실적(품목별)'!B1866)</f>
        <v>31</v>
      </c>
      <c r="F1862" s="11" t="str">
        <f aca="false">TRIM('수출입 실적(품목별)'!C1866)</f>
        <v>비료</v>
      </c>
      <c r="G1862" s="18" t="n">
        <f aca="false">IFERROR(VALUE(SUBSTITUTE(TRIM('수출입 실적(품목별)'!D1866),",","")),"")</f>
        <v>131489.8</v>
      </c>
      <c r="H1862" s="19" t="n">
        <f aca="false">IFERROR(VALUE(SUBSTITUTE(TRIM('수출입 실적(품목별)'!E1866),",","")),"")</f>
        <v>50044</v>
      </c>
      <c r="I1862" s="18" t="n">
        <f aca="false">IFERROR(VALUE(SUBSTITUTE(TRIM('수출입 실적(품목별)'!F1866),",","")),"")</f>
        <v>129362.3</v>
      </c>
      <c r="J1862" s="19" t="n">
        <f aca="false">IFERROR(VALUE(SUBSTITUTE(TRIM('수출입 실적(품목별)'!G1866),",","")),"")</f>
        <v>63447</v>
      </c>
      <c r="K1862" s="19" t="n">
        <f aca="false">IFERROR(VALUE(SUBSTITUTE(TRIM('수출입 실적(품목별)'!H1866),",","")),"")</f>
        <v>-13402</v>
      </c>
    </row>
    <row r="1863" customFormat="false" ht="15" hidden="false" customHeight="true" outlineLevel="0" collapsed="false">
      <c r="A1863" s="11" t="str">
        <f aca="false">TRIM('수출입 실적(품목별)'!A1867)</f>
        <v>2025.08</v>
      </c>
      <c r="B1863" s="17" t="n">
        <f aca="false">IFERROR(VALUE(LEFT($A1863,4)),"")</f>
        <v>2025</v>
      </c>
      <c r="C1863" s="17" t="n">
        <f aca="false">IFERROR(VALUE(RIGHT($A1863,2)),"")</f>
        <v>8</v>
      </c>
      <c r="D1863" s="17" t="n">
        <f aca="false">IFERROR(ROUNDUP($C1863/3,0),"")</f>
        <v>3</v>
      </c>
      <c r="E1863" s="11" t="str">
        <f aca="false">TRIM('수출입 실적(품목별)'!B1867)</f>
        <v>32</v>
      </c>
      <c r="F1863" s="11" t="str">
        <f aca="false">TRIM('수출입 실적(품목별)'!C1867)</f>
        <v>유연용ㆍ염색용 추출물(extract), 탄닌과 이들의 유도체, 염료ㆍ안료와 그 밖의 착색제, 페인트ㆍ바니시(varnish), 퍼티(putty)와 그 밖의 매스틱(mastic), 잉크</v>
      </c>
      <c r="G1863" s="18" t="n">
        <f aca="false">IFERROR(VALUE(SUBSTITUTE(TRIM('수출입 실적(품목별)'!D1867),",","")),"")</f>
        <v>25562.8</v>
      </c>
      <c r="H1863" s="19" t="n">
        <f aca="false">IFERROR(VALUE(SUBSTITUTE(TRIM('수출입 실적(품목별)'!E1867),",","")),"")</f>
        <v>215634</v>
      </c>
      <c r="I1863" s="18" t="n">
        <f aca="false">IFERROR(VALUE(SUBSTITUTE(TRIM('수출입 실적(품목별)'!F1867),",","")),"")</f>
        <v>23251.2</v>
      </c>
      <c r="J1863" s="19" t="n">
        <f aca="false">IFERROR(VALUE(SUBSTITUTE(TRIM('수출입 실적(품목별)'!G1867),",","")),"")</f>
        <v>167050</v>
      </c>
      <c r="K1863" s="19" t="n">
        <f aca="false">IFERROR(VALUE(SUBSTITUTE(TRIM('수출입 실적(품목별)'!H1867),",","")),"")</f>
        <v>48584</v>
      </c>
    </row>
    <row r="1864" customFormat="false" ht="15" hidden="false" customHeight="true" outlineLevel="0" collapsed="false">
      <c r="A1864" s="11" t="str">
        <f aca="false">TRIM('수출입 실적(품목별)'!A1868)</f>
        <v>2025.08</v>
      </c>
      <c r="B1864" s="17" t="n">
        <f aca="false">IFERROR(VALUE(LEFT($A1864,4)),"")</f>
        <v>2025</v>
      </c>
      <c r="C1864" s="17" t="n">
        <f aca="false">IFERROR(VALUE(RIGHT($A1864,2)),"")</f>
        <v>8</v>
      </c>
      <c r="D1864" s="17" t="n">
        <f aca="false">IFERROR(ROUNDUP($C1864/3,0),"")</f>
        <v>3</v>
      </c>
      <c r="E1864" s="11" t="str">
        <f aca="false">TRIM('수출입 실적(품목별)'!B1868)</f>
        <v>33</v>
      </c>
      <c r="F1864" s="11" t="str">
        <f aca="false">TRIM('수출입 실적(품목별)'!C1868)</f>
        <v>정유(essential oil)와 레지노이드(resinoid), 조제향료와 화장품ㆍ화장용품</v>
      </c>
      <c r="G1864" s="18" t="n">
        <f aca="false">IFERROR(VALUE(SUBSTITUTE(TRIM('수출입 실적(품목별)'!D1868),",","")),"")</f>
        <v>37827.9</v>
      </c>
      <c r="H1864" s="19" t="n">
        <f aca="false">IFERROR(VALUE(SUBSTITUTE(TRIM('수출입 실적(품목별)'!E1868),",","")),"")</f>
        <v>833141</v>
      </c>
      <c r="I1864" s="18" t="n">
        <f aca="false">IFERROR(VALUE(SUBSTITUTE(TRIM('수출입 실적(품목별)'!F1868),",","")),"")</f>
        <v>9070.4</v>
      </c>
      <c r="J1864" s="19" t="n">
        <f aca="false">IFERROR(VALUE(SUBSTITUTE(TRIM('수출입 실적(품목별)'!G1868),",","")),"")</f>
        <v>178189</v>
      </c>
      <c r="K1864" s="19" t="n">
        <f aca="false">IFERROR(VALUE(SUBSTITUTE(TRIM('수출입 실적(품목별)'!H1868),",","")),"")</f>
        <v>654952</v>
      </c>
    </row>
    <row r="1865" customFormat="false" ht="15" hidden="false" customHeight="true" outlineLevel="0" collapsed="false">
      <c r="A1865" s="11" t="str">
        <f aca="false">TRIM('수출입 실적(품목별)'!A1869)</f>
        <v>2025.08</v>
      </c>
      <c r="B1865" s="17" t="n">
        <f aca="false">IFERROR(VALUE(LEFT($A1865,4)),"")</f>
        <v>2025</v>
      </c>
      <c r="C1865" s="17" t="n">
        <f aca="false">IFERROR(VALUE(RIGHT($A1865,2)),"")</f>
        <v>8</v>
      </c>
      <c r="D1865" s="17" t="n">
        <f aca="false">IFERROR(ROUNDUP($C1865/3,0),"")</f>
        <v>3</v>
      </c>
      <c r="E1865" s="11" t="str">
        <f aca="false">TRIM('수출입 실적(품목별)'!B1869)</f>
        <v>34</v>
      </c>
      <c r="F1865" s="11" t="str">
        <f aca="false">TRIM('수출입 실적(품목별)'!C1869)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865" s="18" t="n">
        <f aca="false">IFERROR(VALUE(SUBSTITUTE(TRIM('수출입 실적(품목별)'!D1869),",","")),"")</f>
        <v>52856.1</v>
      </c>
      <c r="H1865" s="19" t="n">
        <f aca="false">IFERROR(VALUE(SUBSTITUTE(TRIM('수출입 실적(품목별)'!E1869),",","")),"")</f>
        <v>149230</v>
      </c>
      <c r="I1865" s="18" t="n">
        <f aca="false">IFERROR(VALUE(SUBSTITUTE(TRIM('수출입 실적(품목별)'!F1869),",","")),"")</f>
        <v>23767.4</v>
      </c>
      <c r="J1865" s="19" t="n">
        <f aca="false">IFERROR(VALUE(SUBSTITUTE(TRIM('수출입 실적(품목별)'!G1869),",","")),"")</f>
        <v>91341</v>
      </c>
      <c r="K1865" s="19" t="n">
        <f aca="false">IFERROR(VALUE(SUBSTITUTE(TRIM('수출입 실적(품목별)'!H1869),",","")),"")</f>
        <v>57890</v>
      </c>
    </row>
    <row r="1866" customFormat="false" ht="15" hidden="false" customHeight="true" outlineLevel="0" collapsed="false">
      <c r="A1866" s="11" t="str">
        <f aca="false">TRIM('수출입 실적(품목별)'!A1870)</f>
        <v>2025.08</v>
      </c>
      <c r="B1866" s="17" t="n">
        <f aca="false">IFERROR(VALUE(LEFT($A1866,4)),"")</f>
        <v>2025</v>
      </c>
      <c r="C1866" s="17" t="n">
        <f aca="false">IFERROR(VALUE(RIGHT($A1866,2)),"")</f>
        <v>8</v>
      </c>
      <c r="D1866" s="17" t="n">
        <f aca="false">IFERROR(ROUNDUP($C1866/3,0),"")</f>
        <v>3</v>
      </c>
      <c r="E1866" s="11" t="str">
        <f aca="false">TRIM('수출입 실적(품목별)'!B1870)</f>
        <v>35</v>
      </c>
      <c r="F1866" s="11" t="str">
        <f aca="false">TRIM('수출입 실적(품목별)'!C1870)</f>
        <v>단백질계 물질, 변성전분, 글루(glue), 효소</v>
      </c>
      <c r="G1866" s="18" t="n">
        <f aca="false">IFERROR(VALUE(SUBSTITUTE(TRIM('수출입 실적(품목별)'!D1870),",","")),"")</f>
        <v>6026.8</v>
      </c>
      <c r="H1866" s="19" t="n">
        <f aca="false">IFERROR(VALUE(SUBSTITUTE(TRIM('수출입 실적(품목별)'!E1870),",","")),"")</f>
        <v>78499</v>
      </c>
      <c r="I1866" s="18" t="n">
        <f aca="false">IFERROR(VALUE(SUBSTITUTE(TRIM('수출입 실적(품목별)'!F1870),",","")),"")</f>
        <v>21782.7</v>
      </c>
      <c r="J1866" s="19" t="n">
        <f aca="false">IFERROR(VALUE(SUBSTITUTE(TRIM('수출입 실적(품목별)'!G1870),",","")),"")</f>
        <v>90950</v>
      </c>
      <c r="K1866" s="19" t="n">
        <f aca="false">IFERROR(VALUE(SUBSTITUTE(TRIM('수출입 실적(품목별)'!H1870),",","")),"")</f>
        <v>-12450</v>
      </c>
    </row>
    <row r="1867" customFormat="false" ht="15" hidden="false" customHeight="true" outlineLevel="0" collapsed="false">
      <c r="A1867" s="11" t="str">
        <f aca="false">TRIM('수출입 실적(품목별)'!A1871)</f>
        <v>2025.08</v>
      </c>
      <c r="B1867" s="17" t="n">
        <f aca="false">IFERROR(VALUE(LEFT($A1867,4)),"")</f>
        <v>2025</v>
      </c>
      <c r="C1867" s="17" t="n">
        <f aca="false">IFERROR(VALUE(RIGHT($A1867,2)),"")</f>
        <v>8</v>
      </c>
      <c r="D1867" s="17" t="n">
        <f aca="false">IFERROR(ROUNDUP($C1867/3,0),"")</f>
        <v>3</v>
      </c>
      <c r="E1867" s="11" t="str">
        <f aca="false">TRIM('수출입 실적(품목별)'!B1871)</f>
        <v>36</v>
      </c>
      <c r="F1867" s="11" t="str">
        <f aca="false">TRIM('수출입 실적(품목별)'!C1871)</f>
        <v>화약류, 화공품, 성냥, 발화성 합금, 특정 가연성 조제품</v>
      </c>
      <c r="G1867" s="18" t="n">
        <f aca="false">IFERROR(VALUE(SUBSTITUTE(TRIM('수출입 실적(품목별)'!D1871),",","")),"")</f>
        <v>91.1</v>
      </c>
      <c r="H1867" s="19" t="n">
        <f aca="false">IFERROR(VALUE(SUBSTITUTE(TRIM('수출입 실적(품목별)'!E1871),",","")),"")</f>
        <v>1323</v>
      </c>
      <c r="I1867" s="18" t="n">
        <f aca="false">IFERROR(VALUE(SUBSTITUTE(TRIM('수출입 실적(품목별)'!F1871),",","")),"")</f>
        <v>191.6</v>
      </c>
      <c r="J1867" s="19" t="n">
        <f aca="false">IFERROR(VALUE(SUBSTITUTE(TRIM('수출입 실적(품목별)'!G1871),",","")),"")</f>
        <v>6446</v>
      </c>
      <c r="K1867" s="19" t="n">
        <f aca="false">IFERROR(VALUE(SUBSTITUTE(TRIM('수출입 실적(품목별)'!H1871),",","")),"")</f>
        <v>-5124</v>
      </c>
    </row>
    <row r="1868" customFormat="false" ht="15" hidden="false" customHeight="true" outlineLevel="0" collapsed="false">
      <c r="A1868" s="11" t="str">
        <f aca="false">TRIM('수출입 실적(품목별)'!A1872)</f>
        <v>2025.08</v>
      </c>
      <c r="B1868" s="17" t="n">
        <f aca="false">IFERROR(VALUE(LEFT($A1868,4)),"")</f>
        <v>2025</v>
      </c>
      <c r="C1868" s="17" t="n">
        <f aca="false">IFERROR(VALUE(RIGHT($A1868,2)),"")</f>
        <v>8</v>
      </c>
      <c r="D1868" s="17" t="n">
        <f aca="false">IFERROR(ROUNDUP($C1868/3,0),"")</f>
        <v>3</v>
      </c>
      <c r="E1868" s="11" t="str">
        <f aca="false">TRIM('수출입 실적(품목별)'!B1872)</f>
        <v>37</v>
      </c>
      <c r="F1868" s="11" t="str">
        <f aca="false">TRIM('수출입 실적(품목별)'!C1872)</f>
        <v>사진용이나 영화용 재료</v>
      </c>
      <c r="G1868" s="18" t="n">
        <f aca="false">IFERROR(VALUE(SUBSTITUTE(TRIM('수출입 실적(품목별)'!D1872),",","")),"")</f>
        <v>1750.5</v>
      </c>
      <c r="H1868" s="19" t="n">
        <f aca="false">IFERROR(VALUE(SUBSTITUTE(TRIM('수출입 실적(품목별)'!E1872),",","")),"")</f>
        <v>94362</v>
      </c>
      <c r="I1868" s="18" t="n">
        <f aca="false">IFERROR(VALUE(SUBSTITUTE(TRIM('수출입 실적(품목별)'!F1872),",","")),"")</f>
        <v>2765.1</v>
      </c>
      <c r="J1868" s="19" t="n">
        <f aca="false">IFERROR(VALUE(SUBSTITUTE(TRIM('수출입 실적(품목별)'!G1872),",","")),"")</f>
        <v>96477</v>
      </c>
      <c r="K1868" s="19" t="n">
        <f aca="false">IFERROR(VALUE(SUBSTITUTE(TRIM('수출입 실적(품목별)'!H1872),",","")),"")</f>
        <v>-2115</v>
      </c>
    </row>
    <row r="1869" customFormat="false" ht="15" hidden="false" customHeight="true" outlineLevel="0" collapsed="false">
      <c r="A1869" s="11" t="str">
        <f aca="false">TRIM('수출입 실적(품목별)'!A1873)</f>
        <v>2025.08</v>
      </c>
      <c r="B1869" s="17" t="n">
        <f aca="false">IFERROR(VALUE(LEFT($A1869,4)),"")</f>
        <v>2025</v>
      </c>
      <c r="C1869" s="17" t="n">
        <f aca="false">IFERROR(VALUE(RIGHT($A1869,2)),"")</f>
        <v>8</v>
      </c>
      <c r="D1869" s="17" t="n">
        <f aca="false">IFERROR(ROUNDUP($C1869/3,0),"")</f>
        <v>3</v>
      </c>
      <c r="E1869" s="11" t="str">
        <f aca="false">TRIM('수출입 실적(품목별)'!B1873)</f>
        <v>38</v>
      </c>
      <c r="F1869" s="11" t="str">
        <f aca="false">TRIM('수출입 실적(품목별)'!C1873)</f>
        <v>각종 화학공업 생산품</v>
      </c>
      <c r="G1869" s="18" t="n">
        <f aca="false">IFERROR(VALUE(SUBSTITUTE(TRIM('수출입 실적(품목별)'!D1873),",","")),"")</f>
        <v>111498.3</v>
      </c>
      <c r="H1869" s="19" t="n">
        <f aca="false">IFERROR(VALUE(SUBSTITUTE(TRIM('수출입 실적(품목별)'!E1873),",","")),"")</f>
        <v>691406</v>
      </c>
      <c r="I1869" s="18" t="n">
        <f aca="false">IFERROR(VALUE(SUBSTITUTE(TRIM('수출입 실적(품목별)'!F1873),",","")),"")</f>
        <v>189433</v>
      </c>
      <c r="J1869" s="19" t="n">
        <f aca="false">IFERROR(VALUE(SUBSTITUTE(TRIM('수출입 실적(품목별)'!G1873),",","")),"")</f>
        <v>783538</v>
      </c>
      <c r="K1869" s="19" t="n">
        <f aca="false">IFERROR(VALUE(SUBSTITUTE(TRIM('수출입 실적(품목별)'!H1873),",","")),"")</f>
        <v>-92132</v>
      </c>
    </row>
    <row r="1870" customFormat="false" ht="15" hidden="false" customHeight="true" outlineLevel="0" collapsed="false">
      <c r="A1870" s="11" t="str">
        <f aca="false">TRIM('수출입 실적(품목별)'!A1874)</f>
        <v>2025.08</v>
      </c>
      <c r="B1870" s="17" t="n">
        <f aca="false">IFERROR(VALUE(LEFT($A1870,4)),"")</f>
        <v>2025</v>
      </c>
      <c r="C1870" s="17" t="n">
        <f aca="false">IFERROR(VALUE(RIGHT($A1870,2)),"")</f>
        <v>8</v>
      </c>
      <c r="D1870" s="17" t="n">
        <f aca="false">IFERROR(ROUNDUP($C1870/3,0),"")</f>
        <v>3</v>
      </c>
      <c r="E1870" s="11" t="str">
        <f aca="false">TRIM('수출입 실적(품목별)'!B1874)</f>
        <v>39</v>
      </c>
      <c r="F1870" s="11" t="str">
        <f aca="false">TRIM('수출입 실적(품목별)'!C1874)</f>
        <v>플라스틱과 그 제품</v>
      </c>
      <c r="G1870" s="18" t="n">
        <f aca="false">IFERROR(VALUE(SUBSTITUTE(TRIM('수출입 실적(품목별)'!D1874),",","")),"")</f>
        <v>1388924.9</v>
      </c>
      <c r="H1870" s="19" t="n">
        <f aca="false">IFERROR(VALUE(SUBSTITUTE(TRIM('수출입 실적(품목별)'!E1874),",","")),"")</f>
        <v>2708020</v>
      </c>
      <c r="I1870" s="18" t="n">
        <f aca="false">IFERROR(VALUE(SUBSTITUTE(TRIM('수출입 실적(품목별)'!F1874),",","")),"")</f>
        <v>264867.8</v>
      </c>
      <c r="J1870" s="19" t="n">
        <f aca="false">IFERROR(VALUE(SUBSTITUTE(TRIM('수출입 실적(품목별)'!G1874),",","")),"")</f>
        <v>1058085</v>
      </c>
      <c r="K1870" s="19" t="n">
        <f aca="false">IFERROR(VALUE(SUBSTITUTE(TRIM('수출입 실적(품목별)'!H1874),",","")),"")</f>
        <v>1649935</v>
      </c>
    </row>
    <row r="1871" customFormat="false" ht="15" hidden="false" customHeight="true" outlineLevel="0" collapsed="false">
      <c r="A1871" s="11" t="str">
        <f aca="false">TRIM('수출입 실적(품목별)'!A1875)</f>
        <v>2025.08</v>
      </c>
      <c r="B1871" s="17" t="n">
        <f aca="false">IFERROR(VALUE(LEFT($A1871,4)),"")</f>
        <v>2025</v>
      </c>
      <c r="C1871" s="17" t="n">
        <f aca="false">IFERROR(VALUE(RIGHT($A1871,2)),"")</f>
        <v>8</v>
      </c>
      <c r="D1871" s="17" t="n">
        <f aca="false">IFERROR(ROUNDUP($C1871/3,0),"")</f>
        <v>3</v>
      </c>
      <c r="E1871" s="11" t="str">
        <f aca="false">TRIM('수출입 실적(품목별)'!B1875)</f>
        <v>40</v>
      </c>
      <c r="F1871" s="11" t="str">
        <f aca="false">TRIM('수출입 실적(품목별)'!C1875)</f>
        <v>고무와 그 제품</v>
      </c>
      <c r="G1871" s="18" t="n">
        <f aca="false">IFERROR(VALUE(SUBSTITUTE(TRIM('수출입 실적(품목별)'!D1875),",","")),"")</f>
        <v>231153.2</v>
      </c>
      <c r="H1871" s="19" t="n">
        <f aca="false">IFERROR(VALUE(SUBSTITUTE(TRIM('수출입 실적(품목별)'!E1875),",","")),"")</f>
        <v>546986</v>
      </c>
      <c r="I1871" s="18" t="n">
        <f aca="false">IFERROR(VALUE(SUBSTITUTE(TRIM('수출입 실적(품목별)'!F1875),",","")),"")</f>
        <v>72552.4</v>
      </c>
      <c r="J1871" s="19" t="n">
        <f aca="false">IFERROR(VALUE(SUBSTITUTE(TRIM('수출입 실적(품목별)'!G1875),",","")),"")</f>
        <v>243886</v>
      </c>
      <c r="K1871" s="19" t="n">
        <f aca="false">IFERROR(VALUE(SUBSTITUTE(TRIM('수출입 실적(품목별)'!H1875),",","")),"")</f>
        <v>303099</v>
      </c>
    </row>
    <row r="1872" customFormat="false" ht="15" hidden="false" customHeight="true" outlineLevel="0" collapsed="false">
      <c r="A1872" s="11" t="str">
        <f aca="false">TRIM('수출입 실적(품목별)'!A1876)</f>
        <v>2025.08</v>
      </c>
      <c r="B1872" s="17" t="n">
        <f aca="false">IFERROR(VALUE(LEFT($A1872,4)),"")</f>
        <v>2025</v>
      </c>
      <c r="C1872" s="17" t="n">
        <f aca="false">IFERROR(VALUE(RIGHT($A1872,2)),"")</f>
        <v>8</v>
      </c>
      <c r="D1872" s="17" t="n">
        <f aca="false">IFERROR(ROUNDUP($C1872/3,0),"")</f>
        <v>3</v>
      </c>
      <c r="E1872" s="11" t="str">
        <f aca="false">TRIM('수출입 실적(품목별)'!B1876)</f>
        <v>41</v>
      </c>
      <c r="F1872" s="11" t="str">
        <f aca="false">TRIM('수출입 실적(품목별)'!C1876)</f>
        <v>원피(모피는 제외한다)와 가죽</v>
      </c>
      <c r="G1872" s="18" t="n">
        <f aca="false">IFERROR(VALUE(SUBSTITUTE(TRIM('수출입 실적(품목별)'!D1876),",","")),"")</f>
        <v>2340</v>
      </c>
      <c r="H1872" s="19" t="n">
        <f aca="false">IFERROR(VALUE(SUBSTITUTE(TRIM('수출입 실적(품목별)'!E1876),",","")),"")</f>
        <v>17443</v>
      </c>
      <c r="I1872" s="18" t="n">
        <f aca="false">IFERROR(VALUE(SUBSTITUTE(TRIM('수출입 실적(품목별)'!F1876),",","")),"")</f>
        <v>7582.6</v>
      </c>
      <c r="J1872" s="19" t="n">
        <f aca="false">IFERROR(VALUE(SUBSTITUTE(TRIM('수출입 실적(품목별)'!G1876),",","")),"")</f>
        <v>21015</v>
      </c>
      <c r="K1872" s="19" t="n">
        <f aca="false">IFERROR(VALUE(SUBSTITUTE(TRIM('수출입 실적(품목별)'!H1876),",","")),"")</f>
        <v>-3573</v>
      </c>
    </row>
    <row r="1873" customFormat="false" ht="15" hidden="false" customHeight="true" outlineLevel="0" collapsed="false">
      <c r="A1873" s="11" t="str">
        <f aca="false">TRIM('수출입 실적(품목별)'!A1877)</f>
        <v>2025.08</v>
      </c>
      <c r="B1873" s="17" t="n">
        <f aca="false">IFERROR(VALUE(LEFT($A1873,4)),"")</f>
        <v>2025</v>
      </c>
      <c r="C1873" s="17" t="n">
        <f aca="false">IFERROR(VALUE(RIGHT($A1873,2)),"")</f>
        <v>8</v>
      </c>
      <c r="D1873" s="17" t="n">
        <f aca="false">IFERROR(ROUNDUP($C1873/3,0),"")</f>
        <v>3</v>
      </c>
      <c r="E1873" s="11" t="str">
        <f aca="false">TRIM('수출입 실적(품목별)'!B1877)</f>
        <v>42</v>
      </c>
      <c r="F1873" s="11" t="str">
        <f aca="false">TRIM('수출입 실적(품목별)'!C1877)</f>
        <v>가죽제품, 마구, 여행용구ㆍ핸드백과 이와 유사한 용기, 동물 거트(gut)[누에의 거트(gut)는 제외한다]의 제품</v>
      </c>
      <c r="G1873" s="18" t="n">
        <f aca="false">IFERROR(VALUE(SUBSTITUTE(TRIM('수출입 실적(품목별)'!D1877),",","")),"")</f>
        <v>866.3</v>
      </c>
      <c r="H1873" s="19" t="n">
        <f aca="false">IFERROR(VALUE(SUBSTITUTE(TRIM('수출입 실적(품목별)'!E1877),",","")),"")</f>
        <v>39428</v>
      </c>
      <c r="I1873" s="18" t="n">
        <f aca="false">IFERROR(VALUE(SUBSTITUTE(TRIM('수출입 실적(품목별)'!F1877),",","")),"")</f>
        <v>8860.1</v>
      </c>
      <c r="J1873" s="19" t="n">
        <f aca="false">IFERROR(VALUE(SUBSTITUTE(TRIM('수출입 실적(품목별)'!G1877),",","")),"")</f>
        <v>276825</v>
      </c>
      <c r="K1873" s="19" t="n">
        <f aca="false">IFERROR(VALUE(SUBSTITUTE(TRIM('수출입 실적(품목별)'!H1877),",","")),"")</f>
        <v>-237397</v>
      </c>
    </row>
    <row r="1874" customFormat="false" ht="15" hidden="false" customHeight="true" outlineLevel="0" collapsed="false">
      <c r="A1874" s="11" t="str">
        <f aca="false">TRIM('수출입 실적(품목별)'!A1878)</f>
        <v>2025.08</v>
      </c>
      <c r="B1874" s="17" t="n">
        <f aca="false">IFERROR(VALUE(LEFT($A1874,4)),"")</f>
        <v>2025</v>
      </c>
      <c r="C1874" s="17" t="n">
        <f aca="false">IFERROR(VALUE(RIGHT($A1874,2)),"")</f>
        <v>8</v>
      </c>
      <c r="D1874" s="17" t="n">
        <f aca="false">IFERROR(ROUNDUP($C1874/3,0),"")</f>
        <v>3</v>
      </c>
      <c r="E1874" s="11" t="str">
        <f aca="false">TRIM('수출입 실적(품목별)'!B1878)</f>
        <v>43</v>
      </c>
      <c r="F1874" s="11" t="str">
        <f aca="false">TRIM('수출입 실적(품목별)'!C1878)</f>
        <v>모피ㆍ인조모피와 이들의 제품</v>
      </c>
      <c r="G1874" s="18" t="n">
        <f aca="false">IFERROR(VALUE(SUBSTITUTE(TRIM('수출입 실적(품목별)'!D1878),",","")),"")</f>
        <v>7</v>
      </c>
      <c r="H1874" s="19" t="n">
        <f aca="false">IFERROR(VALUE(SUBSTITUTE(TRIM('수출입 실적(품목별)'!E1878),",","")),"")</f>
        <v>700</v>
      </c>
      <c r="I1874" s="18" t="n">
        <f aca="false">IFERROR(VALUE(SUBSTITUTE(TRIM('수출입 실적(품목별)'!F1878),",","")),"")</f>
        <v>81.1</v>
      </c>
      <c r="J1874" s="19" t="n">
        <f aca="false">IFERROR(VALUE(SUBSTITUTE(TRIM('수출입 실적(품목별)'!G1878),",","")),"")</f>
        <v>13856</v>
      </c>
      <c r="K1874" s="19" t="n">
        <f aca="false">IFERROR(VALUE(SUBSTITUTE(TRIM('수출입 실적(품목별)'!H1878),",","")),"")</f>
        <v>-13156</v>
      </c>
    </row>
    <row r="1875" customFormat="false" ht="15" hidden="false" customHeight="true" outlineLevel="0" collapsed="false">
      <c r="A1875" s="11" t="str">
        <f aca="false">TRIM('수출입 실적(품목별)'!A1879)</f>
        <v>2025.08</v>
      </c>
      <c r="B1875" s="17" t="n">
        <f aca="false">IFERROR(VALUE(LEFT($A1875,4)),"")</f>
        <v>2025</v>
      </c>
      <c r="C1875" s="17" t="n">
        <f aca="false">IFERROR(VALUE(RIGHT($A1875,2)),"")</f>
        <v>8</v>
      </c>
      <c r="D1875" s="17" t="n">
        <f aca="false">IFERROR(ROUNDUP($C1875/3,0),"")</f>
        <v>3</v>
      </c>
      <c r="E1875" s="11" t="str">
        <f aca="false">TRIM('수출입 실적(품목별)'!B1879)</f>
        <v>44</v>
      </c>
      <c r="F1875" s="11" t="str">
        <f aca="false">TRIM('수출입 실적(품목별)'!C1879)</f>
        <v>목재와 그 제품, 목탄</v>
      </c>
      <c r="G1875" s="18" t="n">
        <f aca="false">IFERROR(VALUE(SUBSTITUTE(TRIM('수출입 실적(품목별)'!D1879),",","")),"")</f>
        <v>4594.7</v>
      </c>
      <c r="H1875" s="19" t="n">
        <f aca="false">IFERROR(VALUE(SUBSTITUTE(TRIM('수출입 실적(품목별)'!E1879),",","")),"")</f>
        <v>6856</v>
      </c>
      <c r="I1875" s="18" t="n">
        <f aca="false">IFERROR(VALUE(SUBSTITUTE(TRIM('수출입 실적(품목별)'!F1879),",","")),"")</f>
        <v>746893.7</v>
      </c>
      <c r="J1875" s="19" t="n">
        <f aca="false">IFERROR(VALUE(SUBSTITUTE(TRIM('수출입 실적(품목별)'!G1879),",","")),"")</f>
        <v>222713</v>
      </c>
      <c r="K1875" s="19" t="n">
        <f aca="false">IFERROR(VALUE(SUBSTITUTE(TRIM('수출입 실적(품목별)'!H1879),",","")),"")</f>
        <v>-215857</v>
      </c>
    </row>
    <row r="1876" customFormat="false" ht="15" hidden="false" customHeight="true" outlineLevel="0" collapsed="false">
      <c r="A1876" s="11" t="str">
        <f aca="false">TRIM('수출입 실적(품목별)'!A1880)</f>
        <v>2025.08</v>
      </c>
      <c r="B1876" s="17" t="n">
        <f aca="false">IFERROR(VALUE(LEFT($A1876,4)),"")</f>
        <v>2025</v>
      </c>
      <c r="C1876" s="17" t="n">
        <f aca="false">IFERROR(VALUE(RIGHT($A1876,2)),"")</f>
        <v>8</v>
      </c>
      <c r="D1876" s="17" t="n">
        <f aca="false">IFERROR(ROUNDUP($C1876/3,0),"")</f>
        <v>3</v>
      </c>
      <c r="E1876" s="11" t="str">
        <f aca="false">TRIM('수출입 실적(품목별)'!B1880)</f>
        <v>45</v>
      </c>
      <c r="F1876" s="11" t="str">
        <f aca="false">TRIM('수출입 실적(품목별)'!C1880)</f>
        <v>코르크(cork)와 그 제품</v>
      </c>
      <c r="G1876" s="18" t="n">
        <f aca="false">IFERROR(VALUE(SUBSTITUTE(TRIM('수출입 실적(품목별)'!D1880),",","")),"")</f>
        <v>0.8</v>
      </c>
      <c r="H1876" s="19" t="n">
        <f aca="false">IFERROR(VALUE(SUBSTITUTE(TRIM('수출입 실적(품목별)'!E1880),",","")),"")</f>
        <v>15</v>
      </c>
      <c r="I1876" s="18" t="n">
        <f aca="false">IFERROR(VALUE(SUBSTITUTE(TRIM('수출입 실적(품목별)'!F1880),",","")),"")</f>
        <v>110.8</v>
      </c>
      <c r="J1876" s="19" t="n">
        <f aca="false">IFERROR(VALUE(SUBSTITUTE(TRIM('수출입 실적(품목별)'!G1880),",","")),"")</f>
        <v>496</v>
      </c>
      <c r="K1876" s="19" t="n">
        <f aca="false">IFERROR(VALUE(SUBSTITUTE(TRIM('수출입 실적(품목별)'!H1880),",","")),"")</f>
        <v>-481</v>
      </c>
    </row>
    <row r="1877" customFormat="false" ht="15" hidden="false" customHeight="true" outlineLevel="0" collapsed="false">
      <c r="A1877" s="11" t="str">
        <f aca="false">TRIM('수출입 실적(품목별)'!A1881)</f>
        <v>2025.08</v>
      </c>
      <c r="B1877" s="17" t="n">
        <f aca="false">IFERROR(VALUE(LEFT($A1877,4)),"")</f>
        <v>2025</v>
      </c>
      <c r="C1877" s="17" t="n">
        <f aca="false">IFERROR(VALUE(RIGHT($A1877,2)),"")</f>
        <v>8</v>
      </c>
      <c r="D1877" s="17" t="n">
        <f aca="false">IFERROR(ROUNDUP($C1877/3,0),"")</f>
        <v>3</v>
      </c>
      <c r="E1877" s="11" t="str">
        <f aca="false">TRIM('수출입 실적(품목별)'!B1881)</f>
        <v>46</v>
      </c>
      <c r="F1877" s="11" t="str">
        <f aca="false">TRIM('수출입 실적(품목별)'!C1881)</f>
        <v>짚ㆍ에스파르토(esparto)나 그 밖의 조물 재료의 제품, 바구니 세공물(basketware)과 지조세공물(枝條細工物)</v>
      </c>
      <c r="G1877" s="18" t="n">
        <f aca="false">IFERROR(VALUE(SUBSTITUTE(TRIM('수출입 실적(품목별)'!D1881),",","")),"")</f>
        <v>6.3</v>
      </c>
      <c r="H1877" s="19" t="n">
        <f aca="false">IFERROR(VALUE(SUBSTITUTE(TRIM('수출입 실적(품목별)'!E1881),",","")),"")</f>
        <v>182</v>
      </c>
      <c r="I1877" s="18" t="n">
        <f aca="false">IFERROR(VALUE(SUBSTITUTE(TRIM('수출입 실적(품목별)'!F1881),",","")),"")</f>
        <v>348.2</v>
      </c>
      <c r="J1877" s="19" t="n">
        <f aca="false">IFERROR(VALUE(SUBSTITUTE(TRIM('수출입 실적(품목별)'!G1881),",","")),"")</f>
        <v>1503</v>
      </c>
      <c r="K1877" s="19" t="n">
        <f aca="false">IFERROR(VALUE(SUBSTITUTE(TRIM('수출입 실적(품목별)'!H1881),",","")),"")</f>
        <v>-1321</v>
      </c>
    </row>
    <row r="1878" customFormat="false" ht="15" hidden="false" customHeight="true" outlineLevel="0" collapsed="false">
      <c r="A1878" s="11" t="str">
        <f aca="false">TRIM('수출입 실적(품목별)'!A1882)</f>
        <v>2025.08</v>
      </c>
      <c r="B1878" s="17" t="n">
        <f aca="false">IFERROR(VALUE(LEFT($A1878,4)),"")</f>
        <v>2025</v>
      </c>
      <c r="C1878" s="17" t="n">
        <f aca="false">IFERROR(VALUE(RIGHT($A1878,2)),"")</f>
        <v>8</v>
      </c>
      <c r="D1878" s="17" t="n">
        <f aca="false">IFERROR(ROUNDUP($C1878/3,0),"")</f>
        <v>3</v>
      </c>
      <c r="E1878" s="11" t="str">
        <f aca="false">TRIM('수출입 실적(품목별)'!B1882)</f>
        <v>47</v>
      </c>
      <c r="F1878" s="11" t="str">
        <f aca="false">TRIM('수출입 실적(품목별)'!C1882)</f>
        <v>목재나 그 밖의 섬유질 셀룰로오스재료의 펄프, 회수한 종이ㆍ판지[웨이스트(waste)와 스크랩(scrap)]</v>
      </c>
      <c r="G1878" s="18" t="n">
        <f aca="false">IFERROR(VALUE(SUBSTITUTE(TRIM('수출입 실적(품목별)'!D1882),",","")),"")</f>
        <v>44518.2</v>
      </c>
      <c r="H1878" s="19" t="n">
        <f aca="false">IFERROR(VALUE(SUBSTITUTE(TRIM('수출입 실적(품목별)'!E1882),",","")),"")</f>
        <v>9228</v>
      </c>
      <c r="I1878" s="18" t="n">
        <f aca="false">IFERROR(VALUE(SUBSTITUTE(TRIM('수출입 실적(품목별)'!F1882),",","")),"")</f>
        <v>199315.5</v>
      </c>
      <c r="J1878" s="19" t="n">
        <f aca="false">IFERROR(VALUE(SUBSTITUTE(TRIM('수출입 실적(품목별)'!G1882),",","")),"")</f>
        <v>102620</v>
      </c>
      <c r="K1878" s="19" t="n">
        <f aca="false">IFERROR(VALUE(SUBSTITUTE(TRIM('수출입 실적(품목별)'!H1882),",","")),"")</f>
        <v>-93393</v>
      </c>
    </row>
    <row r="1879" customFormat="false" ht="15" hidden="false" customHeight="true" outlineLevel="0" collapsed="false">
      <c r="A1879" s="11" t="str">
        <f aca="false">TRIM('수출입 실적(품목별)'!A1883)</f>
        <v>2025.08</v>
      </c>
      <c r="B1879" s="17" t="n">
        <f aca="false">IFERROR(VALUE(LEFT($A1879,4)),"")</f>
        <v>2025</v>
      </c>
      <c r="C1879" s="17" t="n">
        <f aca="false">IFERROR(VALUE(RIGHT($A1879,2)),"")</f>
        <v>8</v>
      </c>
      <c r="D1879" s="17" t="n">
        <f aca="false">IFERROR(ROUNDUP($C1879/3,0),"")</f>
        <v>3</v>
      </c>
      <c r="E1879" s="11" t="str">
        <f aca="false">TRIM('수출입 실적(품목별)'!B1883)</f>
        <v>48</v>
      </c>
      <c r="F1879" s="11" t="str">
        <f aca="false">TRIM('수출입 실적(품목별)'!C1883)</f>
        <v>종이와 판지, 제지용 펄프ㆍ종이ㆍ판지의 제품</v>
      </c>
      <c r="G1879" s="18" t="n">
        <f aca="false">IFERROR(VALUE(SUBSTITUTE(TRIM('수출입 실적(품목별)'!D1883),",","")),"")</f>
        <v>218893</v>
      </c>
      <c r="H1879" s="19" t="n">
        <f aca="false">IFERROR(VALUE(SUBSTITUTE(TRIM('수출입 실적(품목별)'!E1883),",","")),"")</f>
        <v>195760</v>
      </c>
      <c r="I1879" s="18" t="n">
        <f aca="false">IFERROR(VALUE(SUBSTITUTE(TRIM('수출입 실적(품목별)'!F1883),",","")),"")</f>
        <v>118629.6</v>
      </c>
      <c r="J1879" s="19" t="n">
        <f aca="false">IFERROR(VALUE(SUBSTITUTE(TRIM('수출입 실적(품목별)'!G1883),",","")),"")</f>
        <v>178455</v>
      </c>
      <c r="K1879" s="19" t="n">
        <f aca="false">IFERROR(VALUE(SUBSTITUTE(TRIM('수출입 실적(품목별)'!H1883),",","")),"")</f>
        <v>17305</v>
      </c>
    </row>
    <row r="1880" customFormat="false" ht="15" hidden="false" customHeight="true" outlineLevel="0" collapsed="false">
      <c r="A1880" s="11" t="str">
        <f aca="false">TRIM('수출입 실적(품목별)'!A1884)</f>
        <v>2025.08</v>
      </c>
      <c r="B1880" s="17" t="n">
        <f aca="false">IFERROR(VALUE(LEFT($A1880,4)),"")</f>
        <v>2025</v>
      </c>
      <c r="C1880" s="17" t="n">
        <f aca="false">IFERROR(VALUE(RIGHT($A1880,2)),"")</f>
        <v>8</v>
      </c>
      <c r="D1880" s="17" t="n">
        <f aca="false">IFERROR(ROUNDUP($C1880/3,0),"")</f>
        <v>3</v>
      </c>
      <c r="E1880" s="11" t="str">
        <f aca="false">TRIM('수출입 실적(품목별)'!B1884)</f>
        <v>49</v>
      </c>
      <c r="F1880" s="11" t="str">
        <f aca="false">TRIM('수출입 실적(품목별)'!C1884)</f>
        <v>인쇄서적ㆍ신문ㆍ회화ㆍ그 밖의 인쇄물, 수제(手製)문서ㆍ타자문서ㆍ도면</v>
      </c>
      <c r="G1880" s="18" t="n">
        <f aca="false">IFERROR(VALUE(SUBSTITUTE(TRIM('수출입 실적(품목별)'!D1884),",","")),"")</f>
        <v>2813.1</v>
      </c>
      <c r="H1880" s="19" t="n">
        <f aca="false">IFERROR(VALUE(SUBSTITUTE(TRIM('수출입 실적(품목별)'!E1884),",","")),"")</f>
        <v>19754</v>
      </c>
      <c r="I1880" s="18" t="n">
        <f aca="false">IFERROR(VALUE(SUBSTITUTE(TRIM('수출입 실적(품목별)'!F1884),",","")),"")</f>
        <v>1172.6</v>
      </c>
      <c r="J1880" s="19" t="n">
        <f aca="false">IFERROR(VALUE(SUBSTITUTE(TRIM('수출입 실적(품목별)'!G1884),",","")),"")</f>
        <v>24951</v>
      </c>
      <c r="K1880" s="19" t="n">
        <f aca="false">IFERROR(VALUE(SUBSTITUTE(TRIM('수출입 실적(품목별)'!H1884),",","")),"")</f>
        <v>-5197</v>
      </c>
    </row>
    <row r="1881" customFormat="false" ht="15" hidden="false" customHeight="true" outlineLevel="0" collapsed="false">
      <c r="A1881" s="11" t="str">
        <f aca="false">TRIM('수출입 실적(품목별)'!A1885)</f>
        <v>2025.08</v>
      </c>
      <c r="B1881" s="17" t="n">
        <f aca="false">IFERROR(VALUE(LEFT($A1881,4)),"")</f>
        <v>2025</v>
      </c>
      <c r="C1881" s="17" t="n">
        <f aca="false">IFERROR(VALUE(RIGHT($A1881,2)),"")</f>
        <v>8</v>
      </c>
      <c r="D1881" s="17" t="n">
        <f aca="false">IFERROR(ROUNDUP($C1881/3,0),"")</f>
        <v>3</v>
      </c>
      <c r="E1881" s="11" t="str">
        <f aca="false">TRIM('수출입 실적(품목별)'!B1885)</f>
        <v>50</v>
      </c>
      <c r="F1881" s="11" t="str">
        <f aca="false">TRIM('수출입 실적(품목별)'!C1885)</f>
        <v>견</v>
      </c>
      <c r="G1881" s="18" t="n">
        <f aca="false">IFERROR(VALUE(SUBSTITUTE(TRIM('수출입 실적(품목별)'!D1885),",","")),"")</f>
        <v>4.8</v>
      </c>
      <c r="H1881" s="19" t="n">
        <f aca="false">IFERROR(VALUE(SUBSTITUTE(TRIM('수출입 실적(품목별)'!E1885),",","")),"")</f>
        <v>852</v>
      </c>
      <c r="I1881" s="18" t="n">
        <f aca="false">IFERROR(VALUE(SUBSTITUTE(TRIM('수출입 실적(품목별)'!F1885),",","")),"")</f>
        <v>34.8</v>
      </c>
      <c r="J1881" s="19" t="n">
        <f aca="false">IFERROR(VALUE(SUBSTITUTE(TRIM('수출입 실적(품목별)'!G1885),",","")),"")</f>
        <v>2562</v>
      </c>
      <c r="K1881" s="19" t="n">
        <f aca="false">IFERROR(VALUE(SUBSTITUTE(TRIM('수출입 실적(품목별)'!H1885),",","")),"")</f>
        <v>-1710</v>
      </c>
    </row>
    <row r="1882" customFormat="false" ht="15" hidden="false" customHeight="true" outlineLevel="0" collapsed="false">
      <c r="A1882" s="11" t="str">
        <f aca="false">TRIM('수출입 실적(품목별)'!A1886)</f>
        <v>2025.08</v>
      </c>
      <c r="B1882" s="17" t="n">
        <f aca="false">IFERROR(VALUE(LEFT($A1882,4)),"")</f>
        <v>2025</v>
      </c>
      <c r="C1882" s="17" t="n">
        <f aca="false">IFERROR(VALUE(RIGHT($A1882,2)),"")</f>
        <v>8</v>
      </c>
      <c r="D1882" s="17" t="n">
        <f aca="false">IFERROR(ROUNDUP($C1882/3,0),"")</f>
        <v>3</v>
      </c>
      <c r="E1882" s="11" t="str">
        <f aca="false">TRIM('수출입 실적(품목별)'!B1886)</f>
        <v>51</v>
      </c>
      <c r="F1882" s="11" t="str">
        <f aca="false">TRIM('수출입 실적(품목별)'!C1886)</f>
        <v>양모ㆍ동물의 부드러운 털이나 거친 털ㆍ말의 털로 만든 실과 직물</v>
      </c>
      <c r="G1882" s="18" t="n">
        <f aca="false">IFERROR(VALUE(SUBSTITUTE(TRIM('수출입 실적(품목별)'!D1886),",","")),"")</f>
        <v>226.1</v>
      </c>
      <c r="H1882" s="19" t="n">
        <f aca="false">IFERROR(VALUE(SUBSTITUTE(TRIM('수출입 실적(품목별)'!E1886),",","")),"")</f>
        <v>2539</v>
      </c>
      <c r="I1882" s="18" t="n">
        <f aca="false">IFERROR(VALUE(SUBSTITUTE(TRIM('수출입 실적(품목별)'!F1886),",","")),"")</f>
        <v>715.5</v>
      </c>
      <c r="J1882" s="19" t="n">
        <f aca="false">IFERROR(VALUE(SUBSTITUTE(TRIM('수출입 실적(품목별)'!G1886),",","")),"")</f>
        <v>14006</v>
      </c>
      <c r="K1882" s="19" t="n">
        <f aca="false">IFERROR(VALUE(SUBSTITUTE(TRIM('수출입 실적(품목별)'!H1886),",","")),"")</f>
        <v>-11467</v>
      </c>
    </row>
    <row r="1883" customFormat="false" ht="15" hidden="false" customHeight="true" outlineLevel="0" collapsed="false">
      <c r="A1883" s="11" t="str">
        <f aca="false">TRIM('수출입 실적(품목별)'!A1887)</f>
        <v>2025.08</v>
      </c>
      <c r="B1883" s="17" t="n">
        <f aca="false">IFERROR(VALUE(LEFT($A1883,4)),"")</f>
        <v>2025</v>
      </c>
      <c r="C1883" s="17" t="n">
        <f aca="false">IFERROR(VALUE(RIGHT($A1883,2)),"")</f>
        <v>8</v>
      </c>
      <c r="D1883" s="17" t="n">
        <f aca="false">IFERROR(ROUNDUP($C1883/3,0),"")</f>
        <v>3</v>
      </c>
      <c r="E1883" s="11" t="str">
        <f aca="false">TRIM('수출입 실적(품목별)'!B1887)</f>
        <v>52</v>
      </c>
      <c r="F1883" s="11" t="str">
        <f aca="false">TRIM('수출입 실적(품목별)'!C1887)</f>
        <v>면</v>
      </c>
      <c r="G1883" s="18" t="n">
        <f aca="false">IFERROR(VALUE(SUBSTITUTE(TRIM('수출입 실적(품목별)'!D1887),",","")),"")</f>
        <v>2670.4</v>
      </c>
      <c r="H1883" s="19" t="n">
        <f aca="false">IFERROR(VALUE(SUBSTITUTE(TRIM('수출입 실적(품목별)'!E1887),",","")),"")</f>
        <v>17992</v>
      </c>
      <c r="I1883" s="18" t="n">
        <f aca="false">IFERROR(VALUE(SUBSTITUTE(TRIM('수출입 실적(품목별)'!F1887),",","")),"")</f>
        <v>17448.8</v>
      </c>
      <c r="J1883" s="19" t="n">
        <f aca="false">IFERROR(VALUE(SUBSTITUTE(TRIM('수출입 실적(품목별)'!G1887),",","")),"")</f>
        <v>52045</v>
      </c>
      <c r="K1883" s="19" t="n">
        <f aca="false">IFERROR(VALUE(SUBSTITUTE(TRIM('수출입 실적(품목별)'!H1887),",","")),"")</f>
        <v>-34053</v>
      </c>
    </row>
    <row r="1884" customFormat="false" ht="15" hidden="false" customHeight="true" outlineLevel="0" collapsed="false">
      <c r="A1884" s="11" t="str">
        <f aca="false">TRIM('수출입 실적(품목별)'!A1888)</f>
        <v>2025.08</v>
      </c>
      <c r="B1884" s="17" t="n">
        <f aca="false">IFERROR(VALUE(LEFT($A1884,4)),"")</f>
        <v>2025</v>
      </c>
      <c r="C1884" s="17" t="n">
        <f aca="false">IFERROR(VALUE(RIGHT($A1884,2)),"")</f>
        <v>8</v>
      </c>
      <c r="D1884" s="17" t="n">
        <f aca="false">IFERROR(ROUNDUP($C1884/3,0),"")</f>
        <v>3</v>
      </c>
      <c r="E1884" s="11" t="str">
        <f aca="false">TRIM('수출입 실적(품목별)'!B1888)</f>
        <v>53</v>
      </c>
      <c r="F1884" s="11" t="str">
        <f aca="false">TRIM('수출입 실적(품목별)'!C1888)</f>
        <v>그 밖의 식물성 방직용 섬유, 종이실(paper yarn)과 종이실로 만든 직물</v>
      </c>
      <c r="G1884" s="18" t="n">
        <f aca="false">IFERROR(VALUE(SUBSTITUTE(TRIM('수출입 실적(품목별)'!D1888),",","")),"")</f>
        <v>2.9</v>
      </c>
      <c r="H1884" s="19" t="n">
        <f aca="false">IFERROR(VALUE(SUBSTITUTE(TRIM('수출입 실적(품목별)'!E1888),",","")),"")</f>
        <v>161</v>
      </c>
      <c r="I1884" s="18" t="n">
        <f aca="false">IFERROR(VALUE(SUBSTITUTE(TRIM('수출입 실적(품목별)'!F1888),",","")),"")</f>
        <v>607.4</v>
      </c>
      <c r="J1884" s="19" t="n">
        <f aca="false">IFERROR(VALUE(SUBSTITUTE(TRIM('수출입 실적(품목별)'!G1888),",","")),"")</f>
        <v>2537</v>
      </c>
      <c r="K1884" s="19" t="n">
        <f aca="false">IFERROR(VALUE(SUBSTITUTE(TRIM('수출입 실적(품목별)'!H1888),",","")),"")</f>
        <v>-2376</v>
      </c>
    </row>
    <row r="1885" customFormat="false" ht="15" hidden="false" customHeight="true" outlineLevel="0" collapsed="false">
      <c r="A1885" s="11" t="str">
        <f aca="false">TRIM('수출입 실적(품목별)'!A1889)</f>
        <v>2025.08</v>
      </c>
      <c r="B1885" s="17" t="n">
        <f aca="false">IFERROR(VALUE(LEFT($A1885,4)),"")</f>
        <v>2025</v>
      </c>
      <c r="C1885" s="17" t="n">
        <f aca="false">IFERROR(VALUE(RIGHT($A1885,2)),"")</f>
        <v>8</v>
      </c>
      <c r="D1885" s="17" t="n">
        <f aca="false">IFERROR(ROUNDUP($C1885/3,0),"")</f>
        <v>3</v>
      </c>
      <c r="E1885" s="11" t="str">
        <f aca="false">TRIM('수출입 실적(품목별)'!B1889)</f>
        <v>54</v>
      </c>
      <c r="F1885" s="11" t="str">
        <f aca="false">TRIM('수출입 실적(품목별)'!C1889)</f>
        <v>인조필라멘트, 인조방직용 섬유재료의 스트립(strip)과 이와 유사한 것</v>
      </c>
      <c r="G1885" s="18" t="n">
        <f aca="false">IFERROR(VALUE(SUBSTITUTE(TRIM('수출입 실적(품목별)'!D1889),",","")),"")</f>
        <v>19024.7</v>
      </c>
      <c r="H1885" s="19" t="n">
        <f aca="false">IFERROR(VALUE(SUBSTITUTE(TRIM('수출입 실적(품목별)'!E1889),",","")),"")</f>
        <v>116184</v>
      </c>
      <c r="I1885" s="18" t="n">
        <f aca="false">IFERROR(VALUE(SUBSTITUTE(TRIM('수출입 실적(품목별)'!F1889),",","")),"")</f>
        <v>33933.6</v>
      </c>
      <c r="J1885" s="19" t="n">
        <f aca="false">IFERROR(VALUE(SUBSTITUTE(TRIM('수출입 실적(품목별)'!G1889),",","")),"")</f>
        <v>71820</v>
      </c>
      <c r="K1885" s="19" t="n">
        <f aca="false">IFERROR(VALUE(SUBSTITUTE(TRIM('수출입 실적(품목별)'!H1889),",","")),"")</f>
        <v>44364</v>
      </c>
    </row>
    <row r="1886" customFormat="false" ht="15" hidden="false" customHeight="true" outlineLevel="0" collapsed="false">
      <c r="A1886" s="11" t="str">
        <f aca="false">TRIM('수출입 실적(품목별)'!A1890)</f>
        <v>2025.08</v>
      </c>
      <c r="B1886" s="17" t="n">
        <f aca="false">IFERROR(VALUE(LEFT($A1886,4)),"")</f>
        <v>2025</v>
      </c>
      <c r="C1886" s="17" t="n">
        <f aca="false">IFERROR(VALUE(RIGHT($A1886,2)),"")</f>
        <v>8</v>
      </c>
      <c r="D1886" s="17" t="n">
        <f aca="false">IFERROR(ROUNDUP($C1886/3,0),"")</f>
        <v>3</v>
      </c>
      <c r="E1886" s="11" t="str">
        <f aca="false">TRIM('수출입 실적(품목별)'!B1890)</f>
        <v>55</v>
      </c>
      <c r="F1886" s="11" t="str">
        <f aca="false">TRIM('수출입 실적(품목별)'!C1890)</f>
        <v>인조스테이플섬유</v>
      </c>
      <c r="G1886" s="18" t="n">
        <f aca="false">IFERROR(VALUE(SUBSTITUTE(TRIM('수출입 실적(품목별)'!D1890),",","")),"")</f>
        <v>46798.5</v>
      </c>
      <c r="H1886" s="19" t="n">
        <f aca="false">IFERROR(VALUE(SUBSTITUTE(TRIM('수출입 실적(품목별)'!E1890),",","")),"")</f>
        <v>83388</v>
      </c>
      <c r="I1886" s="18" t="n">
        <f aca="false">IFERROR(VALUE(SUBSTITUTE(TRIM('수출입 실적(품목별)'!F1890),",","")),"")</f>
        <v>10993</v>
      </c>
      <c r="J1886" s="19" t="n">
        <f aca="false">IFERROR(VALUE(SUBSTITUTE(TRIM('수출입 실적(품목별)'!G1890),",","")),"")</f>
        <v>38864</v>
      </c>
      <c r="K1886" s="19" t="n">
        <f aca="false">IFERROR(VALUE(SUBSTITUTE(TRIM('수출입 실적(품목별)'!H1890),",","")),"")</f>
        <v>44524</v>
      </c>
    </row>
    <row r="1887" customFormat="false" ht="15" hidden="false" customHeight="true" outlineLevel="0" collapsed="false">
      <c r="A1887" s="11" t="str">
        <f aca="false">TRIM('수출입 실적(품목별)'!A1891)</f>
        <v>2025.08</v>
      </c>
      <c r="B1887" s="17" t="n">
        <f aca="false">IFERROR(VALUE(LEFT($A1887,4)),"")</f>
        <v>2025</v>
      </c>
      <c r="C1887" s="17" t="n">
        <f aca="false">IFERROR(VALUE(RIGHT($A1887,2)),"")</f>
        <v>8</v>
      </c>
      <c r="D1887" s="17" t="n">
        <f aca="false">IFERROR(ROUNDUP($C1887/3,0),"")</f>
        <v>3</v>
      </c>
      <c r="E1887" s="11" t="str">
        <f aca="false">TRIM('수출입 실적(품목별)'!B1891)</f>
        <v>56</v>
      </c>
      <c r="F1887" s="11" t="str">
        <f aca="false">TRIM('수출입 실적(품목별)'!C1891)</f>
        <v>워딩(wadding)ㆍ펠트(felt)ㆍ부직포, 특수사, 끈ㆍ배의 밧줄(cordage)ㆍ로프ㆍ케이블과 이들의 제품</v>
      </c>
      <c r="G1887" s="18" t="n">
        <f aca="false">IFERROR(VALUE(SUBSTITUTE(TRIM('수출입 실적(품목별)'!D1891),",","")),"")</f>
        <v>9201</v>
      </c>
      <c r="H1887" s="19" t="n">
        <f aca="false">IFERROR(VALUE(SUBSTITUTE(TRIM('수출입 실적(품목별)'!E1891),",","")),"")</f>
        <v>57858</v>
      </c>
      <c r="I1887" s="18" t="n">
        <f aca="false">IFERROR(VALUE(SUBSTITUTE(TRIM('수출입 실적(품목별)'!F1891),",","")),"")</f>
        <v>19116.5</v>
      </c>
      <c r="J1887" s="19" t="n">
        <f aca="false">IFERROR(VALUE(SUBSTITUTE(TRIM('수출입 실적(품목별)'!G1891),",","")),"")</f>
        <v>55726</v>
      </c>
      <c r="K1887" s="19" t="n">
        <f aca="false">IFERROR(VALUE(SUBSTITUTE(TRIM('수출입 실적(품목별)'!H1891),",","")),"")</f>
        <v>2132</v>
      </c>
    </row>
    <row r="1888" customFormat="false" ht="15" hidden="false" customHeight="true" outlineLevel="0" collapsed="false">
      <c r="A1888" s="11" t="str">
        <f aca="false">TRIM('수출입 실적(품목별)'!A1892)</f>
        <v>2025.08</v>
      </c>
      <c r="B1888" s="17" t="n">
        <f aca="false">IFERROR(VALUE(LEFT($A1888,4)),"")</f>
        <v>2025</v>
      </c>
      <c r="C1888" s="17" t="n">
        <f aca="false">IFERROR(VALUE(RIGHT($A1888,2)),"")</f>
        <v>8</v>
      </c>
      <c r="D1888" s="17" t="n">
        <f aca="false">IFERROR(ROUNDUP($C1888/3,0),"")</f>
        <v>3</v>
      </c>
      <c r="E1888" s="11" t="str">
        <f aca="false">TRIM('수출입 실적(품목별)'!B1892)</f>
        <v>57</v>
      </c>
      <c r="F1888" s="11" t="str">
        <f aca="false">TRIM('수출입 실적(품목별)'!C1892)</f>
        <v>양탄자류와 그 밖의 방직용 섬유로 만든 바닥깔개</v>
      </c>
      <c r="G1888" s="18" t="n">
        <f aca="false">IFERROR(VALUE(SUBSTITUTE(TRIM('수출입 실적(품목별)'!D1892),",","")),"")</f>
        <v>586.3</v>
      </c>
      <c r="H1888" s="19" t="n">
        <f aca="false">IFERROR(VALUE(SUBSTITUTE(TRIM('수출입 실적(품목별)'!E1892),",","")),"")</f>
        <v>5723</v>
      </c>
      <c r="I1888" s="18" t="n">
        <f aca="false">IFERROR(VALUE(SUBSTITUTE(TRIM('수출입 실적(품목별)'!F1892),",","")),"")</f>
        <v>4958.2</v>
      </c>
      <c r="J1888" s="19" t="n">
        <f aca="false">IFERROR(VALUE(SUBSTITUTE(TRIM('수출입 실적(품목별)'!G1892),",","")),"")</f>
        <v>9845</v>
      </c>
      <c r="K1888" s="19" t="n">
        <f aca="false">IFERROR(VALUE(SUBSTITUTE(TRIM('수출입 실적(품목별)'!H1892),",","")),"")</f>
        <v>-4122</v>
      </c>
    </row>
    <row r="1889" customFormat="false" ht="15" hidden="false" customHeight="true" outlineLevel="0" collapsed="false">
      <c r="A1889" s="11" t="str">
        <f aca="false">TRIM('수출입 실적(품목별)'!A1893)</f>
        <v>2025.08</v>
      </c>
      <c r="B1889" s="17" t="n">
        <f aca="false">IFERROR(VALUE(LEFT($A1889,4)),"")</f>
        <v>2025</v>
      </c>
      <c r="C1889" s="17" t="n">
        <f aca="false">IFERROR(VALUE(RIGHT($A1889,2)),"")</f>
        <v>8</v>
      </c>
      <c r="D1889" s="17" t="n">
        <f aca="false">IFERROR(ROUNDUP($C1889/3,0),"")</f>
        <v>3</v>
      </c>
      <c r="E1889" s="11" t="str">
        <f aca="false">TRIM('수출입 실적(품목별)'!B1893)</f>
        <v>58</v>
      </c>
      <c r="F1889" s="11" t="str">
        <f aca="false">TRIM('수출입 실적(품목별)'!C1893)</f>
        <v>특수직물, 터프트(tuft)한 직물, 레이스, 태피스트리(tapestry), 트리밍(trimming), 자수천</v>
      </c>
      <c r="G1889" s="18" t="n">
        <f aca="false">IFERROR(VALUE(SUBSTITUTE(TRIM('수출입 실적(품목별)'!D1893),",","")),"")</f>
        <v>1162</v>
      </c>
      <c r="H1889" s="19" t="n">
        <f aca="false">IFERROR(VALUE(SUBSTITUTE(TRIM('수출입 실적(품목별)'!E1893),",","")),"")</f>
        <v>14034</v>
      </c>
      <c r="I1889" s="18" t="n">
        <f aca="false">IFERROR(VALUE(SUBSTITUTE(TRIM('수출입 실적(품목별)'!F1893),",","")),"")</f>
        <v>814.9</v>
      </c>
      <c r="J1889" s="19" t="n">
        <f aca="false">IFERROR(VALUE(SUBSTITUTE(TRIM('수출입 실적(품목별)'!G1893),",","")),"")</f>
        <v>5740</v>
      </c>
      <c r="K1889" s="19" t="n">
        <f aca="false">IFERROR(VALUE(SUBSTITUTE(TRIM('수출입 실적(품목별)'!H1893),",","")),"")</f>
        <v>8294</v>
      </c>
    </row>
    <row r="1890" customFormat="false" ht="15" hidden="false" customHeight="true" outlineLevel="0" collapsed="false">
      <c r="A1890" s="11" t="str">
        <f aca="false">TRIM('수출입 실적(품목별)'!A1894)</f>
        <v>2025.08</v>
      </c>
      <c r="B1890" s="17" t="n">
        <f aca="false">IFERROR(VALUE(LEFT($A1890,4)),"")</f>
        <v>2025</v>
      </c>
      <c r="C1890" s="17" t="n">
        <f aca="false">IFERROR(VALUE(RIGHT($A1890,2)),"")</f>
        <v>8</v>
      </c>
      <c r="D1890" s="17" t="n">
        <f aca="false">IFERROR(ROUNDUP($C1890/3,0),"")</f>
        <v>3</v>
      </c>
      <c r="E1890" s="11" t="str">
        <f aca="false">TRIM('수출입 실적(품목별)'!B1894)</f>
        <v>59</v>
      </c>
      <c r="F1890" s="11" t="str">
        <f aca="false">TRIM('수출입 실적(품목별)'!C1894)</f>
        <v>침투ㆍ도포ㆍ피복하거나 적층한 방직용 섬유의 직물, 공업용인 방직용 섬유제품</v>
      </c>
      <c r="G1890" s="18" t="n">
        <f aca="false">IFERROR(VALUE(SUBSTITUTE(TRIM('수출입 실적(품목별)'!D1894),",","")),"")</f>
        <v>8286.9</v>
      </c>
      <c r="H1890" s="19" t="n">
        <f aca="false">IFERROR(VALUE(SUBSTITUTE(TRIM('수출입 실적(품목별)'!E1894),",","")),"")</f>
        <v>89693</v>
      </c>
      <c r="I1890" s="18" t="n">
        <f aca="false">IFERROR(VALUE(SUBSTITUTE(TRIM('수출입 실적(품목별)'!F1894),",","")),"")</f>
        <v>5319.6</v>
      </c>
      <c r="J1890" s="19" t="n">
        <f aca="false">IFERROR(VALUE(SUBSTITUTE(TRIM('수출입 실적(품목별)'!G1894),",","")),"")</f>
        <v>33331</v>
      </c>
      <c r="K1890" s="19" t="n">
        <f aca="false">IFERROR(VALUE(SUBSTITUTE(TRIM('수출입 실적(품목별)'!H1894),",","")),"")</f>
        <v>56362</v>
      </c>
    </row>
    <row r="1891" customFormat="false" ht="15" hidden="false" customHeight="true" outlineLevel="0" collapsed="false">
      <c r="A1891" s="11" t="str">
        <f aca="false">TRIM('수출입 실적(품목별)'!A1895)</f>
        <v>2025.08</v>
      </c>
      <c r="B1891" s="17" t="n">
        <f aca="false">IFERROR(VALUE(LEFT($A1891,4)),"")</f>
        <v>2025</v>
      </c>
      <c r="C1891" s="17" t="n">
        <f aca="false">IFERROR(VALUE(RIGHT($A1891,2)),"")</f>
        <v>8</v>
      </c>
      <c r="D1891" s="17" t="n">
        <f aca="false">IFERROR(ROUNDUP($C1891/3,0),"")</f>
        <v>3</v>
      </c>
      <c r="E1891" s="11" t="str">
        <f aca="false">TRIM('수출입 실적(품목별)'!B1895)</f>
        <v>60</v>
      </c>
      <c r="F1891" s="11" t="str">
        <f aca="false">TRIM('수출입 실적(품목별)'!C1895)</f>
        <v>메리야스 편물과 뜨개질 편물</v>
      </c>
      <c r="G1891" s="18" t="n">
        <f aca="false">IFERROR(VALUE(SUBSTITUTE(TRIM('수출입 실적(품목별)'!D1895),",","")),"")</f>
        <v>12534.1</v>
      </c>
      <c r="H1891" s="19" t="n">
        <f aca="false">IFERROR(VALUE(SUBSTITUTE(TRIM('수출입 실적(품목별)'!E1895),",","")),"")</f>
        <v>96066</v>
      </c>
      <c r="I1891" s="18" t="n">
        <f aca="false">IFERROR(VALUE(SUBSTITUTE(TRIM('수출입 실적(품목별)'!F1895),",","")),"")</f>
        <v>1830.9</v>
      </c>
      <c r="J1891" s="19" t="n">
        <f aca="false">IFERROR(VALUE(SUBSTITUTE(TRIM('수출입 실적(품목별)'!G1895),",","")),"")</f>
        <v>8692</v>
      </c>
      <c r="K1891" s="19" t="n">
        <f aca="false">IFERROR(VALUE(SUBSTITUTE(TRIM('수출입 실적(품목별)'!H1895),",","")),"")</f>
        <v>87374</v>
      </c>
    </row>
    <row r="1892" customFormat="false" ht="15" hidden="false" customHeight="true" outlineLevel="0" collapsed="false">
      <c r="A1892" s="11" t="str">
        <f aca="false">TRIM('수출입 실적(품목별)'!A1896)</f>
        <v>2025.08</v>
      </c>
      <c r="B1892" s="17" t="n">
        <f aca="false">IFERROR(VALUE(LEFT($A1892,4)),"")</f>
        <v>2025</v>
      </c>
      <c r="C1892" s="17" t="n">
        <f aca="false">IFERROR(VALUE(RIGHT($A1892,2)),"")</f>
        <v>8</v>
      </c>
      <c r="D1892" s="17" t="n">
        <f aca="false">IFERROR(ROUNDUP($C1892/3,0),"")</f>
        <v>3</v>
      </c>
      <c r="E1892" s="11" t="str">
        <f aca="false">TRIM('수출입 실적(품목별)'!B1896)</f>
        <v>61</v>
      </c>
      <c r="F1892" s="11" t="str">
        <f aca="false">TRIM('수출입 실적(품목별)'!C1896)</f>
        <v>의류와 그 부속품(메리야스 편물이나 뜨개질 편물로 한정한다)</v>
      </c>
      <c r="G1892" s="18" t="n">
        <f aca="false">IFERROR(VALUE(SUBSTITUTE(TRIM('수출입 실적(품목별)'!D1896),",","")),"")</f>
        <v>2229.9</v>
      </c>
      <c r="H1892" s="19" t="n">
        <f aca="false">IFERROR(VALUE(SUBSTITUTE(TRIM('수출입 실적(품목별)'!E1896),",","")),"")</f>
        <v>66631</v>
      </c>
      <c r="I1892" s="18" t="n">
        <f aca="false">IFERROR(VALUE(SUBSTITUTE(TRIM('수출입 실적(품목별)'!F1896),",","")),"")</f>
        <v>23268</v>
      </c>
      <c r="J1892" s="19" t="n">
        <f aca="false">IFERROR(VALUE(SUBSTITUTE(TRIM('수출입 실적(품목별)'!G1896),",","")),"")</f>
        <v>487318</v>
      </c>
      <c r="K1892" s="19" t="n">
        <f aca="false">IFERROR(VALUE(SUBSTITUTE(TRIM('수출입 실적(품목별)'!H1896),",","")),"")</f>
        <v>-420687</v>
      </c>
    </row>
    <row r="1893" customFormat="false" ht="15" hidden="false" customHeight="true" outlineLevel="0" collapsed="false">
      <c r="A1893" s="11" t="str">
        <f aca="false">TRIM('수출입 실적(품목별)'!A1897)</f>
        <v>2025.08</v>
      </c>
      <c r="B1893" s="17" t="n">
        <f aca="false">IFERROR(VALUE(LEFT($A1893,4)),"")</f>
        <v>2025</v>
      </c>
      <c r="C1893" s="17" t="n">
        <f aca="false">IFERROR(VALUE(RIGHT($A1893,2)),"")</f>
        <v>8</v>
      </c>
      <c r="D1893" s="17" t="n">
        <f aca="false">IFERROR(ROUNDUP($C1893/3,0),"")</f>
        <v>3</v>
      </c>
      <c r="E1893" s="11" t="str">
        <f aca="false">TRIM('수출입 실적(품목별)'!B1897)</f>
        <v>62</v>
      </c>
      <c r="F1893" s="11" t="str">
        <f aca="false">TRIM('수출입 실적(품목별)'!C1897)</f>
        <v>의류와 그 부속품(메리야스 편물이나 뜨개질편물은 제외한다)</v>
      </c>
      <c r="G1893" s="18" t="n">
        <f aca="false">IFERROR(VALUE(SUBSTITUTE(TRIM('수출입 실적(품목별)'!D1897),",","")),"")</f>
        <v>2508.5</v>
      </c>
      <c r="H1893" s="19" t="n">
        <f aca="false">IFERROR(VALUE(SUBSTITUTE(TRIM('수출입 실적(품목별)'!E1897),",","")),"")</f>
        <v>58766</v>
      </c>
      <c r="I1893" s="18" t="n">
        <f aca="false">IFERROR(VALUE(SUBSTITUTE(TRIM('수출입 실적(품목별)'!F1897),",","")),"")</f>
        <v>20365.8</v>
      </c>
      <c r="J1893" s="19" t="n">
        <f aca="false">IFERROR(VALUE(SUBSTITUTE(TRIM('수출입 실적(품목별)'!G1897),",","")),"")</f>
        <v>669158</v>
      </c>
      <c r="K1893" s="19" t="n">
        <f aca="false">IFERROR(VALUE(SUBSTITUTE(TRIM('수출입 실적(품목별)'!H1897),",","")),"")</f>
        <v>-610392</v>
      </c>
    </row>
    <row r="1894" customFormat="false" ht="15" hidden="false" customHeight="true" outlineLevel="0" collapsed="false">
      <c r="A1894" s="11" t="str">
        <f aca="false">TRIM('수출입 실적(품목별)'!A1898)</f>
        <v>2025.08</v>
      </c>
      <c r="B1894" s="17" t="n">
        <f aca="false">IFERROR(VALUE(LEFT($A1894,4)),"")</f>
        <v>2025</v>
      </c>
      <c r="C1894" s="17" t="n">
        <f aca="false">IFERROR(VALUE(RIGHT($A1894,2)),"")</f>
        <v>8</v>
      </c>
      <c r="D1894" s="17" t="n">
        <f aca="false">IFERROR(ROUNDUP($C1894/3,0),"")</f>
        <v>3</v>
      </c>
      <c r="E1894" s="11" t="str">
        <f aca="false">TRIM('수출입 실적(품목별)'!B1898)</f>
        <v>63</v>
      </c>
      <c r="F1894" s="11" t="str">
        <f aca="false">TRIM('수출입 실적(품목별)'!C1898)</f>
        <v>제품으로 된 방직용 섬유의 그 밖의 물품, 세트, 사용하던 의류ㆍ방직용 섬유제품, 넝마</v>
      </c>
      <c r="G1894" s="18" t="n">
        <f aca="false">IFERROR(VALUE(SUBSTITUTE(TRIM('수출입 실적(품목별)'!D1898),",","")),"")</f>
        <v>24179.9</v>
      </c>
      <c r="H1894" s="19" t="n">
        <f aca="false">IFERROR(VALUE(SUBSTITUTE(TRIM('수출입 실적(품목별)'!E1898),",","")),"")</f>
        <v>43540</v>
      </c>
      <c r="I1894" s="18" t="n">
        <f aca="false">IFERROR(VALUE(SUBSTITUTE(TRIM('수출입 실적(품목별)'!F1898),",","")),"")</f>
        <v>26920</v>
      </c>
      <c r="J1894" s="19" t="n">
        <f aca="false">IFERROR(VALUE(SUBSTITUTE(TRIM('수출입 실적(품목별)'!G1898),",","")),"")</f>
        <v>114711</v>
      </c>
      <c r="K1894" s="19" t="n">
        <f aca="false">IFERROR(VALUE(SUBSTITUTE(TRIM('수출입 실적(품목별)'!H1898),",","")),"")</f>
        <v>-71172</v>
      </c>
    </row>
    <row r="1895" customFormat="false" ht="15" hidden="false" customHeight="true" outlineLevel="0" collapsed="false">
      <c r="A1895" s="11" t="str">
        <f aca="false">TRIM('수출입 실적(품목별)'!A1899)</f>
        <v>2025.08</v>
      </c>
      <c r="B1895" s="17" t="n">
        <f aca="false">IFERROR(VALUE(LEFT($A1895,4)),"")</f>
        <v>2025</v>
      </c>
      <c r="C1895" s="17" t="n">
        <f aca="false">IFERROR(VALUE(RIGHT($A1895,2)),"")</f>
        <v>8</v>
      </c>
      <c r="D1895" s="17" t="n">
        <f aca="false">IFERROR(ROUNDUP($C1895/3,0),"")</f>
        <v>3</v>
      </c>
      <c r="E1895" s="11" t="str">
        <f aca="false">TRIM('수출입 실적(품목별)'!B1899)</f>
        <v>64</v>
      </c>
      <c r="F1895" s="11" t="str">
        <f aca="false">TRIM('수출입 실적(품목별)'!C1899)</f>
        <v>신발류ㆍ각반과 이와 유사한 것, 이들의 부분품</v>
      </c>
      <c r="G1895" s="18" t="n">
        <f aca="false">IFERROR(VALUE(SUBSTITUTE(TRIM('수출입 실적(품목별)'!D1899),",","")),"")</f>
        <v>977.8</v>
      </c>
      <c r="H1895" s="19" t="n">
        <f aca="false">IFERROR(VALUE(SUBSTITUTE(TRIM('수출입 실적(품목별)'!E1899),",","")),"")</f>
        <v>23322</v>
      </c>
      <c r="I1895" s="18" t="n">
        <f aca="false">IFERROR(VALUE(SUBSTITUTE(TRIM('수출입 실적(품목별)'!F1899),",","")),"")</f>
        <v>9412.8</v>
      </c>
      <c r="J1895" s="19" t="n">
        <f aca="false">IFERROR(VALUE(SUBSTITUTE(TRIM('수출입 실적(품목별)'!G1899),",","")),"")</f>
        <v>280449</v>
      </c>
      <c r="K1895" s="19" t="n">
        <f aca="false">IFERROR(VALUE(SUBSTITUTE(TRIM('수출입 실적(품목별)'!H1899),",","")),"")</f>
        <v>-257127</v>
      </c>
    </row>
    <row r="1896" customFormat="false" ht="15" hidden="false" customHeight="true" outlineLevel="0" collapsed="false">
      <c r="A1896" s="11" t="str">
        <f aca="false">TRIM('수출입 실적(품목별)'!A1900)</f>
        <v>2025.08</v>
      </c>
      <c r="B1896" s="17" t="n">
        <f aca="false">IFERROR(VALUE(LEFT($A1896,4)),"")</f>
        <v>2025</v>
      </c>
      <c r="C1896" s="17" t="n">
        <f aca="false">IFERROR(VALUE(RIGHT($A1896,2)),"")</f>
        <v>8</v>
      </c>
      <c r="D1896" s="17" t="n">
        <f aca="false">IFERROR(ROUNDUP($C1896/3,0),"")</f>
        <v>3</v>
      </c>
      <c r="E1896" s="11" t="str">
        <f aca="false">TRIM('수출입 실적(품목별)'!B1900)</f>
        <v>65</v>
      </c>
      <c r="F1896" s="11" t="str">
        <f aca="false">TRIM('수출입 실적(품목별)'!C1900)</f>
        <v>모자류와 그 부분품</v>
      </c>
      <c r="G1896" s="18" t="n">
        <f aca="false">IFERROR(VALUE(SUBSTITUTE(TRIM('수출입 실적(품목별)'!D1900),",","")),"")</f>
        <v>254.4</v>
      </c>
      <c r="H1896" s="19" t="n">
        <f aca="false">IFERROR(VALUE(SUBSTITUTE(TRIM('수출입 실적(품목별)'!E1900),",","")),"")</f>
        <v>8957</v>
      </c>
      <c r="I1896" s="18" t="n">
        <f aca="false">IFERROR(VALUE(SUBSTITUTE(TRIM('수출입 실적(품목별)'!F1900),",","")),"")</f>
        <v>768.8</v>
      </c>
      <c r="J1896" s="19" t="n">
        <f aca="false">IFERROR(VALUE(SUBSTITUTE(TRIM('수출입 실적(품목별)'!G1900),",","")),"")</f>
        <v>23269</v>
      </c>
      <c r="K1896" s="19" t="n">
        <f aca="false">IFERROR(VALUE(SUBSTITUTE(TRIM('수출입 실적(품목별)'!H1900),",","")),"")</f>
        <v>-14312</v>
      </c>
    </row>
    <row r="1897" customFormat="false" ht="15" hidden="false" customHeight="true" outlineLevel="0" collapsed="false">
      <c r="A1897" s="11" t="str">
        <f aca="false">TRIM('수출입 실적(품목별)'!A1901)</f>
        <v>2025.08</v>
      </c>
      <c r="B1897" s="17" t="n">
        <f aca="false">IFERROR(VALUE(LEFT($A1897,4)),"")</f>
        <v>2025</v>
      </c>
      <c r="C1897" s="17" t="n">
        <f aca="false">IFERROR(VALUE(RIGHT($A1897,2)),"")</f>
        <v>8</v>
      </c>
      <c r="D1897" s="17" t="n">
        <f aca="false">IFERROR(ROUNDUP($C1897/3,0),"")</f>
        <v>3</v>
      </c>
      <c r="E1897" s="11" t="str">
        <f aca="false">TRIM('수출입 실적(품목별)'!B1901)</f>
        <v>66</v>
      </c>
      <c r="F1897" s="11" t="str">
        <f aca="false">TRIM('수출입 실적(품목별)'!C1901)</f>
        <v>산류(傘類)ㆍ지팡이ㆍ시트스틱(seat-stick)ㆍ채찍ㆍ승마용 채찍과 이들의 부분품</v>
      </c>
      <c r="G1897" s="18" t="n">
        <f aca="false">IFERROR(VALUE(SUBSTITUTE(TRIM('수출입 실적(품목별)'!D1901),",","")),"")</f>
        <v>11.8</v>
      </c>
      <c r="H1897" s="19" t="n">
        <f aca="false">IFERROR(VALUE(SUBSTITUTE(TRIM('수출입 실적(품목별)'!E1901),",","")),"")</f>
        <v>509</v>
      </c>
      <c r="I1897" s="18" t="n">
        <f aca="false">IFERROR(VALUE(SUBSTITUTE(TRIM('수출입 실적(품목별)'!F1901),",","")),"")</f>
        <v>1667.5</v>
      </c>
      <c r="J1897" s="19" t="n">
        <f aca="false">IFERROR(VALUE(SUBSTITUTE(TRIM('수출입 실적(품목별)'!G1901),",","")),"")</f>
        <v>12606</v>
      </c>
      <c r="K1897" s="19" t="n">
        <f aca="false">IFERROR(VALUE(SUBSTITUTE(TRIM('수출입 실적(품목별)'!H1901),",","")),"")</f>
        <v>-12098</v>
      </c>
    </row>
    <row r="1898" customFormat="false" ht="15" hidden="false" customHeight="true" outlineLevel="0" collapsed="false">
      <c r="A1898" s="11" t="str">
        <f aca="false">TRIM('수출입 실적(품목별)'!A1902)</f>
        <v>2025.08</v>
      </c>
      <c r="B1898" s="17" t="n">
        <f aca="false">IFERROR(VALUE(LEFT($A1898,4)),"")</f>
        <v>2025</v>
      </c>
      <c r="C1898" s="17" t="n">
        <f aca="false">IFERROR(VALUE(RIGHT($A1898,2)),"")</f>
        <v>8</v>
      </c>
      <c r="D1898" s="17" t="n">
        <f aca="false">IFERROR(ROUNDUP($C1898/3,0),"")</f>
        <v>3</v>
      </c>
      <c r="E1898" s="11" t="str">
        <f aca="false">TRIM('수출입 실적(품목별)'!B1902)</f>
        <v>67</v>
      </c>
      <c r="F1898" s="11" t="str">
        <f aca="false">TRIM('수출입 실적(품목별)'!C1902)</f>
        <v>조제 깃털ㆍ솜털과 그 제품, 조화, 사람 머리카락으로 된 제품</v>
      </c>
      <c r="G1898" s="18" t="n">
        <f aca="false">IFERROR(VALUE(SUBSTITUTE(TRIM('수출입 실적(품목별)'!D1902),",","")),"")</f>
        <v>24.4</v>
      </c>
      <c r="H1898" s="19" t="n">
        <f aca="false">IFERROR(VALUE(SUBSTITUTE(TRIM('수출입 실적(품목별)'!E1902),",","")),"")</f>
        <v>1283</v>
      </c>
      <c r="I1898" s="18" t="n">
        <f aca="false">IFERROR(VALUE(SUBSTITUTE(TRIM('수출입 실적(품목별)'!F1902),",","")),"")</f>
        <v>411.5</v>
      </c>
      <c r="J1898" s="19" t="n">
        <f aca="false">IFERROR(VALUE(SUBSTITUTE(TRIM('수출입 실적(품목별)'!G1902),",","")),"")</f>
        <v>6874</v>
      </c>
      <c r="K1898" s="19" t="n">
        <f aca="false">IFERROR(VALUE(SUBSTITUTE(TRIM('수출입 실적(품목별)'!H1902),",","")),"")</f>
        <v>-5590</v>
      </c>
    </row>
    <row r="1899" customFormat="false" ht="15" hidden="false" customHeight="true" outlineLevel="0" collapsed="false">
      <c r="A1899" s="11" t="str">
        <f aca="false">TRIM('수출입 실적(품목별)'!A1903)</f>
        <v>2025.08</v>
      </c>
      <c r="B1899" s="17" t="n">
        <f aca="false">IFERROR(VALUE(LEFT($A1899,4)),"")</f>
        <v>2025</v>
      </c>
      <c r="C1899" s="17" t="n">
        <f aca="false">IFERROR(VALUE(RIGHT($A1899,2)),"")</f>
        <v>8</v>
      </c>
      <c r="D1899" s="17" t="n">
        <f aca="false">IFERROR(ROUNDUP($C1899/3,0),"")</f>
        <v>3</v>
      </c>
      <c r="E1899" s="11" t="str">
        <f aca="false">TRIM('수출입 실적(품목별)'!B1903)</f>
        <v>68</v>
      </c>
      <c r="F1899" s="11" t="str">
        <f aca="false">TRIM('수출입 실적(품목별)'!C1903)</f>
        <v>돌ㆍ플라스터(plaster)ㆍ시멘트ㆍ석면ㆍ운모나 이와 유사한 재료의 제품</v>
      </c>
      <c r="G1899" s="18" t="n">
        <f aca="false">IFERROR(VALUE(SUBSTITUTE(TRIM('수출입 실적(품목별)'!D1903),",","")),"")</f>
        <v>9933.3</v>
      </c>
      <c r="H1899" s="19" t="n">
        <f aca="false">IFERROR(VALUE(SUBSTITUTE(TRIM('수출입 실적(품목별)'!E1903),",","")),"")</f>
        <v>67136</v>
      </c>
      <c r="I1899" s="18" t="n">
        <f aca="false">IFERROR(VALUE(SUBSTITUTE(TRIM('수출입 실적(품목별)'!F1903),",","")),"")</f>
        <v>166637.8</v>
      </c>
      <c r="J1899" s="19" t="n">
        <f aca="false">IFERROR(VALUE(SUBSTITUTE(TRIM('수출입 실적(품목별)'!G1903),",","")),"")</f>
        <v>111611</v>
      </c>
      <c r="K1899" s="19" t="n">
        <f aca="false">IFERROR(VALUE(SUBSTITUTE(TRIM('수출입 실적(품목별)'!H1903),",","")),"")</f>
        <v>-44475</v>
      </c>
    </row>
    <row r="1900" customFormat="false" ht="15" hidden="false" customHeight="true" outlineLevel="0" collapsed="false">
      <c r="A1900" s="11" t="str">
        <f aca="false">TRIM('수출입 실적(품목별)'!A1904)</f>
        <v>2025.08</v>
      </c>
      <c r="B1900" s="17" t="n">
        <f aca="false">IFERROR(VALUE(LEFT($A1900,4)),"")</f>
        <v>2025</v>
      </c>
      <c r="C1900" s="17" t="n">
        <f aca="false">IFERROR(VALUE(RIGHT($A1900,2)),"")</f>
        <v>8</v>
      </c>
      <c r="D1900" s="17" t="n">
        <f aca="false">IFERROR(ROUNDUP($C1900/3,0),"")</f>
        <v>3</v>
      </c>
      <c r="E1900" s="11" t="str">
        <f aca="false">TRIM('수출입 실적(품목별)'!B1904)</f>
        <v>69</v>
      </c>
      <c r="F1900" s="11" t="str">
        <f aca="false">TRIM('수출입 실적(품목별)'!C1904)</f>
        <v>도자제품</v>
      </c>
      <c r="G1900" s="18" t="n">
        <f aca="false">IFERROR(VALUE(SUBSTITUTE(TRIM('수출입 실적(품목별)'!D1904),",","")),"")</f>
        <v>2556.6</v>
      </c>
      <c r="H1900" s="19" t="n">
        <f aca="false">IFERROR(VALUE(SUBSTITUTE(TRIM('수출입 실적(품목별)'!E1904),",","")),"")</f>
        <v>27463</v>
      </c>
      <c r="I1900" s="18" t="n">
        <f aca="false">IFERROR(VALUE(SUBSTITUTE(TRIM('수출입 실적(품목별)'!F1904),",","")),"")</f>
        <v>121915.8</v>
      </c>
      <c r="J1900" s="19" t="n">
        <f aca="false">IFERROR(VALUE(SUBSTITUTE(TRIM('수출입 실적(품목별)'!G1904),",","")),"")</f>
        <v>120263</v>
      </c>
      <c r="K1900" s="19" t="n">
        <f aca="false">IFERROR(VALUE(SUBSTITUTE(TRIM('수출입 실적(품목별)'!H1904),",","")),"")</f>
        <v>-92800</v>
      </c>
    </row>
    <row r="1901" customFormat="false" ht="15" hidden="false" customHeight="true" outlineLevel="0" collapsed="false">
      <c r="A1901" s="11" t="str">
        <f aca="false">TRIM('수출입 실적(품목별)'!A1905)</f>
        <v>2025.08</v>
      </c>
      <c r="B1901" s="17" t="n">
        <f aca="false">IFERROR(VALUE(LEFT($A1901,4)),"")</f>
        <v>2025</v>
      </c>
      <c r="C1901" s="17" t="n">
        <f aca="false">IFERROR(VALUE(RIGHT($A1901,2)),"")</f>
        <v>8</v>
      </c>
      <c r="D1901" s="17" t="n">
        <f aca="false">IFERROR(ROUNDUP($C1901/3,0),"")</f>
        <v>3</v>
      </c>
      <c r="E1901" s="11" t="str">
        <f aca="false">TRIM('수출입 실적(품목별)'!B1905)</f>
        <v>70</v>
      </c>
      <c r="F1901" s="11" t="str">
        <f aca="false">TRIM('수출입 실적(품목별)'!C1905)</f>
        <v>유리와 유리제품</v>
      </c>
      <c r="G1901" s="18" t="n">
        <f aca="false">IFERROR(VALUE(SUBSTITUTE(TRIM('수출입 실적(품목별)'!D1905),",","")),"")</f>
        <v>26166.9</v>
      </c>
      <c r="H1901" s="19" t="n">
        <f aca="false">IFERROR(VALUE(SUBSTITUTE(TRIM('수출입 실적(품목별)'!E1905),",","")),"")</f>
        <v>160070</v>
      </c>
      <c r="I1901" s="18" t="n">
        <f aca="false">IFERROR(VALUE(SUBSTITUTE(TRIM('수출입 실적(품목별)'!F1905),",","")),"")</f>
        <v>84008.1</v>
      </c>
      <c r="J1901" s="19" t="n">
        <f aca="false">IFERROR(VALUE(SUBSTITUTE(TRIM('수출입 실적(품목별)'!G1905),",","")),"")</f>
        <v>209450</v>
      </c>
      <c r="K1901" s="19" t="n">
        <f aca="false">IFERROR(VALUE(SUBSTITUTE(TRIM('수출입 실적(품목별)'!H1905),",","")),"")</f>
        <v>-49380</v>
      </c>
    </row>
    <row r="1902" customFormat="false" ht="15" hidden="false" customHeight="true" outlineLevel="0" collapsed="false">
      <c r="A1902" s="11" t="str">
        <f aca="false">TRIM('수출입 실적(품목별)'!A1906)</f>
        <v>2025.08</v>
      </c>
      <c r="B1902" s="17" t="n">
        <f aca="false">IFERROR(VALUE(LEFT($A1902,4)),"")</f>
        <v>2025</v>
      </c>
      <c r="C1902" s="17" t="n">
        <f aca="false">IFERROR(VALUE(RIGHT($A1902,2)),"")</f>
        <v>8</v>
      </c>
      <c r="D1902" s="17" t="n">
        <f aca="false">IFERROR(ROUNDUP($C1902/3,0),"")</f>
        <v>3</v>
      </c>
      <c r="E1902" s="11" t="str">
        <f aca="false">TRIM('수출입 실적(품목별)'!B1906)</f>
        <v>71</v>
      </c>
      <c r="F1902" s="11" t="str">
        <f aca="false">TRIM('수출입 실적(품목별)'!C1906)</f>
        <v>천연진주ㆍ양식진주ㆍ귀석ㆍ반귀석ㆍ귀금속ㆍ귀금속을 입힌 금속과 이들의 제품, 모조 신변장식용품, 주화</v>
      </c>
      <c r="G1902" s="18" t="n">
        <f aca="false">IFERROR(VALUE(SUBSTITUTE(TRIM('수출입 실적(품목별)'!D1906),",","")),"")</f>
        <v>807.7</v>
      </c>
      <c r="H1902" s="19" t="n">
        <f aca="false">IFERROR(VALUE(SUBSTITUTE(TRIM('수출입 실적(품목별)'!E1906),",","")),"")</f>
        <v>670346</v>
      </c>
      <c r="I1902" s="18" t="n">
        <f aca="false">IFERROR(VALUE(SUBSTITUTE(TRIM('수출입 실적(품목별)'!F1906),",","")),"")</f>
        <v>1420.4</v>
      </c>
      <c r="J1902" s="19" t="n">
        <f aca="false">IFERROR(VALUE(SUBSTITUTE(TRIM('수출입 실적(품목별)'!G1906),",","")),"")</f>
        <v>575539</v>
      </c>
      <c r="K1902" s="19" t="n">
        <f aca="false">IFERROR(VALUE(SUBSTITUTE(TRIM('수출입 실적(품목별)'!H1906),",","")),"")</f>
        <v>94807</v>
      </c>
    </row>
    <row r="1903" customFormat="false" ht="15" hidden="false" customHeight="true" outlineLevel="0" collapsed="false">
      <c r="A1903" s="11" t="str">
        <f aca="false">TRIM('수출입 실적(품목별)'!A1907)</f>
        <v>2025.08</v>
      </c>
      <c r="B1903" s="17" t="n">
        <f aca="false">IFERROR(VALUE(LEFT($A1903,4)),"")</f>
        <v>2025</v>
      </c>
      <c r="C1903" s="17" t="n">
        <f aca="false">IFERROR(VALUE(RIGHT($A1903,2)),"")</f>
        <v>8</v>
      </c>
      <c r="D1903" s="17" t="n">
        <f aca="false">IFERROR(ROUNDUP($C1903/3,0),"")</f>
        <v>3</v>
      </c>
      <c r="E1903" s="11" t="str">
        <f aca="false">TRIM('수출입 실적(품목별)'!B1907)</f>
        <v>72</v>
      </c>
      <c r="F1903" s="11" t="str">
        <f aca="false">TRIM('수출입 실적(품목별)'!C1907)</f>
        <v>철강</v>
      </c>
      <c r="G1903" s="18" t="n">
        <f aca="false">IFERROR(VALUE(SUBSTITUTE(TRIM('수출입 실적(품목별)'!D1907),",","")),"")</f>
        <v>2153197.3</v>
      </c>
      <c r="H1903" s="19" t="n">
        <f aca="false">IFERROR(VALUE(SUBSTITUTE(TRIM('수출입 실적(품목별)'!E1907),",","")),"")</f>
        <v>1840464</v>
      </c>
      <c r="I1903" s="18" t="n">
        <f aca="false">IFERROR(VALUE(SUBSTITUTE(TRIM('수출입 실적(품목별)'!F1907),",","")),"")</f>
        <v>1185017.9</v>
      </c>
      <c r="J1903" s="19" t="n">
        <f aca="false">IFERROR(VALUE(SUBSTITUTE(TRIM('수출입 실적(품목별)'!G1907),",","")),"")</f>
        <v>958481</v>
      </c>
      <c r="K1903" s="19" t="n">
        <f aca="false">IFERROR(VALUE(SUBSTITUTE(TRIM('수출입 실적(품목별)'!H1907),",","")),"")</f>
        <v>881983</v>
      </c>
    </row>
    <row r="1904" customFormat="false" ht="15" hidden="false" customHeight="true" outlineLevel="0" collapsed="false">
      <c r="A1904" s="11" t="str">
        <f aca="false">TRIM('수출입 실적(품목별)'!A1908)</f>
        <v>2025.08</v>
      </c>
      <c r="B1904" s="17" t="n">
        <f aca="false">IFERROR(VALUE(LEFT($A1904,4)),"")</f>
        <v>2025</v>
      </c>
      <c r="C1904" s="17" t="n">
        <f aca="false">IFERROR(VALUE(RIGHT($A1904,2)),"")</f>
        <v>8</v>
      </c>
      <c r="D1904" s="17" t="n">
        <f aca="false">IFERROR(ROUNDUP($C1904/3,0),"")</f>
        <v>3</v>
      </c>
      <c r="E1904" s="11" t="str">
        <f aca="false">TRIM('수출입 실적(품목별)'!B1908)</f>
        <v>73</v>
      </c>
      <c r="F1904" s="11" t="str">
        <f aca="false">TRIM('수출입 실적(품목별)'!C1908)</f>
        <v>철강의 제품</v>
      </c>
      <c r="G1904" s="18" t="n">
        <f aca="false">IFERROR(VALUE(SUBSTITUTE(TRIM('수출입 실적(품목별)'!D1908),",","")),"")</f>
        <v>210078</v>
      </c>
      <c r="H1904" s="19" t="n">
        <f aca="false">IFERROR(VALUE(SUBSTITUTE(TRIM('수출입 실적(품목별)'!E1908),",","")),"")</f>
        <v>634885</v>
      </c>
      <c r="I1904" s="18" t="n">
        <f aca="false">IFERROR(VALUE(SUBSTITUTE(TRIM('수출입 실적(품목별)'!F1908),",","")),"")</f>
        <v>222491.2</v>
      </c>
      <c r="J1904" s="19" t="n">
        <f aca="false">IFERROR(VALUE(SUBSTITUTE(TRIM('수출입 실적(품목별)'!G1908),",","")),"")</f>
        <v>619007</v>
      </c>
      <c r="K1904" s="19" t="n">
        <f aca="false">IFERROR(VALUE(SUBSTITUTE(TRIM('수출입 실적(품목별)'!H1908),",","")),"")</f>
        <v>15877</v>
      </c>
    </row>
    <row r="1905" customFormat="false" ht="15" hidden="false" customHeight="true" outlineLevel="0" collapsed="false">
      <c r="A1905" s="11" t="str">
        <f aca="false">TRIM('수출입 실적(품목별)'!A1909)</f>
        <v>2025.08</v>
      </c>
      <c r="B1905" s="17" t="n">
        <f aca="false">IFERROR(VALUE(LEFT($A1905,4)),"")</f>
        <v>2025</v>
      </c>
      <c r="C1905" s="17" t="n">
        <f aca="false">IFERROR(VALUE(RIGHT($A1905,2)),"")</f>
        <v>8</v>
      </c>
      <c r="D1905" s="17" t="n">
        <f aca="false">IFERROR(ROUNDUP($C1905/3,0),"")</f>
        <v>3</v>
      </c>
      <c r="E1905" s="11" t="str">
        <f aca="false">TRIM('수출입 실적(품목별)'!B1909)</f>
        <v>74</v>
      </c>
      <c r="F1905" s="11" t="str">
        <f aca="false">TRIM('수출입 실적(품목별)'!C1909)</f>
        <v>구리와 그 제품</v>
      </c>
      <c r="G1905" s="18" t="n">
        <f aca="false">IFERROR(VALUE(SUBSTITUTE(TRIM('수출입 실적(품목별)'!D1909),",","")),"")</f>
        <v>56983.1</v>
      </c>
      <c r="H1905" s="19" t="n">
        <f aca="false">IFERROR(VALUE(SUBSTITUTE(TRIM('수출입 실적(품목별)'!E1909),",","")),"")</f>
        <v>559197</v>
      </c>
      <c r="I1905" s="18" t="n">
        <f aca="false">IFERROR(VALUE(SUBSTITUTE(TRIM('수출입 실적(품목별)'!F1909),",","")),"")</f>
        <v>70527.3</v>
      </c>
      <c r="J1905" s="19" t="n">
        <f aca="false">IFERROR(VALUE(SUBSTITUTE(TRIM('수출입 실적(품목별)'!G1909),",","")),"")</f>
        <v>705165</v>
      </c>
      <c r="K1905" s="19" t="n">
        <f aca="false">IFERROR(VALUE(SUBSTITUTE(TRIM('수출입 실적(품목별)'!H1909),",","")),"")</f>
        <v>-145968</v>
      </c>
    </row>
    <row r="1906" customFormat="false" ht="15" hidden="false" customHeight="true" outlineLevel="0" collapsed="false">
      <c r="A1906" s="11" t="str">
        <f aca="false">TRIM('수출입 실적(품목별)'!A1910)</f>
        <v>2025.08</v>
      </c>
      <c r="B1906" s="17" t="n">
        <f aca="false">IFERROR(VALUE(LEFT($A1906,4)),"")</f>
        <v>2025</v>
      </c>
      <c r="C1906" s="17" t="n">
        <f aca="false">IFERROR(VALUE(RIGHT($A1906,2)),"")</f>
        <v>8</v>
      </c>
      <c r="D1906" s="17" t="n">
        <f aca="false">IFERROR(ROUNDUP($C1906/3,0),"")</f>
        <v>3</v>
      </c>
      <c r="E1906" s="11" t="str">
        <f aca="false">TRIM('수출입 실적(품목별)'!B1910)</f>
        <v>75</v>
      </c>
      <c r="F1906" s="11" t="str">
        <f aca="false">TRIM('수출입 실적(품목별)'!C1910)</f>
        <v>니켈과 그 제품</v>
      </c>
      <c r="G1906" s="18" t="n">
        <f aca="false">IFERROR(VALUE(SUBSTITUTE(TRIM('수출입 실적(품목별)'!D1910),",","")),"")</f>
        <v>1148.1</v>
      </c>
      <c r="H1906" s="19" t="n">
        <f aca="false">IFERROR(VALUE(SUBSTITUTE(TRIM('수출입 실적(품목별)'!E1910),",","")),"")</f>
        <v>18111</v>
      </c>
      <c r="I1906" s="18" t="n">
        <f aca="false">IFERROR(VALUE(SUBSTITUTE(TRIM('수출입 실적(품목별)'!F1910),",","")),"")</f>
        <v>3296.3</v>
      </c>
      <c r="J1906" s="19" t="n">
        <f aca="false">IFERROR(VALUE(SUBSTITUTE(TRIM('수출입 실적(품목별)'!G1910),",","")),"")</f>
        <v>79171</v>
      </c>
      <c r="K1906" s="19" t="n">
        <f aca="false">IFERROR(VALUE(SUBSTITUTE(TRIM('수출입 실적(품목별)'!H1910),",","")),"")</f>
        <v>-61059</v>
      </c>
    </row>
    <row r="1907" customFormat="false" ht="15" hidden="false" customHeight="true" outlineLevel="0" collapsed="false">
      <c r="A1907" s="11" t="str">
        <f aca="false">TRIM('수출입 실적(품목별)'!A1911)</f>
        <v>2025.08</v>
      </c>
      <c r="B1907" s="17" t="n">
        <f aca="false">IFERROR(VALUE(LEFT($A1907,4)),"")</f>
        <v>2025</v>
      </c>
      <c r="C1907" s="17" t="n">
        <f aca="false">IFERROR(VALUE(RIGHT($A1907,2)),"")</f>
        <v>8</v>
      </c>
      <c r="D1907" s="17" t="n">
        <f aca="false">IFERROR(ROUNDUP($C1907/3,0),"")</f>
        <v>3</v>
      </c>
      <c r="E1907" s="11" t="str">
        <f aca="false">TRIM('수출입 실적(품목별)'!B1911)</f>
        <v>76</v>
      </c>
      <c r="F1907" s="11" t="str">
        <f aca="false">TRIM('수출입 실적(품목별)'!C1911)</f>
        <v>알루미늄과 그 제품</v>
      </c>
      <c r="G1907" s="18" t="n">
        <f aca="false">IFERROR(VALUE(SUBSTITUTE(TRIM('수출입 실적(품목별)'!D1911),",","")),"")</f>
        <v>107509.5</v>
      </c>
      <c r="H1907" s="19" t="n">
        <f aca="false">IFERROR(VALUE(SUBSTITUTE(TRIM('수출입 실적(품목별)'!E1911),",","")),"")</f>
        <v>422397</v>
      </c>
      <c r="I1907" s="18" t="n">
        <f aca="false">IFERROR(VALUE(SUBSTITUTE(TRIM('수출입 실적(품목별)'!F1911),",","")),"")</f>
        <v>249321.4</v>
      </c>
      <c r="J1907" s="19" t="n">
        <f aca="false">IFERROR(VALUE(SUBSTITUTE(TRIM('수출입 실적(품목별)'!G1911),",","")),"")</f>
        <v>741493</v>
      </c>
      <c r="K1907" s="19" t="n">
        <f aca="false">IFERROR(VALUE(SUBSTITUTE(TRIM('수출입 실적(품목별)'!H1911),",","")),"")</f>
        <v>-319096</v>
      </c>
    </row>
    <row r="1908" customFormat="false" ht="15" hidden="false" customHeight="true" outlineLevel="0" collapsed="false">
      <c r="A1908" s="11" t="str">
        <f aca="false">TRIM('수출입 실적(품목별)'!A1912)</f>
        <v>2025.08</v>
      </c>
      <c r="B1908" s="17" t="n">
        <f aca="false">IFERROR(VALUE(LEFT($A1908,4)),"")</f>
        <v>2025</v>
      </c>
      <c r="C1908" s="17" t="n">
        <f aca="false">IFERROR(VALUE(RIGHT($A1908,2)),"")</f>
        <v>8</v>
      </c>
      <c r="D1908" s="17" t="n">
        <f aca="false">IFERROR(ROUNDUP($C1908/3,0),"")</f>
        <v>3</v>
      </c>
      <c r="E1908" s="11" t="str">
        <f aca="false">TRIM('수출입 실적(품목별)'!B1912)</f>
        <v>78</v>
      </c>
      <c r="F1908" s="11" t="str">
        <f aca="false">TRIM('수출입 실적(품목별)'!C1912)</f>
        <v>납과 그 제품</v>
      </c>
      <c r="G1908" s="18" t="n">
        <f aca="false">IFERROR(VALUE(SUBSTITUTE(TRIM('수출입 실적(품목별)'!D1912),",","")),"")</f>
        <v>20541.7</v>
      </c>
      <c r="H1908" s="19" t="n">
        <f aca="false">IFERROR(VALUE(SUBSTITUTE(TRIM('수출입 실적(품목별)'!E1912),",","")),"")</f>
        <v>45682</v>
      </c>
      <c r="I1908" s="18" t="n">
        <f aca="false">IFERROR(VALUE(SUBSTITUTE(TRIM('수출입 실적(품목별)'!F1912),",","")),"")</f>
        <v>11983.9</v>
      </c>
      <c r="J1908" s="19" t="n">
        <f aca="false">IFERROR(VALUE(SUBSTITUTE(TRIM('수출입 실적(품목별)'!G1912),",","")),"")</f>
        <v>27251</v>
      </c>
      <c r="K1908" s="19" t="n">
        <f aca="false">IFERROR(VALUE(SUBSTITUTE(TRIM('수출입 실적(품목별)'!H1912),",","")),"")</f>
        <v>18431</v>
      </c>
    </row>
    <row r="1909" customFormat="false" ht="15" hidden="false" customHeight="true" outlineLevel="0" collapsed="false">
      <c r="A1909" s="11" t="str">
        <f aca="false">TRIM('수출입 실적(품목별)'!A1913)</f>
        <v>2025.08</v>
      </c>
      <c r="B1909" s="17" t="n">
        <f aca="false">IFERROR(VALUE(LEFT($A1909,4)),"")</f>
        <v>2025</v>
      </c>
      <c r="C1909" s="17" t="n">
        <f aca="false">IFERROR(VALUE(RIGHT($A1909,2)),"")</f>
        <v>8</v>
      </c>
      <c r="D1909" s="17" t="n">
        <f aca="false">IFERROR(ROUNDUP($C1909/3,0),"")</f>
        <v>3</v>
      </c>
      <c r="E1909" s="11" t="str">
        <f aca="false">TRIM('수출입 실적(품목별)'!B1913)</f>
        <v>79</v>
      </c>
      <c r="F1909" s="11" t="str">
        <f aca="false">TRIM('수출입 실적(품목별)'!C1913)</f>
        <v>아연과 그 제품</v>
      </c>
      <c r="G1909" s="18" t="n">
        <f aca="false">IFERROR(VALUE(SUBSTITUTE(TRIM('수출입 실적(품목별)'!D1913),",","")),"")</f>
        <v>37423.1</v>
      </c>
      <c r="H1909" s="19" t="n">
        <f aca="false">IFERROR(VALUE(SUBSTITUTE(TRIM('수출입 실적(품목별)'!E1913),",","")),"")</f>
        <v>110185</v>
      </c>
      <c r="I1909" s="18" t="n">
        <f aca="false">IFERROR(VALUE(SUBSTITUTE(TRIM('수출입 실적(품목별)'!F1913),",","")),"")</f>
        <v>2116.1</v>
      </c>
      <c r="J1909" s="19" t="n">
        <f aca="false">IFERROR(VALUE(SUBSTITUTE(TRIM('수출입 실적(품목별)'!G1913),",","")),"")</f>
        <v>9776</v>
      </c>
      <c r="K1909" s="19" t="n">
        <f aca="false">IFERROR(VALUE(SUBSTITUTE(TRIM('수출입 실적(품목별)'!H1913),",","")),"")</f>
        <v>100409</v>
      </c>
    </row>
    <row r="1910" customFormat="false" ht="15" hidden="false" customHeight="true" outlineLevel="0" collapsed="false">
      <c r="A1910" s="11" t="str">
        <f aca="false">TRIM('수출입 실적(품목별)'!A1914)</f>
        <v>2025.08</v>
      </c>
      <c r="B1910" s="17" t="n">
        <f aca="false">IFERROR(VALUE(LEFT($A1910,4)),"")</f>
        <v>2025</v>
      </c>
      <c r="C1910" s="17" t="n">
        <f aca="false">IFERROR(VALUE(RIGHT($A1910,2)),"")</f>
        <v>8</v>
      </c>
      <c r="D1910" s="17" t="n">
        <f aca="false">IFERROR(ROUNDUP($C1910/3,0),"")</f>
        <v>3</v>
      </c>
      <c r="E1910" s="11" t="str">
        <f aca="false">TRIM('수출입 실적(품목별)'!B1914)</f>
        <v>80</v>
      </c>
      <c r="F1910" s="11" t="str">
        <f aca="false">TRIM('수출입 실적(품목별)'!C1914)</f>
        <v>주석과 그 제품</v>
      </c>
      <c r="G1910" s="18" t="n">
        <f aca="false">IFERROR(VALUE(SUBSTITUTE(TRIM('수출입 실적(품목별)'!D1914),",","")),"")</f>
        <v>179.4</v>
      </c>
      <c r="H1910" s="19" t="n">
        <f aca="false">IFERROR(VALUE(SUBSTITUTE(TRIM('수출입 실적(품목별)'!E1914),",","")),"")</f>
        <v>11237</v>
      </c>
      <c r="I1910" s="18" t="n">
        <f aca="false">IFERROR(VALUE(SUBSTITUTE(TRIM('수출입 실적(품목별)'!F1914),",","")),"")</f>
        <v>1321.2</v>
      </c>
      <c r="J1910" s="19" t="n">
        <f aca="false">IFERROR(VALUE(SUBSTITUTE(TRIM('수출입 실적(품목별)'!G1914),",","")),"")</f>
        <v>48262</v>
      </c>
      <c r="K1910" s="19" t="n">
        <f aca="false">IFERROR(VALUE(SUBSTITUTE(TRIM('수출입 실적(품목별)'!H1914),",","")),"")</f>
        <v>-37025</v>
      </c>
    </row>
    <row r="1911" customFormat="false" ht="15" hidden="false" customHeight="true" outlineLevel="0" collapsed="false">
      <c r="A1911" s="11" t="str">
        <f aca="false">TRIM('수출입 실적(품목별)'!A1915)</f>
        <v>2025.08</v>
      </c>
      <c r="B1911" s="17" t="n">
        <f aca="false">IFERROR(VALUE(LEFT($A1911,4)),"")</f>
        <v>2025</v>
      </c>
      <c r="C1911" s="17" t="n">
        <f aca="false">IFERROR(VALUE(RIGHT($A1911,2)),"")</f>
        <v>8</v>
      </c>
      <c r="D1911" s="17" t="n">
        <f aca="false">IFERROR(ROUNDUP($C1911/3,0),"")</f>
        <v>3</v>
      </c>
      <c r="E1911" s="11" t="str">
        <f aca="false">TRIM('수출입 실적(품목별)'!B1915)</f>
        <v>81</v>
      </c>
      <c r="F1911" s="11" t="str">
        <f aca="false">TRIM('수출입 실적(품목별)'!C1915)</f>
        <v>그 밖의 비금속(卑金屬), 서멧(cermet), 이들의 제품</v>
      </c>
      <c r="G1911" s="18" t="n">
        <f aca="false">IFERROR(VALUE(SUBSTITUTE(TRIM('수출입 실적(품목별)'!D1915),",","")),"")</f>
        <v>25352</v>
      </c>
      <c r="H1911" s="19" t="n">
        <f aca="false">IFERROR(VALUE(SUBSTITUTE(TRIM('수출입 실적(품목별)'!E1915),",","")),"")</f>
        <v>35280</v>
      </c>
      <c r="I1911" s="18" t="n">
        <f aca="false">IFERROR(VALUE(SUBSTITUTE(TRIM('수출입 실적(품목별)'!F1915),",","")),"")</f>
        <v>12283.4</v>
      </c>
      <c r="J1911" s="19" t="n">
        <f aca="false">IFERROR(VALUE(SUBSTITUTE(TRIM('수출입 실적(품목별)'!G1915),",","")),"")</f>
        <v>111058</v>
      </c>
      <c r="K1911" s="19" t="n">
        <f aca="false">IFERROR(VALUE(SUBSTITUTE(TRIM('수출입 실적(품목별)'!H1915),",","")),"")</f>
        <v>-75778</v>
      </c>
    </row>
    <row r="1912" customFormat="false" ht="15" hidden="false" customHeight="true" outlineLevel="0" collapsed="false">
      <c r="A1912" s="11" t="str">
        <f aca="false">TRIM('수출입 실적(품목별)'!A1916)</f>
        <v>2025.08</v>
      </c>
      <c r="B1912" s="17" t="n">
        <f aca="false">IFERROR(VALUE(LEFT($A1912,4)),"")</f>
        <v>2025</v>
      </c>
      <c r="C1912" s="17" t="n">
        <f aca="false">IFERROR(VALUE(RIGHT($A1912,2)),"")</f>
        <v>8</v>
      </c>
      <c r="D1912" s="17" t="n">
        <f aca="false">IFERROR(ROUNDUP($C1912/3,0),"")</f>
        <v>3</v>
      </c>
      <c r="E1912" s="11" t="str">
        <f aca="false">TRIM('수출입 실적(품목별)'!B1916)</f>
        <v>82</v>
      </c>
      <c r="F1912" s="11" t="str">
        <f aca="false">TRIM('수출입 실적(품목별)'!C1916)</f>
        <v>비금속(卑金屬)으로 만든 공구ㆍ도구ㆍ칼붙이ㆍ스푼ㆍ포크, 이들의 부분품</v>
      </c>
      <c r="G1912" s="18" t="n">
        <f aca="false">IFERROR(VALUE(SUBSTITUTE(TRIM('수출입 실적(품목별)'!D1916),",","")),"")</f>
        <v>5436</v>
      </c>
      <c r="H1912" s="19" t="n">
        <f aca="false">IFERROR(VALUE(SUBSTITUTE(TRIM('수출입 실적(품목별)'!E1916),",","")),"")</f>
        <v>127143</v>
      </c>
      <c r="I1912" s="18" t="n">
        <f aca="false">IFERROR(VALUE(SUBSTITUTE(TRIM('수출입 실적(품목별)'!F1916),",","")),"")</f>
        <v>4546.5</v>
      </c>
      <c r="J1912" s="19" t="n">
        <f aca="false">IFERROR(VALUE(SUBSTITUTE(TRIM('수출입 실적(품목별)'!G1916),",","")),"")</f>
        <v>78058</v>
      </c>
      <c r="K1912" s="19" t="n">
        <f aca="false">IFERROR(VALUE(SUBSTITUTE(TRIM('수출입 실적(품목별)'!H1916),",","")),"")</f>
        <v>49084</v>
      </c>
    </row>
    <row r="1913" customFormat="false" ht="15" hidden="false" customHeight="true" outlineLevel="0" collapsed="false">
      <c r="A1913" s="11" t="str">
        <f aca="false">TRIM('수출입 실적(품목별)'!A1917)</f>
        <v>2025.08</v>
      </c>
      <c r="B1913" s="17" t="n">
        <f aca="false">IFERROR(VALUE(LEFT($A1913,4)),"")</f>
        <v>2025</v>
      </c>
      <c r="C1913" s="17" t="n">
        <f aca="false">IFERROR(VALUE(RIGHT($A1913,2)),"")</f>
        <v>8</v>
      </c>
      <c r="D1913" s="17" t="n">
        <f aca="false">IFERROR(ROUNDUP($C1913/3,0),"")</f>
        <v>3</v>
      </c>
      <c r="E1913" s="11" t="str">
        <f aca="false">TRIM('수출입 실적(품목별)'!B1917)</f>
        <v>83</v>
      </c>
      <c r="F1913" s="11" t="str">
        <f aca="false">TRIM('수출입 실적(품목별)'!C1917)</f>
        <v>비금속(卑金屬)으로 만든 각종 제품</v>
      </c>
      <c r="G1913" s="18" t="n">
        <f aca="false">IFERROR(VALUE(SUBSTITUTE(TRIM('수출입 실적(품목별)'!D1917),",","")),"")</f>
        <v>22026.6</v>
      </c>
      <c r="H1913" s="19" t="n">
        <f aca="false">IFERROR(VALUE(SUBSTITUTE(TRIM('수출입 실적(품목별)'!E1917),",","")),"")</f>
        <v>129924</v>
      </c>
      <c r="I1913" s="18" t="n">
        <f aca="false">IFERROR(VALUE(SUBSTITUTE(TRIM('수출입 실적(품목별)'!F1917),",","")),"")</f>
        <v>10955.7</v>
      </c>
      <c r="J1913" s="19" t="n">
        <f aca="false">IFERROR(VALUE(SUBSTITUTE(TRIM('수출입 실적(품목별)'!G1917),",","")),"")</f>
        <v>75205</v>
      </c>
      <c r="K1913" s="19" t="n">
        <f aca="false">IFERROR(VALUE(SUBSTITUTE(TRIM('수출입 실적(품목별)'!H1917),",","")),"")</f>
        <v>54719</v>
      </c>
    </row>
    <row r="1914" customFormat="false" ht="15" hidden="false" customHeight="true" outlineLevel="0" collapsed="false">
      <c r="A1914" s="11" t="str">
        <f aca="false">TRIM('수출입 실적(품목별)'!A1918)</f>
        <v>2025.08</v>
      </c>
      <c r="B1914" s="17" t="n">
        <f aca="false">IFERROR(VALUE(LEFT($A1914,4)),"")</f>
        <v>2025</v>
      </c>
      <c r="C1914" s="17" t="n">
        <f aca="false">IFERROR(VALUE(RIGHT($A1914,2)),"")</f>
        <v>8</v>
      </c>
      <c r="D1914" s="17" t="n">
        <f aca="false">IFERROR(ROUNDUP($C1914/3,0),"")</f>
        <v>3</v>
      </c>
      <c r="E1914" s="11" t="str">
        <f aca="false">TRIM('수출입 실적(품목별)'!B1918)</f>
        <v>84</v>
      </c>
      <c r="F1914" s="11" t="str">
        <f aca="false">TRIM('수출입 실적(품목별)'!C1918)</f>
        <v>원자로ㆍ보일러ㆍ기계류와 이들의 부분품</v>
      </c>
      <c r="G1914" s="18" t="n">
        <f aca="false">IFERROR(VALUE(SUBSTITUTE(TRIM('수출입 실적(품목별)'!D1918),",","")),"")</f>
        <v>326172.9</v>
      </c>
      <c r="H1914" s="19" t="n">
        <f aca="false">IFERROR(VALUE(SUBSTITUTE(TRIM('수출입 실적(품목별)'!E1918),",","")),"")</f>
        <v>6462986</v>
      </c>
      <c r="I1914" s="18" t="n">
        <f aca="false">IFERROR(VALUE(SUBSTITUTE(TRIM('수출입 실적(품목별)'!F1918),",","")),"")</f>
        <v>219839.1</v>
      </c>
      <c r="J1914" s="19" t="n">
        <f aca="false">IFERROR(VALUE(SUBSTITUTE(TRIM('수출입 실적(품목별)'!G1918),",","")),"")</f>
        <v>5593976</v>
      </c>
      <c r="K1914" s="19" t="n">
        <f aca="false">IFERROR(VALUE(SUBSTITUTE(TRIM('수출입 실적(품목별)'!H1918),",","")),"")</f>
        <v>869010</v>
      </c>
    </row>
    <row r="1915" customFormat="false" ht="15" hidden="false" customHeight="true" outlineLevel="0" collapsed="false">
      <c r="A1915" s="11" t="str">
        <f aca="false">TRIM('수출입 실적(품목별)'!A1919)</f>
        <v>2025.08</v>
      </c>
      <c r="B1915" s="17" t="n">
        <f aca="false">IFERROR(VALUE(LEFT($A1915,4)),"")</f>
        <v>2025</v>
      </c>
      <c r="C1915" s="17" t="n">
        <f aca="false">IFERROR(VALUE(RIGHT($A1915,2)),"")</f>
        <v>8</v>
      </c>
      <c r="D1915" s="17" t="n">
        <f aca="false">IFERROR(ROUNDUP($C1915/3,0),"")</f>
        <v>3</v>
      </c>
      <c r="E1915" s="11" t="str">
        <f aca="false">TRIM('수출입 실적(품목별)'!B1919)</f>
        <v>85</v>
      </c>
      <c r="F1915" s="11" t="str">
        <f aca="false">TRIM('수출입 실적(품목별)'!C1919)</f>
        <v>전기기기와 그 부분품, 녹음기ㆍ음성 재생기ㆍ텔레비전의 영상과 음성의 기록기ㆍ재생기와 이들의 부분품ㆍ부속품</v>
      </c>
      <c r="G1915" s="18" t="n">
        <f aca="false">IFERROR(VALUE(SUBSTITUTE(TRIM('수출입 실적(품목별)'!D1919),",","")),"")</f>
        <v>197491.3</v>
      </c>
      <c r="H1915" s="19" t="n">
        <f aca="false">IFERROR(VALUE(SUBSTITUTE(TRIM('수출입 실적(품목별)'!E1919),",","")),"")</f>
        <v>20463780</v>
      </c>
      <c r="I1915" s="18" t="n">
        <f aca="false">IFERROR(VALUE(SUBSTITUTE(TRIM('수출입 실적(품목별)'!F1919),",","")),"")</f>
        <v>191316.7</v>
      </c>
      <c r="J1915" s="19" t="n">
        <f aca="false">IFERROR(VALUE(SUBSTITUTE(TRIM('수출입 실적(품목별)'!G1919),",","")),"")</f>
        <v>10611006</v>
      </c>
      <c r="K1915" s="19" t="n">
        <f aca="false">IFERROR(VALUE(SUBSTITUTE(TRIM('수출입 실적(품목별)'!H1919),",","")),"")</f>
        <v>9852773</v>
      </c>
    </row>
    <row r="1916" customFormat="false" ht="15" hidden="false" customHeight="true" outlineLevel="0" collapsed="false">
      <c r="A1916" s="11" t="str">
        <f aca="false">TRIM('수출입 실적(품목별)'!A1920)</f>
        <v>2025.08</v>
      </c>
      <c r="B1916" s="17" t="n">
        <f aca="false">IFERROR(VALUE(LEFT($A1916,4)),"")</f>
        <v>2025</v>
      </c>
      <c r="C1916" s="17" t="n">
        <f aca="false">IFERROR(VALUE(RIGHT($A1916,2)),"")</f>
        <v>8</v>
      </c>
      <c r="D1916" s="17" t="n">
        <f aca="false">IFERROR(ROUNDUP($C1916/3,0),"")</f>
        <v>3</v>
      </c>
      <c r="E1916" s="11" t="str">
        <f aca="false">TRIM('수출입 실적(품목별)'!B1920)</f>
        <v>86</v>
      </c>
      <c r="F1916" s="11" t="str">
        <f aca="false">TRIM('수출입 실적(품목별)'!C1920)</f>
        <v>철도용이나 궤도용 기관차ㆍ차량과 이들의 부분품, 철도용이나 궤도용 장비품과 그 부분품, 기계식(전기기계식을 포함한다) 각종 교통신호용 기기</v>
      </c>
      <c r="G1916" s="18" t="n">
        <f aca="false">IFERROR(VALUE(SUBSTITUTE(TRIM('수출입 실적(품목별)'!D1920),",","")),"")</f>
        <v>9923.2</v>
      </c>
      <c r="H1916" s="19" t="n">
        <f aca="false">IFERROR(VALUE(SUBSTITUTE(TRIM('수출입 실적(품목별)'!E1920),",","")),"")</f>
        <v>41011</v>
      </c>
      <c r="I1916" s="18" t="n">
        <f aca="false">IFERROR(VALUE(SUBSTITUTE(TRIM('수출입 실적(품목별)'!F1920),",","")),"")</f>
        <v>11117.6</v>
      </c>
      <c r="J1916" s="19" t="n">
        <f aca="false">IFERROR(VALUE(SUBSTITUTE(TRIM('수출입 실적(품목별)'!G1920),",","")),"")</f>
        <v>54008</v>
      </c>
      <c r="K1916" s="19" t="n">
        <f aca="false">IFERROR(VALUE(SUBSTITUTE(TRIM('수출입 실적(품목별)'!H1920),",","")),"")</f>
        <v>-12997</v>
      </c>
    </row>
    <row r="1917" customFormat="false" ht="15" hidden="false" customHeight="true" outlineLevel="0" collapsed="false">
      <c r="A1917" s="11" t="str">
        <f aca="false">TRIM('수출입 실적(품목별)'!A1921)</f>
        <v>2025.08</v>
      </c>
      <c r="B1917" s="17" t="n">
        <f aca="false">IFERROR(VALUE(LEFT($A1917,4)),"")</f>
        <v>2025</v>
      </c>
      <c r="C1917" s="17" t="n">
        <f aca="false">IFERROR(VALUE(RIGHT($A1917,2)),"")</f>
        <v>8</v>
      </c>
      <c r="D1917" s="17" t="n">
        <f aca="false">IFERROR(ROUNDUP($C1917/3,0),"")</f>
        <v>3</v>
      </c>
      <c r="E1917" s="11" t="str">
        <f aca="false">TRIM('수출입 실적(품목별)'!B1921)</f>
        <v>87</v>
      </c>
      <c r="F1917" s="11" t="str">
        <f aca="false">TRIM('수출입 실적(품목별)'!C1921)</f>
        <v>철도용이나 궤도용 외의 차량과 그 부분품ㆍ부속품</v>
      </c>
      <c r="G1917" s="18" t="n">
        <f aca="false">IFERROR(VALUE(SUBSTITUTE(TRIM('수출입 실적(품목별)'!D1921),",","")),"")</f>
        <v>665522.2</v>
      </c>
      <c r="H1917" s="19" t="n">
        <f aca="false">IFERROR(VALUE(SUBSTITUTE(TRIM('수출입 실적(품목별)'!E1921),",","")),"")</f>
        <v>7000138</v>
      </c>
      <c r="I1917" s="18" t="n">
        <f aca="false">IFERROR(VALUE(SUBSTITUTE(TRIM('수출입 실적(품목별)'!F1921),",","")),"")</f>
        <v>123867.9</v>
      </c>
      <c r="J1917" s="19" t="n">
        <f aca="false">IFERROR(VALUE(SUBSTITUTE(TRIM('수출입 실적(품목별)'!G1921),",","")),"")</f>
        <v>1990738</v>
      </c>
      <c r="K1917" s="19" t="n">
        <f aca="false">IFERROR(VALUE(SUBSTITUTE(TRIM('수출입 실적(품목별)'!H1921),",","")),"")</f>
        <v>5009400</v>
      </c>
    </row>
    <row r="1918" customFormat="false" ht="15" hidden="false" customHeight="true" outlineLevel="0" collapsed="false">
      <c r="A1918" s="11" t="str">
        <f aca="false">TRIM('수출입 실적(품목별)'!A1922)</f>
        <v>2025.08</v>
      </c>
      <c r="B1918" s="17" t="n">
        <f aca="false">IFERROR(VALUE(LEFT($A1918,4)),"")</f>
        <v>2025</v>
      </c>
      <c r="C1918" s="17" t="n">
        <f aca="false">IFERROR(VALUE(RIGHT($A1918,2)),"")</f>
        <v>8</v>
      </c>
      <c r="D1918" s="17" t="n">
        <f aca="false">IFERROR(ROUNDUP($C1918/3,0),"")</f>
        <v>3</v>
      </c>
      <c r="E1918" s="11" t="str">
        <f aca="false">TRIM('수출입 실적(품목별)'!B1922)</f>
        <v>88</v>
      </c>
      <c r="F1918" s="11" t="str">
        <f aca="false">TRIM('수출입 실적(품목별)'!C1922)</f>
        <v>항공기와 우주선, 이들의 부분품</v>
      </c>
      <c r="G1918" s="18" t="n">
        <f aca="false">IFERROR(VALUE(SUBSTITUTE(TRIM('수출입 실적(품목별)'!D1922),",","")),"")</f>
        <v>483.7</v>
      </c>
      <c r="H1918" s="19" t="n">
        <f aca="false">IFERROR(VALUE(SUBSTITUTE(TRIM('수출입 실적(품목별)'!E1922),",","")),"")</f>
        <v>230879</v>
      </c>
      <c r="I1918" s="18" t="n">
        <f aca="false">IFERROR(VALUE(SUBSTITUTE(TRIM('수출입 실적(품목별)'!F1922),",","")),"")</f>
        <v>201.7</v>
      </c>
      <c r="J1918" s="19" t="n">
        <f aca="false">IFERROR(VALUE(SUBSTITUTE(TRIM('수출입 실적(품목별)'!G1922),",","")),"")</f>
        <v>145331</v>
      </c>
      <c r="K1918" s="19" t="n">
        <f aca="false">IFERROR(VALUE(SUBSTITUTE(TRIM('수출입 실적(품목별)'!H1922),",","")),"")</f>
        <v>85548</v>
      </c>
    </row>
    <row r="1919" customFormat="false" ht="15" hidden="false" customHeight="true" outlineLevel="0" collapsed="false">
      <c r="A1919" s="11" t="str">
        <f aca="false">TRIM('수출입 실적(품목별)'!A1923)</f>
        <v>2025.08</v>
      </c>
      <c r="B1919" s="17" t="n">
        <f aca="false">IFERROR(VALUE(LEFT($A1919,4)),"")</f>
        <v>2025</v>
      </c>
      <c r="C1919" s="17" t="n">
        <f aca="false">IFERROR(VALUE(RIGHT($A1919,2)),"")</f>
        <v>8</v>
      </c>
      <c r="D1919" s="17" t="n">
        <f aca="false">IFERROR(ROUNDUP($C1919/3,0),"")</f>
        <v>3</v>
      </c>
      <c r="E1919" s="11" t="str">
        <f aca="false">TRIM('수출입 실적(품목별)'!B1923)</f>
        <v>89</v>
      </c>
      <c r="F1919" s="11" t="str">
        <f aca="false">TRIM('수출입 실적(품목별)'!C1923)</f>
        <v>선박과 수상 구조물</v>
      </c>
      <c r="G1919" s="18" t="n">
        <f aca="false">IFERROR(VALUE(SUBSTITUTE(TRIM('수출입 실적(품목별)'!D1923),",","")),"")</f>
        <v>1139797</v>
      </c>
      <c r="H1919" s="19" t="n">
        <f aca="false">IFERROR(VALUE(SUBSTITUTE(TRIM('수출입 실적(품목별)'!E1923),",","")),"")</f>
        <v>2941546</v>
      </c>
      <c r="I1919" s="18" t="n">
        <f aca="false">IFERROR(VALUE(SUBSTITUTE(TRIM('수출입 실적(품목별)'!F1923),",","")),"")</f>
        <v>55713.1</v>
      </c>
      <c r="J1919" s="19" t="n">
        <f aca="false">IFERROR(VALUE(SUBSTITUTE(TRIM('수출입 실적(품목별)'!G1923),",","")),"")</f>
        <v>138725</v>
      </c>
      <c r="K1919" s="19" t="n">
        <f aca="false">IFERROR(VALUE(SUBSTITUTE(TRIM('수출입 실적(품목별)'!H1923),",","")),"")</f>
        <v>2802821</v>
      </c>
    </row>
    <row r="1920" customFormat="false" ht="15" hidden="false" customHeight="true" outlineLevel="0" collapsed="false">
      <c r="A1920" s="11" t="str">
        <f aca="false">TRIM('수출입 실적(품목별)'!A1924)</f>
        <v>2025.08</v>
      </c>
      <c r="B1920" s="17" t="n">
        <f aca="false">IFERROR(VALUE(LEFT($A1920,4)),"")</f>
        <v>2025</v>
      </c>
      <c r="C1920" s="17" t="n">
        <f aca="false">IFERROR(VALUE(RIGHT($A1920,2)),"")</f>
        <v>8</v>
      </c>
      <c r="D1920" s="17" t="n">
        <f aca="false">IFERROR(ROUNDUP($C1920/3,0),"")</f>
        <v>3</v>
      </c>
      <c r="E1920" s="11" t="str">
        <f aca="false">TRIM('수출입 실적(품목별)'!B1924)</f>
        <v>90</v>
      </c>
      <c r="F1920" s="11" t="str">
        <f aca="false">TRIM('수출입 실적(품목별)'!C1924)</f>
        <v>광학기기ㆍ사진용 기기ㆍ영화용 기기ㆍ측정기기ㆍ검사기기ㆍ정밀기기ㆍ의료용 기기, 이들의 부분품과 부속품</v>
      </c>
      <c r="G1920" s="18" t="n">
        <f aca="false">IFERROR(VALUE(SUBSTITUTE(TRIM('수출입 실적(품목별)'!D1924),",","")),"")</f>
        <v>14839</v>
      </c>
      <c r="H1920" s="19" t="n">
        <f aca="false">IFERROR(VALUE(SUBSTITUTE(TRIM('수출입 실적(품목별)'!E1924),",","")),"")</f>
        <v>1326909</v>
      </c>
      <c r="I1920" s="18" t="n">
        <f aca="false">IFERROR(VALUE(SUBSTITUTE(TRIM('수출입 실적(품목별)'!F1924),",","")),"")</f>
        <v>15089.6</v>
      </c>
      <c r="J1920" s="19" t="n">
        <f aca="false">IFERROR(VALUE(SUBSTITUTE(TRIM('수출입 실적(품목별)'!G1924),",","")),"")</f>
        <v>1996731</v>
      </c>
      <c r="K1920" s="19" t="n">
        <f aca="false">IFERROR(VALUE(SUBSTITUTE(TRIM('수출입 실적(품목별)'!H1924),",","")),"")</f>
        <v>-669822</v>
      </c>
    </row>
    <row r="1921" customFormat="false" ht="15" hidden="false" customHeight="true" outlineLevel="0" collapsed="false">
      <c r="A1921" s="11" t="str">
        <f aca="false">TRIM('수출입 실적(품목별)'!A1925)</f>
        <v>2025.08</v>
      </c>
      <c r="B1921" s="17" t="n">
        <f aca="false">IFERROR(VALUE(LEFT($A1921,4)),"")</f>
        <v>2025</v>
      </c>
      <c r="C1921" s="17" t="n">
        <f aca="false">IFERROR(VALUE(RIGHT($A1921,2)),"")</f>
        <v>8</v>
      </c>
      <c r="D1921" s="17" t="n">
        <f aca="false">IFERROR(ROUNDUP($C1921/3,0),"")</f>
        <v>3</v>
      </c>
      <c r="E1921" s="11" t="str">
        <f aca="false">TRIM('수출입 실적(품목별)'!B1925)</f>
        <v>91</v>
      </c>
      <c r="F1921" s="11" t="str">
        <f aca="false">TRIM('수출입 실적(품목별)'!C1925)</f>
        <v>시계와 그 부분품</v>
      </c>
      <c r="G1921" s="18" t="n">
        <f aca="false">IFERROR(VALUE(SUBSTITUTE(TRIM('수출입 실적(품목별)'!D1925),",","")),"")</f>
        <v>12.4</v>
      </c>
      <c r="H1921" s="19" t="n">
        <f aca="false">IFERROR(VALUE(SUBSTITUTE(TRIM('수출입 실적(품목별)'!E1925),",","")),"")</f>
        <v>20403</v>
      </c>
      <c r="I1921" s="18" t="n">
        <f aca="false">IFERROR(VALUE(SUBSTITUTE(TRIM('수출입 실적(품목별)'!F1925),",","")),"")</f>
        <v>240.1</v>
      </c>
      <c r="J1921" s="19" t="n">
        <f aca="false">IFERROR(VALUE(SUBSTITUTE(TRIM('수출입 실적(품목별)'!G1925),",","")),"")</f>
        <v>88433</v>
      </c>
      <c r="K1921" s="19" t="n">
        <f aca="false">IFERROR(VALUE(SUBSTITUTE(TRIM('수출입 실적(품목별)'!H1925),",","")),"")</f>
        <v>-68030</v>
      </c>
    </row>
    <row r="1922" customFormat="false" ht="15" hidden="false" customHeight="true" outlineLevel="0" collapsed="false">
      <c r="A1922" s="11" t="str">
        <f aca="false">TRIM('수출입 실적(품목별)'!A1926)</f>
        <v>2025.08</v>
      </c>
      <c r="B1922" s="17" t="n">
        <f aca="false">IFERROR(VALUE(LEFT($A1922,4)),"")</f>
        <v>2025</v>
      </c>
      <c r="C1922" s="17" t="n">
        <f aca="false">IFERROR(VALUE(RIGHT($A1922,2)),"")</f>
        <v>8</v>
      </c>
      <c r="D1922" s="17" t="n">
        <f aca="false">IFERROR(ROUNDUP($C1922/3,0),"")</f>
        <v>3</v>
      </c>
      <c r="E1922" s="11" t="str">
        <f aca="false">TRIM('수출입 실적(품목별)'!B1926)</f>
        <v>92</v>
      </c>
      <c r="F1922" s="11" t="str">
        <f aca="false">TRIM('수출입 실적(품목별)'!C1926)</f>
        <v>악기와 그 부분품과 부속품</v>
      </c>
      <c r="G1922" s="18" t="n">
        <f aca="false">IFERROR(VALUE(SUBSTITUTE(TRIM('수출입 실적(품목별)'!D1926),",","")),"")</f>
        <v>362</v>
      </c>
      <c r="H1922" s="19" t="n">
        <f aca="false">IFERROR(VALUE(SUBSTITUTE(TRIM('수출입 실적(품목별)'!E1926),",","")),"")</f>
        <v>8245</v>
      </c>
      <c r="I1922" s="18" t="n">
        <f aca="false">IFERROR(VALUE(SUBSTITUTE(TRIM('수출입 실적(품목별)'!F1926),",","")),"")</f>
        <v>635</v>
      </c>
      <c r="J1922" s="19" t="n">
        <f aca="false">IFERROR(VALUE(SUBSTITUTE(TRIM('수출입 실적(품목별)'!G1926),",","")),"")</f>
        <v>13795</v>
      </c>
      <c r="K1922" s="19" t="n">
        <f aca="false">IFERROR(VALUE(SUBSTITUTE(TRIM('수출입 실적(품목별)'!H1926),",","")),"")</f>
        <v>-5550</v>
      </c>
    </row>
    <row r="1923" customFormat="false" ht="15" hidden="false" customHeight="true" outlineLevel="0" collapsed="false">
      <c r="A1923" s="11" t="str">
        <f aca="false">TRIM('수출입 실적(품목별)'!A1927)</f>
        <v>2025.08</v>
      </c>
      <c r="B1923" s="17" t="n">
        <f aca="false">IFERROR(VALUE(LEFT($A1923,4)),"")</f>
        <v>2025</v>
      </c>
      <c r="C1923" s="17" t="n">
        <f aca="false">IFERROR(VALUE(RIGHT($A1923,2)),"")</f>
        <v>8</v>
      </c>
      <c r="D1923" s="17" t="n">
        <f aca="false">IFERROR(ROUNDUP($C1923/3,0),"")</f>
        <v>3</v>
      </c>
      <c r="E1923" s="11" t="str">
        <f aca="false">TRIM('수출입 실적(품목별)'!B1927)</f>
        <v>93</v>
      </c>
      <c r="F1923" s="11" t="str">
        <f aca="false">TRIM('수출입 실적(품목별)'!C1927)</f>
        <v>무기ㆍ총포탄과 이들의 부분품과 부속품</v>
      </c>
      <c r="G1923" s="18" t="n">
        <f aca="false">IFERROR(VALUE(SUBSTITUTE(TRIM('수출입 실적(품목별)'!D1927),",","")),"")</f>
        <v>1748.5</v>
      </c>
      <c r="H1923" s="19" t="n">
        <f aca="false">IFERROR(VALUE(SUBSTITUTE(TRIM('수출입 실적(품목별)'!E1927),",","")),"")</f>
        <v>116196</v>
      </c>
      <c r="I1923" s="18" t="n">
        <f aca="false">IFERROR(VALUE(SUBSTITUTE(TRIM('수출입 실적(품목별)'!F1927),",","")),"")</f>
        <v>354.7</v>
      </c>
      <c r="J1923" s="19" t="n">
        <f aca="false">IFERROR(VALUE(SUBSTITUTE(TRIM('수출입 실적(품목별)'!G1927),",","")),"")</f>
        <v>43564</v>
      </c>
      <c r="K1923" s="19" t="n">
        <f aca="false">IFERROR(VALUE(SUBSTITUTE(TRIM('수출입 실적(품목별)'!H1927),",","")),"")</f>
        <v>72632</v>
      </c>
    </row>
    <row r="1924" customFormat="false" ht="15" hidden="false" customHeight="true" outlineLevel="0" collapsed="false">
      <c r="A1924" s="11" t="str">
        <f aca="false">TRIM('수출입 실적(품목별)'!A1928)</f>
        <v>2025.08</v>
      </c>
      <c r="B1924" s="17" t="n">
        <f aca="false">IFERROR(VALUE(LEFT($A1924,4)),"")</f>
        <v>2025</v>
      </c>
      <c r="C1924" s="17" t="n">
        <f aca="false">IFERROR(VALUE(RIGHT($A1924,2)),"")</f>
        <v>8</v>
      </c>
      <c r="D1924" s="17" t="n">
        <f aca="false">IFERROR(ROUNDUP($C1924/3,0),"")</f>
        <v>3</v>
      </c>
      <c r="E1924" s="11" t="str">
        <f aca="false">TRIM('수출입 실적(품목별)'!B1928)</f>
        <v>94</v>
      </c>
      <c r="F1924" s="11" t="str">
        <f aca="false">TRIM('수출입 실적(품목별)'!C1928)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1924" s="18" t="n">
        <f aca="false">IFERROR(VALUE(SUBSTITUTE(TRIM('수출입 실적(품목별)'!D1928),",","")),"")</f>
        <v>14647.7</v>
      </c>
      <c r="H1924" s="19" t="n">
        <f aca="false">IFERROR(VALUE(SUBSTITUTE(TRIM('수출입 실적(품목별)'!E1928),",","")),"")</f>
        <v>108180</v>
      </c>
      <c r="I1924" s="18" t="n">
        <f aca="false">IFERROR(VALUE(SUBSTITUTE(TRIM('수출입 실적(품목별)'!F1928),",","")),"")</f>
        <v>69115.2</v>
      </c>
      <c r="J1924" s="19" t="n">
        <f aca="false">IFERROR(VALUE(SUBSTITUTE(TRIM('수출입 실적(품목별)'!G1928),",","")),"")</f>
        <v>298894</v>
      </c>
      <c r="K1924" s="19" t="n">
        <f aca="false">IFERROR(VALUE(SUBSTITUTE(TRIM('수출입 실적(품목별)'!H1928),",","")),"")</f>
        <v>-190714</v>
      </c>
    </row>
    <row r="1925" customFormat="false" ht="15" hidden="false" customHeight="true" outlineLevel="0" collapsed="false">
      <c r="A1925" s="11" t="str">
        <f aca="false">TRIM('수출입 실적(품목별)'!A1929)</f>
        <v>2025.08</v>
      </c>
      <c r="B1925" s="17" t="n">
        <f aca="false">IFERROR(VALUE(LEFT($A1925,4)),"")</f>
        <v>2025</v>
      </c>
      <c r="C1925" s="17" t="n">
        <f aca="false">IFERROR(VALUE(RIGHT($A1925,2)),"")</f>
        <v>8</v>
      </c>
      <c r="D1925" s="17" t="n">
        <f aca="false">IFERROR(ROUNDUP($C1925/3,0),"")</f>
        <v>3</v>
      </c>
      <c r="E1925" s="11" t="str">
        <f aca="false">TRIM('수출입 실적(품목별)'!B1929)</f>
        <v>95</v>
      </c>
      <c r="F1925" s="11" t="str">
        <f aca="false">TRIM('수출입 실적(품목별)'!C1929)</f>
        <v>완구ㆍ게임용구ㆍ운동용구와 이들의 부분품과 부속품</v>
      </c>
      <c r="G1925" s="18" t="n">
        <f aca="false">IFERROR(VALUE(SUBSTITUTE(TRIM('수출입 실적(품목별)'!D1929),",","")),"")</f>
        <v>2285.4</v>
      </c>
      <c r="H1925" s="19" t="n">
        <f aca="false">IFERROR(VALUE(SUBSTITUTE(TRIM('수출입 실적(품목별)'!E1929),",","")),"")</f>
        <v>46656</v>
      </c>
      <c r="I1925" s="18" t="n">
        <f aca="false">IFERROR(VALUE(SUBSTITUTE(TRIM('수출입 실적(품목별)'!F1929),",","")),"")</f>
        <v>14467.1</v>
      </c>
      <c r="J1925" s="19" t="n">
        <f aca="false">IFERROR(VALUE(SUBSTITUTE(TRIM('수출입 실적(품목별)'!G1929),",","")),"")</f>
        <v>217442</v>
      </c>
      <c r="K1925" s="19" t="n">
        <f aca="false">IFERROR(VALUE(SUBSTITUTE(TRIM('수출입 실적(품목별)'!H1929),",","")),"")</f>
        <v>-170786</v>
      </c>
    </row>
    <row r="1926" customFormat="false" ht="15" hidden="false" customHeight="true" outlineLevel="0" collapsed="false">
      <c r="A1926" s="11" t="str">
        <f aca="false">TRIM('수출입 실적(품목별)'!A1930)</f>
        <v>2025.08</v>
      </c>
      <c r="B1926" s="17" t="n">
        <f aca="false">IFERROR(VALUE(LEFT($A1926,4)),"")</f>
        <v>2025</v>
      </c>
      <c r="C1926" s="17" t="n">
        <f aca="false">IFERROR(VALUE(RIGHT($A1926,2)),"")</f>
        <v>8</v>
      </c>
      <c r="D1926" s="17" t="n">
        <f aca="false">IFERROR(ROUNDUP($C1926/3,0),"")</f>
        <v>3</v>
      </c>
      <c r="E1926" s="11" t="str">
        <f aca="false">TRIM('수출입 실적(품목별)'!B1930)</f>
        <v>96</v>
      </c>
      <c r="F1926" s="11" t="str">
        <f aca="false">TRIM('수출입 실적(품목별)'!C1930)</f>
        <v>잡품</v>
      </c>
      <c r="G1926" s="18" t="n">
        <f aca="false">IFERROR(VALUE(SUBSTITUTE(TRIM('수출입 실적(품목별)'!D1930),",","")),"")</f>
        <v>1924.5</v>
      </c>
      <c r="H1926" s="19" t="n">
        <f aca="false">IFERROR(VALUE(SUBSTITUTE(TRIM('수출입 실적(품목별)'!E1930),",","")),"")</f>
        <v>31005</v>
      </c>
      <c r="I1926" s="18" t="n">
        <f aca="false">IFERROR(VALUE(SUBSTITUTE(TRIM('수출입 실적(품목별)'!F1930),",","")),"")</f>
        <v>10277.2</v>
      </c>
      <c r="J1926" s="19" t="n">
        <f aca="false">IFERROR(VALUE(SUBSTITUTE(TRIM('수출입 실적(품목별)'!G1930),",","")),"")</f>
        <v>86247</v>
      </c>
      <c r="K1926" s="19" t="n">
        <f aca="false">IFERROR(VALUE(SUBSTITUTE(TRIM('수출입 실적(품목별)'!H1930),",","")),"")</f>
        <v>-55242</v>
      </c>
    </row>
    <row r="1927" customFormat="false" ht="15" hidden="false" customHeight="true" outlineLevel="0" collapsed="false">
      <c r="A1927" s="11" t="str">
        <f aca="false">TRIM('수출입 실적(품목별)'!A1931)</f>
        <v>2025.08</v>
      </c>
      <c r="B1927" s="17" t="n">
        <f aca="false">IFERROR(VALUE(LEFT($A1927,4)),"")</f>
        <v>2025</v>
      </c>
      <c r="C1927" s="17" t="n">
        <f aca="false">IFERROR(VALUE(RIGHT($A1927,2)),"")</f>
        <v>8</v>
      </c>
      <c r="D1927" s="17" t="n">
        <f aca="false">IFERROR(ROUNDUP($C1927/3,0),"")</f>
        <v>3</v>
      </c>
      <c r="E1927" s="11" t="str">
        <f aca="false">TRIM('수출입 실적(품목별)'!B1931)</f>
        <v>97</v>
      </c>
      <c r="F1927" s="11" t="str">
        <f aca="false">TRIM('수출입 실적(품목별)'!C1931)</f>
        <v>예술품ㆍ수집품ㆍ골동품</v>
      </c>
      <c r="G1927" s="18" t="n">
        <f aca="false">IFERROR(VALUE(SUBSTITUTE(TRIM('수출입 실적(품목별)'!D1931),",","")),"")</f>
        <v>9.6</v>
      </c>
      <c r="H1927" s="19" t="n">
        <f aca="false">IFERROR(VALUE(SUBSTITUTE(TRIM('수출입 실적(품목별)'!E1931),",","")),"")</f>
        <v>14438</v>
      </c>
      <c r="I1927" s="18" t="n">
        <f aca="false">IFERROR(VALUE(SUBSTITUTE(TRIM('수출입 실적(품목별)'!F1931),",","")),"")</f>
        <v>41.2</v>
      </c>
      <c r="J1927" s="19" t="n">
        <f aca="false">IFERROR(VALUE(SUBSTITUTE(TRIM('수출입 실적(품목별)'!G1931),",","")),"")</f>
        <v>83888</v>
      </c>
      <c r="K1927" s="19" t="n">
        <f aca="false">IFERROR(VALUE(SUBSTITUTE(TRIM('수출입 실적(품목별)'!H1931),",","")),"")</f>
        <v>-69449</v>
      </c>
    </row>
    <row r="1928" customFormat="false" ht="15" hidden="false" customHeight="true" outlineLevel="0" collapsed="false">
      <c r="A1928" s="11" t="str">
        <f aca="false">TRIM('수출입 실적(품목별)'!A1932)</f>
        <v>2025.09</v>
      </c>
      <c r="B1928" s="17" t="n">
        <f aca="false">IFERROR(VALUE(LEFT($A1928,4)),"")</f>
        <v>2025</v>
      </c>
      <c r="C1928" s="17" t="n">
        <f aca="false">IFERROR(VALUE(RIGHT($A1928,2)),"")</f>
        <v>9</v>
      </c>
      <c r="D1928" s="17" t="n">
        <f aca="false">IFERROR(ROUNDUP($C1928/3,0),"")</f>
        <v>3</v>
      </c>
      <c r="E1928" s="11" t="str">
        <f aca="false">TRIM('수출입 실적(품목별)'!B1932)</f>
        <v>01</v>
      </c>
      <c r="F1928" s="11" t="str">
        <f aca="false">TRIM('수출입 실적(품목별)'!C1932)</f>
        <v>살아 있는 동물</v>
      </c>
      <c r="G1928" s="18" t="n">
        <f aca="false">IFERROR(VALUE(SUBSTITUTE(TRIM('수출입 실적(품목별)'!D1932),",","")),"")</f>
        <v>2.4</v>
      </c>
      <c r="H1928" s="19" t="n">
        <f aca="false">IFERROR(VALUE(SUBSTITUTE(TRIM('수출입 실적(품목별)'!E1932),",","")),"")</f>
        <v>689</v>
      </c>
      <c r="I1928" s="18" t="n">
        <f aca="false">IFERROR(VALUE(SUBSTITUTE(TRIM('수출입 실적(품목별)'!F1932),",","")),"")</f>
        <v>62.2</v>
      </c>
      <c r="J1928" s="19" t="n">
        <f aca="false">IFERROR(VALUE(SUBSTITUTE(TRIM('수출입 실적(품목별)'!G1932),",","")),"")</f>
        <v>5245</v>
      </c>
      <c r="K1928" s="19" t="n">
        <f aca="false">IFERROR(VALUE(SUBSTITUTE(TRIM('수출입 실적(품목별)'!H1932),",","")),"")</f>
        <v>-4556</v>
      </c>
    </row>
    <row r="1929" customFormat="false" ht="15" hidden="false" customHeight="true" outlineLevel="0" collapsed="false">
      <c r="A1929" s="11" t="str">
        <f aca="false">TRIM('수출입 실적(품목별)'!A1933)</f>
        <v>2025.09</v>
      </c>
      <c r="B1929" s="17" t="n">
        <f aca="false">IFERROR(VALUE(LEFT($A1929,4)),"")</f>
        <v>2025</v>
      </c>
      <c r="C1929" s="17" t="n">
        <f aca="false">IFERROR(VALUE(RIGHT($A1929,2)),"")</f>
        <v>9</v>
      </c>
      <c r="D1929" s="17" t="n">
        <f aca="false">IFERROR(ROUNDUP($C1929/3,0),"")</f>
        <v>3</v>
      </c>
      <c r="E1929" s="11" t="str">
        <f aca="false">TRIM('수출입 실적(품목별)'!B1933)</f>
        <v>02</v>
      </c>
      <c r="F1929" s="11" t="str">
        <f aca="false">TRIM('수출입 실적(품목별)'!C1933)</f>
        <v>육과 식용 설육(屑肉)</v>
      </c>
      <c r="G1929" s="18" t="n">
        <f aca="false">IFERROR(VALUE(SUBSTITUTE(TRIM('수출입 실적(품목별)'!D1933),",","")),"")</f>
        <v>4638.6</v>
      </c>
      <c r="H1929" s="19" t="n">
        <f aca="false">IFERROR(VALUE(SUBSTITUTE(TRIM('수출입 실적(품목별)'!E1933),",","")),"")</f>
        <v>6423</v>
      </c>
      <c r="I1929" s="18" t="n">
        <f aca="false">IFERROR(VALUE(SUBSTITUTE(TRIM('수출입 실적(품목별)'!F1933),",","")),"")</f>
        <v>113555.7</v>
      </c>
      <c r="J1929" s="19" t="n">
        <f aca="false">IFERROR(VALUE(SUBSTITUTE(TRIM('수출입 실적(품목별)'!G1933),",","")),"")</f>
        <v>617386</v>
      </c>
      <c r="K1929" s="19" t="n">
        <f aca="false">IFERROR(VALUE(SUBSTITUTE(TRIM('수출입 실적(품목별)'!H1933),",","")),"")</f>
        <v>-610963</v>
      </c>
    </row>
    <row r="1930" customFormat="false" ht="15" hidden="false" customHeight="true" outlineLevel="0" collapsed="false">
      <c r="A1930" s="11" t="str">
        <f aca="false">TRIM('수출입 실적(품목별)'!A1934)</f>
        <v>2025.09</v>
      </c>
      <c r="B1930" s="17" t="n">
        <f aca="false">IFERROR(VALUE(LEFT($A1930,4)),"")</f>
        <v>2025</v>
      </c>
      <c r="C1930" s="17" t="n">
        <f aca="false">IFERROR(VALUE(RIGHT($A1930,2)),"")</f>
        <v>9</v>
      </c>
      <c r="D1930" s="17" t="n">
        <f aca="false">IFERROR(ROUNDUP($C1930/3,0),"")</f>
        <v>3</v>
      </c>
      <c r="E1930" s="11" t="str">
        <f aca="false">TRIM('수출입 실적(품목별)'!B1934)</f>
        <v>03</v>
      </c>
      <c r="F1930" s="11" t="str">
        <f aca="false">TRIM('수출입 실적(품목별)'!C1934)</f>
        <v>어류ㆍ갑각류ㆍ연체동물과 그 밖의 수생(水生) 무척추동물</v>
      </c>
      <c r="G1930" s="18" t="n">
        <f aca="false">IFERROR(VALUE(SUBSTITUTE(TRIM('수출입 실적(품목별)'!D1934),",","")),"")</f>
        <v>62157.6</v>
      </c>
      <c r="H1930" s="19" t="n">
        <f aca="false">IFERROR(VALUE(SUBSTITUTE(TRIM('수출입 실적(품목별)'!E1934),",","")),"")</f>
        <v>177718</v>
      </c>
      <c r="I1930" s="18" t="n">
        <f aca="false">IFERROR(VALUE(SUBSTITUTE(TRIM('수출입 실적(품목별)'!F1934),",","")),"")</f>
        <v>113617</v>
      </c>
      <c r="J1930" s="19" t="n">
        <f aca="false">IFERROR(VALUE(SUBSTITUTE(TRIM('수출입 실적(품목별)'!G1934),",","")),"")</f>
        <v>479689</v>
      </c>
      <c r="K1930" s="19" t="n">
        <f aca="false">IFERROR(VALUE(SUBSTITUTE(TRIM('수출입 실적(품목별)'!H1934),",","")),"")</f>
        <v>-301971</v>
      </c>
    </row>
    <row r="1931" customFormat="false" ht="15" hidden="false" customHeight="true" outlineLevel="0" collapsed="false">
      <c r="A1931" s="11" t="str">
        <f aca="false">TRIM('수출입 실적(품목별)'!A1935)</f>
        <v>2025.09</v>
      </c>
      <c r="B1931" s="17" t="n">
        <f aca="false">IFERROR(VALUE(LEFT($A1931,4)),"")</f>
        <v>2025</v>
      </c>
      <c r="C1931" s="17" t="n">
        <f aca="false">IFERROR(VALUE(RIGHT($A1931,2)),"")</f>
        <v>9</v>
      </c>
      <c r="D1931" s="17" t="n">
        <f aca="false">IFERROR(ROUNDUP($C1931/3,0),"")</f>
        <v>3</v>
      </c>
      <c r="E1931" s="11" t="str">
        <f aca="false">TRIM('수출입 실적(품목별)'!B1935)</f>
        <v>04</v>
      </c>
      <c r="F1931" s="11" t="str">
        <f aca="false">TRIM('수출입 실적(품목별)'!C1935)</f>
        <v>낙농품, 새의 알, 천연꿀, 다른 류로 분류되지 않은 식용인 동물성 생산품</v>
      </c>
      <c r="G1931" s="18" t="n">
        <f aca="false">IFERROR(VALUE(SUBSTITUTE(TRIM('수출입 실적(품목별)'!D1935),",","")),"")</f>
        <v>2647.6</v>
      </c>
      <c r="H1931" s="19" t="n">
        <f aca="false">IFERROR(VALUE(SUBSTITUTE(TRIM('수출입 실적(품목별)'!E1935),",","")),"")</f>
        <v>7500</v>
      </c>
      <c r="I1931" s="18" t="n">
        <f aca="false">IFERROR(VALUE(SUBSTITUTE(TRIM('수출입 실적(품목별)'!F1935),",","")),"")</f>
        <v>42335.5</v>
      </c>
      <c r="J1931" s="19" t="n">
        <f aca="false">IFERROR(VALUE(SUBSTITUTE(TRIM('수출입 실적(품목별)'!G1935),",","")),"")</f>
        <v>171734</v>
      </c>
      <c r="K1931" s="19" t="n">
        <f aca="false">IFERROR(VALUE(SUBSTITUTE(TRIM('수출입 실적(품목별)'!H1935),",","")),"")</f>
        <v>-164234</v>
      </c>
    </row>
    <row r="1932" customFormat="false" ht="15" hidden="false" customHeight="true" outlineLevel="0" collapsed="false">
      <c r="A1932" s="11" t="str">
        <f aca="false">TRIM('수출입 실적(품목별)'!A1936)</f>
        <v>2025.09</v>
      </c>
      <c r="B1932" s="17" t="n">
        <f aca="false">IFERROR(VALUE(LEFT($A1932,4)),"")</f>
        <v>2025</v>
      </c>
      <c r="C1932" s="17" t="n">
        <f aca="false">IFERROR(VALUE(RIGHT($A1932,2)),"")</f>
        <v>9</v>
      </c>
      <c r="D1932" s="17" t="n">
        <f aca="false">IFERROR(ROUNDUP($C1932/3,0),"")</f>
        <v>3</v>
      </c>
      <c r="E1932" s="11" t="str">
        <f aca="false">TRIM('수출입 실적(품목별)'!B1936)</f>
        <v>05</v>
      </c>
      <c r="F1932" s="11" t="str">
        <f aca="false">TRIM('수출입 실적(품목별)'!C1936)</f>
        <v>다른 류로 분류되지 않은 동물성 생산품</v>
      </c>
      <c r="G1932" s="18" t="n">
        <f aca="false">IFERROR(VALUE(SUBSTITUTE(TRIM('수출입 실적(품목별)'!D1936),",","")),"")</f>
        <v>1732</v>
      </c>
      <c r="H1932" s="19" t="n">
        <f aca="false">IFERROR(VALUE(SUBSTITUTE(TRIM('수출입 실적(품목별)'!E1936),",","")),"")</f>
        <v>4353</v>
      </c>
      <c r="I1932" s="18" t="n">
        <f aca="false">IFERROR(VALUE(SUBSTITUTE(TRIM('수출입 실적(품목별)'!F1936),",","")),"")</f>
        <v>4228.1</v>
      </c>
      <c r="J1932" s="19" t="n">
        <f aca="false">IFERROR(VALUE(SUBSTITUTE(TRIM('수출입 실적(품목별)'!G1936),",","")),"")</f>
        <v>19788</v>
      </c>
      <c r="K1932" s="19" t="n">
        <f aca="false">IFERROR(VALUE(SUBSTITUTE(TRIM('수출입 실적(품목별)'!H1936),",","")),"")</f>
        <v>-15435</v>
      </c>
    </row>
    <row r="1933" customFormat="false" ht="15" hidden="false" customHeight="true" outlineLevel="0" collapsed="false">
      <c r="A1933" s="11" t="str">
        <f aca="false">TRIM('수출입 실적(품목별)'!A1937)</f>
        <v>2025.09</v>
      </c>
      <c r="B1933" s="17" t="n">
        <f aca="false">IFERROR(VALUE(LEFT($A1933,4)),"")</f>
        <v>2025</v>
      </c>
      <c r="C1933" s="17" t="n">
        <f aca="false">IFERROR(VALUE(RIGHT($A1933,2)),"")</f>
        <v>9</v>
      </c>
      <c r="D1933" s="17" t="n">
        <f aca="false">IFERROR(ROUNDUP($C1933/3,0),"")</f>
        <v>3</v>
      </c>
      <c r="E1933" s="11" t="str">
        <f aca="false">TRIM('수출입 실적(품목별)'!B1937)</f>
        <v>06</v>
      </c>
      <c r="F1933" s="11" t="str">
        <f aca="false">TRIM('수출입 실적(품목별)'!C1937)</f>
        <v>살아 있는 수목과 그 밖의 식물, 인경(鱗莖)ㆍ뿌리와 이와 유사한 물품, 절화(切花)와 장식용 잎</v>
      </c>
      <c r="G1933" s="18" t="n">
        <f aca="false">IFERROR(VALUE(SUBSTITUTE(TRIM('수출입 실적(품목별)'!D1937),",","")),"")</f>
        <v>43.5</v>
      </c>
      <c r="H1933" s="19" t="n">
        <f aca="false">IFERROR(VALUE(SUBSTITUTE(TRIM('수출입 실적(품목별)'!E1937),",","")),"")</f>
        <v>453</v>
      </c>
      <c r="I1933" s="18" t="n">
        <f aca="false">IFERROR(VALUE(SUBSTITUTE(TRIM('수출입 실적(품목별)'!F1937),",","")),"")</f>
        <v>11325.9</v>
      </c>
      <c r="J1933" s="19" t="n">
        <f aca="false">IFERROR(VALUE(SUBSTITUTE(TRIM('수출입 실적(품목별)'!G1937),",","")),"")</f>
        <v>15944</v>
      </c>
      <c r="K1933" s="19" t="n">
        <f aca="false">IFERROR(VALUE(SUBSTITUTE(TRIM('수출입 실적(품목별)'!H1937),",","")),"")</f>
        <v>-15491</v>
      </c>
    </row>
    <row r="1934" customFormat="false" ht="15" hidden="false" customHeight="true" outlineLevel="0" collapsed="false">
      <c r="A1934" s="11" t="str">
        <f aca="false">TRIM('수출입 실적(품목별)'!A1938)</f>
        <v>2025.09</v>
      </c>
      <c r="B1934" s="17" t="n">
        <f aca="false">IFERROR(VALUE(LEFT($A1934,4)),"")</f>
        <v>2025</v>
      </c>
      <c r="C1934" s="17" t="n">
        <f aca="false">IFERROR(VALUE(RIGHT($A1934,2)),"")</f>
        <v>9</v>
      </c>
      <c r="D1934" s="17" t="n">
        <f aca="false">IFERROR(ROUNDUP($C1934/3,0),"")</f>
        <v>3</v>
      </c>
      <c r="E1934" s="11" t="str">
        <f aca="false">TRIM('수출입 실적(품목별)'!B1938)</f>
        <v>07</v>
      </c>
      <c r="F1934" s="11" t="str">
        <f aca="false">TRIM('수출입 실적(품목별)'!C1938)</f>
        <v>식용의 채소ㆍ뿌리ㆍ괴경(塊莖)</v>
      </c>
      <c r="G1934" s="18" t="n">
        <f aca="false">IFERROR(VALUE(SUBSTITUTE(TRIM('수출입 실적(품목별)'!D1938),",","")),"")</f>
        <v>3178</v>
      </c>
      <c r="H1934" s="19" t="n">
        <f aca="false">IFERROR(VALUE(SUBSTITUTE(TRIM('수출입 실적(품목별)'!E1938),",","")),"")</f>
        <v>9147</v>
      </c>
      <c r="I1934" s="18" t="n">
        <f aca="false">IFERROR(VALUE(SUBSTITUTE(TRIM('수출입 실적(품목별)'!F1938),",","")),"")</f>
        <v>113859.7</v>
      </c>
      <c r="J1934" s="19" t="n">
        <f aca="false">IFERROR(VALUE(SUBSTITUTE(TRIM('수출입 실적(품목별)'!G1938),",","")),"")</f>
        <v>80782</v>
      </c>
      <c r="K1934" s="19" t="n">
        <f aca="false">IFERROR(VALUE(SUBSTITUTE(TRIM('수출입 실적(품목별)'!H1938),",","")),"")</f>
        <v>-71635</v>
      </c>
    </row>
    <row r="1935" customFormat="false" ht="15" hidden="false" customHeight="true" outlineLevel="0" collapsed="false">
      <c r="A1935" s="11" t="str">
        <f aca="false">TRIM('수출입 실적(품목별)'!A1939)</f>
        <v>2025.09</v>
      </c>
      <c r="B1935" s="17" t="n">
        <f aca="false">IFERROR(VALUE(LEFT($A1935,4)),"")</f>
        <v>2025</v>
      </c>
      <c r="C1935" s="17" t="n">
        <f aca="false">IFERROR(VALUE(RIGHT($A1935,2)),"")</f>
        <v>9</v>
      </c>
      <c r="D1935" s="17" t="n">
        <f aca="false">IFERROR(ROUNDUP($C1935/3,0),"")</f>
        <v>3</v>
      </c>
      <c r="E1935" s="11" t="str">
        <f aca="false">TRIM('수출입 실적(품목별)'!B1939)</f>
        <v>08</v>
      </c>
      <c r="F1935" s="11" t="str">
        <f aca="false">TRIM('수출입 실적(품목별)'!C1939)</f>
        <v>식용의 과실과 견과류, 감귤류ㆍ멜론의 껍질</v>
      </c>
      <c r="G1935" s="18" t="n">
        <f aca="false">IFERROR(VALUE(SUBSTITUTE(TRIM('수출입 실적(품목별)'!D1939),",","")),"")</f>
        <v>5858.6</v>
      </c>
      <c r="H1935" s="19" t="n">
        <f aca="false">IFERROR(VALUE(SUBSTITUTE(TRIM('수출입 실적(품목별)'!E1939),",","")),"")</f>
        <v>26167</v>
      </c>
      <c r="I1935" s="18" t="n">
        <f aca="false">IFERROR(VALUE(SUBSTITUTE(TRIM('수출입 실적(품목별)'!F1939),",","")),"")</f>
        <v>70424</v>
      </c>
      <c r="J1935" s="19" t="n">
        <f aca="false">IFERROR(VALUE(SUBSTITUTE(TRIM('수출입 실적(품목별)'!G1939),",","")),"")</f>
        <v>141382</v>
      </c>
      <c r="K1935" s="19" t="n">
        <f aca="false">IFERROR(VALUE(SUBSTITUTE(TRIM('수출입 실적(품목별)'!H1939),",","")),"")</f>
        <v>-115215</v>
      </c>
    </row>
    <row r="1936" customFormat="false" ht="15" hidden="false" customHeight="true" outlineLevel="0" collapsed="false">
      <c r="A1936" s="11" t="str">
        <f aca="false">TRIM('수출입 실적(품목별)'!A1940)</f>
        <v>2025.09</v>
      </c>
      <c r="B1936" s="17" t="n">
        <f aca="false">IFERROR(VALUE(LEFT($A1936,4)),"")</f>
        <v>2025</v>
      </c>
      <c r="C1936" s="17" t="n">
        <f aca="false">IFERROR(VALUE(RIGHT($A1936,2)),"")</f>
        <v>9</v>
      </c>
      <c r="D1936" s="17" t="n">
        <f aca="false">IFERROR(ROUNDUP($C1936/3,0),"")</f>
        <v>3</v>
      </c>
      <c r="E1936" s="11" t="str">
        <f aca="false">TRIM('수출입 실적(품목별)'!B1940)</f>
        <v>09</v>
      </c>
      <c r="F1936" s="11" t="str">
        <f aca="false">TRIM('수출입 실적(품목별)'!C1940)</f>
        <v>커피ㆍ차ㆍ마테(maté)ㆍ향신료</v>
      </c>
      <c r="G1936" s="18" t="n">
        <f aca="false">IFERROR(VALUE(SUBSTITUTE(TRIM('수출입 실적(품목별)'!D1940),",","")),"")</f>
        <v>521.9</v>
      </c>
      <c r="H1936" s="19" t="n">
        <f aca="false">IFERROR(VALUE(SUBSTITUTE(TRIM('수출입 실적(품목별)'!E1940),",","")),"")</f>
        <v>5367</v>
      </c>
      <c r="I1936" s="18" t="n">
        <f aca="false">IFERROR(VALUE(SUBSTITUTE(TRIM('수출입 실적(품목별)'!F1940),",","")),"")</f>
        <v>19390</v>
      </c>
      <c r="J1936" s="19" t="n">
        <f aca="false">IFERROR(VALUE(SUBSTITUTE(TRIM('수출입 실적(품목별)'!G1940),",","")),"")</f>
        <v>162839</v>
      </c>
      <c r="K1936" s="19" t="n">
        <f aca="false">IFERROR(VALUE(SUBSTITUTE(TRIM('수출입 실적(품목별)'!H1940),",","")),"")</f>
        <v>-157472</v>
      </c>
    </row>
    <row r="1937" customFormat="false" ht="15" hidden="false" customHeight="true" outlineLevel="0" collapsed="false">
      <c r="A1937" s="11" t="str">
        <f aca="false">TRIM('수출입 실적(품목별)'!A1941)</f>
        <v>2025.09</v>
      </c>
      <c r="B1937" s="17" t="n">
        <f aca="false">IFERROR(VALUE(LEFT($A1937,4)),"")</f>
        <v>2025</v>
      </c>
      <c r="C1937" s="17" t="n">
        <f aca="false">IFERROR(VALUE(RIGHT($A1937,2)),"")</f>
        <v>9</v>
      </c>
      <c r="D1937" s="17" t="n">
        <f aca="false">IFERROR(ROUNDUP($C1937/3,0),"")</f>
        <v>3</v>
      </c>
      <c r="E1937" s="11" t="str">
        <f aca="false">TRIM('수출입 실적(품목별)'!B1941)</f>
        <v>10</v>
      </c>
      <c r="F1937" s="11" t="str">
        <f aca="false">TRIM('수출입 실적(품목별)'!C1941)</f>
        <v>곡물</v>
      </c>
      <c r="G1937" s="18" t="n">
        <f aca="false">IFERROR(VALUE(SUBSTITUTE(TRIM('수출입 실적(품목별)'!D1941),",","")),"")</f>
        <v>72653.3</v>
      </c>
      <c r="H1937" s="19" t="n">
        <f aca="false">IFERROR(VALUE(SUBSTITUTE(TRIM('수출입 실적(품목별)'!E1941),",","")),"")</f>
        <v>26421</v>
      </c>
      <c r="I1937" s="18" t="n">
        <f aca="false">IFERROR(VALUE(SUBSTITUTE(TRIM('수출입 실적(품목별)'!F1941),",","")),"")</f>
        <v>1434184.3</v>
      </c>
      <c r="J1937" s="19" t="n">
        <f aca="false">IFERROR(VALUE(SUBSTITUTE(TRIM('수출입 실적(품목별)'!G1941),",","")),"")</f>
        <v>383425</v>
      </c>
      <c r="K1937" s="19" t="n">
        <f aca="false">IFERROR(VALUE(SUBSTITUTE(TRIM('수출입 실적(품목별)'!H1941),",","")),"")</f>
        <v>-357004</v>
      </c>
    </row>
    <row r="1938" customFormat="false" ht="15" hidden="false" customHeight="true" outlineLevel="0" collapsed="false">
      <c r="A1938" s="11" t="str">
        <f aca="false">TRIM('수출입 실적(품목별)'!A1942)</f>
        <v>2025.09</v>
      </c>
      <c r="B1938" s="17" t="n">
        <f aca="false">IFERROR(VALUE(LEFT($A1938,4)),"")</f>
        <v>2025</v>
      </c>
      <c r="C1938" s="17" t="n">
        <f aca="false">IFERROR(VALUE(RIGHT($A1938,2)),"")</f>
        <v>9</v>
      </c>
      <c r="D1938" s="17" t="n">
        <f aca="false">IFERROR(ROUNDUP($C1938/3,0),"")</f>
        <v>3</v>
      </c>
      <c r="E1938" s="11" t="str">
        <f aca="false">TRIM('수출입 실적(품목별)'!B1942)</f>
        <v>11</v>
      </c>
      <c r="F1938" s="11" t="str">
        <f aca="false">TRIM('수출입 실적(품목별)'!C1942)</f>
        <v>제분공업의 생산품과 맥아, 전분, 이눌린(inulin), 밀의 글루텐(gluten)</v>
      </c>
      <c r="G1938" s="18" t="n">
        <f aca="false">IFERROR(VALUE(SUBSTITUTE(TRIM('수출입 실적(품목별)'!D1942),",","")),"")</f>
        <v>5983.7</v>
      </c>
      <c r="H1938" s="19" t="n">
        <f aca="false">IFERROR(VALUE(SUBSTITUTE(TRIM('수출입 실적(품목별)'!E1942),",","")),"")</f>
        <v>3988</v>
      </c>
      <c r="I1938" s="18" t="n">
        <f aca="false">IFERROR(VALUE(SUBSTITUTE(TRIM('수출입 실적(품목별)'!F1942),",","")),"")</f>
        <v>40970.1</v>
      </c>
      <c r="J1938" s="19" t="n">
        <f aca="false">IFERROR(VALUE(SUBSTITUTE(TRIM('수출입 실적(품목별)'!G1942),",","")),"")</f>
        <v>32839</v>
      </c>
      <c r="K1938" s="19" t="n">
        <f aca="false">IFERROR(VALUE(SUBSTITUTE(TRIM('수출입 실적(품목별)'!H1942),",","")),"")</f>
        <v>-28851</v>
      </c>
    </row>
    <row r="1939" customFormat="false" ht="15" hidden="false" customHeight="true" outlineLevel="0" collapsed="false">
      <c r="A1939" s="11" t="str">
        <f aca="false">TRIM('수출입 실적(품목별)'!A1943)</f>
        <v>2025.09</v>
      </c>
      <c r="B1939" s="17" t="n">
        <f aca="false">IFERROR(VALUE(LEFT($A1939,4)),"")</f>
        <v>2025</v>
      </c>
      <c r="C1939" s="17" t="n">
        <f aca="false">IFERROR(VALUE(RIGHT($A1939,2)),"")</f>
        <v>9</v>
      </c>
      <c r="D1939" s="17" t="n">
        <f aca="false">IFERROR(ROUNDUP($C1939/3,0),"")</f>
        <v>3</v>
      </c>
      <c r="E1939" s="11" t="str">
        <f aca="false">TRIM('수출입 실적(품목별)'!B1943)</f>
        <v>12</v>
      </c>
      <c r="F1939" s="11" t="str">
        <f aca="false">TRIM('수출입 실적(품목별)'!C1943)</f>
        <v>채유(採油)에 적합한 종자와 과실, 각종 종자와 과실, 공업용ㆍ의약용 식물, 짚과 사료용 식물</v>
      </c>
      <c r="G1939" s="18" t="n">
        <f aca="false">IFERROR(VALUE(SUBSTITUTE(TRIM('수출입 실적(품목별)'!D1943),",","")),"")</f>
        <v>2228.4</v>
      </c>
      <c r="H1939" s="19" t="n">
        <f aca="false">IFERROR(VALUE(SUBSTITUTE(TRIM('수출입 실적(품목별)'!E1943),",","")),"")</f>
        <v>51340</v>
      </c>
      <c r="I1939" s="18" t="n">
        <f aca="false">IFERROR(VALUE(SUBSTITUTE(TRIM('수출입 실적(품목별)'!F1943),",","")),"")</f>
        <v>226209.6</v>
      </c>
      <c r="J1939" s="19" t="n">
        <f aca="false">IFERROR(VALUE(SUBSTITUTE(TRIM('수출입 실적(품목별)'!G1943),",","")),"")</f>
        <v>133091</v>
      </c>
      <c r="K1939" s="19" t="n">
        <f aca="false">IFERROR(VALUE(SUBSTITUTE(TRIM('수출입 실적(품목별)'!H1943),",","")),"")</f>
        <v>-81751</v>
      </c>
    </row>
    <row r="1940" customFormat="false" ht="15" hidden="false" customHeight="true" outlineLevel="0" collapsed="false">
      <c r="A1940" s="11" t="str">
        <f aca="false">TRIM('수출입 실적(품목별)'!A1944)</f>
        <v>2025.09</v>
      </c>
      <c r="B1940" s="17" t="n">
        <f aca="false">IFERROR(VALUE(LEFT($A1940,4)),"")</f>
        <v>2025</v>
      </c>
      <c r="C1940" s="17" t="n">
        <f aca="false">IFERROR(VALUE(RIGHT($A1940,2)),"")</f>
        <v>9</v>
      </c>
      <c r="D1940" s="17" t="n">
        <f aca="false">IFERROR(ROUNDUP($C1940/3,0),"")</f>
        <v>3</v>
      </c>
      <c r="E1940" s="11" t="str">
        <f aca="false">TRIM('수출입 실적(품목별)'!B1944)</f>
        <v>13</v>
      </c>
      <c r="F1940" s="11" t="str">
        <f aca="false">TRIM('수출입 실적(품목별)'!C1944)</f>
        <v>락(lac), 검ㆍ수지ㆍ그 밖의 식물성 수액과 추출물(extract)</v>
      </c>
      <c r="G1940" s="18" t="n">
        <f aca="false">IFERROR(VALUE(SUBSTITUTE(TRIM('수출입 실적(품목별)'!D1944),",","")),"")</f>
        <v>369</v>
      </c>
      <c r="H1940" s="19" t="n">
        <f aca="false">IFERROR(VALUE(SUBSTITUTE(TRIM('수출입 실적(품목별)'!E1944),",","")),"")</f>
        <v>6981</v>
      </c>
      <c r="I1940" s="18" t="n">
        <f aca="false">IFERROR(VALUE(SUBSTITUTE(TRIM('수출입 실적(품목별)'!F1944),",","")),"")</f>
        <v>7813.7</v>
      </c>
      <c r="J1940" s="19" t="n">
        <f aca="false">IFERROR(VALUE(SUBSTITUTE(TRIM('수출입 실적(품목별)'!G1944),",","")),"")</f>
        <v>22998</v>
      </c>
      <c r="K1940" s="19" t="n">
        <f aca="false">IFERROR(VALUE(SUBSTITUTE(TRIM('수출입 실적(품목별)'!H1944),",","")),"")</f>
        <v>-16017</v>
      </c>
    </row>
    <row r="1941" customFormat="false" ht="15" hidden="false" customHeight="true" outlineLevel="0" collapsed="false">
      <c r="A1941" s="11" t="str">
        <f aca="false">TRIM('수출입 실적(품목별)'!A1945)</f>
        <v>2025.09</v>
      </c>
      <c r="B1941" s="17" t="n">
        <f aca="false">IFERROR(VALUE(LEFT($A1941,4)),"")</f>
        <v>2025</v>
      </c>
      <c r="C1941" s="17" t="n">
        <f aca="false">IFERROR(VALUE(RIGHT($A1941,2)),"")</f>
        <v>9</v>
      </c>
      <c r="D1941" s="17" t="n">
        <f aca="false">IFERROR(ROUNDUP($C1941/3,0),"")</f>
        <v>3</v>
      </c>
      <c r="E1941" s="11" t="str">
        <f aca="false">TRIM('수출입 실적(품목별)'!B1945)</f>
        <v>14</v>
      </c>
      <c r="F1941" s="11" t="str">
        <f aca="false">TRIM('수출입 실적(품목별)'!C1945)</f>
        <v>식물성 편조물(編組物)용 재료와 다른 류로 분류되지 않은 식물성 생산품</v>
      </c>
      <c r="G1941" s="18" t="n">
        <f aca="false">IFERROR(VALUE(SUBSTITUTE(TRIM('수출입 실적(품목별)'!D1945),",","")),"")</f>
        <v>23.6</v>
      </c>
      <c r="H1941" s="19" t="n">
        <f aca="false">IFERROR(VALUE(SUBSTITUTE(TRIM('수출입 실적(품목별)'!E1945),",","")),"")</f>
        <v>17</v>
      </c>
      <c r="I1941" s="18" t="n">
        <f aca="false">IFERROR(VALUE(SUBSTITUTE(TRIM('수출입 실적(품목별)'!F1945),",","")),"")</f>
        <v>15612.3</v>
      </c>
      <c r="J1941" s="19" t="n">
        <f aca="false">IFERROR(VALUE(SUBSTITUTE(TRIM('수출입 실적(품목별)'!G1945),",","")),"")</f>
        <v>5653</v>
      </c>
      <c r="K1941" s="19" t="n">
        <f aca="false">IFERROR(VALUE(SUBSTITUTE(TRIM('수출입 실적(품목별)'!H1945),",","")),"")</f>
        <v>-5636</v>
      </c>
    </row>
    <row r="1942" customFormat="false" ht="15" hidden="false" customHeight="true" outlineLevel="0" collapsed="false">
      <c r="A1942" s="11" t="str">
        <f aca="false">TRIM('수출입 실적(품목별)'!A1946)</f>
        <v>2025.09</v>
      </c>
      <c r="B1942" s="17" t="n">
        <f aca="false">IFERROR(VALUE(LEFT($A1942,4)),"")</f>
        <v>2025</v>
      </c>
      <c r="C1942" s="17" t="n">
        <f aca="false">IFERROR(VALUE(RIGHT($A1942,2)),"")</f>
        <v>9</v>
      </c>
      <c r="D1942" s="17" t="n">
        <f aca="false">IFERROR(ROUNDUP($C1942/3,0),"")</f>
        <v>3</v>
      </c>
      <c r="E1942" s="11" t="str">
        <f aca="false">TRIM('수출입 실적(품목별)'!B1946)</f>
        <v>15</v>
      </c>
      <c r="F1942" s="11" t="str">
        <f aca="false">TRIM('수출입 실적(품목별)'!C1946)</f>
        <v>동물성ㆍ식물성ㆍ미생물성 지방과 기름 및이들의 분해생산물, 조제한 식용 지방과 동물성ㆍ식물성 왁스</v>
      </c>
      <c r="G1942" s="18" t="n">
        <f aca="false">IFERROR(VALUE(SUBSTITUTE(TRIM('수출입 실적(품목별)'!D1946),",","")),"")</f>
        <v>16689.5</v>
      </c>
      <c r="H1942" s="19" t="n">
        <f aca="false">IFERROR(VALUE(SUBSTITUTE(TRIM('수출입 실적(품목별)'!E1946),",","")),"")</f>
        <v>21190</v>
      </c>
      <c r="I1942" s="18" t="n">
        <f aca="false">IFERROR(VALUE(SUBSTITUTE(TRIM('수출입 실적(품목별)'!F1946),",","")),"")</f>
        <v>128192.6</v>
      </c>
      <c r="J1942" s="19" t="n">
        <f aca="false">IFERROR(VALUE(SUBSTITUTE(TRIM('수출입 실적(품목별)'!G1946),",","")),"")</f>
        <v>213787</v>
      </c>
      <c r="K1942" s="19" t="n">
        <f aca="false">IFERROR(VALUE(SUBSTITUTE(TRIM('수출입 실적(품목별)'!H1946),",","")),"")</f>
        <v>-192597</v>
      </c>
    </row>
    <row r="1943" customFormat="false" ht="15" hidden="false" customHeight="true" outlineLevel="0" collapsed="false">
      <c r="A1943" s="11" t="str">
        <f aca="false">TRIM('수출입 실적(품목별)'!A1947)</f>
        <v>2025.09</v>
      </c>
      <c r="B1943" s="17" t="n">
        <f aca="false">IFERROR(VALUE(LEFT($A1943,4)),"")</f>
        <v>2025</v>
      </c>
      <c r="C1943" s="17" t="n">
        <f aca="false">IFERROR(VALUE(RIGHT($A1943,2)),"")</f>
        <v>9</v>
      </c>
      <c r="D1943" s="17" t="n">
        <f aca="false">IFERROR(ROUNDUP($C1943/3,0),"")</f>
        <v>3</v>
      </c>
      <c r="E1943" s="11" t="str">
        <f aca="false">TRIM('수출입 실적(품목별)'!B1947)</f>
        <v>16</v>
      </c>
      <c r="F1943" s="11" t="str">
        <f aca="false">TRIM('수출입 실적(품목별)'!C1947)</f>
        <v>육류ㆍ어류ㆍ갑각류ㆍ연체동물이나 그 밖의 수생(水生) 무척추동물 또는 곤충의 조제품</v>
      </c>
      <c r="G1943" s="18" t="n">
        <f aca="false">IFERROR(VALUE(SUBSTITUTE(TRIM('수출입 실적(품목별)'!D1947),",","")),"")</f>
        <v>4886.3</v>
      </c>
      <c r="H1943" s="19" t="n">
        <f aca="false">IFERROR(VALUE(SUBSTITUTE(TRIM('수출입 실적(품목별)'!E1947),",","")),"")</f>
        <v>29295</v>
      </c>
      <c r="I1943" s="18" t="n">
        <f aca="false">IFERROR(VALUE(SUBSTITUTE(TRIM('수출입 실적(품목별)'!F1947),",","")),"")</f>
        <v>18615.4</v>
      </c>
      <c r="J1943" s="19" t="n">
        <f aca="false">IFERROR(VALUE(SUBSTITUTE(TRIM('수출입 실적(품목별)'!G1947),",","")),"")</f>
        <v>104847</v>
      </c>
      <c r="K1943" s="19" t="n">
        <f aca="false">IFERROR(VALUE(SUBSTITUTE(TRIM('수출입 실적(품목별)'!H1947),",","")),"")</f>
        <v>-75551</v>
      </c>
    </row>
    <row r="1944" customFormat="false" ht="15" hidden="false" customHeight="true" outlineLevel="0" collapsed="false">
      <c r="A1944" s="11" t="str">
        <f aca="false">TRIM('수출입 실적(품목별)'!A1948)</f>
        <v>2025.09</v>
      </c>
      <c r="B1944" s="17" t="n">
        <f aca="false">IFERROR(VALUE(LEFT($A1944,4)),"")</f>
        <v>2025</v>
      </c>
      <c r="C1944" s="17" t="n">
        <f aca="false">IFERROR(VALUE(RIGHT($A1944,2)),"")</f>
        <v>9</v>
      </c>
      <c r="D1944" s="17" t="n">
        <f aca="false">IFERROR(ROUNDUP($C1944/3,0),"")</f>
        <v>3</v>
      </c>
      <c r="E1944" s="11" t="str">
        <f aca="false">TRIM('수출입 실적(품목별)'!B1948)</f>
        <v>17</v>
      </c>
      <c r="F1944" s="11" t="str">
        <f aca="false">TRIM('수출입 실적(품목별)'!C1948)</f>
        <v>당류(糖類)와 설탕과자</v>
      </c>
      <c r="G1944" s="18" t="n">
        <f aca="false">IFERROR(VALUE(SUBSTITUTE(TRIM('수출입 실적(품목별)'!D1948),",","")),"")</f>
        <v>31101.9</v>
      </c>
      <c r="H1944" s="19" t="n">
        <f aca="false">IFERROR(VALUE(SUBSTITUTE(TRIM('수출입 실적(품목별)'!E1948),",","")),"")</f>
        <v>29459</v>
      </c>
      <c r="I1944" s="18" t="n">
        <f aca="false">IFERROR(VALUE(SUBSTITUTE(TRIM('수출입 실적(품목별)'!F1948),",","")),"")</f>
        <v>176350.4</v>
      </c>
      <c r="J1944" s="19" t="n">
        <f aca="false">IFERROR(VALUE(SUBSTITUTE(TRIM('수출입 실적(품목별)'!G1948),",","")),"")</f>
        <v>106778</v>
      </c>
      <c r="K1944" s="19" t="n">
        <f aca="false">IFERROR(VALUE(SUBSTITUTE(TRIM('수출입 실적(품목별)'!H1948),",","")),"")</f>
        <v>-77318</v>
      </c>
    </row>
    <row r="1945" customFormat="false" ht="15" hidden="false" customHeight="true" outlineLevel="0" collapsed="false">
      <c r="A1945" s="11" t="str">
        <f aca="false">TRIM('수출입 실적(품목별)'!A1949)</f>
        <v>2025.09</v>
      </c>
      <c r="B1945" s="17" t="n">
        <f aca="false">IFERROR(VALUE(LEFT($A1945,4)),"")</f>
        <v>2025</v>
      </c>
      <c r="C1945" s="17" t="n">
        <f aca="false">IFERROR(VALUE(RIGHT($A1945,2)),"")</f>
        <v>9</v>
      </c>
      <c r="D1945" s="17" t="n">
        <f aca="false">IFERROR(ROUNDUP($C1945/3,0),"")</f>
        <v>3</v>
      </c>
      <c r="E1945" s="11" t="str">
        <f aca="false">TRIM('수출입 실적(품목별)'!B1949)</f>
        <v>18</v>
      </c>
      <c r="F1945" s="11" t="str">
        <f aca="false">TRIM('수출입 실적(품목별)'!C1949)</f>
        <v>코코아와 그 조제품</v>
      </c>
      <c r="G1945" s="18" t="n">
        <f aca="false">IFERROR(VALUE(SUBSTITUTE(TRIM('수출입 실적(품목별)'!D1949),",","")),"")</f>
        <v>2481.8</v>
      </c>
      <c r="H1945" s="19" t="n">
        <f aca="false">IFERROR(VALUE(SUBSTITUTE(TRIM('수출입 실적(품목별)'!E1949),",","")),"")</f>
        <v>8177</v>
      </c>
      <c r="I1945" s="18" t="n">
        <f aca="false">IFERROR(VALUE(SUBSTITUTE(TRIM('수출입 실적(품목별)'!F1949),",","")),"")</f>
        <v>6148.8</v>
      </c>
      <c r="J1945" s="19" t="n">
        <f aca="false">IFERROR(VALUE(SUBSTITUTE(TRIM('수출입 실적(품목별)'!G1949),",","")),"")</f>
        <v>58436</v>
      </c>
      <c r="K1945" s="19" t="n">
        <f aca="false">IFERROR(VALUE(SUBSTITUTE(TRIM('수출입 실적(품목별)'!H1949),",","")),"")</f>
        <v>-50260</v>
      </c>
    </row>
    <row r="1946" customFormat="false" ht="15" hidden="false" customHeight="true" outlineLevel="0" collapsed="false">
      <c r="A1946" s="11" t="str">
        <f aca="false">TRIM('수출입 실적(품목별)'!A1950)</f>
        <v>2025.09</v>
      </c>
      <c r="B1946" s="17" t="n">
        <f aca="false">IFERROR(VALUE(LEFT($A1946,4)),"")</f>
        <v>2025</v>
      </c>
      <c r="C1946" s="17" t="n">
        <f aca="false">IFERROR(VALUE(RIGHT($A1946,2)),"")</f>
        <v>9</v>
      </c>
      <c r="D1946" s="17" t="n">
        <f aca="false">IFERROR(ROUNDUP($C1946/3,0),"")</f>
        <v>3</v>
      </c>
      <c r="E1946" s="11" t="str">
        <f aca="false">TRIM('수출입 실적(품목별)'!B1950)</f>
        <v>19</v>
      </c>
      <c r="F1946" s="11" t="str">
        <f aca="false">TRIM('수출입 실적(품목별)'!C1950)</f>
        <v>곡물ㆍ고운 가루ㆍ전분ㆍ밀크의 조제품과 베이커리 제품</v>
      </c>
      <c r="G1946" s="18" t="n">
        <f aca="false">IFERROR(VALUE(SUBSTITUTE(TRIM('수출입 실적(품목별)'!D1950),",","")),"")</f>
        <v>63799.7</v>
      </c>
      <c r="H1946" s="19" t="n">
        <f aca="false">IFERROR(VALUE(SUBSTITUTE(TRIM('수출입 실적(품목별)'!E1950),",","")),"")</f>
        <v>257181</v>
      </c>
      <c r="I1946" s="18" t="n">
        <f aca="false">IFERROR(VALUE(SUBSTITUTE(TRIM('수출입 실적(품목별)'!F1950),",","")),"")</f>
        <v>35239.3</v>
      </c>
      <c r="J1946" s="19" t="n">
        <f aca="false">IFERROR(VALUE(SUBSTITUTE(TRIM('수출입 실적(품목별)'!G1950),",","")),"")</f>
        <v>113643</v>
      </c>
      <c r="K1946" s="19" t="n">
        <f aca="false">IFERROR(VALUE(SUBSTITUTE(TRIM('수출입 실적(품목별)'!H1950),",","")),"")</f>
        <v>143538</v>
      </c>
    </row>
    <row r="1947" customFormat="false" ht="15" hidden="false" customHeight="true" outlineLevel="0" collapsed="false">
      <c r="A1947" s="11" t="str">
        <f aca="false">TRIM('수출입 실적(품목별)'!A1951)</f>
        <v>2025.09</v>
      </c>
      <c r="B1947" s="17" t="n">
        <f aca="false">IFERROR(VALUE(LEFT($A1947,4)),"")</f>
        <v>2025</v>
      </c>
      <c r="C1947" s="17" t="n">
        <f aca="false">IFERROR(VALUE(RIGHT($A1947,2)),"")</f>
        <v>9</v>
      </c>
      <c r="D1947" s="17" t="n">
        <f aca="false">IFERROR(ROUNDUP($C1947/3,0),"")</f>
        <v>3</v>
      </c>
      <c r="E1947" s="11" t="str">
        <f aca="false">TRIM('수출입 실적(품목별)'!B1951)</f>
        <v>20</v>
      </c>
      <c r="F1947" s="11" t="str">
        <f aca="false">TRIM('수출입 실적(품목별)'!C1951)</f>
        <v>채소ㆍ과실ㆍ견과류나 식물의그 밖의 부분의 조제품</v>
      </c>
      <c r="G1947" s="18" t="n">
        <f aca="false">IFERROR(VALUE(SUBSTITUTE(TRIM('수출입 실적(품목별)'!D1951),",","")),"")</f>
        <v>10759.2</v>
      </c>
      <c r="H1947" s="19" t="n">
        <f aca="false">IFERROR(VALUE(SUBSTITUTE(TRIM('수출입 실적(품목별)'!E1951),",","")),"")</f>
        <v>91569</v>
      </c>
      <c r="I1947" s="18" t="n">
        <f aca="false">IFERROR(VALUE(SUBSTITUTE(TRIM('수출입 실적(품목별)'!F1951),",","")),"")</f>
        <v>108366.3</v>
      </c>
      <c r="J1947" s="19" t="n">
        <f aca="false">IFERROR(VALUE(SUBSTITUTE(TRIM('수출입 실적(품목별)'!G1951),",","")),"")</f>
        <v>149348</v>
      </c>
      <c r="K1947" s="19" t="n">
        <f aca="false">IFERROR(VALUE(SUBSTITUTE(TRIM('수출입 실적(품목별)'!H1951),",","")),"")</f>
        <v>-57779</v>
      </c>
    </row>
    <row r="1948" customFormat="false" ht="15" hidden="false" customHeight="true" outlineLevel="0" collapsed="false">
      <c r="A1948" s="11" t="str">
        <f aca="false">TRIM('수출입 실적(품목별)'!A1952)</f>
        <v>2025.09</v>
      </c>
      <c r="B1948" s="17" t="n">
        <f aca="false">IFERROR(VALUE(LEFT($A1948,4)),"")</f>
        <v>2025</v>
      </c>
      <c r="C1948" s="17" t="n">
        <f aca="false">IFERROR(VALUE(RIGHT($A1948,2)),"")</f>
        <v>9</v>
      </c>
      <c r="D1948" s="17" t="n">
        <f aca="false">IFERROR(ROUNDUP($C1948/3,0),"")</f>
        <v>3</v>
      </c>
      <c r="E1948" s="11" t="str">
        <f aca="false">TRIM('수출입 실적(품목별)'!B1952)</f>
        <v>21</v>
      </c>
      <c r="F1948" s="11" t="str">
        <f aca="false">TRIM('수출입 실적(품목별)'!C1952)</f>
        <v>각종 조제 식료품</v>
      </c>
      <c r="G1948" s="18" t="n">
        <f aca="false">IFERROR(VALUE(SUBSTITUTE(TRIM('수출입 실적(품목별)'!D1952),",","")),"")</f>
        <v>40474.3</v>
      </c>
      <c r="H1948" s="19" t="n">
        <f aca="false">IFERROR(VALUE(SUBSTITUTE(TRIM('수출입 실적(품목별)'!E1952),",","")),"")</f>
        <v>172857</v>
      </c>
      <c r="I1948" s="18" t="n">
        <f aca="false">IFERROR(VALUE(SUBSTITUTE(TRIM('수출입 실적(품목별)'!F1952),",","")),"")</f>
        <v>35373.3</v>
      </c>
      <c r="J1948" s="19" t="n">
        <f aca="false">IFERROR(VALUE(SUBSTITUTE(TRIM('수출입 실적(품목별)'!G1952),",","")),"")</f>
        <v>256823</v>
      </c>
      <c r="K1948" s="19" t="n">
        <f aca="false">IFERROR(VALUE(SUBSTITUTE(TRIM('수출입 실적(품목별)'!H1952),",","")),"")</f>
        <v>-83966</v>
      </c>
    </row>
    <row r="1949" customFormat="false" ht="15" hidden="false" customHeight="true" outlineLevel="0" collapsed="false">
      <c r="A1949" s="11" t="str">
        <f aca="false">TRIM('수출입 실적(품목별)'!A1953)</f>
        <v>2025.09</v>
      </c>
      <c r="B1949" s="17" t="n">
        <f aca="false">IFERROR(VALUE(LEFT($A1949,4)),"")</f>
        <v>2025</v>
      </c>
      <c r="C1949" s="17" t="n">
        <f aca="false">IFERROR(VALUE(RIGHT($A1949,2)),"")</f>
        <v>9</v>
      </c>
      <c r="D1949" s="17" t="n">
        <f aca="false">IFERROR(ROUNDUP($C1949/3,0),"")</f>
        <v>3</v>
      </c>
      <c r="E1949" s="11" t="str">
        <f aca="false">TRIM('수출입 실적(품목별)'!B1953)</f>
        <v>22</v>
      </c>
      <c r="F1949" s="11" t="str">
        <f aca="false">TRIM('수출입 실적(품목별)'!C1953)</f>
        <v>음료ㆍ주류ㆍ식초</v>
      </c>
      <c r="G1949" s="18" t="n">
        <f aca="false">IFERROR(VALUE(SUBSTITUTE(TRIM('수출입 실적(품목별)'!D1953),",","")),"")</f>
        <v>90736.7</v>
      </c>
      <c r="H1949" s="19" t="n">
        <f aca="false">IFERROR(VALUE(SUBSTITUTE(TRIM('수출입 실적(품목별)'!E1953),",","")),"")</f>
        <v>108469</v>
      </c>
      <c r="I1949" s="18" t="n">
        <f aca="false">IFERROR(VALUE(SUBSTITUTE(TRIM('수출입 실적(품목별)'!F1953),",","")),"")</f>
        <v>81678.5</v>
      </c>
      <c r="J1949" s="19" t="n">
        <f aca="false">IFERROR(VALUE(SUBSTITUTE(TRIM('수출입 실적(품목별)'!G1953),",","")),"")</f>
        <v>132714</v>
      </c>
      <c r="K1949" s="19" t="n">
        <f aca="false">IFERROR(VALUE(SUBSTITUTE(TRIM('수출입 실적(품목별)'!H1953),",","")),"")</f>
        <v>-24245</v>
      </c>
    </row>
    <row r="1950" customFormat="false" ht="15" hidden="false" customHeight="true" outlineLevel="0" collapsed="false">
      <c r="A1950" s="11" t="str">
        <f aca="false">TRIM('수출입 실적(품목별)'!A1954)</f>
        <v>2025.09</v>
      </c>
      <c r="B1950" s="17" t="n">
        <f aca="false">IFERROR(VALUE(LEFT($A1950,4)),"")</f>
        <v>2025</v>
      </c>
      <c r="C1950" s="17" t="n">
        <f aca="false">IFERROR(VALUE(RIGHT($A1950,2)),"")</f>
        <v>9</v>
      </c>
      <c r="D1950" s="17" t="n">
        <f aca="false">IFERROR(ROUNDUP($C1950/3,0),"")</f>
        <v>3</v>
      </c>
      <c r="E1950" s="11" t="str">
        <f aca="false">TRIM('수출입 실적(품목별)'!B1954)</f>
        <v>23</v>
      </c>
      <c r="F1950" s="11" t="str">
        <f aca="false">TRIM('수출입 실적(품목별)'!C1954)</f>
        <v>식품 공업에서 생기는 잔재물과 웨이스트(waste), 조제 사료</v>
      </c>
      <c r="G1950" s="18" t="n">
        <f aca="false">IFERROR(VALUE(SUBSTITUTE(TRIM('수출입 실적(품목별)'!D1954),",","")),"")</f>
        <v>26983.1</v>
      </c>
      <c r="H1950" s="19" t="n">
        <f aca="false">IFERROR(VALUE(SUBSTITUTE(TRIM('수출입 실적(품목별)'!E1954),",","")),"")</f>
        <v>31844</v>
      </c>
      <c r="I1950" s="18" t="n">
        <f aca="false">IFERROR(VALUE(SUBSTITUTE(TRIM('수출입 실적(품목별)'!F1954),",","")),"")</f>
        <v>613191.1</v>
      </c>
      <c r="J1950" s="19" t="n">
        <f aca="false">IFERROR(VALUE(SUBSTITUTE(TRIM('수출입 실적(품목별)'!G1954),",","")),"")</f>
        <v>206476</v>
      </c>
      <c r="K1950" s="19" t="n">
        <f aca="false">IFERROR(VALUE(SUBSTITUTE(TRIM('수출입 실적(품목별)'!H1954),",","")),"")</f>
        <v>-174631</v>
      </c>
    </row>
    <row r="1951" customFormat="false" ht="15" hidden="false" customHeight="true" outlineLevel="0" collapsed="false">
      <c r="A1951" s="11" t="str">
        <f aca="false">TRIM('수출입 실적(품목별)'!A1955)</f>
        <v>2025.09</v>
      </c>
      <c r="B1951" s="17" t="n">
        <f aca="false">IFERROR(VALUE(LEFT($A1951,4)),"")</f>
        <v>2025</v>
      </c>
      <c r="C1951" s="17" t="n">
        <f aca="false">IFERROR(VALUE(RIGHT($A1951,2)),"")</f>
        <v>9</v>
      </c>
      <c r="D1951" s="17" t="n">
        <f aca="false">IFERROR(ROUNDUP($C1951/3,0),"")</f>
        <v>3</v>
      </c>
      <c r="E1951" s="11" t="str">
        <f aca="false">TRIM('수출입 실적(품목별)'!B1955)</f>
        <v>24</v>
      </c>
      <c r="F1951" s="11" t="str">
        <f aca="false">TRIM('수출입 실적(품목별)'!C1955)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1951" s="18" t="n">
        <f aca="false">IFERROR(VALUE(SUBSTITUTE(TRIM('수출입 실적(품목별)'!D1955),",","")),"")</f>
        <v>8169.4</v>
      </c>
      <c r="H1951" s="19" t="n">
        <f aca="false">IFERROR(VALUE(SUBSTITUTE(TRIM('수출입 실적(품목별)'!E1955),",","")),"")</f>
        <v>102244</v>
      </c>
      <c r="I1951" s="18" t="n">
        <f aca="false">IFERROR(VALUE(SUBSTITUTE(TRIM('수출입 실적(품목별)'!F1955),",","")),"")</f>
        <v>5754.1</v>
      </c>
      <c r="J1951" s="19" t="n">
        <f aca="false">IFERROR(VALUE(SUBSTITUTE(TRIM('수출입 실적(품목별)'!G1955),",","")),"")</f>
        <v>60324</v>
      </c>
      <c r="K1951" s="19" t="n">
        <f aca="false">IFERROR(VALUE(SUBSTITUTE(TRIM('수출입 실적(품목별)'!H1955),",","")),"")</f>
        <v>41920</v>
      </c>
    </row>
    <row r="1952" customFormat="false" ht="15" hidden="false" customHeight="true" outlineLevel="0" collapsed="false">
      <c r="A1952" s="11" t="str">
        <f aca="false">TRIM('수출입 실적(품목별)'!A1956)</f>
        <v>2025.09</v>
      </c>
      <c r="B1952" s="17" t="n">
        <f aca="false">IFERROR(VALUE(LEFT($A1952,4)),"")</f>
        <v>2025</v>
      </c>
      <c r="C1952" s="17" t="n">
        <f aca="false">IFERROR(VALUE(RIGHT($A1952,2)),"")</f>
        <v>9</v>
      </c>
      <c r="D1952" s="17" t="n">
        <f aca="false">IFERROR(ROUNDUP($C1952/3,0),"")</f>
        <v>3</v>
      </c>
      <c r="E1952" s="11" t="str">
        <f aca="false">TRIM('수출입 실적(품목별)'!B1956)</f>
        <v>25</v>
      </c>
      <c r="F1952" s="11" t="str">
        <f aca="false">TRIM('수출입 실적(품목별)'!C1956)</f>
        <v>소금, 황, 토석류(土石類), 석고ㆍ석회ㆍ시멘트</v>
      </c>
      <c r="G1952" s="18" t="n">
        <f aca="false">IFERROR(VALUE(SUBSTITUTE(TRIM('수출입 실적(품목별)'!D1956),",","")),"")</f>
        <v>639071</v>
      </c>
      <c r="H1952" s="19" t="n">
        <f aca="false">IFERROR(VALUE(SUBSTITUTE(TRIM('수출입 실적(품목별)'!E1956),",","")),"")</f>
        <v>48301</v>
      </c>
      <c r="I1952" s="18" t="n">
        <f aca="false">IFERROR(VALUE(SUBSTITUTE(TRIM('수출입 실적(품목별)'!F1956),",","")),"")</f>
        <v>1108662.2</v>
      </c>
      <c r="J1952" s="19" t="n">
        <f aca="false">IFERROR(VALUE(SUBSTITUTE(TRIM('수출입 실적(품목별)'!G1956),",","")),"")</f>
        <v>85661</v>
      </c>
      <c r="K1952" s="19" t="n">
        <f aca="false">IFERROR(VALUE(SUBSTITUTE(TRIM('수출입 실적(품목별)'!H1956),",","")),"")</f>
        <v>-37360</v>
      </c>
    </row>
    <row r="1953" customFormat="false" ht="15" hidden="false" customHeight="true" outlineLevel="0" collapsed="false">
      <c r="A1953" s="11" t="str">
        <f aca="false">TRIM('수출입 실적(품목별)'!A1957)</f>
        <v>2025.09</v>
      </c>
      <c r="B1953" s="17" t="n">
        <f aca="false">IFERROR(VALUE(LEFT($A1953,4)),"")</f>
        <v>2025</v>
      </c>
      <c r="C1953" s="17" t="n">
        <f aca="false">IFERROR(VALUE(RIGHT($A1953,2)),"")</f>
        <v>9</v>
      </c>
      <c r="D1953" s="17" t="n">
        <f aca="false">IFERROR(ROUNDUP($C1953/3,0),"")</f>
        <v>3</v>
      </c>
      <c r="E1953" s="11" t="str">
        <f aca="false">TRIM('수출입 실적(품목별)'!B1957)</f>
        <v>26</v>
      </c>
      <c r="F1953" s="11" t="str">
        <f aca="false">TRIM('수출입 실적(품목별)'!C1957)</f>
        <v>광(鑛)ㆍ슬래그(slag)ㆍ회(灰)</v>
      </c>
      <c r="G1953" s="18" t="n">
        <f aca="false">IFERROR(VALUE(SUBSTITUTE(TRIM('수출입 실적(품목별)'!D1957),",","")),"")</f>
        <v>235180.2</v>
      </c>
      <c r="H1953" s="19" t="n">
        <f aca="false">IFERROR(VALUE(SUBSTITUTE(TRIM('수출입 실적(품목별)'!E1957),",","")),"")</f>
        <v>59863</v>
      </c>
      <c r="I1953" s="18" t="n">
        <f aca="false">IFERROR(VALUE(SUBSTITUTE(TRIM('수출입 실적(품목별)'!F1957),",","")),"")</f>
        <v>6182555.1</v>
      </c>
      <c r="J1953" s="19" t="n">
        <f aca="false">IFERROR(VALUE(SUBSTITUTE(TRIM('수출입 실적(품목별)'!G1957),",","")),"")</f>
        <v>1881240</v>
      </c>
      <c r="K1953" s="19" t="n">
        <f aca="false">IFERROR(VALUE(SUBSTITUTE(TRIM('수출입 실적(품목별)'!H1957),",","")),"")</f>
        <v>-1821377</v>
      </c>
    </row>
    <row r="1954" customFormat="false" ht="15" hidden="false" customHeight="true" outlineLevel="0" collapsed="false">
      <c r="A1954" s="11" t="str">
        <f aca="false">TRIM('수출입 실적(품목별)'!A1958)</f>
        <v>2025.09</v>
      </c>
      <c r="B1954" s="17" t="n">
        <f aca="false">IFERROR(VALUE(LEFT($A1954,4)),"")</f>
        <v>2025</v>
      </c>
      <c r="C1954" s="17" t="n">
        <f aca="false">IFERROR(VALUE(RIGHT($A1954,2)),"")</f>
        <v>9</v>
      </c>
      <c r="D1954" s="17" t="n">
        <f aca="false">IFERROR(ROUNDUP($C1954/3,0),"")</f>
        <v>3</v>
      </c>
      <c r="E1954" s="11" t="str">
        <f aca="false">TRIM('수출입 실적(품목별)'!B1958)</f>
        <v>27</v>
      </c>
      <c r="F1954" s="11" t="str">
        <f aca="false">TRIM('수출입 실적(품목별)'!C1958)</f>
        <v>광물성 연료ㆍ광물유(鑛物油)와 이들의 증류물, 역청(瀝靑)물질, 광물성 왁스</v>
      </c>
      <c r="G1954" s="18" t="n">
        <f aca="false">IFERROR(VALUE(SUBSTITUTE(TRIM('수출입 실적(품목별)'!D1958),",","")),"")</f>
        <v>6281083</v>
      </c>
      <c r="H1954" s="19" t="n">
        <f aca="false">IFERROR(VALUE(SUBSTITUTE(TRIM('수출입 실적(품목별)'!E1958),",","")),"")</f>
        <v>4322838</v>
      </c>
      <c r="I1954" s="18" t="n">
        <f aca="false">IFERROR(VALUE(SUBSTITUTE(TRIM('수출입 실적(품목별)'!F1958),",","")),"")</f>
        <v>29788739</v>
      </c>
      <c r="J1954" s="19" t="n">
        <f aca="false">IFERROR(VALUE(SUBSTITUTE(TRIM('수출입 실적(품목별)'!G1958),",","")),"")</f>
        <v>11304137</v>
      </c>
      <c r="K1954" s="19" t="n">
        <f aca="false">IFERROR(VALUE(SUBSTITUTE(TRIM('수출입 실적(품목별)'!H1958),",","")),"")</f>
        <v>-6981299</v>
      </c>
    </row>
    <row r="1955" customFormat="false" ht="15" hidden="false" customHeight="true" outlineLevel="0" collapsed="false">
      <c r="A1955" s="11" t="str">
        <f aca="false">TRIM('수출입 실적(품목별)'!A1959)</f>
        <v>2025.09</v>
      </c>
      <c r="B1955" s="17" t="n">
        <f aca="false">IFERROR(VALUE(LEFT($A1955,4)),"")</f>
        <v>2025</v>
      </c>
      <c r="C1955" s="17" t="n">
        <f aca="false">IFERROR(VALUE(RIGHT($A1955,2)),"")</f>
        <v>9</v>
      </c>
      <c r="D1955" s="17" t="n">
        <f aca="false">IFERROR(ROUNDUP($C1955/3,0),"")</f>
        <v>3</v>
      </c>
      <c r="E1955" s="11" t="str">
        <f aca="false">TRIM('수출입 실적(품목별)'!B1959)</f>
        <v>28</v>
      </c>
      <c r="F1955" s="11" t="str">
        <f aca="false">TRIM('수출입 실적(품목별)'!C1959)</f>
        <v>무기화학품, 귀금속ㆍ희토류(稀土類)금속ㆍ방사성원소ㆍ동위원소의 유기화합물이나 무기화합물</v>
      </c>
      <c r="G1955" s="18" t="n">
        <f aca="false">IFERROR(VALUE(SUBSTITUTE(TRIM('수출입 실적(품목별)'!D1959),",","")),"")</f>
        <v>475126.5</v>
      </c>
      <c r="H1955" s="19" t="n">
        <f aca="false">IFERROR(VALUE(SUBSTITUTE(TRIM('수출입 실적(품목별)'!E1959),",","")),"")</f>
        <v>757809</v>
      </c>
      <c r="I1955" s="18" t="n">
        <f aca="false">IFERROR(VALUE(SUBSTITUTE(TRIM('수출입 실적(품목별)'!F1959),",","")),"")</f>
        <v>395402.4</v>
      </c>
      <c r="J1955" s="19" t="n">
        <f aca="false">IFERROR(VALUE(SUBSTITUTE(TRIM('수출입 실적(품목별)'!G1959),",","")),"")</f>
        <v>860386</v>
      </c>
      <c r="K1955" s="19" t="n">
        <f aca="false">IFERROR(VALUE(SUBSTITUTE(TRIM('수출입 실적(품목별)'!H1959),",","")),"")</f>
        <v>-102577</v>
      </c>
    </row>
    <row r="1956" customFormat="false" ht="15" hidden="false" customHeight="true" outlineLevel="0" collapsed="false">
      <c r="A1956" s="11" t="str">
        <f aca="false">TRIM('수출입 실적(품목별)'!A1960)</f>
        <v>2025.09</v>
      </c>
      <c r="B1956" s="17" t="n">
        <f aca="false">IFERROR(VALUE(LEFT($A1956,4)),"")</f>
        <v>2025</v>
      </c>
      <c r="C1956" s="17" t="n">
        <f aca="false">IFERROR(VALUE(RIGHT($A1956,2)),"")</f>
        <v>9</v>
      </c>
      <c r="D1956" s="17" t="n">
        <f aca="false">IFERROR(ROUNDUP($C1956/3,0),"")</f>
        <v>3</v>
      </c>
      <c r="E1956" s="11" t="str">
        <f aca="false">TRIM('수출입 실적(품목별)'!B1960)</f>
        <v>29</v>
      </c>
      <c r="F1956" s="11" t="str">
        <f aca="false">TRIM('수출입 실적(품목별)'!C1960)</f>
        <v>유기화학품</v>
      </c>
      <c r="G1956" s="18" t="n">
        <f aca="false">IFERROR(VALUE(SUBSTITUTE(TRIM('수출입 실적(품목별)'!D1960),",","")),"")</f>
        <v>1769837.4</v>
      </c>
      <c r="H1956" s="19" t="n">
        <f aca="false">IFERROR(VALUE(SUBSTITUTE(TRIM('수출입 실적(품목별)'!E1960),",","")),"")</f>
        <v>1702423</v>
      </c>
      <c r="I1956" s="18" t="n">
        <f aca="false">IFERROR(VALUE(SUBSTITUTE(TRIM('수출입 실적(품목별)'!F1960),",","")),"")</f>
        <v>767850.9</v>
      </c>
      <c r="J1956" s="19" t="n">
        <f aca="false">IFERROR(VALUE(SUBSTITUTE(TRIM('수출입 실적(품목별)'!G1960),",","")),"")</f>
        <v>1206489</v>
      </c>
      <c r="K1956" s="19" t="n">
        <f aca="false">IFERROR(VALUE(SUBSTITUTE(TRIM('수출입 실적(품목별)'!H1960),",","")),"")</f>
        <v>495934</v>
      </c>
    </row>
    <row r="1957" customFormat="false" ht="15" hidden="false" customHeight="true" outlineLevel="0" collapsed="false">
      <c r="A1957" s="11" t="str">
        <f aca="false">TRIM('수출입 실적(품목별)'!A1961)</f>
        <v>2025.09</v>
      </c>
      <c r="B1957" s="17" t="n">
        <f aca="false">IFERROR(VALUE(LEFT($A1957,4)),"")</f>
        <v>2025</v>
      </c>
      <c r="C1957" s="17" t="n">
        <f aca="false">IFERROR(VALUE(RIGHT($A1957,2)),"")</f>
        <v>9</v>
      </c>
      <c r="D1957" s="17" t="n">
        <f aca="false">IFERROR(ROUNDUP($C1957/3,0),"")</f>
        <v>3</v>
      </c>
      <c r="E1957" s="11" t="str">
        <f aca="false">TRIM('수출입 실적(품목별)'!B1961)</f>
        <v>30</v>
      </c>
      <c r="F1957" s="11" t="str">
        <f aca="false">TRIM('수출입 실적(품목별)'!C1961)</f>
        <v>의료용품</v>
      </c>
      <c r="G1957" s="18" t="n">
        <f aca="false">IFERROR(VALUE(SUBSTITUTE(TRIM('수출입 실적(품목별)'!D1961),",","")),"")</f>
        <v>3215</v>
      </c>
      <c r="H1957" s="19" t="n">
        <f aca="false">IFERROR(VALUE(SUBSTITUTE(TRIM('수출입 실적(품목별)'!E1961),",","")),"")</f>
        <v>933388</v>
      </c>
      <c r="I1957" s="18" t="n">
        <f aca="false">IFERROR(VALUE(SUBSTITUTE(TRIM('수출입 실적(품목별)'!F1961),",","")),"")</f>
        <v>8195.4</v>
      </c>
      <c r="J1957" s="19" t="n">
        <f aca="false">IFERROR(VALUE(SUBSTITUTE(TRIM('수출입 실적(품목별)'!G1961),",","")),"")</f>
        <v>1007540</v>
      </c>
      <c r="K1957" s="19" t="n">
        <f aca="false">IFERROR(VALUE(SUBSTITUTE(TRIM('수출입 실적(품목별)'!H1961),",","")),"")</f>
        <v>-74152</v>
      </c>
    </row>
    <row r="1958" customFormat="false" ht="15" hidden="false" customHeight="true" outlineLevel="0" collapsed="false">
      <c r="A1958" s="11" t="str">
        <f aca="false">TRIM('수출입 실적(품목별)'!A1962)</f>
        <v>2025.09</v>
      </c>
      <c r="B1958" s="17" t="n">
        <f aca="false">IFERROR(VALUE(LEFT($A1958,4)),"")</f>
        <v>2025</v>
      </c>
      <c r="C1958" s="17" t="n">
        <f aca="false">IFERROR(VALUE(RIGHT($A1958,2)),"")</f>
        <v>9</v>
      </c>
      <c r="D1958" s="17" t="n">
        <f aca="false">IFERROR(ROUNDUP($C1958/3,0),"")</f>
        <v>3</v>
      </c>
      <c r="E1958" s="11" t="str">
        <f aca="false">TRIM('수출입 실적(품목별)'!B1962)</f>
        <v>31</v>
      </c>
      <c r="F1958" s="11" t="str">
        <f aca="false">TRIM('수출입 실적(품목별)'!C1962)</f>
        <v>비료</v>
      </c>
      <c r="G1958" s="18" t="n">
        <f aca="false">IFERROR(VALUE(SUBSTITUTE(TRIM('수출입 실적(품목별)'!D1962),",","")),"")</f>
        <v>83414.4</v>
      </c>
      <c r="H1958" s="19" t="n">
        <f aca="false">IFERROR(VALUE(SUBSTITUTE(TRIM('수출입 실적(품목별)'!E1962),",","")),"")</f>
        <v>36528</v>
      </c>
      <c r="I1958" s="18" t="n">
        <f aca="false">IFERROR(VALUE(SUBSTITUTE(TRIM('수출입 실적(품목별)'!F1962),",","")),"")</f>
        <v>150408.1</v>
      </c>
      <c r="J1958" s="19" t="n">
        <f aca="false">IFERROR(VALUE(SUBSTITUTE(TRIM('수출입 실적(품목별)'!G1962),",","")),"")</f>
        <v>60825</v>
      </c>
      <c r="K1958" s="19" t="n">
        <f aca="false">IFERROR(VALUE(SUBSTITUTE(TRIM('수출입 실적(품목별)'!H1962),",","")),"")</f>
        <v>-24297</v>
      </c>
    </row>
    <row r="1959" customFormat="false" ht="15" hidden="false" customHeight="true" outlineLevel="0" collapsed="false">
      <c r="A1959" s="11" t="str">
        <f aca="false">TRIM('수출입 실적(품목별)'!A1963)</f>
        <v>2025.09</v>
      </c>
      <c r="B1959" s="17" t="n">
        <f aca="false">IFERROR(VALUE(LEFT($A1959,4)),"")</f>
        <v>2025</v>
      </c>
      <c r="C1959" s="17" t="n">
        <f aca="false">IFERROR(VALUE(RIGHT($A1959,2)),"")</f>
        <v>9</v>
      </c>
      <c r="D1959" s="17" t="n">
        <f aca="false">IFERROR(ROUNDUP($C1959/3,0),"")</f>
        <v>3</v>
      </c>
      <c r="E1959" s="11" t="str">
        <f aca="false">TRIM('수출입 실적(품목별)'!B1963)</f>
        <v>32</v>
      </c>
      <c r="F1959" s="11" t="str">
        <f aca="false">TRIM('수출입 실적(품목별)'!C1963)</f>
        <v>유연용ㆍ염색용 추출물(extract), 탄닌과 이들의 유도체, 염료ㆍ안료와 그 밖의 착색제, 페인트ㆍ바니시(varnish), 퍼티(putty)와 그 밖의 매스틱(mastic), 잉크</v>
      </c>
      <c r="G1959" s="18" t="n">
        <f aca="false">IFERROR(VALUE(SUBSTITUTE(TRIM('수출입 실적(품목별)'!D1963),",","")),"")</f>
        <v>33494.8</v>
      </c>
      <c r="H1959" s="19" t="n">
        <f aca="false">IFERROR(VALUE(SUBSTITUTE(TRIM('수출입 실적(품목별)'!E1963),",","")),"")</f>
        <v>258810</v>
      </c>
      <c r="I1959" s="18" t="n">
        <f aca="false">IFERROR(VALUE(SUBSTITUTE(TRIM('수출입 실적(품목별)'!F1963),",","")),"")</f>
        <v>26749.6</v>
      </c>
      <c r="J1959" s="19" t="n">
        <f aca="false">IFERROR(VALUE(SUBSTITUTE(TRIM('수출입 실적(품목별)'!G1963),",","")),"")</f>
        <v>225143</v>
      </c>
      <c r="K1959" s="19" t="n">
        <f aca="false">IFERROR(VALUE(SUBSTITUTE(TRIM('수출입 실적(품목별)'!H1963),",","")),"")</f>
        <v>33667</v>
      </c>
    </row>
    <row r="1960" customFormat="false" ht="15" hidden="false" customHeight="true" outlineLevel="0" collapsed="false">
      <c r="A1960" s="11" t="str">
        <f aca="false">TRIM('수출입 실적(품목별)'!A1964)</f>
        <v>2025.09</v>
      </c>
      <c r="B1960" s="17" t="n">
        <f aca="false">IFERROR(VALUE(LEFT($A1960,4)),"")</f>
        <v>2025</v>
      </c>
      <c r="C1960" s="17" t="n">
        <f aca="false">IFERROR(VALUE(RIGHT($A1960,2)),"")</f>
        <v>9</v>
      </c>
      <c r="D1960" s="17" t="n">
        <f aca="false">IFERROR(ROUNDUP($C1960/3,0),"")</f>
        <v>3</v>
      </c>
      <c r="E1960" s="11" t="str">
        <f aca="false">TRIM('수출입 실적(품목별)'!B1964)</f>
        <v>33</v>
      </c>
      <c r="F1960" s="11" t="str">
        <f aca="false">TRIM('수출입 실적(품목별)'!C1964)</f>
        <v>정유(essential oil)와 레지노이드(resinoid), 조제향료와 화장품ㆍ화장용품</v>
      </c>
      <c r="G1960" s="18" t="n">
        <f aca="false">IFERROR(VALUE(SUBSTITUTE(TRIM('수출입 실적(품목별)'!D1964),",","")),"")</f>
        <v>48857</v>
      </c>
      <c r="H1960" s="19" t="n">
        <f aca="false">IFERROR(VALUE(SUBSTITUTE(TRIM('수출입 실적(품목별)'!E1964),",","")),"")</f>
        <v>1100924</v>
      </c>
      <c r="I1960" s="18" t="n">
        <f aca="false">IFERROR(VALUE(SUBSTITUTE(TRIM('수출입 실적(품목별)'!F1964),",","")),"")</f>
        <v>10234</v>
      </c>
      <c r="J1960" s="19" t="n">
        <f aca="false">IFERROR(VALUE(SUBSTITUTE(TRIM('수출입 실적(품목별)'!G1964),",","")),"")</f>
        <v>198099</v>
      </c>
      <c r="K1960" s="19" t="n">
        <f aca="false">IFERROR(VALUE(SUBSTITUTE(TRIM('수출입 실적(품목별)'!H1964),",","")),"")</f>
        <v>902825</v>
      </c>
    </row>
    <row r="1961" customFormat="false" ht="15" hidden="false" customHeight="true" outlineLevel="0" collapsed="false">
      <c r="A1961" s="11" t="str">
        <f aca="false">TRIM('수출입 실적(품목별)'!A1965)</f>
        <v>2025.09</v>
      </c>
      <c r="B1961" s="17" t="n">
        <f aca="false">IFERROR(VALUE(LEFT($A1961,4)),"")</f>
        <v>2025</v>
      </c>
      <c r="C1961" s="17" t="n">
        <f aca="false">IFERROR(VALUE(RIGHT($A1961,2)),"")</f>
        <v>9</v>
      </c>
      <c r="D1961" s="17" t="n">
        <f aca="false">IFERROR(ROUNDUP($C1961/3,0),"")</f>
        <v>3</v>
      </c>
      <c r="E1961" s="11" t="str">
        <f aca="false">TRIM('수출입 실적(품목별)'!B1965)</f>
        <v>34</v>
      </c>
      <c r="F1961" s="11" t="str">
        <f aca="false">TRIM('수출입 실적(품목별)'!C1965)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1961" s="18" t="n">
        <f aca="false">IFERROR(VALUE(SUBSTITUTE(TRIM('수출입 실적(품목별)'!D1965),",","")),"")</f>
        <v>61684.6</v>
      </c>
      <c r="H1961" s="19" t="n">
        <f aca="false">IFERROR(VALUE(SUBSTITUTE(TRIM('수출입 실적(품목별)'!E1965),",","")),"")</f>
        <v>185238</v>
      </c>
      <c r="I1961" s="18" t="n">
        <f aca="false">IFERROR(VALUE(SUBSTITUTE(TRIM('수출입 실적(품목별)'!F1965),",","")),"")</f>
        <v>27260</v>
      </c>
      <c r="J1961" s="19" t="n">
        <f aca="false">IFERROR(VALUE(SUBSTITUTE(TRIM('수출입 실적(품목별)'!G1965),",","")),"")</f>
        <v>107491</v>
      </c>
      <c r="K1961" s="19" t="n">
        <f aca="false">IFERROR(VALUE(SUBSTITUTE(TRIM('수출입 실적(품목별)'!H1965),",","")),"")</f>
        <v>77747</v>
      </c>
    </row>
    <row r="1962" customFormat="false" ht="15" hidden="false" customHeight="true" outlineLevel="0" collapsed="false">
      <c r="A1962" s="11" t="str">
        <f aca="false">TRIM('수출입 실적(품목별)'!A1966)</f>
        <v>2025.09</v>
      </c>
      <c r="B1962" s="17" t="n">
        <f aca="false">IFERROR(VALUE(LEFT($A1962,4)),"")</f>
        <v>2025</v>
      </c>
      <c r="C1962" s="17" t="n">
        <f aca="false">IFERROR(VALUE(RIGHT($A1962,2)),"")</f>
        <v>9</v>
      </c>
      <c r="D1962" s="17" t="n">
        <f aca="false">IFERROR(ROUNDUP($C1962/3,0),"")</f>
        <v>3</v>
      </c>
      <c r="E1962" s="11" t="str">
        <f aca="false">TRIM('수출입 실적(품목별)'!B1966)</f>
        <v>35</v>
      </c>
      <c r="F1962" s="11" t="str">
        <f aca="false">TRIM('수출입 실적(품목별)'!C1966)</f>
        <v>단백질계 물질, 변성전분, 글루(glue), 효소</v>
      </c>
      <c r="G1962" s="18" t="n">
        <f aca="false">IFERROR(VALUE(SUBSTITUTE(TRIM('수출입 실적(품목별)'!D1966),",","")),"")</f>
        <v>6956.4</v>
      </c>
      <c r="H1962" s="19" t="n">
        <f aca="false">IFERROR(VALUE(SUBSTITUTE(TRIM('수출입 실적(품목별)'!E1966),",","")),"")</f>
        <v>91869</v>
      </c>
      <c r="I1962" s="18" t="n">
        <f aca="false">IFERROR(VALUE(SUBSTITUTE(TRIM('수출입 실적(품목별)'!F1966),",","")),"")</f>
        <v>22002</v>
      </c>
      <c r="J1962" s="19" t="n">
        <f aca="false">IFERROR(VALUE(SUBSTITUTE(TRIM('수출입 실적(품목별)'!G1966),",","")),"")</f>
        <v>98196</v>
      </c>
      <c r="K1962" s="19" t="n">
        <f aca="false">IFERROR(VALUE(SUBSTITUTE(TRIM('수출입 실적(품목별)'!H1966),",","")),"")</f>
        <v>-6327</v>
      </c>
    </row>
    <row r="1963" customFormat="false" ht="15" hidden="false" customHeight="true" outlineLevel="0" collapsed="false">
      <c r="A1963" s="11" t="str">
        <f aca="false">TRIM('수출입 실적(품목별)'!A1967)</f>
        <v>2025.09</v>
      </c>
      <c r="B1963" s="17" t="n">
        <f aca="false">IFERROR(VALUE(LEFT($A1963,4)),"")</f>
        <v>2025</v>
      </c>
      <c r="C1963" s="17" t="n">
        <f aca="false">IFERROR(VALUE(RIGHT($A1963,2)),"")</f>
        <v>9</v>
      </c>
      <c r="D1963" s="17" t="n">
        <f aca="false">IFERROR(ROUNDUP($C1963/3,0),"")</f>
        <v>3</v>
      </c>
      <c r="E1963" s="11" t="str">
        <f aca="false">TRIM('수출입 실적(품목별)'!B1967)</f>
        <v>36</v>
      </c>
      <c r="F1963" s="11" t="str">
        <f aca="false">TRIM('수출입 실적(품목별)'!C1967)</f>
        <v>화약류, 화공품, 성냥, 발화성 합금, 특정 가연성 조제품</v>
      </c>
      <c r="G1963" s="18" t="n">
        <f aca="false">IFERROR(VALUE(SUBSTITUTE(TRIM('수출입 실적(품목별)'!D1967),",","")),"")</f>
        <v>168.2</v>
      </c>
      <c r="H1963" s="19" t="n">
        <f aca="false">IFERROR(VALUE(SUBSTITUTE(TRIM('수출입 실적(품목별)'!E1967),",","")),"")</f>
        <v>5474</v>
      </c>
      <c r="I1963" s="18" t="n">
        <f aca="false">IFERROR(VALUE(SUBSTITUTE(TRIM('수출입 실적(품목별)'!F1967),",","")),"")</f>
        <v>173.3</v>
      </c>
      <c r="J1963" s="19" t="n">
        <f aca="false">IFERROR(VALUE(SUBSTITUTE(TRIM('수출입 실적(품목별)'!G1967),",","")),"")</f>
        <v>3896</v>
      </c>
      <c r="K1963" s="19" t="n">
        <f aca="false">IFERROR(VALUE(SUBSTITUTE(TRIM('수출입 실적(품목별)'!H1967),",","")),"")</f>
        <v>1577</v>
      </c>
    </row>
    <row r="1964" customFormat="false" ht="15" hidden="false" customHeight="true" outlineLevel="0" collapsed="false">
      <c r="A1964" s="11" t="str">
        <f aca="false">TRIM('수출입 실적(품목별)'!A1968)</f>
        <v>2025.09</v>
      </c>
      <c r="B1964" s="17" t="n">
        <f aca="false">IFERROR(VALUE(LEFT($A1964,4)),"")</f>
        <v>2025</v>
      </c>
      <c r="C1964" s="17" t="n">
        <f aca="false">IFERROR(VALUE(RIGHT($A1964,2)),"")</f>
        <v>9</v>
      </c>
      <c r="D1964" s="17" t="n">
        <f aca="false">IFERROR(ROUNDUP($C1964/3,0),"")</f>
        <v>3</v>
      </c>
      <c r="E1964" s="11" t="str">
        <f aca="false">TRIM('수출입 실적(품목별)'!B1968)</f>
        <v>37</v>
      </c>
      <c r="F1964" s="11" t="str">
        <f aca="false">TRIM('수출입 실적(품목별)'!C1968)</f>
        <v>사진용이나 영화용 재료</v>
      </c>
      <c r="G1964" s="18" t="n">
        <f aca="false">IFERROR(VALUE(SUBSTITUTE(TRIM('수출입 실적(품목별)'!D1968),",","")),"")</f>
        <v>1888.1</v>
      </c>
      <c r="H1964" s="19" t="n">
        <f aca="false">IFERROR(VALUE(SUBSTITUTE(TRIM('수출입 실적(품목별)'!E1968),",","")),"")</f>
        <v>99169</v>
      </c>
      <c r="I1964" s="18" t="n">
        <f aca="false">IFERROR(VALUE(SUBSTITUTE(TRIM('수출입 실적(품목별)'!F1968),",","")),"")</f>
        <v>3138.6</v>
      </c>
      <c r="J1964" s="19" t="n">
        <f aca="false">IFERROR(VALUE(SUBSTITUTE(TRIM('수출입 실적(품목별)'!G1968),",","")),"")</f>
        <v>102763</v>
      </c>
      <c r="K1964" s="19" t="n">
        <f aca="false">IFERROR(VALUE(SUBSTITUTE(TRIM('수출입 실적(품목별)'!H1968),",","")),"")</f>
        <v>-3594</v>
      </c>
    </row>
    <row r="1965" customFormat="false" ht="15" hidden="false" customHeight="true" outlineLevel="0" collapsed="false">
      <c r="A1965" s="11" t="str">
        <f aca="false">TRIM('수출입 실적(품목별)'!A1969)</f>
        <v>2025.09</v>
      </c>
      <c r="B1965" s="17" t="n">
        <f aca="false">IFERROR(VALUE(LEFT($A1965,4)),"")</f>
        <v>2025</v>
      </c>
      <c r="C1965" s="17" t="n">
        <f aca="false">IFERROR(VALUE(RIGHT($A1965,2)),"")</f>
        <v>9</v>
      </c>
      <c r="D1965" s="17" t="n">
        <f aca="false">IFERROR(ROUNDUP($C1965/3,0),"")</f>
        <v>3</v>
      </c>
      <c r="E1965" s="11" t="str">
        <f aca="false">TRIM('수출입 실적(품목별)'!B1969)</f>
        <v>38</v>
      </c>
      <c r="F1965" s="11" t="str">
        <f aca="false">TRIM('수출입 실적(품목별)'!C1969)</f>
        <v>각종 화학공업 생산품</v>
      </c>
      <c r="G1965" s="18" t="n">
        <f aca="false">IFERROR(VALUE(SUBSTITUTE(TRIM('수출입 실적(품목별)'!D1969),",","")),"")</f>
        <v>100241.7</v>
      </c>
      <c r="H1965" s="19" t="n">
        <f aca="false">IFERROR(VALUE(SUBSTITUTE(TRIM('수출입 실적(품목별)'!E1969),",","")),"")</f>
        <v>717659</v>
      </c>
      <c r="I1965" s="18" t="n">
        <f aca="false">IFERROR(VALUE(SUBSTITUTE(TRIM('수출입 실적(품목별)'!F1969),",","")),"")</f>
        <v>177935.7</v>
      </c>
      <c r="J1965" s="19" t="n">
        <f aca="false">IFERROR(VALUE(SUBSTITUTE(TRIM('수출입 실적(품목별)'!G1969),",","")),"")</f>
        <v>958360</v>
      </c>
      <c r="K1965" s="19" t="n">
        <f aca="false">IFERROR(VALUE(SUBSTITUTE(TRIM('수출입 실적(품목별)'!H1969),",","")),"")</f>
        <v>-240701</v>
      </c>
    </row>
    <row r="1966" customFormat="false" ht="15" hidden="false" customHeight="true" outlineLevel="0" collapsed="false">
      <c r="A1966" s="11" t="str">
        <f aca="false">TRIM('수출입 실적(품목별)'!A1970)</f>
        <v>2025.09</v>
      </c>
      <c r="B1966" s="17" t="n">
        <f aca="false">IFERROR(VALUE(LEFT($A1966,4)),"")</f>
        <v>2025</v>
      </c>
      <c r="C1966" s="17" t="n">
        <f aca="false">IFERROR(VALUE(RIGHT($A1966,2)),"")</f>
        <v>9</v>
      </c>
      <c r="D1966" s="17" t="n">
        <f aca="false">IFERROR(ROUNDUP($C1966/3,0),"")</f>
        <v>3</v>
      </c>
      <c r="E1966" s="11" t="str">
        <f aca="false">TRIM('수출입 실적(품목별)'!B1970)</f>
        <v>39</v>
      </c>
      <c r="F1966" s="11" t="str">
        <f aca="false">TRIM('수출입 실적(품목별)'!C1970)</f>
        <v>플라스틱과 그 제품</v>
      </c>
      <c r="G1966" s="18" t="n">
        <f aca="false">IFERROR(VALUE(SUBSTITUTE(TRIM('수출입 실적(품목별)'!D1970),",","")),"")</f>
        <v>1585251.3</v>
      </c>
      <c r="H1966" s="19" t="n">
        <f aca="false">IFERROR(VALUE(SUBSTITUTE(TRIM('수출입 실적(품목별)'!E1970),",","")),"")</f>
        <v>3099678</v>
      </c>
      <c r="I1966" s="18" t="n">
        <f aca="false">IFERROR(VALUE(SUBSTITUTE(TRIM('수출입 실적(품목별)'!F1970),",","")),"")</f>
        <v>315503.4</v>
      </c>
      <c r="J1966" s="19" t="n">
        <f aca="false">IFERROR(VALUE(SUBSTITUTE(TRIM('수출입 실적(품목별)'!G1970),",","")),"")</f>
        <v>1268171</v>
      </c>
      <c r="K1966" s="19" t="n">
        <f aca="false">IFERROR(VALUE(SUBSTITUTE(TRIM('수출입 실적(품목별)'!H1970),",","")),"")</f>
        <v>1831507</v>
      </c>
    </row>
    <row r="1967" customFormat="false" ht="15" hidden="false" customHeight="true" outlineLevel="0" collapsed="false">
      <c r="A1967" s="11" t="str">
        <f aca="false">TRIM('수출입 실적(품목별)'!A1971)</f>
        <v>2025.09</v>
      </c>
      <c r="B1967" s="17" t="n">
        <f aca="false">IFERROR(VALUE(LEFT($A1967,4)),"")</f>
        <v>2025</v>
      </c>
      <c r="C1967" s="17" t="n">
        <f aca="false">IFERROR(VALUE(RIGHT($A1967,2)),"")</f>
        <v>9</v>
      </c>
      <c r="D1967" s="17" t="n">
        <f aca="false">IFERROR(ROUNDUP($C1967/3,0),"")</f>
        <v>3</v>
      </c>
      <c r="E1967" s="11" t="str">
        <f aca="false">TRIM('수출입 실적(품목별)'!B1971)</f>
        <v>40</v>
      </c>
      <c r="F1967" s="11" t="str">
        <f aca="false">TRIM('수출입 실적(품목별)'!C1971)</f>
        <v>고무와 그 제품</v>
      </c>
      <c r="G1967" s="18" t="n">
        <f aca="false">IFERROR(VALUE(SUBSTITUTE(TRIM('수출입 실적(품목별)'!D1971),",","")),"")</f>
        <v>251990.9</v>
      </c>
      <c r="H1967" s="19" t="n">
        <f aca="false">IFERROR(VALUE(SUBSTITUTE(TRIM('수출입 실적(품목별)'!E1971),",","")),"")</f>
        <v>597747</v>
      </c>
      <c r="I1967" s="18" t="n">
        <f aca="false">IFERROR(VALUE(SUBSTITUTE(TRIM('수출입 실적(품목별)'!F1971),",","")),"")</f>
        <v>86060.2</v>
      </c>
      <c r="J1967" s="19" t="n">
        <f aca="false">IFERROR(VALUE(SUBSTITUTE(TRIM('수출입 실적(품목별)'!G1971),",","")),"")</f>
        <v>275955</v>
      </c>
      <c r="K1967" s="19" t="n">
        <f aca="false">IFERROR(VALUE(SUBSTITUTE(TRIM('수출입 실적(품목별)'!H1971),",","")),"")</f>
        <v>321791</v>
      </c>
    </row>
    <row r="1968" customFormat="false" ht="15" hidden="false" customHeight="true" outlineLevel="0" collapsed="false">
      <c r="A1968" s="11" t="str">
        <f aca="false">TRIM('수출입 실적(품목별)'!A1972)</f>
        <v>2025.09</v>
      </c>
      <c r="B1968" s="17" t="n">
        <f aca="false">IFERROR(VALUE(LEFT($A1968,4)),"")</f>
        <v>2025</v>
      </c>
      <c r="C1968" s="17" t="n">
        <f aca="false">IFERROR(VALUE(RIGHT($A1968,2)),"")</f>
        <v>9</v>
      </c>
      <c r="D1968" s="17" t="n">
        <f aca="false">IFERROR(ROUNDUP($C1968/3,0),"")</f>
        <v>3</v>
      </c>
      <c r="E1968" s="11" t="str">
        <f aca="false">TRIM('수출입 실적(품목별)'!B1972)</f>
        <v>41</v>
      </c>
      <c r="F1968" s="11" t="str">
        <f aca="false">TRIM('수출입 실적(품목별)'!C1972)</f>
        <v>원피(모피는 제외한다)와 가죽</v>
      </c>
      <c r="G1968" s="18" t="n">
        <f aca="false">IFERROR(VALUE(SUBSTITUTE(TRIM('수출입 실적(품목별)'!D1972),",","")),"")</f>
        <v>3315.3</v>
      </c>
      <c r="H1968" s="19" t="n">
        <f aca="false">IFERROR(VALUE(SUBSTITUTE(TRIM('수출입 실적(품목별)'!E1972),",","")),"")</f>
        <v>25116</v>
      </c>
      <c r="I1968" s="18" t="n">
        <f aca="false">IFERROR(VALUE(SUBSTITUTE(TRIM('수출입 실적(품목별)'!F1972),",","")),"")</f>
        <v>6699.4</v>
      </c>
      <c r="J1968" s="19" t="n">
        <f aca="false">IFERROR(VALUE(SUBSTITUTE(TRIM('수출입 실적(품목별)'!G1972),",","")),"")</f>
        <v>22185</v>
      </c>
      <c r="K1968" s="19" t="n">
        <f aca="false">IFERROR(VALUE(SUBSTITUTE(TRIM('수출입 실적(품목별)'!H1972),",","")),"")</f>
        <v>2931</v>
      </c>
    </row>
    <row r="1969" customFormat="false" ht="15" hidden="false" customHeight="true" outlineLevel="0" collapsed="false">
      <c r="A1969" s="11" t="str">
        <f aca="false">TRIM('수출입 실적(품목별)'!A1973)</f>
        <v>2025.09</v>
      </c>
      <c r="B1969" s="17" t="n">
        <f aca="false">IFERROR(VALUE(LEFT($A1969,4)),"")</f>
        <v>2025</v>
      </c>
      <c r="C1969" s="17" t="n">
        <f aca="false">IFERROR(VALUE(RIGHT($A1969,2)),"")</f>
        <v>9</v>
      </c>
      <c r="D1969" s="17" t="n">
        <f aca="false">IFERROR(ROUNDUP($C1969/3,0),"")</f>
        <v>3</v>
      </c>
      <c r="E1969" s="11" t="str">
        <f aca="false">TRIM('수출입 실적(품목별)'!B1973)</f>
        <v>42</v>
      </c>
      <c r="F1969" s="11" t="str">
        <f aca="false">TRIM('수출입 실적(품목별)'!C1973)</f>
        <v>가죽제품, 마구, 여행용구ㆍ핸드백과 이와 유사한 용기, 동물 거트(gut)[누에의 거트(gut)는 제외한다]의 제품</v>
      </c>
      <c r="G1969" s="18" t="n">
        <f aca="false">IFERROR(VALUE(SUBSTITUTE(TRIM('수출입 실적(품목별)'!D1973),",","")),"")</f>
        <v>1130.1</v>
      </c>
      <c r="H1969" s="19" t="n">
        <f aca="false">IFERROR(VALUE(SUBSTITUTE(TRIM('수출입 실적(품목별)'!E1973),",","")),"")</f>
        <v>44333</v>
      </c>
      <c r="I1969" s="18" t="n">
        <f aca="false">IFERROR(VALUE(SUBSTITUTE(TRIM('수출입 실적(품목별)'!F1973),",","")),"")</f>
        <v>10574.4</v>
      </c>
      <c r="J1969" s="19" t="n">
        <f aca="false">IFERROR(VALUE(SUBSTITUTE(TRIM('수출입 실적(품목별)'!G1973),",","")),"")</f>
        <v>308544</v>
      </c>
      <c r="K1969" s="19" t="n">
        <f aca="false">IFERROR(VALUE(SUBSTITUTE(TRIM('수출입 실적(품목별)'!H1973),",","")),"")</f>
        <v>-264211</v>
      </c>
    </row>
    <row r="1970" customFormat="false" ht="15" hidden="false" customHeight="true" outlineLevel="0" collapsed="false">
      <c r="A1970" s="11" t="str">
        <f aca="false">TRIM('수출입 실적(품목별)'!A1974)</f>
        <v>2025.09</v>
      </c>
      <c r="B1970" s="17" t="n">
        <f aca="false">IFERROR(VALUE(LEFT($A1970,4)),"")</f>
        <v>2025</v>
      </c>
      <c r="C1970" s="17" t="n">
        <f aca="false">IFERROR(VALUE(RIGHT($A1970,2)),"")</f>
        <v>9</v>
      </c>
      <c r="D1970" s="17" t="n">
        <f aca="false">IFERROR(ROUNDUP($C1970/3,0),"")</f>
        <v>3</v>
      </c>
      <c r="E1970" s="11" t="str">
        <f aca="false">TRIM('수출입 실적(품목별)'!B1974)</f>
        <v>43</v>
      </c>
      <c r="F1970" s="11" t="str">
        <f aca="false">TRIM('수출입 실적(품목별)'!C1974)</f>
        <v>모피ㆍ인조모피와 이들의 제품</v>
      </c>
      <c r="G1970" s="18" t="n">
        <f aca="false">IFERROR(VALUE(SUBSTITUTE(TRIM('수출입 실적(품목별)'!D1974),",","")),"")</f>
        <v>6.3</v>
      </c>
      <c r="H1970" s="19" t="n">
        <f aca="false">IFERROR(VALUE(SUBSTITUTE(TRIM('수출입 실적(품목별)'!E1974),",","")),"")</f>
        <v>715</v>
      </c>
      <c r="I1970" s="18" t="n">
        <f aca="false">IFERROR(VALUE(SUBSTITUTE(TRIM('수출입 실적(품목별)'!F1974),",","")),"")</f>
        <v>62</v>
      </c>
      <c r="J1970" s="19" t="n">
        <f aca="false">IFERROR(VALUE(SUBSTITUTE(TRIM('수출입 실적(품목별)'!G1974),",","")),"")</f>
        <v>11300</v>
      </c>
      <c r="K1970" s="19" t="n">
        <f aca="false">IFERROR(VALUE(SUBSTITUTE(TRIM('수출입 실적(품목별)'!H1974),",","")),"")</f>
        <v>-10585</v>
      </c>
    </row>
    <row r="1971" customFormat="false" ht="15" hidden="false" customHeight="true" outlineLevel="0" collapsed="false">
      <c r="A1971" s="11" t="str">
        <f aca="false">TRIM('수출입 실적(품목별)'!A1975)</f>
        <v>2025.09</v>
      </c>
      <c r="B1971" s="17" t="n">
        <f aca="false">IFERROR(VALUE(LEFT($A1971,4)),"")</f>
        <v>2025</v>
      </c>
      <c r="C1971" s="17" t="n">
        <f aca="false">IFERROR(VALUE(RIGHT($A1971,2)),"")</f>
        <v>9</v>
      </c>
      <c r="D1971" s="17" t="n">
        <f aca="false">IFERROR(ROUNDUP($C1971/3,0),"")</f>
        <v>3</v>
      </c>
      <c r="E1971" s="11" t="str">
        <f aca="false">TRIM('수출입 실적(품목별)'!B1975)</f>
        <v>44</v>
      </c>
      <c r="F1971" s="11" t="str">
        <f aca="false">TRIM('수출입 실적(품목별)'!C1975)</f>
        <v>목재와 그 제품, 목탄</v>
      </c>
      <c r="G1971" s="18" t="n">
        <f aca="false">IFERROR(VALUE(SUBSTITUTE(TRIM('수출입 실적(품목별)'!D1975),",","")),"")</f>
        <v>4127.7</v>
      </c>
      <c r="H1971" s="19" t="n">
        <f aca="false">IFERROR(VALUE(SUBSTITUTE(TRIM('수출입 실적(품목별)'!E1975),",","")),"")</f>
        <v>6138</v>
      </c>
      <c r="I1971" s="18" t="n">
        <f aca="false">IFERROR(VALUE(SUBSTITUTE(TRIM('수출입 실적(품목별)'!F1975),",","")),"")</f>
        <v>831202.9</v>
      </c>
      <c r="J1971" s="19" t="n">
        <f aca="false">IFERROR(VALUE(SUBSTITUTE(TRIM('수출입 실적(품목별)'!G1975),",","")),"")</f>
        <v>246309</v>
      </c>
      <c r="K1971" s="19" t="n">
        <f aca="false">IFERROR(VALUE(SUBSTITUTE(TRIM('수출입 실적(품목별)'!H1975),",","")),"")</f>
        <v>-240172</v>
      </c>
    </row>
    <row r="1972" customFormat="false" ht="15" hidden="false" customHeight="true" outlineLevel="0" collapsed="false">
      <c r="A1972" s="11" t="str">
        <f aca="false">TRIM('수출입 실적(품목별)'!A1976)</f>
        <v>2025.09</v>
      </c>
      <c r="B1972" s="17" t="n">
        <f aca="false">IFERROR(VALUE(LEFT($A1972,4)),"")</f>
        <v>2025</v>
      </c>
      <c r="C1972" s="17" t="n">
        <f aca="false">IFERROR(VALUE(RIGHT($A1972,2)),"")</f>
        <v>9</v>
      </c>
      <c r="D1972" s="17" t="n">
        <f aca="false">IFERROR(ROUNDUP($C1972/3,0),"")</f>
        <v>3</v>
      </c>
      <c r="E1972" s="11" t="str">
        <f aca="false">TRIM('수출입 실적(품목별)'!B1976)</f>
        <v>45</v>
      </c>
      <c r="F1972" s="11" t="str">
        <f aca="false">TRIM('수출입 실적(품목별)'!C1976)</f>
        <v>코르크(cork)와 그 제품</v>
      </c>
      <c r="G1972" s="18" t="n">
        <f aca="false">IFERROR(VALUE(SUBSTITUTE(TRIM('수출입 실적(품목별)'!D1976),",","")),"")</f>
        <v>1.2</v>
      </c>
      <c r="H1972" s="19" t="n">
        <f aca="false">IFERROR(VALUE(SUBSTITUTE(TRIM('수출입 실적(품목별)'!E1976),",","")),"")</f>
        <v>40</v>
      </c>
      <c r="I1972" s="18" t="n">
        <f aca="false">IFERROR(VALUE(SUBSTITUTE(TRIM('수출입 실적(품목별)'!F1976),",","")),"")</f>
        <v>71.6</v>
      </c>
      <c r="J1972" s="19" t="n">
        <f aca="false">IFERROR(VALUE(SUBSTITUTE(TRIM('수출입 실적(품목별)'!G1976),",","")),"")</f>
        <v>348</v>
      </c>
      <c r="K1972" s="19" t="n">
        <f aca="false">IFERROR(VALUE(SUBSTITUTE(TRIM('수출입 실적(품목별)'!H1976),",","")),"")</f>
        <v>-308</v>
      </c>
    </row>
    <row r="1973" customFormat="false" ht="15" hidden="false" customHeight="true" outlineLevel="0" collapsed="false">
      <c r="A1973" s="11" t="str">
        <f aca="false">TRIM('수출입 실적(품목별)'!A1977)</f>
        <v>2025.09</v>
      </c>
      <c r="B1973" s="17" t="n">
        <f aca="false">IFERROR(VALUE(LEFT($A1973,4)),"")</f>
        <v>2025</v>
      </c>
      <c r="C1973" s="17" t="n">
        <f aca="false">IFERROR(VALUE(RIGHT($A1973,2)),"")</f>
        <v>9</v>
      </c>
      <c r="D1973" s="17" t="n">
        <f aca="false">IFERROR(ROUNDUP($C1973/3,0),"")</f>
        <v>3</v>
      </c>
      <c r="E1973" s="11" t="str">
        <f aca="false">TRIM('수출입 실적(품목별)'!B1977)</f>
        <v>46</v>
      </c>
      <c r="F1973" s="11" t="str">
        <f aca="false">TRIM('수출입 실적(품목별)'!C1977)</f>
        <v>짚ㆍ에스파르토(esparto)나 그 밖의 조물 재료의 제품, 바구니 세공물(basketware)과 지조세공물(枝條細工物)</v>
      </c>
      <c r="G1973" s="18" t="n">
        <f aca="false">IFERROR(VALUE(SUBSTITUTE(TRIM('수출입 실적(품목별)'!D1977),",","")),"")</f>
        <v>2.9</v>
      </c>
      <c r="H1973" s="19" t="n">
        <f aca="false">IFERROR(VALUE(SUBSTITUTE(TRIM('수출입 실적(품목별)'!E1977),",","")),"")</f>
        <v>77</v>
      </c>
      <c r="I1973" s="18" t="n">
        <f aca="false">IFERROR(VALUE(SUBSTITUTE(TRIM('수출입 실적(품목별)'!F1977),",","")),"")</f>
        <v>262.1</v>
      </c>
      <c r="J1973" s="19" t="n">
        <f aca="false">IFERROR(VALUE(SUBSTITUTE(TRIM('수출입 실적(품목별)'!G1977),",","")),"")</f>
        <v>1152</v>
      </c>
      <c r="K1973" s="19" t="n">
        <f aca="false">IFERROR(VALUE(SUBSTITUTE(TRIM('수출입 실적(품목별)'!H1977),",","")),"")</f>
        <v>-1075</v>
      </c>
    </row>
    <row r="1974" customFormat="false" ht="15" hidden="false" customHeight="true" outlineLevel="0" collapsed="false">
      <c r="A1974" s="11" t="str">
        <f aca="false">TRIM('수출입 실적(품목별)'!A1978)</f>
        <v>2025.09</v>
      </c>
      <c r="B1974" s="17" t="n">
        <f aca="false">IFERROR(VALUE(LEFT($A1974,4)),"")</f>
        <v>2025</v>
      </c>
      <c r="C1974" s="17" t="n">
        <f aca="false">IFERROR(VALUE(RIGHT($A1974,2)),"")</f>
        <v>9</v>
      </c>
      <c r="D1974" s="17" t="n">
        <f aca="false">IFERROR(ROUNDUP($C1974/3,0),"")</f>
        <v>3</v>
      </c>
      <c r="E1974" s="11" t="str">
        <f aca="false">TRIM('수출입 실적(품목별)'!B1978)</f>
        <v>47</v>
      </c>
      <c r="F1974" s="11" t="str">
        <f aca="false">TRIM('수출입 실적(품목별)'!C1978)</f>
        <v>목재나 그 밖의 섬유질 셀룰로오스재료의 펄프, 회수한 종이ㆍ판지[웨이스트(waste)와 스크랩(scrap)]</v>
      </c>
      <c r="G1974" s="18" t="n">
        <f aca="false">IFERROR(VALUE(SUBSTITUTE(TRIM('수출입 실적(품목별)'!D1978),",","")),"")</f>
        <v>49730.9</v>
      </c>
      <c r="H1974" s="19" t="n">
        <f aca="false">IFERROR(VALUE(SUBSTITUTE(TRIM('수출입 실적(품목별)'!E1978),",","")),"")</f>
        <v>10423</v>
      </c>
      <c r="I1974" s="18" t="n">
        <f aca="false">IFERROR(VALUE(SUBSTITUTE(TRIM('수출입 실적(품목별)'!F1978),",","")),"")</f>
        <v>204010.4</v>
      </c>
      <c r="J1974" s="19" t="n">
        <f aca="false">IFERROR(VALUE(SUBSTITUTE(TRIM('수출입 실적(품목별)'!G1978),",","")),"")</f>
        <v>101494</v>
      </c>
      <c r="K1974" s="19" t="n">
        <f aca="false">IFERROR(VALUE(SUBSTITUTE(TRIM('수출입 실적(품목별)'!H1978),",","")),"")</f>
        <v>-91071</v>
      </c>
    </row>
    <row r="1975" customFormat="false" ht="15" hidden="false" customHeight="true" outlineLevel="0" collapsed="false">
      <c r="A1975" s="11" t="str">
        <f aca="false">TRIM('수출입 실적(품목별)'!A1979)</f>
        <v>2025.09</v>
      </c>
      <c r="B1975" s="17" t="n">
        <f aca="false">IFERROR(VALUE(LEFT($A1975,4)),"")</f>
        <v>2025</v>
      </c>
      <c r="C1975" s="17" t="n">
        <f aca="false">IFERROR(VALUE(RIGHT($A1975,2)),"")</f>
        <v>9</v>
      </c>
      <c r="D1975" s="17" t="n">
        <f aca="false">IFERROR(ROUNDUP($C1975/3,0),"")</f>
        <v>3</v>
      </c>
      <c r="E1975" s="11" t="str">
        <f aca="false">TRIM('수출입 실적(품목별)'!B1979)</f>
        <v>48</v>
      </c>
      <c r="F1975" s="11" t="str">
        <f aca="false">TRIM('수출입 실적(품목별)'!C1979)</f>
        <v>종이와 판지, 제지용 펄프ㆍ종이ㆍ판지의 제품</v>
      </c>
      <c r="G1975" s="18" t="n">
        <f aca="false">IFERROR(VALUE(SUBSTITUTE(TRIM('수출입 실적(품목별)'!D1979),",","")),"")</f>
        <v>239372.8</v>
      </c>
      <c r="H1975" s="19" t="n">
        <f aca="false">IFERROR(VALUE(SUBSTITUTE(TRIM('수출입 실적(품목별)'!E1979),",","")),"")</f>
        <v>221425</v>
      </c>
      <c r="I1975" s="18" t="n">
        <f aca="false">IFERROR(VALUE(SUBSTITUTE(TRIM('수출입 실적(품목별)'!F1979),",","")),"")</f>
        <v>135370.6</v>
      </c>
      <c r="J1975" s="19" t="n">
        <f aca="false">IFERROR(VALUE(SUBSTITUTE(TRIM('수출입 실적(품목별)'!G1979),",","")),"")</f>
        <v>202159</v>
      </c>
      <c r="K1975" s="19" t="n">
        <f aca="false">IFERROR(VALUE(SUBSTITUTE(TRIM('수출입 실적(품목별)'!H1979),",","")),"")</f>
        <v>19266</v>
      </c>
    </row>
    <row r="1976" customFormat="false" ht="15" hidden="false" customHeight="true" outlineLevel="0" collapsed="false">
      <c r="A1976" s="11" t="str">
        <f aca="false">TRIM('수출입 실적(품목별)'!A1980)</f>
        <v>2025.09</v>
      </c>
      <c r="B1976" s="17" t="n">
        <f aca="false">IFERROR(VALUE(LEFT($A1976,4)),"")</f>
        <v>2025</v>
      </c>
      <c r="C1976" s="17" t="n">
        <f aca="false">IFERROR(VALUE(RIGHT($A1976,2)),"")</f>
        <v>9</v>
      </c>
      <c r="D1976" s="17" t="n">
        <f aca="false">IFERROR(ROUNDUP($C1976/3,0),"")</f>
        <v>3</v>
      </c>
      <c r="E1976" s="11" t="str">
        <f aca="false">TRIM('수출입 실적(품목별)'!B1980)</f>
        <v>49</v>
      </c>
      <c r="F1976" s="11" t="str">
        <f aca="false">TRIM('수출입 실적(품목별)'!C1980)</f>
        <v>인쇄서적ㆍ신문ㆍ회화ㆍ그 밖의 인쇄물, 수제(手製)문서ㆍ타자문서ㆍ도면</v>
      </c>
      <c r="G1976" s="18" t="n">
        <f aca="false">IFERROR(VALUE(SUBSTITUTE(TRIM('수출입 실적(품목별)'!D1980),",","")),"")</f>
        <v>3124.8</v>
      </c>
      <c r="H1976" s="19" t="n">
        <f aca="false">IFERROR(VALUE(SUBSTITUTE(TRIM('수출입 실적(품목별)'!E1980),",","")),"")</f>
        <v>33884</v>
      </c>
      <c r="I1976" s="18" t="n">
        <f aca="false">IFERROR(VALUE(SUBSTITUTE(TRIM('수출입 실적(품목별)'!F1980),",","")),"")</f>
        <v>1133.1</v>
      </c>
      <c r="J1976" s="19" t="n">
        <f aca="false">IFERROR(VALUE(SUBSTITUTE(TRIM('수출입 실적(품목별)'!G1980),",","")),"")</f>
        <v>27847</v>
      </c>
      <c r="K1976" s="19" t="n">
        <f aca="false">IFERROR(VALUE(SUBSTITUTE(TRIM('수출입 실적(품목별)'!H1980),",","")),"")</f>
        <v>6037</v>
      </c>
    </row>
    <row r="1977" customFormat="false" ht="15" hidden="false" customHeight="true" outlineLevel="0" collapsed="false">
      <c r="A1977" s="11" t="str">
        <f aca="false">TRIM('수출입 실적(품목별)'!A1981)</f>
        <v>2025.09</v>
      </c>
      <c r="B1977" s="17" t="n">
        <f aca="false">IFERROR(VALUE(LEFT($A1977,4)),"")</f>
        <v>2025</v>
      </c>
      <c r="C1977" s="17" t="n">
        <f aca="false">IFERROR(VALUE(RIGHT($A1977,2)),"")</f>
        <v>9</v>
      </c>
      <c r="D1977" s="17" t="n">
        <f aca="false">IFERROR(ROUNDUP($C1977/3,0),"")</f>
        <v>3</v>
      </c>
      <c r="E1977" s="11" t="str">
        <f aca="false">TRIM('수출입 실적(품목별)'!B1981)</f>
        <v>50</v>
      </c>
      <c r="F1977" s="11" t="str">
        <f aca="false">TRIM('수출입 실적(품목별)'!C1981)</f>
        <v>견</v>
      </c>
      <c r="G1977" s="18" t="n">
        <f aca="false">IFERROR(VALUE(SUBSTITUTE(TRIM('수출입 실적(품목별)'!D1981),",","")),"")</f>
        <v>9.8</v>
      </c>
      <c r="H1977" s="19" t="n">
        <f aca="false">IFERROR(VALUE(SUBSTITUTE(TRIM('수출입 실적(품목별)'!E1981),",","")),"")</f>
        <v>1589</v>
      </c>
      <c r="I1977" s="18" t="n">
        <f aca="false">IFERROR(VALUE(SUBSTITUTE(TRIM('수출입 실적(품목별)'!F1981),",","")),"")</f>
        <v>17.8</v>
      </c>
      <c r="J1977" s="19" t="n">
        <f aca="false">IFERROR(VALUE(SUBSTITUTE(TRIM('수출입 실적(품목별)'!G1981),",","")),"")</f>
        <v>1741</v>
      </c>
      <c r="K1977" s="19" t="n">
        <f aca="false">IFERROR(VALUE(SUBSTITUTE(TRIM('수출입 실적(품목별)'!H1981),",","")),"")</f>
        <v>-152</v>
      </c>
    </row>
    <row r="1978" customFormat="false" ht="15" hidden="false" customHeight="true" outlineLevel="0" collapsed="false">
      <c r="A1978" s="11" t="str">
        <f aca="false">TRIM('수출입 실적(품목별)'!A1982)</f>
        <v>2025.09</v>
      </c>
      <c r="B1978" s="17" t="n">
        <f aca="false">IFERROR(VALUE(LEFT($A1978,4)),"")</f>
        <v>2025</v>
      </c>
      <c r="C1978" s="17" t="n">
        <f aca="false">IFERROR(VALUE(RIGHT($A1978,2)),"")</f>
        <v>9</v>
      </c>
      <c r="D1978" s="17" t="n">
        <f aca="false">IFERROR(ROUNDUP($C1978/3,0),"")</f>
        <v>3</v>
      </c>
      <c r="E1978" s="11" t="str">
        <f aca="false">TRIM('수출입 실적(품목별)'!B1982)</f>
        <v>51</v>
      </c>
      <c r="F1978" s="11" t="str">
        <f aca="false">TRIM('수출입 실적(품목별)'!C1982)</f>
        <v>양모ㆍ동물의 부드러운 털이나 거친 털ㆍ말의 털로 만든 실과 직물</v>
      </c>
      <c r="G1978" s="18" t="n">
        <f aca="false">IFERROR(VALUE(SUBSTITUTE(TRIM('수출입 실적(품목별)'!D1982),",","")),"")</f>
        <v>179.3</v>
      </c>
      <c r="H1978" s="19" t="n">
        <f aca="false">IFERROR(VALUE(SUBSTITUTE(TRIM('수출입 실적(품목별)'!E1982),",","")),"")</f>
        <v>1811</v>
      </c>
      <c r="I1978" s="18" t="n">
        <f aca="false">IFERROR(VALUE(SUBSTITUTE(TRIM('수출입 실적(품목별)'!F1982),",","")),"")</f>
        <v>715.6</v>
      </c>
      <c r="J1978" s="19" t="n">
        <f aca="false">IFERROR(VALUE(SUBSTITUTE(TRIM('수출입 실적(품목별)'!G1982),",","")),"")</f>
        <v>15223</v>
      </c>
      <c r="K1978" s="19" t="n">
        <f aca="false">IFERROR(VALUE(SUBSTITUTE(TRIM('수출입 실적(품목별)'!H1982),",","")),"")</f>
        <v>-13412</v>
      </c>
    </row>
    <row r="1979" customFormat="false" ht="15" hidden="false" customHeight="true" outlineLevel="0" collapsed="false">
      <c r="A1979" s="11" t="str">
        <f aca="false">TRIM('수출입 실적(품목별)'!A1983)</f>
        <v>2025.09</v>
      </c>
      <c r="B1979" s="17" t="n">
        <f aca="false">IFERROR(VALUE(LEFT($A1979,4)),"")</f>
        <v>2025</v>
      </c>
      <c r="C1979" s="17" t="n">
        <f aca="false">IFERROR(VALUE(RIGHT($A1979,2)),"")</f>
        <v>9</v>
      </c>
      <c r="D1979" s="17" t="n">
        <f aca="false">IFERROR(ROUNDUP($C1979/3,0),"")</f>
        <v>3</v>
      </c>
      <c r="E1979" s="11" t="str">
        <f aca="false">TRIM('수출입 실적(품목별)'!B1983)</f>
        <v>52</v>
      </c>
      <c r="F1979" s="11" t="str">
        <f aca="false">TRIM('수출입 실적(품목별)'!C1983)</f>
        <v>면</v>
      </c>
      <c r="G1979" s="18" t="n">
        <f aca="false">IFERROR(VALUE(SUBSTITUTE(TRIM('수출입 실적(품목별)'!D1983),",","")),"")</f>
        <v>3453.2</v>
      </c>
      <c r="H1979" s="19" t="n">
        <f aca="false">IFERROR(VALUE(SUBSTITUTE(TRIM('수출입 실적(품목별)'!E1983),",","")),"")</f>
        <v>25972</v>
      </c>
      <c r="I1979" s="18" t="n">
        <f aca="false">IFERROR(VALUE(SUBSTITUTE(TRIM('수출입 실적(품목별)'!F1983),",","")),"")</f>
        <v>17164.7</v>
      </c>
      <c r="J1979" s="19" t="n">
        <f aca="false">IFERROR(VALUE(SUBSTITUTE(TRIM('수출입 실적(품목별)'!G1983),",","")),"")</f>
        <v>53800</v>
      </c>
      <c r="K1979" s="19" t="n">
        <f aca="false">IFERROR(VALUE(SUBSTITUTE(TRIM('수출입 실적(품목별)'!H1983),",","")),"")</f>
        <v>-27827</v>
      </c>
    </row>
    <row r="1980" customFormat="false" ht="15" hidden="false" customHeight="true" outlineLevel="0" collapsed="false">
      <c r="A1980" s="11" t="str">
        <f aca="false">TRIM('수출입 실적(품목별)'!A1984)</f>
        <v>2025.09</v>
      </c>
      <c r="B1980" s="17" t="n">
        <f aca="false">IFERROR(VALUE(LEFT($A1980,4)),"")</f>
        <v>2025</v>
      </c>
      <c r="C1980" s="17" t="n">
        <f aca="false">IFERROR(VALUE(RIGHT($A1980,2)),"")</f>
        <v>9</v>
      </c>
      <c r="D1980" s="17" t="n">
        <f aca="false">IFERROR(ROUNDUP($C1980/3,0),"")</f>
        <v>3</v>
      </c>
      <c r="E1980" s="11" t="str">
        <f aca="false">TRIM('수출입 실적(품목별)'!B1984)</f>
        <v>53</v>
      </c>
      <c r="F1980" s="11" t="str">
        <f aca="false">TRIM('수출입 실적(품목별)'!C1984)</f>
        <v>그 밖의 식물성 방직용 섬유, 종이실(paper yarn)과 종이실로 만든 직물</v>
      </c>
      <c r="G1980" s="18" t="n">
        <f aca="false">IFERROR(VALUE(SUBSTITUTE(TRIM('수출입 실적(품목별)'!D1984),",","")),"")</f>
        <v>41.3</v>
      </c>
      <c r="H1980" s="19" t="n">
        <f aca="false">IFERROR(VALUE(SUBSTITUTE(TRIM('수출입 실적(품목별)'!E1984),",","")),"")</f>
        <v>654</v>
      </c>
      <c r="I1980" s="18" t="n">
        <f aca="false">IFERROR(VALUE(SUBSTITUTE(TRIM('수출입 실적(품목별)'!F1984),",","")),"")</f>
        <v>1021.9</v>
      </c>
      <c r="J1980" s="19" t="n">
        <f aca="false">IFERROR(VALUE(SUBSTITUTE(TRIM('수출입 실적(품목별)'!G1984),",","")),"")</f>
        <v>3844</v>
      </c>
      <c r="K1980" s="19" t="n">
        <f aca="false">IFERROR(VALUE(SUBSTITUTE(TRIM('수출입 실적(품목별)'!H1984),",","")),"")</f>
        <v>-3190</v>
      </c>
    </row>
    <row r="1981" customFormat="false" ht="15" hidden="false" customHeight="true" outlineLevel="0" collapsed="false">
      <c r="A1981" s="11" t="str">
        <f aca="false">TRIM('수출입 실적(품목별)'!A1985)</f>
        <v>2025.09</v>
      </c>
      <c r="B1981" s="17" t="n">
        <f aca="false">IFERROR(VALUE(LEFT($A1981,4)),"")</f>
        <v>2025</v>
      </c>
      <c r="C1981" s="17" t="n">
        <f aca="false">IFERROR(VALUE(RIGHT($A1981,2)),"")</f>
        <v>9</v>
      </c>
      <c r="D1981" s="17" t="n">
        <f aca="false">IFERROR(ROUNDUP($C1981/3,0),"")</f>
        <v>3</v>
      </c>
      <c r="E1981" s="11" t="str">
        <f aca="false">TRIM('수출입 실적(품목별)'!B1985)</f>
        <v>54</v>
      </c>
      <c r="F1981" s="11" t="str">
        <f aca="false">TRIM('수출입 실적(품목별)'!C1985)</f>
        <v>인조필라멘트, 인조방직용 섬유재료의 스트립(strip)과 이와 유사한 것</v>
      </c>
      <c r="G1981" s="18" t="n">
        <f aca="false">IFERROR(VALUE(SUBSTITUTE(TRIM('수출입 실적(품목별)'!D1985),",","")),"")</f>
        <v>23751.3</v>
      </c>
      <c r="H1981" s="19" t="n">
        <f aca="false">IFERROR(VALUE(SUBSTITUTE(TRIM('수출입 실적(품목별)'!E1985),",","")),"")</f>
        <v>150308</v>
      </c>
      <c r="I1981" s="18" t="n">
        <f aca="false">IFERROR(VALUE(SUBSTITUTE(TRIM('수출입 실적(품목별)'!F1985),",","")),"")</f>
        <v>41766.1</v>
      </c>
      <c r="J1981" s="19" t="n">
        <f aca="false">IFERROR(VALUE(SUBSTITUTE(TRIM('수출입 실적(품목별)'!G1985),",","")),"")</f>
        <v>88139</v>
      </c>
      <c r="K1981" s="19" t="n">
        <f aca="false">IFERROR(VALUE(SUBSTITUTE(TRIM('수출입 실적(품목별)'!H1985),",","")),"")</f>
        <v>62169</v>
      </c>
    </row>
    <row r="1982" customFormat="false" ht="15" hidden="false" customHeight="true" outlineLevel="0" collapsed="false">
      <c r="A1982" s="11" t="str">
        <f aca="false">TRIM('수출입 실적(품목별)'!A1986)</f>
        <v>2025.09</v>
      </c>
      <c r="B1982" s="17" t="n">
        <f aca="false">IFERROR(VALUE(LEFT($A1982,4)),"")</f>
        <v>2025</v>
      </c>
      <c r="C1982" s="17" t="n">
        <f aca="false">IFERROR(VALUE(RIGHT($A1982,2)),"")</f>
        <v>9</v>
      </c>
      <c r="D1982" s="17" t="n">
        <f aca="false">IFERROR(ROUNDUP($C1982/3,0),"")</f>
        <v>3</v>
      </c>
      <c r="E1982" s="11" t="str">
        <f aca="false">TRIM('수출입 실적(품목별)'!B1986)</f>
        <v>55</v>
      </c>
      <c r="F1982" s="11" t="str">
        <f aca="false">TRIM('수출입 실적(품목별)'!C1986)</f>
        <v>인조스테이플섬유</v>
      </c>
      <c r="G1982" s="18" t="n">
        <f aca="false">IFERROR(VALUE(SUBSTITUTE(TRIM('수출입 실적(품목별)'!D1986),",","")),"")</f>
        <v>55978</v>
      </c>
      <c r="H1982" s="19" t="n">
        <f aca="false">IFERROR(VALUE(SUBSTITUTE(TRIM('수출입 실적(품목별)'!E1986),",","")),"")</f>
        <v>100003</v>
      </c>
      <c r="I1982" s="18" t="n">
        <f aca="false">IFERROR(VALUE(SUBSTITUTE(TRIM('수출입 실적(품목별)'!F1986),",","")),"")</f>
        <v>13682.6</v>
      </c>
      <c r="J1982" s="19" t="n">
        <f aca="false">IFERROR(VALUE(SUBSTITUTE(TRIM('수출입 실적(품목별)'!G1986),",","")),"")</f>
        <v>48604</v>
      </c>
      <c r="K1982" s="19" t="n">
        <f aca="false">IFERROR(VALUE(SUBSTITUTE(TRIM('수출입 실적(품목별)'!H1986),",","")),"")</f>
        <v>51399</v>
      </c>
    </row>
    <row r="1983" customFormat="false" ht="15" hidden="false" customHeight="true" outlineLevel="0" collapsed="false">
      <c r="A1983" s="11" t="str">
        <f aca="false">TRIM('수출입 실적(품목별)'!A1987)</f>
        <v>2025.09</v>
      </c>
      <c r="B1983" s="17" t="n">
        <f aca="false">IFERROR(VALUE(LEFT($A1983,4)),"")</f>
        <v>2025</v>
      </c>
      <c r="C1983" s="17" t="n">
        <f aca="false">IFERROR(VALUE(RIGHT($A1983,2)),"")</f>
        <v>9</v>
      </c>
      <c r="D1983" s="17" t="n">
        <f aca="false">IFERROR(ROUNDUP($C1983/3,0),"")</f>
        <v>3</v>
      </c>
      <c r="E1983" s="11" t="str">
        <f aca="false">TRIM('수출입 실적(품목별)'!B1987)</f>
        <v>56</v>
      </c>
      <c r="F1983" s="11" t="str">
        <f aca="false">TRIM('수출입 실적(품목별)'!C1987)</f>
        <v>워딩(wadding)ㆍ펠트(felt)ㆍ부직포, 특수사, 끈ㆍ배의 밧줄(cordage)ㆍ로프ㆍ케이블과 이들의 제품</v>
      </c>
      <c r="G1983" s="18" t="n">
        <f aca="false">IFERROR(VALUE(SUBSTITUTE(TRIM('수출입 실적(품목별)'!D1987),",","")),"")</f>
        <v>12777.7</v>
      </c>
      <c r="H1983" s="19" t="n">
        <f aca="false">IFERROR(VALUE(SUBSTITUTE(TRIM('수출입 실적(품목별)'!E1987),",","")),"")</f>
        <v>73202</v>
      </c>
      <c r="I1983" s="18" t="n">
        <f aca="false">IFERROR(VALUE(SUBSTITUTE(TRIM('수출입 실적(품목별)'!F1987),",","")),"")</f>
        <v>22299.1</v>
      </c>
      <c r="J1983" s="19" t="n">
        <f aca="false">IFERROR(VALUE(SUBSTITUTE(TRIM('수출입 실적(품목별)'!G1987),",","")),"")</f>
        <v>65598</v>
      </c>
      <c r="K1983" s="19" t="n">
        <f aca="false">IFERROR(VALUE(SUBSTITUTE(TRIM('수출입 실적(품목별)'!H1987),",","")),"")</f>
        <v>7604</v>
      </c>
    </row>
    <row r="1984" customFormat="false" ht="15" hidden="false" customHeight="true" outlineLevel="0" collapsed="false">
      <c r="A1984" s="11" t="str">
        <f aca="false">TRIM('수출입 실적(품목별)'!A1988)</f>
        <v>2025.09</v>
      </c>
      <c r="B1984" s="17" t="n">
        <f aca="false">IFERROR(VALUE(LEFT($A1984,4)),"")</f>
        <v>2025</v>
      </c>
      <c r="C1984" s="17" t="n">
        <f aca="false">IFERROR(VALUE(RIGHT($A1984,2)),"")</f>
        <v>9</v>
      </c>
      <c r="D1984" s="17" t="n">
        <f aca="false">IFERROR(ROUNDUP($C1984/3,0),"")</f>
        <v>3</v>
      </c>
      <c r="E1984" s="11" t="str">
        <f aca="false">TRIM('수출입 실적(품목별)'!B1988)</f>
        <v>57</v>
      </c>
      <c r="F1984" s="11" t="str">
        <f aca="false">TRIM('수출입 실적(품목별)'!C1988)</f>
        <v>양탄자류와 그 밖의 방직용 섬유로 만든 바닥깔개</v>
      </c>
      <c r="G1984" s="18" t="n">
        <f aca="false">IFERROR(VALUE(SUBSTITUTE(TRIM('수출입 실적(품목별)'!D1988),",","")),"")</f>
        <v>572.3</v>
      </c>
      <c r="H1984" s="19" t="n">
        <f aca="false">IFERROR(VALUE(SUBSTITUTE(TRIM('수출입 실적(품목별)'!E1988),",","")),"")</f>
        <v>4377</v>
      </c>
      <c r="I1984" s="18" t="n">
        <f aca="false">IFERROR(VALUE(SUBSTITUTE(TRIM('수출입 실적(품목별)'!F1988),",","")),"")</f>
        <v>5248.8</v>
      </c>
      <c r="J1984" s="19" t="n">
        <f aca="false">IFERROR(VALUE(SUBSTITUTE(TRIM('수출입 실적(품목별)'!G1988),",","")),"")</f>
        <v>11005</v>
      </c>
      <c r="K1984" s="19" t="n">
        <f aca="false">IFERROR(VALUE(SUBSTITUTE(TRIM('수출입 실적(품목별)'!H1988),",","")),"")</f>
        <v>-6628</v>
      </c>
    </row>
    <row r="1985" customFormat="false" ht="15" hidden="false" customHeight="true" outlineLevel="0" collapsed="false">
      <c r="A1985" s="11" t="str">
        <f aca="false">TRIM('수출입 실적(품목별)'!A1989)</f>
        <v>2025.09</v>
      </c>
      <c r="B1985" s="17" t="n">
        <f aca="false">IFERROR(VALUE(LEFT($A1985,4)),"")</f>
        <v>2025</v>
      </c>
      <c r="C1985" s="17" t="n">
        <f aca="false">IFERROR(VALUE(RIGHT($A1985,2)),"")</f>
        <v>9</v>
      </c>
      <c r="D1985" s="17" t="n">
        <f aca="false">IFERROR(ROUNDUP($C1985/3,0),"")</f>
        <v>3</v>
      </c>
      <c r="E1985" s="11" t="str">
        <f aca="false">TRIM('수출입 실적(품목별)'!B1989)</f>
        <v>58</v>
      </c>
      <c r="F1985" s="11" t="str">
        <f aca="false">TRIM('수출입 실적(품목별)'!C1989)</f>
        <v>특수직물, 터프트(tuft)한 직물, 레이스, 태피스트리(tapestry), 트리밍(trimming), 자수천</v>
      </c>
      <c r="G1985" s="18" t="n">
        <f aca="false">IFERROR(VALUE(SUBSTITUTE(TRIM('수출입 실적(품목별)'!D1989),",","")),"")</f>
        <v>1410.1</v>
      </c>
      <c r="H1985" s="19" t="n">
        <f aca="false">IFERROR(VALUE(SUBSTITUTE(TRIM('수출입 실적(품목별)'!E1989),",","")),"")</f>
        <v>18316</v>
      </c>
      <c r="I1985" s="18" t="n">
        <f aca="false">IFERROR(VALUE(SUBSTITUTE(TRIM('수출입 실적(품목별)'!F1989),",","")),"")</f>
        <v>1148.2</v>
      </c>
      <c r="J1985" s="19" t="n">
        <f aca="false">IFERROR(VALUE(SUBSTITUTE(TRIM('수출입 실적(품목별)'!G1989),",","")),"")</f>
        <v>7937</v>
      </c>
      <c r="K1985" s="19" t="n">
        <f aca="false">IFERROR(VALUE(SUBSTITUTE(TRIM('수출입 실적(품목별)'!H1989),",","")),"")</f>
        <v>10379</v>
      </c>
    </row>
    <row r="1986" customFormat="false" ht="15" hidden="false" customHeight="true" outlineLevel="0" collapsed="false">
      <c r="A1986" s="11" t="str">
        <f aca="false">TRIM('수출입 실적(품목별)'!A1990)</f>
        <v>2025.09</v>
      </c>
      <c r="B1986" s="17" t="n">
        <f aca="false">IFERROR(VALUE(LEFT($A1986,4)),"")</f>
        <v>2025</v>
      </c>
      <c r="C1986" s="17" t="n">
        <f aca="false">IFERROR(VALUE(RIGHT($A1986,2)),"")</f>
        <v>9</v>
      </c>
      <c r="D1986" s="17" t="n">
        <f aca="false">IFERROR(ROUNDUP($C1986/3,0),"")</f>
        <v>3</v>
      </c>
      <c r="E1986" s="11" t="str">
        <f aca="false">TRIM('수출입 실적(품목별)'!B1990)</f>
        <v>59</v>
      </c>
      <c r="F1986" s="11" t="str">
        <f aca="false">TRIM('수출입 실적(품목별)'!C1990)</f>
        <v>침투ㆍ도포ㆍ피복하거나 적층한 방직용 섬유의 직물, 공업용인 방직용 섬유제품</v>
      </c>
      <c r="G1986" s="18" t="n">
        <f aca="false">IFERROR(VALUE(SUBSTITUTE(TRIM('수출입 실적(품목별)'!D1990),",","")),"")</f>
        <v>9739.9</v>
      </c>
      <c r="H1986" s="19" t="n">
        <f aca="false">IFERROR(VALUE(SUBSTITUTE(TRIM('수출입 실적(품목별)'!E1990),",","")),"")</f>
        <v>106891</v>
      </c>
      <c r="I1986" s="18" t="n">
        <f aca="false">IFERROR(VALUE(SUBSTITUTE(TRIM('수출입 실적(품목별)'!F1990),",","")),"")</f>
        <v>6259.8</v>
      </c>
      <c r="J1986" s="19" t="n">
        <f aca="false">IFERROR(VALUE(SUBSTITUTE(TRIM('수출입 실적(품목별)'!G1990),",","")),"")</f>
        <v>37657</v>
      </c>
      <c r="K1986" s="19" t="n">
        <f aca="false">IFERROR(VALUE(SUBSTITUTE(TRIM('수출입 실적(품목별)'!H1990),",","")),"")</f>
        <v>69234</v>
      </c>
    </row>
    <row r="1987" customFormat="false" ht="15" hidden="false" customHeight="true" outlineLevel="0" collapsed="false">
      <c r="A1987" s="11" t="str">
        <f aca="false">TRIM('수출입 실적(품목별)'!A1991)</f>
        <v>2025.09</v>
      </c>
      <c r="B1987" s="17" t="n">
        <f aca="false">IFERROR(VALUE(LEFT($A1987,4)),"")</f>
        <v>2025</v>
      </c>
      <c r="C1987" s="17" t="n">
        <f aca="false">IFERROR(VALUE(RIGHT($A1987,2)),"")</f>
        <v>9</v>
      </c>
      <c r="D1987" s="17" t="n">
        <f aca="false">IFERROR(ROUNDUP($C1987/3,0),"")</f>
        <v>3</v>
      </c>
      <c r="E1987" s="11" t="str">
        <f aca="false">TRIM('수출입 실적(품목별)'!B1991)</f>
        <v>60</v>
      </c>
      <c r="F1987" s="11" t="str">
        <f aca="false">TRIM('수출입 실적(품목별)'!C1991)</f>
        <v>메리야스 편물과 뜨개질 편물</v>
      </c>
      <c r="G1987" s="18" t="n">
        <f aca="false">IFERROR(VALUE(SUBSTITUTE(TRIM('수출입 실적(품목별)'!D1991),",","")),"")</f>
        <v>16712.2</v>
      </c>
      <c r="H1987" s="19" t="n">
        <f aca="false">IFERROR(VALUE(SUBSTITUTE(TRIM('수출입 실적(품목별)'!E1991),",","")),"")</f>
        <v>128333</v>
      </c>
      <c r="I1987" s="18" t="n">
        <f aca="false">IFERROR(VALUE(SUBSTITUTE(TRIM('수출입 실적(품목별)'!F1991),",","")),"")</f>
        <v>2376.6</v>
      </c>
      <c r="J1987" s="19" t="n">
        <f aca="false">IFERROR(VALUE(SUBSTITUTE(TRIM('수출입 실적(품목별)'!G1991),",","")),"")</f>
        <v>11631</v>
      </c>
      <c r="K1987" s="19" t="n">
        <f aca="false">IFERROR(VALUE(SUBSTITUTE(TRIM('수출입 실적(품목별)'!H1991),",","")),"")</f>
        <v>116702</v>
      </c>
    </row>
    <row r="1988" customFormat="false" ht="15" hidden="false" customHeight="true" outlineLevel="0" collapsed="false">
      <c r="A1988" s="11" t="str">
        <f aca="false">TRIM('수출입 실적(품목별)'!A1992)</f>
        <v>2025.09</v>
      </c>
      <c r="B1988" s="17" t="n">
        <f aca="false">IFERROR(VALUE(LEFT($A1988,4)),"")</f>
        <v>2025</v>
      </c>
      <c r="C1988" s="17" t="n">
        <f aca="false">IFERROR(VALUE(RIGHT($A1988,2)),"")</f>
        <v>9</v>
      </c>
      <c r="D1988" s="17" t="n">
        <f aca="false">IFERROR(ROUNDUP($C1988/3,0),"")</f>
        <v>3</v>
      </c>
      <c r="E1988" s="11" t="str">
        <f aca="false">TRIM('수출입 실적(품목별)'!B1992)</f>
        <v>61</v>
      </c>
      <c r="F1988" s="11" t="str">
        <f aca="false">TRIM('수출입 실적(품목별)'!C1992)</f>
        <v>의류와 그 부속품(메리야스 편물이나 뜨개질 편물로 한정한다)</v>
      </c>
      <c r="G1988" s="18" t="n">
        <f aca="false">IFERROR(VALUE(SUBSTITUTE(TRIM('수출입 실적(품목별)'!D1992),",","")),"")</f>
        <v>2748</v>
      </c>
      <c r="H1988" s="19" t="n">
        <f aca="false">IFERROR(VALUE(SUBSTITUTE(TRIM('수출입 실적(품목별)'!E1992),",","")),"")</f>
        <v>80414</v>
      </c>
      <c r="I1988" s="18" t="n">
        <f aca="false">IFERROR(VALUE(SUBSTITUTE(TRIM('수출입 실적(품목별)'!F1992),",","")),"")</f>
        <v>30601.7</v>
      </c>
      <c r="J1988" s="19" t="n">
        <f aca="false">IFERROR(VALUE(SUBSTITUTE(TRIM('수출입 실적(품목별)'!G1992),",","")),"")</f>
        <v>564006</v>
      </c>
      <c r="K1988" s="19" t="n">
        <f aca="false">IFERROR(VALUE(SUBSTITUTE(TRIM('수출입 실적(품목별)'!H1992),",","")),"")</f>
        <v>-483592</v>
      </c>
    </row>
    <row r="1989" customFormat="false" ht="15" hidden="false" customHeight="true" outlineLevel="0" collapsed="false">
      <c r="A1989" s="11" t="str">
        <f aca="false">TRIM('수출입 실적(품목별)'!A1993)</f>
        <v>2025.09</v>
      </c>
      <c r="B1989" s="17" t="n">
        <f aca="false">IFERROR(VALUE(LEFT($A1989,4)),"")</f>
        <v>2025</v>
      </c>
      <c r="C1989" s="17" t="n">
        <f aca="false">IFERROR(VALUE(RIGHT($A1989,2)),"")</f>
        <v>9</v>
      </c>
      <c r="D1989" s="17" t="n">
        <f aca="false">IFERROR(ROUNDUP($C1989/3,0),"")</f>
        <v>3</v>
      </c>
      <c r="E1989" s="11" t="str">
        <f aca="false">TRIM('수출입 실적(품목별)'!B1993)</f>
        <v>62</v>
      </c>
      <c r="F1989" s="11" t="str">
        <f aca="false">TRIM('수출입 실적(품목별)'!C1993)</f>
        <v>의류와 그 부속품(메리야스 편물이나 뜨개질편물은 제외한다)</v>
      </c>
      <c r="G1989" s="18" t="n">
        <f aca="false">IFERROR(VALUE(SUBSTITUTE(TRIM('수출입 실적(품목별)'!D1993),",","")),"")</f>
        <v>2894.1</v>
      </c>
      <c r="H1989" s="19" t="n">
        <f aca="false">IFERROR(VALUE(SUBSTITUTE(TRIM('수출입 실적(품목별)'!E1993),",","")),"")</f>
        <v>80441</v>
      </c>
      <c r="I1989" s="18" t="n">
        <f aca="false">IFERROR(VALUE(SUBSTITUTE(TRIM('수출입 실적(품목별)'!F1993),",","")),"")</f>
        <v>28242.4</v>
      </c>
      <c r="J1989" s="19" t="n">
        <f aca="false">IFERROR(VALUE(SUBSTITUTE(TRIM('수출입 실적(품목별)'!G1993),",","")),"")</f>
        <v>847107</v>
      </c>
      <c r="K1989" s="19" t="n">
        <f aca="false">IFERROR(VALUE(SUBSTITUTE(TRIM('수출입 실적(품목별)'!H1993),",","")),"")</f>
        <v>-766666</v>
      </c>
    </row>
    <row r="1990" customFormat="false" ht="15" hidden="false" customHeight="true" outlineLevel="0" collapsed="false">
      <c r="A1990" s="11" t="str">
        <f aca="false">TRIM('수출입 실적(품목별)'!A1994)</f>
        <v>2025.09</v>
      </c>
      <c r="B1990" s="17" t="n">
        <f aca="false">IFERROR(VALUE(LEFT($A1990,4)),"")</f>
        <v>2025</v>
      </c>
      <c r="C1990" s="17" t="n">
        <f aca="false">IFERROR(VALUE(RIGHT($A1990,2)),"")</f>
        <v>9</v>
      </c>
      <c r="D1990" s="17" t="n">
        <f aca="false">IFERROR(ROUNDUP($C1990/3,0),"")</f>
        <v>3</v>
      </c>
      <c r="E1990" s="11" t="str">
        <f aca="false">TRIM('수출입 실적(품목별)'!B1994)</f>
        <v>63</v>
      </c>
      <c r="F1990" s="11" t="str">
        <f aca="false">TRIM('수출입 실적(품목별)'!C1994)</f>
        <v>제품으로 된 방직용 섬유의 그 밖의 물품, 세트, 사용하던 의류ㆍ방직용 섬유제품, 넝마</v>
      </c>
      <c r="G1990" s="18" t="n">
        <f aca="false">IFERROR(VALUE(SUBSTITUTE(TRIM('수출입 실적(품목별)'!D1994),",","")),"")</f>
        <v>28269.3</v>
      </c>
      <c r="H1990" s="19" t="n">
        <f aca="false">IFERROR(VALUE(SUBSTITUTE(TRIM('수출입 실적(품목별)'!E1994),",","")),"")</f>
        <v>51848</v>
      </c>
      <c r="I1990" s="18" t="n">
        <f aca="false">IFERROR(VALUE(SUBSTITUTE(TRIM('수출입 실적(품목별)'!F1994),",","")),"")</f>
        <v>28779.9</v>
      </c>
      <c r="J1990" s="19" t="n">
        <f aca="false">IFERROR(VALUE(SUBSTITUTE(TRIM('수출입 실적(품목별)'!G1994),",","")),"")</f>
        <v>129016</v>
      </c>
      <c r="K1990" s="19" t="n">
        <f aca="false">IFERROR(VALUE(SUBSTITUTE(TRIM('수출입 실적(품목별)'!H1994),",","")),"")</f>
        <v>-77168</v>
      </c>
    </row>
    <row r="1991" customFormat="false" ht="15" hidden="false" customHeight="true" outlineLevel="0" collapsed="false">
      <c r="A1991" s="11" t="str">
        <f aca="false">TRIM('수출입 실적(품목별)'!A1995)</f>
        <v>2025.09</v>
      </c>
      <c r="B1991" s="17" t="n">
        <f aca="false">IFERROR(VALUE(LEFT($A1991,4)),"")</f>
        <v>2025</v>
      </c>
      <c r="C1991" s="17" t="n">
        <f aca="false">IFERROR(VALUE(RIGHT($A1991,2)),"")</f>
        <v>9</v>
      </c>
      <c r="D1991" s="17" t="n">
        <f aca="false">IFERROR(ROUNDUP($C1991/3,0),"")</f>
        <v>3</v>
      </c>
      <c r="E1991" s="11" t="str">
        <f aca="false">TRIM('수출입 실적(품목별)'!B1995)</f>
        <v>64</v>
      </c>
      <c r="F1991" s="11" t="str">
        <f aca="false">TRIM('수출입 실적(품목별)'!C1995)</f>
        <v>신발류ㆍ각반과 이와 유사한 것, 이들의 부분품</v>
      </c>
      <c r="G1991" s="18" t="n">
        <f aca="false">IFERROR(VALUE(SUBSTITUTE(TRIM('수출입 실적(품목별)'!D1995),",","")),"")</f>
        <v>1438.7</v>
      </c>
      <c r="H1991" s="19" t="n">
        <f aca="false">IFERROR(VALUE(SUBSTITUTE(TRIM('수출입 실적(품목별)'!E1995),",","")),"")</f>
        <v>33714</v>
      </c>
      <c r="I1991" s="18" t="n">
        <f aca="false">IFERROR(VALUE(SUBSTITUTE(TRIM('수출입 실적(품목별)'!F1995),",","")),"")</f>
        <v>10797.5</v>
      </c>
      <c r="J1991" s="19" t="n">
        <f aca="false">IFERROR(VALUE(SUBSTITUTE(TRIM('수출입 실적(품목별)'!G1995),",","")),"")</f>
        <v>283530</v>
      </c>
      <c r="K1991" s="19" t="n">
        <f aca="false">IFERROR(VALUE(SUBSTITUTE(TRIM('수출입 실적(품목별)'!H1995),",","")),"")</f>
        <v>-249816</v>
      </c>
    </row>
    <row r="1992" customFormat="false" ht="15" hidden="false" customHeight="true" outlineLevel="0" collapsed="false">
      <c r="A1992" s="11" t="str">
        <f aca="false">TRIM('수출입 실적(품목별)'!A1996)</f>
        <v>2025.09</v>
      </c>
      <c r="B1992" s="17" t="n">
        <f aca="false">IFERROR(VALUE(LEFT($A1992,4)),"")</f>
        <v>2025</v>
      </c>
      <c r="C1992" s="17" t="n">
        <f aca="false">IFERROR(VALUE(RIGHT($A1992,2)),"")</f>
        <v>9</v>
      </c>
      <c r="D1992" s="17" t="n">
        <f aca="false">IFERROR(ROUNDUP($C1992/3,0),"")</f>
        <v>3</v>
      </c>
      <c r="E1992" s="11" t="str">
        <f aca="false">TRIM('수출입 실적(품목별)'!B1996)</f>
        <v>65</v>
      </c>
      <c r="F1992" s="11" t="str">
        <f aca="false">TRIM('수출입 실적(품목별)'!C1996)</f>
        <v>모자류와 그 부분품</v>
      </c>
      <c r="G1992" s="18" t="n">
        <f aca="false">IFERROR(VALUE(SUBSTITUTE(TRIM('수출입 실적(품목별)'!D1996),",","")),"")</f>
        <v>271</v>
      </c>
      <c r="H1992" s="19" t="n">
        <f aca="false">IFERROR(VALUE(SUBSTITUTE(TRIM('수출입 실적(품목별)'!E1996),",","")),"")</f>
        <v>10991</v>
      </c>
      <c r="I1992" s="18" t="n">
        <f aca="false">IFERROR(VALUE(SUBSTITUTE(TRIM('수출입 실적(품목별)'!F1996),",","")),"")</f>
        <v>953.3</v>
      </c>
      <c r="J1992" s="19" t="n">
        <f aca="false">IFERROR(VALUE(SUBSTITUTE(TRIM('수출입 실적(품목별)'!G1996),",","")),"")</f>
        <v>28904</v>
      </c>
      <c r="K1992" s="19" t="n">
        <f aca="false">IFERROR(VALUE(SUBSTITUTE(TRIM('수출입 실적(품목별)'!H1996),",","")),"")</f>
        <v>-17913</v>
      </c>
    </row>
    <row r="1993" customFormat="false" ht="15" hidden="false" customHeight="true" outlineLevel="0" collapsed="false">
      <c r="A1993" s="11" t="str">
        <f aca="false">TRIM('수출입 실적(품목별)'!A1997)</f>
        <v>2025.09</v>
      </c>
      <c r="B1993" s="17" t="n">
        <f aca="false">IFERROR(VALUE(LEFT($A1993,4)),"")</f>
        <v>2025</v>
      </c>
      <c r="C1993" s="17" t="n">
        <f aca="false">IFERROR(VALUE(RIGHT($A1993,2)),"")</f>
        <v>9</v>
      </c>
      <c r="D1993" s="17" t="n">
        <f aca="false">IFERROR(ROUNDUP($C1993/3,0),"")</f>
        <v>3</v>
      </c>
      <c r="E1993" s="11" t="str">
        <f aca="false">TRIM('수출입 실적(품목별)'!B1997)</f>
        <v>66</v>
      </c>
      <c r="F1993" s="11" t="str">
        <f aca="false">TRIM('수출입 실적(품목별)'!C1997)</f>
        <v>산류(傘類)ㆍ지팡이ㆍ시트스틱(seat-stick)ㆍ채찍ㆍ승마용 채찍과 이들의 부분품</v>
      </c>
      <c r="G1993" s="18" t="n">
        <f aca="false">IFERROR(VALUE(SUBSTITUTE(TRIM('수출입 실적(품목별)'!D1997),",","")),"")</f>
        <v>10.6</v>
      </c>
      <c r="H1993" s="19" t="n">
        <f aca="false">IFERROR(VALUE(SUBSTITUTE(TRIM('수출입 실적(품목별)'!E1997),",","")),"")</f>
        <v>276</v>
      </c>
      <c r="I1993" s="18" t="n">
        <f aca="false">IFERROR(VALUE(SUBSTITUTE(TRIM('수출입 실적(품목별)'!F1997),",","")),"")</f>
        <v>1494.6</v>
      </c>
      <c r="J1993" s="19" t="n">
        <f aca="false">IFERROR(VALUE(SUBSTITUTE(TRIM('수출입 실적(품목별)'!G1997),",","")),"")</f>
        <v>10068</v>
      </c>
      <c r="K1993" s="19" t="n">
        <f aca="false">IFERROR(VALUE(SUBSTITUTE(TRIM('수출입 실적(품목별)'!H1997),",","")),"")</f>
        <v>-9792</v>
      </c>
    </row>
    <row r="1994" customFormat="false" ht="15" hidden="false" customHeight="true" outlineLevel="0" collapsed="false">
      <c r="A1994" s="11" t="str">
        <f aca="false">TRIM('수출입 실적(품목별)'!A1998)</f>
        <v>2025.09</v>
      </c>
      <c r="B1994" s="17" t="n">
        <f aca="false">IFERROR(VALUE(LEFT($A1994,4)),"")</f>
        <v>2025</v>
      </c>
      <c r="C1994" s="17" t="n">
        <f aca="false">IFERROR(VALUE(RIGHT($A1994,2)),"")</f>
        <v>9</v>
      </c>
      <c r="D1994" s="17" t="n">
        <f aca="false">IFERROR(ROUNDUP($C1994/3,0),"")</f>
        <v>3</v>
      </c>
      <c r="E1994" s="11" t="str">
        <f aca="false">TRIM('수출입 실적(품목별)'!B1998)</f>
        <v>67</v>
      </c>
      <c r="F1994" s="11" t="str">
        <f aca="false">TRIM('수출입 실적(품목별)'!C1998)</f>
        <v>조제 깃털ㆍ솜털과 그 제품, 조화, 사람 머리카락으로 된 제품</v>
      </c>
      <c r="G1994" s="18" t="n">
        <f aca="false">IFERROR(VALUE(SUBSTITUTE(TRIM('수출입 실적(품목별)'!D1998),",","")),"")</f>
        <v>24</v>
      </c>
      <c r="H1994" s="19" t="n">
        <f aca="false">IFERROR(VALUE(SUBSTITUTE(TRIM('수출입 실적(품목별)'!E1998),",","")),"")</f>
        <v>1487</v>
      </c>
      <c r="I1994" s="18" t="n">
        <f aca="false">IFERROR(VALUE(SUBSTITUTE(TRIM('수출입 실적(품목별)'!F1998),",","")),"")</f>
        <v>499.5</v>
      </c>
      <c r="J1994" s="19" t="n">
        <f aca="false">IFERROR(VALUE(SUBSTITUTE(TRIM('수출입 실적(품목별)'!G1998),",","")),"")</f>
        <v>8207</v>
      </c>
      <c r="K1994" s="19" t="n">
        <f aca="false">IFERROR(VALUE(SUBSTITUTE(TRIM('수출입 실적(품목별)'!H1998),",","")),"")</f>
        <v>-6720</v>
      </c>
    </row>
    <row r="1995" customFormat="false" ht="15" hidden="false" customHeight="true" outlineLevel="0" collapsed="false">
      <c r="A1995" s="11" t="str">
        <f aca="false">TRIM('수출입 실적(품목별)'!A1999)</f>
        <v>2025.09</v>
      </c>
      <c r="B1995" s="17" t="n">
        <f aca="false">IFERROR(VALUE(LEFT($A1995,4)),"")</f>
        <v>2025</v>
      </c>
      <c r="C1995" s="17" t="n">
        <f aca="false">IFERROR(VALUE(RIGHT($A1995,2)),"")</f>
        <v>9</v>
      </c>
      <c r="D1995" s="17" t="n">
        <f aca="false">IFERROR(ROUNDUP($C1995/3,0),"")</f>
        <v>3</v>
      </c>
      <c r="E1995" s="11" t="str">
        <f aca="false">TRIM('수출입 실적(품목별)'!B1999)</f>
        <v>68</v>
      </c>
      <c r="F1995" s="11" t="str">
        <f aca="false">TRIM('수출입 실적(품목별)'!C1999)</f>
        <v>돌ㆍ플라스터(plaster)ㆍ시멘트ㆍ석면ㆍ운모나 이와 유사한 재료의 제품</v>
      </c>
      <c r="G1995" s="18" t="n">
        <f aca="false">IFERROR(VALUE(SUBSTITUTE(TRIM('수출입 실적(품목별)'!D1999),",","")),"")</f>
        <v>11925.3</v>
      </c>
      <c r="H1995" s="19" t="n">
        <f aca="false">IFERROR(VALUE(SUBSTITUTE(TRIM('수출입 실적(품목별)'!E1999),",","")),"")</f>
        <v>83194</v>
      </c>
      <c r="I1995" s="18" t="n">
        <f aca="false">IFERROR(VALUE(SUBSTITUTE(TRIM('수출입 실적(품목별)'!F1999),",","")),"")</f>
        <v>178939.1</v>
      </c>
      <c r="J1995" s="19" t="n">
        <f aca="false">IFERROR(VALUE(SUBSTITUTE(TRIM('수출입 실적(품목별)'!G1999),",","")),"")</f>
        <v>124757</v>
      </c>
      <c r="K1995" s="19" t="n">
        <f aca="false">IFERROR(VALUE(SUBSTITUTE(TRIM('수출입 실적(품목별)'!H1999),",","")),"")</f>
        <v>-41563</v>
      </c>
    </row>
    <row r="1996" customFormat="false" ht="15" hidden="false" customHeight="true" outlineLevel="0" collapsed="false">
      <c r="A1996" s="11" t="str">
        <f aca="false">TRIM('수출입 실적(품목별)'!A2000)</f>
        <v>2025.09</v>
      </c>
      <c r="B1996" s="17" t="n">
        <f aca="false">IFERROR(VALUE(LEFT($A1996,4)),"")</f>
        <v>2025</v>
      </c>
      <c r="C1996" s="17" t="n">
        <f aca="false">IFERROR(VALUE(RIGHT($A1996,2)),"")</f>
        <v>9</v>
      </c>
      <c r="D1996" s="17" t="n">
        <f aca="false">IFERROR(ROUNDUP($C1996/3,0),"")</f>
        <v>3</v>
      </c>
      <c r="E1996" s="11" t="str">
        <f aca="false">TRIM('수출입 실적(품목별)'!B2000)</f>
        <v>69</v>
      </c>
      <c r="F1996" s="11" t="str">
        <f aca="false">TRIM('수출입 실적(품목별)'!C2000)</f>
        <v>도자제품</v>
      </c>
      <c r="G1996" s="18" t="n">
        <f aca="false">IFERROR(VALUE(SUBSTITUTE(TRIM('수출입 실적(품목별)'!D2000),",","")),"")</f>
        <v>2472</v>
      </c>
      <c r="H1996" s="19" t="n">
        <f aca="false">IFERROR(VALUE(SUBSTITUTE(TRIM('수출입 실적(품목별)'!E2000),",","")),"")</f>
        <v>31758</v>
      </c>
      <c r="I1996" s="18" t="n">
        <f aca="false">IFERROR(VALUE(SUBSTITUTE(TRIM('수출입 실적(품목별)'!F2000),",","")),"")</f>
        <v>126099.7</v>
      </c>
      <c r="J1996" s="19" t="n">
        <f aca="false">IFERROR(VALUE(SUBSTITUTE(TRIM('수출입 실적(품목별)'!G2000),",","")),"")</f>
        <v>132495</v>
      </c>
      <c r="K1996" s="19" t="n">
        <f aca="false">IFERROR(VALUE(SUBSTITUTE(TRIM('수출입 실적(품목별)'!H2000),",","")),"")</f>
        <v>-100737</v>
      </c>
    </row>
    <row r="1997" customFormat="false" ht="15" hidden="false" customHeight="true" outlineLevel="0" collapsed="false">
      <c r="A1997" s="11" t="str">
        <f aca="false">TRIM('수출입 실적(품목별)'!A2001)</f>
        <v>2025.09</v>
      </c>
      <c r="B1997" s="17" t="n">
        <f aca="false">IFERROR(VALUE(LEFT($A1997,4)),"")</f>
        <v>2025</v>
      </c>
      <c r="C1997" s="17" t="n">
        <f aca="false">IFERROR(VALUE(RIGHT($A1997,2)),"")</f>
        <v>9</v>
      </c>
      <c r="D1997" s="17" t="n">
        <f aca="false">IFERROR(ROUNDUP($C1997/3,0),"")</f>
        <v>3</v>
      </c>
      <c r="E1997" s="11" t="str">
        <f aca="false">TRIM('수출입 실적(품목별)'!B2001)</f>
        <v>70</v>
      </c>
      <c r="F1997" s="11" t="str">
        <f aca="false">TRIM('수출입 실적(품목별)'!C2001)</f>
        <v>유리와 유리제품</v>
      </c>
      <c r="G1997" s="18" t="n">
        <f aca="false">IFERROR(VALUE(SUBSTITUTE(TRIM('수출입 실적(품목별)'!D2001),",","")),"")</f>
        <v>29675.5</v>
      </c>
      <c r="H1997" s="19" t="n">
        <f aca="false">IFERROR(VALUE(SUBSTITUTE(TRIM('수출입 실적(품목별)'!E2001),",","")),"")</f>
        <v>174736</v>
      </c>
      <c r="I1997" s="18" t="n">
        <f aca="false">IFERROR(VALUE(SUBSTITUTE(TRIM('수출입 실적(품목별)'!F2001),",","")),"")</f>
        <v>91670.7</v>
      </c>
      <c r="J1997" s="19" t="n">
        <f aca="false">IFERROR(VALUE(SUBSTITUTE(TRIM('수출입 실적(품목별)'!G2001),",","")),"")</f>
        <v>235725</v>
      </c>
      <c r="K1997" s="19" t="n">
        <f aca="false">IFERROR(VALUE(SUBSTITUTE(TRIM('수출입 실적(품목별)'!H2001),",","")),"")</f>
        <v>-60989</v>
      </c>
    </row>
    <row r="1998" customFormat="false" ht="15" hidden="false" customHeight="true" outlineLevel="0" collapsed="false">
      <c r="A1998" s="11" t="str">
        <f aca="false">TRIM('수출입 실적(품목별)'!A2002)</f>
        <v>2025.09</v>
      </c>
      <c r="B1998" s="17" t="n">
        <f aca="false">IFERROR(VALUE(LEFT($A1998,4)),"")</f>
        <v>2025</v>
      </c>
      <c r="C1998" s="17" t="n">
        <f aca="false">IFERROR(VALUE(RIGHT($A1998,2)),"")</f>
        <v>9</v>
      </c>
      <c r="D1998" s="17" t="n">
        <f aca="false">IFERROR(ROUNDUP($C1998/3,0),"")</f>
        <v>3</v>
      </c>
      <c r="E1998" s="11" t="str">
        <f aca="false">TRIM('수출입 실적(품목별)'!B2002)</f>
        <v>71</v>
      </c>
      <c r="F1998" s="11" t="str">
        <f aca="false">TRIM('수출입 실적(품목별)'!C2002)</f>
        <v>천연진주ㆍ양식진주ㆍ귀석ㆍ반귀석ㆍ귀금속ㆍ귀금속을 입힌 금속과 이들의 제품, 모조 신변장식용품, 주화</v>
      </c>
      <c r="G1998" s="18" t="n">
        <f aca="false">IFERROR(VALUE(SUBSTITUTE(TRIM('수출입 실적(품목별)'!D2002),",","")),"")</f>
        <v>686</v>
      </c>
      <c r="H1998" s="19" t="n">
        <f aca="false">IFERROR(VALUE(SUBSTITUTE(TRIM('수출입 실적(품목별)'!E2002),",","")),"")</f>
        <v>557555</v>
      </c>
      <c r="I1998" s="18" t="n">
        <f aca="false">IFERROR(VALUE(SUBSTITUTE(TRIM('수출입 실적(품목별)'!F2002),",","")),"")</f>
        <v>1440</v>
      </c>
      <c r="J1998" s="19" t="n">
        <f aca="false">IFERROR(VALUE(SUBSTITUTE(TRIM('수출입 실적(품목별)'!G2002),",","")),"")</f>
        <v>1273753</v>
      </c>
      <c r="K1998" s="19" t="n">
        <f aca="false">IFERROR(VALUE(SUBSTITUTE(TRIM('수출입 실적(품목별)'!H2002),",","")),"")</f>
        <v>-716198</v>
      </c>
    </row>
    <row r="1999" customFormat="false" ht="15" hidden="false" customHeight="true" outlineLevel="0" collapsed="false">
      <c r="A1999" s="11" t="str">
        <f aca="false">TRIM('수출입 실적(품목별)'!A2003)</f>
        <v>2025.09</v>
      </c>
      <c r="B1999" s="17" t="n">
        <f aca="false">IFERROR(VALUE(LEFT($A1999,4)),"")</f>
        <v>2025</v>
      </c>
      <c r="C1999" s="17" t="n">
        <f aca="false">IFERROR(VALUE(RIGHT($A1999,2)),"")</f>
        <v>9</v>
      </c>
      <c r="D1999" s="17" t="n">
        <f aca="false">IFERROR(ROUNDUP($C1999/3,0),"")</f>
        <v>3</v>
      </c>
      <c r="E1999" s="11" t="str">
        <f aca="false">TRIM('수출입 실적(품목별)'!B2003)</f>
        <v>72</v>
      </c>
      <c r="F1999" s="11" t="str">
        <f aca="false">TRIM('수출입 실적(품목별)'!C2003)</f>
        <v>철강</v>
      </c>
      <c r="G1999" s="18" t="n">
        <f aca="false">IFERROR(VALUE(SUBSTITUTE(TRIM('수출입 실적(품목별)'!D2003),",","")),"")</f>
        <v>2437247.3</v>
      </c>
      <c r="H1999" s="19" t="n">
        <f aca="false">IFERROR(VALUE(SUBSTITUTE(TRIM('수출입 실적(품목별)'!E2003),",","")),"")</f>
        <v>2014850</v>
      </c>
      <c r="I1999" s="18" t="n">
        <f aca="false">IFERROR(VALUE(SUBSTITUTE(TRIM('수출입 실적(품목별)'!F2003),",","")),"")</f>
        <v>1406163.7</v>
      </c>
      <c r="J1999" s="19" t="n">
        <f aca="false">IFERROR(VALUE(SUBSTITUTE(TRIM('수출입 실적(품목별)'!G2003),",","")),"")</f>
        <v>1101625</v>
      </c>
      <c r="K1999" s="19" t="n">
        <f aca="false">IFERROR(VALUE(SUBSTITUTE(TRIM('수출입 실적(품목별)'!H2003),",","")),"")</f>
        <v>913225</v>
      </c>
    </row>
    <row r="2000" customFormat="false" ht="15" hidden="false" customHeight="true" outlineLevel="0" collapsed="false">
      <c r="A2000" s="11" t="str">
        <f aca="false">TRIM('수출입 실적(품목별)'!A2004)</f>
        <v>2025.09</v>
      </c>
      <c r="B2000" s="17" t="n">
        <f aca="false">IFERROR(VALUE(LEFT($A2000,4)),"")</f>
        <v>2025</v>
      </c>
      <c r="C2000" s="17" t="n">
        <f aca="false">IFERROR(VALUE(RIGHT($A2000,2)),"")</f>
        <v>9</v>
      </c>
      <c r="D2000" s="17" t="n">
        <f aca="false">IFERROR(ROUNDUP($C2000/3,0),"")</f>
        <v>3</v>
      </c>
      <c r="E2000" s="11" t="str">
        <f aca="false">TRIM('수출입 실적(품목별)'!B2004)</f>
        <v>73</v>
      </c>
      <c r="F2000" s="11" t="str">
        <f aca="false">TRIM('수출입 실적(품목별)'!C2004)</f>
        <v>철강의 제품</v>
      </c>
      <c r="G2000" s="18" t="n">
        <f aca="false">IFERROR(VALUE(SUBSTITUTE(TRIM('수출입 실적(품목별)'!D2004),",","")),"")</f>
        <v>255191.7</v>
      </c>
      <c r="H2000" s="19" t="n">
        <f aca="false">IFERROR(VALUE(SUBSTITUTE(TRIM('수출입 실적(품목별)'!E2004),",","")),"")</f>
        <v>736487</v>
      </c>
      <c r="I2000" s="18" t="n">
        <f aca="false">IFERROR(VALUE(SUBSTITUTE(TRIM('수출입 실적(품목별)'!F2004),",","")),"")</f>
        <v>234845.8</v>
      </c>
      <c r="J2000" s="19" t="n">
        <f aca="false">IFERROR(VALUE(SUBSTITUTE(TRIM('수출입 실적(품목별)'!G2004),",","")),"")</f>
        <v>667808</v>
      </c>
      <c r="K2000" s="19" t="n">
        <f aca="false">IFERROR(VALUE(SUBSTITUTE(TRIM('수출입 실적(품목별)'!H2004),",","")),"")</f>
        <v>68679</v>
      </c>
    </row>
    <row r="2001" customFormat="false" ht="15" hidden="false" customHeight="true" outlineLevel="0" collapsed="false">
      <c r="A2001" s="11" t="str">
        <f aca="false">TRIM('수출입 실적(품목별)'!A2005)</f>
        <v>2025.09</v>
      </c>
      <c r="B2001" s="17" t="n">
        <f aca="false">IFERROR(VALUE(LEFT($A2001,4)),"")</f>
        <v>2025</v>
      </c>
      <c r="C2001" s="17" t="n">
        <f aca="false">IFERROR(VALUE(RIGHT($A2001,2)),"")</f>
        <v>9</v>
      </c>
      <c r="D2001" s="17" t="n">
        <f aca="false">IFERROR(ROUNDUP($C2001/3,0),"")</f>
        <v>3</v>
      </c>
      <c r="E2001" s="11" t="str">
        <f aca="false">TRIM('수출입 실적(품목별)'!B2005)</f>
        <v>74</v>
      </c>
      <c r="F2001" s="11" t="str">
        <f aca="false">TRIM('수출입 실적(품목별)'!C2005)</f>
        <v>구리와 그 제품</v>
      </c>
      <c r="G2001" s="18" t="n">
        <f aca="false">IFERROR(VALUE(SUBSTITUTE(TRIM('수출입 실적(품목별)'!D2005),",","")),"")</f>
        <v>60550</v>
      </c>
      <c r="H2001" s="19" t="n">
        <f aca="false">IFERROR(VALUE(SUBSTITUTE(TRIM('수출입 실적(품목별)'!E2005),",","")),"")</f>
        <v>601978</v>
      </c>
      <c r="I2001" s="18" t="n">
        <f aca="false">IFERROR(VALUE(SUBSTITUTE(TRIM('수출입 실적(품목별)'!F2005),",","")),"")</f>
        <v>78075</v>
      </c>
      <c r="J2001" s="19" t="n">
        <f aca="false">IFERROR(VALUE(SUBSTITUTE(TRIM('수출입 실적(품목별)'!G2005),",","")),"")</f>
        <v>776899</v>
      </c>
      <c r="K2001" s="19" t="n">
        <f aca="false">IFERROR(VALUE(SUBSTITUTE(TRIM('수출입 실적(품목별)'!H2005),",","")),"")</f>
        <v>-174921</v>
      </c>
    </row>
    <row r="2002" customFormat="false" ht="15" hidden="false" customHeight="true" outlineLevel="0" collapsed="false">
      <c r="A2002" s="11" t="str">
        <f aca="false">TRIM('수출입 실적(품목별)'!A2006)</f>
        <v>2025.09</v>
      </c>
      <c r="B2002" s="17" t="n">
        <f aca="false">IFERROR(VALUE(LEFT($A2002,4)),"")</f>
        <v>2025</v>
      </c>
      <c r="C2002" s="17" t="n">
        <f aca="false">IFERROR(VALUE(RIGHT($A2002,2)),"")</f>
        <v>9</v>
      </c>
      <c r="D2002" s="17" t="n">
        <f aca="false">IFERROR(ROUNDUP($C2002/3,0),"")</f>
        <v>3</v>
      </c>
      <c r="E2002" s="11" t="str">
        <f aca="false">TRIM('수출입 실적(품목별)'!B2006)</f>
        <v>75</v>
      </c>
      <c r="F2002" s="11" t="str">
        <f aca="false">TRIM('수출입 실적(품목별)'!C2006)</f>
        <v>니켈과 그 제품</v>
      </c>
      <c r="G2002" s="18" t="n">
        <f aca="false">IFERROR(VALUE(SUBSTITUTE(TRIM('수출입 실적(품목별)'!D2006),",","")),"")</f>
        <v>1052.9</v>
      </c>
      <c r="H2002" s="19" t="n">
        <f aca="false">IFERROR(VALUE(SUBSTITUTE(TRIM('수출입 실적(품목별)'!E2006),",","")),"")</f>
        <v>18789</v>
      </c>
      <c r="I2002" s="18" t="n">
        <f aca="false">IFERROR(VALUE(SUBSTITUTE(TRIM('수출입 실적(품목별)'!F2006),",","")),"")</f>
        <v>7100.9</v>
      </c>
      <c r="J2002" s="19" t="n">
        <f aca="false">IFERROR(VALUE(SUBSTITUTE(TRIM('수출입 실적(품목별)'!G2006),",","")),"")</f>
        <v>130079</v>
      </c>
      <c r="K2002" s="19" t="n">
        <f aca="false">IFERROR(VALUE(SUBSTITUTE(TRIM('수출입 실적(품목별)'!H2006),",","")),"")</f>
        <v>-111289</v>
      </c>
    </row>
    <row r="2003" customFormat="false" ht="15" hidden="false" customHeight="true" outlineLevel="0" collapsed="false">
      <c r="A2003" s="11" t="str">
        <f aca="false">TRIM('수출입 실적(품목별)'!A2007)</f>
        <v>2025.09</v>
      </c>
      <c r="B2003" s="17" t="n">
        <f aca="false">IFERROR(VALUE(LEFT($A2003,4)),"")</f>
        <v>2025</v>
      </c>
      <c r="C2003" s="17" t="n">
        <f aca="false">IFERROR(VALUE(RIGHT($A2003,2)),"")</f>
        <v>9</v>
      </c>
      <c r="D2003" s="17" t="n">
        <f aca="false">IFERROR(ROUNDUP($C2003/3,0),"")</f>
        <v>3</v>
      </c>
      <c r="E2003" s="11" t="str">
        <f aca="false">TRIM('수출입 실적(품목별)'!B2007)</f>
        <v>76</v>
      </c>
      <c r="F2003" s="11" t="str">
        <f aca="false">TRIM('수출입 실적(품목별)'!C2007)</f>
        <v>알루미늄과 그 제품</v>
      </c>
      <c r="G2003" s="18" t="n">
        <f aca="false">IFERROR(VALUE(SUBSTITUTE(TRIM('수출입 실적(품목별)'!D2007),",","")),"")</f>
        <v>118207.4</v>
      </c>
      <c r="H2003" s="19" t="n">
        <f aca="false">IFERROR(VALUE(SUBSTITUTE(TRIM('수출입 실적(품목별)'!E2007),",","")),"")</f>
        <v>477281</v>
      </c>
      <c r="I2003" s="18" t="n">
        <f aca="false">IFERROR(VALUE(SUBSTITUTE(TRIM('수출입 실적(품목별)'!F2007),",","")),"")</f>
        <v>261817.3</v>
      </c>
      <c r="J2003" s="19" t="n">
        <f aca="false">IFERROR(VALUE(SUBSTITUTE(TRIM('수출입 실적(품목별)'!G2007),",","")),"")</f>
        <v>800578</v>
      </c>
      <c r="K2003" s="19" t="n">
        <f aca="false">IFERROR(VALUE(SUBSTITUTE(TRIM('수출입 실적(품목별)'!H2007),",","")),"")</f>
        <v>-323297</v>
      </c>
    </row>
    <row r="2004" customFormat="false" ht="15" hidden="false" customHeight="true" outlineLevel="0" collapsed="false">
      <c r="A2004" s="11" t="str">
        <f aca="false">TRIM('수출입 실적(품목별)'!A2008)</f>
        <v>2025.09</v>
      </c>
      <c r="B2004" s="17" t="n">
        <f aca="false">IFERROR(VALUE(LEFT($A2004,4)),"")</f>
        <v>2025</v>
      </c>
      <c r="C2004" s="17" t="n">
        <f aca="false">IFERROR(VALUE(RIGHT($A2004,2)),"")</f>
        <v>9</v>
      </c>
      <c r="D2004" s="17" t="n">
        <f aca="false">IFERROR(ROUNDUP($C2004/3,0),"")</f>
        <v>3</v>
      </c>
      <c r="E2004" s="11" t="str">
        <f aca="false">TRIM('수출입 실적(품목별)'!B2008)</f>
        <v>78</v>
      </c>
      <c r="F2004" s="11" t="str">
        <f aca="false">TRIM('수출입 실적(품목별)'!C2008)</f>
        <v>납과 그 제품</v>
      </c>
      <c r="G2004" s="18" t="n">
        <f aca="false">IFERROR(VALUE(SUBSTITUTE(TRIM('수출입 실적(품목별)'!D2008),",","")),"")</f>
        <v>28807.5</v>
      </c>
      <c r="H2004" s="19" t="n">
        <f aca="false">IFERROR(VALUE(SUBSTITUTE(TRIM('수출입 실적(품목별)'!E2008),",","")),"")</f>
        <v>63388</v>
      </c>
      <c r="I2004" s="18" t="n">
        <f aca="false">IFERROR(VALUE(SUBSTITUTE(TRIM('수출입 실적(품목별)'!F2008),",","")),"")</f>
        <v>18653.8</v>
      </c>
      <c r="J2004" s="19" t="n">
        <f aca="false">IFERROR(VALUE(SUBSTITUTE(TRIM('수출입 실적(품목별)'!G2008),",","")),"")</f>
        <v>42666</v>
      </c>
      <c r="K2004" s="19" t="n">
        <f aca="false">IFERROR(VALUE(SUBSTITUTE(TRIM('수출입 실적(품목별)'!H2008),",","")),"")</f>
        <v>20722</v>
      </c>
    </row>
    <row r="2005" customFormat="false" ht="15" hidden="false" customHeight="true" outlineLevel="0" collapsed="false">
      <c r="A2005" s="11" t="str">
        <f aca="false">TRIM('수출입 실적(품목별)'!A2009)</f>
        <v>2025.09</v>
      </c>
      <c r="B2005" s="17" t="n">
        <f aca="false">IFERROR(VALUE(LEFT($A2005,4)),"")</f>
        <v>2025</v>
      </c>
      <c r="C2005" s="17" t="n">
        <f aca="false">IFERROR(VALUE(RIGHT($A2005,2)),"")</f>
        <v>9</v>
      </c>
      <c r="D2005" s="17" t="n">
        <f aca="false">IFERROR(ROUNDUP($C2005/3,0),"")</f>
        <v>3</v>
      </c>
      <c r="E2005" s="11" t="str">
        <f aca="false">TRIM('수출입 실적(품목별)'!B2009)</f>
        <v>79</v>
      </c>
      <c r="F2005" s="11" t="str">
        <f aca="false">TRIM('수출입 실적(품목별)'!C2009)</f>
        <v>아연과 그 제품</v>
      </c>
      <c r="G2005" s="18" t="n">
        <f aca="false">IFERROR(VALUE(SUBSTITUTE(TRIM('수출입 실적(품목별)'!D2009),",","")),"")</f>
        <v>33322.4</v>
      </c>
      <c r="H2005" s="19" t="n">
        <f aca="false">IFERROR(VALUE(SUBSTITUTE(TRIM('수출입 실적(품목별)'!E2009),",","")),"")</f>
        <v>100540</v>
      </c>
      <c r="I2005" s="18" t="n">
        <f aca="false">IFERROR(VALUE(SUBSTITUTE(TRIM('수출입 실적(품목별)'!F2009),",","")),"")</f>
        <v>2248.1</v>
      </c>
      <c r="J2005" s="19" t="n">
        <f aca="false">IFERROR(VALUE(SUBSTITUTE(TRIM('수출입 실적(품목별)'!G2009),",","")),"")</f>
        <v>13934</v>
      </c>
      <c r="K2005" s="19" t="n">
        <f aca="false">IFERROR(VALUE(SUBSTITUTE(TRIM('수출입 실적(품목별)'!H2009),",","")),"")</f>
        <v>86606</v>
      </c>
    </row>
    <row r="2006" customFormat="false" ht="15" hidden="false" customHeight="true" outlineLevel="0" collapsed="false">
      <c r="A2006" s="11" t="str">
        <f aca="false">TRIM('수출입 실적(품목별)'!A2010)</f>
        <v>2025.09</v>
      </c>
      <c r="B2006" s="17" t="n">
        <f aca="false">IFERROR(VALUE(LEFT($A2006,4)),"")</f>
        <v>2025</v>
      </c>
      <c r="C2006" s="17" t="n">
        <f aca="false">IFERROR(VALUE(RIGHT($A2006,2)),"")</f>
        <v>9</v>
      </c>
      <c r="D2006" s="17" t="n">
        <f aca="false">IFERROR(ROUNDUP($C2006/3,0),"")</f>
        <v>3</v>
      </c>
      <c r="E2006" s="11" t="str">
        <f aca="false">TRIM('수출입 실적(품목별)'!B2010)</f>
        <v>80</v>
      </c>
      <c r="F2006" s="11" t="str">
        <f aca="false">TRIM('수출입 실적(품목별)'!C2010)</f>
        <v>주석과 그 제품</v>
      </c>
      <c r="G2006" s="18" t="n">
        <f aca="false">IFERROR(VALUE(SUBSTITUTE(TRIM('수출입 실적(품목별)'!D2010),",","")),"")</f>
        <v>163.2</v>
      </c>
      <c r="H2006" s="19" t="n">
        <f aca="false">IFERROR(VALUE(SUBSTITUTE(TRIM('수출입 실적(품목별)'!E2010),",","")),"")</f>
        <v>7141</v>
      </c>
      <c r="I2006" s="18" t="n">
        <f aca="false">IFERROR(VALUE(SUBSTITUTE(TRIM('수출입 실적(품목별)'!F2010),",","")),"")</f>
        <v>1043.8</v>
      </c>
      <c r="J2006" s="19" t="n">
        <f aca="false">IFERROR(VALUE(SUBSTITUTE(TRIM('수출입 실적(품목별)'!G2010),",","")),"")</f>
        <v>37589</v>
      </c>
      <c r="K2006" s="19" t="n">
        <f aca="false">IFERROR(VALUE(SUBSTITUTE(TRIM('수출입 실적(품목별)'!H2010),",","")),"")</f>
        <v>-30448</v>
      </c>
    </row>
    <row r="2007" customFormat="false" ht="15" hidden="false" customHeight="true" outlineLevel="0" collapsed="false">
      <c r="A2007" s="11" t="str">
        <f aca="false">TRIM('수출입 실적(품목별)'!A2011)</f>
        <v>2025.09</v>
      </c>
      <c r="B2007" s="17" t="n">
        <f aca="false">IFERROR(VALUE(LEFT($A2007,4)),"")</f>
        <v>2025</v>
      </c>
      <c r="C2007" s="17" t="n">
        <f aca="false">IFERROR(VALUE(RIGHT($A2007,2)),"")</f>
        <v>9</v>
      </c>
      <c r="D2007" s="17" t="n">
        <f aca="false">IFERROR(ROUNDUP($C2007/3,0),"")</f>
        <v>3</v>
      </c>
      <c r="E2007" s="11" t="str">
        <f aca="false">TRIM('수출입 실적(품목별)'!B2011)</f>
        <v>81</v>
      </c>
      <c r="F2007" s="11" t="str">
        <f aca="false">TRIM('수출입 실적(품목별)'!C2011)</f>
        <v>그 밖의 비금속(卑金屬), 서멧(cermet), 이들의 제품</v>
      </c>
      <c r="G2007" s="18" t="n">
        <f aca="false">IFERROR(VALUE(SUBSTITUTE(TRIM('수출입 실적(품목별)'!D2011),",","")),"")</f>
        <v>2311.7</v>
      </c>
      <c r="H2007" s="19" t="n">
        <f aca="false">IFERROR(VALUE(SUBSTITUTE(TRIM('수출입 실적(품목별)'!E2011),",","")),"")</f>
        <v>41523</v>
      </c>
      <c r="I2007" s="18" t="n">
        <f aca="false">IFERROR(VALUE(SUBSTITUTE(TRIM('수출입 실적(품목별)'!F2011),",","")),"")</f>
        <v>12911</v>
      </c>
      <c r="J2007" s="19" t="n">
        <f aca="false">IFERROR(VALUE(SUBSTITUTE(TRIM('수출입 실적(품목별)'!G2011),",","")),"")</f>
        <v>120061</v>
      </c>
      <c r="K2007" s="19" t="n">
        <f aca="false">IFERROR(VALUE(SUBSTITUTE(TRIM('수출입 실적(품목별)'!H2011),",","")),"")</f>
        <v>-78538</v>
      </c>
    </row>
    <row r="2008" customFormat="false" ht="15" hidden="false" customHeight="true" outlineLevel="0" collapsed="false">
      <c r="A2008" s="11" t="str">
        <f aca="false">TRIM('수출입 실적(품목별)'!A2012)</f>
        <v>2025.09</v>
      </c>
      <c r="B2008" s="17" t="n">
        <f aca="false">IFERROR(VALUE(LEFT($A2008,4)),"")</f>
        <v>2025</v>
      </c>
      <c r="C2008" s="17" t="n">
        <f aca="false">IFERROR(VALUE(RIGHT($A2008,2)),"")</f>
        <v>9</v>
      </c>
      <c r="D2008" s="17" t="n">
        <f aca="false">IFERROR(ROUNDUP($C2008/3,0),"")</f>
        <v>3</v>
      </c>
      <c r="E2008" s="11" t="str">
        <f aca="false">TRIM('수출입 실적(품목별)'!B2012)</f>
        <v>82</v>
      </c>
      <c r="F2008" s="11" t="str">
        <f aca="false">TRIM('수출입 실적(품목별)'!C2012)</f>
        <v>비금속(卑金屬)으로 만든 공구ㆍ도구ㆍ칼붙이ㆍ스푼ㆍ포크, 이들의 부분품</v>
      </c>
      <c r="G2008" s="18" t="n">
        <f aca="false">IFERROR(VALUE(SUBSTITUTE(TRIM('수출입 실적(품목별)'!D2012),",","")),"")</f>
        <v>7359.1</v>
      </c>
      <c r="H2008" s="19" t="n">
        <f aca="false">IFERROR(VALUE(SUBSTITUTE(TRIM('수출입 실적(품목별)'!E2012),",","")),"")</f>
        <v>144874</v>
      </c>
      <c r="I2008" s="18" t="n">
        <f aca="false">IFERROR(VALUE(SUBSTITUTE(TRIM('수출입 실적(품목별)'!F2012),",","")),"")</f>
        <v>5254.1</v>
      </c>
      <c r="J2008" s="19" t="n">
        <f aca="false">IFERROR(VALUE(SUBSTITUTE(TRIM('수출입 실적(품목별)'!G2012),",","")),"")</f>
        <v>92630</v>
      </c>
      <c r="K2008" s="19" t="n">
        <f aca="false">IFERROR(VALUE(SUBSTITUTE(TRIM('수출입 실적(품목별)'!H2012),",","")),"")</f>
        <v>52244</v>
      </c>
    </row>
    <row r="2009" customFormat="false" ht="15" hidden="false" customHeight="true" outlineLevel="0" collapsed="false">
      <c r="A2009" s="11" t="str">
        <f aca="false">TRIM('수출입 실적(품목별)'!A2013)</f>
        <v>2025.09</v>
      </c>
      <c r="B2009" s="17" t="n">
        <f aca="false">IFERROR(VALUE(LEFT($A2009,4)),"")</f>
        <v>2025</v>
      </c>
      <c r="C2009" s="17" t="n">
        <f aca="false">IFERROR(VALUE(RIGHT($A2009,2)),"")</f>
        <v>9</v>
      </c>
      <c r="D2009" s="17" t="n">
        <f aca="false">IFERROR(ROUNDUP($C2009/3,0),"")</f>
        <v>3</v>
      </c>
      <c r="E2009" s="11" t="str">
        <f aca="false">TRIM('수출입 실적(품목별)'!B2013)</f>
        <v>83</v>
      </c>
      <c r="F2009" s="11" t="str">
        <f aca="false">TRIM('수출입 실적(품목별)'!C2013)</f>
        <v>비금속(卑金屬)으로 만든 각종 제품</v>
      </c>
      <c r="G2009" s="18" t="n">
        <f aca="false">IFERROR(VALUE(SUBSTITUTE(TRIM('수출입 실적(품목별)'!D2013),",","")),"")</f>
        <v>24737.6</v>
      </c>
      <c r="H2009" s="19" t="n">
        <f aca="false">IFERROR(VALUE(SUBSTITUTE(TRIM('수출입 실적(품목별)'!E2013),",","")),"")</f>
        <v>150192</v>
      </c>
      <c r="I2009" s="18" t="n">
        <f aca="false">IFERROR(VALUE(SUBSTITUTE(TRIM('수출입 실적(품목별)'!F2013),",","")),"")</f>
        <v>11363.2</v>
      </c>
      <c r="J2009" s="19" t="n">
        <f aca="false">IFERROR(VALUE(SUBSTITUTE(TRIM('수출입 실적(품목별)'!G2013),",","")),"")</f>
        <v>84717</v>
      </c>
      <c r="K2009" s="19" t="n">
        <f aca="false">IFERROR(VALUE(SUBSTITUTE(TRIM('수출입 실적(품목별)'!H2013),",","")),"")</f>
        <v>65475</v>
      </c>
    </row>
    <row r="2010" customFormat="false" ht="15" hidden="false" customHeight="true" outlineLevel="0" collapsed="false">
      <c r="A2010" s="11" t="str">
        <f aca="false">TRIM('수출입 실적(품목별)'!A2014)</f>
        <v>2025.09</v>
      </c>
      <c r="B2010" s="17" t="n">
        <f aca="false">IFERROR(VALUE(LEFT($A2010,4)),"")</f>
        <v>2025</v>
      </c>
      <c r="C2010" s="17" t="n">
        <f aca="false">IFERROR(VALUE(RIGHT($A2010,2)),"")</f>
        <v>9</v>
      </c>
      <c r="D2010" s="17" t="n">
        <f aca="false">IFERROR(ROUNDUP($C2010/3,0),"")</f>
        <v>3</v>
      </c>
      <c r="E2010" s="11" t="str">
        <f aca="false">TRIM('수출입 실적(품목별)'!B2014)</f>
        <v>84</v>
      </c>
      <c r="F2010" s="11" t="str">
        <f aca="false">TRIM('수출입 실적(품목별)'!C2014)</f>
        <v>원자로ㆍ보일러ㆍ기계류와 이들의 부분품</v>
      </c>
      <c r="G2010" s="18" t="n">
        <f aca="false">IFERROR(VALUE(SUBSTITUTE(TRIM('수출입 실적(품목별)'!D2014),",","")),"")</f>
        <v>409751.5</v>
      </c>
      <c r="H2010" s="19" t="n">
        <f aca="false">IFERROR(VALUE(SUBSTITUTE(TRIM('수출입 실적(품목별)'!E2014),",","")),"")</f>
        <v>7805028</v>
      </c>
      <c r="I2010" s="18" t="n">
        <f aca="false">IFERROR(VALUE(SUBSTITUTE(TRIM('수출입 실적(품목별)'!F2014),",","")),"")</f>
        <v>224738.2</v>
      </c>
      <c r="J2010" s="19" t="n">
        <f aca="false">IFERROR(VALUE(SUBSTITUTE(TRIM('수출입 실적(품목별)'!G2014),",","")),"")</f>
        <v>7176274</v>
      </c>
      <c r="K2010" s="19" t="n">
        <f aca="false">IFERROR(VALUE(SUBSTITUTE(TRIM('수출입 실적(품목별)'!H2014),",","")),"")</f>
        <v>628755</v>
      </c>
    </row>
    <row r="2011" customFormat="false" ht="15" hidden="false" customHeight="true" outlineLevel="0" collapsed="false">
      <c r="A2011" s="11" t="str">
        <f aca="false">TRIM('수출입 실적(품목별)'!A2015)</f>
        <v>2025.09</v>
      </c>
      <c r="B2011" s="17" t="n">
        <f aca="false">IFERROR(VALUE(LEFT($A2011,4)),"")</f>
        <v>2025</v>
      </c>
      <c r="C2011" s="17" t="n">
        <f aca="false">IFERROR(VALUE(RIGHT($A2011,2)),"")</f>
        <v>9</v>
      </c>
      <c r="D2011" s="17" t="n">
        <f aca="false">IFERROR(ROUNDUP($C2011/3,0),"")</f>
        <v>3</v>
      </c>
      <c r="E2011" s="11" t="str">
        <f aca="false">TRIM('수출입 실적(품목별)'!B2015)</f>
        <v>85</v>
      </c>
      <c r="F2011" s="11" t="str">
        <f aca="false">TRIM('수출입 실적(품목별)'!C2015)</f>
        <v>전기기기와 그 부분품, 녹음기ㆍ음성 재생기ㆍ텔레비전의 영상과 음성의 기록기ㆍ재생기와 이들의 부분품ㆍ부속품</v>
      </c>
      <c r="G2011" s="18" t="n">
        <f aca="false">IFERROR(VALUE(SUBSTITUTE(TRIM('수출입 실적(품목별)'!D2015),",","")),"")</f>
        <v>240501.7</v>
      </c>
      <c r="H2011" s="19" t="n">
        <f aca="false">IFERROR(VALUE(SUBSTITUTE(TRIM('수출입 실적(품목별)'!E2015),",","")),"")</f>
        <v>22344339</v>
      </c>
      <c r="I2011" s="18" t="n">
        <f aca="false">IFERROR(VALUE(SUBSTITUTE(TRIM('수출입 실적(품목별)'!F2015),",","")),"")</f>
        <v>213651.8</v>
      </c>
      <c r="J2011" s="19" t="n">
        <f aca="false">IFERROR(VALUE(SUBSTITUTE(TRIM('수출입 실적(품목별)'!G2015),",","")),"")</f>
        <v>11447018</v>
      </c>
      <c r="K2011" s="19" t="n">
        <f aca="false">IFERROR(VALUE(SUBSTITUTE(TRIM('수출입 실적(품목별)'!H2015),",","")),"")</f>
        <v>10897321</v>
      </c>
    </row>
    <row r="2012" customFormat="false" ht="15" hidden="false" customHeight="true" outlineLevel="0" collapsed="false">
      <c r="A2012" s="11" t="str">
        <f aca="false">TRIM('수출입 실적(품목별)'!A2016)</f>
        <v>2025.09</v>
      </c>
      <c r="B2012" s="17" t="n">
        <f aca="false">IFERROR(VALUE(LEFT($A2012,4)),"")</f>
        <v>2025</v>
      </c>
      <c r="C2012" s="17" t="n">
        <f aca="false">IFERROR(VALUE(RIGHT($A2012,2)),"")</f>
        <v>9</v>
      </c>
      <c r="D2012" s="17" t="n">
        <f aca="false">IFERROR(ROUNDUP($C2012/3,0),"")</f>
        <v>3</v>
      </c>
      <c r="E2012" s="11" t="str">
        <f aca="false">TRIM('수출입 실적(품목별)'!B2016)</f>
        <v>86</v>
      </c>
      <c r="F2012" s="11" t="str">
        <f aca="false">TRIM('수출입 실적(품목별)'!C2016)</f>
        <v>철도용이나 궤도용 기관차ㆍ차량과 이들의 부분품, 철도용이나 궤도용 장비품과 그 부분품, 기계식(전기기계식을 포함한다) 각종 교통신호용 기기</v>
      </c>
      <c r="G2012" s="18" t="n">
        <f aca="false">IFERROR(VALUE(SUBSTITUTE(TRIM('수출입 실적(품목별)'!D2016),",","")),"")</f>
        <v>12472.6</v>
      </c>
      <c r="H2012" s="19" t="n">
        <f aca="false">IFERROR(VALUE(SUBSTITUTE(TRIM('수출입 실적(품목별)'!E2016),",","")),"")</f>
        <v>65194</v>
      </c>
      <c r="I2012" s="18" t="n">
        <f aca="false">IFERROR(VALUE(SUBSTITUTE(TRIM('수출입 실적(품목별)'!F2016),",","")),"")</f>
        <v>12012.6</v>
      </c>
      <c r="J2012" s="19" t="n">
        <f aca="false">IFERROR(VALUE(SUBSTITUTE(TRIM('수출입 실적(품목별)'!G2016),",","")),"")</f>
        <v>47180</v>
      </c>
      <c r="K2012" s="19" t="n">
        <f aca="false">IFERROR(VALUE(SUBSTITUTE(TRIM('수출입 실적(품목별)'!H2016),",","")),"")</f>
        <v>18014</v>
      </c>
    </row>
    <row r="2013" customFormat="false" ht="15" hidden="false" customHeight="true" outlineLevel="0" collapsed="false">
      <c r="A2013" s="11" t="str">
        <f aca="false">TRIM('수출입 실적(품목별)'!A2017)</f>
        <v>2025.09</v>
      </c>
      <c r="B2013" s="17" t="n">
        <f aca="false">IFERROR(VALUE(LEFT($A2013,4)),"")</f>
        <v>2025</v>
      </c>
      <c r="C2013" s="17" t="n">
        <f aca="false">IFERROR(VALUE(RIGHT($A2013,2)),"")</f>
        <v>9</v>
      </c>
      <c r="D2013" s="17" t="n">
        <f aca="false">IFERROR(ROUNDUP($C2013/3,0),"")</f>
        <v>3</v>
      </c>
      <c r="E2013" s="11" t="str">
        <f aca="false">TRIM('수출입 실적(품목별)'!B2017)</f>
        <v>87</v>
      </c>
      <c r="F2013" s="11" t="str">
        <f aca="false">TRIM('수출입 실적(품목별)'!C2017)</f>
        <v>철도용이나 궤도용 외의 차량과 그 부분품ㆍ부속품</v>
      </c>
      <c r="G2013" s="18" t="n">
        <f aca="false">IFERROR(VALUE(SUBSTITUTE(TRIM('수출입 실적(품목별)'!D2017),",","")),"")</f>
        <v>773158.8</v>
      </c>
      <c r="H2013" s="19" t="n">
        <f aca="false">IFERROR(VALUE(SUBSTITUTE(TRIM('수출입 실적(품목별)'!E2017),",","")),"")</f>
        <v>8461889</v>
      </c>
      <c r="I2013" s="18" t="n">
        <f aca="false">IFERROR(VALUE(SUBSTITUTE(TRIM('수출입 실적(품목별)'!F2017),",","")),"")</f>
        <v>116161.5</v>
      </c>
      <c r="J2013" s="19" t="n">
        <f aca="false">IFERROR(VALUE(SUBSTITUTE(TRIM('수출입 실적(품목별)'!G2017),",","")),"")</f>
        <v>1864841</v>
      </c>
      <c r="K2013" s="19" t="n">
        <f aca="false">IFERROR(VALUE(SUBSTITUTE(TRIM('수출입 실적(품목별)'!H2017),",","")),"")</f>
        <v>6597048</v>
      </c>
    </row>
    <row r="2014" customFormat="false" ht="15" hidden="false" customHeight="true" outlineLevel="0" collapsed="false">
      <c r="A2014" s="11" t="str">
        <f aca="false">TRIM('수출입 실적(품목별)'!A2018)</f>
        <v>2025.09</v>
      </c>
      <c r="B2014" s="17" t="n">
        <f aca="false">IFERROR(VALUE(LEFT($A2014,4)),"")</f>
        <v>2025</v>
      </c>
      <c r="C2014" s="17" t="n">
        <f aca="false">IFERROR(VALUE(RIGHT($A2014,2)),"")</f>
        <v>9</v>
      </c>
      <c r="D2014" s="17" t="n">
        <f aca="false">IFERROR(ROUNDUP($C2014/3,0),"")</f>
        <v>3</v>
      </c>
      <c r="E2014" s="11" t="str">
        <f aca="false">TRIM('수출입 실적(품목별)'!B2018)</f>
        <v>88</v>
      </c>
      <c r="F2014" s="11" t="str">
        <f aca="false">TRIM('수출입 실적(품목별)'!C2018)</f>
        <v>항공기와 우주선, 이들의 부분품</v>
      </c>
      <c r="G2014" s="18" t="n">
        <f aca="false">IFERROR(VALUE(SUBSTITUTE(TRIM('수출입 실적(품목별)'!D2018),",","")),"")</f>
        <v>530.1</v>
      </c>
      <c r="H2014" s="19" t="n">
        <f aca="false">IFERROR(VALUE(SUBSTITUTE(TRIM('수출입 실적(품목별)'!E2018),",","")),"")</f>
        <v>270248</v>
      </c>
      <c r="I2014" s="18" t="n">
        <f aca="false">IFERROR(VALUE(SUBSTITUTE(TRIM('수출입 실적(품목별)'!F2018),",","")),"")</f>
        <v>319.8</v>
      </c>
      <c r="J2014" s="19" t="n">
        <f aca="false">IFERROR(VALUE(SUBSTITUTE(TRIM('수출입 실적(품목별)'!G2018),",","")),"")</f>
        <v>233264</v>
      </c>
      <c r="K2014" s="19" t="n">
        <f aca="false">IFERROR(VALUE(SUBSTITUTE(TRIM('수출입 실적(품목별)'!H2018),",","")),"")</f>
        <v>36985</v>
      </c>
    </row>
    <row r="2015" customFormat="false" ht="15" hidden="false" customHeight="true" outlineLevel="0" collapsed="false">
      <c r="A2015" s="11" t="str">
        <f aca="false">TRIM('수출입 실적(품목별)'!A2019)</f>
        <v>2025.09</v>
      </c>
      <c r="B2015" s="17" t="n">
        <f aca="false">IFERROR(VALUE(LEFT($A2015,4)),"")</f>
        <v>2025</v>
      </c>
      <c r="C2015" s="17" t="n">
        <f aca="false">IFERROR(VALUE(RIGHT($A2015,2)),"")</f>
        <v>9</v>
      </c>
      <c r="D2015" s="17" t="n">
        <f aca="false">IFERROR(ROUNDUP($C2015/3,0),"")</f>
        <v>3</v>
      </c>
      <c r="E2015" s="11" t="str">
        <f aca="false">TRIM('수출입 실적(품목별)'!B2019)</f>
        <v>89</v>
      </c>
      <c r="F2015" s="11" t="str">
        <f aca="false">TRIM('수출입 실적(품목별)'!C2019)</f>
        <v>선박과 수상 구조물</v>
      </c>
      <c r="G2015" s="18" t="n">
        <f aca="false">IFERROR(VALUE(SUBSTITUTE(TRIM('수출입 실적(품목별)'!D2019),",","")),"")</f>
        <v>1048848.3</v>
      </c>
      <c r="H2015" s="19" t="n">
        <f aca="false">IFERROR(VALUE(SUBSTITUTE(TRIM('수출입 실적(품목별)'!E2019),",","")),"")</f>
        <v>2724561</v>
      </c>
      <c r="I2015" s="18" t="n">
        <f aca="false">IFERROR(VALUE(SUBSTITUTE(TRIM('수출입 실적(품목별)'!F2019),",","")),"")</f>
        <v>197357.1</v>
      </c>
      <c r="J2015" s="19" t="n">
        <f aca="false">IFERROR(VALUE(SUBSTITUTE(TRIM('수출입 실적(품목별)'!G2019),",","")),"")</f>
        <v>342447</v>
      </c>
      <c r="K2015" s="19" t="n">
        <f aca="false">IFERROR(VALUE(SUBSTITUTE(TRIM('수출입 실적(품목별)'!H2019),",","")),"")</f>
        <v>2382114</v>
      </c>
    </row>
    <row r="2016" customFormat="false" ht="15" hidden="false" customHeight="true" outlineLevel="0" collapsed="false">
      <c r="A2016" s="11" t="str">
        <f aca="false">TRIM('수출입 실적(품목별)'!A2020)</f>
        <v>2025.09</v>
      </c>
      <c r="B2016" s="17" t="n">
        <f aca="false">IFERROR(VALUE(LEFT($A2016,4)),"")</f>
        <v>2025</v>
      </c>
      <c r="C2016" s="17" t="n">
        <f aca="false">IFERROR(VALUE(RIGHT($A2016,2)),"")</f>
        <v>9</v>
      </c>
      <c r="D2016" s="17" t="n">
        <f aca="false">IFERROR(ROUNDUP($C2016/3,0),"")</f>
        <v>3</v>
      </c>
      <c r="E2016" s="11" t="str">
        <f aca="false">TRIM('수출입 실적(품목별)'!B2020)</f>
        <v>90</v>
      </c>
      <c r="F2016" s="11" t="str">
        <f aca="false">TRIM('수출입 실적(품목별)'!C2020)</f>
        <v>광학기기ㆍ사진용 기기ㆍ영화용 기기ㆍ측정기기ㆍ검사기기ㆍ정밀기기ㆍ의료용 기기, 이들의 부분품과 부속품</v>
      </c>
      <c r="G2016" s="18" t="n">
        <f aca="false">IFERROR(VALUE(SUBSTITUTE(TRIM('수출입 실적(품목별)'!D2020),",","")),"")</f>
        <v>16433.2</v>
      </c>
      <c r="H2016" s="19" t="n">
        <f aca="false">IFERROR(VALUE(SUBSTITUTE(TRIM('수출입 실적(품목별)'!E2020),",","")),"")</f>
        <v>1600350</v>
      </c>
      <c r="I2016" s="18" t="n">
        <f aca="false">IFERROR(VALUE(SUBSTITUTE(TRIM('수출입 실적(품목별)'!F2020),",","")),"")</f>
        <v>18332.4</v>
      </c>
      <c r="J2016" s="19" t="n">
        <f aca="false">IFERROR(VALUE(SUBSTITUTE(TRIM('수출입 실적(품목별)'!G2020),",","")),"")</f>
        <v>2311106</v>
      </c>
      <c r="K2016" s="19" t="n">
        <f aca="false">IFERROR(VALUE(SUBSTITUTE(TRIM('수출입 실적(품목별)'!H2020),",","")),"")</f>
        <v>-710755</v>
      </c>
    </row>
    <row r="2017" customFormat="false" ht="15" hidden="false" customHeight="true" outlineLevel="0" collapsed="false">
      <c r="A2017" s="11" t="str">
        <f aca="false">TRIM('수출입 실적(품목별)'!A2021)</f>
        <v>2025.09</v>
      </c>
      <c r="B2017" s="17" t="n">
        <f aca="false">IFERROR(VALUE(LEFT($A2017,4)),"")</f>
        <v>2025</v>
      </c>
      <c r="C2017" s="17" t="n">
        <f aca="false">IFERROR(VALUE(RIGHT($A2017,2)),"")</f>
        <v>9</v>
      </c>
      <c r="D2017" s="17" t="n">
        <f aca="false">IFERROR(ROUNDUP($C2017/3,0),"")</f>
        <v>3</v>
      </c>
      <c r="E2017" s="11" t="str">
        <f aca="false">TRIM('수출입 실적(품목별)'!B2021)</f>
        <v>91</v>
      </c>
      <c r="F2017" s="11" t="str">
        <f aca="false">TRIM('수출입 실적(품목별)'!C2021)</f>
        <v>시계와 그 부분품</v>
      </c>
      <c r="G2017" s="18" t="n">
        <f aca="false">IFERROR(VALUE(SUBSTITUTE(TRIM('수출입 실적(품목별)'!D2021),",","")),"")</f>
        <v>20.3</v>
      </c>
      <c r="H2017" s="19" t="n">
        <f aca="false">IFERROR(VALUE(SUBSTITUTE(TRIM('수출입 실적(품목별)'!E2021),",","")),"")</f>
        <v>25801</v>
      </c>
      <c r="I2017" s="18" t="n">
        <f aca="false">IFERROR(VALUE(SUBSTITUTE(TRIM('수출입 실적(품목별)'!F2021),",","")),"")</f>
        <v>362.8</v>
      </c>
      <c r="J2017" s="19" t="n">
        <f aca="false">IFERROR(VALUE(SUBSTITUTE(TRIM('수출입 실적(품목별)'!G2021),",","")),"")</f>
        <v>107182</v>
      </c>
      <c r="K2017" s="19" t="n">
        <f aca="false">IFERROR(VALUE(SUBSTITUTE(TRIM('수출입 실적(품목별)'!H2021),",","")),"")</f>
        <v>-81381</v>
      </c>
    </row>
    <row r="2018" customFormat="false" ht="15" hidden="false" customHeight="true" outlineLevel="0" collapsed="false">
      <c r="A2018" s="11" t="str">
        <f aca="false">TRIM('수출입 실적(품목별)'!A2022)</f>
        <v>2025.09</v>
      </c>
      <c r="B2018" s="17" t="n">
        <f aca="false">IFERROR(VALUE(LEFT($A2018,4)),"")</f>
        <v>2025</v>
      </c>
      <c r="C2018" s="17" t="n">
        <f aca="false">IFERROR(VALUE(RIGHT($A2018,2)),"")</f>
        <v>9</v>
      </c>
      <c r="D2018" s="17" t="n">
        <f aca="false">IFERROR(ROUNDUP($C2018/3,0),"")</f>
        <v>3</v>
      </c>
      <c r="E2018" s="11" t="str">
        <f aca="false">TRIM('수출입 실적(품목별)'!B2022)</f>
        <v>92</v>
      </c>
      <c r="F2018" s="11" t="str">
        <f aca="false">TRIM('수출입 실적(품목별)'!C2022)</f>
        <v>악기와 그 부분품과 부속품</v>
      </c>
      <c r="G2018" s="18" t="n">
        <f aca="false">IFERROR(VALUE(SUBSTITUTE(TRIM('수출입 실적(품목별)'!D2022),",","")),"")</f>
        <v>298.9</v>
      </c>
      <c r="H2018" s="19" t="n">
        <f aca="false">IFERROR(VALUE(SUBSTITUTE(TRIM('수출입 실적(품목별)'!E2022),",","")),"")</f>
        <v>9381</v>
      </c>
      <c r="I2018" s="18" t="n">
        <f aca="false">IFERROR(VALUE(SUBSTITUTE(TRIM('수출입 실적(품목별)'!F2022),",","")),"")</f>
        <v>662.4</v>
      </c>
      <c r="J2018" s="19" t="n">
        <f aca="false">IFERROR(VALUE(SUBSTITUTE(TRIM('수출입 실적(품목별)'!G2022),",","")),"")</f>
        <v>16517</v>
      </c>
      <c r="K2018" s="19" t="n">
        <f aca="false">IFERROR(VALUE(SUBSTITUTE(TRIM('수출입 실적(품목별)'!H2022),",","")),"")</f>
        <v>-7136</v>
      </c>
    </row>
    <row r="2019" customFormat="false" ht="15" hidden="false" customHeight="true" outlineLevel="0" collapsed="false">
      <c r="A2019" s="11" t="str">
        <f aca="false">TRIM('수출입 실적(품목별)'!A2023)</f>
        <v>2025.09</v>
      </c>
      <c r="B2019" s="17" t="n">
        <f aca="false">IFERROR(VALUE(LEFT($A2019,4)),"")</f>
        <v>2025</v>
      </c>
      <c r="C2019" s="17" t="n">
        <f aca="false">IFERROR(VALUE(RIGHT($A2019,2)),"")</f>
        <v>9</v>
      </c>
      <c r="D2019" s="17" t="n">
        <f aca="false">IFERROR(ROUNDUP($C2019/3,0),"")</f>
        <v>3</v>
      </c>
      <c r="E2019" s="11" t="str">
        <f aca="false">TRIM('수출입 실적(품목별)'!B2023)</f>
        <v>93</v>
      </c>
      <c r="F2019" s="11" t="str">
        <f aca="false">TRIM('수출입 실적(품목별)'!C2023)</f>
        <v>무기ㆍ총포탄과 이들의 부분품과 부속품</v>
      </c>
      <c r="G2019" s="18" t="n">
        <f aca="false">IFERROR(VALUE(SUBSTITUTE(TRIM('수출입 실적(품목별)'!D2023),",","")),"")</f>
        <v>6501.8</v>
      </c>
      <c r="H2019" s="19" t="n">
        <f aca="false">IFERROR(VALUE(SUBSTITUTE(TRIM('수출입 실적(품목별)'!E2023),",","")),"")</f>
        <v>624944</v>
      </c>
      <c r="I2019" s="18" t="n">
        <f aca="false">IFERROR(VALUE(SUBSTITUTE(TRIM('수출입 실적(품목별)'!F2023),",","")),"")</f>
        <v>141.5</v>
      </c>
      <c r="J2019" s="19" t="n">
        <f aca="false">IFERROR(VALUE(SUBSTITUTE(TRIM('수출입 실적(품목별)'!G2023),",","")),"")</f>
        <v>23645</v>
      </c>
      <c r="K2019" s="19" t="n">
        <f aca="false">IFERROR(VALUE(SUBSTITUTE(TRIM('수출입 실적(품목별)'!H2023),",","")),"")</f>
        <v>601299</v>
      </c>
    </row>
    <row r="2020" customFormat="false" ht="15" hidden="false" customHeight="true" outlineLevel="0" collapsed="false">
      <c r="A2020" s="11" t="str">
        <f aca="false">TRIM('수출입 실적(품목별)'!A2024)</f>
        <v>2025.09</v>
      </c>
      <c r="B2020" s="17" t="n">
        <f aca="false">IFERROR(VALUE(LEFT($A2020,4)),"")</f>
        <v>2025</v>
      </c>
      <c r="C2020" s="17" t="n">
        <f aca="false">IFERROR(VALUE(RIGHT($A2020,2)),"")</f>
        <v>9</v>
      </c>
      <c r="D2020" s="17" t="n">
        <f aca="false">IFERROR(ROUNDUP($C2020/3,0),"")</f>
        <v>3</v>
      </c>
      <c r="E2020" s="11" t="str">
        <f aca="false">TRIM('수출입 실적(품목별)'!B2024)</f>
        <v>94</v>
      </c>
      <c r="F2020" s="11" t="str">
        <f aca="false">TRIM('수출입 실적(품목별)'!C2024)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020" s="18" t="n">
        <f aca="false">IFERROR(VALUE(SUBSTITUTE(TRIM('수출입 실적(품목별)'!D2024),",","")),"")</f>
        <v>17412.5</v>
      </c>
      <c r="H2020" s="19" t="n">
        <f aca="false">IFERROR(VALUE(SUBSTITUTE(TRIM('수출입 실적(품목별)'!E2024),",","")),"")</f>
        <v>122072</v>
      </c>
      <c r="I2020" s="18" t="n">
        <f aca="false">IFERROR(VALUE(SUBSTITUTE(TRIM('수출입 실적(품목별)'!F2024),",","")),"")</f>
        <v>81824.9</v>
      </c>
      <c r="J2020" s="19" t="n">
        <f aca="false">IFERROR(VALUE(SUBSTITUTE(TRIM('수출입 실적(품목별)'!G2024),",","")),"")</f>
        <v>359071</v>
      </c>
      <c r="K2020" s="19" t="n">
        <f aca="false">IFERROR(VALUE(SUBSTITUTE(TRIM('수출입 실적(품목별)'!H2024),",","")),"")</f>
        <v>-236999</v>
      </c>
    </row>
    <row r="2021" customFormat="false" ht="15" hidden="false" customHeight="true" outlineLevel="0" collapsed="false">
      <c r="A2021" s="11" t="str">
        <f aca="false">TRIM('수출입 실적(품목별)'!A2025)</f>
        <v>2025.09</v>
      </c>
      <c r="B2021" s="17" t="n">
        <f aca="false">IFERROR(VALUE(LEFT($A2021,4)),"")</f>
        <v>2025</v>
      </c>
      <c r="C2021" s="17" t="n">
        <f aca="false">IFERROR(VALUE(RIGHT($A2021,2)),"")</f>
        <v>9</v>
      </c>
      <c r="D2021" s="17" t="n">
        <f aca="false">IFERROR(ROUNDUP($C2021/3,0),"")</f>
        <v>3</v>
      </c>
      <c r="E2021" s="11" t="str">
        <f aca="false">TRIM('수출입 실적(품목별)'!B2025)</f>
        <v>95</v>
      </c>
      <c r="F2021" s="11" t="str">
        <f aca="false">TRIM('수출입 실적(품목별)'!C2025)</f>
        <v>완구ㆍ게임용구ㆍ운동용구와 이들의 부분품과 부속품</v>
      </c>
      <c r="G2021" s="18" t="n">
        <f aca="false">IFERROR(VALUE(SUBSTITUTE(TRIM('수출입 실적(품목별)'!D2025),",","")),"")</f>
        <v>2976.5</v>
      </c>
      <c r="H2021" s="19" t="n">
        <f aca="false">IFERROR(VALUE(SUBSTITUTE(TRIM('수출입 실적(품목별)'!E2025),",","")),"")</f>
        <v>67583</v>
      </c>
      <c r="I2021" s="18" t="n">
        <f aca="false">IFERROR(VALUE(SUBSTITUTE(TRIM('수출입 실적(품목별)'!F2025),",","")),"")</f>
        <v>17639.2</v>
      </c>
      <c r="J2021" s="19" t="n">
        <f aca="false">IFERROR(VALUE(SUBSTITUTE(TRIM('수출입 실적(품목별)'!G2025),",","")),"")</f>
        <v>256661</v>
      </c>
      <c r="K2021" s="19" t="n">
        <f aca="false">IFERROR(VALUE(SUBSTITUTE(TRIM('수출입 실적(품목별)'!H2025),",","")),"")</f>
        <v>-189078</v>
      </c>
    </row>
    <row r="2022" customFormat="false" ht="15" hidden="false" customHeight="true" outlineLevel="0" collapsed="false">
      <c r="A2022" s="11" t="str">
        <f aca="false">TRIM('수출입 실적(품목별)'!A2026)</f>
        <v>2025.09</v>
      </c>
      <c r="B2022" s="17" t="n">
        <f aca="false">IFERROR(VALUE(LEFT($A2022,4)),"")</f>
        <v>2025</v>
      </c>
      <c r="C2022" s="17" t="n">
        <f aca="false">IFERROR(VALUE(RIGHT($A2022,2)),"")</f>
        <v>9</v>
      </c>
      <c r="D2022" s="17" t="n">
        <f aca="false">IFERROR(ROUNDUP($C2022/3,0),"")</f>
        <v>3</v>
      </c>
      <c r="E2022" s="11" t="str">
        <f aca="false">TRIM('수출입 실적(품목별)'!B2026)</f>
        <v>96</v>
      </c>
      <c r="F2022" s="11" t="str">
        <f aca="false">TRIM('수출입 실적(품목별)'!C2026)</f>
        <v>잡품</v>
      </c>
      <c r="G2022" s="18" t="n">
        <f aca="false">IFERROR(VALUE(SUBSTITUTE(TRIM('수출입 실적(품목별)'!D2026),",","")),"")</f>
        <v>2661.8</v>
      </c>
      <c r="H2022" s="19" t="n">
        <f aca="false">IFERROR(VALUE(SUBSTITUTE(TRIM('수출입 실적(품목별)'!E2026),",","")),"")</f>
        <v>42514</v>
      </c>
      <c r="I2022" s="18" t="n">
        <f aca="false">IFERROR(VALUE(SUBSTITUTE(TRIM('수출입 실적(품목별)'!F2026),",","")),"")</f>
        <v>11044.9</v>
      </c>
      <c r="J2022" s="19" t="n">
        <f aca="false">IFERROR(VALUE(SUBSTITUTE(TRIM('수출입 실적(품목별)'!G2026),",","")),"")</f>
        <v>91262</v>
      </c>
      <c r="K2022" s="19" t="n">
        <f aca="false">IFERROR(VALUE(SUBSTITUTE(TRIM('수출입 실적(품목별)'!H2026),",","")),"")</f>
        <v>-48748</v>
      </c>
    </row>
    <row r="2023" customFormat="false" ht="15" hidden="false" customHeight="true" outlineLevel="0" collapsed="false">
      <c r="A2023" s="11" t="str">
        <f aca="false">TRIM('수출입 실적(품목별)'!A2027)</f>
        <v>2025.09</v>
      </c>
      <c r="B2023" s="17" t="n">
        <f aca="false">IFERROR(VALUE(LEFT($A2023,4)),"")</f>
        <v>2025</v>
      </c>
      <c r="C2023" s="17" t="n">
        <f aca="false">IFERROR(VALUE(RIGHT($A2023,2)),"")</f>
        <v>9</v>
      </c>
      <c r="D2023" s="17" t="n">
        <f aca="false">IFERROR(ROUNDUP($C2023/3,0),"")</f>
        <v>3</v>
      </c>
      <c r="E2023" s="11" t="str">
        <f aca="false">TRIM('수출입 실적(품목별)'!B2027)</f>
        <v>97</v>
      </c>
      <c r="F2023" s="11" t="str">
        <f aca="false">TRIM('수출입 실적(품목별)'!C2027)</f>
        <v>예술품ㆍ수집품ㆍ골동품</v>
      </c>
      <c r="G2023" s="18" t="n">
        <f aca="false">IFERROR(VALUE(SUBSTITUTE(TRIM('수출입 실적(품목별)'!D2027),",","")),"")</f>
        <v>24.3</v>
      </c>
      <c r="H2023" s="19" t="n">
        <f aca="false">IFERROR(VALUE(SUBSTITUTE(TRIM('수출입 실적(품목별)'!E2027),",","")),"")</f>
        <v>95394</v>
      </c>
      <c r="I2023" s="18" t="n">
        <f aca="false">IFERROR(VALUE(SUBSTITUTE(TRIM('수출입 실적(품목별)'!F2027),",","")),"")</f>
        <v>45.2</v>
      </c>
      <c r="J2023" s="19" t="n">
        <f aca="false">IFERROR(VALUE(SUBSTITUTE(TRIM('수출입 실적(품목별)'!G2027),",","")),"")</f>
        <v>32486</v>
      </c>
      <c r="K2023" s="19" t="n">
        <f aca="false">IFERROR(VALUE(SUBSTITUTE(TRIM('수출입 실적(품목별)'!H2027),",","")),"")</f>
        <v>62908</v>
      </c>
    </row>
    <row r="2024" customFormat="false" ht="15" hidden="false" customHeight="true" outlineLevel="0" collapsed="false">
      <c r="A2024" s="11" t="str">
        <f aca="false">TRIM('수출입 실적(품목별)'!A2028)</f>
        <v>2025.10</v>
      </c>
      <c r="B2024" s="17" t="n">
        <f aca="false">IFERROR(VALUE(LEFT($A2024,4)),"")</f>
        <v>2025</v>
      </c>
      <c r="C2024" s="17" t="n">
        <f aca="false">IFERROR(VALUE(RIGHT($A2024,2)),"")</f>
        <v>10</v>
      </c>
      <c r="D2024" s="17" t="n">
        <f aca="false">IFERROR(ROUNDUP($C2024/3,0),"")</f>
        <v>4</v>
      </c>
      <c r="E2024" s="11" t="str">
        <f aca="false">TRIM('수출입 실적(품목별)'!B2028)</f>
        <v>01</v>
      </c>
      <c r="F2024" s="11" t="str">
        <f aca="false">TRIM('수출입 실적(품목별)'!C2028)</f>
        <v>살아 있는 동물</v>
      </c>
      <c r="G2024" s="18" t="n">
        <f aca="false">IFERROR(VALUE(SUBSTITUTE(TRIM('수출입 실적(품목별)'!D2028),",","")),"")</f>
        <v>1.6</v>
      </c>
      <c r="H2024" s="19" t="n">
        <f aca="false">IFERROR(VALUE(SUBSTITUTE(TRIM('수출입 실적(품목별)'!E2028),",","")),"")</f>
        <v>543</v>
      </c>
      <c r="I2024" s="18" t="n">
        <f aca="false">IFERROR(VALUE(SUBSTITUTE(TRIM('수출입 실적(품목별)'!F2028),",","")),"")</f>
        <v>94.7</v>
      </c>
      <c r="J2024" s="19" t="n">
        <f aca="false">IFERROR(VALUE(SUBSTITUTE(TRIM('수출입 실적(품목별)'!G2028),",","")),"")</f>
        <v>5990</v>
      </c>
      <c r="K2024" s="19" t="n">
        <f aca="false">IFERROR(VALUE(SUBSTITUTE(TRIM('수출입 실적(품목별)'!H2028),",","")),"")</f>
        <v>-5447</v>
      </c>
    </row>
    <row r="2025" customFormat="false" ht="15" hidden="false" customHeight="true" outlineLevel="0" collapsed="false">
      <c r="A2025" s="11" t="str">
        <f aca="false">TRIM('수출입 실적(품목별)'!A2029)</f>
        <v>2025.10</v>
      </c>
      <c r="B2025" s="17" t="n">
        <f aca="false">IFERROR(VALUE(LEFT($A2025,4)),"")</f>
        <v>2025</v>
      </c>
      <c r="C2025" s="17" t="n">
        <f aca="false">IFERROR(VALUE(RIGHT($A2025,2)),"")</f>
        <v>10</v>
      </c>
      <c r="D2025" s="17" t="n">
        <f aca="false">IFERROR(ROUNDUP($C2025/3,0),"")</f>
        <v>4</v>
      </c>
      <c r="E2025" s="11" t="str">
        <f aca="false">TRIM('수출입 실적(품목별)'!B2029)</f>
        <v>02</v>
      </c>
      <c r="F2025" s="11" t="str">
        <f aca="false">TRIM('수출입 실적(품목별)'!C2029)</f>
        <v>육과 식용 설육(屑肉)</v>
      </c>
      <c r="G2025" s="18" t="n">
        <f aca="false">IFERROR(VALUE(SUBSTITUTE(TRIM('수출입 실적(품목별)'!D2029),",","")),"")</f>
        <v>6031.7</v>
      </c>
      <c r="H2025" s="19" t="n">
        <f aca="false">IFERROR(VALUE(SUBSTITUTE(TRIM('수출입 실적(품목별)'!E2029),",","")),"")</f>
        <v>8329</v>
      </c>
      <c r="I2025" s="18" t="n">
        <f aca="false">IFERROR(VALUE(SUBSTITUTE(TRIM('수출입 실적(품목별)'!F2029),",","")),"")</f>
        <v>99160.9</v>
      </c>
      <c r="J2025" s="19" t="n">
        <f aca="false">IFERROR(VALUE(SUBSTITUTE(TRIM('수출입 실적(품목별)'!G2029),",","")),"")</f>
        <v>512679</v>
      </c>
      <c r="K2025" s="19" t="n">
        <f aca="false">IFERROR(VALUE(SUBSTITUTE(TRIM('수출입 실적(품목별)'!H2029),",","")),"")</f>
        <v>-504350</v>
      </c>
    </row>
    <row r="2026" customFormat="false" ht="15" hidden="false" customHeight="true" outlineLevel="0" collapsed="false">
      <c r="A2026" s="11" t="str">
        <f aca="false">TRIM('수출입 실적(품목별)'!A2030)</f>
        <v>2025.10</v>
      </c>
      <c r="B2026" s="17" t="n">
        <f aca="false">IFERROR(VALUE(LEFT($A2026,4)),"")</f>
        <v>2025</v>
      </c>
      <c r="C2026" s="17" t="n">
        <f aca="false">IFERROR(VALUE(RIGHT($A2026,2)),"")</f>
        <v>10</v>
      </c>
      <c r="D2026" s="17" t="n">
        <f aca="false">IFERROR(ROUNDUP($C2026/3,0),"")</f>
        <v>4</v>
      </c>
      <c r="E2026" s="11" t="str">
        <f aca="false">TRIM('수출입 실적(품목별)'!B2030)</f>
        <v>03</v>
      </c>
      <c r="F2026" s="11" t="str">
        <f aca="false">TRIM('수출입 실적(품목별)'!C2030)</f>
        <v>어류ㆍ갑각류ㆍ연체동물과 그 밖의 수생(水生) 무척추동물</v>
      </c>
      <c r="G2026" s="18" t="n">
        <f aca="false">IFERROR(VALUE(SUBSTITUTE(TRIM('수출입 실적(품목별)'!D2030),",","")),"")</f>
        <v>45469.8</v>
      </c>
      <c r="H2026" s="19" t="n">
        <f aca="false">IFERROR(VALUE(SUBSTITUTE(TRIM('수출입 실적(품목별)'!E2030),",","")),"")</f>
        <v>162099</v>
      </c>
      <c r="I2026" s="18" t="n">
        <f aca="false">IFERROR(VALUE(SUBSTITUTE(TRIM('수출입 실적(품목별)'!F2030),",","")),"")</f>
        <v>94239.5</v>
      </c>
      <c r="J2026" s="19" t="n">
        <f aca="false">IFERROR(VALUE(SUBSTITUTE(TRIM('수출입 실적(품목별)'!G2030),",","")),"")</f>
        <v>407802</v>
      </c>
      <c r="K2026" s="19" t="n">
        <f aca="false">IFERROR(VALUE(SUBSTITUTE(TRIM('수출입 실적(품목별)'!H2030),",","")),"")</f>
        <v>-245703</v>
      </c>
    </row>
    <row r="2027" customFormat="false" ht="15" hidden="false" customHeight="true" outlineLevel="0" collapsed="false">
      <c r="A2027" s="11" t="str">
        <f aca="false">TRIM('수출입 실적(품목별)'!A2031)</f>
        <v>2025.10</v>
      </c>
      <c r="B2027" s="17" t="n">
        <f aca="false">IFERROR(VALUE(LEFT($A2027,4)),"")</f>
        <v>2025</v>
      </c>
      <c r="C2027" s="17" t="n">
        <f aca="false">IFERROR(VALUE(RIGHT($A2027,2)),"")</f>
        <v>10</v>
      </c>
      <c r="D2027" s="17" t="n">
        <f aca="false">IFERROR(ROUNDUP($C2027/3,0),"")</f>
        <v>4</v>
      </c>
      <c r="E2027" s="11" t="str">
        <f aca="false">TRIM('수출입 실적(품목별)'!B2031)</f>
        <v>04</v>
      </c>
      <c r="F2027" s="11" t="str">
        <f aca="false">TRIM('수출입 실적(품목별)'!C2031)</f>
        <v>낙농품, 새의 알, 천연꿀, 다른 류로 분류되지 않은 식용인 동물성 생산품</v>
      </c>
      <c r="G2027" s="18" t="n">
        <f aca="false">IFERROR(VALUE(SUBSTITUTE(TRIM('수출입 실적(품목별)'!D2031),",","")),"")</f>
        <v>2105.5</v>
      </c>
      <c r="H2027" s="19" t="n">
        <f aca="false">IFERROR(VALUE(SUBSTITUTE(TRIM('수출입 실적(품목별)'!E2031),",","")),"")</f>
        <v>5660</v>
      </c>
      <c r="I2027" s="18" t="n">
        <f aca="false">IFERROR(VALUE(SUBSTITUTE(TRIM('수출입 실적(품목별)'!F2031),",","")),"")</f>
        <v>27390.3</v>
      </c>
      <c r="J2027" s="19" t="n">
        <f aca="false">IFERROR(VALUE(SUBSTITUTE(TRIM('수출입 실적(품목별)'!G2031),",","")),"")</f>
        <v>129786</v>
      </c>
      <c r="K2027" s="19" t="n">
        <f aca="false">IFERROR(VALUE(SUBSTITUTE(TRIM('수출입 실적(품목별)'!H2031),",","")),"")</f>
        <v>-124126</v>
      </c>
    </row>
    <row r="2028" customFormat="false" ht="15" hidden="false" customHeight="true" outlineLevel="0" collapsed="false">
      <c r="A2028" s="11" t="str">
        <f aca="false">TRIM('수출입 실적(품목별)'!A2032)</f>
        <v>2025.10</v>
      </c>
      <c r="B2028" s="17" t="n">
        <f aca="false">IFERROR(VALUE(LEFT($A2028,4)),"")</f>
        <v>2025</v>
      </c>
      <c r="C2028" s="17" t="n">
        <f aca="false">IFERROR(VALUE(RIGHT($A2028,2)),"")</f>
        <v>10</v>
      </c>
      <c r="D2028" s="17" t="n">
        <f aca="false">IFERROR(ROUNDUP($C2028/3,0),"")</f>
        <v>4</v>
      </c>
      <c r="E2028" s="11" t="str">
        <f aca="false">TRIM('수출입 실적(품목별)'!B2032)</f>
        <v>05</v>
      </c>
      <c r="F2028" s="11" t="str">
        <f aca="false">TRIM('수출입 실적(품목별)'!C2032)</f>
        <v>다른 류로 분류되지 않은 동물성 생산품</v>
      </c>
      <c r="G2028" s="18" t="n">
        <f aca="false">IFERROR(VALUE(SUBSTITUTE(TRIM('수출입 실적(품목별)'!D2032),",","")),"")</f>
        <v>1422.3</v>
      </c>
      <c r="H2028" s="19" t="n">
        <f aca="false">IFERROR(VALUE(SUBSTITUTE(TRIM('수출입 실적(품목별)'!E2032),",","")),"")</f>
        <v>3821</v>
      </c>
      <c r="I2028" s="18" t="n">
        <f aca="false">IFERROR(VALUE(SUBSTITUTE(TRIM('수출입 실적(품목별)'!F2032),",","")),"")</f>
        <v>2889.3</v>
      </c>
      <c r="J2028" s="19" t="n">
        <f aca="false">IFERROR(VALUE(SUBSTITUTE(TRIM('수출입 실적(품목별)'!G2032),",","")),"")</f>
        <v>14455</v>
      </c>
      <c r="K2028" s="19" t="n">
        <f aca="false">IFERROR(VALUE(SUBSTITUTE(TRIM('수출입 실적(품목별)'!H2032),",","")),"")</f>
        <v>-10634</v>
      </c>
    </row>
    <row r="2029" customFormat="false" ht="15" hidden="false" customHeight="true" outlineLevel="0" collapsed="false">
      <c r="A2029" s="11" t="str">
        <f aca="false">TRIM('수출입 실적(품목별)'!A2033)</f>
        <v>2025.10</v>
      </c>
      <c r="B2029" s="17" t="n">
        <f aca="false">IFERROR(VALUE(LEFT($A2029,4)),"")</f>
        <v>2025</v>
      </c>
      <c r="C2029" s="17" t="n">
        <f aca="false">IFERROR(VALUE(RIGHT($A2029,2)),"")</f>
        <v>10</v>
      </c>
      <c r="D2029" s="17" t="n">
        <f aca="false">IFERROR(ROUNDUP($C2029/3,0),"")</f>
        <v>4</v>
      </c>
      <c r="E2029" s="11" t="str">
        <f aca="false">TRIM('수출입 실적(품목별)'!B2033)</f>
        <v>06</v>
      </c>
      <c r="F2029" s="11" t="str">
        <f aca="false">TRIM('수출입 실적(품목별)'!C2033)</f>
        <v>살아 있는 수목과 그 밖의 식물, 인경(鱗莖)ㆍ뿌리와 이와 유사한 물품, 절화(切花)와 장식용 잎</v>
      </c>
      <c r="G2029" s="18" t="n">
        <f aca="false">IFERROR(VALUE(SUBSTITUTE(TRIM('수출입 실적(품목별)'!D2033),",","")),"")</f>
        <v>41.8</v>
      </c>
      <c r="H2029" s="19" t="n">
        <f aca="false">IFERROR(VALUE(SUBSTITUTE(TRIM('수출입 실적(품목별)'!E2033),",","")),"")</f>
        <v>567</v>
      </c>
      <c r="I2029" s="18" t="n">
        <f aca="false">IFERROR(VALUE(SUBSTITUTE(TRIM('수출입 실적(품목별)'!F2033),",","")),"")</f>
        <v>7755.4</v>
      </c>
      <c r="J2029" s="19" t="n">
        <f aca="false">IFERROR(VALUE(SUBSTITUTE(TRIM('수출입 실적(품목별)'!G2033),",","")),"")</f>
        <v>15732</v>
      </c>
      <c r="K2029" s="19" t="n">
        <f aca="false">IFERROR(VALUE(SUBSTITUTE(TRIM('수출입 실적(품목별)'!H2033),",","")),"")</f>
        <v>-15165</v>
      </c>
    </row>
    <row r="2030" customFormat="false" ht="15" hidden="false" customHeight="true" outlineLevel="0" collapsed="false">
      <c r="A2030" s="11" t="str">
        <f aca="false">TRIM('수출입 실적(품목별)'!A2034)</f>
        <v>2025.10</v>
      </c>
      <c r="B2030" s="17" t="n">
        <f aca="false">IFERROR(VALUE(LEFT($A2030,4)),"")</f>
        <v>2025</v>
      </c>
      <c r="C2030" s="17" t="n">
        <f aca="false">IFERROR(VALUE(RIGHT($A2030,2)),"")</f>
        <v>10</v>
      </c>
      <c r="D2030" s="17" t="n">
        <f aca="false">IFERROR(ROUNDUP($C2030/3,0),"")</f>
        <v>4</v>
      </c>
      <c r="E2030" s="11" t="str">
        <f aca="false">TRIM('수출입 실적(품목별)'!B2034)</f>
        <v>07</v>
      </c>
      <c r="F2030" s="11" t="str">
        <f aca="false">TRIM('수출입 실적(품목별)'!C2034)</f>
        <v>식용의 채소ㆍ뿌리ㆍ괴경(塊莖)</v>
      </c>
      <c r="G2030" s="18" t="n">
        <f aca="false">IFERROR(VALUE(SUBSTITUTE(TRIM('수출입 실적(품목별)'!D2034),",","")),"")</f>
        <v>2901.6</v>
      </c>
      <c r="H2030" s="19" t="n">
        <f aca="false">IFERROR(VALUE(SUBSTITUTE(TRIM('수출입 실적(품목별)'!E2034),",","")),"")</f>
        <v>8318</v>
      </c>
      <c r="I2030" s="18" t="n">
        <f aca="false">IFERROR(VALUE(SUBSTITUTE(TRIM('수출입 실적(품목별)'!F2034),",","")),"")</f>
        <v>96201.5</v>
      </c>
      <c r="J2030" s="19" t="n">
        <f aca="false">IFERROR(VALUE(SUBSTITUTE(TRIM('수출입 실적(품목별)'!G2034),",","")),"")</f>
        <v>65984</v>
      </c>
      <c r="K2030" s="19" t="n">
        <f aca="false">IFERROR(VALUE(SUBSTITUTE(TRIM('수출입 실적(품목별)'!H2034),",","")),"")</f>
        <v>-57666</v>
      </c>
    </row>
    <row r="2031" customFormat="false" ht="15" hidden="false" customHeight="true" outlineLevel="0" collapsed="false">
      <c r="A2031" s="11" t="str">
        <f aca="false">TRIM('수출입 실적(품목별)'!A2035)</f>
        <v>2025.10</v>
      </c>
      <c r="B2031" s="17" t="n">
        <f aca="false">IFERROR(VALUE(LEFT($A2031,4)),"")</f>
        <v>2025</v>
      </c>
      <c r="C2031" s="17" t="n">
        <f aca="false">IFERROR(VALUE(RIGHT($A2031,2)),"")</f>
        <v>10</v>
      </c>
      <c r="D2031" s="17" t="n">
        <f aca="false">IFERROR(ROUNDUP($C2031/3,0),"")</f>
        <v>4</v>
      </c>
      <c r="E2031" s="11" t="str">
        <f aca="false">TRIM('수출입 실적(품목별)'!B2035)</f>
        <v>08</v>
      </c>
      <c r="F2031" s="11" t="str">
        <f aca="false">TRIM('수출입 실적(품목별)'!C2035)</f>
        <v>식용의 과실과 견과류, 감귤류ㆍ멜론의 껍질</v>
      </c>
      <c r="G2031" s="18" t="n">
        <f aca="false">IFERROR(VALUE(SUBSTITUTE(TRIM('수출입 실적(품목별)'!D2035),",","")),"")</f>
        <v>7827.1</v>
      </c>
      <c r="H2031" s="19" t="n">
        <f aca="false">IFERROR(VALUE(SUBSTITUTE(TRIM('수출입 실적(품목별)'!E2035),",","")),"")</f>
        <v>31335</v>
      </c>
      <c r="I2031" s="18" t="n">
        <f aca="false">IFERROR(VALUE(SUBSTITUTE(TRIM('수출입 실적(품목별)'!F2035),",","")),"")</f>
        <v>54615.5</v>
      </c>
      <c r="J2031" s="19" t="n">
        <f aca="false">IFERROR(VALUE(SUBSTITUTE(TRIM('수출입 실적(품목별)'!G2035),",","")),"")</f>
        <v>109319</v>
      </c>
      <c r="K2031" s="19" t="n">
        <f aca="false">IFERROR(VALUE(SUBSTITUTE(TRIM('수출입 실적(품목별)'!H2035),",","")),"")</f>
        <v>-77984</v>
      </c>
    </row>
    <row r="2032" customFormat="false" ht="15" hidden="false" customHeight="true" outlineLevel="0" collapsed="false">
      <c r="A2032" s="11" t="str">
        <f aca="false">TRIM('수출입 실적(품목별)'!A2036)</f>
        <v>2025.10</v>
      </c>
      <c r="B2032" s="17" t="n">
        <f aca="false">IFERROR(VALUE(LEFT($A2032,4)),"")</f>
        <v>2025</v>
      </c>
      <c r="C2032" s="17" t="n">
        <f aca="false">IFERROR(VALUE(RIGHT($A2032,2)),"")</f>
        <v>10</v>
      </c>
      <c r="D2032" s="17" t="n">
        <f aca="false">IFERROR(ROUNDUP($C2032/3,0),"")</f>
        <v>4</v>
      </c>
      <c r="E2032" s="11" t="str">
        <f aca="false">TRIM('수출입 실적(품목별)'!B2036)</f>
        <v>09</v>
      </c>
      <c r="F2032" s="11" t="str">
        <f aca="false">TRIM('수출입 실적(품목별)'!C2036)</f>
        <v>커피ㆍ차ㆍ마테(maté)ㆍ향신료</v>
      </c>
      <c r="G2032" s="18" t="n">
        <f aca="false">IFERROR(VALUE(SUBSTITUTE(TRIM('수출입 실적(품목별)'!D2036),",","")),"")</f>
        <v>392.1</v>
      </c>
      <c r="H2032" s="19" t="n">
        <f aca="false">IFERROR(VALUE(SUBSTITUTE(TRIM('수출입 실적(품목별)'!E2036),",","")),"")</f>
        <v>7608</v>
      </c>
      <c r="I2032" s="18" t="n">
        <f aca="false">IFERROR(VALUE(SUBSTITUTE(TRIM('수출입 실적(품목별)'!F2036),",","")),"")</f>
        <v>16556</v>
      </c>
      <c r="J2032" s="19" t="n">
        <f aca="false">IFERROR(VALUE(SUBSTITUTE(TRIM('수출입 실적(품목별)'!G2036),",","")),"")</f>
        <v>140004</v>
      </c>
      <c r="K2032" s="19" t="n">
        <f aca="false">IFERROR(VALUE(SUBSTITUTE(TRIM('수출입 실적(품목별)'!H2036),",","")),"")</f>
        <v>-132396</v>
      </c>
    </row>
    <row r="2033" customFormat="false" ht="15" hidden="false" customHeight="true" outlineLevel="0" collapsed="false">
      <c r="A2033" s="11" t="str">
        <f aca="false">TRIM('수출입 실적(품목별)'!A2037)</f>
        <v>2025.10</v>
      </c>
      <c r="B2033" s="17" t="n">
        <f aca="false">IFERROR(VALUE(LEFT($A2033,4)),"")</f>
        <v>2025</v>
      </c>
      <c r="C2033" s="17" t="n">
        <f aca="false">IFERROR(VALUE(RIGHT($A2033,2)),"")</f>
        <v>10</v>
      </c>
      <c r="D2033" s="17" t="n">
        <f aca="false">IFERROR(ROUNDUP($C2033/3,0),"")</f>
        <v>4</v>
      </c>
      <c r="E2033" s="11" t="str">
        <f aca="false">TRIM('수출입 실적(품목별)'!B2037)</f>
        <v>10</v>
      </c>
      <c r="F2033" s="11" t="str">
        <f aca="false">TRIM('수출입 실적(품목별)'!C2037)</f>
        <v>곡물</v>
      </c>
      <c r="G2033" s="18" t="n">
        <f aca="false">IFERROR(VALUE(SUBSTITUTE(TRIM('수출입 실적(품목별)'!D2037),",","")),"")</f>
        <v>2195.5</v>
      </c>
      <c r="H2033" s="19" t="n">
        <f aca="false">IFERROR(VALUE(SUBSTITUTE(TRIM('수출입 실적(품목별)'!E2037),",","")),"")</f>
        <v>1287</v>
      </c>
      <c r="I2033" s="18" t="n">
        <f aca="false">IFERROR(VALUE(SUBSTITUTE(TRIM('수출입 실적(품목별)'!F2037),",","")),"")</f>
        <v>1401441.1</v>
      </c>
      <c r="J2033" s="19" t="n">
        <f aca="false">IFERROR(VALUE(SUBSTITUTE(TRIM('수출입 실적(품목별)'!G2037),",","")),"")</f>
        <v>370914</v>
      </c>
      <c r="K2033" s="19" t="n">
        <f aca="false">IFERROR(VALUE(SUBSTITUTE(TRIM('수출입 실적(품목별)'!H2037),",","")),"")</f>
        <v>-369626</v>
      </c>
    </row>
    <row r="2034" customFormat="false" ht="15" hidden="false" customHeight="true" outlineLevel="0" collapsed="false">
      <c r="A2034" s="11" t="str">
        <f aca="false">TRIM('수출입 실적(품목별)'!A2038)</f>
        <v>2025.10</v>
      </c>
      <c r="B2034" s="17" t="n">
        <f aca="false">IFERROR(VALUE(LEFT($A2034,4)),"")</f>
        <v>2025</v>
      </c>
      <c r="C2034" s="17" t="n">
        <f aca="false">IFERROR(VALUE(RIGHT($A2034,2)),"")</f>
        <v>10</v>
      </c>
      <c r="D2034" s="17" t="n">
        <f aca="false">IFERROR(ROUNDUP($C2034/3,0),"")</f>
        <v>4</v>
      </c>
      <c r="E2034" s="11" t="str">
        <f aca="false">TRIM('수출입 실적(품목별)'!B2038)</f>
        <v>11</v>
      </c>
      <c r="F2034" s="11" t="str">
        <f aca="false">TRIM('수출입 실적(품목별)'!C2038)</f>
        <v>제분공업의 생산품과 맥아, 전분, 이눌린(inulin), 밀의 글루텐(gluten)</v>
      </c>
      <c r="G2034" s="18" t="n">
        <f aca="false">IFERROR(VALUE(SUBSTITUTE(TRIM('수출입 실적(품목별)'!D2038),",","")),"")</f>
        <v>4671.6</v>
      </c>
      <c r="H2034" s="19" t="n">
        <f aca="false">IFERROR(VALUE(SUBSTITUTE(TRIM('수출입 실적(품목별)'!E2038),",","")),"")</f>
        <v>3118</v>
      </c>
      <c r="I2034" s="18" t="n">
        <f aca="false">IFERROR(VALUE(SUBSTITUTE(TRIM('수출입 실적(품목별)'!F2038),",","")),"")</f>
        <v>32268.9</v>
      </c>
      <c r="J2034" s="19" t="n">
        <f aca="false">IFERROR(VALUE(SUBSTITUTE(TRIM('수출입 실적(품목별)'!G2038),",","")),"")</f>
        <v>26760</v>
      </c>
      <c r="K2034" s="19" t="n">
        <f aca="false">IFERROR(VALUE(SUBSTITUTE(TRIM('수출입 실적(품목별)'!H2038),",","")),"")</f>
        <v>-23642</v>
      </c>
    </row>
    <row r="2035" customFormat="false" ht="15" hidden="false" customHeight="true" outlineLevel="0" collapsed="false">
      <c r="A2035" s="11" t="str">
        <f aca="false">TRIM('수출입 실적(품목별)'!A2039)</f>
        <v>2025.10</v>
      </c>
      <c r="B2035" s="17" t="n">
        <f aca="false">IFERROR(VALUE(LEFT($A2035,4)),"")</f>
        <v>2025</v>
      </c>
      <c r="C2035" s="17" t="n">
        <f aca="false">IFERROR(VALUE(RIGHT($A2035,2)),"")</f>
        <v>10</v>
      </c>
      <c r="D2035" s="17" t="n">
        <f aca="false">IFERROR(ROUNDUP($C2035/3,0),"")</f>
        <v>4</v>
      </c>
      <c r="E2035" s="11" t="str">
        <f aca="false">TRIM('수출입 실적(품목별)'!B2039)</f>
        <v>12</v>
      </c>
      <c r="F2035" s="11" t="str">
        <f aca="false">TRIM('수출입 실적(품목별)'!C2039)</f>
        <v>채유(採油)에 적합한 종자와 과실, 각종 종자와 과실, 공업용ㆍ의약용 식물, 짚과 사료용 식물</v>
      </c>
      <c r="G2035" s="18" t="n">
        <f aca="false">IFERROR(VALUE(SUBSTITUTE(TRIM('수출입 실적(품목별)'!D2039),",","")),"")</f>
        <v>2041.6</v>
      </c>
      <c r="H2035" s="19" t="n">
        <f aca="false">IFERROR(VALUE(SUBSTITUTE(TRIM('수출입 실적(품목별)'!E2039),",","")),"")</f>
        <v>45710</v>
      </c>
      <c r="I2035" s="18" t="n">
        <f aca="false">IFERROR(VALUE(SUBSTITUTE(TRIM('수출입 실적(품목별)'!F2039),",","")),"")</f>
        <v>253241</v>
      </c>
      <c r="J2035" s="19" t="n">
        <f aca="false">IFERROR(VALUE(SUBSTITUTE(TRIM('수출입 실적(품목별)'!G2039),",","")),"")</f>
        <v>133591</v>
      </c>
      <c r="K2035" s="19" t="n">
        <f aca="false">IFERROR(VALUE(SUBSTITUTE(TRIM('수출입 실적(품목별)'!H2039),",","")),"")</f>
        <v>-87881</v>
      </c>
    </row>
    <row r="2036" customFormat="false" ht="15" hidden="false" customHeight="true" outlineLevel="0" collapsed="false">
      <c r="A2036" s="11" t="str">
        <f aca="false">TRIM('수출입 실적(품목별)'!A2040)</f>
        <v>2025.10</v>
      </c>
      <c r="B2036" s="17" t="n">
        <f aca="false">IFERROR(VALUE(LEFT($A2036,4)),"")</f>
        <v>2025</v>
      </c>
      <c r="C2036" s="17" t="n">
        <f aca="false">IFERROR(VALUE(RIGHT($A2036,2)),"")</f>
        <v>10</v>
      </c>
      <c r="D2036" s="17" t="n">
        <f aca="false">IFERROR(ROUNDUP($C2036/3,0),"")</f>
        <v>4</v>
      </c>
      <c r="E2036" s="11" t="str">
        <f aca="false">TRIM('수출입 실적(품목별)'!B2040)</f>
        <v>13</v>
      </c>
      <c r="F2036" s="11" t="str">
        <f aca="false">TRIM('수출입 실적(품목별)'!C2040)</f>
        <v>락(lac), 검ㆍ수지ㆍ그 밖의 식물성 수액과 추출물(extract)</v>
      </c>
      <c r="G2036" s="18" t="n">
        <f aca="false">IFERROR(VALUE(SUBSTITUTE(TRIM('수출입 실적(품목별)'!D2040),",","")),"")</f>
        <v>332.1</v>
      </c>
      <c r="H2036" s="19" t="n">
        <f aca="false">IFERROR(VALUE(SUBSTITUTE(TRIM('수출입 실적(품목별)'!E2040),",","")),"")</f>
        <v>6921</v>
      </c>
      <c r="I2036" s="18" t="n">
        <f aca="false">IFERROR(VALUE(SUBSTITUTE(TRIM('수출입 실적(품목별)'!F2040),",","")),"")</f>
        <v>4800.2</v>
      </c>
      <c r="J2036" s="19" t="n">
        <f aca="false">IFERROR(VALUE(SUBSTITUTE(TRIM('수출입 실적(품목별)'!G2040),",","")),"")</f>
        <v>24626</v>
      </c>
      <c r="K2036" s="19" t="n">
        <f aca="false">IFERROR(VALUE(SUBSTITUTE(TRIM('수출입 실적(품목별)'!H2040),",","")),"")</f>
        <v>-17704</v>
      </c>
    </row>
    <row r="2037" customFormat="false" ht="15" hidden="false" customHeight="true" outlineLevel="0" collapsed="false">
      <c r="A2037" s="11" t="str">
        <f aca="false">TRIM('수출입 실적(품목별)'!A2041)</f>
        <v>2025.10</v>
      </c>
      <c r="B2037" s="17" t="n">
        <f aca="false">IFERROR(VALUE(LEFT($A2037,4)),"")</f>
        <v>2025</v>
      </c>
      <c r="C2037" s="17" t="n">
        <f aca="false">IFERROR(VALUE(RIGHT($A2037,2)),"")</f>
        <v>10</v>
      </c>
      <c r="D2037" s="17" t="n">
        <f aca="false">IFERROR(ROUNDUP($C2037/3,0),"")</f>
        <v>4</v>
      </c>
      <c r="E2037" s="11" t="str">
        <f aca="false">TRIM('수출입 실적(품목별)'!B2041)</f>
        <v>14</v>
      </c>
      <c r="F2037" s="11" t="str">
        <f aca="false">TRIM('수출입 실적(품목별)'!C2041)</f>
        <v>식물성 편조물(編組物)용 재료와 다른 류로 분류되지 않은 식물성 생산품</v>
      </c>
      <c r="G2037" s="18" t="n">
        <f aca="false">IFERROR(VALUE(SUBSTITUTE(TRIM('수출입 실적(품목별)'!D2041),",","")),"")</f>
        <v>0.8</v>
      </c>
      <c r="H2037" s="19" t="n">
        <f aca="false">IFERROR(VALUE(SUBSTITUTE(TRIM('수출입 실적(품목별)'!E2041),",","")),"")</f>
        <v>8</v>
      </c>
      <c r="I2037" s="18" t="n">
        <f aca="false">IFERROR(VALUE(SUBSTITUTE(TRIM('수출입 실적(품목별)'!F2041),",","")),"")</f>
        <v>12895.2</v>
      </c>
      <c r="J2037" s="19" t="n">
        <f aca="false">IFERROR(VALUE(SUBSTITUTE(TRIM('수출입 실적(품목별)'!G2041),",","")),"")</f>
        <v>5479</v>
      </c>
      <c r="K2037" s="19" t="n">
        <f aca="false">IFERROR(VALUE(SUBSTITUTE(TRIM('수출입 실적(품목별)'!H2041),",","")),"")</f>
        <v>-5472</v>
      </c>
    </row>
    <row r="2038" customFormat="false" ht="15" hidden="false" customHeight="true" outlineLevel="0" collapsed="false">
      <c r="A2038" s="11" t="str">
        <f aca="false">TRIM('수출입 실적(품목별)'!A2042)</f>
        <v>2025.10</v>
      </c>
      <c r="B2038" s="17" t="n">
        <f aca="false">IFERROR(VALUE(LEFT($A2038,4)),"")</f>
        <v>2025</v>
      </c>
      <c r="C2038" s="17" t="n">
        <f aca="false">IFERROR(VALUE(RIGHT($A2038,2)),"")</f>
        <v>10</v>
      </c>
      <c r="D2038" s="17" t="n">
        <f aca="false">IFERROR(ROUNDUP($C2038/3,0),"")</f>
        <v>4</v>
      </c>
      <c r="E2038" s="11" t="str">
        <f aca="false">TRIM('수출입 실적(품목별)'!B2042)</f>
        <v>15</v>
      </c>
      <c r="F2038" s="11" t="str">
        <f aca="false">TRIM('수출입 실적(품목별)'!C2042)</f>
        <v>동물성ㆍ식물성ㆍ미생물성 지방과 기름 및이들의 분해생산물, 조제한 식용 지방과 동물성ㆍ식물성 왁스</v>
      </c>
      <c r="G2038" s="18" t="n">
        <f aca="false">IFERROR(VALUE(SUBSTITUTE(TRIM('수출입 실적(품목별)'!D2042),",","")),"")</f>
        <v>44406.7</v>
      </c>
      <c r="H2038" s="19" t="n">
        <f aca="false">IFERROR(VALUE(SUBSTITUTE(TRIM('수출입 실적(품목별)'!E2042),",","")),"")</f>
        <v>52534</v>
      </c>
      <c r="I2038" s="18" t="n">
        <f aca="false">IFERROR(VALUE(SUBSTITUTE(TRIM('수출입 실적(품목별)'!F2042),",","")),"")</f>
        <v>128308.3</v>
      </c>
      <c r="J2038" s="19" t="n">
        <f aca="false">IFERROR(VALUE(SUBSTITUTE(TRIM('수출입 실적(품목별)'!G2042),",","")),"")</f>
        <v>202464</v>
      </c>
      <c r="K2038" s="19" t="n">
        <f aca="false">IFERROR(VALUE(SUBSTITUTE(TRIM('수출입 실적(품목별)'!H2042),",","")),"")</f>
        <v>-149930</v>
      </c>
    </row>
    <row r="2039" customFormat="false" ht="15" hidden="false" customHeight="true" outlineLevel="0" collapsed="false">
      <c r="A2039" s="11" t="str">
        <f aca="false">TRIM('수출입 실적(품목별)'!A2043)</f>
        <v>2025.10</v>
      </c>
      <c r="B2039" s="17" t="n">
        <f aca="false">IFERROR(VALUE(LEFT($A2039,4)),"")</f>
        <v>2025</v>
      </c>
      <c r="C2039" s="17" t="n">
        <f aca="false">IFERROR(VALUE(RIGHT($A2039,2)),"")</f>
        <v>10</v>
      </c>
      <c r="D2039" s="17" t="n">
        <f aca="false">IFERROR(ROUNDUP($C2039/3,0),"")</f>
        <v>4</v>
      </c>
      <c r="E2039" s="11" t="str">
        <f aca="false">TRIM('수출입 실적(품목별)'!B2043)</f>
        <v>16</v>
      </c>
      <c r="F2039" s="11" t="str">
        <f aca="false">TRIM('수출입 실적(품목별)'!C2043)</f>
        <v>육류ㆍ어류ㆍ갑각류ㆍ연체동물이나 그 밖의 수생(水生) 무척추동물 또는 곤충의 조제품</v>
      </c>
      <c r="G2039" s="18" t="n">
        <f aca="false">IFERROR(VALUE(SUBSTITUTE(TRIM('수출입 실적(품목별)'!D2043),",","")),"")</f>
        <v>4820.5</v>
      </c>
      <c r="H2039" s="19" t="n">
        <f aca="false">IFERROR(VALUE(SUBSTITUTE(TRIM('수출입 실적(품목별)'!E2043),",","")),"")</f>
        <v>27705</v>
      </c>
      <c r="I2039" s="18" t="n">
        <f aca="false">IFERROR(VALUE(SUBSTITUTE(TRIM('수출입 실적(품목별)'!F2043),",","")),"")</f>
        <v>15038.9</v>
      </c>
      <c r="J2039" s="19" t="n">
        <f aca="false">IFERROR(VALUE(SUBSTITUTE(TRIM('수출입 실적(품목별)'!G2043),",","")),"")</f>
        <v>83154</v>
      </c>
      <c r="K2039" s="19" t="n">
        <f aca="false">IFERROR(VALUE(SUBSTITUTE(TRIM('수출입 실적(품목별)'!H2043),",","")),"")</f>
        <v>-55449</v>
      </c>
    </row>
    <row r="2040" customFormat="false" ht="15" hidden="false" customHeight="true" outlineLevel="0" collapsed="false">
      <c r="A2040" s="11" t="str">
        <f aca="false">TRIM('수출입 실적(품목별)'!A2044)</f>
        <v>2025.10</v>
      </c>
      <c r="B2040" s="17" t="n">
        <f aca="false">IFERROR(VALUE(LEFT($A2040,4)),"")</f>
        <v>2025</v>
      </c>
      <c r="C2040" s="17" t="n">
        <f aca="false">IFERROR(VALUE(RIGHT($A2040,2)),"")</f>
        <v>10</v>
      </c>
      <c r="D2040" s="17" t="n">
        <f aca="false">IFERROR(ROUNDUP($C2040/3,0),"")</f>
        <v>4</v>
      </c>
      <c r="E2040" s="11" t="str">
        <f aca="false">TRIM('수출입 실적(품목별)'!B2044)</f>
        <v>17</v>
      </c>
      <c r="F2040" s="11" t="str">
        <f aca="false">TRIM('수출입 실적(품목별)'!C2044)</f>
        <v>당류(糖類)와 설탕과자</v>
      </c>
      <c r="G2040" s="18" t="n">
        <f aca="false">IFERROR(VALUE(SUBSTITUTE(TRIM('수출입 실적(품목별)'!D2044),",","")),"")</f>
        <v>31154.6</v>
      </c>
      <c r="H2040" s="19" t="n">
        <f aca="false">IFERROR(VALUE(SUBSTITUTE(TRIM('수출입 실적(품목별)'!E2044),",","")),"")</f>
        <v>27166</v>
      </c>
      <c r="I2040" s="18" t="n">
        <f aca="false">IFERROR(VALUE(SUBSTITUTE(TRIM('수출입 실적(품목별)'!F2044),",","")),"")</f>
        <v>179655.4</v>
      </c>
      <c r="J2040" s="19" t="n">
        <f aca="false">IFERROR(VALUE(SUBSTITUTE(TRIM('수출입 실적(품목별)'!G2044),",","")),"")</f>
        <v>103018</v>
      </c>
      <c r="K2040" s="19" t="n">
        <f aca="false">IFERROR(VALUE(SUBSTITUTE(TRIM('수출입 실적(품목별)'!H2044),",","")),"")</f>
        <v>-75852</v>
      </c>
    </row>
    <row r="2041" customFormat="false" ht="15" hidden="false" customHeight="true" outlineLevel="0" collapsed="false">
      <c r="A2041" s="11" t="str">
        <f aca="false">TRIM('수출입 실적(품목별)'!A2045)</f>
        <v>2025.10</v>
      </c>
      <c r="B2041" s="17" t="n">
        <f aca="false">IFERROR(VALUE(LEFT($A2041,4)),"")</f>
        <v>2025</v>
      </c>
      <c r="C2041" s="17" t="n">
        <f aca="false">IFERROR(VALUE(RIGHT($A2041,2)),"")</f>
        <v>10</v>
      </c>
      <c r="D2041" s="17" t="n">
        <f aca="false">IFERROR(ROUNDUP($C2041/3,0),"")</f>
        <v>4</v>
      </c>
      <c r="E2041" s="11" t="str">
        <f aca="false">TRIM('수출입 실적(품목별)'!B2045)</f>
        <v>18</v>
      </c>
      <c r="F2041" s="11" t="str">
        <f aca="false">TRIM('수출입 실적(품목별)'!C2045)</f>
        <v>코코아와 그 조제품</v>
      </c>
      <c r="G2041" s="18" t="n">
        <f aca="false">IFERROR(VALUE(SUBSTITUTE(TRIM('수출입 실적(품목별)'!D2045),",","")),"")</f>
        <v>1991.2</v>
      </c>
      <c r="H2041" s="19" t="n">
        <f aca="false">IFERROR(VALUE(SUBSTITUTE(TRIM('수출입 실적(품목별)'!E2045),",","")),"")</f>
        <v>7760</v>
      </c>
      <c r="I2041" s="18" t="n">
        <f aca="false">IFERROR(VALUE(SUBSTITUTE(TRIM('수출입 실적(품목별)'!F2045),",","")),"")</f>
        <v>5482.5</v>
      </c>
      <c r="J2041" s="19" t="n">
        <f aca="false">IFERROR(VALUE(SUBSTITUTE(TRIM('수출입 실적(품목별)'!G2045),",","")),"")</f>
        <v>52161</v>
      </c>
      <c r="K2041" s="19" t="n">
        <f aca="false">IFERROR(VALUE(SUBSTITUTE(TRIM('수출입 실적(품목별)'!H2045),",","")),"")</f>
        <v>-44401</v>
      </c>
    </row>
    <row r="2042" customFormat="false" ht="15" hidden="false" customHeight="true" outlineLevel="0" collapsed="false">
      <c r="A2042" s="11" t="str">
        <f aca="false">TRIM('수출입 실적(품목별)'!A2046)</f>
        <v>2025.10</v>
      </c>
      <c r="B2042" s="17" t="n">
        <f aca="false">IFERROR(VALUE(LEFT($A2042,4)),"")</f>
        <v>2025</v>
      </c>
      <c r="C2042" s="17" t="n">
        <f aca="false">IFERROR(VALUE(RIGHT($A2042,2)),"")</f>
        <v>10</v>
      </c>
      <c r="D2042" s="17" t="n">
        <f aca="false">IFERROR(ROUNDUP($C2042/3,0),"")</f>
        <v>4</v>
      </c>
      <c r="E2042" s="11" t="str">
        <f aca="false">TRIM('수출입 실적(품목별)'!B2046)</f>
        <v>19</v>
      </c>
      <c r="F2042" s="11" t="str">
        <f aca="false">TRIM('수출입 실적(품목별)'!C2046)</f>
        <v>곡물ㆍ고운 가루ㆍ전분ㆍ밀크의 조제품과 베이커리 제품</v>
      </c>
      <c r="G2042" s="18" t="n">
        <f aca="false">IFERROR(VALUE(SUBSTITUTE(TRIM('수출입 실적(품목별)'!D2046),",","")),"")</f>
        <v>54049</v>
      </c>
      <c r="H2042" s="19" t="n">
        <f aca="false">IFERROR(VALUE(SUBSTITUTE(TRIM('수출입 실적(품목별)'!E2046),",","")),"")</f>
        <v>212787</v>
      </c>
      <c r="I2042" s="18" t="n">
        <f aca="false">IFERROR(VALUE(SUBSTITUTE(TRIM('수출입 실적(품목별)'!F2046),",","")),"")</f>
        <v>28998.5</v>
      </c>
      <c r="J2042" s="19" t="n">
        <f aca="false">IFERROR(VALUE(SUBSTITUTE(TRIM('수출입 실적(품목별)'!G2046),",","")),"")</f>
        <v>94436</v>
      </c>
      <c r="K2042" s="19" t="n">
        <f aca="false">IFERROR(VALUE(SUBSTITUTE(TRIM('수출입 실적(품목별)'!H2046),",","")),"")</f>
        <v>118351</v>
      </c>
    </row>
    <row r="2043" customFormat="false" ht="15" hidden="false" customHeight="true" outlineLevel="0" collapsed="false">
      <c r="A2043" s="11" t="str">
        <f aca="false">TRIM('수출입 실적(품목별)'!A2047)</f>
        <v>2025.10</v>
      </c>
      <c r="B2043" s="17" t="n">
        <f aca="false">IFERROR(VALUE(LEFT($A2043,4)),"")</f>
        <v>2025</v>
      </c>
      <c r="C2043" s="17" t="n">
        <f aca="false">IFERROR(VALUE(RIGHT($A2043,2)),"")</f>
        <v>10</v>
      </c>
      <c r="D2043" s="17" t="n">
        <f aca="false">IFERROR(ROUNDUP($C2043/3,0),"")</f>
        <v>4</v>
      </c>
      <c r="E2043" s="11" t="str">
        <f aca="false">TRIM('수출입 실적(품목별)'!B2047)</f>
        <v>20</v>
      </c>
      <c r="F2043" s="11" t="str">
        <f aca="false">TRIM('수출입 실적(품목별)'!C2047)</f>
        <v>채소ㆍ과실ㆍ견과류나 식물의그 밖의 부분의 조제품</v>
      </c>
      <c r="G2043" s="18" t="n">
        <f aca="false">IFERROR(VALUE(SUBSTITUTE(TRIM('수출입 실적(품목별)'!D2047),",","")),"")</f>
        <v>8056.3</v>
      </c>
      <c r="H2043" s="19" t="n">
        <f aca="false">IFERROR(VALUE(SUBSTITUTE(TRIM('수출입 실적(품목별)'!E2047),",","")),"")</f>
        <v>73401</v>
      </c>
      <c r="I2043" s="18" t="n">
        <f aca="false">IFERROR(VALUE(SUBSTITUTE(TRIM('수출입 실적(품목별)'!F2047),",","")),"")</f>
        <v>92574.3</v>
      </c>
      <c r="J2043" s="19" t="n">
        <f aca="false">IFERROR(VALUE(SUBSTITUTE(TRIM('수출입 실적(품목별)'!G2047),",","")),"")</f>
        <v>132441</v>
      </c>
      <c r="K2043" s="19" t="n">
        <f aca="false">IFERROR(VALUE(SUBSTITUTE(TRIM('수출입 실적(품목별)'!H2047),",","")),"")</f>
        <v>-59041</v>
      </c>
    </row>
    <row r="2044" customFormat="false" ht="15" hidden="false" customHeight="true" outlineLevel="0" collapsed="false">
      <c r="A2044" s="11" t="str">
        <f aca="false">TRIM('수출입 실적(품목별)'!A2048)</f>
        <v>2025.10</v>
      </c>
      <c r="B2044" s="17" t="n">
        <f aca="false">IFERROR(VALUE(LEFT($A2044,4)),"")</f>
        <v>2025</v>
      </c>
      <c r="C2044" s="17" t="n">
        <f aca="false">IFERROR(VALUE(RIGHT($A2044,2)),"")</f>
        <v>10</v>
      </c>
      <c r="D2044" s="17" t="n">
        <f aca="false">IFERROR(ROUNDUP($C2044/3,0),"")</f>
        <v>4</v>
      </c>
      <c r="E2044" s="11" t="str">
        <f aca="false">TRIM('수출입 실적(품목별)'!B2048)</f>
        <v>21</v>
      </c>
      <c r="F2044" s="11" t="str">
        <f aca="false">TRIM('수출입 실적(품목별)'!C2048)</f>
        <v>각종 조제 식료품</v>
      </c>
      <c r="G2044" s="18" t="n">
        <f aca="false">IFERROR(VALUE(SUBSTITUTE(TRIM('수출입 실적(품목별)'!D2048),",","")),"")</f>
        <v>31109.4</v>
      </c>
      <c r="H2044" s="19" t="n">
        <f aca="false">IFERROR(VALUE(SUBSTITUTE(TRIM('수출입 실적(품목별)'!E2048),",","")),"")</f>
        <v>139915</v>
      </c>
      <c r="I2044" s="18" t="n">
        <f aca="false">IFERROR(VALUE(SUBSTITUTE(TRIM('수출입 실적(품목별)'!F2048),",","")),"")</f>
        <v>30725.7</v>
      </c>
      <c r="J2044" s="19" t="n">
        <f aca="false">IFERROR(VALUE(SUBSTITUTE(TRIM('수출입 실적(품목별)'!G2048),",","")),"")</f>
        <v>223287</v>
      </c>
      <c r="K2044" s="19" t="n">
        <f aca="false">IFERROR(VALUE(SUBSTITUTE(TRIM('수출입 실적(품목별)'!H2048),",","")),"")</f>
        <v>-83373</v>
      </c>
    </row>
    <row r="2045" customFormat="false" ht="15" hidden="false" customHeight="true" outlineLevel="0" collapsed="false">
      <c r="A2045" s="11" t="str">
        <f aca="false">TRIM('수출입 실적(품목별)'!A2049)</f>
        <v>2025.10</v>
      </c>
      <c r="B2045" s="17" t="n">
        <f aca="false">IFERROR(VALUE(LEFT($A2045,4)),"")</f>
        <v>2025</v>
      </c>
      <c r="C2045" s="17" t="n">
        <f aca="false">IFERROR(VALUE(RIGHT($A2045,2)),"")</f>
        <v>10</v>
      </c>
      <c r="D2045" s="17" t="n">
        <f aca="false">IFERROR(ROUNDUP($C2045/3,0),"")</f>
        <v>4</v>
      </c>
      <c r="E2045" s="11" t="str">
        <f aca="false">TRIM('수출입 실적(품목별)'!B2049)</f>
        <v>22</v>
      </c>
      <c r="F2045" s="11" t="str">
        <f aca="false">TRIM('수출입 실적(품목별)'!C2049)</f>
        <v>음료ㆍ주류ㆍ식초</v>
      </c>
      <c r="G2045" s="18" t="n">
        <f aca="false">IFERROR(VALUE(SUBSTITUTE(TRIM('수출입 실적(품목별)'!D2049),",","")),"")</f>
        <v>65401.5</v>
      </c>
      <c r="H2045" s="19" t="n">
        <f aca="false">IFERROR(VALUE(SUBSTITUTE(TRIM('수출입 실적(품목별)'!E2049),",","")),"")</f>
        <v>81967</v>
      </c>
      <c r="I2045" s="18" t="n">
        <f aca="false">IFERROR(VALUE(SUBSTITUTE(TRIM('수출입 실적(품목별)'!F2049),",","")),"")</f>
        <v>79814.2</v>
      </c>
      <c r="J2045" s="19" t="n">
        <f aca="false">IFERROR(VALUE(SUBSTITUTE(TRIM('수출입 실적(품목별)'!G2049),",","")),"")</f>
        <v>126349</v>
      </c>
      <c r="K2045" s="19" t="n">
        <f aca="false">IFERROR(VALUE(SUBSTITUTE(TRIM('수출입 실적(품목별)'!H2049),",","")),"")</f>
        <v>-44383</v>
      </c>
    </row>
    <row r="2046" customFormat="false" ht="15" hidden="false" customHeight="true" outlineLevel="0" collapsed="false">
      <c r="A2046" s="11" t="str">
        <f aca="false">TRIM('수출입 실적(품목별)'!A2050)</f>
        <v>2025.10</v>
      </c>
      <c r="B2046" s="17" t="n">
        <f aca="false">IFERROR(VALUE(LEFT($A2046,4)),"")</f>
        <v>2025</v>
      </c>
      <c r="C2046" s="17" t="n">
        <f aca="false">IFERROR(VALUE(RIGHT($A2046,2)),"")</f>
        <v>10</v>
      </c>
      <c r="D2046" s="17" t="n">
        <f aca="false">IFERROR(ROUNDUP($C2046/3,0),"")</f>
        <v>4</v>
      </c>
      <c r="E2046" s="11" t="str">
        <f aca="false">TRIM('수출입 실적(품목별)'!B2050)</f>
        <v>23</v>
      </c>
      <c r="F2046" s="11" t="str">
        <f aca="false">TRIM('수출입 실적(품목별)'!C2050)</f>
        <v>식품 공업에서 생기는 잔재물과 웨이스트(waste), 조제 사료</v>
      </c>
      <c r="G2046" s="18" t="n">
        <f aca="false">IFERROR(VALUE(SUBSTITUTE(TRIM('수출입 실적(품목별)'!D2050),",","")),"")</f>
        <v>26361.1</v>
      </c>
      <c r="H2046" s="19" t="n">
        <f aca="false">IFERROR(VALUE(SUBSTITUTE(TRIM('수출입 실적(품목별)'!E2050),",","")),"")</f>
        <v>23553</v>
      </c>
      <c r="I2046" s="18" t="n">
        <f aca="false">IFERROR(VALUE(SUBSTITUTE(TRIM('수출입 실적(품목별)'!F2050),",","")),"")</f>
        <v>591177.7</v>
      </c>
      <c r="J2046" s="19" t="n">
        <f aca="false">IFERROR(VALUE(SUBSTITUTE(TRIM('수출입 실적(품목별)'!G2050),",","")),"")</f>
        <v>188970</v>
      </c>
      <c r="K2046" s="19" t="n">
        <f aca="false">IFERROR(VALUE(SUBSTITUTE(TRIM('수출입 실적(품목별)'!H2050),",","")),"")</f>
        <v>-165417</v>
      </c>
    </row>
    <row r="2047" customFormat="false" ht="15" hidden="false" customHeight="true" outlineLevel="0" collapsed="false">
      <c r="A2047" s="11" t="str">
        <f aca="false">TRIM('수출입 실적(품목별)'!A2051)</f>
        <v>2025.10</v>
      </c>
      <c r="B2047" s="17" t="n">
        <f aca="false">IFERROR(VALUE(LEFT($A2047,4)),"")</f>
        <v>2025</v>
      </c>
      <c r="C2047" s="17" t="n">
        <f aca="false">IFERROR(VALUE(RIGHT($A2047,2)),"")</f>
        <v>10</v>
      </c>
      <c r="D2047" s="17" t="n">
        <f aca="false">IFERROR(ROUNDUP($C2047/3,0),"")</f>
        <v>4</v>
      </c>
      <c r="E2047" s="11" t="str">
        <f aca="false">TRIM('수출입 실적(품목별)'!B2051)</f>
        <v>24</v>
      </c>
      <c r="F2047" s="11" t="str">
        <f aca="false">TRIM('수출입 실적(품목별)'!C2051)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047" s="18" t="n">
        <f aca="false">IFERROR(VALUE(SUBSTITUTE(TRIM('수출입 실적(품목별)'!D2051),",","")),"")</f>
        <v>5277.8</v>
      </c>
      <c r="H2047" s="19" t="n">
        <f aca="false">IFERROR(VALUE(SUBSTITUTE(TRIM('수출입 실적(품목별)'!E2051),",","")),"")</f>
        <v>73309</v>
      </c>
      <c r="I2047" s="18" t="n">
        <f aca="false">IFERROR(VALUE(SUBSTITUTE(TRIM('수출입 실적(품목별)'!F2051),",","")),"")</f>
        <v>6523.8</v>
      </c>
      <c r="J2047" s="19" t="n">
        <f aca="false">IFERROR(VALUE(SUBSTITUTE(TRIM('수출입 실적(품목별)'!G2051),",","")),"")</f>
        <v>58873</v>
      </c>
      <c r="K2047" s="19" t="n">
        <f aca="false">IFERROR(VALUE(SUBSTITUTE(TRIM('수출입 실적(품목별)'!H2051),",","")),"")</f>
        <v>14437</v>
      </c>
    </row>
    <row r="2048" customFormat="false" ht="15" hidden="false" customHeight="true" outlineLevel="0" collapsed="false">
      <c r="A2048" s="11" t="str">
        <f aca="false">TRIM('수출입 실적(품목별)'!A2052)</f>
        <v>2025.10</v>
      </c>
      <c r="B2048" s="17" t="n">
        <f aca="false">IFERROR(VALUE(LEFT($A2048,4)),"")</f>
        <v>2025</v>
      </c>
      <c r="C2048" s="17" t="n">
        <f aca="false">IFERROR(VALUE(RIGHT($A2048,2)),"")</f>
        <v>10</v>
      </c>
      <c r="D2048" s="17" t="n">
        <f aca="false">IFERROR(ROUNDUP($C2048/3,0),"")</f>
        <v>4</v>
      </c>
      <c r="E2048" s="11" t="str">
        <f aca="false">TRIM('수출입 실적(품목별)'!B2052)</f>
        <v>25</v>
      </c>
      <c r="F2048" s="11" t="str">
        <f aca="false">TRIM('수출입 실적(품목별)'!C2052)</f>
        <v>소금, 황, 토석류(土石類), 석고ㆍ석회ㆍ시멘트</v>
      </c>
      <c r="G2048" s="18" t="n">
        <f aca="false">IFERROR(VALUE(SUBSTITUTE(TRIM('수출입 실적(품목별)'!D2052),",","")),"")</f>
        <v>632522.2</v>
      </c>
      <c r="H2048" s="19" t="n">
        <f aca="false">IFERROR(VALUE(SUBSTITUTE(TRIM('수출입 실적(품목별)'!E2052),",","")),"")</f>
        <v>49178</v>
      </c>
      <c r="I2048" s="18" t="n">
        <f aca="false">IFERROR(VALUE(SUBSTITUTE(TRIM('수출입 실적(품목별)'!F2052),",","")),"")</f>
        <v>944191</v>
      </c>
      <c r="J2048" s="19" t="n">
        <f aca="false">IFERROR(VALUE(SUBSTITUTE(TRIM('수출입 실적(품목별)'!G2052),",","")),"")</f>
        <v>66077</v>
      </c>
      <c r="K2048" s="19" t="n">
        <f aca="false">IFERROR(VALUE(SUBSTITUTE(TRIM('수출입 실적(품목별)'!H2052),",","")),"")</f>
        <v>-16899</v>
      </c>
    </row>
    <row r="2049" customFormat="false" ht="15" hidden="false" customHeight="true" outlineLevel="0" collapsed="false">
      <c r="A2049" s="11" t="str">
        <f aca="false">TRIM('수출입 실적(품목별)'!A2053)</f>
        <v>2025.10</v>
      </c>
      <c r="B2049" s="17" t="n">
        <f aca="false">IFERROR(VALUE(LEFT($A2049,4)),"")</f>
        <v>2025</v>
      </c>
      <c r="C2049" s="17" t="n">
        <f aca="false">IFERROR(VALUE(RIGHT($A2049,2)),"")</f>
        <v>10</v>
      </c>
      <c r="D2049" s="17" t="n">
        <f aca="false">IFERROR(ROUNDUP($C2049/3,0),"")</f>
        <v>4</v>
      </c>
      <c r="E2049" s="11" t="str">
        <f aca="false">TRIM('수출입 실적(품목별)'!B2053)</f>
        <v>26</v>
      </c>
      <c r="F2049" s="11" t="str">
        <f aca="false">TRIM('수출입 실적(품목별)'!C2053)</f>
        <v>광(鑛)ㆍ슬래그(slag)ㆍ회(灰)</v>
      </c>
      <c r="G2049" s="18" t="n">
        <f aca="false">IFERROR(VALUE(SUBSTITUTE(TRIM('수출입 실적(품목별)'!D2053),",","")),"")</f>
        <v>196808.4</v>
      </c>
      <c r="H2049" s="19" t="n">
        <f aca="false">IFERROR(VALUE(SUBSTITUTE(TRIM('수출입 실적(품목별)'!E2053),",","")),"")</f>
        <v>45755</v>
      </c>
      <c r="I2049" s="18" t="n">
        <f aca="false">IFERROR(VALUE(SUBSTITUTE(TRIM('수출입 실적(품목별)'!F2053),",","")),"")</f>
        <v>7659931.6</v>
      </c>
      <c r="J2049" s="19" t="n">
        <f aca="false">IFERROR(VALUE(SUBSTITUTE(TRIM('수출입 실적(품목별)'!G2053),",","")),"")</f>
        <v>1936338</v>
      </c>
      <c r="K2049" s="19" t="n">
        <f aca="false">IFERROR(VALUE(SUBSTITUTE(TRIM('수출입 실적(품목별)'!H2053),",","")),"")</f>
        <v>-1890583</v>
      </c>
    </row>
    <row r="2050" customFormat="false" ht="15" hidden="false" customHeight="true" outlineLevel="0" collapsed="false">
      <c r="A2050" s="11" t="str">
        <f aca="false">TRIM('수출입 실적(품목별)'!A2054)</f>
        <v>2025.10</v>
      </c>
      <c r="B2050" s="17" t="n">
        <f aca="false">IFERROR(VALUE(LEFT($A2050,4)),"")</f>
        <v>2025</v>
      </c>
      <c r="C2050" s="17" t="n">
        <f aca="false">IFERROR(VALUE(RIGHT($A2050,2)),"")</f>
        <v>10</v>
      </c>
      <c r="D2050" s="17" t="n">
        <f aca="false">IFERROR(ROUNDUP($C2050/3,0),"")</f>
        <v>4</v>
      </c>
      <c r="E2050" s="11" t="str">
        <f aca="false">TRIM('수출입 실적(품목별)'!B2054)</f>
        <v>27</v>
      </c>
      <c r="F2050" s="11" t="str">
        <f aca="false">TRIM('수출입 실적(품목별)'!C2054)</f>
        <v>광물성 연료ㆍ광물유(鑛物油)와 이들의 증류물, 역청(瀝靑)물질, 광물성 왁스</v>
      </c>
      <c r="G2050" s="18" t="n">
        <f aca="false">IFERROR(VALUE(SUBSTITUTE(TRIM('수출입 실적(품목별)'!D2054),",","")),"")</f>
        <v>5771684.2</v>
      </c>
      <c r="H2050" s="19" t="n">
        <f aca="false">IFERROR(VALUE(SUBSTITUTE(TRIM('수출입 실적(품목별)'!E2054),",","")),"")</f>
        <v>3933652</v>
      </c>
      <c r="I2050" s="18" t="n">
        <f aca="false">IFERROR(VALUE(SUBSTITUTE(TRIM('수출입 실적(품목별)'!F2054),",","")),"")</f>
        <v>29898879.2</v>
      </c>
      <c r="J2050" s="19" t="n">
        <f aca="false">IFERROR(VALUE(SUBSTITUTE(TRIM('수출입 실적(품목별)'!G2054),",","")),"")</f>
        <v>11864276</v>
      </c>
      <c r="K2050" s="19" t="n">
        <f aca="false">IFERROR(VALUE(SUBSTITUTE(TRIM('수출입 실적(품목별)'!H2054),",","")),"")</f>
        <v>-7930624</v>
      </c>
    </row>
    <row r="2051" customFormat="false" ht="15" hidden="false" customHeight="true" outlineLevel="0" collapsed="false">
      <c r="A2051" s="11" t="str">
        <f aca="false">TRIM('수출입 실적(품목별)'!A2055)</f>
        <v>2025.10</v>
      </c>
      <c r="B2051" s="17" t="n">
        <f aca="false">IFERROR(VALUE(LEFT($A2051,4)),"")</f>
        <v>2025</v>
      </c>
      <c r="C2051" s="17" t="n">
        <f aca="false">IFERROR(VALUE(RIGHT($A2051,2)),"")</f>
        <v>10</v>
      </c>
      <c r="D2051" s="17" t="n">
        <f aca="false">IFERROR(ROUNDUP($C2051/3,0),"")</f>
        <v>4</v>
      </c>
      <c r="E2051" s="11" t="str">
        <f aca="false">TRIM('수출입 실적(품목별)'!B2055)</f>
        <v>28</v>
      </c>
      <c r="F2051" s="11" t="str">
        <f aca="false">TRIM('수출입 실적(품목별)'!C2055)</f>
        <v>무기화학품, 귀금속ㆍ희토류(稀土類)금속ㆍ방사성원소ㆍ동위원소의 유기화합물이나 무기화합물</v>
      </c>
      <c r="G2051" s="18" t="n">
        <f aca="false">IFERROR(VALUE(SUBSTITUTE(TRIM('수출입 실적(품목별)'!D2055),",","")),"")</f>
        <v>540886.5</v>
      </c>
      <c r="H2051" s="19" t="n">
        <f aca="false">IFERROR(VALUE(SUBSTITUTE(TRIM('수출입 실적(품목별)'!E2055),",","")),"")</f>
        <v>653260</v>
      </c>
      <c r="I2051" s="18" t="n">
        <f aca="false">IFERROR(VALUE(SUBSTITUTE(TRIM('수출입 실적(품목별)'!F2055),",","")),"")</f>
        <v>335268.7</v>
      </c>
      <c r="J2051" s="19" t="n">
        <f aca="false">IFERROR(VALUE(SUBSTITUTE(TRIM('수출입 실적(품목별)'!G2055),",","")),"")</f>
        <v>896049</v>
      </c>
      <c r="K2051" s="19" t="n">
        <f aca="false">IFERROR(VALUE(SUBSTITUTE(TRIM('수출입 실적(품목별)'!H2055),",","")),"")</f>
        <v>-242789</v>
      </c>
    </row>
    <row r="2052" customFormat="false" ht="15" hidden="false" customHeight="true" outlineLevel="0" collapsed="false">
      <c r="A2052" s="11" t="str">
        <f aca="false">TRIM('수출입 실적(품목별)'!A2056)</f>
        <v>2025.10</v>
      </c>
      <c r="B2052" s="17" t="n">
        <f aca="false">IFERROR(VALUE(LEFT($A2052,4)),"")</f>
        <v>2025</v>
      </c>
      <c r="C2052" s="17" t="n">
        <f aca="false">IFERROR(VALUE(RIGHT($A2052,2)),"")</f>
        <v>10</v>
      </c>
      <c r="D2052" s="17" t="n">
        <f aca="false">IFERROR(ROUNDUP($C2052/3,0),"")</f>
        <v>4</v>
      </c>
      <c r="E2052" s="11" t="str">
        <f aca="false">TRIM('수출입 실적(품목별)'!B2056)</f>
        <v>29</v>
      </c>
      <c r="F2052" s="11" t="str">
        <f aca="false">TRIM('수출입 실적(품목별)'!C2056)</f>
        <v>유기화학품</v>
      </c>
      <c r="G2052" s="18" t="n">
        <f aca="false">IFERROR(VALUE(SUBSTITUTE(TRIM('수출입 실적(품목별)'!D2056),",","")),"")</f>
        <v>1560834.7</v>
      </c>
      <c r="H2052" s="19" t="n">
        <f aca="false">IFERROR(VALUE(SUBSTITUTE(TRIM('수출입 실적(품목별)'!E2056),",","")),"")</f>
        <v>1429506</v>
      </c>
      <c r="I2052" s="18" t="n">
        <f aca="false">IFERROR(VALUE(SUBSTITUTE(TRIM('수출입 실적(품목별)'!F2056),",","")),"")</f>
        <v>643800.6</v>
      </c>
      <c r="J2052" s="19" t="n">
        <f aca="false">IFERROR(VALUE(SUBSTITUTE(TRIM('수출입 실적(품목별)'!G2056),",","")),"")</f>
        <v>978532</v>
      </c>
      <c r="K2052" s="19" t="n">
        <f aca="false">IFERROR(VALUE(SUBSTITUTE(TRIM('수출입 실적(품목별)'!H2056),",","")),"")</f>
        <v>450974</v>
      </c>
    </row>
    <row r="2053" customFormat="false" ht="15" hidden="false" customHeight="true" outlineLevel="0" collapsed="false">
      <c r="A2053" s="11" t="str">
        <f aca="false">TRIM('수출입 실적(품목별)'!A2057)</f>
        <v>2025.10</v>
      </c>
      <c r="B2053" s="17" t="n">
        <f aca="false">IFERROR(VALUE(LEFT($A2053,4)),"")</f>
        <v>2025</v>
      </c>
      <c r="C2053" s="17" t="n">
        <f aca="false">IFERROR(VALUE(RIGHT($A2053,2)),"")</f>
        <v>10</v>
      </c>
      <c r="D2053" s="17" t="n">
        <f aca="false">IFERROR(ROUNDUP($C2053/3,0),"")</f>
        <v>4</v>
      </c>
      <c r="E2053" s="11" t="str">
        <f aca="false">TRIM('수출입 실적(품목별)'!B2057)</f>
        <v>30</v>
      </c>
      <c r="F2053" s="11" t="str">
        <f aca="false">TRIM('수출입 실적(품목별)'!C2057)</f>
        <v>의료용품</v>
      </c>
      <c r="G2053" s="18" t="n">
        <f aca="false">IFERROR(VALUE(SUBSTITUTE(TRIM('수출입 실적(품목별)'!D2057),",","")),"")</f>
        <v>2157.5</v>
      </c>
      <c r="H2053" s="19" t="n">
        <f aca="false">IFERROR(VALUE(SUBSTITUTE(TRIM('수출입 실적(품목별)'!E2057),",","")),"")</f>
        <v>649257</v>
      </c>
      <c r="I2053" s="18" t="n">
        <f aca="false">IFERROR(VALUE(SUBSTITUTE(TRIM('수출입 실적(품목별)'!F2057),",","")),"")</f>
        <v>8042.9</v>
      </c>
      <c r="J2053" s="19" t="n">
        <f aca="false">IFERROR(VALUE(SUBSTITUTE(TRIM('수출입 실적(품목별)'!G2057),",","")),"")</f>
        <v>832676</v>
      </c>
      <c r="K2053" s="19" t="n">
        <f aca="false">IFERROR(VALUE(SUBSTITUTE(TRIM('수출입 실적(품목별)'!H2057),",","")),"")</f>
        <v>-183419</v>
      </c>
    </row>
    <row r="2054" customFormat="false" ht="15" hidden="false" customHeight="true" outlineLevel="0" collapsed="false">
      <c r="A2054" s="11" t="str">
        <f aca="false">TRIM('수출입 실적(품목별)'!A2058)</f>
        <v>2025.10</v>
      </c>
      <c r="B2054" s="17" t="n">
        <f aca="false">IFERROR(VALUE(LEFT($A2054,4)),"")</f>
        <v>2025</v>
      </c>
      <c r="C2054" s="17" t="n">
        <f aca="false">IFERROR(VALUE(RIGHT($A2054,2)),"")</f>
        <v>10</v>
      </c>
      <c r="D2054" s="17" t="n">
        <f aca="false">IFERROR(ROUNDUP($C2054/3,0),"")</f>
        <v>4</v>
      </c>
      <c r="E2054" s="11" t="str">
        <f aca="false">TRIM('수출입 실적(품목별)'!B2058)</f>
        <v>31</v>
      </c>
      <c r="F2054" s="11" t="str">
        <f aca="false">TRIM('수출입 실적(품목별)'!C2058)</f>
        <v>비료</v>
      </c>
      <c r="G2054" s="18" t="n">
        <f aca="false">IFERROR(VALUE(SUBSTITUTE(TRIM('수출입 실적(품목별)'!D2058),",","")),"")</f>
        <v>65499</v>
      </c>
      <c r="H2054" s="19" t="n">
        <f aca="false">IFERROR(VALUE(SUBSTITUTE(TRIM('수출입 실적(품목별)'!E2058),",","")),"")</f>
        <v>30660</v>
      </c>
      <c r="I2054" s="18" t="n">
        <f aca="false">IFERROR(VALUE(SUBSTITUTE(TRIM('수출입 실적(품목별)'!F2058),",","")),"")</f>
        <v>135309.3</v>
      </c>
      <c r="J2054" s="19" t="n">
        <f aca="false">IFERROR(VALUE(SUBSTITUTE(TRIM('수출입 실적(품목별)'!G2058),",","")),"")</f>
        <v>60038</v>
      </c>
      <c r="K2054" s="19" t="n">
        <f aca="false">IFERROR(VALUE(SUBSTITUTE(TRIM('수출입 실적(품목별)'!H2058),",","")),"")</f>
        <v>-29378</v>
      </c>
    </row>
    <row r="2055" customFormat="false" ht="15" hidden="false" customHeight="true" outlineLevel="0" collapsed="false">
      <c r="A2055" s="11" t="str">
        <f aca="false">TRIM('수출입 실적(품목별)'!A2059)</f>
        <v>2025.10</v>
      </c>
      <c r="B2055" s="17" t="n">
        <f aca="false">IFERROR(VALUE(LEFT($A2055,4)),"")</f>
        <v>2025</v>
      </c>
      <c r="C2055" s="17" t="n">
        <f aca="false">IFERROR(VALUE(RIGHT($A2055,2)),"")</f>
        <v>10</v>
      </c>
      <c r="D2055" s="17" t="n">
        <f aca="false">IFERROR(ROUNDUP($C2055/3,0),"")</f>
        <v>4</v>
      </c>
      <c r="E2055" s="11" t="str">
        <f aca="false">TRIM('수출입 실적(품목별)'!B2059)</f>
        <v>32</v>
      </c>
      <c r="F2055" s="11" t="str">
        <f aca="false">TRIM('수출입 실적(품목별)'!C2059)</f>
        <v>유연용ㆍ염색용 추출물(extract), 탄닌과 이들의 유도체, 염료ㆍ안료와 그 밖의 착색제, 페인트ㆍ바니시(varnish), 퍼티(putty)와 그 밖의 매스틱(mastic), 잉크</v>
      </c>
      <c r="G2055" s="18" t="n">
        <f aca="false">IFERROR(VALUE(SUBSTITUTE(TRIM('수출입 실적(품목별)'!D2059),",","")),"")</f>
        <v>27281.3</v>
      </c>
      <c r="H2055" s="19" t="n">
        <f aca="false">IFERROR(VALUE(SUBSTITUTE(TRIM('수출입 실적(품목별)'!E2059),",","")),"")</f>
        <v>211007</v>
      </c>
      <c r="I2055" s="18" t="n">
        <f aca="false">IFERROR(VALUE(SUBSTITUTE(TRIM('수출입 실적(품목별)'!F2059),",","")),"")</f>
        <v>20693.7</v>
      </c>
      <c r="J2055" s="19" t="n">
        <f aca="false">IFERROR(VALUE(SUBSTITUTE(TRIM('수출입 실적(품목별)'!G2059),",","")),"")</f>
        <v>182113</v>
      </c>
      <c r="K2055" s="19" t="n">
        <f aca="false">IFERROR(VALUE(SUBSTITUTE(TRIM('수출입 실적(품목별)'!H2059),",","")),"")</f>
        <v>28894</v>
      </c>
    </row>
    <row r="2056" customFormat="false" ht="15" hidden="false" customHeight="true" outlineLevel="0" collapsed="false">
      <c r="A2056" s="11" t="str">
        <f aca="false">TRIM('수출입 실적(품목별)'!A2060)</f>
        <v>2025.10</v>
      </c>
      <c r="B2056" s="17" t="n">
        <f aca="false">IFERROR(VALUE(LEFT($A2056,4)),"")</f>
        <v>2025</v>
      </c>
      <c r="C2056" s="17" t="n">
        <f aca="false">IFERROR(VALUE(RIGHT($A2056,2)),"")</f>
        <v>10</v>
      </c>
      <c r="D2056" s="17" t="n">
        <f aca="false">IFERROR(ROUNDUP($C2056/3,0),"")</f>
        <v>4</v>
      </c>
      <c r="E2056" s="11" t="str">
        <f aca="false">TRIM('수출입 실적(품목별)'!B2060)</f>
        <v>33</v>
      </c>
      <c r="F2056" s="11" t="str">
        <f aca="false">TRIM('수출입 실적(품목별)'!C2060)</f>
        <v>정유(essential oil)와 레지노이드(resinoid), 조제향료와 화장품ㆍ화장용품</v>
      </c>
      <c r="G2056" s="18" t="n">
        <f aca="false">IFERROR(VALUE(SUBSTITUTE(TRIM('수출입 실적(품목별)'!D2060),",","")),"")</f>
        <v>37487.7</v>
      </c>
      <c r="H2056" s="19" t="n">
        <f aca="false">IFERROR(VALUE(SUBSTITUTE(TRIM('수출입 실적(품목별)'!E2060),",","")),"")</f>
        <v>878817</v>
      </c>
      <c r="I2056" s="18" t="n">
        <f aca="false">IFERROR(VALUE(SUBSTITUTE(TRIM('수출입 실적(품목별)'!F2060),",","")),"")</f>
        <v>9771.7</v>
      </c>
      <c r="J2056" s="19" t="n">
        <f aca="false">IFERROR(VALUE(SUBSTITUTE(TRIM('수출입 실적(품목별)'!G2060),",","")),"")</f>
        <v>172899</v>
      </c>
      <c r="K2056" s="19" t="n">
        <f aca="false">IFERROR(VALUE(SUBSTITUTE(TRIM('수출입 실적(품목별)'!H2060),",","")),"")</f>
        <v>705917</v>
      </c>
    </row>
    <row r="2057" customFormat="false" ht="15" hidden="false" customHeight="true" outlineLevel="0" collapsed="false">
      <c r="A2057" s="11" t="str">
        <f aca="false">TRIM('수출입 실적(품목별)'!A2061)</f>
        <v>2025.10</v>
      </c>
      <c r="B2057" s="17" t="n">
        <f aca="false">IFERROR(VALUE(LEFT($A2057,4)),"")</f>
        <v>2025</v>
      </c>
      <c r="C2057" s="17" t="n">
        <f aca="false">IFERROR(VALUE(RIGHT($A2057,2)),"")</f>
        <v>10</v>
      </c>
      <c r="D2057" s="17" t="n">
        <f aca="false">IFERROR(ROUNDUP($C2057/3,0),"")</f>
        <v>4</v>
      </c>
      <c r="E2057" s="11" t="str">
        <f aca="false">TRIM('수출입 실적(품목별)'!B2061)</f>
        <v>34</v>
      </c>
      <c r="F2057" s="11" t="str">
        <f aca="false">TRIM('수출입 실적(품목별)'!C2061)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057" s="18" t="n">
        <f aca="false">IFERROR(VALUE(SUBSTITUTE(TRIM('수출입 실적(품목별)'!D2061),",","")),"")</f>
        <v>52456.9</v>
      </c>
      <c r="H2057" s="19" t="n">
        <f aca="false">IFERROR(VALUE(SUBSTITUTE(TRIM('수출입 실적(품목별)'!E2061),",","")),"")</f>
        <v>171740</v>
      </c>
      <c r="I2057" s="18" t="n">
        <f aca="false">IFERROR(VALUE(SUBSTITUTE(TRIM('수출입 실적(품목별)'!F2061),",","")),"")</f>
        <v>21800.2</v>
      </c>
      <c r="J2057" s="19" t="n">
        <f aca="false">IFERROR(VALUE(SUBSTITUTE(TRIM('수출입 실적(품목별)'!G2061),",","")),"")</f>
        <v>88610</v>
      </c>
      <c r="K2057" s="19" t="n">
        <f aca="false">IFERROR(VALUE(SUBSTITUTE(TRIM('수출입 실적(품목별)'!H2061),",","")),"")</f>
        <v>83130</v>
      </c>
    </row>
    <row r="2058" customFormat="false" ht="15" hidden="false" customHeight="true" outlineLevel="0" collapsed="false">
      <c r="A2058" s="11" t="str">
        <f aca="false">TRIM('수출입 실적(품목별)'!A2062)</f>
        <v>2025.10</v>
      </c>
      <c r="B2058" s="17" t="n">
        <f aca="false">IFERROR(VALUE(LEFT($A2058,4)),"")</f>
        <v>2025</v>
      </c>
      <c r="C2058" s="17" t="n">
        <f aca="false">IFERROR(VALUE(RIGHT($A2058,2)),"")</f>
        <v>10</v>
      </c>
      <c r="D2058" s="17" t="n">
        <f aca="false">IFERROR(ROUNDUP($C2058/3,0),"")</f>
        <v>4</v>
      </c>
      <c r="E2058" s="11" t="str">
        <f aca="false">TRIM('수출입 실적(품목별)'!B2062)</f>
        <v>35</v>
      </c>
      <c r="F2058" s="11" t="str">
        <f aca="false">TRIM('수출입 실적(품목별)'!C2062)</f>
        <v>단백질계 물질, 변성전분, 글루(glue), 효소</v>
      </c>
      <c r="G2058" s="18" t="n">
        <f aca="false">IFERROR(VALUE(SUBSTITUTE(TRIM('수출입 실적(품목별)'!D2062),",","")),"")</f>
        <v>5563.4</v>
      </c>
      <c r="H2058" s="19" t="n">
        <f aca="false">IFERROR(VALUE(SUBSTITUTE(TRIM('수출입 실적(품목별)'!E2062),",","")),"")</f>
        <v>72381</v>
      </c>
      <c r="I2058" s="18" t="n">
        <f aca="false">IFERROR(VALUE(SUBSTITUTE(TRIM('수출입 실적(품목별)'!F2062),",","")),"")</f>
        <v>22706</v>
      </c>
      <c r="J2058" s="19" t="n">
        <f aca="false">IFERROR(VALUE(SUBSTITUTE(TRIM('수출입 실적(품목별)'!G2062),",","")),"")</f>
        <v>87113</v>
      </c>
      <c r="K2058" s="19" t="n">
        <f aca="false">IFERROR(VALUE(SUBSTITUTE(TRIM('수출입 실적(품목별)'!H2062),",","")),"")</f>
        <v>-14732</v>
      </c>
    </row>
    <row r="2059" customFormat="false" ht="15" hidden="false" customHeight="true" outlineLevel="0" collapsed="false">
      <c r="A2059" s="11" t="str">
        <f aca="false">TRIM('수출입 실적(품목별)'!A2063)</f>
        <v>2025.10</v>
      </c>
      <c r="B2059" s="17" t="n">
        <f aca="false">IFERROR(VALUE(LEFT($A2059,4)),"")</f>
        <v>2025</v>
      </c>
      <c r="C2059" s="17" t="n">
        <f aca="false">IFERROR(VALUE(RIGHT($A2059,2)),"")</f>
        <v>10</v>
      </c>
      <c r="D2059" s="17" t="n">
        <f aca="false">IFERROR(ROUNDUP($C2059/3,0),"")</f>
        <v>4</v>
      </c>
      <c r="E2059" s="11" t="str">
        <f aca="false">TRIM('수출입 실적(품목별)'!B2063)</f>
        <v>36</v>
      </c>
      <c r="F2059" s="11" t="str">
        <f aca="false">TRIM('수출입 실적(품목별)'!C2063)</f>
        <v>화약류, 화공품, 성냥, 발화성 합금, 특정 가연성 조제품</v>
      </c>
      <c r="G2059" s="18" t="n">
        <f aca="false">IFERROR(VALUE(SUBSTITUTE(TRIM('수출입 실적(품목별)'!D2063),",","")),"")</f>
        <v>195.4</v>
      </c>
      <c r="H2059" s="19" t="n">
        <f aca="false">IFERROR(VALUE(SUBSTITUTE(TRIM('수출입 실적(품목별)'!E2063),",","")),"")</f>
        <v>6801</v>
      </c>
      <c r="I2059" s="18" t="n">
        <f aca="false">IFERROR(VALUE(SUBSTITUTE(TRIM('수출입 실적(품목별)'!F2063),",","")),"")</f>
        <v>220.1</v>
      </c>
      <c r="J2059" s="19" t="n">
        <f aca="false">IFERROR(VALUE(SUBSTITUTE(TRIM('수출입 실적(품목별)'!G2063),",","")),"")</f>
        <v>7882</v>
      </c>
      <c r="K2059" s="19" t="n">
        <f aca="false">IFERROR(VALUE(SUBSTITUTE(TRIM('수출입 실적(품목별)'!H2063),",","")),"")</f>
        <v>-1081</v>
      </c>
    </row>
    <row r="2060" customFormat="false" ht="15" hidden="false" customHeight="true" outlineLevel="0" collapsed="false">
      <c r="A2060" s="11" t="str">
        <f aca="false">TRIM('수출입 실적(품목별)'!A2064)</f>
        <v>2025.10</v>
      </c>
      <c r="B2060" s="17" t="n">
        <f aca="false">IFERROR(VALUE(LEFT($A2060,4)),"")</f>
        <v>2025</v>
      </c>
      <c r="C2060" s="17" t="n">
        <f aca="false">IFERROR(VALUE(RIGHT($A2060,2)),"")</f>
        <v>10</v>
      </c>
      <c r="D2060" s="17" t="n">
        <f aca="false">IFERROR(ROUNDUP($C2060/3,0),"")</f>
        <v>4</v>
      </c>
      <c r="E2060" s="11" t="str">
        <f aca="false">TRIM('수출입 실적(품목별)'!B2064)</f>
        <v>37</v>
      </c>
      <c r="F2060" s="11" t="str">
        <f aca="false">TRIM('수출입 실적(품목별)'!C2064)</f>
        <v>사진용이나 영화용 재료</v>
      </c>
      <c r="G2060" s="18" t="n">
        <f aca="false">IFERROR(VALUE(SUBSTITUTE(TRIM('수출입 실적(품목별)'!D2064),",","")),"")</f>
        <v>1664.8</v>
      </c>
      <c r="H2060" s="19" t="n">
        <f aca="false">IFERROR(VALUE(SUBSTITUTE(TRIM('수출입 실적(품목별)'!E2064),",","")),"")</f>
        <v>91405</v>
      </c>
      <c r="I2060" s="18" t="n">
        <f aca="false">IFERROR(VALUE(SUBSTITUTE(TRIM('수출입 실적(품목별)'!F2064),",","")),"")</f>
        <v>2326.1</v>
      </c>
      <c r="J2060" s="19" t="n">
        <f aca="false">IFERROR(VALUE(SUBSTITUTE(TRIM('수출입 실적(품목별)'!G2064),",","")),"")</f>
        <v>102855</v>
      </c>
      <c r="K2060" s="19" t="n">
        <f aca="false">IFERROR(VALUE(SUBSTITUTE(TRIM('수출입 실적(품목별)'!H2064),",","")),"")</f>
        <v>-11450</v>
      </c>
    </row>
    <row r="2061" customFormat="false" ht="15" hidden="false" customHeight="true" outlineLevel="0" collapsed="false">
      <c r="A2061" s="11" t="str">
        <f aca="false">TRIM('수출입 실적(품목별)'!A2065)</f>
        <v>2025.10</v>
      </c>
      <c r="B2061" s="17" t="n">
        <f aca="false">IFERROR(VALUE(LEFT($A2061,4)),"")</f>
        <v>2025</v>
      </c>
      <c r="C2061" s="17" t="n">
        <f aca="false">IFERROR(VALUE(RIGHT($A2061,2)),"")</f>
        <v>10</v>
      </c>
      <c r="D2061" s="17" t="n">
        <f aca="false">IFERROR(ROUNDUP($C2061/3,0),"")</f>
        <v>4</v>
      </c>
      <c r="E2061" s="11" t="str">
        <f aca="false">TRIM('수출입 실적(품목별)'!B2065)</f>
        <v>38</v>
      </c>
      <c r="F2061" s="11" t="str">
        <f aca="false">TRIM('수출입 실적(품목별)'!C2065)</f>
        <v>각종 화학공업 생산품</v>
      </c>
      <c r="G2061" s="18" t="n">
        <f aca="false">IFERROR(VALUE(SUBSTITUTE(TRIM('수출입 실적(품목별)'!D2065),",","")),"")</f>
        <v>92247.1</v>
      </c>
      <c r="H2061" s="19" t="n">
        <f aca="false">IFERROR(VALUE(SUBSTITUTE(TRIM('수출입 실적(품목별)'!E2065),",","")),"")</f>
        <v>599068</v>
      </c>
      <c r="I2061" s="18" t="n">
        <f aca="false">IFERROR(VALUE(SUBSTITUTE(TRIM('수출입 실적(품목별)'!F2065),",","")),"")</f>
        <v>148141.6</v>
      </c>
      <c r="J2061" s="19" t="n">
        <f aca="false">IFERROR(VALUE(SUBSTITUTE(TRIM('수출입 실적(품목별)'!G2065),",","")),"")</f>
        <v>839901</v>
      </c>
      <c r="K2061" s="19" t="n">
        <f aca="false">IFERROR(VALUE(SUBSTITUTE(TRIM('수출입 실적(품목별)'!H2065),",","")),"")</f>
        <v>-240834</v>
      </c>
    </row>
    <row r="2062" customFormat="false" ht="15" hidden="false" customHeight="true" outlineLevel="0" collapsed="false">
      <c r="A2062" s="11" t="str">
        <f aca="false">TRIM('수출입 실적(품목별)'!A2066)</f>
        <v>2025.10</v>
      </c>
      <c r="B2062" s="17" t="n">
        <f aca="false">IFERROR(VALUE(LEFT($A2062,4)),"")</f>
        <v>2025</v>
      </c>
      <c r="C2062" s="17" t="n">
        <f aca="false">IFERROR(VALUE(RIGHT($A2062,2)),"")</f>
        <v>10</v>
      </c>
      <c r="D2062" s="17" t="n">
        <f aca="false">IFERROR(ROUNDUP($C2062/3,0),"")</f>
        <v>4</v>
      </c>
      <c r="E2062" s="11" t="str">
        <f aca="false">TRIM('수출입 실적(품목별)'!B2066)</f>
        <v>39</v>
      </c>
      <c r="F2062" s="11" t="str">
        <f aca="false">TRIM('수출입 실적(품목별)'!C2066)</f>
        <v>플라스틱과 그 제품</v>
      </c>
      <c r="G2062" s="18" t="n">
        <f aca="false">IFERROR(VALUE(SUBSTITUTE(TRIM('수출입 실적(품목별)'!D2066),",","")),"")</f>
        <v>1290897.2</v>
      </c>
      <c r="H2062" s="19" t="n">
        <f aca="false">IFERROR(VALUE(SUBSTITUTE(TRIM('수출입 실적(품목별)'!E2066),",","")),"")</f>
        <v>2501159</v>
      </c>
      <c r="I2062" s="18" t="n">
        <f aca="false">IFERROR(VALUE(SUBSTITUTE(TRIM('수출입 실적(품목별)'!F2066),",","")),"")</f>
        <v>271375.7</v>
      </c>
      <c r="J2062" s="19" t="n">
        <f aca="false">IFERROR(VALUE(SUBSTITUTE(TRIM('수출입 실적(품목별)'!G2066),",","")),"")</f>
        <v>1026395</v>
      </c>
      <c r="K2062" s="19" t="n">
        <f aca="false">IFERROR(VALUE(SUBSTITUTE(TRIM('수출입 실적(품목별)'!H2066),",","")),"")</f>
        <v>1474764</v>
      </c>
    </row>
    <row r="2063" customFormat="false" ht="15" hidden="false" customHeight="true" outlineLevel="0" collapsed="false">
      <c r="A2063" s="11" t="str">
        <f aca="false">TRIM('수출입 실적(품목별)'!A2067)</f>
        <v>2025.10</v>
      </c>
      <c r="B2063" s="17" t="n">
        <f aca="false">IFERROR(VALUE(LEFT($A2063,4)),"")</f>
        <v>2025</v>
      </c>
      <c r="C2063" s="17" t="n">
        <f aca="false">IFERROR(VALUE(RIGHT($A2063,2)),"")</f>
        <v>10</v>
      </c>
      <c r="D2063" s="17" t="n">
        <f aca="false">IFERROR(ROUNDUP($C2063/3,0),"")</f>
        <v>4</v>
      </c>
      <c r="E2063" s="11" t="str">
        <f aca="false">TRIM('수출입 실적(품목별)'!B2067)</f>
        <v>40</v>
      </c>
      <c r="F2063" s="11" t="str">
        <f aca="false">TRIM('수출입 실적(품목별)'!C2067)</f>
        <v>고무와 그 제품</v>
      </c>
      <c r="G2063" s="18" t="n">
        <f aca="false">IFERROR(VALUE(SUBSTITUTE(TRIM('수출입 실적(품목별)'!D2067),",","")),"")</f>
        <v>213455.3</v>
      </c>
      <c r="H2063" s="19" t="n">
        <f aca="false">IFERROR(VALUE(SUBSTITUTE(TRIM('수출입 실적(품목별)'!E2067),",","")),"")</f>
        <v>514798</v>
      </c>
      <c r="I2063" s="18" t="n">
        <f aca="false">IFERROR(VALUE(SUBSTITUTE(TRIM('수출입 실적(품목별)'!F2067),",","")),"")</f>
        <v>80500.2</v>
      </c>
      <c r="J2063" s="19" t="n">
        <f aca="false">IFERROR(VALUE(SUBSTITUTE(TRIM('수출입 실적(품목별)'!G2067),",","")),"")</f>
        <v>242503</v>
      </c>
      <c r="K2063" s="19" t="n">
        <f aca="false">IFERROR(VALUE(SUBSTITUTE(TRIM('수출입 실적(품목별)'!H2067),",","")),"")</f>
        <v>272295</v>
      </c>
    </row>
    <row r="2064" customFormat="false" ht="15" hidden="false" customHeight="true" outlineLevel="0" collapsed="false">
      <c r="A2064" s="11" t="str">
        <f aca="false">TRIM('수출입 실적(품목별)'!A2068)</f>
        <v>2025.10</v>
      </c>
      <c r="B2064" s="17" t="n">
        <f aca="false">IFERROR(VALUE(LEFT($A2064,4)),"")</f>
        <v>2025</v>
      </c>
      <c r="C2064" s="17" t="n">
        <f aca="false">IFERROR(VALUE(RIGHT($A2064,2)),"")</f>
        <v>10</v>
      </c>
      <c r="D2064" s="17" t="n">
        <f aca="false">IFERROR(ROUNDUP($C2064/3,0),"")</f>
        <v>4</v>
      </c>
      <c r="E2064" s="11" t="str">
        <f aca="false">TRIM('수출입 실적(품목별)'!B2068)</f>
        <v>41</v>
      </c>
      <c r="F2064" s="11" t="str">
        <f aca="false">TRIM('수출입 실적(품목별)'!C2068)</f>
        <v>원피(모피는 제외한다)와 가죽</v>
      </c>
      <c r="G2064" s="18" t="n">
        <f aca="false">IFERROR(VALUE(SUBSTITUTE(TRIM('수출입 실적(품목별)'!D2068),",","")),"")</f>
        <v>2704.8</v>
      </c>
      <c r="H2064" s="19" t="n">
        <f aca="false">IFERROR(VALUE(SUBSTITUTE(TRIM('수출입 실적(품목별)'!E2068),",","")),"")</f>
        <v>20272</v>
      </c>
      <c r="I2064" s="18" t="n">
        <f aca="false">IFERROR(VALUE(SUBSTITUTE(TRIM('수출입 실적(품목별)'!F2068),",","")),"")</f>
        <v>6209.5</v>
      </c>
      <c r="J2064" s="19" t="n">
        <f aca="false">IFERROR(VALUE(SUBSTITUTE(TRIM('수출입 실적(품목별)'!G2068),",","")),"")</f>
        <v>20141</v>
      </c>
      <c r="K2064" s="19" t="n">
        <f aca="false">IFERROR(VALUE(SUBSTITUTE(TRIM('수출입 실적(품목별)'!H2068),",","")),"")</f>
        <v>131</v>
      </c>
    </row>
    <row r="2065" customFormat="false" ht="15" hidden="false" customHeight="true" outlineLevel="0" collapsed="false">
      <c r="A2065" s="11" t="str">
        <f aca="false">TRIM('수출입 실적(품목별)'!A2069)</f>
        <v>2025.10</v>
      </c>
      <c r="B2065" s="17" t="n">
        <f aca="false">IFERROR(VALUE(LEFT($A2065,4)),"")</f>
        <v>2025</v>
      </c>
      <c r="C2065" s="17" t="n">
        <f aca="false">IFERROR(VALUE(RIGHT($A2065,2)),"")</f>
        <v>10</v>
      </c>
      <c r="D2065" s="17" t="n">
        <f aca="false">IFERROR(ROUNDUP($C2065/3,0),"")</f>
        <v>4</v>
      </c>
      <c r="E2065" s="11" t="str">
        <f aca="false">TRIM('수출입 실적(품목별)'!B2069)</f>
        <v>42</v>
      </c>
      <c r="F2065" s="11" t="str">
        <f aca="false">TRIM('수출입 실적(품목별)'!C2069)</f>
        <v>가죽제품, 마구, 여행용구ㆍ핸드백과 이와 유사한 용기, 동물 거트(gut)[누에의 거트(gut)는 제외한다]의 제품</v>
      </c>
      <c r="G2065" s="18" t="n">
        <f aca="false">IFERROR(VALUE(SUBSTITUTE(TRIM('수출입 실적(품목별)'!D2069),",","")),"")</f>
        <v>771.2</v>
      </c>
      <c r="H2065" s="19" t="n">
        <f aca="false">IFERROR(VALUE(SUBSTITUTE(TRIM('수출입 실적(품목별)'!E2069),",","")),"")</f>
        <v>35168</v>
      </c>
      <c r="I2065" s="18" t="n">
        <f aca="false">IFERROR(VALUE(SUBSTITUTE(TRIM('수출입 실적(품목별)'!F2069),",","")),"")</f>
        <v>8265.1</v>
      </c>
      <c r="J2065" s="19" t="n">
        <f aca="false">IFERROR(VALUE(SUBSTITUTE(TRIM('수출입 실적(품목별)'!G2069),",","")),"")</f>
        <v>303246</v>
      </c>
      <c r="K2065" s="19" t="n">
        <f aca="false">IFERROR(VALUE(SUBSTITUTE(TRIM('수출입 실적(품목별)'!H2069),",","")),"")</f>
        <v>-268078</v>
      </c>
    </row>
    <row r="2066" customFormat="false" ht="15" hidden="false" customHeight="true" outlineLevel="0" collapsed="false">
      <c r="A2066" s="11" t="str">
        <f aca="false">TRIM('수출입 실적(품목별)'!A2070)</f>
        <v>2025.10</v>
      </c>
      <c r="B2066" s="17" t="n">
        <f aca="false">IFERROR(VALUE(LEFT($A2066,4)),"")</f>
        <v>2025</v>
      </c>
      <c r="C2066" s="17" t="n">
        <f aca="false">IFERROR(VALUE(RIGHT($A2066,2)),"")</f>
        <v>10</v>
      </c>
      <c r="D2066" s="17" t="n">
        <f aca="false">IFERROR(ROUNDUP($C2066/3,0),"")</f>
        <v>4</v>
      </c>
      <c r="E2066" s="11" t="str">
        <f aca="false">TRIM('수출입 실적(품목별)'!B2070)</f>
        <v>43</v>
      </c>
      <c r="F2066" s="11" t="str">
        <f aca="false">TRIM('수출입 실적(품목별)'!C2070)</f>
        <v>모피ㆍ인조모피와 이들의 제품</v>
      </c>
      <c r="G2066" s="18" t="n">
        <f aca="false">IFERROR(VALUE(SUBSTITUTE(TRIM('수출입 실적(품목별)'!D2070),",","")),"")</f>
        <v>14</v>
      </c>
      <c r="H2066" s="19" t="n">
        <f aca="false">IFERROR(VALUE(SUBSTITUTE(TRIM('수출입 실적(품목별)'!E2070),",","")),"")</f>
        <v>405</v>
      </c>
      <c r="I2066" s="18" t="n">
        <f aca="false">IFERROR(VALUE(SUBSTITUTE(TRIM('수출입 실적(품목별)'!F2070),",","")),"")</f>
        <v>65</v>
      </c>
      <c r="J2066" s="19" t="n">
        <f aca="false">IFERROR(VALUE(SUBSTITUTE(TRIM('수출입 실적(품목별)'!G2070),",","")),"")</f>
        <v>13220</v>
      </c>
      <c r="K2066" s="19" t="n">
        <f aca="false">IFERROR(VALUE(SUBSTITUTE(TRIM('수출입 실적(품목별)'!H2070),",","")),"")</f>
        <v>-12815</v>
      </c>
    </row>
    <row r="2067" customFormat="false" ht="15" hidden="false" customHeight="true" outlineLevel="0" collapsed="false">
      <c r="A2067" s="11" t="str">
        <f aca="false">TRIM('수출입 실적(품목별)'!A2071)</f>
        <v>2025.10</v>
      </c>
      <c r="B2067" s="17" t="n">
        <f aca="false">IFERROR(VALUE(LEFT($A2067,4)),"")</f>
        <v>2025</v>
      </c>
      <c r="C2067" s="17" t="n">
        <f aca="false">IFERROR(VALUE(RIGHT($A2067,2)),"")</f>
        <v>10</v>
      </c>
      <c r="D2067" s="17" t="n">
        <f aca="false">IFERROR(ROUNDUP($C2067/3,0),"")</f>
        <v>4</v>
      </c>
      <c r="E2067" s="11" t="str">
        <f aca="false">TRIM('수출입 실적(품목별)'!B2071)</f>
        <v>44</v>
      </c>
      <c r="F2067" s="11" t="str">
        <f aca="false">TRIM('수출입 실적(품목별)'!C2071)</f>
        <v>목재와 그 제품, 목탄</v>
      </c>
      <c r="G2067" s="18" t="n">
        <f aca="false">IFERROR(VALUE(SUBSTITUTE(TRIM('수출입 실적(품목별)'!D2071),",","")),"")</f>
        <v>3082.6</v>
      </c>
      <c r="H2067" s="19" t="n">
        <f aca="false">IFERROR(VALUE(SUBSTITUTE(TRIM('수출입 실적(품목별)'!E2071),",","")),"")</f>
        <v>5025</v>
      </c>
      <c r="I2067" s="18" t="n">
        <f aca="false">IFERROR(VALUE(SUBSTITUTE(TRIM('수출입 실적(품목별)'!F2071),",","")),"")</f>
        <v>731254</v>
      </c>
      <c r="J2067" s="19" t="n">
        <f aca="false">IFERROR(VALUE(SUBSTITUTE(TRIM('수출입 실적(품목별)'!G2071),",","")),"")</f>
        <v>210084</v>
      </c>
      <c r="K2067" s="19" t="n">
        <f aca="false">IFERROR(VALUE(SUBSTITUTE(TRIM('수출입 실적(품목별)'!H2071),",","")),"")</f>
        <v>-205059</v>
      </c>
    </row>
    <row r="2068" customFormat="false" ht="15" hidden="false" customHeight="true" outlineLevel="0" collapsed="false">
      <c r="A2068" s="11" t="str">
        <f aca="false">TRIM('수출입 실적(품목별)'!A2072)</f>
        <v>2025.10</v>
      </c>
      <c r="B2068" s="17" t="n">
        <f aca="false">IFERROR(VALUE(LEFT($A2068,4)),"")</f>
        <v>2025</v>
      </c>
      <c r="C2068" s="17" t="n">
        <f aca="false">IFERROR(VALUE(RIGHT($A2068,2)),"")</f>
        <v>10</v>
      </c>
      <c r="D2068" s="17" t="n">
        <f aca="false">IFERROR(ROUNDUP($C2068/3,0),"")</f>
        <v>4</v>
      </c>
      <c r="E2068" s="11" t="str">
        <f aca="false">TRIM('수출입 실적(품목별)'!B2072)</f>
        <v>45</v>
      </c>
      <c r="F2068" s="11" t="str">
        <f aca="false">TRIM('수출입 실적(품목별)'!C2072)</f>
        <v>코르크(cork)와 그 제품</v>
      </c>
      <c r="G2068" s="18" t="n">
        <f aca="false">IFERROR(VALUE(SUBSTITUTE(TRIM('수출입 실적(품목별)'!D2072),",","")),"")</f>
        <v>1.2</v>
      </c>
      <c r="H2068" s="19" t="n">
        <f aca="false">IFERROR(VALUE(SUBSTITUTE(TRIM('수출입 실적(품목별)'!E2072),",","")),"")</f>
        <v>24</v>
      </c>
      <c r="I2068" s="18" t="n">
        <f aca="false">IFERROR(VALUE(SUBSTITUTE(TRIM('수출입 실적(품목별)'!F2072),",","")),"")</f>
        <v>89.1</v>
      </c>
      <c r="J2068" s="19" t="n">
        <f aca="false">IFERROR(VALUE(SUBSTITUTE(TRIM('수출입 실적(품목별)'!G2072),",","")),"")</f>
        <v>447</v>
      </c>
      <c r="K2068" s="19" t="n">
        <f aca="false">IFERROR(VALUE(SUBSTITUTE(TRIM('수출입 실적(품목별)'!H2072),",","")),"")</f>
        <v>-422</v>
      </c>
    </row>
    <row r="2069" customFormat="false" ht="15" hidden="false" customHeight="true" outlineLevel="0" collapsed="false">
      <c r="A2069" s="11" t="str">
        <f aca="false">TRIM('수출입 실적(품목별)'!A2073)</f>
        <v>2025.10</v>
      </c>
      <c r="B2069" s="17" t="n">
        <f aca="false">IFERROR(VALUE(LEFT($A2069,4)),"")</f>
        <v>2025</v>
      </c>
      <c r="C2069" s="17" t="n">
        <f aca="false">IFERROR(VALUE(RIGHT($A2069,2)),"")</f>
        <v>10</v>
      </c>
      <c r="D2069" s="17" t="n">
        <f aca="false">IFERROR(ROUNDUP($C2069/3,0),"")</f>
        <v>4</v>
      </c>
      <c r="E2069" s="11" t="str">
        <f aca="false">TRIM('수출입 실적(품목별)'!B2073)</f>
        <v>46</v>
      </c>
      <c r="F2069" s="11" t="str">
        <f aca="false">TRIM('수출입 실적(품목별)'!C2073)</f>
        <v>짚ㆍ에스파르토(esparto)나 그 밖의 조물 재료의 제품, 바구니 세공물(basketware)과 지조세공물(枝條細工物)</v>
      </c>
      <c r="G2069" s="18" t="n">
        <f aca="false">IFERROR(VALUE(SUBSTITUTE(TRIM('수출입 실적(품목별)'!D2073),",","")),"")</f>
        <v>3.8</v>
      </c>
      <c r="H2069" s="19" t="n">
        <f aca="false">IFERROR(VALUE(SUBSTITUTE(TRIM('수출입 실적(품목별)'!E2073),",","")),"")</f>
        <v>54</v>
      </c>
      <c r="I2069" s="18" t="n">
        <f aca="false">IFERROR(VALUE(SUBSTITUTE(TRIM('수출입 실적(품목별)'!F2073),",","")),"")</f>
        <v>254.9</v>
      </c>
      <c r="J2069" s="19" t="n">
        <f aca="false">IFERROR(VALUE(SUBSTITUTE(TRIM('수출입 실적(품목별)'!G2073),",","")),"")</f>
        <v>1663</v>
      </c>
      <c r="K2069" s="19" t="n">
        <f aca="false">IFERROR(VALUE(SUBSTITUTE(TRIM('수출입 실적(품목별)'!H2073),",","")),"")</f>
        <v>-1609</v>
      </c>
    </row>
    <row r="2070" customFormat="false" ht="15" hidden="false" customHeight="true" outlineLevel="0" collapsed="false">
      <c r="A2070" s="11" t="str">
        <f aca="false">TRIM('수출입 실적(품목별)'!A2074)</f>
        <v>2025.10</v>
      </c>
      <c r="B2070" s="17" t="n">
        <f aca="false">IFERROR(VALUE(LEFT($A2070,4)),"")</f>
        <v>2025</v>
      </c>
      <c r="C2070" s="17" t="n">
        <f aca="false">IFERROR(VALUE(RIGHT($A2070,2)),"")</f>
        <v>10</v>
      </c>
      <c r="D2070" s="17" t="n">
        <f aca="false">IFERROR(ROUNDUP($C2070/3,0),"")</f>
        <v>4</v>
      </c>
      <c r="E2070" s="11" t="str">
        <f aca="false">TRIM('수출입 실적(품목별)'!B2074)</f>
        <v>47</v>
      </c>
      <c r="F2070" s="11" t="str">
        <f aca="false">TRIM('수출입 실적(품목별)'!C2074)</f>
        <v>목재나 그 밖의 섬유질 셀룰로오스재료의 펄프, 회수한 종이ㆍ판지[웨이스트(waste)와 스크랩(scrap)]</v>
      </c>
      <c r="G2070" s="18" t="n">
        <f aca="false">IFERROR(VALUE(SUBSTITUTE(TRIM('수출입 실적(품목별)'!D2074),",","")),"")</f>
        <v>44281</v>
      </c>
      <c r="H2070" s="19" t="n">
        <f aca="false">IFERROR(VALUE(SUBSTITUTE(TRIM('수출입 실적(품목별)'!E2074),",","")),"")</f>
        <v>8771</v>
      </c>
      <c r="I2070" s="18" t="n">
        <f aca="false">IFERROR(VALUE(SUBSTITUTE(TRIM('수출입 실적(품목별)'!F2074),",","")),"")</f>
        <v>228303.3</v>
      </c>
      <c r="J2070" s="19" t="n">
        <f aca="false">IFERROR(VALUE(SUBSTITUTE(TRIM('수출입 실적(품목별)'!G2074),",","")),"")</f>
        <v>116053</v>
      </c>
      <c r="K2070" s="19" t="n">
        <f aca="false">IFERROR(VALUE(SUBSTITUTE(TRIM('수출입 실적(품목별)'!H2074),",","")),"")</f>
        <v>-107282</v>
      </c>
    </row>
    <row r="2071" customFormat="false" ht="15" hidden="false" customHeight="true" outlineLevel="0" collapsed="false">
      <c r="A2071" s="11" t="str">
        <f aca="false">TRIM('수출입 실적(품목별)'!A2075)</f>
        <v>2025.10</v>
      </c>
      <c r="B2071" s="17" t="n">
        <f aca="false">IFERROR(VALUE(LEFT($A2071,4)),"")</f>
        <v>2025</v>
      </c>
      <c r="C2071" s="17" t="n">
        <f aca="false">IFERROR(VALUE(RIGHT($A2071,2)),"")</f>
        <v>10</v>
      </c>
      <c r="D2071" s="17" t="n">
        <f aca="false">IFERROR(ROUNDUP($C2071/3,0),"")</f>
        <v>4</v>
      </c>
      <c r="E2071" s="11" t="str">
        <f aca="false">TRIM('수출입 실적(품목별)'!B2075)</f>
        <v>48</v>
      </c>
      <c r="F2071" s="11" t="str">
        <f aca="false">TRIM('수출입 실적(품목별)'!C2075)</f>
        <v>종이와 판지, 제지용 펄프ㆍ종이ㆍ판지의 제품</v>
      </c>
      <c r="G2071" s="18" t="n">
        <f aca="false">IFERROR(VALUE(SUBSTITUTE(TRIM('수출입 실적(품목별)'!D2075),",","")),"")</f>
        <v>217180.7</v>
      </c>
      <c r="H2071" s="19" t="n">
        <f aca="false">IFERROR(VALUE(SUBSTITUTE(TRIM('수출입 실적(품목별)'!E2075),",","")),"")</f>
        <v>192923</v>
      </c>
      <c r="I2071" s="18" t="n">
        <f aca="false">IFERROR(VALUE(SUBSTITUTE(TRIM('수출입 실적(품목별)'!F2075),",","")),"")</f>
        <v>115593.9</v>
      </c>
      <c r="J2071" s="19" t="n">
        <f aca="false">IFERROR(VALUE(SUBSTITUTE(TRIM('수출입 실적(품목별)'!G2075),",","")),"")</f>
        <v>175564</v>
      </c>
      <c r="K2071" s="19" t="n">
        <f aca="false">IFERROR(VALUE(SUBSTITUTE(TRIM('수출입 실적(품목별)'!H2075),",","")),"")</f>
        <v>17359</v>
      </c>
    </row>
    <row r="2072" customFormat="false" ht="15" hidden="false" customHeight="true" outlineLevel="0" collapsed="false">
      <c r="A2072" s="11" t="str">
        <f aca="false">TRIM('수출입 실적(품목별)'!A2076)</f>
        <v>2025.10</v>
      </c>
      <c r="B2072" s="17" t="n">
        <f aca="false">IFERROR(VALUE(LEFT($A2072,4)),"")</f>
        <v>2025</v>
      </c>
      <c r="C2072" s="17" t="n">
        <f aca="false">IFERROR(VALUE(RIGHT($A2072,2)),"")</f>
        <v>10</v>
      </c>
      <c r="D2072" s="17" t="n">
        <f aca="false">IFERROR(ROUNDUP($C2072/3,0),"")</f>
        <v>4</v>
      </c>
      <c r="E2072" s="11" t="str">
        <f aca="false">TRIM('수출입 실적(품목별)'!B2076)</f>
        <v>49</v>
      </c>
      <c r="F2072" s="11" t="str">
        <f aca="false">TRIM('수출입 실적(품목별)'!C2076)</f>
        <v>인쇄서적ㆍ신문ㆍ회화ㆍ그 밖의 인쇄물, 수제(手製)문서ㆍ타자문서ㆍ도면</v>
      </c>
      <c r="G2072" s="18" t="n">
        <f aca="false">IFERROR(VALUE(SUBSTITUTE(TRIM('수출입 실적(품목별)'!D2076),",","")),"")</f>
        <v>3076</v>
      </c>
      <c r="H2072" s="19" t="n">
        <f aca="false">IFERROR(VALUE(SUBSTITUTE(TRIM('수출입 실적(품목별)'!E2076),",","")),"")</f>
        <v>33055</v>
      </c>
      <c r="I2072" s="18" t="n">
        <f aca="false">IFERROR(VALUE(SUBSTITUTE(TRIM('수출입 실적(품목별)'!F2076),",","")),"")</f>
        <v>1184.2</v>
      </c>
      <c r="J2072" s="19" t="n">
        <f aca="false">IFERROR(VALUE(SUBSTITUTE(TRIM('수출입 실적(품목별)'!G2076),",","")),"")</f>
        <v>21751</v>
      </c>
      <c r="K2072" s="19" t="n">
        <f aca="false">IFERROR(VALUE(SUBSTITUTE(TRIM('수출입 실적(품목별)'!H2076),",","")),"")</f>
        <v>11304</v>
      </c>
    </row>
    <row r="2073" customFormat="false" ht="15" hidden="false" customHeight="true" outlineLevel="0" collapsed="false">
      <c r="A2073" s="11" t="str">
        <f aca="false">TRIM('수출입 실적(품목별)'!A2077)</f>
        <v>2025.10</v>
      </c>
      <c r="B2073" s="17" t="n">
        <f aca="false">IFERROR(VALUE(LEFT($A2073,4)),"")</f>
        <v>2025</v>
      </c>
      <c r="C2073" s="17" t="n">
        <f aca="false">IFERROR(VALUE(RIGHT($A2073,2)),"")</f>
        <v>10</v>
      </c>
      <c r="D2073" s="17" t="n">
        <f aca="false">IFERROR(ROUNDUP($C2073/3,0),"")</f>
        <v>4</v>
      </c>
      <c r="E2073" s="11" t="str">
        <f aca="false">TRIM('수출입 실적(품목별)'!B2077)</f>
        <v>50</v>
      </c>
      <c r="F2073" s="11" t="str">
        <f aca="false">TRIM('수출입 실적(품목별)'!C2077)</f>
        <v>견</v>
      </c>
      <c r="G2073" s="18" t="n">
        <f aca="false">IFERROR(VALUE(SUBSTITUTE(TRIM('수출입 실적(품목별)'!D2077),",","")),"")</f>
        <v>7.6</v>
      </c>
      <c r="H2073" s="19" t="n">
        <f aca="false">IFERROR(VALUE(SUBSTITUTE(TRIM('수출입 실적(품목별)'!E2077),",","")),"")</f>
        <v>1336</v>
      </c>
      <c r="I2073" s="18" t="n">
        <f aca="false">IFERROR(VALUE(SUBSTITUTE(TRIM('수출입 실적(품목별)'!F2077),",","")),"")</f>
        <v>18.1</v>
      </c>
      <c r="J2073" s="19" t="n">
        <f aca="false">IFERROR(VALUE(SUBSTITUTE(TRIM('수출입 실적(품목별)'!G2077),",","")),"")</f>
        <v>1855</v>
      </c>
      <c r="K2073" s="19" t="n">
        <f aca="false">IFERROR(VALUE(SUBSTITUTE(TRIM('수출입 실적(품목별)'!H2077),",","")),"")</f>
        <v>-519</v>
      </c>
    </row>
    <row r="2074" customFormat="false" ht="15" hidden="false" customHeight="true" outlineLevel="0" collapsed="false">
      <c r="A2074" s="11" t="str">
        <f aca="false">TRIM('수출입 실적(품목별)'!A2078)</f>
        <v>2025.10</v>
      </c>
      <c r="B2074" s="17" t="n">
        <f aca="false">IFERROR(VALUE(LEFT($A2074,4)),"")</f>
        <v>2025</v>
      </c>
      <c r="C2074" s="17" t="n">
        <f aca="false">IFERROR(VALUE(RIGHT($A2074,2)),"")</f>
        <v>10</v>
      </c>
      <c r="D2074" s="17" t="n">
        <f aca="false">IFERROR(ROUNDUP($C2074/3,0),"")</f>
        <v>4</v>
      </c>
      <c r="E2074" s="11" t="str">
        <f aca="false">TRIM('수출입 실적(품목별)'!B2078)</f>
        <v>51</v>
      </c>
      <c r="F2074" s="11" t="str">
        <f aca="false">TRIM('수출입 실적(품목별)'!C2078)</f>
        <v>양모ㆍ동물의 부드러운 털이나 거친 털ㆍ말의 털로 만든 실과 직물</v>
      </c>
      <c r="G2074" s="18" t="n">
        <f aca="false">IFERROR(VALUE(SUBSTITUTE(TRIM('수출입 실적(품목별)'!D2078),",","")),"")</f>
        <v>120.2</v>
      </c>
      <c r="H2074" s="19" t="n">
        <f aca="false">IFERROR(VALUE(SUBSTITUTE(TRIM('수출입 실적(품목별)'!E2078),",","")),"")</f>
        <v>1608</v>
      </c>
      <c r="I2074" s="18" t="n">
        <f aca="false">IFERROR(VALUE(SUBSTITUTE(TRIM('수출입 실적(품목별)'!F2078),",","")),"")</f>
        <v>719.9</v>
      </c>
      <c r="J2074" s="19" t="n">
        <f aca="false">IFERROR(VALUE(SUBSTITUTE(TRIM('수출입 실적(품목별)'!G2078),",","")),"")</f>
        <v>14005</v>
      </c>
      <c r="K2074" s="19" t="n">
        <f aca="false">IFERROR(VALUE(SUBSTITUTE(TRIM('수출입 실적(품목별)'!H2078),",","")),"")</f>
        <v>-12398</v>
      </c>
    </row>
    <row r="2075" customFormat="false" ht="15" hidden="false" customHeight="true" outlineLevel="0" collapsed="false">
      <c r="A2075" s="11" t="str">
        <f aca="false">TRIM('수출입 실적(품목별)'!A2079)</f>
        <v>2025.10</v>
      </c>
      <c r="B2075" s="17" t="n">
        <f aca="false">IFERROR(VALUE(LEFT($A2075,4)),"")</f>
        <v>2025</v>
      </c>
      <c r="C2075" s="17" t="n">
        <f aca="false">IFERROR(VALUE(RIGHT($A2075,2)),"")</f>
        <v>10</v>
      </c>
      <c r="D2075" s="17" t="n">
        <f aca="false">IFERROR(ROUNDUP($C2075/3,0),"")</f>
        <v>4</v>
      </c>
      <c r="E2075" s="11" t="str">
        <f aca="false">TRIM('수출입 실적(품목별)'!B2079)</f>
        <v>52</v>
      </c>
      <c r="F2075" s="11" t="str">
        <f aca="false">TRIM('수출입 실적(품목별)'!C2079)</f>
        <v>면</v>
      </c>
      <c r="G2075" s="18" t="n">
        <f aca="false">IFERROR(VALUE(SUBSTITUTE(TRIM('수출입 실적(품목별)'!D2079),",","")),"")</f>
        <v>3142.2</v>
      </c>
      <c r="H2075" s="19" t="n">
        <f aca="false">IFERROR(VALUE(SUBSTITUTE(TRIM('수출입 실적(품목별)'!E2079),",","")),"")</f>
        <v>21655</v>
      </c>
      <c r="I2075" s="18" t="n">
        <f aca="false">IFERROR(VALUE(SUBSTITUTE(TRIM('수출입 실적(품목별)'!F2079),",","")),"")</f>
        <v>15905.4</v>
      </c>
      <c r="J2075" s="19" t="n">
        <f aca="false">IFERROR(VALUE(SUBSTITUTE(TRIM('수출입 실적(품목별)'!G2079),",","")),"")</f>
        <v>49551</v>
      </c>
      <c r="K2075" s="19" t="n">
        <f aca="false">IFERROR(VALUE(SUBSTITUTE(TRIM('수출입 실적(품목별)'!H2079),",","")),"")</f>
        <v>-27895</v>
      </c>
    </row>
    <row r="2076" customFormat="false" ht="15" hidden="false" customHeight="true" outlineLevel="0" collapsed="false">
      <c r="A2076" s="11" t="str">
        <f aca="false">TRIM('수출입 실적(품목별)'!A2080)</f>
        <v>2025.10</v>
      </c>
      <c r="B2076" s="17" t="n">
        <f aca="false">IFERROR(VALUE(LEFT($A2076,4)),"")</f>
        <v>2025</v>
      </c>
      <c r="C2076" s="17" t="n">
        <f aca="false">IFERROR(VALUE(RIGHT($A2076,2)),"")</f>
        <v>10</v>
      </c>
      <c r="D2076" s="17" t="n">
        <f aca="false">IFERROR(ROUNDUP($C2076/3,0),"")</f>
        <v>4</v>
      </c>
      <c r="E2076" s="11" t="str">
        <f aca="false">TRIM('수출입 실적(품목별)'!B2080)</f>
        <v>53</v>
      </c>
      <c r="F2076" s="11" t="str">
        <f aca="false">TRIM('수출입 실적(품목별)'!C2080)</f>
        <v>그 밖의 식물성 방직용 섬유, 종이실(paper yarn)과 종이실로 만든 직물</v>
      </c>
      <c r="G2076" s="18" t="n">
        <f aca="false">IFERROR(VALUE(SUBSTITUTE(TRIM('수출입 실적(품목별)'!D2080),",","")),"")</f>
        <v>11.9</v>
      </c>
      <c r="H2076" s="19" t="n">
        <f aca="false">IFERROR(VALUE(SUBSTITUTE(TRIM('수출입 실적(품목별)'!E2080),",","")),"")</f>
        <v>339</v>
      </c>
      <c r="I2076" s="18" t="n">
        <f aca="false">IFERROR(VALUE(SUBSTITUTE(TRIM('수출입 실적(품목별)'!F2080),",","")),"")</f>
        <v>937.1</v>
      </c>
      <c r="J2076" s="19" t="n">
        <f aca="false">IFERROR(VALUE(SUBSTITUTE(TRIM('수출입 실적(품목별)'!G2080),",","")),"")</f>
        <v>4015</v>
      </c>
      <c r="K2076" s="19" t="n">
        <f aca="false">IFERROR(VALUE(SUBSTITUTE(TRIM('수출입 실적(품목별)'!H2080),",","")),"")</f>
        <v>-3676</v>
      </c>
    </row>
    <row r="2077" customFormat="false" ht="15" hidden="false" customHeight="true" outlineLevel="0" collapsed="false">
      <c r="A2077" s="11" t="str">
        <f aca="false">TRIM('수출입 실적(품목별)'!A2081)</f>
        <v>2025.10</v>
      </c>
      <c r="B2077" s="17" t="n">
        <f aca="false">IFERROR(VALUE(LEFT($A2077,4)),"")</f>
        <v>2025</v>
      </c>
      <c r="C2077" s="17" t="n">
        <f aca="false">IFERROR(VALUE(RIGHT($A2077,2)),"")</f>
        <v>10</v>
      </c>
      <c r="D2077" s="17" t="n">
        <f aca="false">IFERROR(ROUNDUP($C2077/3,0),"")</f>
        <v>4</v>
      </c>
      <c r="E2077" s="11" t="str">
        <f aca="false">TRIM('수출입 실적(품목별)'!B2081)</f>
        <v>54</v>
      </c>
      <c r="F2077" s="11" t="str">
        <f aca="false">TRIM('수출입 실적(품목별)'!C2081)</f>
        <v>인조필라멘트, 인조방직용 섬유재료의 스트립(strip)과 이와 유사한 것</v>
      </c>
      <c r="G2077" s="18" t="n">
        <f aca="false">IFERROR(VALUE(SUBSTITUTE(TRIM('수출입 실적(품목별)'!D2081),",","")),"")</f>
        <v>19755.1</v>
      </c>
      <c r="H2077" s="19" t="n">
        <f aca="false">IFERROR(VALUE(SUBSTITUTE(TRIM('수출입 실적(품목별)'!E2081),",","")),"")</f>
        <v>131873</v>
      </c>
      <c r="I2077" s="18" t="n">
        <f aca="false">IFERROR(VALUE(SUBSTITUTE(TRIM('수출입 실적(품목별)'!F2081),",","")),"")</f>
        <v>34417.2</v>
      </c>
      <c r="J2077" s="19" t="n">
        <f aca="false">IFERROR(VALUE(SUBSTITUTE(TRIM('수출입 실적(품목별)'!G2081),",","")),"")</f>
        <v>77133</v>
      </c>
      <c r="K2077" s="19" t="n">
        <f aca="false">IFERROR(VALUE(SUBSTITUTE(TRIM('수출입 실적(품목별)'!H2081),",","")),"")</f>
        <v>54740</v>
      </c>
    </row>
    <row r="2078" customFormat="false" ht="15" hidden="false" customHeight="true" outlineLevel="0" collapsed="false">
      <c r="A2078" s="11" t="str">
        <f aca="false">TRIM('수출입 실적(품목별)'!A2082)</f>
        <v>2025.10</v>
      </c>
      <c r="B2078" s="17" t="n">
        <f aca="false">IFERROR(VALUE(LEFT($A2078,4)),"")</f>
        <v>2025</v>
      </c>
      <c r="C2078" s="17" t="n">
        <f aca="false">IFERROR(VALUE(RIGHT($A2078,2)),"")</f>
        <v>10</v>
      </c>
      <c r="D2078" s="17" t="n">
        <f aca="false">IFERROR(ROUNDUP($C2078/3,0),"")</f>
        <v>4</v>
      </c>
      <c r="E2078" s="11" t="str">
        <f aca="false">TRIM('수출입 실적(품목별)'!B2082)</f>
        <v>55</v>
      </c>
      <c r="F2078" s="11" t="str">
        <f aca="false">TRIM('수출입 실적(품목별)'!C2082)</f>
        <v>인조스테이플섬유</v>
      </c>
      <c r="G2078" s="18" t="n">
        <f aca="false">IFERROR(VALUE(SUBSTITUTE(TRIM('수출입 실적(품목별)'!D2082),",","")),"")</f>
        <v>48252.3</v>
      </c>
      <c r="H2078" s="19" t="n">
        <f aca="false">IFERROR(VALUE(SUBSTITUTE(TRIM('수출입 실적(품목별)'!E2082),",","")),"")</f>
        <v>83203</v>
      </c>
      <c r="I2078" s="18" t="n">
        <f aca="false">IFERROR(VALUE(SUBSTITUTE(TRIM('수출입 실적(품목별)'!F2082),",","")),"")</f>
        <v>12620</v>
      </c>
      <c r="J2078" s="19" t="n">
        <f aca="false">IFERROR(VALUE(SUBSTITUTE(TRIM('수출입 실적(품목별)'!G2082),",","")),"")</f>
        <v>43140</v>
      </c>
      <c r="K2078" s="19" t="n">
        <f aca="false">IFERROR(VALUE(SUBSTITUTE(TRIM('수출입 실적(품목별)'!H2082),",","")),"")</f>
        <v>40063</v>
      </c>
    </row>
    <row r="2079" customFormat="false" ht="15" hidden="false" customHeight="true" outlineLevel="0" collapsed="false">
      <c r="A2079" s="11" t="str">
        <f aca="false">TRIM('수출입 실적(품목별)'!A2083)</f>
        <v>2025.10</v>
      </c>
      <c r="B2079" s="17" t="n">
        <f aca="false">IFERROR(VALUE(LEFT($A2079,4)),"")</f>
        <v>2025</v>
      </c>
      <c r="C2079" s="17" t="n">
        <f aca="false">IFERROR(VALUE(RIGHT($A2079,2)),"")</f>
        <v>10</v>
      </c>
      <c r="D2079" s="17" t="n">
        <f aca="false">IFERROR(ROUNDUP($C2079/3,0),"")</f>
        <v>4</v>
      </c>
      <c r="E2079" s="11" t="str">
        <f aca="false">TRIM('수출입 실적(품목별)'!B2083)</f>
        <v>56</v>
      </c>
      <c r="F2079" s="11" t="str">
        <f aca="false">TRIM('수출입 실적(품목별)'!C2083)</f>
        <v>워딩(wadding)ㆍ펠트(felt)ㆍ부직포, 특수사, 끈ㆍ배의 밧줄(cordage)ㆍ로프ㆍ케이블과 이들의 제품</v>
      </c>
      <c r="G2079" s="18" t="n">
        <f aca="false">IFERROR(VALUE(SUBSTITUTE(TRIM('수출입 실적(품목별)'!D2083),",","")),"")</f>
        <v>9105.8</v>
      </c>
      <c r="H2079" s="19" t="n">
        <f aca="false">IFERROR(VALUE(SUBSTITUTE(TRIM('수출입 실적(품목별)'!E2083),",","")),"")</f>
        <v>55218</v>
      </c>
      <c r="I2079" s="18" t="n">
        <f aca="false">IFERROR(VALUE(SUBSTITUTE(TRIM('수출입 실적(품목별)'!F2083),",","")),"")</f>
        <v>17135</v>
      </c>
      <c r="J2079" s="19" t="n">
        <f aca="false">IFERROR(VALUE(SUBSTITUTE(TRIM('수출입 실적(품목별)'!G2083),",","")),"")</f>
        <v>52153</v>
      </c>
      <c r="K2079" s="19" t="n">
        <f aca="false">IFERROR(VALUE(SUBSTITUTE(TRIM('수출입 실적(품목별)'!H2083),",","")),"")</f>
        <v>3065</v>
      </c>
    </row>
    <row r="2080" customFormat="false" ht="15" hidden="false" customHeight="true" outlineLevel="0" collapsed="false">
      <c r="A2080" s="11" t="str">
        <f aca="false">TRIM('수출입 실적(품목별)'!A2084)</f>
        <v>2025.10</v>
      </c>
      <c r="B2080" s="17" t="n">
        <f aca="false">IFERROR(VALUE(LEFT($A2080,4)),"")</f>
        <v>2025</v>
      </c>
      <c r="C2080" s="17" t="n">
        <f aca="false">IFERROR(VALUE(RIGHT($A2080,2)),"")</f>
        <v>10</v>
      </c>
      <c r="D2080" s="17" t="n">
        <f aca="false">IFERROR(ROUNDUP($C2080/3,0),"")</f>
        <v>4</v>
      </c>
      <c r="E2080" s="11" t="str">
        <f aca="false">TRIM('수출입 실적(품목별)'!B2084)</f>
        <v>57</v>
      </c>
      <c r="F2080" s="11" t="str">
        <f aca="false">TRIM('수출입 실적(품목별)'!C2084)</f>
        <v>양탄자류와 그 밖의 방직용 섬유로 만든 바닥깔개</v>
      </c>
      <c r="G2080" s="18" t="n">
        <f aca="false">IFERROR(VALUE(SUBSTITUTE(TRIM('수출입 실적(품목별)'!D2084),",","")),"")</f>
        <v>395.2</v>
      </c>
      <c r="H2080" s="19" t="n">
        <f aca="false">IFERROR(VALUE(SUBSTITUTE(TRIM('수출입 실적(품목별)'!E2084),",","")),"")</f>
        <v>4627</v>
      </c>
      <c r="I2080" s="18" t="n">
        <f aca="false">IFERROR(VALUE(SUBSTITUTE(TRIM('수출입 실적(품목별)'!F2084),",","")),"")</f>
        <v>4541.4</v>
      </c>
      <c r="J2080" s="19" t="n">
        <f aca="false">IFERROR(VALUE(SUBSTITUTE(TRIM('수출입 실적(품목별)'!G2084),",","")),"")</f>
        <v>9081</v>
      </c>
      <c r="K2080" s="19" t="n">
        <f aca="false">IFERROR(VALUE(SUBSTITUTE(TRIM('수출입 실적(품목별)'!H2084),",","")),"")</f>
        <v>-4454</v>
      </c>
    </row>
    <row r="2081" customFormat="false" ht="15" hidden="false" customHeight="true" outlineLevel="0" collapsed="false">
      <c r="A2081" s="11" t="str">
        <f aca="false">TRIM('수출입 실적(품목별)'!A2085)</f>
        <v>2025.10</v>
      </c>
      <c r="B2081" s="17" t="n">
        <f aca="false">IFERROR(VALUE(LEFT($A2081,4)),"")</f>
        <v>2025</v>
      </c>
      <c r="C2081" s="17" t="n">
        <f aca="false">IFERROR(VALUE(RIGHT($A2081,2)),"")</f>
        <v>10</v>
      </c>
      <c r="D2081" s="17" t="n">
        <f aca="false">IFERROR(ROUNDUP($C2081/3,0),"")</f>
        <v>4</v>
      </c>
      <c r="E2081" s="11" t="str">
        <f aca="false">TRIM('수출입 실적(품목별)'!B2085)</f>
        <v>58</v>
      </c>
      <c r="F2081" s="11" t="str">
        <f aca="false">TRIM('수출입 실적(품목별)'!C2085)</f>
        <v>특수직물, 터프트(tuft)한 직물, 레이스, 태피스트리(tapestry), 트리밍(trimming), 자수천</v>
      </c>
      <c r="G2081" s="18" t="n">
        <f aca="false">IFERROR(VALUE(SUBSTITUTE(TRIM('수출입 실적(품목별)'!D2085),",","")),"")</f>
        <v>1129.6</v>
      </c>
      <c r="H2081" s="19" t="n">
        <f aca="false">IFERROR(VALUE(SUBSTITUTE(TRIM('수출입 실적(품목별)'!E2085),",","")),"")</f>
        <v>13723</v>
      </c>
      <c r="I2081" s="18" t="n">
        <f aca="false">IFERROR(VALUE(SUBSTITUTE(TRIM('수출입 실적(품목별)'!F2085),",","")),"")</f>
        <v>1057.9</v>
      </c>
      <c r="J2081" s="19" t="n">
        <f aca="false">IFERROR(VALUE(SUBSTITUTE(TRIM('수출입 실적(품목별)'!G2085),",","")),"")</f>
        <v>7156</v>
      </c>
      <c r="K2081" s="19" t="n">
        <f aca="false">IFERROR(VALUE(SUBSTITUTE(TRIM('수출입 실적(품목별)'!H2085),",","")),"")</f>
        <v>6567</v>
      </c>
    </row>
    <row r="2082" customFormat="false" ht="15" hidden="false" customHeight="true" outlineLevel="0" collapsed="false">
      <c r="A2082" s="11" t="str">
        <f aca="false">TRIM('수출입 실적(품목별)'!A2086)</f>
        <v>2025.10</v>
      </c>
      <c r="B2082" s="17" t="n">
        <f aca="false">IFERROR(VALUE(LEFT($A2082,4)),"")</f>
        <v>2025</v>
      </c>
      <c r="C2082" s="17" t="n">
        <f aca="false">IFERROR(VALUE(RIGHT($A2082,2)),"")</f>
        <v>10</v>
      </c>
      <c r="D2082" s="17" t="n">
        <f aca="false">IFERROR(ROUNDUP($C2082/3,0),"")</f>
        <v>4</v>
      </c>
      <c r="E2082" s="11" t="str">
        <f aca="false">TRIM('수출입 실적(품목별)'!B2086)</f>
        <v>59</v>
      </c>
      <c r="F2082" s="11" t="str">
        <f aca="false">TRIM('수출입 실적(품목별)'!C2086)</f>
        <v>침투ㆍ도포ㆍ피복하거나 적층한 방직용 섬유의 직물, 공업용인 방직용 섬유제품</v>
      </c>
      <c r="G2082" s="18" t="n">
        <f aca="false">IFERROR(VALUE(SUBSTITUTE(TRIM('수출입 실적(품목별)'!D2086),",","")),"")</f>
        <v>7595</v>
      </c>
      <c r="H2082" s="19" t="n">
        <f aca="false">IFERROR(VALUE(SUBSTITUTE(TRIM('수출입 실적(품목별)'!E2086),",","")),"")</f>
        <v>79963</v>
      </c>
      <c r="I2082" s="18" t="n">
        <f aca="false">IFERROR(VALUE(SUBSTITUTE(TRIM('수출입 실적(품목별)'!F2086),",","")),"")</f>
        <v>5819.3</v>
      </c>
      <c r="J2082" s="19" t="n">
        <f aca="false">IFERROR(VALUE(SUBSTITUTE(TRIM('수출입 실적(품목별)'!G2086),",","")),"")</f>
        <v>31141</v>
      </c>
      <c r="K2082" s="19" t="n">
        <f aca="false">IFERROR(VALUE(SUBSTITUTE(TRIM('수출입 실적(품목별)'!H2086),",","")),"")</f>
        <v>48822</v>
      </c>
    </row>
    <row r="2083" customFormat="false" ht="15" hidden="false" customHeight="true" outlineLevel="0" collapsed="false">
      <c r="A2083" s="11" t="str">
        <f aca="false">TRIM('수출입 실적(품목별)'!A2087)</f>
        <v>2025.10</v>
      </c>
      <c r="B2083" s="17" t="n">
        <f aca="false">IFERROR(VALUE(LEFT($A2083,4)),"")</f>
        <v>2025</v>
      </c>
      <c r="C2083" s="17" t="n">
        <f aca="false">IFERROR(VALUE(RIGHT($A2083,2)),"")</f>
        <v>10</v>
      </c>
      <c r="D2083" s="17" t="n">
        <f aca="false">IFERROR(ROUNDUP($C2083/3,0),"")</f>
        <v>4</v>
      </c>
      <c r="E2083" s="11" t="str">
        <f aca="false">TRIM('수출입 실적(품목별)'!B2087)</f>
        <v>60</v>
      </c>
      <c r="F2083" s="11" t="str">
        <f aca="false">TRIM('수출입 실적(품목별)'!C2087)</f>
        <v>메리야스 편물과 뜨개질 편물</v>
      </c>
      <c r="G2083" s="18" t="n">
        <f aca="false">IFERROR(VALUE(SUBSTITUTE(TRIM('수출입 실적(품목별)'!D2087),",","")),"")</f>
        <v>13469.7</v>
      </c>
      <c r="H2083" s="19" t="n">
        <f aca="false">IFERROR(VALUE(SUBSTITUTE(TRIM('수출입 실적(품목별)'!E2087),",","")),"")</f>
        <v>103972</v>
      </c>
      <c r="I2083" s="18" t="n">
        <f aca="false">IFERROR(VALUE(SUBSTITUTE(TRIM('수출입 실적(품목별)'!F2087),",","")),"")</f>
        <v>2203.9</v>
      </c>
      <c r="J2083" s="19" t="n">
        <f aca="false">IFERROR(VALUE(SUBSTITUTE(TRIM('수출입 실적(품목별)'!G2087),",","")),"")</f>
        <v>9934</v>
      </c>
      <c r="K2083" s="19" t="n">
        <f aca="false">IFERROR(VALUE(SUBSTITUTE(TRIM('수출입 실적(품목별)'!H2087),",","")),"")</f>
        <v>94039</v>
      </c>
    </row>
    <row r="2084" customFormat="false" ht="15" hidden="false" customHeight="true" outlineLevel="0" collapsed="false">
      <c r="A2084" s="11" t="str">
        <f aca="false">TRIM('수출입 실적(품목별)'!A2088)</f>
        <v>2025.10</v>
      </c>
      <c r="B2084" s="17" t="n">
        <f aca="false">IFERROR(VALUE(LEFT($A2084,4)),"")</f>
        <v>2025</v>
      </c>
      <c r="C2084" s="17" t="n">
        <f aca="false">IFERROR(VALUE(RIGHT($A2084,2)),"")</f>
        <v>10</v>
      </c>
      <c r="D2084" s="17" t="n">
        <f aca="false">IFERROR(ROUNDUP($C2084/3,0),"")</f>
        <v>4</v>
      </c>
      <c r="E2084" s="11" t="str">
        <f aca="false">TRIM('수출입 실적(품목별)'!B2088)</f>
        <v>61</v>
      </c>
      <c r="F2084" s="11" t="str">
        <f aca="false">TRIM('수출입 실적(품목별)'!C2088)</f>
        <v>의류와 그 부속품(메리야스 편물이나 뜨개질 편물로 한정한다)</v>
      </c>
      <c r="G2084" s="18" t="n">
        <f aca="false">IFERROR(VALUE(SUBSTITUTE(TRIM('수출입 실적(품목별)'!D2088),",","")),"")</f>
        <v>2440.5</v>
      </c>
      <c r="H2084" s="19" t="n">
        <f aca="false">IFERROR(VALUE(SUBSTITUTE(TRIM('수출입 실적(품목별)'!E2088),",","")),"")</f>
        <v>65494</v>
      </c>
      <c r="I2084" s="18" t="n">
        <f aca="false">IFERROR(VALUE(SUBSTITUTE(TRIM('수출입 실적(품목별)'!F2088),",","")),"")</f>
        <v>27951.9</v>
      </c>
      <c r="J2084" s="19" t="n">
        <f aca="false">IFERROR(VALUE(SUBSTITUTE(TRIM('수출입 실적(품목별)'!G2088),",","")),"")</f>
        <v>460907</v>
      </c>
      <c r="K2084" s="19" t="n">
        <f aca="false">IFERROR(VALUE(SUBSTITUTE(TRIM('수출입 실적(품목별)'!H2088),",","")),"")</f>
        <v>-395413</v>
      </c>
    </row>
    <row r="2085" customFormat="false" ht="15" hidden="false" customHeight="true" outlineLevel="0" collapsed="false">
      <c r="A2085" s="11" t="str">
        <f aca="false">TRIM('수출입 실적(품목별)'!A2089)</f>
        <v>2025.10</v>
      </c>
      <c r="B2085" s="17" t="n">
        <f aca="false">IFERROR(VALUE(LEFT($A2085,4)),"")</f>
        <v>2025</v>
      </c>
      <c r="C2085" s="17" t="n">
        <f aca="false">IFERROR(VALUE(RIGHT($A2085,2)),"")</f>
        <v>10</v>
      </c>
      <c r="D2085" s="17" t="n">
        <f aca="false">IFERROR(ROUNDUP($C2085/3,0),"")</f>
        <v>4</v>
      </c>
      <c r="E2085" s="11" t="str">
        <f aca="false">TRIM('수출입 실적(품목별)'!B2089)</f>
        <v>62</v>
      </c>
      <c r="F2085" s="11" t="str">
        <f aca="false">TRIM('수출입 실적(품목별)'!C2089)</f>
        <v>의류와 그 부속품(메리야스 편물이나 뜨개질편물은 제외한다)</v>
      </c>
      <c r="G2085" s="18" t="n">
        <f aca="false">IFERROR(VALUE(SUBSTITUTE(TRIM('수출입 실적(품목별)'!D2089),",","")),"")</f>
        <v>2797.7</v>
      </c>
      <c r="H2085" s="19" t="n">
        <f aca="false">IFERROR(VALUE(SUBSTITUTE(TRIM('수출입 실적(품목별)'!E2089),",","")),"")</f>
        <v>76117</v>
      </c>
      <c r="I2085" s="18" t="n">
        <f aca="false">IFERROR(VALUE(SUBSTITUTE(TRIM('수출입 실적(품목별)'!F2089),",","")),"")</f>
        <v>27570.1</v>
      </c>
      <c r="J2085" s="19" t="n">
        <f aca="false">IFERROR(VALUE(SUBSTITUTE(TRIM('수출입 실적(품목별)'!G2089),",","")),"")</f>
        <v>724286</v>
      </c>
      <c r="K2085" s="19" t="n">
        <f aca="false">IFERROR(VALUE(SUBSTITUTE(TRIM('수출입 실적(품목별)'!H2089),",","")),"")</f>
        <v>-648169</v>
      </c>
    </row>
    <row r="2086" customFormat="false" ht="15" hidden="false" customHeight="true" outlineLevel="0" collapsed="false">
      <c r="A2086" s="11" t="str">
        <f aca="false">TRIM('수출입 실적(품목별)'!A2090)</f>
        <v>2025.10</v>
      </c>
      <c r="B2086" s="17" t="n">
        <f aca="false">IFERROR(VALUE(LEFT($A2086,4)),"")</f>
        <v>2025</v>
      </c>
      <c r="C2086" s="17" t="n">
        <f aca="false">IFERROR(VALUE(RIGHT($A2086,2)),"")</f>
        <v>10</v>
      </c>
      <c r="D2086" s="17" t="n">
        <f aca="false">IFERROR(ROUNDUP($C2086/3,0),"")</f>
        <v>4</v>
      </c>
      <c r="E2086" s="11" t="str">
        <f aca="false">TRIM('수출입 실적(품목별)'!B2090)</f>
        <v>63</v>
      </c>
      <c r="F2086" s="11" t="str">
        <f aca="false">TRIM('수출입 실적(품목별)'!C2090)</f>
        <v>제품으로 된 방직용 섬유의 그 밖의 물품, 세트, 사용하던 의류ㆍ방직용 섬유제품, 넝마</v>
      </c>
      <c r="G2086" s="18" t="n">
        <f aca="false">IFERROR(VALUE(SUBSTITUTE(TRIM('수출입 실적(품목별)'!D2090),",","")),"")</f>
        <v>21226</v>
      </c>
      <c r="H2086" s="19" t="n">
        <f aca="false">IFERROR(VALUE(SUBSTITUTE(TRIM('수출입 실적(품목별)'!E2090),",","")),"")</f>
        <v>40735</v>
      </c>
      <c r="I2086" s="18" t="n">
        <f aca="false">IFERROR(VALUE(SUBSTITUTE(TRIM('수출입 실적(품목별)'!F2090),",","")),"")</f>
        <v>26596</v>
      </c>
      <c r="J2086" s="19" t="n">
        <f aca="false">IFERROR(VALUE(SUBSTITUTE(TRIM('수출입 실적(품목별)'!G2090),",","")),"")</f>
        <v>112059</v>
      </c>
      <c r="K2086" s="19" t="n">
        <f aca="false">IFERROR(VALUE(SUBSTITUTE(TRIM('수출입 실적(품목별)'!H2090),",","")),"")</f>
        <v>-71324</v>
      </c>
    </row>
    <row r="2087" customFormat="false" ht="15" hidden="false" customHeight="true" outlineLevel="0" collapsed="false">
      <c r="A2087" s="11" t="str">
        <f aca="false">TRIM('수출입 실적(품목별)'!A2091)</f>
        <v>2025.10</v>
      </c>
      <c r="B2087" s="17" t="n">
        <f aca="false">IFERROR(VALUE(LEFT($A2087,4)),"")</f>
        <v>2025</v>
      </c>
      <c r="C2087" s="17" t="n">
        <f aca="false">IFERROR(VALUE(RIGHT($A2087,2)),"")</f>
        <v>10</v>
      </c>
      <c r="D2087" s="17" t="n">
        <f aca="false">IFERROR(ROUNDUP($C2087/3,0),"")</f>
        <v>4</v>
      </c>
      <c r="E2087" s="11" t="str">
        <f aca="false">TRIM('수출입 실적(품목별)'!B2091)</f>
        <v>64</v>
      </c>
      <c r="F2087" s="11" t="str">
        <f aca="false">TRIM('수출입 실적(품목별)'!C2091)</f>
        <v>신발류ㆍ각반과 이와 유사한 것, 이들의 부분품</v>
      </c>
      <c r="G2087" s="18" t="n">
        <f aca="false">IFERROR(VALUE(SUBSTITUTE(TRIM('수출입 실적(품목별)'!D2091),",","")),"")</f>
        <v>1150</v>
      </c>
      <c r="H2087" s="19" t="n">
        <f aca="false">IFERROR(VALUE(SUBSTITUTE(TRIM('수출입 실적(품목별)'!E2091),",","")),"")</f>
        <v>27385</v>
      </c>
      <c r="I2087" s="18" t="n">
        <f aca="false">IFERROR(VALUE(SUBSTITUTE(TRIM('수출입 실적(품목별)'!F2091),",","")),"")</f>
        <v>9878.9</v>
      </c>
      <c r="J2087" s="19" t="n">
        <f aca="false">IFERROR(VALUE(SUBSTITUTE(TRIM('수출입 실적(품목별)'!G2091),",","")),"")</f>
        <v>244105</v>
      </c>
      <c r="K2087" s="19" t="n">
        <f aca="false">IFERROR(VALUE(SUBSTITUTE(TRIM('수출입 실적(품목별)'!H2091),",","")),"")</f>
        <v>-216721</v>
      </c>
    </row>
    <row r="2088" customFormat="false" ht="15" hidden="false" customHeight="true" outlineLevel="0" collapsed="false">
      <c r="A2088" s="11" t="str">
        <f aca="false">TRIM('수출입 실적(품목별)'!A2092)</f>
        <v>2025.10</v>
      </c>
      <c r="B2088" s="17" t="n">
        <f aca="false">IFERROR(VALUE(LEFT($A2088,4)),"")</f>
        <v>2025</v>
      </c>
      <c r="C2088" s="17" t="n">
        <f aca="false">IFERROR(VALUE(RIGHT($A2088,2)),"")</f>
        <v>10</v>
      </c>
      <c r="D2088" s="17" t="n">
        <f aca="false">IFERROR(ROUNDUP($C2088/3,0),"")</f>
        <v>4</v>
      </c>
      <c r="E2088" s="11" t="str">
        <f aca="false">TRIM('수출입 실적(품목별)'!B2092)</f>
        <v>65</v>
      </c>
      <c r="F2088" s="11" t="str">
        <f aca="false">TRIM('수출입 실적(품목별)'!C2092)</f>
        <v>모자류와 그 부분품</v>
      </c>
      <c r="G2088" s="18" t="n">
        <f aca="false">IFERROR(VALUE(SUBSTITUTE(TRIM('수출입 실적(품목별)'!D2092),",","")),"")</f>
        <v>272.3</v>
      </c>
      <c r="H2088" s="19" t="n">
        <f aca="false">IFERROR(VALUE(SUBSTITUTE(TRIM('수출입 실적(품목별)'!E2092),",","")),"")</f>
        <v>9074</v>
      </c>
      <c r="I2088" s="18" t="n">
        <f aca="false">IFERROR(VALUE(SUBSTITUTE(TRIM('수출입 실적(품목별)'!F2092),",","")),"")</f>
        <v>913</v>
      </c>
      <c r="J2088" s="19" t="n">
        <f aca="false">IFERROR(VALUE(SUBSTITUTE(TRIM('수출입 실적(품목별)'!G2092),",","")),"")</f>
        <v>24434</v>
      </c>
      <c r="K2088" s="19" t="n">
        <f aca="false">IFERROR(VALUE(SUBSTITUTE(TRIM('수출입 실적(품목별)'!H2092),",","")),"")</f>
        <v>-15359</v>
      </c>
    </row>
    <row r="2089" customFormat="false" ht="15" hidden="false" customHeight="true" outlineLevel="0" collapsed="false">
      <c r="A2089" s="11" t="str">
        <f aca="false">TRIM('수출입 실적(품목별)'!A2093)</f>
        <v>2025.10</v>
      </c>
      <c r="B2089" s="17" t="n">
        <f aca="false">IFERROR(VALUE(LEFT($A2089,4)),"")</f>
        <v>2025</v>
      </c>
      <c r="C2089" s="17" t="n">
        <f aca="false">IFERROR(VALUE(RIGHT($A2089,2)),"")</f>
        <v>10</v>
      </c>
      <c r="D2089" s="17" t="n">
        <f aca="false">IFERROR(ROUNDUP($C2089/3,0),"")</f>
        <v>4</v>
      </c>
      <c r="E2089" s="11" t="str">
        <f aca="false">TRIM('수출입 실적(품목별)'!B2093)</f>
        <v>66</v>
      </c>
      <c r="F2089" s="11" t="str">
        <f aca="false">TRIM('수출입 실적(품목별)'!C2093)</f>
        <v>산류(傘類)ㆍ지팡이ㆍ시트스틱(seat-stick)ㆍ채찍ㆍ승마용 채찍과 이들의 부분품</v>
      </c>
      <c r="G2089" s="18" t="n">
        <f aca="false">IFERROR(VALUE(SUBSTITUTE(TRIM('수출입 실적(품목별)'!D2093),",","")),"")</f>
        <v>5.7</v>
      </c>
      <c r="H2089" s="19" t="n">
        <f aca="false">IFERROR(VALUE(SUBSTITUTE(TRIM('수출입 실적(품목별)'!E2093),",","")),"")</f>
        <v>141</v>
      </c>
      <c r="I2089" s="18" t="n">
        <f aca="false">IFERROR(VALUE(SUBSTITUTE(TRIM('수출입 실적(품목별)'!F2093),",","")),"")</f>
        <v>1219.9</v>
      </c>
      <c r="J2089" s="19" t="n">
        <f aca="false">IFERROR(VALUE(SUBSTITUTE(TRIM('수출입 실적(품목별)'!G2093),",","")),"")</f>
        <v>7755</v>
      </c>
      <c r="K2089" s="19" t="n">
        <f aca="false">IFERROR(VALUE(SUBSTITUTE(TRIM('수출입 실적(품목별)'!H2093),",","")),"")</f>
        <v>-7614</v>
      </c>
    </row>
    <row r="2090" customFormat="false" ht="15" hidden="false" customHeight="true" outlineLevel="0" collapsed="false">
      <c r="A2090" s="11" t="str">
        <f aca="false">TRIM('수출입 실적(품목별)'!A2094)</f>
        <v>2025.10</v>
      </c>
      <c r="B2090" s="17" t="n">
        <f aca="false">IFERROR(VALUE(LEFT($A2090,4)),"")</f>
        <v>2025</v>
      </c>
      <c r="C2090" s="17" t="n">
        <f aca="false">IFERROR(VALUE(RIGHT($A2090,2)),"")</f>
        <v>10</v>
      </c>
      <c r="D2090" s="17" t="n">
        <f aca="false">IFERROR(ROUNDUP($C2090/3,0),"")</f>
        <v>4</v>
      </c>
      <c r="E2090" s="11" t="str">
        <f aca="false">TRIM('수출입 실적(품목별)'!B2094)</f>
        <v>67</v>
      </c>
      <c r="F2090" s="11" t="str">
        <f aca="false">TRIM('수출입 실적(품목별)'!C2094)</f>
        <v>조제 깃털ㆍ솜털과 그 제품, 조화, 사람 머리카락으로 된 제품</v>
      </c>
      <c r="G2090" s="18" t="n">
        <f aca="false">IFERROR(VALUE(SUBSTITUTE(TRIM('수출입 실적(품목별)'!D2094),",","")),"")</f>
        <v>37.3</v>
      </c>
      <c r="H2090" s="19" t="n">
        <f aca="false">IFERROR(VALUE(SUBSTITUTE(TRIM('수출입 실적(품목별)'!E2094),",","")),"")</f>
        <v>1590</v>
      </c>
      <c r="I2090" s="18" t="n">
        <f aca="false">IFERROR(VALUE(SUBSTITUTE(TRIM('수출입 실적(품목별)'!F2094),",","")),"")</f>
        <v>378.6</v>
      </c>
      <c r="J2090" s="19" t="n">
        <f aca="false">IFERROR(VALUE(SUBSTITUTE(TRIM('수출입 실적(품목별)'!G2094),",","")),"")</f>
        <v>6866</v>
      </c>
      <c r="K2090" s="19" t="n">
        <f aca="false">IFERROR(VALUE(SUBSTITUTE(TRIM('수출입 실적(품목별)'!H2094),",","")),"")</f>
        <v>-5276</v>
      </c>
    </row>
    <row r="2091" customFormat="false" ht="15" hidden="false" customHeight="true" outlineLevel="0" collapsed="false">
      <c r="A2091" s="11" t="str">
        <f aca="false">TRIM('수출입 실적(품목별)'!A2095)</f>
        <v>2025.10</v>
      </c>
      <c r="B2091" s="17" t="n">
        <f aca="false">IFERROR(VALUE(LEFT($A2091,4)),"")</f>
        <v>2025</v>
      </c>
      <c r="C2091" s="17" t="n">
        <f aca="false">IFERROR(VALUE(RIGHT($A2091,2)),"")</f>
        <v>10</v>
      </c>
      <c r="D2091" s="17" t="n">
        <f aca="false">IFERROR(ROUNDUP($C2091/3,0),"")</f>
        <v>4</v>
      </c>
      <c r="E2091" s="11" t="str">
        <f aca="false">TRIM('수출입 실적(품목별)'!B2095)</f>
        <v>68</v>
      </c>
      <c r="F2091" s="11" t="str">
        <f aca="false">TRIM('수출입 실적(품목별)'!C2095)</f>
        <v>돌ㆍ플라스터(plaster)ㆍ시멘트ㆍ석면ㆍ운모나 이와 유사한 재료의 제품</v>
      </c>
      <c r="G2091" s="18" t="n">
        <f aca="false">IFERROR(VALUE(SUBSTITUTE(TRIM('수출입 실적(품목별)'!D2095),",","")),"")</f>
        <v>10028.5</v>
      </c>
      <c r="H2091" s="19" t="n">
        <f aca="false">IFERROR(VALUE(SUBSTITUTE(TRIM('수출입 실적(품목별)'!E2095),",","")),"")</f>
        <v>65318</v>
      </c>
      <c r="I2091" s="18" t="n">
        <f aca="false">IFERROR(VALUE(SUBSTITUTE(TRIM('수출입 실적(품목별)'!F2095),",","")),"")</f>
        <v>166438.9</v>
      </c>
      <c r="J2091" s="19" t="n">
        <f aca="false">IFERROR(VALUE(SUBSTITUTE(TRIM('수출입 실적(품목별)'!G2095),",","")),"")</f>
        <v>105096</v>
      </c>
      <c r="K2091" s="19" t="n">
        <f aca="false">IFERROR(VALUE(SUBSTITUTE(TRIM('수출입 실적(품목별)'!H2095),",","")),"")</f>
        <v>-39778</v>
      </c>
    </row>
    <row r="2092" customFormat="false" ht="15" hidden="false" customHeight="true" outlineLevel="0" collapsed="false">
      <c r="A2092" s="11" t="str">
        <f aca="false">TRIM('수출입 실적(품목별)'!A2096)</f>
        <v>2025.10</v>
      </c>
      <c r="B2092" s="17" t="n">
        <f aca="false">IFERROR(VALUE(LEFT($A2092,4)),"")</f>
        <v>2025</v>
      </c>
      <c r="C2092" s="17" t="n">
        <f aca="false">IFERROR(VALUE(RIGHT($A2092,2)),"")</f>
        <v>10</v>
      </c>
      <c r="D2092" s="17" t="n">
        <f aca="false">IFERROR(ROUNDUP($C2092/3,0),"")</f>
        <v>4</v>
      </c>
      <c r="E2092" s="11" t="str">
        <f aca="false">TRIM('수출입 실적(품목별)'!B2096)</f>
        <v>69</v>
      </c>
      <c r="F2092" s="11" t="str">
        <f aca="false">TRIM('수출입 실적(품목별)'!C2096)</f>
        <v>도자제품</v>
      </c>
      <c r="G2092" s="18" t="n">
        <f aca="false">IFERROR(VALUE(SUBSTITUTE(TRIM('수출입 실적(품목별)'!D2096),",","")),"")</f>
        <v>2397.4</v>
      </c>
      <c r="H2092" s="19" t="n">
        <f aca="false">IFERROR(VALUE(SUBSTITUTE(TRIM('수출입 실적(품목별)'!E2096),",","")),"")</f>
        <v>29549</v>
      </c>
      <c r="I2092" s="18" t="n">
        <f aca="false">IFERROR(VALUE(SUBSTITUTE(TRIM('수출입 실적(품목별)'!F2096),",","")),"")</f>
        <v>107345.1</v>
      </c>
      <c r="J2092" s="19" t="n">
        <f aca="false">IFERROR(VALUE(SUBSTITUTE(TRIM('수출입 실적(품목별)'!G2096),",","")),"")</f>
        <v>115812</v>
      </c>
      <c r="K2092" s="19" t="n">
        <f aca="false">IFERROR(VALUE(SUBSTITUTE(TRIM('수출입 실적(품목별)'!H2096),",","")),"")</f>
        <v>-86263</v>
      </c>
    </row>
    <row r="2093" customFormat="false" ht="15" hidden="false" customHeight="true" outlineLevel="0" collapsed="false">
      <c r="A2093" s="11" t="str">
        <f aca="false">TRIM('수출입 실적(품목별)'!A2097)</f>
        <v>2025.10</v>
      </c>
      <c r="B2093" s="17" t="n">
        <f aca="false">IFERROR(VALUE(LEFT($A2093,4)),"")</f>
        <v>2025</v>
      </c>
      <c r="C2093" s="17" t="n">
        <f aca="false">IFERROR(VALUE(RIGHT($A2093,2)),"")</f>
        <v>10</v>
      </c>
      <c r="D2093" s="17" t="n">
        <f aca="false">IFERROR(ROUNDUP($C2093/3,0),"")</f>
        <v>4</v>
      </c>
      <c r="E2093" s="11" t="str">
        <f aca="false">TRIM('수출입 실적(품목별)'!B2097)</f>
        <v>70</v>
      </c>
      <c r="F2093" s="11" t="str">
        <f aca="false">TRIM('수출입 실적(품목별)'!C2097)</f>
        <v>유리와 유리제품</v>
      </c>
      <c r="G2093" s="18" t="n">
        <f aca="false">IFERROR(VALUE(SUBSTITUTE(TRIM('수출입 실적(품목별)'!D2097),",","")),"")</f>
        <v>27263.1</v>
      </c>
      <c r="H2093" s="19" t="n">
        <f aca="false">IFERROR(VALUE(SUBSTITUTE(TRIM('수출입 실적(품목별)'!E2097),",","")),"")</f>
        <v>158788</v>
      </c>
      <c r="I2093" s="18" t="n">
        <f aca="false">IFERROR(VALUE(SUBSTITUTE(TRIM('수출입 실적(품목별)'!F2097),",","")),"")</f>
        <v>76274.2</v>
      </c>
      <c r="J2093" s="19" t="n">
        <f aca="false">IFERROR(VALUE(SUBSTITUTE(TRIM('수출입 실적(품목별)'!G2097),",","")),"")</f>
        <v>206466</v>
      </c>
      <c r="K2093" s="19" t="n">
        <f aca="false">IFERROR(VALUE(SUBSTITUTE(TRIM('수출입 실적(품목별)'!H2097),",","")),"")</f>
        <v>-47678</v>
      </c>
    </row>
    <row r="2094" customFormat="false" ht="15" hidden="false" customHeight="true" outlineLevel="0" collapsed="false">
      <c r="A2094" s="11" t="str">
        <f aca="false">TRIM('수출입 실적(품목별)'!A2098)</f>
        <v>2025.10</v>
      </c>
      <c r="B2094" s="17" t="n">
        <f aca="false">IFERROR(VALUE(LEFT($A2094,4)),"")</f>
        <v>2025</v>
      </c>
      <c r="C2094" s="17" t="n">
        <f aca="false">IFERROR(VALUE(RIGHT($A2094,2)),"")</f>
        <v>10</v>
      </c>
      <c r="D2094" s="17" t="n">
        <f aca="false">IFERROR(ROUNDUP($C2094/3,0),"")</f>
        <v>4</v>
      </c>
      <c r="E2094" s="11" t="str">
        <f aca="false">TRIM('수출입 실적(품목별)'!B2098)</f>
        <v>71</v>
      </c>
      <c r="F2094" s="11" t="str">
        <f aca="false">TRIM('수출입 실적(품목별)'!C2098)</f>
        <v>천연진주ㆍ양식진주ㆍ귀석ㆍ반귀석ㆍ귀금속ㆍ귀금속을 입힌 금속과 이들의 제품, 모조 신변장식용품, 주화</v>
      </c>
      <c r="G2094" s="18" t="n">
        <f aca="false">IFERROR(VALUE(SUBSTITUTE(TRIM('수출입 실적(품목별)'!D2098),",","")),"")</f>
        <v>943.5</v>
      </c>
      <c r="H2094" s="19" t="n">
        <f aca="false">IFERROR(VALUE(SUBSTITUTE(TRIM('수출입 실적(품목별)'!E2098),",","")),"")</f>
        <v>954140</v>
      </c>
      <c r="I2094" s="18" t="n">
        <f aca="false">IFERROR(VALUE(SUBSTITUTE(TRIM('수출입 실적(품목별)'!F2098),",","")),"")</f>
        <v>1619.8</v>
      </c>
      <c r="J2094" s="19" t="n">
        <f aca="false">IFERROR(VALUE(SUBSTITUTE(TRIM('수출입 실적(품목별)'!G2098),",","")),"")</f>
        <v>2610620</v>
      </c>
      <c r="K2094" s="19" t="n">
        <f aca="false">IFERROR(VALUE(SUBSTITUTE(TRIM('수출입 실적(품목별)'!H2098),",","")),"")</f>
        <v>-1656480</v>
      </c>
    </row>
    <row r="2095" customFormat="false" ht="15" hidden="false" customHeight="true" outlineLevel="0" collapsed="false">
      <c r="A2095" s="11" t="str">
        <f aca="false">TRIM('수출입 실적(품목별)'!A2099)</f>
        <v>2025.10</v>
      </c>
      <c r="B2095" s="17" t="n">
        <f aca="false">IFERROR(VALUE(LEFT($A2095,4)),"")</f>
        <v>2025</v>
      </c>
      <c r="C2095" s="17" t="n">
        <f aca="false">IFERROR(VALUE(RIGHT($A2095,2)),"")</f>
        <v>10</v>
      </c>
      <c r="D2095" s="17" t="n">
        <f aca="false">IFERROR(ROUNDUP($C2095/3,0),"")</f>
        <v>4</v>
      </c>
      <c r="E2095" s="11" t="str">
        <f aca="false">TRIM('수출입 실적(품목별)'!B2099)</f>
        <v>72</v>
      </c>
      <c r="F2095" s="11" t="str">
        <f aca="false">TRIM('수출입 실적(품목별)'!C2099)</f>
        <v>철강</v>
      </c>
      <c r="G2095" s="18" t="n">
        <f aca="false">IFERROR(VALUE(SUBSTITUTE(TRIM('수출입 실적(품목별)'!D2099),",","")),"")</f>
        <v>2081853.8</v>
      </c>
      <c r="H2095" s="19" t="n">
        <f aca="false">IFERROR(VALUE(SUBSTITUTE(TRIM('수출입 실적(품목별)'!E2099),",","")),"")</f>
        <v>1772436</v>
      </c>
      <c r="I2095" s="18" t="n">
        <f aca="false">IFERROR(VALUE(SUBSTITUTE(TRIM('수출입 실적(품목별)'!F2099),",","")),"")</f>
        <v>1120654.9</v>
      </c>
      <c r="J2095" s="19" t="n">
        <f aca="false">IFERROR(VALUE(SUBSTITUTE(TRIM('수출입 실적(품목별)'!G2099),",","")),"")</f>
        <v>898308</v>
      </c>
      <c r="K2095" s="19" t="n">
        <f aca="false">IFERROR(VALUE(SUBSTITUTE(TRIM('수출입 실적(품목별)'!H2099),",","")),"")</f>
        <v>874129</v>
      </c>
    </row>
    <row r="2096" customFormat="false" ht="15" hidden="false" customHeight="true" outlineLevel="0" collapsed="false">
      <c r="A2096" s="11" t="str">
        <f aca="false">TRIM('수출입 실적(품목별)'!A2100)</f>
        <v>2025.10</v>
      </c>
      <c r="B2096" s="17" t="n">
        <f aca="false">IFERROR(VALUE(LEFT($A2096,4)),"")</f>
        <v>2025</v>
      </c>
      <c r="C2096" s="17" t="n">
        <f aca="false">IFERROR(VALUE(RIGHT($A2096,2)),"")</f>
        <v>10</v>
      </c>
      <c r="D2096" s="17" t="n">
        <f aca="false">IFERROR(ROUNDUP($C2096/3,0),"")</f>
        <v>4</v>
      </c>
      <c r="E2096" s="11" t="str">
        <f aca="false">TRIM('수출입 실적(품목별)'!B2100)</f>
        <v>73</v>
      </c>
      <c r="F2096" s="11" t="str">
        <f aca="false">TRIM('수출입 실적(품목별)'!C2100)</f>
        <v>철강의 제품</v>
      </c>
      <c r="G2096" s="18" t="n">
        <f aca="false">IFERROR(VALUE(SUBSTITUTE(TRIM('수출입 실적(품목별)'!D2100),",","")),"")</f>
        <v>201663.5</v>
      </c>
      <c r="H2096" s="19" t="n">
        <f aca="false">IFERROR(VALUE(SUBSTITUTE(TRIM('수출입 실적(품목별)'!E2100),",","")),"")</f>
        <v>563270</v>
      </c>
      <c r="I2096" s="18" t="n">
        <f aca="false">IFERROR(VALUE(SUBSTITUTE(TRIM('수출입 실적(품목별)'!F2100),",","")),"")</f>
        <v>196362.8</v>
      </c>
      <c r="J2096" s="19" t="n">
        <f aca="false">IFERROR(VALUE(SUBSTITUTE(TRIM('수출입 실적(품목별)'!G2100),",","")),"")</f>
        <v>577826</v>
      </c>
      <c r="K2096" s="19" t="n">
        <f aca="false">IFERROR(VALUE(SUBSTITUTE(TRIM('수출입 실적(품목별)'!H2100),",","")),"")</f>
        <v>-14556</v>
      </c>
    </row>
    <row r="2097" customFormat="false" ht="15" hidden="false" customHeight="true" outlineLevel="0" collapsed="false">
      <c r="A2097" s="11" t="str">
        <f aca="false">TRIM('수출입 실적(품목별)'!A2101)</f>
        <v>2025.10</v>
      </c>
      <c r="B2097" s="17" t="n">
        <f aca="false">IFERROR(VALUE(LEFT($A2097,4)),"")</f>
        <v>2025</v>
      </c>
      <c r="C2097" s="17" t="n">
        <f aca="false">IFERROR(VALUE(RIGHT($A2097,2)),"")</f>
        <v>10</v>
      </c>
      <c r="D2097" s="17" t="n">
        <f aca="false">IFERROR(ROUNDUP($C2097/3,0),"")</f>
        <v>4</v>
      </c>
      <c r="E2097" s="11" t="str">
        <f aca="false">TRIM('수출입 실적(품목별)'!B2101)</f>
        <v>74</v>
      </c>
      <c r="F2097" s="11" t="str">
        <f aca="false">TRIM('수출입 실적(품목별)'!C2101)</f>
        <v>구리와 그 제품</v>
      </c>
      <c r="G2097" s="18" t="n">
        <f aca="false">IFERROR(VALUE(SUBSTITUTE(TRIM('수출입 실적(품목별)'!D2101),",","")),"")</f>
        <v>58043.9</v>
      </c>
      <c r="H2097" s="19" t="n">
        <f aca="false">IFERROR(VALUE(SUBSTITUTE(TRIM('수출입 실적(품목별)'!E2101),",","")),"")</f>
        <v>570357</v>
      </c>
      <c r="I2097" s="18" t="n">
        <f aca="false">IFERROR(VALUE(SUBSTITUTE(TRIM('수출입 실적(품목별)'!F2101),",","")),"")</f>
        <v>64607.1</v>
      </c>
      <c r="J2097" s="19" t="n">
        <f aca="false">IFERROR(VALUE(SUBSTITUTE(TRIM('수출입 실적(품목별)'!G2101),",","")),"")</f>
        <v>656789</v>
      </c>
      <c r="K2097" s="19" t="n">
        <f aca="false">IFERROR(VALUE(SUBSTITUTE(TRIM('수출입 실적(품목별)'!H2101),",","")),"")</f>
        <v>-86432</v>
      </c>
    </row>
    <row r="2098" customFormat="false" ht="15" hidden="false" customHeight="true" outlineLevel="0" collapsed="false">
      <c r="A2098" s="11" t="str">
        <f aca="false">TRIM('수출입 실적(품목별)'!A2102)</f>
        <v>2025.10</v>
      </c>
      <c r="B2098" s="17" t="n">
        <f aca="false">IFERROR(VALUE(LEFT($A2098,4)),"")</f>
        <v>2025</v>
      </c>
      <c r="C2098" s="17" t="n">
        <f aca="false">IFERROR(VALUE(RIGHT($A2098,2)),"")</f>
        <v>10</v>
      </c>
      <c r="D2098" s="17" t="n">
        <f aca="false">IFERROR(ROUNDUP($C2098/3,0),"")</f>
        <v>4</v>
      </c>
      <c r="E2098" s="11" t="str">
        <f aca="false">TRIM('수출입 실적(품목별)'!B2102)</f>
        <v>75</v>
      </c>
      <c r="F2098" s="11" t="str">
        <f aca="false">TRIM('수출입 실적(품목별)'!C2102)</f>
        <v>니켈과 그 제품</v>
      </c>
      <c r="G2098" s="18" t="n">
        <f aca="false">IFERROR(VALUE(SUBSTITUTE(TRIM('수출입 실적(품목별)'!D2102),",","")),"")</f>
        <v>1312.7</v>
      </c>
      <c r="H2098" s="19" t="n">
        <f aca="false">IFERROR(VALUE(SUBSTITUTE(TRIM('수출입 실적(품목별)'!E2102),",","")),"")</f>
        <v>17879</v>
      </c>
      <c r="I2098" s="18" t="n">
        <f aca="false">IFERROR(VALUE(SUBSTITUTE(TRIM('수출입 실적(품목별)'!F2102),",","")),"")</f>
        <v>4945.1</v>
      </c>
      <c r="J2098" s="19" t="n">
        <f aca="false">IFERROR(VALUE(SUBSTITUTE(TRIM('수출입 실적(품목별)'!G2102),",","")),"")</f>
        <v>82717</v>
      </c>
      <c r="K2098" s="19" t="n">
        <f aca="false">IFERROR(VALUE(SUBSTITUTE(TRIM('수출입 실적(품목별)'!H2102),",","")),"")</f>
        <v>-64838</v>
      </c>
    </row>
    <row r="2099" customFormat="false" ht="15" hidden="false" customHeight="true" outlineLevel="0" collapsed="false">
      <c r="A2099" s="11" t="str">
        <f aca="false">TRIM('수출입 실적(품목별)'!A2103)</f>
        <v>2025.10</v>
      </c>
      <c r="B2099" s="17" t="n">
        <f aca="false">IFERROR(VALUE(LEFT($A2099,4)),"")</f>
        <v>2025</v>
      </c>
      <c r="C2099" s="17" t="n">
        <f aca="false">IFERROR(VALUE(RIGHT($A2099,2)),"")</f>
        <v>10</v>
      </c>
      <c r="D2099" s="17" t="n">
        <f aca="false">IFERROR(ROUNDUP($C2099/3,0),"")</f>
        <v>4</v>
      </c>
      <c r="E2099" s="11" t="str">
        <f aca="false">TRIM('수출입 실적(품목별)'!B2103)</f>
        <v>76</v>
      </c>
      <c r="F2099" s="11" t="str">
        <f aca="false">TRIM('수출입 실적(품목별)'!C2103)</f>
        <v>알루미늄과 그 제품</v>
      </c>
      <c r="G2099" s="18" t="n">
        <f aca="false">IFERROR(VALUE(SUBSTITUTE(TRIM('수출입 실적(품목별)'!D2103),",","")),"")</f>
        <v>98237.6</v>
      </c>
      <c r="H2099" s="19" t="n">
        <f aca="false">IFERROR(VALUE(SUBSTITUTE(TRIM('수출입 실적(품목별)'!E2103),",","")),"")</f>
        <v>395447</v>
      </c>
      <c r="I2099" s="18" t="n">
        <f aca="false">IFERROR(VALUE(SUBSTITUTE(TRIM('수출입 실적(품목별)'!F2103),",","")),"")</f>
        <v>234538.1</v>
      </c>
      <c r="J2099" s="19" t="n">
        <f aca="false">IFERROR(VALUE(SUBSTITUTE(TRIM('수출입 실적(품목별)'!G2103),",","")),"")</f>
        <v>719535</v>
      </c>
      <c r="K2099" s="19" t="n">
        <f aca="false">IFERROR(VALUE(SUBSTITUTE(TRIM('수출입 실적(품목별)'!H2103),",","")),"")</f>
        <v>-324089</v>
      </c>
    </row>
    <row r="2100" customFormat="false" ht="15" hidden="false" customHeight="true" outlineLevel="0" collapsed="false">
      <c r="A2100" s="11" t="str">
        <f aca="false">TRIM('수출입 실적(품목별)'!A2104)</f>
        <v>2025.10</v>
      </c>
      <c r="B2100" s="17" t="n">
        <f aca="false">IFERROR(VALUE(LEFT($A2100,4)),"")</f>
        <v>2025</v>
      </c>
      <c r="C2100" s="17" t="n">
        <f aca="false">IFERROR(VALUE(RIGHT($A2100,2)),"")</f>
        <v>10</v>
      </c>
      <c r="D2100" s="17" t="n">
        <f aca="false">IFERROR(ROUNDUP($C2100/3,0),"")</f>
        <v>4</v>
      </c>
      <c r="E2100" s="11" t="str">
        <f aca="false">TRIM('수출입 실적(품목별)'!B2104)</f>
        <v>78</v>
      </c>
      <c r="F2100" s="11" t="str">
        <f aca="false">TRIM('수출입 실적(품목별)'!C2104)</f>
        <v>납과 그 제품</v>
      </c>
      <c r="G2100" s="18" t="n">
        <f aca="false">IFERROR(VALUE(SUBSTITUTE(TRIM('수출입 실적(품목별)'!D2104),",","")),"")</f>
        <v>26724.9</v>
      </c>
      <c r="H2100" s="19" t="n">
        <f aca="false">IFERROR(VALUE(SUBSTITUTE(TRIM('수출입 실적(품목별)'!E2104),",","")),"")</f>
        <v>58766</v>
      </c>
      <c r="I2100" s="18" t="n">
        <f aca="false">IFERROR(VALUE(SUBSTITUTE(TRIM('수출입 실적(품목별)'!F2104),",","")),"")</f>
        <v>13309</v>
      </c>
      <c r="J2100" s="19" t="n">
        <f aca="false">IFERROR(VALUE(SUBSTITUTE(TRIM('수출입 실적(품목별)'!G2104),",","")),"")</f>
        <v>29616</v>
      </c>
      <c r="K2100" s="19" t="n">
        <f aca="false">IFERROR(VALUE(SUBSTITUTE(TRIM('수출입 실적(품목별)'!H2104),",","")),"")</f>
        <v>29150</v>
      </c>
    </row>
    <row r="2101" customFormat="false" ht="15" hidden="false" customHeight="true" outlineLevel="0" collapsed="false">
      <c r="A2101" s="11" t="str">
        <f aca="false">TRIM('수출입 실적(품목별)'!A2105)</f>
        <v>2025.10</v>
      </c>
      <c r="B2101" s="17" t="n">
        <f aca="false">IFERROR(VALUE(LEFT($A2101,4)),"")</f>
        <v>2025</v>
      </c>
      <c r="C2101" s="17" t="n">
        <f aca="false">IFERROR(VALUE(RIGHT($A2101,2)),"")</f>
        <v>10</v>
      </c>
      <c r="D2101" s="17" t="n">
        <f aca="false">IFERROR(ROUNDUP($C2101/3,0),"")</f>
        <v>4</v>
      </c>
      <c r="E2101" s="11" t="str">
        <f aca="false">TRIM('수출입 실적(품목별)'!B2105)</f>
        <v>79</v>
      </c>
      <c r="F2101" s="11" t="str">
        <f aca="false">TRIM('수출입 실적(품목별)'!C2105)</f>
        <v>아연과 그 제품</v>
      </c>
      <c r="G2101" s="18" t="n">
        <f aca="false">IFERROR(VALUE(SUBSTITUTE(TRIM('수출입 실적(품목별)'!D2105),",","")),"")</f>
        <v>44811.4</v>
      </c>
      <c r="H2101" s="19" t="n">
        <f aca="false">IFERROR(VALUE(SUBSTITUTE(TRIM('수출입 실적(품목별)'!E2105),",","")),"")</f>
        <v>142832</v>
      </c>
      <c r="I2101" s="18" t="n">
        <f aca="false">IFERROR(VALUE(SUBSTITUTE(TRIM('수출입 실적(품목별)'!F2105),",","")),"")</f>
        <v>4881.6</v>
      </c>
      <c r="J2101" s="19" t="n">
        <f aca="false">IFERROR(VALUE(SUBSTITUTE(TRIM('수출입 실적(품목별)'!G2105),",","")),"")</f>
        <v>21627</v>
      </c>
      <c r="K2101" s="19" t="n">
        <f aca="false">IFERROR(VALUE(SUBSTITUTE(TRIM('수출입 실적(품목별)'!H2105),",","")),"")</f>
        <v>121205</v>
      </c>
    </row>
    <row r="2102" customFormat="false" ht="15" hidden="false" customHeight="true" outlineLevel="0" collapsed="false">
      <c r="A2102" s="11" t="str">
        <f aca="false">TRIM('수출입 실적(품목별)'!A2106)</f>
        <v>2025.10</v>
      </c>
      <c r="B2102" s="17" t="n">
        <f aca="false">IFERROR(VALUE(LEFT($A2102,4)),"")</f>
        <v>2025</v>
      </c>
      <c r="C2102" s="17" t="n">
        <f aca="false">IFERROR(VALUE(RIGHT($A2102,2)),"")</f>
        <v>10</v>
      </c>
      <c r="D2102" s="17" t="n">
        <f aca="false">IFERROR(ROUNDUP($C2102/3,0),"")</f>
        <v>4</v>
      </c>
      <c r="E2102" s="11" t="str">
        <f aca="false">TRIM('수출입 실적(품목별)'!B2106)</f>
        <v>80</v>
      </c>
      <c r="F2102" s="11" t="str">
        <f aca="false">TRIM('수출입 실적(품목별)'!C2106)</f>
        <v>주석과 그 제품</v>
      </c>
      <c r="G2102" s="18" t="n">
        <f aca="false">IFERROR(VALUE(SUBSTITUTE(TRIM('수출입 실적(품목별)'!D2106),",","")),"")</f>
        <v>79.4</v>
      </c>
      <c r="H2102" s="19" t="n">
        <f aca="false">IFERROR(VALUE(SUBSTITUTE(TRIM('수출입 실적(품목별)'!E2106),",","")),"")</f>
        <v>4994</v>
      </c>
      <c r="I2102" s="18" t="n">
        <f aca="false">IFERROR(VALUE(SUBSTITUTE(TRIM('수출입 실적(품목별)'!F2106),",","")),"")</f>
        <v>1471</v>
      </c>
      <c r="J2102" s="19" t="n">
        <f aca="false">IFERROR(VALUE(SUBSTITUTE(TRIM('수출입 실적(품목별)'!G2106),",","")),"")</f>
        <v>53993</v>
      </c>
      <c r="K2102" s="19" t="n">
        <f aca="false">IFERROR(VALUE(SUBSTITUTE(TRIM('수출입 실적(품목별)'!H2106),",","")),"")</f>
        <v>-48999</v>
      </c>
    </row>
    <row r="2103" customFormat="false" ht="15" hidden="false" customHeight="true" outlineLevel="0" collapsed="false">
      <c r="A2103" s="11" t="str">
        <f aca="false">TRIM('수출입 실적(품목별)'!A2107)</f>
        <v>2025.10</v>
      </c>
      <c r="B2103" s="17" t="n">
        <f aca="false">IFERROR(VALUE(LEFT($A2103,4)),"")</f>
        <v>2025</v>
      </c>
      <c r="C2103" s="17" t="n">
        <f aca="false">IFERROR(VALUE(RIGHT($A2103,2)),"")</f>
        <v>10</v>
      </c>
      <c r="D2103" s="17" t="n">
        <f aca="false">IFERROR(ROUNDUP($C2103/3,0),"")</f>
        <v>4</v>
      </c>
      <c r="E2103" s="11" t="str">
        <f aca="false">TRIM('수출입 실적(품목별)'!B2107)</f>
        <v>81</v>
      </c>
      <c r="F2103" s="11" t="str">
        <f aca="false">TRIM('수출입 실적(품목별)'!C2107)</f>
        <v>그 밖의 비금속(卑金屬), 서멧(cermet), 이들의 제품</v>
      </c>
      <c r="G2103" s="18" t="n">
        <f aca="false">IFERROR(VALUE(SUBSTITUTE(TRIM('수출입 실적(품목별)'!D2107),",","")),"")</f>
        <v>1931.1</v>
      </c>
      <c r="H2103" s="19" t="n">
        <f aca="false">IFERROR(VALUE(SUBSTITUTE(TRIM('수출입 실적(품목별)'!E2107),",","")),"")</f>
        <v>32423</v>
      </c>
      <c r="I2103" s="18" t="n">
        <f aca="false">IFERROR(VALUE(SUBSTITUTE(TRIM('수출입 실적(품목별)'!F2107),",","")),"")</f>
        <v>11374.7</v>
      </c>
      <c r="J2103" s="19" t="n">
        <f aca="false">IFERROR(VALUE(SUBSTITUTE(TRIM('수출입 실적(품목별)'!G2107),",","")),"")</f>
        <v>117022</v>
      </c>
      <c r="K2103" s="19" t="n">
        <f aca="false">IFERROR(VALUE(SUBSTITUTE(TRIM('수출입 실적(품목별)'!H2107),",","")),"")</f>
        <v>-84600</v>
      </c>
    </row>
    <row r="2104" customFormat="false" ht="15" hidden="false" customHeight="true" outlineLevel="0" collapsed="false">
      <c r="A2104" s="11" t="str">
        <f aca="false">TRIM('수출입 실적(품목별)'!A2108)</f>
        <v>2025.10</v>
      </c>
      <c r="B2104" s="17" t="n">
        <f aca="false">IFERROR(VALUE(LEFT($A2104,4)),"")</f>
        <v>2025</v>
      </c>
      <c r="C2104" s="17" t="n">
        <f aca="false">IFERROR(VALUE(RIGHT($A2104,2)),"")</f>
        <v>10</v>
      </c>
      <c r="D2104" s="17" t="n">
        <f aca="false">IFERROR(ROUNDUP($C2104/3,0),"")</f>
        <v>4</v>
      </c>
      <c r="E2104" s="11" t="str">
        <f aca="false">TRIM('수출입 실적(품목별)'!B2108)</f>
        <v>82</v>
      </c>
      <c r="F2104" s="11" t="str">
        <f aca="false">TRIM('수출입 실적(품목별)'!C2108)</f>
        <v>비금속(卑金屬)으로 만든 공구ㆍ도구ㆍ칼붙이ㆍ스푼ㆍ포크, 이들의 부분품</v>
      </c>
      <c r="G2104" s="18" t="n">
        <f aca="false">IFERROR(VALUE(SUBSTITUTE(TRIM('수출입 실적(품목별)'!D2108),",","")),"")</f>
        <v>7520.1</v>
      </c>
      <c r="H2104" s="19" t="n">
        <f aca="false">IFERROR(VALUE(SUBSTITUTE(TRIM('수출입 실적(품목별)'!E2108),",","")),"")</f>
        <v>154389</v>
      </c>
      <c r="I2104" s="18" t="n">
        <f aca="false">IFERROR(VALUE(SUBSTITUTE(TRIM('수출입 실적(품목별)'!F2108),",","")),"")</f>
        <v>5119.6</v>
      </c>
      <c r="J2104" s="19" t="n">
        <f aca="false">IFERROR(VALUE(SUBSTITUTE(TRIM('수출입 실적(품목별)'!G2108),",","")),"")</f>
        <v>88380</v>
      </c>
      <c r="K2104" s="19" t="n">
        <f aca="false">IFERROR(VALUE(SUBSTITUTE(TRIM('수출입 실적(품목별)'!H2108),",","")),"")</f>
        <v>66009</v>
      </c>
    </row>
    <row r="2105" customFormat="false" ht="15" hidden="false" customHeight="true" outlineLevel="0" collapsed="false">
      <c r="A2105" s="11" t="str">
        <f aca="false">TRIM('수출입 실적(품목별)'!A2109)</f>
        <v>2025.10</v>
      </c>
      <c r="B2105" s="17" t="n">
        <f aca="false">IFERROR(VALUE(LEFT($A2105,4)),"")</f>
        <v>2025</v>
      </c>
      <c r="C2105" s="17" t="n">
        <f aca="false">IFERROR(VALUE(RIGHT($A2105,2)),"")</f>
        <v>10</v>
      </c>
      <c r="D2105" s="17" t="n">
        <f aca="false">IFERROR(ROUNDUP($C2105/3,0),"")</f>
        <v>4</v>
      </c>
      <c r="E2105" s="11" t="str">
        <f aca="false">TRIM('수출입 실적(품목별)'!B2109)</f>
        <v>83</v>
      </c>
      <c r="F2105" s="11" t="str">
        <f aca="false">TRIM('수출입 실적(품목별)'!C2109)</f>
        <v>비금속(卑金屬)으로 만든 각종 제품</v>
      </c>
      <c r="G2105" s="18" t="n">
        <f aca="false">IFERROR(VALUE(SUBSTITUTE(TRIM('수출입 실적(품목별)'!D2109),",","")),"")</f>
        <v>19327.8</v>
      </c>
      <c r="H2105" s="19" t="n">
        <f aca="false">IFERROR(VALUE(SUBSTITUTE(TRIM('수출입 실적(품목별)'!E2109),",","")),"")</f>
        <v>112775</v>
      </c>
      <c r="I2105" s="18" t="n">
        <f aca="false">IFERROR(VALUE(SUBSTITUTE(TRIM('수출입 실적(품목별)'!F2109),",","")),"")</f>
        <v>9797.6</v>
      </c>
      <c r="J2105" s="19" t="n">
        <f aca="false">IFERROR(VALUE(SUBSTITUTE(TRIM('수출입 실적(품목별)'!G2109),",","")),"")</f>
        <v>71954</v>
      </c>
      <c r="K2105" s="19" t="n">
        <f aca="false">IFERROR(VALUE(SUBSTITUTE(TRIM('수출입 실적(품목별)'!H2109),",","")),"")</f>
        <v>40821</v>
      </c>
    </row>
    <row r="2106" customFormat="false" ht="15" hidden="false" customHeight="true" outlineLevel="0" collapsed="false">
      <c r="A2106" s="11" t="str">
        <f aca="false">TRIM('수출입 실적(품목별)'!A2110)</f>
        <v>2025.10</v>
      </c>
      <c r="B2106" s="17" t="n">
        <f aca="false">IFERROR(VALUE(LEFT($A2106,4)),"")</f>
        <v>2025</v>
      </c>
      <c r="C2106" s="17" t="n">
        <f aca="false">IFERROR(VALUE(RIGHT($A2106,2)),"")</f>
        <v>10</v>
      </c>
      <c r="D2106" s="17" t="n">
        <f aca="false">IFERROR(ROUNDUP($C2106/3,0),"")</f>
        <v>4</v>
      </c>
      <c r="E2106" s="11" t="str">
        <f aca="false">TRIM('수출입 실적(품목별)'!B2110)</f>
        <v>84</v>
      </c>
      <c r="F2106" s="11" t="str">
        <f aca="false">TRIM('수출입 실적(품목별)'!C2110)</f>
        <v>원자로ㆍ보일러ㆍ기계류와 이들의 부분품</v>
      </c>
      <c r="G2106" s="18" t="n">
        <f aca="false">IFERROR(VALUE(SUBSTITUTE(TRIM('수출입 실적(품목별)'!D2110),",","")),"")</f>
        <v>310579.2</v>
      </c>
      <c r="H2106" s="19" t="n">
        <f aca="false">IFERROR(VALUE(SUBSTITUTE(TRIM('수출입 실적(품목별)'!E2110),",","")),"")</f>
        <v>6307730</v>
      </c>
      <c r="I2106" s="18" t="n">
        <f aca="false">IFERROR(VALUE(SUBSTITUTE(TRIM('수출입 실적(품목별)'!F2110),",","")),"")</f>
        <v>188674.2</v>
      </c>
      <c r="J2106" s="19" t="n">
        <f aca="false">IFERROR(VALUE(SUBSTITUTE(TRIM('수출입 실적(품목별)'!G2110),",","")),"")</f>
        <v>6029558</v>
      </c>
      <c r="K2106" s="19" t="n">
        <f aca="false">IFERROR(VALUE(SUBSTITUTE(TRIM('수출입 실적(품목별)'!H2110),",","")),"")</f>
        <v>278173</v>
      </c>
    </row>
    <row r="2107" customFormat="false" ht="15" hidden="false" customHeight="true" outlineLevel="0" collapsed="false">
      <c r="A2107" s="11" t="str">
        <f aca="false">TRIM('수출입 실적(품목별)'!A2111)</f>
        <v>2025.10</v>
      </c>
      <c r="B2107" s="17" t="n">
        <f aca="false">IFERROR(VALUE(LEFT($A2107,4)),"")</f>
        <v>2025</v>
      </c>
      <c r="C2107" s="17" t="n">
        <f aca="false">IFERROR(VALUE(RIGHT($A2107,2)),"")</f>
        <v>10</v>
      </c>
      <c r="D2107" s="17" t="n">
        <f aca="false">IFERROR(ROUNDUP($C2107/3,0),"")</f>
        <v>4</v>
      </c>
      <c r="E2107" s="11" t="str">
        <f aca="false">TRIM('수출입 실적(품목별)'!B2111)</f>
        <v>85</v>
      </c>
      <c r="F2107" s="11" t="str">
        <f aca="false">TRIM('수출입 실적(품목별)'!C2111)</f>
        <v>전기기기와 그 부분품, 녹음기ㆍ음성 재생기ㆍ텔레비전의 영상과 음성의 기록기ㆍ재생기와 이들의 부분품ㆍ부속품</v>
      </c>
      <c r="G2107" s="18" t="n">
        <f aca="false">IFERROR(VALUE(SUBSTITUTE(TRIM('수출입 실적(품목별)'!D2111),",","")),"")</f>
        <v>186701.6</v>
      </c>
      <c r="H2107" s="19" t="n">
        <f aca="false">IFERROR(VALUE(SUBSTITUTE(TRIM('수출입 실적(품목별)'!E2111),",","")),"")</f>
        <v>20790549</v>
      </c>
      <c r="I2107" s="18" t="n">
        <f aca="false">IFERROR(VALUE(SUBSTITUTE(TRIM('수출입 실적(품목별)'!F2111),",","")),"")</f>
        <v>197182.4</v>
      </c>
      <c r="J2107" s="19" t="n">
        <f aca="false">IFERROR(VALUE(SUBSTITUTE(TRIM('수출입 실적(품목별)'!G2111),",","")),"")</f>
        <v>10728774</v>
      </c>
      <c r="K2107" s="19" t="n">
        <f aca="false">IFERROR(VALUE(SUBSTITUTE(TRIM('수출입 실적(품목별)'!H2111),",","")),"")</f>
        <v>10061775</v>
      </c>
    </row>
    <row r="2108" customFormat="false" ht="15" hidden="false" customHeight="true" outlineLevel="0" collapsed="false">
      <c r="A2108" s="11" t="str">
        <f aca="false">TRIM('수출입 실적(품목별)'!A2112)</f>
        <v>2025.10</v>
      </c>
      <c r="B2108" s="17" t="n">
        <f aca="false">IFERROR(VALUE(LEFT($A2108,4)),"")</f>
        <v>2025</v>
      </c>
      <c r="C2108" s="17" t="n">
        <f aca="false">IFERROR(VALUE(RIGHT($A2108,2)),"")</f>
        <v>10</v>
      </c>
      <c r="D2108" s="17" t="n">
        <f aca="false">IFERROR(ROUNDUP($C2108/3,0),"")</f>
        <v>4</v>
      </c>
      <c r="E2108" s="11" t="str">
        <f aca="false">TRIM('수출입 실적(품목별)'!B2112)</f>
        <v>86</v>
      </c>
      <c r="F2108" s="11" t="str">
        <f aca="false">TRIM('수출입 실적(품목별)'!C2112)</f>
        <v>철도용이나 궤도용 기관차ㆍ차량과 이들의 부분품, 철도용이나 궤도용 장비품과 그 부분품, 기계식(전기기계식을 포함한다) 각종 교통신호용 기기</v>
      </c>
      <c r="G2108" s="18" t="n">
        <f aca="false">IFERROR(VALUE(SUBSTITUTE(TRIM('수출입 실적(품목별)'!D2112),",","")),"")</f>
        <v>10805.1</v>
      </c>
      <c r="H2108" s="19" t="n">
        <f aca="false">IFERROR(VALUE(SUBSTITUTE(TRIM('수출입 실적(품목별)'!E2112),",","")),"")</f>
        <v>42389</v>
      </c>
      <c r="I2108" s="18" t="n">
        <f aca="false">IFERROR(VALUE(SUBSTITUTE(TRIM('수출입 실적(품목별)'!F2112),",","")),"")</f>
        <v>9882</v>
      </c>
      <c r="J2108" s="19" t="n">
        <f aca="false">IFERROR(VALUE(SUBSTITUTE(TRIM('수출입 실적(품목별)'!G2112),",","")),"")</f>
        <v>34008</v>
      </c>
      <c r="K2108" s="19" t="n">
        <f aca="false">IFERROR(VALUE(SUBSTITUTE(TRIM('수출입 실적(품목별)'!H2112),",","")),"")</f>
        <v>8382</v>
      </c>
    </row>
    <row r="2109" customFormat="false" ht="15" hidden="false" customHeight="true" outlineLevel="0" collapsed="false">
      <c r="A2109" s="11" t="str">
        <f aca="false">TRIM('수출입 실적(품목별)'!A2113)</f>
        <v>2025.10</v>
      </c>
      <c r="B2109" s="17" t="n">
        <f aca="false">IFERROR(VALUE(LEFT($A2109,4)),"")</f>
        <v>2025</v>
      </c>
      <c r="C2109" s="17" t="n">
        <f aca="false">IFERROR(VALUE(RIGHT($A2109,2)),"")</f>
        <v>10</v>
      </c>
      <c r="D2109" s="17" t="n">
        <f aca="false">IFERROR(ROUNDUP($C2109/3,0),"")</f>
        <v>4</v>
      </c>
      <c r="E2109" s="11" t="str">
        <f aca="false">TRIM('수출입 실적(품목별)'!B2113)</f>
        <v>87</v>
      </c>
      <c r="F2109" s="11" t="str">
        <f aca="false">TRIM('수출입 실적(품목별)'!C2113)</f>
        <v>철도용이나 궤도용 외의 차량과 그 부분품ㆍ부속품</v>
      </c>
      <c r="G2109" s="18" t="n">
        <f aca="false">IFERROR(VALUE(SUBSTITUTE(TRIM('수출입 실적(품목별)'!D2113),",","")),"")</f>
        <v>653268.2</v>
      </c>
      <c r="H2109" s="19" t="n">
        <f aca="false">IFERROR(VALUE(SUBSTITUTE(TRIM('수출입 실적(품목별)'!E2113),",","")),"")</f>
        <v>6909678</v>
      </c>
      <c r="I2109" s="18" t="n">
        <f aca="false">IFERROR(VALUE(SUBSTITUTE(TRIM('수출입 실적(품목별)'!F2113),",","")),"")</f>
        <v>97405.3</v>
      </c>
      <c r="J2109" s="19" t="n">
        <f aca="false">IFERROR(VALUE(SUBSTITUTE(TRIM('수출입 실적(품목별)'!G2113),",","")),"")</f>
        <v>1533768</v>
      </c>
      <c r="K2109" s="19" t="n">
        <f aca="false">IFERROR(VALUE(SUBSTITUTE(TRIM('수출입 실적(품목별)'!H2113),",","")),"")</f>
        <v>5375910</v>
      </c>
    </row>
    <row r="2110" customFormat="false" ht="15" hidden="false" customHeight="true" outlineLevel="0" collapsed="false">
      <c r="A2110" s="11" t="str">
        <f aca="false">TRIM('수출입 실적(품목별)'!A2114)</f>
        <v>2025.10</v>
      </c>
      <c r="B2110" s="17" t="n">
        <f aca="false">IFERROR(VALUE(LEFT($A2110,4)),"")</f>
        <v>2025</v>
      </c>
      <c r="C2110" s="17" t="n">
        <f aca="false">IFERROR(VALUE(RIGHT($A2110,2)),"")</f>
        <v>10</v>
      </c>
      <c r="D2110" s="17" t="n">
        <f aca="false">IFERROR(ROUNDUP($C2110/3,0),"")</f>
        <v>4</v>
      </c>
      <c r="E2110" s="11" t="str">
        <f aca="false">TRIM('수출입 실적(품목별)'!B2114)</f>
        <v>88</v>
      </c>
      <c r="F2110" s="11" t="str">
        <f aca="false">TRIM('수출입 실적(품목별)'!C2114)</f>
        <v>항공기와 우주선, 이들의 부분품</v>
      </c>
      <c r="G2110" s="18" t="n">
        <f aca="false">IFERROR(VALUE(SUBSTITUTE(TRIM('수출입 실적(품목별)'!D2114),",","")),"")</f>
        <v>501.9</v>
      </c>
      <c r="H2110" s="19" t="n">
        <f aca="false">IFERROR(VALUE(SUBSTITUTE(TRIM('수출입 실적(품목별)'!E2114),",","")),"")</f>
        <v>284003</v>
      </c>
      <c r="I2110" s="18" t="n">
        <f aca="false">IFERROR(VALUE(SUBSTITUTE(TRIM('수출입 실적(품목별)'!F2114),",","")),"")</f>
        <v>430.1</v>
      </c>
      <c r="J2110" s="19" t="n">
        <f aca="false">IFERROR(VALUE(SUBSTITUTE(TRIM('수출입 실적(품목별)'!G2114),",","")),"")</f>
        <v>432623</v>
      </c>
      <c r="K2110" s="19" t="n">
        <f aca="false">IFERROR(VALUE(SUBSTITUTE(TRIM('수출입 실적(품목별)'!H2114),",","")),"")</f>
        <v>-148620</v>
      </c>
    </row>
    <row r="2111" customFormat="false" ht="15" hidden="false" customHeight="true" outlineLevel="0" collapsed="false">
      <c r="A2111" s="11" t="str">
        <f aca="false">TRIM('수출입 실적(품목별)'!A2115)</f>
        <v>2025.10</v>
      </c>
      <c r="B2111" s="17" t="n">
        <f aca="false">IFERROR(VALUE(LEFT($A2111,4)),"")</f>
        <v>2025</v>
      </c>
      <c r="C2111" s="17" t="n">
        <f aca="false">IFERROR(VALUE(RIGHT($A2111,2)),"")</f>
        <v>10</v>
      </c>
      <c r="D2111" s="17" t="n">
        <f aca="false">IFERROR(ROUNDUP($C2111/3,0),"")</f>
        <v>4</v>
      </c>
      <c r="E2111" s="11" t="str">
        <f aca="false">TRIM('수출입 실적(품목별)'!B2115)</f>
        <v>89</v>
      </c>
      <c r="F2111" s="11" t="str">
        <f aca="false">TRIM('수출입 실적(품목별)'!C2115)</f>
        <v>선박과 수상 구조물</v>
      </c>
      <c r="G2111" s="18" t="n">
        <f aca="false">IFERROR(VALUE(SUBSTITUTE(TRIM('수출입 실적(품목별)'!D2115),",","")),"")</f>
        <v>977383.1</v>
      </c>
      <c r="H2111" s="19" t="n">
        <f aca="false">IFERROR(VALUE(SUBSTITUTE(TRIM('수출입 실적(품목별)'!E2115),",","")),"")</f>
        <v>4582113</v>
      </c>
      <c r="I2111" s="18" t="n">
        <f aca="false">IFERROR(VALUE(SUBSTITUTE(TRIM('수출입 실적(품목별)'!F2115),",","")),"")</f>
        <v>201525.9</v>
      </c>
      <c r="J2111" s="19" t="n">
        <f aca="false">IFERROR(VALUE(SUBSTITUTE(TRIM('수출입 실적(품목별)'!G2115),",","")),"")</f>
        <v>343283</v>
      </c>
      <c r="K2111" s="19" t="n">
        <f aca="false">IFERROR(VALUE(SUBSTITUTE(TRIM('수출입 실적(품목별)'!H2115),",","")),"")</f>
        <v>4238830</v>
      </c>
    </row>
    <row r="2112" customFormat="false" ht="15" hidden="false" customHeight="true" outlineLevel="0" collapsed="false">
      <c r="A2112" s="11" t="str">
        <f aca="false">TRIM('수출입 실적(품목별)'!A2116)</f>
        <v>2025.10</v>
      </c>
      <c r="B2112" s="17" t="n">
        <f aca="false">IFERROR(VALUE(LEFT($A2112,4)),"")</f>
        <v>2025</v>
      </c>
      <c r="C2112" s="17" t="n">
        <f aca="false">IFERROR(VALUE(RIGHT($A2112,2)),"")</f>
        <v>10</v>
      </c>
      <c r="D2112" s="17" t="n">
        <f aca="false">IFERROR(ROUNDUP($C2112/3,0),"")</f>
        <v>4</v>
      </c>
      <c r="E2112" s="11" t="str">
        <f aca="false">TRIM('수출입 실적(품목별)'!B2116)</f>
        <v>90</v>
      </c>
      <c r="F2112" s="11" t="str">
        <f aca="false">TRIM('수출입 실적(품목별)'!C2116)</f>
        <v>광학기기ㆍ사진용 기기ㆍ영화용 기기ㆍ측정기기ㆍ검사기기ㆍ정밀기기ㆍ의료용 기기, 이들의 부분품과 부속품</v>
      </c>
      <c r="G2112" s="18" t="n">
        <f aca="false">IFERROR(VALUE(SUBSTITUTE(TRIM('수출입 실적(품목별)'!D2116),",","")),"")</f>
        <v>13469.2</v>
      </c>
      <c r="H2112" s="19" t="n">
        <f aca="false">IFERROR(VALUE(SUBSTITUTE(TRIM('수출입 실적(품목별)'!E2116),",","")),"")</f>
        <v>1269606</v>
      </c>
      <c r="I2112" s="18" t="n">
        <f aca="false">IFERROR(VALUE(SUBSTITUTE(TRIM('수출입 실적(품목별)'!F2116),",","")),"")</f>
        <v>14705.3</v>
      </c>
      <c r="J2112" s="19" t="n">
        <f aca="false">IFERROR(VALUE(SUBSTITUTE(TRIM('수출입 실적(품목별)'!G2116),",","")),"")</f>
        <v>1908667</v>
      </c>
      <c r="K2112" s="19" t="n">
        <f aca="false">IFERROR(VALUE(SUBSTITUTE(TRIM('수출입 실적(품목별)'!H2116),",","")),"")</f>
        <v>-639061</v>
      </c>
    </row>
    <row r="2113" customFormat="false" ht="15" hidden="false" customHeight="true" outlineLevel="0" collapsed="false">
      <c r="A2113" s="11" t="str">
        <f aca="false">TRIM('수출입 실적(품목별)'!A2117)</f>
        <v>2025.10</v>
      </c>
      <c r="B2113" s="17" t="n">
        <f aca="false">IFERROR(VALUE(LEFT($A2113,4)),"")</f>
        <v>2025</v>
      </c>
      <c r="C2113" s="17" t="n">
        <f aca="false">IFERROR(VALUE(RIGHT($A2113,2)),"")</f>
        <v>10</v>
      </c>
      <c r="D2113" s="17" t="n">
        <f aca="false">IFERROR(ROUNDUP($C2113/3,0),"")</f>
        <v>4</v>
      </c>
      <c r="E2113" s="11" t="str">
        <f aca="false">TRIM('수출입 실적(품목별)'!B2117)</f>
        <v>91</v>
      </c>
      <c r="F2113" s="11" t="str">
        <f aca="false">TRIM('수출입 실적(품목별)'!C2117)</f>
        <v>시계와 그 부분품</v>
      </c>
      <c r="G2113" s="18" t="n">
        <f aca="false">IFERROR(VALUE(SUBSTITUTE(TRIM('수출입 실적(품목별)'!D2117),",","")),"")</f>
        <v>23.5</v>
      </c>
      <c r="H2113" s="19" t="n">
        <f aca="false">IFERROR(VALUE(SUBSTITUTE(TRIM('수출입 실적(품목별)'!E2117),",","")),"")</f>
        <v>20734</v>
      </c>
      <c r="I2113" s="18" t="n">
        <f aca="false">IFERROR(VALUE(SUBSTITUTE(TRIM('수출입 실적(품목별)'!F2117),",","")),"")</f>
        <v>335.1</v>
      </c>
      <c r="J2113" s="19" t="n">
        <f aca="false">IFERROR(VALUE(SUBSTITUTE(TRIM('수출입 실적(품목별)'!G2117),",","")),"")</f>
        <v>103559</v>
      </c>
      <c r="K2113" s="19" t="n">
        <f aca="false">IFERROR(VALUE(SUBSTITUTE(TRIM('수출입 실적(품목별)'!H2117),",","")),"")</f>
        <v>-82825</v>
      </c>
    </row>
    <row r="2114" customFormat="false" ht="15" hidden="false" customHeight="true" outlineLevel="0" collapsed="false">
      <c r="A2114" s="11" t="str">
        <f aca="false">TRIM('수출입 실적(품목별)'!A2118)</f>
        <v>2025.10</v>
      </c>
      <c r="B2114" s="17" t="n">
        <f aca="false">IFERROR(VALUE(LEFT($A2114,4)),"")</f>
        <v>2025</v>
      </c>
      <c r="C2114" s="17" t="n">
        <f aca="false">IFERROR(VALUE(RIGHT($A2114,2)),"")</f>
        <v>10</v>
      </c>
      <c r="D2114" s="17" t="n">
        <f aca="false">IFERROR(ROUNDUP($C2114/3,0),"")</f>
        <v>4</v>
      </c>
      <c r="E2114" s="11" t="str">
        <f aca="false">TRIM('수출입 실적(품목별)'!B2118)</f>
        <v>92</v>
      </c>
      <c r="F2114" s="11" t="str">
        <f aca="false">TRIM('수출입 실적(품목별)'!C2118)</f>
        <v>악기와 그 부분품과 부속품</v>
      </c>
      <c r="G2114" s="18" t="n">
        <f aca="false">IFERROR(VALUE(SUBSTITUTE(TRIM('수출입 실적(품목별)'!D2118),",","")),"")</f>
        <v>277.1</v>
      </c>
      <c r="H2114" s="19" t="n">
        <f aca="false">IFERROR(VALUE(SUBSTITUTE(TRIM('수출입 실적(품목별)'!E2118),",","")),"")</f>
        <v>5637</v>
      </c>
      <c r="I2114" s="18" t="n">
        <f aca="false">IFERROR(VALUE(SUBSTITUTE(TRIM('수출입 실적(품목별)'!F2118),",","")),"")</f>
        <v>587.4</v>
      </c>
      <c r="J2114" s="19" t="n">
        <f aca="false">IFERROR(VALUE(SUBSTITUTE(TRIM('수출입 실적(품목별)'!G2118),",","")),"")</f>
        <v>14573</v>
      </c>
      <c r="K2114" s="19" t="n">
        <f aca="false">IFERROR(VALUE(SUBSTITUTE(TRIM('수출입 실적(품목별)'!H2118),",","")),"")</f>
        <v>-8936</v>
      </c>
    </row>
    <row r="2115" customFormat="false" ht="15" hidden="false" customHeight="true" outlineLevel="0" collapsed="false">
      <c r="A2115" s="11" t="str">
        <f aca="false">TRIM('수출입 실적(품목별)'!A2119)</f>
        <v>2025.10</v>
      </c>
      <c r="B2115" s="17" t="n">
        <f aca="false">IFERROR(VALUE(LEFT($A2115,4)),"")</f>
        <v>2025</v>
      </c>
      <c r="C2115" s="17" t="n">
        <f aca="false">IFERROR(VALUE(RIGHT($A2115,2)),"")</f>
        <v>10</v>
      </c>
      <c r="D2115" s="17" t="n">
        <f aca="false">IFERROR(ROUNDUP($C2115/3,0),"")</f>
        <v>4</v>
      </c>
      <c r="E2115" s="11" t="str">
        <f aca="false">TRIM('수출입 실적(품목별)'!B2119)</f>
        <v>93</v>
      </c>
      <c r="F2115" s="11" t="str">
        <f aca="false">TRIM('수출입 실적(품목별)'!C2119)</f>
        <v>무기ㆍ총포탄과 이들의 부분품과 부속품</v>
      </c>
      <c r="G2115" s="18" t="n">
        <f aca="false">IFERROR(VALUE(SUBSTITUTE(TRIM('수출입 실적(품목별)'!D2119),",","")),"")</f>
        <v>1332.9</v>
      </c>
      <c r="H2115" s="19" t="n">
        <f aca="false">IFERROR(VALUE(SUBSTITUTE(TRIM('수출입 실적(품목별)'!E2119),",","")),"")</f>
        <v>170669</v>
      </c>
      <c r="I2115" s="18" t="n">
        <f aca="false">IFERROR(VALUE(SUBSTITUTE(TRIM('수출입 실적(품목별)'!F2119),",","")),"")</f>
        <v>133.1</v>
      </c>
      <c r="J2115" s="19" t="n">
        <f aca="false">IFERROR(VALUE(SUBSTITUTE(TRIM('수출입 실적(품목별)'!G2119),",","")),"")</f>
        <v>13884</v>
      </c>
      <c r="K2115" s="19" t="n">
        <f aca="false">IFERROR(VALUE(SUBSTITUTE(TRIM('수출입 실적(품목별)'!H2119),",","")),"")</f>
        <v>156784</v>
      </c>
    </row>
    <row r="2116" customFormat="false" ht="15" hidden="false" customHeight="true" outlineLevel="0" collapsed="false">
      <c r="A2116" s="11" t="str">
        <f aca="false">TRIM('수출입 실적(품목별)'!A2120)</f>
        <v>2025.10</v>
      </c>
      <c r="B2116" s="17" t="n">
        <f aca="false">IFERROR(VALUE(LEFT($A2116,4)),"")</f>
        <v>2025</v>
      </c>
      <c r="C2116" s="17" t="n">
        <f aca="false">IFERROR(VALUE(RIGHT($A2116,2)),"")</f>
        <v>10</v>
      </c>
      <c r="D2116" s="17" t="n">
        <f aca="false">IFERROR(ROUNDUP($C2116/3,0),"")</f>
        <v>4</v>
      </c>
      <c r="E2116" s="11" t="str">
        <f aca="false">TRIM('수출입 실적(품목별)'!B2120)</f>
        <v>94</v>
      </c>
      <c r="F2116" s="11" t="str">
        <f aca="false">TRIM('수출입 실적(품목별)'!C2120)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116" s="18" t="n">
        <f aca="false">IFERROR(VALUE(SUBSTITUTE(TRIM('수출입 실적(품목별)'!D2120),",","")),"")</f>
        <v>13886.3</v>
      </c>
      <c r="H2116" s="19" t="n">
        <f aca="false">IFERROR(VALUE(SUBSTITUTE(TRIM('수출입 실적(품목별)'!E2120),",","")),"")</f>
        <v>98626</v>
      </c>
      <c r="I2116" s="18" t="n">
        <f aca="false">IFERROR(VALUE(SUBSTITUTE(TRIM('수출입 실적(품목별)'!F2120),",","")),"")</f>
        <v>73297.1</v>
      </c>
      <c r="J2116" s="19" t="n">
        <f aca="false">IFERROR(VALUE(SUBSTITUTE(TRIM('수출입 실적(품목별)'!G2120),",","")),"")</f>
        <v>313457</v>
      </c>
      <c r="K2116" s="19" t="n">
        <f aca="false">IFERROR(VALUE(SUBSTITUTE(TRIM('수출입 실적(품목별)'!H2120),",","")),"")</f>
        <v>-214831</v>
      </c>
    </row>
    <row r="2117" customFormat="false" ht="15" hidden="false" customHeight="true" outlineLevel="0" collapsed="false">
      <c r="A2117" s="11" t="str">
        <f aca="false">TRIM('수출입 실적(품목별)'!A2121)</f>
        <v>2025.10</v>
      </c>
      <c r="B2117" s="17" t="n">
        <f aca="false">IFERROR(VALUE(LEFT($A2117,4)),"")</f>
        <v>2025</v>
      </c>
      <c r="C2117" s="17" t="n">
        <f aca="false">IFERROR(VALUE(RIGHT($A2117,2)),"")</f>
        <v>10</v>
      </c>
      <c r="D2117" s="17" t="n">
        <f aca="false">IFERROR(ROUNDUP($C2117/3,0),"")</f>
        <v>4</v>
      </c>
      <c r="E2117" s="11" t="str">
        <f aca="false">TRIM('수출입 실적(품목별)'!B2121)</f>
        <v>95</v>
      </c>
      <c r="F2117" s="11" t="str">
        <f aca="false">TRIM('수출입 실적(품목별)'!C2121)</f>
        <v>완구ㆍ게임용구ㆍ운동용구와 이들의 부분품과 부속품</v>
      </c>
      <c r="G2117" s="18" t="n">
        <f aca="false">IFERROR(VALUE(SUBSTITUTE(TRIM('수출입 실적(품목별)'!D2121),",","")),"")</f>
        <v>2075.5</v>
      </c>
      <c r="H2117" s="19" t="n">
        <f aca="false">IFERROR(VALUE(SUBSTITUTE(TRIM('수출입 실적(품목별)'!E2121),",","")),"")</f>
        <v>49342</v>
      </c>
      <c r="I2117" s="18" t="n">
        <f aca="false">IFERROR(VALUE(SUBSTITUTE(TRIM('수출입 실적(품목별)'!F2121),",","")),"")</f>
        <v>15934.4</v>
      </c>
      <c r="J2117" s="19" t="n">
        <f aca="false">IFERROR(VALUE(SUBSTITUTE(TRIM('수출입 실적(품목별)'!G2121),",","")),"")</f>
        <v>225187</v>
      </c>
      <c r="K2117" s="19" t="n">
        <f aca="false">IFERROR(VALUE(SUBSTITUTE(TRIM('수출입 실적(품목별)'!H2121),",","")),"")</f>
        <v>-175845</v>
      </c>
    </row>
    <row r="2118" customFormat="false" ht="15" hidden="false" customHeight="true" outlineLevel="0" collapsed="false">
      <c r="A2118" s="11" t="str">
        <f aca="false">TRIM('수출입 실적(품목별)'!A2122)</f>
        <v>2025.10</v>
      </c>
      <c r="B2118" s="17" t="n">
        <f aca="false">IFERROR(VALUE(LEFT($A2118,4)),"")</f>
        <v>2025</v>
      </c>
      <c r="C2118" s="17" t="n">
        <f aca="false">IFERROR(VALUE(RIGHT($A2118,2)),"")</f>
        <v>10</v>
      </c>
      <c r="D2118" s="17" t="n">
        <f aca="false">IFERROR(ROUNDUP($C2118/3,0),"")</f>
        <v>4</v>
      </c>
      <c r="E2118" s="11" t="str">
        <f aca="false">TRIM('수출입 실적(품목별)'!B2122)</f>
        <v>96</v>
      </c>
      <c r="F2118" s="11" t="str">
        <f aca="false">TRIM('수출입 실적(품목별)'!C2122)</f>
        <v>잡품</v>
      </c>
      <c r="G2118" s="18" t="n">
        <f aca="false">IFERROR(VALUE(SUBSTITUTE(TRIM('수출입 실적(품목별)'!D2122),",","")),"")</f>
        <v>2157.4</v>
      </c>
      <c r="H2118" s="19" t="n">
        <f aca="false">IFERROR(VALUE(SUBSTITUTE(TRIM('수출입 실적(품목별)'!E2122),",","")),"")</f>
        <v>37300</v>
      </c>
      <c r="I2118" s="18" t="n">
        <f aca="false">IFERROR(VALUE(SUBSTITUTE(TRIM('수출입 실적(품목별)'!F2122),",","")),"")</f>
        <v>9529.3</v>
      </c>
      <c r="J2118" s="19" t="n">
        <f aca="false">IFERROR(VALUE(SUBSTITUTE(TRIM('수출입 실적(품목별)'!G2122),",","")),"")</f>
        <v>81568</v>
      </c>
      <c r="K2118" s="19" t="n">
        <f aca="false">IFERROR(VALUE(SUBSTITUTE(TRIM('수출입 실적(품목별)'!H2122),",","")),"")</f>
        <v>-44268</v>
      </c>
    </row>
    <row r="2119" customFormat="false" ht="15" hidden="false" customHeight="true" outlineLevel="0" collapsed="false">
      <c r="A2119" s="11" t="str">
        <f aca="false">TRIM('수출입 실적(품목별)'!A2123)</f>
        <v>2025.10</v>
      </c>
      <c r="B2119" s="17" t="n">
        <f aca="false">IFERROR(VALUE(LEFT($A2119,4)),"")</f>
        <v>2025</v>
      </c>
      <c r="C2119" s="17" t="n">
        <f aca="false">IFERROR(VALUE(RIGHT($A2119,2)),"")</f>
        <v>10</v>
      </c>
      <c r="D2119" s="17" t="n">
        <f aca="false">IFERROR(ROUNDUP($C2119/3,0),"")</f>
        <v>4</v>
      </c>
      <c r="E2119" s="11" t="str">
        <f aca="false">TRIM('수출입 실적(품목별)'!B2123)</f>
        <v>97</v>
      </c>
      <c r="F2119" s="11" t="str">
        <f aca="false">TRIM('수출입 실적(품목별)'!C2123)</f>
        <v>예술품ㆍ수집품ㆍ골동품</v>
      </c>
      <c r="G2119" s="18" t="n">
        <f aca="false">IFERROR(VALUE(SUBSTITUTE(TRIM('수출입 실적(품목별)'!D2123),",","")),"")</f>
        <v>16.6</v>
      </c>
      <c r="H2119" s="19" t="n">
        <f aca="false">IFERROR(VALUE(SUBSTITUTE(TRIM('수출입 실적(품목별)'!E2123),",","")),"")</f>
        <v>33834</v>
      </c>
      <c r="I2119" s="18" t="n">
        <f aca="false">IFERROR(VALUE(SUBSTITUTE(TRIM('수출입 실적(품목별)'!F2123),",","")),"")</f>
        <v>97.9</v>
      </c>
      <c r="J2119" s="19" t="n">
        <f aca="false">IFERROR(VALUE(SUBSTITUTE(TRIM('수출입 실적(품목별)'!G2123),",","")),"")</f>
        <v>23085</v>
      </c>
      <c r="K2119" s="19" t="n">
        <f aca="false">IFERROR(VALUE(SUBSTITUTE(TRIM('수출입 실적(품목별)'!H2123),",","")),"")</f>
        <v>10749</v>
      </c>
    </row>
    <row r="2120" customFormat="false" ht="15" hidden="false" customHeight="true" outlineLevel="0" collapsed="false">
      <c r="A2120" s="11" t="str">
        <f aca="false">TRIM('수출입 실적(품목별)'!A2124)</f>
        <v>2025.11</v>
      </c>
      <c r="B2120" s="17" t="n">
        <f aca="false">IFERROR(VALUE(LEFT($A2120,4)),"")</f>
        <v>2025</v>
      </c>
      <c r="C2120" s="17" t="n">
        <f aca="false">IFERROR(VALUE(RIGHT($A2120,2)),"")</f>
        <v>11</v>
      </c>
      <c r="D2120" s="17" t="n">
        <f aca="false">IFERROR(ROUNDUP($C2120/3,0),"")</f>
        <v>4</v>
      </c>
      <c r="E2120" s="11" t="str">
        <f aca="false">TRIM('수출입 실적(품목별)'!B2124)</f>
        <v>01</v>
      </c>
      <c r="F2120" s="11" t="str">
        <f aca="false">TRIM('수출입 실적(품목별)'!C2124)</f>
        <v>살아 있는 동물</v>
      </c>
      <c r="G2120" s="18" t="n">
        <f aca="false">IFERROR(VALUE(SUBSTITUTE(TRIM('수출입 실적(품목별)'!D2124),",","")),"")</f>
        <v>1.3</v>
      </c>
      <c r="H2120" s="19" t="n">
        <f aca="false">IFERROR(VALUE(SUBSTITUTE(TRIM('수출입 실적(품목별)'!E2124),",","")),"")</f>
        <v>445</v>
      </c>
      <c r="I2120" s="18" t="n">
        <f aca="false">IFERROR(VALUE(SUBSTITUTE(TRIM('수출입 실적(품목별)'!F2124),",","")),"")</f>
        <v>116.1</v>
      </c>
      <c r="J2120" s="19" t="n">
        <f aca="false">IFERROR(VALUE(SUBSTITUTE(TRIM('수출입 실적(품목별)'!G2124),",","")),"")</f>
        <v>7946</v>
      </c>
      <c r="K2120" s="19" t="n">
        <f aca="false">IFERROR(VALUE(SUBSTITUTE(TRIM('수출입 실적(품목별)'!H2124),",","")),"")</f>
        <v>-7500</v>
      </c>
    </row>
    <row r="2121" customFormat="false" ht="15" hidden="false" customHeight="true" outlineLevel="0" collapsed="false">
      <c r="A2121" s="11" t="str">
        <f aca="false">TRIM('수출입 실적(품목별)'!A2125)</f>
        <v>2025.11</v>
      </c>
      <c r="B2121" s="17" t="n">
        <f aca="false">IFERROR(VALUE(LEFT($A2121,4)),"")</f>
        <v>2025</v>
      </c>
      <c r="C2121" s="17" t="n">
        <f aca="false">IFERROR(VALUE(RIGHT($A2121,2)),"")</f>
        <v>11</v>
      </c>
      <c r="D2121" s="17" t="n">
        <f aca="false">IFERROR(ROUNDUP($C2121/3,0),"")</f>
        <v>4</v>
      </c>
      <c r="E2121" s="11" t="str">
        <f aca="false">TRIM('수출입 실적(품목별)'!B2125)</f>
        <v>02</v>
      </c>
      <c r="F2121" s="11" t="str">
        <f aca="false">TRIM('수출입 실적(품목별)'!C2125)</f>
        <v>육과 식용 설육(屑肉)</v>
      </c>
      <c r="G2121" s="18" t="n">
        <f aca="false">IFERROR(VALUE(SUBSTITUTE(TRIM('수출입 실적(품목별)'!D2125),",","")),"")</f>
        <v>5592.7</v>
      </c>
      <c r="H2121" s="19" t="n">
        <f aca="false">IFERROR(VALUE(SUBSTITUTE(TRIM('수출입 실적(품목별)'!E2125),",","")),"")</f>
        <v>8044</v>
      </c>
      <c r="I2121" s="18" t="n">
        <f aca="false">IFERROR(VALUE(SUBSTITUTE(TRIM('수출입 실적(품목별)'!F2125),",","")),"")</f>
        <v>94918</v>
      </c>
      <c r="J2121" s="19" t="n">
        <f aca="false">IFERROR(VALUE(SUBSTITUTE(TRIM('수출입 실적(품목별)'!G2125),",","")),"")</f>
        <v>476406</v>
      </c>
      <c r="K2121" s="19" t="n">
        <f aca="false">IFERROR(VALUE(SUBSTITUTE(TRIM('수출입 실적(품목별)'!H2125),",","")),"")</f>
        <v>-468362</v>
      </c>
    </row>
    <row r="2122" customFormat="false" ht="15" hidden="false" customHeight="true" outlineLevel="0" collapsed="false">
      <c r="A2122" s="11" t="str">
        <f aca="false">TRIM('수출입 실적(품목별)'!A2126)</f>
        <v>2025.11</v>
      </c>
      <c r="B2122" s="17" t="n">
        <f aca="false">IFERROR(VALUE(LEFT($A2122,4)),"")</f>
        <v>2025</v>
      </c>
      <c r="C2122" s="17" t="n">
        <f aca="false">IFERROR(VALUE(RIGHT($A2122,2)),"")</f>
        <v>11</v>
      </c>
      <c r="D2122" s="17" t="n">
        <f aca="false">IFERROR(ROUNDUP($C2122/3,0),"")</f>
        <v>4</v>
      </c>
      <c r="E2122" s="11" t="str">
        <f aca="false">TRIM('수출입 실적(품목별)'!B2126)</f>
        <v>03</v>
      </c>
      <c r="F2122" s="11" t="str">
        <f aca="false">TRIM('수출입 실적(품목별)'!C2126)</f>
        <v>어류ㆍ갑각류ㆍ연체동물과 그 밖의 수생(水生) 무척추동물</v>
      </c>
      <c r="G2122" s="18" t="n">
        <f aca="false">IFERROR(VALUE(SUBSTITUTE(TRIM('수출입 실적(품목별)'!D2126),",","")),"")</f>
        <v>54220.2</v>
      </c>
      <c r="H2122" s="19" t="n">
        <f aca="false">IFERROR(VALUE(SUBSTITUTE(TRIM('수출입 실적(품목별)'!E2126),",","")),"")</f>
        <v>159869</v>
      </c>
      <c r="I2122" s="18" t="n">
        <f aca="false">IFERROR(VALUE(SUBSTITUTE(TRIM('수출입 실적(품목별)'!F2126),",","")),"")</f>
        <v>109386.5</v>
      </c>
      <c r="J2122" s="19" t="n">
        <f aca="false">IFERROR(VALUE(SUBSTITUTE(TRIM('수출입 실적(품목별)'!G2126),",","")),"")</f>
        <v>438588</v>
      </c>
      <c r="K2122" s="19" t="n">
        <f aca="false">IFERROR(VALUE(SUBSTITUTE(TRIM('수출입 실적(품목별)'!H2126),",","")),"")</f>
        <v>-278719</v>
      </c>
    </row>
    <row r="2123" customFormat="false" ht="15" hidden="false" customHeight="true" outlineLevel="0" collapsed="false">
      <c r="A2123" s="11" t="str">
        <f aca="false">TRIM('수출입 실적(품목별)'!A2127)</f>
        <v>2025.11</v>
      </c>
      <c r="B2123" s="17" t="n">
        <f aca="false">IFERROR(VALUE(LEFT($A2123,4)),"")</f>
        <v>2025</v>
      </c>
      <c r="C2123" s="17" t="n">
        <f aca="false">IFERROR(VALUE(RIGHT($A2123,2)),"")</f>
        <v>11</v>
      </c>
      <c r="D2123" s="17" t="n">
        <f aca="false">IFERROR(ROUNDUP($C2123/3,0),"")</f>
        <v>4</v>
      </c>
      <c r="E2123" s="11" t="str">
        <f aca="false">TRIM('수출입 실적(품목별)'!B2127)</f>
        <v>04</v>
      </c>
      <c r="F2123" s="11" t="str">
        <f aca="false">TRIM('수출입 실적(품목별)'!C2127)</f>
        <v>낙농품, 새의 알, 천연꿀, 다른 류로 분류되지 않은 식용인 동물성 생산품</v>
      </c>
      <c r="G2123" s="18" t="n">
        <f aca="false">IFERROR(VALUE(SUBSTITUTE(TRIM('수출입 실적(품목별)'!D2127),",","")),"")</f>
        <v>2458.5</v>
      </c>
      <c r="H2123" s="19" t="n">
        <f aca="false">IFERROR(VALUE(SUBSTITUTE(TRIM('수출입 실적(품목별)'!E2127),",","")),"")</f>
        <v>6208</v>
      </c>
      <c r="I2123" s="18" t="n">
        <f aca="false">IFERROR(VALUE(SUBSTITUTE(TRIM('수출입 실적(품목별)'!F2127),",","")),"")</f>
        <v>30349.9</v>
      </c>
      <c r="J2123" s="19" t="n">
        <f aca="false">IFERROR(VALUE(SUBSTITUTE(TRIM('수출입 실적(품목별)'!G2127),",","")),"")</f>
        <v>124131</v>
      </c>
      <c r="K2123" s="19" t="n">
        <f aca="false">IFERROR(VALUE(SUBSTITUTE(TRIM('수출입 실적(품목별)'!H2127),",","")),"")</f>
        <v>-117922</v>
      </c>
    </row>
    <row r="2124" customFormat="false" ht="15" hidden="false" customHeight="true" outlineLevel="0" collapsed="false">
      <c r="A2124" s="11" t="str">
        <f aca="false">TRIM('수출입 실적(품목별)'!A2128)</f>
        <v>2025.11</v>
      </c>
      <c r="B2124" s="17" t="n">
        <f aca="false">IFERROR(VALUE(LEFT($A2124,4)),"")</f>
        <v>2025</v>
      </c>
      <c r="C2124" s="17" t="n">
        <f aca="false">IFERROR(VALUE(RIGHT($A2124,2)),"")</f>
        <v>11</v>
      </c>
      <c r="D2124" s="17" t="n">
        <f aca="false">IFERROR(ROUNDUP($C2124/3,0),"")</f>
        <v>4</v>
      </c>
      <c r="E2124" s="11" t="str">
        <f aca="false">TRIM('수출입 실적(품목별)'!B2128)</f>
        <v>05</v>
      </c>
      <c r="F2124" s="11" t="str">
        <f aca="false">TRIM('수출입 실적(품목별)'!C2128)</f>
        <v>다른 류로 분류되지 않은 동물성 생산품</v>
      </c>
      <c r="G2124" s="18" t="n">
        <f aca="false">IFERROR(VALUE(SUBSTITUTE(TRIM('수출입 실적(품목별)'!D2128),",","")),"")</f>
        <v>1742.5</v>
      </c>
      <c r="H2124" s="19" t="n">
        <f aca="false">IFERROR(VALUE(SUBSTITUTE(TRIM('수출입 실적(품목별)'!E2128),",","")),"")</f>
        <v>4666</v>
      </c>
      <c r="I2124" s="18" t="n">
        <f aca="false">IFERROR(VALUE(SUBSTITUTE(TRIM('수출입 실적(품목별)'!F2128),",","")),"")</f>
        <v>3119.5</v>
      </c>
      <c r="J2124" s="19" t="n">
        <f aca="false">IFERROR(VALUE(SUBSTITUTE(TRIM('수출입 실적(품목별)'!G2128),",","")),"")</f>
        <v>16274</v>
      </c>
      <c r="K2124" s="19" t="n">
        <f aca="false">IFERROR(VALUE(SUBSTITUTE(TRIM('수출입 실적(품목별)'!H2128),",","")),"")</f>
        <v>-11608</v>
      </c>
    </row>
    <row r="2125" customFormat="false" ht="15" hidden="false" customHeight="true" outlineLevel="0" collapsed="false">
      <c r="A2125" s="11" t="str">
        <f aca="false">TRIM('수출입 실적(품목별)'!A2129)</f>
        <v>2025.11</v>
      </c>
      <c r="B2125" s="17" t="n">
        <f aca="false">IFERROR(VALUE(LEFT($A2125,4)),"")</f>
        <v>2025</v>
      </c>
      <c r="C2125" s="17" t="n">
        <f aca="false">IFERROR(VALUE(RIGHT($A2125,2)),"")</f>
        <v>11</v>
      </c>
      <c r="D2125" s="17" t="n">
        <f aca="false">IFERROR(ROUNDUP($C2125/3,0),"")</f>
        <v>4</v>
      </c>
      <c r="E2125" s="11" t="str">
        <f aca="false">TRIM('수출입 실적(품목별)'!B2129)</f>
        <v>06</v>
      </c>
      <c r="F2125" s="11" t="str">
        <f aca="false">TRIM('수출입 실적(품목별)'!C2129)</f>
        <v>살아 있는 수목과 그 밖의 식물, 인경(鱗莖)ㆍ뿌리와 이와 유사한 물품, 절화(切花)와 장식용 잎</v>
      </c>
      <c r="G2125" s="18" t="n">
        <f aca="false">IFERROR(VALUE(SUBSTITUTE(TRIM('수출입 실적(품목별)'!D2129),",","")),"")</f>
        <v>30.3</v>
      </c>
      <c r="H2125" s="19" t="n">
        <f aca="false">IFERROR(VALUE(SUBSTITUTE(TRIM('수출입 실적(품목별)'!E2129),",","")),"")</f>
        <v>262</v>
      </c>
      <c r="I2125" s="18" t="n">
        <f aca="false">IFERROR(VALUE(SUBSTITUTE(TRIM('수출입 실적(품목별)'!F2129),",","")),"")</f>
        <v>9515.6</v>
      </c>
      <c r="J2125" s="19" t="n">
        <f aca="false">IFERROR(VALUE(SUBSTITUTE(TRIM('수출입 실적(품목별)'!G2129),",","")),"")</f>
        <v>18510</v>
      </c>
      <c r="K2125" s="19" t="n">
        <f aca="false">IFERROR(VALUE(SUBSTITUTE(TRIM('수출입 실적(품목별)'!H2129),",","")),"")</f>
        <v>-18248</v>
      </c>
    </row>
    <row r="2126" customFormat="false" ht="15" hidden="false" customHeight="true" outlineLevel="0" collapsed="false">
      <c r="A2126" s="11" t="str">
        <f aca="false">TRIM('수출입 실적(품목별)'!A2130)</f>
        <v>2025.11</v>
      </c>
      <c r="B2126" s="17" t="n">
        <f aca="false">IFERROR(VALUE(LEFT($A2126,4)),"")</f>
        <v>2025</v>
      </c>
      <c r="C2126" s="17" t="n">
        <f aca="false">IFERROR(VALUE(RIGHT($A2126,2)),"")</f>
        <v>11</v>
      </c>
      <c r="D2126" s="17" t="n">
        <f aca="false">IFERROR(ROUNDUP($C2126/3,0),"")</f>
        <v>4</v>
      </c>
      <c r="E2126" s="11" t="str">
        <f aca="false">TRIM('수출입 실적(품목별)'!B2130)</f>
        <v>07</v>
      </c>
      <c r="F2126" s="11" t="str">
        <f aca="false">TRIM('수출입 실적(품목별)'!C2130)</f>
        <v>식용의 채소ㆍ뿌리ㆍ괴경(塊莖)</v>
      </c>
      <c r="G2126" s="18" t="n">
        <f aca="false">IFERROR(VALUE(SUBSTITUTE(TRIM('수출입 실적(품목별)'!D2130),",","")),"")</f>
        <v>5106.8</v>
      </c>
      <c r="H2126" s="19" t="n">
        <f aca="false">IFERROR(VALUE(SUBSTITUTE(TRIM('수출입 실적(품목별)'!E2130),",","")),"")</f>
        <v>10784</v>
      </c>
      <c r="I2126" s="18" t="n">
        <f aca="false">IFERROR(VALUE(SUBSTITUTE(TRIM('수출입 실적(품목별)'!F2130),",","")),"")</f>
        <v>86510.8</v>
      </c>
      <c r="J2126" s="19" t="n">
        <f aca="false">IFERROR(VALUE(SUBSTITUTE(TRIM('수출입 실적(품목별)'!G2130),",","")),"")</f>
        <v>68332</v>
      </c>
      <c r="K2126" s="19" t="n">
        <f aca="false">IFERROR(VALUE(SUBSTITUTE(TRIM('수출입 실적(품목별)'!H2130),",","")),"")</f>
        <v>-57548</v>
      </c>
    </row>
    <row r="2127" customFormat="false" ht="15" hidden="false" customHeight="true" outlineLevel="0" collapsed="false">
      <c r="A2127" s="11" t="str">
        <f aca="false">TRIM('수출입 실적(품목별)'!A2131)</f>
        <v>2025.11</v>
      </c>
      <c r="B2127" s="17" t="n">
        <f aca="false">IFERROR(VALUE(LEFT($A2127,4)),"")</f>
        <v>2025</v>
      </c>
      <c r="C2127" s="17" t="n">
        <f aca="false">IFERROR(VALUE(RIGHT($A2127,2)),"")</f>
        <v>11</v>
      </c>
      <c r="D2127" s="17" t="n">
        <f aca="false">IFERROR(ROUNDUP($C2127/3,0),"")</f>
        <v>4</v>
      </c>
      <c r="E2127" s="11" t="str">
        <f aca="false">TRIM('수출입 실적(품목별)'!B2131)</f>
        <v>08</v>
      </c>
      <c r="F2127" s="11" t="str">
        <f aca="false">TRIM('수출입 실적(품목별)'!C2131)</f>
        <v>식용의 과실과 견과류, 감귤류ㆍ멜론의 껍질</v>
      </c>
      <c r="G2127" s="18" t="n">
        <f aca="false">IFERROR(VALUE(SUBSTITUTE(TRIM('수출입 실적(품목별)'!D2131),",","")),"")</f>
        <v>10023.3</v>
      </c>
      <c r="H2127" s="19" t="n">
        <f aca="false">IFERROR(VALUE(SUBSTITUTE(TRIM('수출입 실적(품목별)'!E2131),",","")),"")</f>
        <v>39022</v>
      </c>
      <c r="I2127" s="18" t="n">
        <f aca="false">IFERROR(VALUE(SUBSTITUTE(TRIM('수출입 실적(품목별)'!F2131),",","")),"")</f>
        <v>48057.7</v>
      </c>
      <c r="J2127" s="19" t="n">
        <f aca="false">IFERROR(VALUE(SUBSTITUTE(TRIM('수출입 실적(품목별)'!G2131),",","")),"")</f>
        <v>108175</v>
      </c>
      <c r="K2127" s="19" t="n">
        <f aca="false">IFERROR(VALUE(SUBSTITUTE(TRIM('수출입 실적(품목별)'!H2131),",","")),"")</f>
        <v>-69153</v>
      </c>
    </row>
    <row r="2128" customFormat="false" ht="15" hidden="false" customHeight="true" outlineLevel="0" collapsed="false">
      <c r="A2128" s="11" t="str">
        <f aca="false">TRIM('수출입 실적(품목별)'!A2132)</f>
        <v>2025.11</v>
      </c>
      <c r="B2128" s="17" t="n">
        <f aca="false">IFERROR(VALUE(LEFT($A2128,4)),"")</f>
        <v>2025</v>
      </c>
      <c r="C2128" s="17" t="n">
        <f aca="false">IFERROR(VALUE(RIGHT($A2128,2)),"")</f>
        <v>11</v>
      </c>
      <c r="D2128" s="17" t="n">
        <f aca="false">IFERROR(ROUNDUP($C2128/3,0),"")</f>
        <v>4</v>
      </c>
      <c r="E2128" s="11" t="str">
        <f aca="false">TRIM('수출입 실적(품목별)'!B2132)</f>
        <v>09</v>
      </c>
      <c r="F2128" s="11" t="str">
        <f aca="false">TRIM('수출입 실적(품목별)'!C2132)</f>
        <v>커피ㆍ차ㆍ마테(maté)ㆍ향신료</v>
      </c>
      <c r="G2128" s="18" t="n">
        <f aca="false">IFERROR(VALUE(SUBSTITUTE(TRIM('수출입 실적(품목별)'!D2132),",","")),"")</f>
        <v>458.8</v>
      </c>
      <c r="H2128" s="19" t="n">
        <f aca="false">IFERROR(VALUE(SUBSTITUTE(TRIM('수출입 실적(품목별)'!E2132),",","")),"")</f>
        <v>3788</v>
      </c>
      <c r="I2128" s="18" t="n">
        <f aca="false">IFERROR(VALUE(SUBSTITUTE(TRIM('수출입 실적(품목별)'!F2132),",","")),"")</f>
        <v>16272.7</v>
      </c>
      <c r="J2128" s="19" t="n">
        <f aca="false">IFERROR(VALUE(SUBSTITUTE(TRIM('수출입 실적(품목별)'!G2132),",","")),"")</f>
        <v>133356</v>
      </c>
      <c r="K2128" s="19" t="n">
        <f aca="false">IFERROR(VALUE(SUBSTITUTE(TRIM('수출입 실적(품목별)'!H2132),",","")),"")</f>
        <v>-129568</v>
      </c>
    </row>
    <row r="2129" customFormat="false" ht="15" hidden="false" customHeight="true" outlineLevel="0" collapsed="false">
      <c r="A2129" s="11" t="str">
        <f aca="false">TRIM('수출입 실적(품목별)'!A2133)</f>
        <v>2025.11</v>
      </c>
      <c r="B2129" s="17" t="n">
        <f aca="false">IFERROR(VALUE(LEFT($A2129,4)),"")</f>
        <v>2025</v>
      </c>
      <c r="C2129" s="17" t="n">
        <f aca="false">IFERROR(VALUE(RIGHT($A2129,2)),"")</f>
        <v>11</v>
      </c>
      <c r="D2129" s="17" t="n">
        <f aca="false">IFERROR(ROUNDUP($C2129/3,0),"")</f>
        <v>4</v>
      </c>
      <c r="E2129" s="11" t="str">
        <f aca="false">TRIM('수출입 실적(품목별)'!B2133)</f>
        <v>10</v>
      </c>
      <c r="F2129" s="11" t="str">
        <f aca="false">TRIM('수출입 실적(품목별)'!C2133)</f>
        <v>곡물</v>
      </c>
      <c r="G2129" s="18" t="n">
        <f aca="false">IFERROR(VALUE(SUBSTITUTE(TRIM('수출입 실적(품목별)'!D2133),",","")),"")</f>
        <v>5134.3</v>
      </c>
      <c r="H2129" s="19" t="n">
        <f aca="false">IFERROR(VALUE(SUBSTITUTE(TRIM('수출입 실적(품목별)'!E2133),",","")),"")</f>
        <v>4092</v>
      </c>
      <c r="I2129" s="18" t="n">
        <f aca="false">IFERROR(VALUE(SUBSTITUTE(TRIM('수출입 실적(품목별)'!F2133),",","")),"")</f>
        <v>1369174.6</v>
      </c>
      <c r="J2129" s="19" t="n">
        <f aca="false">IFERROR(VALUE(SUBSTITUTE(TRIM('수출입 실적(품목별)'!G2133),",","")),"")</f>
        <v>364532</v>
      </c>
      <c r="K2129" s="19" t="n">
        <f aca="false">IFERROR(VALUE(SUBSTITUTE(TRIM('수출입 실적(품목별)'!H2133),",","")),"")</f>
        <v>-360440</v>
      </c>
    </row>
    <row r="2130" customFormat="false" ht="15" hidden="false" customHeight="true" outlineLevel="0" collapsed="false">
      <c r="A2130" s="11" t="str">
        <f aca="false">TRIM('수출입 실적(품목별)'!A2134)</f>
        <v>2025.11</v>
      </c>
      <c r="B2130" s="17" t="n">
        <f aca="false">IFERROR(VALUE(LEFT($A2130,4)),"")</f>
        <v>2025</v>
      </c>
      <c r="C2130" s="17" t="n">
        <f aca="false">IFERROR(VALUE(RIGHT($A2130,2)),"")</f>
        <v>11</v>
      </c>
      <c r="D2130" s="17" t="n">
        <f aca="false">IFERROR(ROUNDUP($C2130/3,0),"")</f>
        <v>4</v>
      </c>
      <c r="E2130" s="11" t="str">
        <f aca="false">TRIM('수출입 실적(품목별)'!B2134)</f>
        <v>11</v>
      </c>
      <c r="F2130" s="11" t="str">
        <f aca="false">TRIM('수출입 실적(품목별)'!C2134)</f>
        <v>제분공업의 생산품과 맥아, 전분, 이눌린(inulin), 밀의 글루텐(gluten)</v>
      </c>
      <c r="G2130" s="18" t="n">
        <f aca="false">IFERROR(VALUE(SUBSTITUTE(TRIM('수출입 실적(품목별)'!D2134),",","")),"")</f>
        <v>5888.1</v>
      </c>
      <c r="H2130" s="19" t="n">
        <f aca="false">IFERROR(VALUE(SUBSTITUTE(TRIM('수출입 실적(품목별)'!E2134),",","")),"")</f>
        <v>3830</v>
      </c>
      <c r="I2130" s="18" t="n">
        <f aca="false">IFERROR(VALUE(SUBSTITUTE(TRIM('수출입 실적(품목별)'!F2134),",","")),"")</f>
        <v>27363.7</v>
      </c>
      <c r="J2130" s="19" t="n">
        <f aca="false">IFERROR(VALUE(SUBSTITUTE(TRIM('수출입 실적(품목별)'!G2134),",","")),"")</f>
        <v>22273</v>
      </c>
      <c r="K2130" s="19" t="n">
        <f aca="false">IFERROR(VALUE(SUBSTITUTE(TRIM('수출입 실적(품목별)'!H2134),",","")),"")</f>
        <v>-18444</v>
      </c>
    </row>
    <row r="2131" customFormat="false" ht="15" hidden="false" customHeight="true" outlineLevel="0" collapsed="false">
      <c r="A2131" s="11" t="str">
        <f aca="false">TRIM('수출입 실적(품목별)'!A2135)</f>
        <v>2025.11</v>
      </c>
      <c r="B2131" s="17" t="n">
        <f aca="false">IFERROR(VALUE(LEFT($A2131,4)),"")</f>
        <v>2025</v>
      </c>
      <c r="C2131" s="17" t="n">
        <f aca="false">IFERROR(VALUE(RIGHT($A2131,2)),"")</f>
        <v>11</v>
      </c>
      <c r="D2131" s="17" t="n">
        <f aca="false">IFERROR(ROUNDUP($C2131/3,0),"")</f>
        <v>4</v>
      </c>
      <c r="E2131" s="11" t="str">
        <f aca="false">TRIM('수출입 실적(품목별)'!B2135)</f>
        <v>12</v>
      </c>
      <c r="F2131" s="11" t="str">
        <f aca="false">TRIM('수출입 실적(품목별)'!C2135)</f>
        <v>채유(採油)에 적합한 종자와 과실, 각종 종자와 과실, 공업용ㆍ의약용 식물, 짚과 사료용 식물</v>
      </c>
      <c r="G2131" s="18" t="n">
        <f aca="false">IFERROR(VALUE(SUBSTITUTE(TRIM('수출입 실적(품목별)'!D2135),",","")),"")</f>
        <v>1753.7</v>
      </c>
      <c r="H2131" s="19" t="n">
        <f aca="false">IFERROR(VALUE(SUBSTITUTE(TRIM('수출입 실적(품목별)'!E2135),",","")),"")</f>
        <v>39225</v>
      </c>
      <c r="I2131" s="18" t="n">
        <f aca="false">IFERROR(VALUE(SUBSTITUTE(TRIM('수출입 실적(품목별)'!F2135),",","")),"")</f>
        <v>234429.9</v>
      </c>
      <c r="J2131" s="19" t="n">
        <f aca="false">IFERROR(VALUE(SUBSTITUTE(TRIM('수출입 실적(품목별)'!G2135),",","")),"")</f>
        <v>137447</v>
      </c>
      <c r="K2131" s="19" t="n">
        <f aca="false">IFERROR(VALUE(SUBSTITUTE(TRIM('수출입 실적(품목별)'!H2135),",","")),"")</f>
        <v>-98222</v>
      </c>
    </row>
    <row r="2132" customFormat="false" ht="15" hidden="false" customHeight="true" outlineLevel="0" collapsed="false">
      <c r="A2132" s="11" t="str">
        <f aca="false">TRIM('수출입 실적(품목별)'!A2136)</f>
        <v>2025.11</v>
      </c>
      <c r="B2132" s="17" t="n">
        <f aca="false">IFERROR(VALUE(LEFT($A2132,4)),"")</f>
        <v>2025</v>
      </c>
      <c r="C2132" s="17" t="n">
        <f aca="false">IFERROR(VALUE(RIGHT($A2132,2)),"")</f>
        <v>11</v>
      </c>
      <c r="D2132" s="17" t="n">
        <f aca="false">IFERROR(ROUNDUP($C2132/3,0),"")</f>
        <v>4</v>
      </c>
      <c r="E2132" s="11" t="str">
        <f aca="false">TRIM('수출입 실적(품목별)'!B2136)</f>
        <v>13</v>
      </c>
      <c r="F2132" s="11" t="str">
        <f aca="false">TRIM('수출입 실적(품목별)'!C2136)</f>
        <v>락(lac), 검ㆍ수지ㆍ그 밖의 식물성 수액과 추출물(extract)</v>
      </c>
      <c r="G2132" s="18" t="n">
        <f aca="false">IFERROR(VALUE(SUBSTITUTE(TRIM('수출입 실적(품목별)'!D2136),",","")),"")</f>
        <v>302.7</v>
      </c>
      <c r="H2132" s="19" t="n">
        <f aca="false">IFERROR(VALUE(SUBSTITUTE(TRIM('수출입 실적(품목별)'!E2136),",","")),"")</f>
        <v>8443</v>
      </c>
      <c r="I2132" s="18" t="n">
        <f aca="false">IFERROR(VALUE(SUBSTITUTE(TRIM('수출입 실적(품목별)'!F2136),",","")),"")</f>
        <v>7279.4</v>
      </c>
      <c r="J2132" s="19" t="n">
        <f aca="false">IFERROR(VALUE(SUBSTITUTE(TRIM('수출입 실적(품목별)'!G2136),",","")),"")</f>
        <v>24368</v>
      </c>
      <c r="K2132" s="19" t="n">
        <f aca="false">IFERROR(VALUE(SUBSTITUTE(TRIM('수출입 실적(품목별)'!H2136),",","")),"")</f>
        <v>-15925</v>
      </c>
    </row>
    <row r="2133" customFormat="false" ht="15" hidden="false" customHeight="true" outlineLevel="0" collapsed="false">
      <c r="A2133" s="11" t="str">
        <f aca="false">TRIM('수출입 실적(품목별)'!A2137)</f>
        <v>2025.11</v>
      </c>
      <c r="B2133" s="17" t="n">
        <f aca="false">IFERROR(VALUE(LEFT($A2133,4)),"")</f>
        <v>2025</v>
      </c>
      <c r="C2133" s="17" t="n">
        <f aca="false">IFERROR(VALUE(RIGHT($A2133,2)),"")</f>
        <v>11</v>
      </c>
      <c r="D2133" s="17" t="n">
        <f aca="false">IFERROR(ROUNDUP($C2133/3,0),"")</f>
        <v>4</v>
      </c>
      <c r="E2133" s="11" t="str">
        <f aca="false">TRIM('수출입 실적(품목별)'!B2137)</f>
        <v>14</v>
      </c>
      <c r="F2133" s="11" t="str">
        <f aca="false">TRIM('수출입 실적(품목별)'!C2137)</f>
        <v>식물성 편조물(編組物)용 재료와 다른 류로 분류되지 않은 식물성 생산품</v>
      </c>
      <c r="G2133" s="18" t="n">
        <f aca="false">IFERROR(VALUE(SUBSTITUTE(TRIM('수출입 실적(품목별)'!D2137),",","")),"")</f>
        <v>11.1</v>
      </c>
      <c r="H2133" s="19" t="n">
        <f aca="false">IFERROR(VALUE(SUBSTITUTE(TRIM('수출입 실적(품목별)'!E2137),",","")),"")</f>
        <v>8</v>
      </c>
      <c r="I2133" s="18" t="n">
        <f aca="false">IFERROR(VALUE(SUBSTITUTE(TRIM('수출입 실적(품목별)'!F2137),",","")),"")</f>
        <v>16986.6</v>
      </c>
      <c r="J2133" s="19" t="n">
        <f aca="false">IFERROR(VALUE(SUBSTITUTE(TRIM('수출입 실적(품목별)'!G2137),",","")),"")</f>
        <v>6369</v>
      </c>
      <c r="K2133" s="19" t="n">
        <f aca="false">IFERROR(VALUE(SUBSTITUTE(TRIM('수출입 실적(품목별)'!H2137),",","")),"")</f>
        <v>-6361</v>
      </c>
    </row>
    <row r="2134" customFormat="false" ht="15" hidden="false" customHeight="true" outlineLevel="0" collapsed="false">
      <c r="A2134" s="11" t="str">
        <f aca="false">TRIM('수출입 실적(품목별)'!A2138)</f>
        <v>2025.11</v>
      </c>
      <c r="B2134" s="17" t="n">
        <f aca="false">IFERROR(VALUE(LEFT($A2134,4)),"")</f>
        <v>2025</v>
      </c>
      <c r="C2134" s="17" t="n">
        <f aca="false">IFERROR(VALUE(RIGHT($A2134,2)),"")</f>
        <v>11</v>
      </c>
      <c r="D2134" s="17" t="n">
        <f aca="false">IFERROR(ROUNDUP($C2134/3,0),"")</f>
        <v>4</v>
      </c>
      <c r="E2134" s="11" t="str">
        <f aca="false">TRIM('수출입 실적(품목별)'!B2138)</f>
        <v>15</v>
      </c>
      <c r="F2134" s="11" t="str">
        <f aca="false">TRIM('수출입 실적(품목별)'!C2138)</f>
        <v>동물성ㆍ식물성ㆍ미생물성 지방과 기름 및이들의 분해생산물, 조제한 식용 지방과 동물성ㆍ식물성 왁스</v>
      </c>
      <c r="G2134" s="18" t="n">
        <f aca="false">IFERROR(VALUE(SUBSTITUTE(TRIM('수출입 실적(품목별)'!D2138),",","")),"")</f>
        <v>11911.1</v>
      </c>
      <c r="H2134" s="19" t="n">
        <f aca="false">IFERROR(VALUE(SUBSTITUTE(TRIM('수출입 실적(품목별)'!E2138),",","")),"")</f>
        <v>17414</v>
      </c>
      <c r="I2134" s="18" t="n">
        <f aca="false">IFERROR(VALUE(SUBSTITUTE(TRIM('수출입 실적(품목별)'!F2138),",","")),"")</f>
        <v>155815.4</v>
      </c>
      <c r="J2134" s="19" t="n">
        <f aca="false">IFERROR(VALUE(SUBSTITUTE(TRIM('수출입 실적(품목별)'!G2138),",","")),"")</f>
        <v>228708</v>
      </c>
      <c r="K2134" s="19" t="n">
        <f aca="false">IFERROR(VALUE(SUBSTITUTE(TRIM('수출입 실적(품목별)'!H2138),",","")),"")</f>
        <v>-211293</v>
      </c>
    </row>
    <row r="2135" customFormat="false" ht="15" hidden="false" customHeight="true" outlineLevel="0" collapsed="false">
      <c r="A2135" s="11" t="str">
        <f aca="false">TRIM('수출입 실적(품목별)'!A2139)</f>
        <v>2025.11</v>
      </c>
      <c r="B2135" s="17" t="n">
        <f aca="false">IFERROR(VALUE(LEFT($A2135,4)),"")</f>
        <v>2025</v>
      </c>
      <c r="C2135" s="17" t="n">
        <f aca="false">IFERROR(VALUE(RIGHT($A2135,2)),"")</f>
        <v>11</v>
      </c>
      <c r="D2135" s="17" t="n">
        <f aca="false">IFERROR(ROUNDUP($C2135/3,0),"")</f>
        <v>4</v>
      </c>
      <c r="E2135" s="11" t="str">
        <f aca="false">TRIM('수출입 실적(품목별)'!B2139)</f>
        <v>16</v>
      </c>
      <c r="F2135" s="11" t="str">
        <f aca="false">TRIM('수출입 실적(품목별)'!C2139)</f>
        <v>육류ㆍ어류ㆍ갑각류ㆍ연체동물이나 그 밖의 수생(水生) 무척추동물 또는 곤충의 조제품</v>
      </c>
      <c r="G2135" s="18" t="n">
        <f aca="false">IFERROR(VALUE(SUBSTITUTE(TRIM('수출입 실적(품목별)'!D2139),",","")),"")</f>
        <v>4836.8</v>
      </c>
      <c r="H2135" s="19" t="n">
        <f aca="false">IFERROR(VALUE(SUBSTITUTE(TRIM('수출입 실적(품목별)'!E2139),",","")),"")</f>
        <v>29243</v>
      </c>
      <c r="I2135" s="18" t="n">
        <f aca="false">IFERROR(VALUE(SUBSTITUTE(TRIM('수출입 실적(품목별)'!F2139),",","")),"")</f>
        <v>17215.4</v>
      </c>
      <c r="J2135" s="19" t="n">
        <f aca="false">IFERROR(VALUE(SUBSTITUTE(TRIM('수출입 실적(품목별)'!G2139),",","")),"")</f>
        <v>93292</v>
      </c>
      <c r="K2135" s="19" t="n">
        <f aca="false">IFERROR(VALUE(SUBSTITUTE(TRIM('수출입 실적(품목별)'!H2139),",","")),"")</f>
        <v>-64049</v>
      </c>
    </row>
    <row r="2136" customFormat="false" ht="15" hidden="false" customHeight="true" outlineLevel="0" collapsed="false">
      <c r="A2136" s="11" t="str">
        <f aca="false">TRIM('수출입 실적(품목별)'!A2140)</f>
        <v>2025.11</v>
      </c>
      <c r="B2136" s="17" t="n">
        <f aca="false">IFERROR(VALUE(LEFT($A2136,4)),"")</f>
        <v>2025</v>
      </c>
      <c r="C2136" s="17" t="n">
        <f aca="false">IFERROR(VALUE(RIGHT($A2136,2)),"")</f>
        <v>11</v>
      </c>
      <c r="D2136" s="17" t="n">
        <f aca="false">IFERROR(ROUNDUP($C2136/3,0),"")</f>
        <v>4</v>
      </c>
      <c r="E2136" s="11" t="str">
        <f aca="false">TRIM('수출입 실적(품목별)'!B2140)</f>
        <v>17</v>
      </c>
      <c r="F2136" s="11" t="str">
        <f aca="false">TRIM('수출입 실적(품목별)'!C2140)</f>
        <v>당류(糖類)와 설탕과자</v>
      </c>
      <c r="G2136" s="18" t="n">
        <f aca="false">IFERROR(VALUE(SUBSTITUTE(TRIM('수출입 실적(품목별)'!D2140),",","")),"")</f>
        <v>31586.8</v>
      </c>
      <c r="H2136" s="19" t="n">
        <f aca="false">IFERROR(VALUE(SUBSTITUTE(TRIM('수출입 실적(품목별)'!E2140),",","")),"")</f>
        <v>27148</v>
      </c>
      <c r="I2136" s="18" t="n">
        <f aca="false">IFERROR(VALUE(SUBSTITUTE(TRIM('수출입 실적(품목별)'!F2140),",","")),"")</f>
        <v>170548.1</v>
      </c>
      <c r="J2136" s="19" t="n">
        <f aca="false">IFERROR(VALUE(SUBSTITUTE(TRIM('수출입 실적(품목별)'!G2140),",","")),"")</f>
        <v>99953</v>
      </c>
      <c r="K2136" s="19" t="n">
        <f aca="false">IFERROR(VALUE(SUBSTITUTE(TRIM('수출입 실적(품목별)'!H2140),",","")),"")</f>
        <v>-72805</v>
      </c>
    </row>
    <row r="2137" customFormat="false" ht="15" hidden="false" customHeight="true" outlineLevel="0" collapsed="false">
      <c r="A2137" s="11" t="str">
        <f aca="false">TRIM('수출입 실적(품목별)'!A2141)</f>
        <v>2025.11</v>
      </c>
      <c r="B2137" s="17" t="n">
        <f aca="false">IFERROR(VALUE(LEFT($A2137,4)),"")</f>
        <v>2025</v>
      </c>
      <c r="C2137" s="17" t="n">
        <f aca="false">IFERROR(VALUE(RIGHT($A2137,2)),"")</f>
        <v>11</v>
      </c>
      <c r="D2137" s="17" t="n">
        <f aca="false">IFERROR(ROUNDUP($C2137/3,0),"")</f>
        <v>4</v>
      </c>
      <c r="E2137" s="11" t="str">
        <f aca="false">TRIM('수출입 실적(품목별)'!B2141)</f>
        <v>18</v>
      </c>
      <c r="F2137" s="11" t="str">
        <f aca="false">TRIM('수출입 실적(품목별)'!C2141)</f>
        <v>코코아와 그 조제품</v>
      </c>
      <c r="G2137" s="18" t="n">
        <f aca="false">IFERROR(VALUE(SUBSTITUTE(TRIM('수출입 실적(품목별)'!D2141),",","")),"")</f>
        <v>2113.1</v>
      </c>
      <c r="H2137" s="19" t="n">
        <f aca="false">IFERROR(VALUE(SUBSTITUTE(TRIM('수출입 실적(품목별)'!E2141),",","")),"")</f>
        <v>7603</v>
      </c>
      <c r="I2137" s="18" t="n">
        <f aca="false">IFERROR(VALUE(SUBSTITUTE(TRIM('수출입 실적(품목별)'!F2141),",","")),"")</f>
        <v>4619.2</v>
      </c>
      <c r="J2137" s="19" t="n">
        <f aca="false">IFERROR(VALUE(SUBSTITUTE(TRIM('수출입 실적(품목별)'!G2141),",","")),"")</f>
        <v>48137</v>
      </c>
      <c r="K2137" s="19" t="n">
        <f aca="false">IFERROR(VALUE(SUBSTITUTE(TRIM('수출입 실적(품목별)'!H2141),",","")),"")</f>
        <v>-40534</v>
      </c>
    </row>
    <row r="2138" customFormat="false" ht="15" hidden="false" customHeight="true" outlineLevel="0" collapsed="false">
      <c r="A2138" s="11" t="str">
        <f aca="false">TRIM('수출입 실적(품목별)'!A2142)</f>
        <v>2025.11</v>
      </c>
      <c r="B2138" s="17" t="n">
        <f aca="false">IFERROR(VALUE(LEFT($A2138,4)),"")</f>
        <v>2025</v>
      </c>
      <c r="C2138" s="17" t="n">
        <f aca="false">IFERROR(VALUE(RIGHT($A2138,2)),"")</f>
        <v>11</v>
      </c>
      <c r="D2138" s="17" t="n">
        <f aca="false">IFERROR(ROUNDUP($C2138/3,0),"")</f>
        <v>4</v>
      </c>
      <c r="E2138" s="11" t="str">
        <f aca="false">TRIM('수출입 실적(품목별)'!B2142)</f>
        <v>19</v>
      </c>
      <c r="F2138" s="11" t="str">
        <f aca="false">TRIM('수출입 실적(품목별)'!C2142)</f>
        <v>곡물ㆍ고운 가루ㆍ전분ㆍ밀크의 조제품과 베이커리 제품</v>
      </c>
      <c r="G2138" s="18" t="n">
        <f aca="false">IFERROR(VALUE(SUBSTITUTE(TRIM('수출입 실적(품목별)'!D2142),",","")),"")</f>
        <v>57701.9</v>
      </c>
      <c r="H2138" s="19" t="n">
        <f aca="false">IFERROR(VALUE(SUBSTITUTE(TRIM('수출입 실적(품목별)'!E2142),",","")),"")</f>
        <v>225443</v>
      </c>
      <c r="I2138" s="18" t="n">
        <f aca="false">IFERROR(VALUE(SUBSTITUTE(TRIM('수출입 실적(품목별)'!F2142),",","")),"")</f>
        <v>26892</v>
      </c>
      <c r="J2138" s="19" t="n">
        <f aca="false">IFERROR(VALUE(SUBSTITUTE(TRIM('수출입 실적(품목별)'!G2142),",","")),"")</f>
        <v>91358</v>
      </c>
      <c r="K2138" s="19" t="n">
        <f aca="false">IFERROR(VALUE(SUBSTITUTE(TRIM('수출입 실적(품목별)'!H2142),",","")),"")</f>
        <v>134085</v>
      </c>
    </row>
    <row r="2139" customFormat="false" ht="15" hidden="false" customHeight="true" outlineLevel="0" collapsed="false">
      <c r="A2139" s="11" t="str">
        <f aca="false">TRIM('수출입 실적(품목별)'!A2143)</f>
        <v>2025.11</v>
      </c>
      <c r="B2139" s="17" t="n">
        <f aca="false">IFERROR(VALUE(LEFT($A2139,4)),"")</f>
        <v>2025</v>
      </c>
      <c r="C2139" s="17" t="n">
        <f aca="false">IFERROR(VALUE(RIGHT($A2139,2)),"")</f>
        <v>11</v>
      </c>
      <c r="D2139" s="17" t="n">
        <f aca="false">IFERROR(ROUNDUP($C2139/3,0),"")</f>
        <v>4</v>
      </c>
      <c r="E2139" s="11" t="str">
        <f aca="false">TRIM('수출입 실적(품목별)'!B2143)</f>
        <v>20</v>
      </c>
      <c r="F2139" s="11" t="str">
        <f aca="false">TRIM('수출입 실적(품목별)'!C2143)</f>
        <v>채소ㆍ과실ㆍ견과류나 식물의그 밖의 부분의 조제품</v>
      </c>
      <c r="G2139" s="18" t="n">
        <f aca="false">IFERROR(VALUE(SUBSTITUTE(TRIM('수출입 실적(품목별)'!D2143),",","")),"")</f>
        <v>10051.8</v>
      </c>
      <c r="H2139" s="19" t="n">
        <f aca="false">IFERROR(VALUE(SUBSTITUTE(TRIM('수출입 실적(품목별)'!E2143),",","")),"")</f>
        <v>94981</v>
      </c>
      <c r="I2139" s="18" t="n">
        <f aca="false">IFERROR(VALUE(SUBSTITUTE(TRIM('수출입 실적(품목별)'!F2143),",","")),"")</f>
        <v>93519.2</v>
      </c>
      <c r="J2139" s="19" t="n">
        <f aca="false">IFERROR(VALUE(SUBSTITUTE(TRIM('수출입 실적(품목별)'!G2143),",","")),"")</f>
        <v>126788</v>
      </c>
      <c r="K2139" s="19" t="n">
        <f aca="false">IFERROR(VALUE(SUBSTITUTE(TRIM('수출입 실적(품목별)'!H2143),",","")),"")</f>
        <v>-31808</v>
      </c>
    </row>
    <row r="2140" customFormat="false" ht="15" hidden="false" customHeight="true" outlineLevel="0" collapsed="false">
      <c r="A2140" s="11" t="str">
        <f aca="false">TRIM('수출입 실적(품목별)'!A2144)</f>
        <v>2025.11</v>
      </c>
      <c r="B2140" s="17" t="n">
        <f aca="false">IFERROR(VALUE(LEFT($A2140,4)),"")</f>
        <v>2025</v>
      </c>
      <c r="C2140" s="17" t="n">
        <f aca="false">IFERROR(VALUE(RIGHT($A2140,2)),"")</f>
        <v>11</v>
      </c>
      <c r="D2140" s="17" t="n">
        <f aca="false">IFERROR(ROUNDUP($C2140/3,0),"")</f>
        <v>4</v>
      </c>
      <c r="E2140" s="11" t="str">
        <f aca="false">TRIM('수출입 실적(품목별)'!B2144)</f>
        <v>21</v>
      </c>
      <c r="F2140" s="11" t="str">
        <f aca="false">TRIM('수출입 실적(품목별)'!C2144)</f>
        <v>각종 조제 식료품</v>
      </c>
      <c r="G2140" s="18" t="n">
        <f aca="false">IFERROR(VALUE(SUBSTITUTE(TRIM('수출입 실적(품목별)'!D2144),",","")),"")</f>
        <v>36217.8</v>
      </c>
      <c r="H2140" s="19" t="n">
        <f aca="false">IFERROR(VALUE(SUBSTITUTE(TRIM('수출입 실적(품목별)'!E2144),",","")),"")</f>
        <v>154517</v>
      </c>
      <c r="I2140" s="18" t="n">
        <f aca="false">IFERROR(VALUE(SUBSTITUTE(TRIM('수출입 실적(품목별)'!F2144),",","")),"")</f>
        <v>32488.3</v>
      </c>
      <c r="J2140" s="19" t="n">
        <f aca="false">IFERROR(VALUE(SUBSTITUTE(TRIM('수출입 실적(품목별)'!G2144),",","")),"")</f>
        <v>226219</v>
      </c>
      <c r="K2140" s="19" t="n">
        <f aca="false">IFERROR(VALUE(SUBSTITUTE(TRIM('수출입 실적(품목별)'!H2144),",","")),"")</f>
        <v>-71702</v>
      </c>
    </row>
    <row r="2141" customFormat="false" ht="15" hidden="false" customHeight="true" outlineLevel="0" collapsed="false">
      <c r="A2141" s="11" t="str">
        <f aca="false">TRIM('수출입 실적(품목별)'!A2145)</f>
        <v>2025.11</v>
      </c>
      <c r="B2141" s="17" t="n">
        <f aca="false">IFERROR(VALUE(LEFT($A2141,4)),"")</f>
        <v>2025</v>
      </c>
      <c r="C2141" s="17" t="n">
        <f aca="false">IFERROR(VALUE(RIGHT($A2141,2)),"")</f>
        <v>11</v>
      </c>
      <c r="D2141" s="17" t="n">
        <f aca="false">IFERROR(ROUNDUP($C2141/3,0),"")</f>
        <v>4</v>
      </c>
      <c r="E2141" s="11" t="str">
        <f aca="false">TRIM('수출입 실적(품목별)'!B2145)</f>
        <v>22</v>
      </c>
      <c r="F2141" s="11" t="str">
        <f aca="false">TRIM('수출입 실적(품목별)'!C2145)</f>
        <v>음료ㆍ주류ㆍ식초</v>
      </c>
      <c r="G2141" s="18" t="n">
        <f aca="false">IFERROR(VALUE(SUBSTITUTE(TRIM('수출입 실적(품목별)'!D2145),",","")),"")</f>
        <v>70752.7</v>
      </c>
      <c r="H2141" s="19" t="n">
        <f aca="false">IFERROR(VALUE(SUBSTITUTE(TRIM('수출입 실적(품목별)'!E2145),",","")),"")</f>
        <v>88038</v>
      </c>
      <c r="I2141" s="18" t="n">
        <f aca="false">IFERROR(VALUE(SUBSTITUTE(TRIM('수출입 실적(품목별)'!F2145),",","")),"")</f>
        <v>71498.8</v>
      </c>
      <c r="J2141" s="19" t="n">
        <f aca="false">IFERROR(VALUE(SUBSTITUTE(TRIM('수출입 실적(품목별)'!G2145),",","")),"")</f>
        <v>116799</v>
      </c>
      <c r="K2141" s="19" t="n">
        <f aca="false">IFERROR(VALUE(SUBSTITUTE(TRIM('수출입 실적(품목별)'!H2145),",","")),"")</f>
        <v>-28762</v>
      </c>
    </row>
    <row r="2142" customFormat="false" ht="15" hidden="false" customHeight="true" outlineLevel="0" collapsed="false">
      <c r="A2142" s="11" t="str">
        <f aca="false">TRIM('수출입 실적(품목별)'!A2146)</f>
        <v>2025.11</v>
      </c>
      <c r="B2142" s="17" t="n">
        <f aca="false">IFERROR(VALUE(LEFT($A2142,4)),"")</f>
        <v>2025</v>
      </c>
      <c r="C2142" s="17" t="n">
        <f aca="false">IFERROR(VALUE(RIGHT($A2142,2)),"")</f>
        <v>11</v>
      </c>
      <c r="D2142" s="17" t="n">
        <f aca="false">IFERROR(ROUNDUP($C2142/3,0),"")</f>
        <v>4</v>
      </c>
      <c r="E2142" s="11" t="str">
        <f aca="false">TRIM('수출입 실적(품목별)'!B2146)</f>
        <v>23</v>
      </c>
      <c r="F2142" s="11" t="str">
        <f aca="false">TRIM('수출입 실적(품목별)'!C2146)</f>
        <v>식품 공업에서 생기는 잔재물과 웨이스트(waste), 조제 사료</v>
      </c>
      <c r="G2142" s="18" t="n">
        <f aca="false">IFERROR(VALUE(SUBSTITUTE(TRIM('수출입 실적(품목별)'!D2146),",","")),"")</f>
        <v>33668.7</v>
      </c>
      <c r="H2142" s="19" t="n">
        <f aca="false">IFERROR(VALUE(SUBSTITUTE(TRIM('수출입 실적(품목별)'!E2146),",","")),"")</f>
        <v>28219</v>
      </c>
      <c r="I2142" s="18" t="n">
        <f aca="false">IFERROR(VALUE(SUBSTITUTE(TRIM('수출입 실적(품목별)'!F2146),",","")),"")</f>
        <v>484037.7</v>
      </c>
      <c r="J2142" s="19" t="n">
        <f aca="false">IFERROR(VALUE(SUBSTITUTE(TRIM('수출입 실적(품목별)'!G2146),",","")),"")</f>
        <v>164791</v>
      </c>
      <c r="K2142" s="19" t="n">
        <f aca="false">IFERROR(VALUE(SUBSTITUTE(TRIM('수출입 실적(품목별)'!H2146),",","")),"")</f>
        <v>-136572</v>
      </c>
    </row>
    <row r="2143" customFormat="false" ht="15" hidden="false" customHeight="true" outlineLevel="0" collapsed="false">
      <c r="A2143" s="11" t="str">
        <f aca="false">TRIM('수출입 실적(품목별)'!A2147)</f>
        <v>2025.11</v>
      </c>
      <c r="B2143" s="17" t="n">
        <f aca="false">IFERROR(VALUE(LEFT($A2143,4)),"")</f>
        <v>2025</v>
      </c>
      <c r="C2143" s="17" t="n">
        <f aca="false">IFERROR(VALUE(RIGHT($A2143,2)),"")</f>
        <v>11</v>
      </c>
      <c r="D2143" s="17" t="n">
        <f aca="false">IFERROR(ROUNDUP($C2143/3,0),"")</f>
        <v>4</v>
      </c>
      <c r="E2143" s="11" t="str">
        <f aca="false">TRIM('수출입 실적(품목별)'!B2147)</f>
        <v>24</v>
      </c>
      <c r="F2143" s="11" t="str">
        <f aca="false">TRIM('수출입 실적(품목별)'!C2147)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143" s="18" t="n">
        <f aca="false">IFERROR(VALUE(SUBSTITUTE(TRIM('수출입 실적(품목별)'!D2147),",","")),"")</f>
        <v>7682.6</v>
      </c>
      <c r="H2143" s="19" t="n">
        <f aca="false">IFERROR(VALUE(SUBSTITUTE(TRIM('수출입 실적(품목별)'!E2147),",","")),"")</f>
        <v>92708</v>
      </c>
      <c r="I2143" s="18" t="n">
        <f aca="false">IFERROR(VALUE(SUBSTITUTE(TRIM('수출입 실적(품목별)'!F2147),",","")),"")</f>
        <v>6163.1</v>
      </c>
      <c r="J2143" s="19" t="n">
        <f aca="false">IFERROR(VALUE(SUBSTITUTE(TRIM('수출입 실적(품목별)'!G2147),",","")),"")</f>
        <v>56491</v>
      </c>
      <c r="K2143" s="19" t="n">
        <f aca="false">IFERROR(VALUE(SUBSTITUTE(TRIM('수출입 실적(품목별)'!H2147),",","")),"")</f>
        <v>36216</v>
      </c>
    </row>
    <row r="2144" customFormat="false" ht="15" hidden="false" customHeight="true" outlineLevel="0" collapsed="false">
      <c r="A2144" s="11" t="str">
        <f aca="false">TRIM('수출입 실적(품목별)'!A2148)</f>
        <v>2025.11</v>
      </c>
      <c r="B2144" s="17" t="n">
        <f aca="false">IFERROR(VALUE(LEFT($A2144,4)),"")</f>
        <v>2025</v>
      </c>
      <c r="C2144" s="17" t="n">
        <f aca="false">IFERROR(VALUE(RIGHT($A2144,2)),"")</f>
        <v>11</v>
      </c>
      <c r="D2144" s="17" t="n">
        <f aca="false">IFERROR(ROUNDUP($C2144/3,0),"")</f>
        <v>4</v>
      </c>
      <c r="E2144" s="11" t="str">
        <f aca="false">TRIM('수출입 실적(품목별)'!B2148)</f>
        <v>25</v>
      </c>
      <c r="F2144" s="11" t="str">
        <f aca="false">TRIM('수출입 실적(품목별)'!C2148)</f>
        <v>소금, 황, 토석류(土石類), 석고ㆍ석회ㆍ시멘트</v>
      </c>
      <c r="G2144" s="18" t="n">
        <f aca="false">IFERROR(VALUE(SUBSTITUTE(TRIM('수출입 실적(품목별)'!D2148),",","")),"")</f>
        <v>500802.7</v>
      </c>
      <c r="H2144" s="19" t="n">
        <f aca="false">IFERROR(VALUE(SUBSTITUTE(TRIM('수출입 실적(품목별)'!E2148),",","")),"")</f>
        <v>42841</v>
      </c>
      <c r="I2144" s="18" t="n">
        <f aca="false">IFERROR(VALUE(SUBSTITUTE(TRIM('수출입 실적(품목별)'!F2148),",","")),"")</f>
        <v>930715</v>
      </c>
      <c r="J2144" s="19" t="n">
        <f aca="false">IFERROR(VALUE(SUBSTITUTE(TRIM('수출입 실적(품목별)'!G2148),",","")),"")</f>
        <v>66072</v>
      </c>
      <c r="K2144" s="19" t="n">
        <f aca="false">IFERROR(VALUE(SUBSTITUTE(TRIM('수출입 실적(품목별)'!H2148),",","")),"")</f>
        <v>-23231</v>
      </c>
    </row>
    <row r="2145" customFormat="false" ht="15" hidden="false" customHeight="true" outlineLevel="0" collapsed="false">
      <c r="A2145" s="11" t="str">
        <f aca="false">TRIM('수출입 실적(품목별)'!A2149)</f>
        <v>2025.11</v>
      </c>
      <c r="B2145" s="17" t="n">
        <f aca="false">IFERROR(VALUE(LEFT($A2145,4)),"")</f>
        <v>2025</v>
      </c>
      <c r="C2145" s="17" t="n">
        <f aca="false">IFERROR(VALUE(RIGHT($A2145,2)),"")</f>
        <v>11</v>
      </c>
      <c r="D2145" s="17" t="n">
        <f aca="false">IFERROR(ROUNDUP($C2145/3,0),"")</f>
        <v>4</v>
      </c>
      <c r="E2145" s="11" t="str">
        <f aca="false">TRIM('수출입 실적(품목별)'!B2149)</f>
        <v>26</v>
      </c>
      <c r="F2145" s="11" t="str">
        <f aca="false">TRIM('수출입 실적(품목별)'!C2149)</f>
        <v>광(鑛)ㆍ슬래그(slag)ㆍ회(灰)</v>
      </c>
      <c r="G2145" s="18" t="n">
        <f aca="false">IFERROR(VALUE(SUBSTITUTE(TRIM('수출입 실적(품목별)'!D2149),",","")),"")</f>
        <v>302152.3</v>
      </c>
      <c r="H2145" s="19" t="n">
        <f aca="false">IFERROR(VALUE(SUBSTITUTE(TRIM('수출입 실적(품목별)'!E2149),",","")),"")</f>
        <v>78595</v>
      </c>
      <c r="I2145" s="18" t="n">
        <f aca="false">IFERROR(VALUE(SUBSTITUTE(TRIM('수출입 실적(품목별)'!F2149),",","")),"")</f>
        <v>6239470.2</v>
      </c>
      <c r="J2145" s="19" t="n">
        <f aca="false">IFERROR(VALUE(SUBSTITUTE(TRIM('수출입 실적(품목별)'!G2149),",","")),"")</f>
        <v>1690152</v>
      </c>
      <c r="K2145" s="19" t="n">
        <f aca="false">IFERROR(VALUE(SUBSTITUTE(TRIM('수출입 실적(품목별)'!H2149),",","")),"")</f>
        <v>-1611556</v>
      </c>
    </row>
    <row r="2146" customFormat="false" ht="15" hidden="false" customHeight="true" outlineLevel="0" collapsed="false">
      <c r="A2146" s="11" t="str">
        <f aca="false">TRIM('수출입 실적(품목별)'!A2150)</f>
        <v>2025.11</v>
      </c>
      <c r="B2146" s="17" t="n">
        <f aca="false">IFERROR(VALUE(LEFT($A2146,4)),"")</f>
        <v>2025</v>
      </c>
      <c r="C2146" s="17" t="n">
        <f aca="false">IFERROR(VALUE(RIGHT($A2146,2)),"")</f>
        <v>11</v>
      </c>
      <c r="D2146" s="17" t="n">
        <f aca="false">IFERROR(ROUNDUP($C2146/3,0),"")</f>
        <v>4</v>
      </c>
      <c r="E2146" s="11" t="str">
        <f aca="false">TRIM('수출입 실적(품목별)'!B2150)</f>
        <v>27</v>
      </c>
      <c r="F2146" s="11" t="str">
        <f aca="false">TRIM('수출입 실적(품목별)'!C2150)</f>
        <v>광물성 연료ㆍ광물유(鑛物油)와 이들의 증류물, 역청(瀝靑)물질, 광물성 왁스</v>
      </c>
      <c r="G2146" s="18" t="n">
        <f aca="false">IFERROR(VALUE(SUBSTITUTE(TRIM('수출입 실적(품목별)'!D2150),",","")),"")</f>
        <v>4805995.2</v>
      </c>
      <c r="H2146" s="19" t="n">
        <f aca="false">IFERROR(VALUE(SUBSTITUTE(TRIM('수출입 실적(품목별)'!E2150),",","")),"")</f>
        <v>3380154</v>
      </c>
      <c r="I2146" s="18" t="n">
        <f aca="false">IFERROR(VALUE(SUBSTITUTE(TRIM('수출입 실적(품목별)'!F2150),",","")),"")</f>
        <v>27246650.9</v>
      </c>
      <c r="J2146" s="19" t="n">
        <f aca="false">IFERROR(VALUE(SUBSTITUTE(TRIM('수출입 실적(품목별)'!G2150),",","")),"")</f>
        <v>10256127</v>
      </c>
      <c r="K2146" s="19" t="n">
        <f aca="false">IFERROR(VALUE(SUBSTITUTE(TRIM('수출입 실적(품목별)'!H2150),",","")),"")</f>
        <v>-6875973</v>
      </c>
    </row>
    <row r="2147" customFormat="false" ht="15" hidden="false" customHeight="true" outlineLevel="0" collapsed="false">
      <c r="A2147" s="11" t="str">
        <f aca="false">TRIM('수출입 실적(품목별)'!A2151)</f>
        <v>2025.11</v>
      </c>
      <c r="B2147" s="17" t="n">
        <f aca="false">IFERROR(VALUE(LEFT($A2147,4)),"")</f>
        <v>2025</v>
      </c>
      <c r="C2147" s="17" t="n">
        <f aca="false">IFERROR(VALUE(RIGHT($A2147,2)),"")</f>
        <v>11</v>
      </c>
      <c r="D2147" s="17" t="n">
        <f aca="false">IFERROR(ROUNDUP($C2147/3,0),"")</f>
        <v>4</v>
      </c>
      <c r="E2147" s="11" t="str">
        <f aca="false">TRIM('수출입 실적(품목별)'!B2151)</f>
        <v>28</v>
      </c>
      <c r="F2147" s="11" t="str">
        <f aca="false">TRIM('수출입 실적(품목별)'!C2151)</f>
        <v>무기화학품, 귀금속ㆍ희토류(稀土類)금속ㆍ방사성원소ㆍ동위원소의 유기화합물이나 무기화합물</v>
      </c>
      <c r="G2147" s="18" t="n">
        <f aca="false">IFERROR(VALUE(SUBSTITUTE(TRIM('수출입 실적(품목별)'!D2151),",","")),"")</f>
        <v>528497.1</v>
      </c>
      <c r="H2147" s="19" t="n">
        <f aca="false">IFERROR(VALUE(SUBSTITUTE(TRIM('수출입 실적(품목별)'!E2151),",","")),"")</f>
        <v>683643</v>
      </c>
      <c r="I2147" s="18" t="n">
        <f aca="false">IFERROR(VALUE(SUBSTITUTE(TRIM('수출입 실적(품목별)'!F2151),",","")),"")</f>
        <v>428199.8</v>
      </c>
      <c r="J2147" s="19" t="n">
        <f aca="false">IFERROR(VALUE(SUBSTITUTE(TRIM('수출입 실적(품목별)'!G2151),",","")),"")</f>
        <v>900337</v>
      </c>
      <c r="K2147" s="19" t="n">
        <f aca="false">IFERROR(VALUE(SUBSTITUTE(TRIM('수출입 실적(품목별)'!H2151),",","")),"")</f>
        <v>-216694</v>
      </c>
    </row>
    <row r="2148" customFormat="false" ht="15" hidden="false" customHeight="true" outlineLevel="0" collapsed="false">
      <c r="A2148" s="11" t="str">
        <f aca="false">TRIM('수출입 실적(품목별)'!A2152)</f>
        <v>2025.11</v>
      </c>
      <c r="B2148" s="17" t="n">
        <f aca="false">IFERROR(VALUE(LEFT($A2148,4)),"")</f>
        <v>2025</v>
      </c>
      <c r="C2148" s="17" t="n">
        <f aca="false">IFERROR(VALUE(RIGHT($A2148,2)),"")</f>
        <v>11</v>
      </c>
      <c r="D2148" s="17" t="n">
        <f aca="false">IFERROR(ROUNDUP($C2148/3,0),"")</f>
        <v>4</v>
      </c>
      <c r="E2148" s="11" t="str">
        <f aca="false">TRIM('수출입 실적(품목별)'!B2152)</f>
        <v>29</v>
      </c>
      <c r="F2148" s="11" t="str">
        <f aca="false">TRIM('수출입 실적(품목별)'!C2152)</f>
        <v>유기화학품</v>
      </c>
      <c r="G2148" s="18" t="n">
        <f aca="false">IFERROR(VALUE(SUBSTITUTE(TRIM('수출입 실적(품목별)'!D2152),",","")),"")</f>
        <v>1610088</v>
      </c>
      <c r="H2148" s="19" t="n">
        <f aca="false">IFERROR(VALUE(SUBSTITUTE(TRIM('수출입 실적(품목별)'!E2152),",","")),"")</f>
        <v>1436329</v>
      </c>
      <c r="I2148" s="18" t="n">
        <f aca="false">IFERROR(VALUE(SUBSTITUTE(TRIM('수출입 실적(품목별)'!F2152),",","")),"")</f>
        <v>649348.3</v>
      </c>
      <c r="J2148" s="19" t="n">
        <f aca="false">IFERROR(VALUE(SUBSTITUTE(TRIM('수출입 실적(품목별)'!G2152),",","")),"")</f>
        <v>997049</v>
      </c>
      <c r="K2148" s="19" t="n">
        <f aca="false">IFERROR(VALUE(SUBSTITUTE(TRIM('수출입 실적(품목별)'!H2152),",","")),"")</f>
        <v>439281</v>
      </c>
    </row>
    <row r="2149" customFormat="false" ht="15" hidden="false" customHeight="true" outlineLevel="0" collapsed="false">
      <c r="A2149" s="11" t="str">
        <f aca="false">TRIM('수출입 실적(품목별)'!A2153)</f>
        <v>2025.11</v>
      </c>
      <c r="B2149" s="17" t="n">
        <f aca="false">IFERROR(VALUE(LEFT($A2149,4)),"")</f>
        <v>2025</v>
      </c>
      <c r="C2149" s="17" t="n">
        <f aca="false">IFERROR(VALUE(RIGHT($A2149,2)),"")</f>
        <v>11</v>
      </c>
      <c r="D2149" s="17" t="n">
        <f aca="false">IFERROR(ROUNDUP($C2149/3,0),"")</f>
        <v>4</v>
      </c>
      <c r="E2149" s="11" t="str">
        <f aca="false">TRIM('수출입 실적(품목별)'!B2153)</f>
        <v>30</v>
      </c>
      <c r="F2149" s="11" t="str">
        <f aca="false">TRIM('수출입 실적(품목별)'!C2153)</f>
        <v>의료용품</v>
      </c>
      <c r="G2149" s="18" t="n">
        <f aca="false">IFERROR(VALUE(SUBSTITUTE(TRIM('수출입 실적(품목별)'!D2153),",","")),"")</f>
        <v>3025.4</v>
      </c>
      <c r="H2149" s="19" t="n">
        <f aca="false">IFERROR(VALUE(SUBSTITUTE(TRIM('수출입 실적(품목별)'!E2153),",","")),"")</f>
        <v>860140</v>
      </c>
      <c r="I2149" s="18" t="n">
        <f aca="false">IFERROR(VALUE(SUBSTITUTE(TRIM('수출입 실적(품목별)'!F2153),",","")),"")</f>
        <v>6871.6</v>
      </c>
      <c r="J2149" s="19" t="n">
        <f aca="false">IFERROR(VALUE(SUBSTITUTE(TRIM('수출입 실적(품목별)'!G2153),",","")),"")</f>
        <v>829872</v>
      </c>
      <c r="K2149" s="19" t="n">
        <f aca="false">IFERROR(VALUE(SUBSTITUTE(TRIM('수출입 실적(품목별)'!H2153),",","")),"")</f>
        <v>30268</v>
      </c>
    </row>
    <row r="2150" customFormat="false" ht="15" hidden="false" customHeight="true" outlineLevel="0" collapsed="false">
      <c r="A2150" s="11" t="str">
        <f aca="false">TRIM('수출입 실적(품목별)'!A2154)</f>
        <v>2025.11</v>
      </c>
      <c r="B2150" s="17" t="n">
        <f aca="false">IFERROR(VALUE(LEFT($A2150,4)),"")</f>
        <v>2025</v>
      </c>
      <c r="C2150" s="17" t="n">
        <f aca="false">IFERROR(VALUE(RIGHT($A2150,2)),"")</f>
        <v>11</v>
      </c>
      <c r="D2150" s="17" t="n">
        <f aca="false">IFERROR(ROUNDUP($C2150/3,0),"")</f>
        <v>4</v>
      </c>
      <c r="E2150" s="11" t="str">
        <f aca="false">TRIM('수출입 실적(품목별)'!B2154)</f>
        <v>31</v>
      </c>
      <c r="F2150" s="11" t="str">
        <f aca="false">TRIM('수출입 실적(품목별)'!C2154)</f>
        <v>비료</v>
      </c>
      <c r="G2150" s="18" t="n">
        <f aca="false">IFERROR(VALUE(SUBSTITUTE(TRIM('수출입 실적(품목별)'!D2154),",","")),"")</f>
        <v>46279.2</v>
      </c>
      <c r="H2150" s="19" t="n">
        <f aca="false">IFERROR(VALUE(SUBSTITUTE(TRIM('수출입 실적(품목별)'!E2154),",","")),"")</f>
        <v>17477</v>
      </c>
      <c r="I2150" s="18" t="n">
        <f aca="false">IFERROR(VALUE(SUBSTITUTE(TRIM('수출입 실적(품목별)'!F2154),",","")),"")</f>
        <v>99419.3</v>
      </c>
      <c r="J2150" s="19" t="n">
        <f aca="false">IFERROR(VALUE(SUBSTITUTE(TRIM('수출입 실적(품목별)'!G2154),",","")),"")</f>
        <v>39792</v>
      </c>
      <c r="K2150" s="19" t="n">
        <f aca="false">IFERROR(VALUE(SUBSTITUTE(TRIM('수출입 실적(품목별)'!H2154),",","")),"")</f>
        <v>-22316</v>
      </c>
    </row>
    <row r="2151" customFormat="false" ht="15" hidden="false" customHeight="true" outlineLevel="0" collapsed="false">
      <c r="A2151" s="11" t="str">
        <f aca="false">TRIM('수출입 실적(품목별)'!A2155)</f>
        <v>2025.11</v>
      </c>
      <c r="B2151" s="17" t="n">
        <f aca="false">IFERROR(VALUE(LEFT($A2151,4)),"")</f>
        <v>2025</v>
      </c>
      <c r="C2151" s="17" t="n">
        <f aca="false">IFERROR(VALUE(RIGHT($A2151,2)),"")</f>
        <v>11</v>
      </c>
      <c r="D2151" s="17" t="n">
        <f aca="false">IFERROR(ROUNDUP($C2151/3,0),"")</f>
        <v>4</v>
      </c>
      <c r="E2151" s="11" t="str">
        <f aca="false">TRIM('수출입 실적(품목별)'!B2155)</f>
        <v>32</v>
      </c>
      <c r="F2151" s="11" t="str">
        <f aca="false">TRIM('수출입 실적(품목별)'!C2155)</f>
        <v>유연용ㆍ염색용 추출물(extract), 탄닌과 이들의 유도체, 염료ㆍ안료와 그 밖의 착색제, 페인트ㆍ바니시(varnish), 퍼티(putty)와 그 밖의 매스틱(mastic), 잉크</v>
      </c>
      <c r="G2151" s="18" t="n">
        <f aca="false">IFERROR(VALUE(SUBSTITUTE(TRIM('수출입 실적(품목별)'!D2155),",","")),"")</f>
        <v>28425</v>
      </c>
      <c r="H2151" s="19" t="n">
        <f aca="false">IFERROR(VALUE(SUBSTITUTE(TRIM('수출입 실적(품목별)'!E2155),",","")),"")</f>
        <v>203725</v>
      </c>
      <c r="I2151" s="18" t="n">
        <f aca="false">IFERROR(VALUE(SUBSTITUTE(TRIM('수출입 실적(품목별)'!F2155),",","")),"")</f>
        <v>21793.8</v>
      </c>
      <c r="J2151" s="19" t="n">
        <f aca="false">IFERROR(VALUE(SUBSTITUTE(TRIM('수출입 실적(품목별)'!G2155),",","")),"")</f>
        <v>170331</v>
      </c>
      <c r="K2151" s="19" t="n">
        <f aca="false">IFERROR(VALUE(SUBSTITUTE(TRIM('수출입 실적(품목별)'!H2155),",","")),"")</f>
        <v>33394</v>
      </c>
    </row>
    <row r="2152" customFormat="false" ht="15" hidden="false" customHeight="true" outlineLevel="0" collapsed="false">
      <c r="A2152" s="11" t="str">
        <f aca="false">TRIM('수출입 실적(품목별)'!A2156)</f>
        <v>2025.11</v>
      </c>
      <c r="B2152" s="17" t="n">
        <f aca="false">IFERROR(VALUE(LEFT($A2152,4)),"")</f>
        <v>2025</v>
      </c>
      <c r="C2152" s="17" t="n">
        <f aca="false">IFERROR(VALUE(RIGHT($A2152,2)),"")</f>
        <v>11</v>
      </c>
      <c r="D2152" s="17" t="n">
        <f aca="false">IFERROR(ROUNDUP($C2152/3,0),"")</f>
        <v>4</v>
      </c>
      <c r="E2152" s="11" t="str">
        <f aca="false">TRIM('수출입 실적(품목별)'!B2156)</f>
        <v>33</v>
      </c>
      <c r="F2152" s="11" t="str">
        <f aca="false">TRIM('수출입 실적(품목별)'!C2156)</f>
        <v>정유(essential oil)와 레지노이드(resinoid), 조제향료와 화장품ㆍ화장용품</v>
      </c>
      <c r="G2152" s="18" t="n">
        <f aca="false">IFERROR(VALUE(SUBSTITUTE(TRIM('수출입 실적(품목별)'!D2156),",","")),"")</f>
        <v>39816.6</v>
      </c>
      <c r="H2152" s="19" t="n">
        <f aca="false">IFERROR(VALUE(SUBSTITUTE(TRIM('수출입 실적(품목별)'!E2156),",","")),"")</f>
        <v>906407</v>
      </c>
      <c r="I2152" s="18" t="n">
        <f aca="false">IFERROR(VALUE(SUBSTITUTE(TRIM('수출입 실적(품목별)'!F2156),",","")),"")</f>
        <v>8490.2</v>
      </c>
      <c r="J2152" s="19" t="n">
        <f aca="false">IFERROR(VALUE(SUBSTITUTE(TRIM('수출입 실적(품목별)'!G2156),",","")),"")</f>
        <v>160706</v>
      </c>
      <c r="K2152" s="19" t="n">
        <f aca="false">IFERROR(VALUE(SUBSTITUTE(TRIM('수출입 실적(품목별)'!H2156),",","")),"")</f>
        <v>745702</v>
      </c>
    </row>
    <row r="2153" customFormat="false" ht="15" hidden="false" customHeight="true" outlineLevel="0" collapsed="false">
      <c r="A2153" s="11" t="str">
        <f aca="false">TRIM('수출입 실적(품목별)'!A2157)</f>
        <v>2025.11</v>
      </c>
      <c r="B2153" s="17" t="n">
        <f aca="false">IFERROR(VALUE(LEFT($A2153,4)),"")</f>
        <v>2025</v>
      </c>
      <c r="C2153" s="17" t="n">
        <f aca="false">IFERROR(VALUE(RIGHT($A2153,2)),"")</f>
        <v>11</v>
      </c>
      <c r="D2153" s="17" t="n">
        <f aca="false">IFERROR(ROUNDUP($C2153/3,0),"")</f>
        <v>4</v>
      </c>
      <c r="E2153" s="11" t="str">
        <f aca="false">TRIM('수출입 실적(품목별)'!B2157)</f>
        <v>34</v>
      </c>
      <c r="F2153" s="11" t="str">
        <f aca="false">TRIM('수출입 실적(품목별)'!C2157)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153" s="18" t="n">
        <f aca="false">IFERROR(VALUE(SUBSTITUTE(TRIM('수출입 실적(품목별)'!D2157),",","")),"")</f>
        <v>55670</v>
      </c>
      <c r="H2153" s="19" t="n">
        <f aca="false">IFERROR(VALUE(SUBSTITUTE(TRIM('수출입 실적(품목별)'!E2157),",","")),"")</f>
        <v>169474</v>
      </c>
      <c r="I2153" s="18" t="n">
        <f aca="false">IFERROR(VALUE(SUBSTITUTE(TRIM('수출입 실적(품목별)'!F2157),",","")),"")</f>
        <v>22725.4</v>
      </c>
      <c r="J2153" s="19" t="n">
        <f aca="false">IFERROR(VALUE(SUBSTITUTE(TRIM('수출입 실적(품목별)'!G2157),",","")),"")</f>
        <v>86641</v>
      </c>
      <c r="K2153" s="19" t="n">
        <f aca="false">IFERROR(VALUE(SUBSTITUTE(TRIM('수출입 실적(품목별)'!H2157),",","")),"")</f>
        <v>82833</v>
      </c>
    </row>
    <row r="2154" customFormat="false" ht="15" hidden="false" customHeight="true" outlineLevel="0" collapsed="false">
      <c r="A2154" s="11" t="str">
        <f aca="false">TRIM('수출입 실적(품목별)'!A2158)</f>
        <v>2025.11</v>
      </c>
      <c r="B2154" s="17" t="n">
        <f aca="false">IFERROR(VALUE(LEFT($A2154,4)),"")</f>
        <v>2025</v>
      </c>
      <c r="C2154" s="17" t="n">
        <f aca="false">IFERROR(VALUE(RIGHT($A2154,2)),"")</f>
        <v>11</v>
      </c>
      <c r="D2154" s="17" t="n">
        <f aca="false">IFERROR(ROUNDUP($C2154/3,0),"")</f>
        <v>4</v>
      </c>
      <c r="E2154" s="11" t="str">
        <f aca="false">TRIM('수출입 실적(품목별)'!B2158)</f>
        <v>35</v>
      </c>
      <c r="F2154" s="11" t="str">
        <f aca="false">TRIM('수출입 실적(품목별)'!C2158)</f>
        <v>단백질계 물질, 변성전분, 글루(glue), 효소</v>
      </c>
      <c r="G2154" s="18" t="n">
        <f aca="false">IFERROR(VALUE(SUBSTITUTE(TRIM('수출입 실적(품목별)'!D2158),",","")),"")</f>
        <v>6127.1</v>
      </c>
      <c r="H2154" s="19" t="n">
        <f aca="false">IFERROR(VALUE(SUBSTITUTE(TRIM('수출입 실적(품목별)'!E2158),",","")),"")</f>
        <v>78852</v>
      </c>
      <c r="I2154" s="18" t="n">
        <f aca="false">IFERROR(VALUE(SUBSTITUTE(TRIM('수출입 실적(품목별)'!F2158),",","")),"")</f>
        <v>21481.1</v>
      </c>
      <c r="J2154" s="19" t="n">
        <f aca="false">IFERROR(VALUE(SUBSTITUTE(TRIM('수출입 실적(품목별)'!G2158),",","")),"")</f>
        <v>81422</v>
      </c>
      <c r="K2154" s="19" t="n">
        <f aca="false">IFERROR(VALUE(SUBSTITUTE(TRIM('수출입 실적(품목별)'!H2158),",","")),"")</f>
        <v>-2570</v>
      </c>
    </row>
    <row r="2155" customFormat="false" ht="15" hidden="false" customHeight="true" outlineLevel="0" collapsed="false">
      <c r="A2155" s="11" t="str">
        <f aca="false">TRIM('수출입 실적(품목별)'!A2159)</f>
        <v>2025.11</v>
      </c>
      <c r="B2155" s="17" t="n">
        <f aca="false">IFERROR(VALUE(LEFT($A2155,4)),"")</f>
        <v>2025</v>
      </c>
      <c r="C2155" s="17" t="n">
        <f aca="false">IFERROR(VALUE(RIGHT($A2155,2)),"")</f>
        <v>11</v>
      </c>
      <c r="D2155" s="17" t="n">
        <f aca="false">IFERROR(ROUNDUP($C2155/3,0),"")</f>
        <v>4</v>
      </c>
      <c r="E2155" s="11" t="str">
        <f aca="false">TRIM('수출입 실적(품목별)'!B2159)</f>
        <v>36</v>
      </c>
      <c r="F2155" s="11" t="str">
        <f aca="false">TRIM('수출입 실적(품목별)'!C2159)</f>
        <v>화약류, 화공품, 성냥, 발화성 합금, 특정 가연성 조제품</v>
      </c>
      <c r="G2155" s="18" t="n">
        <f aca="false">IFERROR(VALUE(SUBSTITUTE(TRIM('수출입 실적(품목별)'!D2159),",","")),"")</f>
        <v>275.2</v>
      </c>
      <c r="H2155" s="19" t="n">
        <f aca="false">IFERROR(VALUE(SUBSTITUTE(TRIM('수출입 실적(품목별)'!E2159),",","")),"")</f>
        <v>9284</v>
      </c>
      <c r="I2155" s="18" t="n">
        <f aca="false">IFERROR(VALUE(SUBSTITUTE(TRIM('수출입 실적(품목별)'!F2159),",","")),"")</f>
        <v>201.7</v>
      </c>
      <c r="J2155" s="19" t="n">
        <f aca="false">IFERROR(VALUE(SUBSTITUTE(TRIM('수출입 실적(품목별)'!G2159),",","")),"")</f>
        <v>3500</v>
      </c>
      <c r="K2155" s="19" t="n">
        <f aca="false">IFERROR(VALUE(SUBSTITUTE(TRIM('수출입 실적(품목별)'!H2159),",","")),"")</f>
        <v>5784</v>
      </c>
    </row>
    <row r="2156" customFormat="false" ht="15" hidden="false" customHeight="true" outlineLevel="0" collapsed="false">
      <c r="A2156" s="11" t="str">
        <f aca="false">TRIM('수출입 실적(품목별)'!A2160)</f>
        <v>2025.11</v>
      </c>
      <c r="B2156" s="17" t="n">
        <f aca="false">IFERROR(VALUE(LEFT($A2156,4)),"")</f>
        <v>2025</v>
      </c>
      <c r="C2156" s="17" t="n">
        <f aca="false">IFERROR(VALUE(RIGHT($A2156,2)),"")</f>
        <v>11</v>
      </c>
      <c r="D2156" s="17" t="n">
        <f aca="false">IFERROR(ROUNDUP($C2156/3,0),"")</f>
        <v>4</v>
      </c>
      <c r="E2156" s="11" t="str">
        <f aca="false">TRIM('수출입 실적(품목별)'!B2160)</f>
        <v>37</v>
      </c>
      <c r="F2156" s="11" t="str">
        <f aca="false">TRIM('수출입 실적(품목별)'!C2160)</f>
        <v>사진용이나 영화용 재료</v>
      </c>
      <c r="G2156" s="18" t="n">
        <f aca="false">IFERROR(VALUE(SUBSTITUTE(TRIM('수출입 실적(품목별)'!D2160),",","")),"")</f>
        <v>1754</v>
      </c>
      <c r="H2156" s="19" t="n">
        <f aca="false">IFERROR(VALUE(SUBSTITUTE(TRIM('수출입 실적(품목별)'!E2160),",","")),"")</f>
        <v>87264</v>
      </c>
      <c r="I2156" s="18" t="n">
        <f aca="false">IFERROR(VALUE(SUBSTITUTE(TRIM('수출입 실적(품목별)'!F2160),",","")),"")</f>
        <v>3486.7</v>
      </c>
      <c r="J2156" s="19" t="n">
        <f aca="false">IFERROR(VALUE(SUBSTITUTE(TRIM('수출입 실적(품목별)'!G2160),",","")),"")</f>
        <v>102066</v>
      </c>
      <c r="K2156" s="19" t="n">
        <f aca="false">IFERROR(VALUE(SUBSTITUTE(TRIM('수출입 실적(품목별)'!H2160),",","")),"")</f>
        <v>-14802</v>
      </c>
    </row>
    <row r="2157" customFormat="false" ht="15" hidden="false" customHeight="true" outlineLevel="0" collapsed="false">
      <c r="A2157" s="11" t="str">
        <f aca="false">TRIM('수출입 실적(품목별)'!A2161)</f>
        <v>2025.11</v>
      </c>
      <c r="B2157" s="17" t="n">
        <f aca="false">IFERROR(VALUE(LEFT($A2157,4)),"")</f>
        <v>2025</v>
      </c>
      <c r="C2157" s="17" t="n">
        <f aca="false">IFERROR(VALUE(RIGHT($A2157,2)),"")</f>
        <v>11</v>
      </c>
      <c r="D2157" s="17" t="n">
        <f aca="false">IFERROR(ROUNDUP($C2157/3,0),"")</f>
        <v>4</v>
      </c>
      <c r="E2157" s="11" t="str">
        <f aca="false">TRIM('수출입 실적(품목별)'!B2161)</f>
        <v>38</v>
      </c>
      <c r="F2157" s="11" t="str">
        <f aca="false">TRIM('수출입 실적(품목별)'!C2161)</f>
        <v>각종 화학공업 생산품</v>
      </c>
      <c r="G2157" s="18" t="n">
        <f aca="false">IFERROR(VALUE(SUBSTITUTE(TRIM('수출입 실적(품목별)'!D2161),",","")),"")</f>
        <v>103006.1</v>
      </c>
      <c r="H2157" s="19" t="n">
        <f aca="false">IFERROR(VALUE(SUBSTITUTE(TRIM('수출입 실적(품목별)'!E2161),",","")),"")</f>
        <v>650620</v>
      </c>
      <c r="I2157" s="18" t="n">
        <f aca="false">IFERROR(VALUE(SUBSTITUTE(TRIM('수출입 실적(품목별)'!F2161),",","")),"")</f>
        <v>192535.1</v>
      </c>
      <c r="J2157" s="19" t="n">
        <f aca="false">IFERROR(VALUE(SUBSTITUTE(TRIM('수출입 실적(품목별)'!G2161),",","")),"")</f>
        <v>829707</v>
      </c>
      <c r="K2157" s="19" t="n">
        <f aca="false">IFERROR(VALUE(SUBSTITUTE(TRIM('수출입 실적(품목별)'!H2161),",","")),"")</f>
        <v>-179087</v>
      </c>
    </row>
    <row r="2158" customFormat="false" ht="15" hidden="false" customHeight="true" outlineLevel="0" collapsed="false">
      <c r="A2158" s="11" t="str">
        <f aca="false">TRIM('수출입 실적(품목별)'!A2162)</f>
        <v>2025.11</v>
      </c>
      <c r="B2158" s="17" t="n">
        <f aca="false">IFERROR(VALUE(LEFT($A2158,4)),"")</f>
        <v>2025</v>
      </c>
      <c r="C2158" s="17" t="n">
        <f aca="false">IFERROR(VALUE(RIGHT($A2158,2)),"")</f>
        <v>11</v>
      </c>
      <c r="D2158" s="17" t="n">
        <f aca="false">IFERROR(ROUNDUP($C2158/3,0),"")</f>
        <v>4</v>
      </c>
      <c r="E2158" s="11" t="str">
        <f aca="false">TRIM('수출입 실적(품목별)'!B2162)</f>
        <v>39</v>
      </c>
      <c r="F2158" s="11" t="str">
        <f aca="false">TRIM('수출입 실적(품목별)'!C2162)</f>
        <v>플라스틱과 그 제품</v>
      </c>
      <c r="G2158" s="18" t="n">
        <f aca="false">IFERROR(VALUE(SUBSTITUTE(TRIM('수출입 실적(품목별)'!D2162),",","")),"")</f>
        <v>1264155.3</v>
      </c>
      <c r="H2158" s="19" t="n">
        <f aca="false">IFERROR(VALUE(SUBSTITUTE(TRIM('수출입 실적(품목별)'!E2162),",","")),"")</f>
        <v>2489906</v>
      </c>
      <c r="I2158" s="18" t="n">
        <f aca="false">IFERROR(VALUE(SUBSTITUTE(TRIM('수출입 실적(품목별)'!F2162),",","")),"")</f>
        <v>267032.5</v>
      </c>
      <c r="J2158" s="19" t="n">
        <f aca="false">IFERROR(VALUE(SUBSTITUTE(TRIM('수출입 실적(품목별)'!G2162),",","")),"")</f>
        <v>1046171</v>
      </c>
      <c r="K2158" s="19" t="n">
        <f aca="false">IFERROR(VALUE(SUBSTITUTE(TRIM('수출입 실적(품목별)'!H2162),",","")),"")</f>
        <v>1443735</v>
      </c>
    </row>
    <row r="2159" customFormat="false" ht="15" hidden="false" customHeight="true" outlineLevel="0" collapsed="false">
      <c r="A2159" s="11" t="str">
        <f aca="false">TRIM('수출입 실적(품목별)'!A2163)</f>
        <v>2025.11</v>
      </c>
      <c r="B2159" s="17" t="n">
        <f aca="false">IFERROR(VALUE(LEFT($A2159,4)),"")</f>
        <v>2025</v>
      </c>
      <c r="C2159" s="17" t="n">
        <f aca="false">IFERROR(VALUE(RIGHT($A2159,2)),"")</f>
        <v>11</v>
      </c>
      <c r="D2159" s="17" t="n">
        <f aca="false">IFERROR(ROUNDUP($C2159/3,0),"")</f>
        <v>4</v>
      </c>
      <c r="E2159" s="11" t="str">
        <f aca="false">TRIM('수출입 실적(품목별)'!B2163)</f>
        <v>40</v>
      </c>
      <c r="F2159" s="11" t="str">
        <f aca="false">TRIM('수출입 실적(품목별)'!C2163)</f>
        <v>고무와 그 제품</v>
      </c>
      <c r="G2159" s="18" t="n">
        <f aca="false">IFERROR(VALUE(SUBSTITUTE(TRIM('수출입 실적(품목별)'!D2163),",","")),"")</f>
        <v>232324.5</v>
      </c>
      <c r="H2159" s="19" t="n">
        <f aca="false">IFERROR(VALUE(SUBSTITUTE(TRIM('수출입 실적(품목별)'!E2163),",","")),"")</f>
        <v>534993</v>
      </c>
      <c r="I2159" s="18" t="n">
        <f aca="false">IFERROR(VALUE(SUBSTITUTE(TRIM('수출입 실적(품목별)'!F2163),",","")),"")</f>
        <v>79756.6</v>
      </c>
      <c r="J2159" s="19" t="n">
        <f aca="false">IFERROR(VALUE(SUBSTITUTE(TRIM('수출입 실적(품목별)'!G2163),",","")),"")</f>
        <v>249453</v>
      </c>
      <c r="K2159" s="19" t="n">
        <f aca="false">IFERROR(VALUE(SUBSTITUTE(TRIM('수출입 실적(품목별)'!H2163),",","")),"")</f>
        <v>285539</v>
      </c>
    </row>
    <row r="2160" customFormat="false" ht="15" hidden="false" customHeight="true" outlineLevel="0" collapsed="false">
      <c r="A2160" s="11" t="str">
        <f aca="false">TRIM('수출입 실적(품목별)'!A2164)</f>
        <v>2025.11</v>
      </c>
      <c r="B2160" s="17" t="n">
        <f aca="false">IFERROR(VALUE(LEFT($A2160,4)),"")</f>
        <v>2025</v>
      </c>
      <c r="C2160" s="17" t="n">
        <f aca="false">IFERROR(VALUE(RIGHT($A2160,2)),"")</f>
        <v>11</v>
      </c>
      <c r="D2160" s="17" t="n">
        <f aca="false">IFERROR(ROUNDUP($C2160/3,0),"")</f>
        <v>4</v>
      </c>
      <c r="E2160" s="11" t="str">
        <f aca="false">TRIM('수출입 실적(품목별)'!B2164)</f>
        <v>41</v>
      </c>
      <c r="F2160" s="11" t="str">
        <f aca="false">TRIM('수출입 실적(품목별)'!C2164)</f>
        <v>원피(모피는 제외한다)와 가죽</v>
      </c>
      <c r="G2160" s="18" t="n">
        <f aca="false">IFERROR(VALUE(SUBSTITUTE(TRIM('수출입 실적(품목별)'!D2164),",","")),"")</f>
        <v>2626.8</v>
      </c>
      <c r="H2160" s="19" t="n">
        <f aca="false">IFERROR(VALUE(SUBSTITUTE(TRIM('수출입 실적(품목별)'!E2164),",","")),"")</f>
        <v>20174</v>
      </c>
      <c r="I2160" s="18" t="n">
        <f aca="false">IFERROR(VALUE(SUBSTITUTE(TRIM('수출입 실적(품목별)'!F2164),",","")),"")</f>
        <v>5694.9</v>
      </c>
      <c r="J2160" s="19" t="n">
        <f aca="false">IFERROR(VALUE(SUBSTITUTE(TRIM('수출입 실적(품목별)'!G2164),",","")),"")</f>
        <v>15810</v>
      </c>
      <c r="K2160" s="19" t="n">
        <f aca="false">IFERROR(VALUE(SUBSTITUTE(TRIM('수출입 실적(품목별)'!H2164),",","")),"")</f>
        <v>4363</v>
      </c>
    </row>
    <row r="2161" customFormat="false" ht="15" hidden="false" customHeight="true" outlineLevel="0" collapsed="false">
      <c r="A2161" s="11" t="str">
        <f aca="false">TRIM('수출입 실적(품목별)'!A2165)</f>
        <v>2025.11</v>
      </c>
      <c r="B2161" s="17" t="n">
        <f aca="false">IFERROR(VALUE(LEFT($A2161,4)),"")</f>
        <v>2025</v>
      </c>
      <c r="C2161" s="17" t="n">
        <f aca="false">IFERROR(VALUE(RIGHT($A2161,2)),"")</f>
        <v>11</v>
      </c>
      <c r="D2161" s="17" t="n">
        <f aca="false">IFERROR(ROUNDUP($C2161/3,0),"")</f>
        <v>4</v>
      </c>
      <c r="E2161" s="11" t="str">
        <f aca="false">TRIM('수출입 실적(품목별)'!B2165)</f>
        <v>42</v>
      </c>
      <c r="F2161" s="11" t="str">
        <f aca="false">TRIM('수출입 실적(품목별)'!C2165)</f>
        <v>가죽제품, 마구, 여행용구ㆍ핸드백과 이와 유사한 용기, 동물 거트(gut)[누에의 거트(gut)는 제외한다]의 제품</v>
      </c>
      <c r="G2161" s="18" t="n">
        <f aca="false">IFERROR(VALUE(SUBSTITUTE(TRIM('수출입 실적(품목별)'!D2165),",","")),"")</f>
        <v>898.7</v>
      </c>
      <c r="H2161" s="19" t="n">
        <f aca="false">IFERROR(VALUE(SUBSTITUTE(TRIM('수출입 실적(품목별)'!E2165),",","")),"")</f>
        <v>54618</v>
      </c>
      <c r="I2161" s="18" t="n">
        <f aca="false">IFERROR(VALUE(SUBSTITUTE(TRIM('수출입 실적(품목별)'!F2165),",","")),"")</f>
        <v>8726.7</v>
      </c>
      <c r="J2161" s="19" t="n">
        <f aca="false">IFERROR(VALUE(SUBSTITUTE(TRIM('수출입 실적(품목별)'!G2165),",","")),"")</f>
        <v>287910</v>
      </c>
      <c r="K2161" s="19" t="n">
        <f aca="false">IFERROR(VALUE(SUBSTITUTE(TRIM('수출입 실적(품목별)'!H2165),",","")),"")</f>
        <v>-233292</v>
      </c>
    </row>
    <row r="2162" customFormat="false" ht="15" hidden="false" customHeight="true" outlineLevel="0" collapsed="false">
      <c r="A2162" s="11" t="str">
        <f aca="false">TRIM('수출입 실적(품목별)'!A2166)</f>
        <v>2025.11</v>
      </c>
      <c r="B2162" s="17" t="n">
        <f aca="false">IFERROR(VALUE(LEFT($A2162,4)),"")</f>
        <v>2025</v>
      </c>
      <c r="C2162" s="17" t="n">
        <f aca="false">IFERROR(VALUE(RIGHT($A2162,2)),"")</f>
        <v>11</v>
      </c>
      <c r="D2162" s="17" t="n">
        <f aca="false">IFERROR(ROUNDUP($C2162/3,0),"")</f>
        <v>4</v>
      </c>
      <c r="E2162" s="11" t="str">
        <f aca="false">TRIM('수출입 실적(품목별)'!B2166)</f>
        <v>43</v>
      </c>
      <c r="F2162" s="11" t="str">
        <f aca="false">TRIM('수출입 실적(품목별)'!C2166)</f>
        <v>모피ㆍ인조모피와 이들의 제품</v>
      </c>
      <c r="G2162" s="18" t="n">
        <f aca="false">IFERROR(VALUE(SUBSTITUTE(TRIM('수출입 실적(품목별)'!D2166),",","")),"")</f>
        <v>8</v>
      </c>
      <c r="H2162" s="19" t="n">
        <f aca="false">IFERROR(VALUE(SUBSTITUTE(TRIM('수출입 실적(품목별)'!E2166),",","")),"")</f>
        <v>645</v>
      </c>
      <c r="I2162" s="18" t="n">
        <f aca="false">IFERROR(VALUE(SUBSTITUTE(TRIM('수출입 실적(품목별)'!F2166),",","")),"")</f>
        <v>84.2</v>
      </c>
      <c r="J2162" s="19" t="n">
        <f aca="false">IFERROR(VALUE(SUBSTITUTE(TRIM('수출입 실적(품목별)'!G2166),",","")),"")</f>
        <v>10740</v>
      </c>
      <c r="K2162" s="19" t="n">
        <f aca="false">IFERROR(VALUE(SUBSTITUTE(TRIM('수출입 실적(품목별)'!H2166),",","")),"")</f>
        <v>-10095</v>
      </c>
    </row>
    <row r="2163" customFormat="false" ht="15" hidden="false" customHeight="true" outlineLevel="0" collapsed="false">
      <c r="A2163" s="11" t="str">
        <f aca="false">TRIM('수출입 실적(품목별)'!A2167)</f>
        <v>2025.11</v>
      </c>
      <c r="B2163" s="17" t="n">
        <f aca="false">IFERROR(VALUE(LEFT($A2163,4)),"")</f>
        <v>2025</v>
      </c>
      <c r="C2163" s="17" t="n">
        <f aca="false">IFERROR(VALUE(RIGHT($A2163,2)),"")</f>
        <v>11</v>
      </c>
      <c r="D2163" s="17" t="n">
        <f aca="false">IFERROR(ROUNDUP($C2163/3,0),"")</f>
        <v>4</v>
      </c>
      <c r="E2163" s="11" t="str">
        <f aca="false">TRIM('수출입 실적(품목별)'!B2167)</f>
        <v>44</v>
      </c>
      <c r="F2163" s="11" t="str">
        <f aca="false">TRIM('수출입 실적(품목별)'!C2167)</f>
        <v>목재와 그 제품, 목탄</v>
      </c>
      <c r="G2163" s="18" t="n">
        <f aca="false">IFERROR(VALUE(SUBSTITUTE(TRIM('수출입 실적(품목별)'!D2167),",","")),"")</f>
        <v>2594.2</v>
      </c>
      <c r="H2163" s="19" t="n">
        <f aca="false">IFERROR(VALUE(SUBSTITUTE(TRIM('수출입 실적(품목별)'!E2167),",","")),"")</f>
        <v>4800</v>
      </c>
      <c r="I2163" s="18" t="n">
        <f aca="false">IFERROR(VALUE(SUBSTITUTE(TRIM('수출입 실적(품목별)'!F2167),",","")),"")</f>
        <v>677180.8</v>
      </c>
      <c r="J2163" s="19" t="n">
        <f aca="false">IFERROR(VALUE(SUBSTITUTE(TRIM('수출입 실적(품목별)'!G2167),",","")),"")</f>
        <v>208993</v>
      </c>
      <c r="K2163" s="19" t="n">
        <f aca="false">IFERROR(VALUE(SUBSTITUTE(TRIM('수출입 실적(품목별)'!H2167),",","")),"")</f>
        <v>-204193</v>
      </c>
    </row>
    <row r="2164" customFormat="false" ht="15" hidden="false" customHeight="true" outlineLevel="0" collapsed="false">
      <c r="A2164" s="11" t="str">
        <f aca="false">TRIM('수출입 실적(품목별)'!A2168)</f>
        <v>2025.11</v>
      </c>
      <c r="B2164" s="17" t="n">
        <f aca="false">IFERROR(VALUE(LEFT($A2164,4)),"")</f>
        <v>2025</v>
      </c>
      <c r="C2164" s="17" t="n">
        <f aca="false">IFERROR(VALUE(RIGHT($A2164,2)),"")</f>
        <v>11</v>
      </c>
      <c r="D2164" s="17" t="n">
        <f aca="false">IFERROR(ROUNDUP($C2164/3,0),"")</f>
        <v>4</v>
      </c>
      <c r="E2164" s="11" t="str">
        <f aca="false">TRIM('수출입 실적(품목별)'!B2168)</f>
        <v>45</v>
      </c>
      <c r="F2164" s="11" t="str">
        <f aca="false">TRIM('수출입 실적(품목별)'!C2168)</f>
        <v>코르크(cork)와 그 제품</v>
      </c>
      <c r="G2164" s="18" t="n">
        <f aca="false">IFERROR(VALUE(SUBSTITUTE(TRIM('수출입 실적(품목별)'!D2168),",","")),"")</f>
        <v>0.8</v>
      </c>
      <c r="H2164" s="19" t="n">
        <f aca="false">IFERROR(VALUE(SUBSTITUTE(TRIM('수출입 실적(품목별)'!E2168),",","")),"")</f>
        <v>17</v>
      </c>
      <c r="I2164" s="18" t="n">
        <f aca="false">IFERROR(VALUE(SUBSTITUTE(TRIM('수출입 실적(품목별)'!F2168),",","")),"")</f>
        <v>108.9</v>
      </c>
      <c r="J2164" s="19" t="n">
        <f aca="false">IFERROR(VALUE(SUBSTITUTE(TRIM('수출입 실적(품목별)'!G2168),",","")),"")</f>
        <v>386</v>
      </c>
      <c r="K2164" s="19" t="n">
        <f aca="false">IFERROR(VALUE(SUBSTITUTE(TRIM('수출입 실적(품목별)'!H2168),",","")),"")</f>
        <v>-369</v>
      </c>
    </row>
    <row r="2165" customFormat="false" ht="15" hidden="false" customHeight="true" outlineLevel="0" collapsed="false">
      <c r="A2165" s="11" t="str">
        <f aca="false">TRIM('수출입 실적(품목별)'!A2169)</f>
        <v>2025.11</v>
      </c>
      <c r="B2165" s="17" t="n">
        <f aca="false">IFERROR(VALUE(LEFT($A2165,4)),"")</f>
        <v>2025</v>
      </c>
      <c r="C2165" s="17" t="n">
        <f aca="false">IFERROR(VALUE(RIGHT($A2165,2)),"")</f>
        <v>11</v>
      </c>
      <c r="D2165" s="17" t="n">
        <f aca="false">IFERROR(ROUNDUP($C2165/3,0),"")</f>
        <v>4</v>
      </c>
      <c r="E2165" s="11" t="str">
        <f aca="false">TRIM('수출입 실적(품목별)'!B2169)</f>
        <v>46</v>
      </c>
      <c r="F2165" s="11" t="str">
        <f aca="false">TRIM('수출입 실적(품목별)'!C2169)</f>
        <v>짚ㆍ에스파르토(esparto)나 그 밖의 조물 재료의 제품, 바구니 세공물(basketware)과 지조세공물(枝條細工物)</v>
      </c>
      <c r="G2165" s="18" t="n">
        <f aca="false">IFERROR(VALUE(SUBSTITUTE(TRIM('수출입 실적(품목별)'!D2169),",","")),"")</f>
        <v>1.1</v>
      </c>
      <c r="H2165" s="19" t="n">
        <f aca="false">IFERROR(VALUE(SUBSTITUTE(TRIM('수출입 실적(품목별)'!E2169),",","")),"")</f>
        <v>68</v>
      </c>
      <c r="I2165" s="18" t="n">
        <f aca="false">IFERROR(VALUE(SUBSTITUTE(TRIM('수출입 실적(품목별)'!F2169),",","")),"")</f>
        <v>272.2</v>
      </c>
      <c r="J2165" s="19" t="n">
        <f aca="false">IFERROR(VALUE(SUBSTITUTE(TRIM('수출입 실적(품목별)'!G2169),",","")),"")</f>
        <v>1477</v>
      </c>
      <c r="K2165" s="19" t="n">
        <f aca="false">IFERROR(VALUE(SUBSTITUTE(TRIM('수출입 실적(품목별)'!H2169),",","")),"")</f>
        <v>-1409</v>
      </c>
    </row>
    <row r="2166" customFormat="false" ht="15" hidden="false" customHeight="true" outlineLevel="0" collapsed="false">
      <c r="A2166" s="11" t="str">
        <f aca="false">TRIM('수출입 실적(품목별)'!A2170)</f>
        <v>2025.11</v>
      </c>
      <c r="B2166" s="17" t="n">
        <f aca="false">IFERROR(VALUE(LEFT($A2166,4)),"")</f>
        <v>2025</v>
      </c>
      <c r="C2166" s="17" t="n">
        <f aca="false">IFERROR(VALUE(RIGHT($A2166,2)),"")</f>
        <v>11</v>
      </c>
      <c r="D2166" s="17" t="n">
        <f aca="false">IFERROR(ROUNDUP($C2166/3,0),"")</f>
        <v>4</v>
      </c>
      <c r="E2166" s="11" t="str">
        <f aca="false">TRIM('수출입 실적(품목별)'!B2170)</f>
        <v>47</v>
      </c>
      <c r="F2166" s="11" t="str">
        <f aca="false">TRIM('수출입 실적(품목별)'!C2170)</f>
        <v>목재나 그 밖의 섬유질 셀룰로오스재료의 펄프, 회수한 종이ㆍ판지[웨이스트(waste)와 스크랩(scrap)]</v>
      </c>
      <c r="G2166" s="18" t="n">
        <f aca="false">IFERROR(VALUE(SUBSTITUTE(TRIM('수출입 실적(품목별)'!D2170),",","")),"")</f>
        <v>39233.9</v>
      </c>
      <c r="H2166" s="19" t="n">
        <f aca="false">IFERROR(VALUE(SUBSTITUTE(TRIM('수출입 실적(품목별)'!E2170),",","")),"")</f>
        <v>8651</v>
      </c>
      <c r="I2166" s="18" t="n">
        <f aca="false">IFERROR(VALUE(SUBSTITUTE(TRIM('수출입 실적(품목별)'!F2170),",","")),"")</f>
        <v>195994.6</v>
      </c>
      <c r="J2166" s="19" t="n">
        <f aca="false">IFERROR(VALUE(SUBSTITUTE(TRIM('수출입 실적(품목별)'!G2170),",","")),"")</f>
        <v>97252</v>
      </c>
      <c r="K2166" s="19" t="n">
        <f aca="false">IFERROR(VALUE(SUBSTITUTE(TRIM('수출입 실적(품목별)'!H2170),",","")),"")</f>
        <v>-88601</v>
      </c>
    </row>
    <row r="2167" customFormat="false" ht="15" hidden="false" customHeight="true" outlineLevel="0" collapsed="false">
      <c r="A2167" s="11" t="str">
        <f aca="false">TRIM('수출입 실적(품목별)'!A2171)</f>
        <v>2025.11</v>
      </c>
      <c r="B2167" s="17" t="n">
        <f aca="false">IFERROR(VALUE(LEFT($A2167,4)),"")</f>
        <v>2025</v>
      </c>
      <c r="C2167" s="17" t="n">
        <f aca="false">IFERROR(VALUE(RIGHT($A2167,2)),"")</f>
        <v>11</v>
      </c>
      <c r="D2167" s="17" t="n">
        <f aca="false">IFERROR(ROUNDUP($C2167/3,0),"")</f>
        <v>4</v>
      </c>
      <c r="E2167" s="11" t="str">
        <f aca="false">TRIM('수출입 실적(품목별)'!B2171)</f>
        <v>48</v>
      </c>
      <c r="F2167" s="11" t="str">
        <f aca="false">TRIM('수출입 실적(품목별)'!C2171)</f>
        <v>종이와 판지, 제지용 펄프ㆍ종이ㆍ판지의 제품</v>
      </c>
      <c r="G2167" s="18" t="n">
        <f aca="false">IFERROR(VALUE(SUBSTITUTE(TRIM('수출입 실적(품목별)'!D2171),",","")),"")</f>
        <v>215817.9</v>
      </c>
      <c r="H2167" s="19" t="n">
        <f aca="false">IFERROR(VALUE(SUBSTITUTE(TRIM('수출입 실적(품목별)'!E2171),",","")),"")</f>
        <v>205343</v>
      </c>
      <c r="I2167" s="18" t="n">
        <f aca="false">IFERROR(VALUE(SUBSTITUTE(TRIM('수출입 실적(품목별)'!F2171),",","")),"")</f>
        <v>120582.4</v>
      </c>
      <c r="J2167" s="19" t="n">
        <f aca="false">IFERROR(VALUE(SUBSTITUTE(TRIM('수출입 실적(품목별)'!G2171),",","")),"")</f>
        <v>178773</v>
      </c>
      <c r="K2167" s="19" t="n">
        <f aca="false">IFERROR(VALUE(SUBSTITUTE(TRIM('수출입 실적(품목별)'!H2171),",","")),"")</f>
        <v>26571</v>
      </c>
    </row>
    <row r="2168" customFormat="false" ht="15" hidden="false" customHeight="true" outlineLevel="0" collapsed="false">
      <c r="A2168" s="11" t="str">
        <f aca="false">TRIM('수출입 실적(품목별)'!A2172)</f>
        <v>2025.11</v>
      </c>
      <c r="B2168" s="17" t="n">
        <f aca="false">IFERROR(VALUE(LEFT($A2168,4)),"")</f>
        <v>2025</v>
      </c>
      <c r="C2168" s="17" t="n">
        <f aca="false">IFERROR(VALUE(RIGHT($A2168,2)),"")</f>
        <v>11</v>
      </c>
      <c r="D2168" s="17" t="n">
        <f aca="false">IFERROR(ROUNDUP($C2168/3,0),"")</f>
        <v>4</v>
      </c>
      <c r="E2168" s="11" t="str">
        <f aca="false">TRIM('수출입 실적(품목별)'!B2172)</f>
        <v>49</v>
      </c>
      <c r="F2168" s="11" t="str">
        <f aca="false">TRIM('수출입 실적(품목별)'!C2172)</f>
        <v>인쇄서적ㆍ신문ㆍ회화ㆍ그 밖의 인쇄물, 수제(手製)문서ㆍ타자문서ㆍ도면</v>
      </c>
      <c r="G2168" s="18" t="n">
        <f aca="false">IFERROR(VALUE(SUBSTITUTE(TRIM('수출입 실적(품목별)'!D2172),",","")),"")</f>
        <v>2377.3</v>
      </c>
      <c r="H2168" s="19" t="n">
        <f aca="false">IFERROR(VALUE(SUBSTITUTE(TRIM('수출입 실적(품목별)'!E2172),",","")),"")</f>
        <v>25234</v>
      </c>
      <c r="I2168" s="18" t="n">
        <f aca="false">IFERROR(VALUE(SUBSTITUTE(TRIM('수출입 실적(품목별)'!F2172),",","")),"")</f>
        <v>1171.1</v>
      </c>
      <c r="J2168" s="19" t="n">
        <f aca="false">IFERROR(VALUE(SUBSTITUTE(TRIM('수출입 실적(품목별)'!G2172),",","")),"")</f>
        <v>20707</v>
      </c>
      <c r="K2168" s="19" t="n">
        <f aca="false">IFERROR(VALUE(SUBSTITUTE(TRIM('수출입 실적(품목별)'!H2172),",","")),"")</f>
        <v>4527</v>
      </c>
    </row>
    <row r="2169" customFormat="false" ht="15" hidden="false" customHeight="true" outlineLevel="0" collapsed="false">
      <c r="A2169" s="11" t="str">
        <f aca="false">TRIM('수출입 실적(품목별)'!A2173)</f>
        <v>2025.11</v>
      </c>
      <c r="B2169" s="17" t="n">
        <f aca="false">IFERROR(VALUE(LEFT($A2169,4)),"")</f>
        <v>2025</v>
      </c>
      <c r="C2169" s="17" t="n">
        <f aca="false">IFERROR(VALUE(RIGHT($A2169,2)),"")</f>
        <v>11</v>
      </c>
      <c r="D2169" s="17" t="n">
        <f aca="false">IFERROR(ROUNDUP($C2169/3,0),"")</f>
        <v>4</v>
      </c>
      <c r="E2169" s="11" t="str">
        <f aca="false">TRIM('수출입 실적(품목별)'!B2173)</f>
        <v>50</v>
      </c>
      <c r="F2169" s="11" t="str">
        <f aca="false">TRIM('수출입 실적(품목별)'!C2173)</f>
        <v>견</v>
      </c>
      <c r="G2169" s="18" t="n">
        <f aca="false">IFERROR(VALUE(SUBSTITUTE(TRIM('수출입 실적(품목별)'!D2173),",","")),"")</f>
        <v>9.8</v>
      </c>
      <c r="H2169" s="19" t="n">
        <f aca="false">IFERROR(VALUE(SUBSTITUTE(TRIM('수출입 실적(품목별)'!E2173),",","")),"")</f>
        <v>1589</v>
      </c>
      <c r="I2169" s="18" t="n">
        <f aca="false">IFERROR(VALUE(SUBSTITUTE(TRIM('수출입 실적(품목별)'!F2173),",","")),"")</f>
        <v>25.7</v>
      </c>
      <c r="J2169" s="19" t="n">
        <f aca="false">IFERROR(VALUE(SUBSTITUTE(TRIM('수출입 실적(품목별)'!G2173),",","")),"")</f>
        <v>2328</v>
      </c>
      <c r="K2169" s="19" t="n">
        <f aca="false">IFERROR(VALUE(SUBSTITUTE(TRIM('수출입 실적(품목별)'!H2173),",","")),"")</f>
        <v>-739</v>
      </c>
    </row>
    <row r="2170" customFormat="false" ht="15" hidden="false" customHeight="true" outlineLevel="0" collapsed="false">
      <c r="A2170" s="11" t="str">
        <f aca="false">TRIM('수출입 실적(품목별)'!A2174)</f>
        <v>2025.11</v>
      </c>
      <c r="B2170" s="17" t="n">
        <f aca="false">IFERROR(VALUE(LEFT($A2170,4)),"")</f>
        <v>2025</v>
      </c>
      <c r="C2170" s="17" t="n">
        <f aca="false">IFERROR(VALUE(RIGHT($A2170,2)),"")</f>
        <v>11</v>
      </c>
      <c r="D2170" s="17" t="n">
        <f aca="false">IFERROR(ROUNDUP($C2170/3,0),"")</f>
        <v>4</v>
      </c>
      <c r="E2170" s="11" t="str">
        <f aca="false">TRIM('수출입 실적(품목별)'!B2174)</f>
        <v>51</v>
      </c>
      <c r="F2170" s="11" t="str">
        <f aca="false">TRIM('수출입 실적(품목별)'!C2174)</f>
        <v>양모ㆍ동물의 부드러운 털이나 거친 털ㆍ말의 털로 만든 실과 직물</v>
      </c>
      <c r="G2170" s="18" t="n">
        <f aca="false">IFERROR(VALUE(SUBSTITUTE(TRIM('수출입 실적(품목별)'!D2174),",","")),"")</f>
        <v>120.8</v>
      </c>
      <c r="H2170" s="19" t="n">
        <f aca="false">IFERROR(VALUE(SUBSTITUTE(TRIM('수출입 실적(품목별)'!E2174),",","")),"")</f>
        <v>2313</v>
      </c>
      <c r="I2170" s="18" t="n">
        <f aca="false">IFERROR(VALUE(SUBSTITUTE(TRIM('수출입 실적(품목별)'!F2174),",","")),"")</f>
        <v>720.4</v>
      </c>
      <c r="J2170" s="19" t="n">
        <f aca="false">IFERROR(VALUE(SUBSTITUTE(TRIM('수출입 실적(품목별)'!G2174),",","")),"")</f>
        <v>14897</v>
      </c>
      <c r="K2170" s="19" t="n">
        <f aca="false">IFERROR(VALUE(SUBSTITUTE(TRIM('수출입 실적(품목별)'!H2174),",","")),"")</f>
        <v>-12584</v>
      </c>
    </row>
    <row r="2171" customFormat="false" ht="15" hidden="false" customHeight="true" outlineLevel="0" collapsed="false">
      <c r="A2171" s="11" t="str">
        <f aca="false">TRIM('수출입 실적(품목별)'!A2175)</f>
        <v>2025.11</v>
      </c>
      <c r="B2171" s="17" t="n">
        <f aca="false">IFERROR(VALUE(LEFT($A2171,4)),"")</f>
        <v>2025</v>
      </c>
      <c r="C2171" s="17" t="n">
        <f aca="false">IFERROR(VALUE(RIGHT($A2171,2)),"")</f>
        <v>11</v>
      </c>
      <c r="D2171" s="17" t="n">
        <f aca="false">IFERROR(ROUNDUP($C2171/3,0),"")</f>
        <v>4</v>
      </c>
      <c r="E2171" s="11" t="str">
        <f aca="false">TRIM('수출입 실적(품목별)'!B2175)</f>
        <v>52</v>
      </c>
      <c r="F2171" s="11" t="str">
        <f aca="false">TRIM('수출입 실적(품목별)'!C2175)</f>
        <v>면</v>
      </c>
      <c r="G2171" s="18" t="n">
        <f aca="false">IFERROR(VALUE(SUBSTITUTE(TRIM('수출입 실적(품목별)'!D2175),",","")),"")</f>
        <v>2886.5</v>
      </c>
      <c r="H2171" s="19" t="n">
        <f aca="false">IFERROR(VALUE(SUBSTITUTE(TRIM('수출입 실적(품목별)'!E2175),",","")),"")</f>
        <v>22927</v>
      </c>
      <c r="I2171" s="18" t="n">
        <f aca="false">IFERROR(VALUE(SUBSTITUTE(TRIM('수출입 실적(품목별)'!F2175),",","")),"")</f>
        <v>17247.4</v>
      </c>
      <c r="J2171" s="19" t="n">
        <f aca="false">IFERROR(VALUE(SUBSTITUTE(TRIM('수출입 실적(품목별)'!G2175),",","")),"")</f>
        <v>51437</v>
      </c>
      <c r="K2171" s="19" t="n">
        <f aca="false">IFERROR(VALUE(SUBSTITUTE(TRIM('수출입 실적(품목별)'!H2175),",","")),"")</f>
        <v>-28510</v>
      </c>
    </row>
    <row r="2172" customFormat="false" ht="15" hidden="false" customHeight="true" outlineLevel="0" collapsed="false">
      <c r="A2172" s="11" t="str">
        <f aca="false">TRIM('수출입 실적(품목별)'!A2176)</f>
        <v>2025.11</v>
      </c>
      <c r="B2172" s="17" t="n">
        <f aca="false">IFERROR(VALUE(LEFT($A2172,4)),"")</f>
        <v>2025</v>
      </c>
      <c r="C2172" s="17" t="n">
        <f aca="false">IFERROR(VALUE(RIGHT($A2172,2)),"")</f>
        <v>11</v>
      </c>
      <c r="D2172" s="17" t="n">
        <f aca="false">IFERROR(ROUNDUP($C2172/3,0),"")</f>
        <v>4</v>
      </c>
      <c r="E2172" s="11" t="str">
        <f aca="false">TRIM('수출입 실적(품목별)'!B2176)</f>
        <v>53</v>
      </c>
      <c r="F2172" s="11" t="str">
        <f aca="false">TRIM('수출입 실적(품목별)'!C2176)</f>
        <v>그 밖의 식물성 방직용 섬유, 종이실(paper yarn)과 종이실로 만든 직물</v>
      </c>
      <c r="G2172" s="18" t="n">
        <f aca="false">IFERROR(VALUE(SUBSTITUTE(TRIM('수출입 실적(품목별)'!D2176),",","")),"")</f>
        <v>36.6</v>
      </c>
      <c r="H2172" s="19" t="n">
        <f aca="false">IFERROR(VALUE(SUBSTITUTE(TRIM('수출입 실적(품목별)'!E2176),",","")),"")</f>
        <v>766</v>
      </c>
      <c r="I2172" s="18" t="n">
        <f aca="false">IFERROR(VALUE(SUBSTITUTE(TRIM('수출입 실적(품목별)'!F2176),",","")),"")</f>
        <v>698.3</v>
      </c>
      <c r="J2172" s="19" t="n">
        <f aca="false">IFERROR(VALUE(SUBSTITUTE(TRIM('수출입 실적(품목별)'!G2176),",","")),"")</f>
        <v>3687</v>
      </c>
      <c r="K2172" s="19" t="n">
        <f aca="false">IFERROR(VALUE(SUBSTITUTE(TRIM('수출입 실적(품목별)'!H2176),",","")),"")</f>
        <v>-2921</v>
      </c>
    </row>
    <row r="2173" customFormat="false" ht="15" hidden="false" customHeight="true" outlineLevel="0" collapsed="false">
      <c r="A2173" s="11" t="str">
        <f aca="false">TRIM('수출입 실적(품목별)'!A2177)</f>
        <v>2025.11</v>
      </c>
      <c r="B2173" s="17" t="n">
        <f aca="false">IFERROR(VALUE(LEFT($A2173,4)),"")</f>
        <v>2025</v>
      </c>
      <c r="C2173" s="17" t="n">
        <f aca="false">IFERROR(VALUE(RIGHT($A2173,2)),"")</f>
        <v>11</v>
      </c>
      <c r="D2173" s="17" t="n">
        <f aca="false">IFERROR(ROUNDUP($C2173/3,0),"")</f>
        <v>4</v>
      </c>
      <c r="E2173" s="11" t="str">
        <f aca="false">TRIM('수출입 실적(품목별)'!B2177)</f>
        <v>54</v>
      </c>
      <c r="F2173" s="11" t="str">
        <f aca="false">TRIM('수출입 실적(품목별)'!C2177)</f>
        <v>인조필라멘트, 인조방직용 섬유재료의 스트립(strip)과 이와 유사한 것</v>
      </c>
      <c r="G2173" s="18" t="n">
        <f aca="false">IFERROR(VALUE(SUBSTITUTE(TRIM('수출입 실적(품목별)'!D2177),",","")),"")</f>
        <v>22359.8</v>
      </c>
      <c r="H2173" s="19" t="n">
        <f aca="false">IFERROR(VALUE(SUBSTITUTE(TRIM('수출입 실적(품목별)'!E2177),",","")),"")</f>
        <v>150650</v>
      </c>
      <c r="I2173" s="18" t="n">
        <f aca="false">IFERROR(VALUE(SUBSTITUTE(TRIM('수출입 실적(품목별)'!F2177),",","")),"")</f>
        <v>34916.7</v>
      </c>
      <c r="J2173" s="19" t="n">
        <f aca="false">IFERROR(VALUE(SUBSTITUTE(TRIM('수출입 실적(품목별)'!G2177),",","")),"")</f>
        <v>77524</v>
      </c>
      <c r="K2173" s="19" t="n">
        <f aca="false">IFERROR(VALUE(SUBSTITUTE(TRIM('수출입 실적(품목별)'!H2177),",","")),"")</f>
        <v>73126</v>
      </c>
    </row>
    <row r="2174" customFormat="false" ht="15" hidden="false" customHeight="true" outlineLevel="0" collapsed="false">
      <c r="A2174" s="11" t="str">
        <f aca="false">TRIM('수출입 실적(품목별)'!A2178)</f>
        <v>2025.11</v>
      </c>
      <c r="B2174" s="17" t="n">
        <f aca="false">IFERROR(VALUE(LEFT($A2174,4)),"")</f>
        <v>2025</v>
      </c>
      <c r="C2174" s="17" t="n">
        <f aca="false">IFERROR(VALUE(RIGHT($A2174,2)),"")</f>
        <v>11</v>
      </c>
      <c r="D2174" s="17" t="n">
        <f aca="false">IFERROR(ROUNDUP($C2174/3,0),"")</f>
        <v>4</v>
      </c>
      <c r="E2174" s="11" t="str">
        <f aca="false">TRIM('수출입 실적(품목별)'!B2178)</f>
        <v>55</v>
      </c>
      <c r="F2174" s="11" t="str">
        <f aca="false">TRIM('수출입 실적(품목별)'!C2178)</f>
        <v>인조스테이플섬유</v>
      </c>
      <c r="G2174" s="18" t="n">
        <f aca="false">IFERROR(VALUE(SUBSTITUTE(TRIM('수출입 실적(품목별)'!D2178),",","")),"")</f>
        <v>52125.5</v>
      </c>
      <c r="H2174" s="19" t="n">
        <f aca="false">IFERROR(VALUE(SUBSTITUTE(TRIM('수출입 실적(품목별)'!E2178),",","")),"")</f>
        <v>93801</v>
      </c>
      <c r="I2174" s="18" t="n">
        <f aca="false">IFERROR(VALUE(SUBSTITUTE(TRIM('수출입 실적(품목별)'!F2178),",","")),"")</f>
        <v>13891.8</v>
      </c>
      <c r="J2174" s="19" t="n">
        <f aca="false">IFERROR(VALUE(SUBSTITUTE(TRIM('수출입 실적(품목별)'!G2178),",","")),"")</f>
        <v>47040</v>
      </c>
      <c r="K2174" s="19" t="n">
        <f aca="false">IFERROR(VALUE(SUBSTITUTE(TRIM('수출입 실적(품목별)'!H2178),",","")),"")</f>
        <v>46761</v>
      </c>
    </row>
    <row r="2175" customFormat="false" ht="15" hidden="false" customHeight="true" outlineLevel="0" collapsed="false">
      <c r="A2175" s="11" t="str">
        <f aca="false">TRIM('수출입 실적(품목별)'!A2179)</f>
        <v>2025.11</v>
      </c>
      <c r="B2175" s="17" t="n">
        <f aca="false">IFERROR(VALUE(LEFT($A2175,4)),"")</f>
        <v>2025</v>
      </c>
      <c r="C2175" s="17" t="n">
        <f aca="false">IFERROR(VALUE(RIGHT($A2175,2)),"")</f>
        <v>11</v>
      </c>
      <c r="D2175" s="17" t="n">
        <f aca="false">IFERROR(ROUNDUP($C2175/3,0),"")</f>
        <v>4</v>
      </c>
      <c r="E2175" s="11" t="str">
        <f aca="false">TRIM('수출입 실적(품목별)'!B2179)</f>
        <v>56</v>
      </c>
      <c r="F2175" s="11" t="str">
        <f aca="false">TRIM('수출입 실적(품목별)'!C2179)</f>
        <v>워딩(wadding)ㆍ펠트(felt)ㆍ부직포, 특수사, 끈ㆍ배의 밧줄(cordage)ㆍ로프ㆍ케이블과 이들의 제품</v>
      </c>
      <c r="G2175" s="18" t="n">
        <f aca="false">IFERROR(VALUE(SUBSTITUTE(TRIM('수출입 실적(품목별)'!D2179),",","")),"")</f>
        <v>10090.6</v>
      </c>
      <c r="H2175" s="19" t="n">
        <f aca="false">IFERROR(VALUE(SUBSTITUTE(TRIM('수출입 실적(품목별)'!E2179),",","")),"")</f>
        <v>59769</v>
      </c>
      <c r="I2175" s="18" t="n">
        <f aca="false">IFERROR(VALUE(SUBSTITUTE(TRIM('수출입 실적(품목별)'!F2179),",","")),"")</f>
        <v>17560.6</v>
      </c>
      <c r="J2175" s="19" t="n">
        <f aca="false">IFERROR(VALUE(SUBSTITUTE(TRIM('수출입 실적(품목별)'!G2179),",","")),"")</f>
        <v>54893</v>
      </c>
      <c r="K2175" s="19" t="n">
        <f aca="false">IFERROR(VALUE(SUBSTITUTE(TRIM('수출입 실적(품목별)'!H2179),",","")),"")</f>
        <v>4876</v>
      </c>
    </row>
    <row r="2176" customFormat="false" ht="15" hidden="false" customHeight="true" outlineLevel="0" collapsed="false">
      <c r="A2176" s="11" t="str">
        <f aca="false">TRIM('수출입 실적(품목별)'!A2180)</f>
        <v>2025.11</v>
      </c>
      <c r="B2176" s="17" t="n">
        <f aca="false">IFERROR(VALUE(LEFT($A2176,4)),"")</f>
        <v>2025</v>
      </c>
      <c r="C2176" s="17" t="n">
        <f aca="false">IFERROR(VALUE(RIGHT($A2176,2)),"")</f>
        <v>11</v>
      </c>
      <c r="D2176" s="17" t="n">
        <f aca="false">IFERROR(ROUNDUP($C2176/3,0),"")</f>
        <v>4</v>
      </c>
      <c r="E2176" s="11" t="str">
        <f aca="false">TRIM('수출입 실적(품목별)'!B2180)</f>
        <v>57</v>
      </c>
      <c r="F2176" s="11" t="str">
        <f aca="false">TRIM('수출입 실적(품목별)'!C2180)</f>
        <v>양탄자류와 그 밖의 방직용 섬유로 만든 바닥깔개</v>
      </c>
      <c r="G2176" s="18" t="n">
        <f aca="false">IFERROR(VALUE(SUBSTITUTE(TRIM('수출입 실적(품목별)'!D2180),",","")),"")</f>
        <v>499.8</v>
      </c>
      <c r="H2176" s="19" t="n">
        <f aca="false">IFERROR(VALUE(SUBSTITUTE(TRIM('수출입 실적(품목별)'!E2180),",","")),"")</f>
        <v>4549</v>
      </c>
      <c r="I2176" s="18" t="n">
        <f aca="false">IFERROR(VALUE(SUBSTITUTE(TRIM('수출입 실적(품목별)'!F2180),",","")),"")</f>
        <v>5725.6</v>
      </c>
      <c r="J2176" s="19" t="n">
        <f aca="false">IFERROR(VALUE(SUBSTITUTE(TRIM('수출입 실적(품목별)'!G2180),",","")),"")</f>
        <v>9908</v>
      </c>
      <c r="K2176" s="19" t="n">
        <f aca="false">IFERROR(VALUE(SUBSTITUTE(TRIM('수출입 실적(품목별)'!H2180),",","")),"")</f>
        <v>-5358</v>
      </c>
    </row>
    <row r="2177" customFormat="false" ht="15" hidden="false" customHeight="true" outlineLevel="0" collapsed="false">
      <c r="A2177" s="11" t="str">
        <f aca="false">TRIM('수출입 실적(품목별)'!A2181)</f>
        <v>2025.11</v>
      </c>
      <c r="B2177" s="17" t="n">
        <f aca="false">IFERROR(VALUE(LEFT($A2177,4)),"")</f>
        <v>2025</v>
      </c>
      <c r="C2177" s="17" t="n">
        <f aca="false">IFERROR(VALUE(RIGHT($A2177,2)),"")</f>
        <v>11</v>
      </c>
      <c r="D2177" s="17" t="n">
        <f aca="false">IFERROR(ROUNDUP($C2177/3,0),"")</f>
        <v>4</v>
      </c>
      <c r="E2177" s="11" t="str">
        <f aca="false">TRIM('수출입 실적(품목별)'!B2181)</f>
        <v>58</v>
      </c>
      <c r="F2177" s="11" t="str">
        <f aca="false">TRIM('수출입 실적(품목별)'!C2181)</f>
        <v>특수직물, 터프트(tuft)한 직물, 레이스, 태피스트리(tapestry), 트리밍(trimming), 자수천</v>
      </c>
      <c r="G2177" s="18" t="n">
        <f aca="false">IFERROR(VALUE(SUBSTITUTE(TRIM('수출입 실적(품목별)'!D2181),",","")),"")</f>
        <v>1116.4</v>
      </c>
      <c r="H2177" s="19" t="n">
        <f aca="false">IFERROR(VALUE(SUBSTITUTE(TRIM('수출입 실적(품목별)'!E2181),",","")),"")</f>
        <v>15784</v>
      </c>
      <c r="I2177" s="18" t="n">
        <f aca="false">IFERROR(VALUE(SUBSTITUTE(TRIM('수출입 실적(품목별)'!F2181),",","")),"")</f>
        <v>1328.4</v>
      </c>
      <c r="J2177" s="19" t="n">
        <f aca="false">IFERROR(VALUE(SUBSTITUTE(TRIM('수출입 실적(품목별)'!G2181),",","")),"")</f>
        <v>8652</v>
      </c>
      <c r="K2177" s="19" t="n">
        <f aca="false">IFERROR(VALUE(SUBSTITUTE(TRIM('수출입 실적(품목별)'!H2181),",","")),"")</f>
        <v>7133</v>
      </c>
    </row>
    <row r="2178" customFormat="false" ht="15" hidden="false" customHeight="true" outlineLevel="0" collapsed="false">
      <c r="A2178" s="11" t="str">
        <f aca="false">TRIM('수출입 실적(품목별)'!A2182)</f>
        <v>2025.11</v>
      </c>
      <c r="B2178" s="17" t="n">
        <f aca="false">IFERROR(VALUE(LEFT($A2178,4)),"")</f>
        <v>2025</v>
      </c>
      <c r="C2178" s="17" t="n">
        <f aca="false">IFERROR(VALUE(RIGHT($A2178,2)),"")</f>
        <v>11</v>
      </c>
      <c r="D2178" s="17" t="n">
        <f aca="false">IFERROR(ROUNDUP($C2178/3,0),"")</f>
        <v>4</v>
      </c>
      <c r="E2178" s="11" t="str">
        <f aca="false">TRIM('수출입 실적(품목별)'!B2182)</f>
        <v>59</v>
      </c>
      <c r="F2178" s="11" t="str">
        <f aca="false">TRIM('수출입 실적(품목별)'!C2182)</f>
        <v>침투ㆍ도포ㆍ피복하거나 적층한 방직용 섬유의 직물, 공업용인 방직용 섬유제품</v>
      </c>
      <c r="G2178" s="18" t="n">
        <f aca="false">IFERROR(VALUE(SUBSTITUTE(TRIM('수출입 실적(품목별)'!D2182),",","")),"")</f>
        <v>8072.2</v>
      </c>
      <c r="H2178" s="19" t="n">
        <f aca="false">IFERROR(VALUE(SUBSTITUTE(TRIM('수출입 실적(품목별)'!E2182),",","")),"")</f>
        <v>86040</v>
      </c>
      <c r="I2178" s="18" t="n">
        <f aca="false">IFERROR(VALUE(SUBSTITUTE(TRIM('수출입 실적(품목별)'!F2182),",","")),"")</f>
        <v>5530.1</v>
      </c>
      <c r="J2178" s="19" t="n">
        <f aca="false">IFERROR(VALUE(SUBSTITUTE(TRIM('수출입 실적(품목별)'!G2182),",","")),"")</f>
        <v>30843</v>
      </c>
      <c r="K2178" s="19" t="n">
        <f aca="false">IFERROR(VALUE(SUBSTITUTE(TRIM('수출입 실적(품목별)'!H2182),",","")),"")</f>
        <v>55197</v>
      </c>
    </row>
    <row r="2179" customFormat="false" ht="15" hidden="false" customHeight="true" outlineLevel="0" collapsed="false">
      <c r="A2179" s="11" t="str">
        <f aca="false">TRIM('수출입 실적(품목별)'!A2183)</f>
        <v>2025.11</v>
      </c>
      <c r="B2179" s="17" t="n">
        <f aca="false">IFERROR(VALUE(LEFT($A2179,4)),"")</f>
        <v>2025</v>
      </c>
      <c r="C2179" s="17" t="n">
        <f aca="false">IFERROR(VALUE(RIGHT($A2179,2)),"")</f>
        <v>11</v>
      </c>
      <c r="D2179" s="17" t="n">
        <f aca="false">IFERROR(ROUNDUP($C2179/3,0),"")</f>
        <v>4</v>
      </c>
      <c r="E2179" s="11" t="str">
        <f aca="false">TRIM('수출입 실적(품목별)'!B2183)</f>
        <v>60</v>
      </c>
      <c r="F2179" s="11" t="str">
        <f aca="false">TRIM('수출입 실적(품목별)'!C2183)</f>
        <v>메리야스 편물과 뜨개질 편물</v>
      </c>
      <c r="G2179" s="18" t="n">
        <f aca="false">IFERROR(VALUE(SUBSTITUTE(TRIM('수출입 실적(품목별)'!D2183),",","")),"")</f>
        <v>14680.5</v>
      </c>
      <c r="H2179" s="19" t="n">
        <f aca="false">IFERROR(VALUE(SUBSTITUTE(TRIM('수출입 실적(품목별)'!E2183),",","")),"")</f>
        <v>114830</v>
      </c>
      <c r="I2179" s="18" t="n">
        <f aca="false">IFERROR(VALUE(SUBSTITUTE(TRIM('수출입 실적(품목별)'!F2183),",","")),"")</f>
        <v>2241.5</v>
      </c>
      <c r="J2179" s="19" t="n">
        <f aca="false">IFERROR(VALUE(SUBSTITUTE(TRIM('수출입 실적(품목별)'!G2183),",","")),"")</f>
        <v>9841</v>
      </c>
      <c r="K2179" s="19" t="n">
        <f aca="false">IFERROR(VALUE(SUBSTITUTE(TRIM('수출입 실적(품목별)'!H2183),",","")),"")</f>
        <v>104988</v>
      </c>
    </row>
    <row r="2180" customFormat="false" ht="15" hidden="false" customHeight="true" outlineLevel="0" collapsed="false">
      <c r="A2180" s="11" t="str">
        <f aca="false">TRIM('수출입 실적(품목별)'!A2184)</f>
        <v>2025.11</v>
      </c>
      <c r="B2180" s="17" t="n">
        <f aca="false">IFERROR(VALUE(LEFT($A2180,4)),"")</f>
        <v>2025</v>
      </c>
      <c r="C2180" s="17" t="n">
        <f aca="false">IFERROR(VALUE(RIGHT($A2180,2)),"")</f>
        <v>11</v>
      </c>
      <c r="D2180" s="17" t="n">
        <f aca="false">IFERROR(ROUNDUP($C2180/3,0),"")</f>
        <v>4</v>
      </c>
      <c r="E2180" s="11" t="str">
        <f aca="false">TRIM('수출입 실적(품목별)'!B2184)</f>
        <v>61</v>
      </c>
      <c r="F2180" s="11" t="str">
        <f aca="false">TRIM('수출입 실적(품목별)'!C2184)</f>
        <v>의류와 그 부속품(메리야스 편물이나 뜨개질 편물로 한정한다)</v>
      </c>
      <c r="G2180" s="18" t="n">
        <f aca="false">IFERROR(VALUE(SUBSTITUTE(TRIM('수출입 실적(품목별)'!D2184),",","")),"")</f>
        <v>2800.6</v>
      </c>
      <c r="H2180" s="19" t="n">
        <f aca="false">IFERROR(VALUE(SUBSTITUTE(TRIM('수출입 실적(품목별)'!E2184),",","")),"")</f>
        <v>73679</v>
      </c>
      <c r="I2180" s="18" t="n">
        <f aca="false">IFERROR(VALUE(SUBSTITUTE(TRIM('수출입 실적(품목별)'!F2184),",","")),"")</f>
        <v>25597.3</v>
      </c>
      <c r="J2180" s="19" t="n">
        <f aca="false">IFERROR(VALUE(SUBSTITUTE(TRIM('수출입 실적(품목별)'!G2184),",","")),"")</f>
        <v>402630</v>
      </c>
      <c r="K2180" s="19" t="n">
        <f aca="false">IFERROR(VALUE(SUBSTITUTE(TRIM('수출입 실적(품목별)'!H2184),",","")),"")</f>
        <v>-328951</v>
      </c>
    </row>
    <row r="2181" customFormat="false" ht="15" hidden="false" customHeight="true" outlineLevel="0" collapsed="false">
      <c r="A2181" s="11" t="str">
        <f aca="false">TRIM('수출입 실적(품목별)'!A2185)</f>
        <v>2025.11</v>
      </c>
      <c r="B2181" s="17" t="n">
        <f aca="false">IFERROR(VALUE(LEFT($A2181,4)),"")</f>
        <v>2025</v>
      </c>
      <c r="C2181" s="17" t="n">
        <f aca="false">IFERROR(VALUE(RIGHT($A2181,2)),"")</f>
        <v>11</v>
      </c>
      <c r="D2181" s="17" t="n">
        <f aca="false">IFERROR(ROUNDUP($C2181/3,0),"")</f>
        <v>4</v>
      </c>
      <c r="E2181" s="11" t="str">
        <f aca="false">TRIM('수출입 실적(품목별)'!B2185)</f>
        <v>62</v>
      </c>
      <c r="F2181" s="11" t="str">
        <f aca="false">TRIM('수출입 실적(품목별)'!C2185)</f>
        <v>의류와 그 부속품(메리야스 편물이나 뜨개질편물은 제외한다)</v>
      </c>
      <c r="G2181" s="18" t="n">
        <f aca="false">IFERROR(VALUE(SUBSTITUTE(TRIM('수출입 실적(품목별)'!D2185),",","")),"")</f>
        <v>4005.8</v>
      </c>
      <c r="H2181" s="19" t="n">
        <f aca="false">IFERROR(VALUE(SUBSTITUTE(TRIM('수출입 실적(품목별)'!E2185),",","")),"")</f>
        <v>108877</v>
      </c>
      <c r="I2181" s="18" t="n">
        <f aca="false">IFERROR(VALUE(SUBSTITUTE(TRIM('수출입 실적(품목별)'!F2185),",","")),"")</f>
        <v>23063.7</v>
      </c>
      <c r="J2181" s="19" t="n">
        <f aca="false">IFERROR(VALUE(SUBSTITUTE(TRIM('수출입 실적(품목별)'!G2185),",","")),"")</f>
        <v>521433</v>
      </c>
      <c r="K2181" s="19" t="n">
        <f aca="false">IFERROR(VALUE(SUBSTITUTE(TRIM('수출입 실적(품목별)'!H2185),",","")),"")</f>
        <v>-412556</v>
      </c>
    </row>
    <row r="2182" customFormat="false" ht="15" hidden="false" customHeight="true" outlineLevel="0" collapsed="false">
      <c r="A2182" s="11" t="str">
        <f aca="false">TRIM('수출입 실적(품목별)'!A2186)</f>
        <v>2025.11</v>
      </c>
      <c r="B2182" s="17" t="n">
        <f aca="false">IFERROR(VALUE(LEFT($A2182,4)),"")</f>
        <v>2025</v>
      </c>
      <c r="C2182" s="17" t="n">
        <f aca="false">IFERROR(VALUE(RIGHT($A2182,2)),"")</f>
        <v>11</v>
      </c>
      <c r="D2182" s="17" t="n">
        <f aca="false">IFERROR(ROUNDUP($C2182/3,0),"")</f>
        <v>4</v>
      </c>
      <c r="E2182" s="11" t="str">
        <f aca="false">TRIM('수출입 실적(품목별)'!B2186)</f>
        <v>63</v>
      </c>
      <c r="F2182" s="11" t="str">
        <f aca="false">TRIM('수출입 실적(품목별)'!C2186)</f>
        <v>제품으로 된 방직용 섬유의 그 밖의 물품, 세트, 사용하던 의류ㆍ방직용 섬유제품, 넝마</v>
      </c>
      <c r="G2182" s="18" t="n">
        <f aca="false">IFERROR(VALUE(SUBSTITUTE(TRIM('수출입 실적(품목별)'!D2186),",","")),"")</f>
        <v>24824.8</v>
      </c>
      <c r="H2182" s="19" t="n">
        <f aca="false">IFERROR(VALUE(SUBSTITUTE(TRIM('수출입 실적(품목별)'!E2186),",","")),"")</f>
        <v>43988</v>
      </c>
      <c r="I2182" s="18" t="n">
        <f aca="false">IFERROR(VALUE(SUBSTITUTE(TRIM('수출입 실적(품목별)'!F2186),",","")),"")</f>
        <v>26518.2</v>
      </c>
      <c r="J2182" s="19" t="n">
        <f aca="false">IFERROR(VALUE(SUBSTITUTE(TRIM('수출입 실적(품목별)'!G2186),",","")),"")</f>
        <v>117278</v>
      </c>
      <c r="K2182" s="19" t="n">
        <f aca="false">IFERROR(VALUE(SUBSTITUTE(TRIM('수출입 실적(품목별)'!H2186),",","")),"")</f>
        <v>-73291</v>
      </c>
    </row>
    <row r="2183" customFormat="false" ht="15" hidden="false" customHeight="true" outlineLevel="0" collapsed="false">
      <c r="A2183" s="11" t="str">
        <f aca="false">TRIM('수출입 실적(품목별)'!A2187)</f>
        <v>2025.11</v>
      </c>
      <c r="B2183" s="17" t="n">
        <f aca="false">IFERROR(VALUE(LEFT($A2183,4)),"")</f>
        <v>2025</v>
      </c>
      <c r="C2183" s="17" t="n">
        <f aca="false">IFERROR(VALUE(RIGHT($A2183,2)),"")</f>
        <v>11</v>
      </c>
      <c r="D2183" s="17" t="n">
        <f aca="false">IFERROR(ROUNDUP($C2183/3,0),"")</f>
        <v>4</v>
      </c>
      <c r="E2183" s="11" t="str">
        <f aca="false">TRIM('수출입 실적(품목별)'!B2187)</f>
        <v>64</v>
      </c>
      <c r="F2183" s="11" t="str">
        <f aca="false">TRIM('수출입 실적(품목별)'!C2187)</f>
        <v>신발류ㆍ각반과 이와 유사한 것, 이들의 부분품</v>
      </c>
      <c r="G2183" s="18" t="n">
        <f aca="false">IFERROR(VALUE(SUBSTITUTE(TRIM('수출입 실적(품목별)'!D2187),",","")),"")</f>
        <v>1306.4</v>
      </c>
      <c r="H2183" s="19" t="n">
        <f aca="false">IFERROR(VALUE(SUBSTITUTE(TRIM('수출입 실적(품목별)'!E2187),",","")),"")</f>
        <v>27306</v>
      </c>
      <c r="I2183" s="18" t="n">
        <f aca="false">IFERROR(VALUE(SUBSTITUTE(TRIM('수출입 실적(품목별)'!F2187),",","")),"")</f>
        <v>10313.9</v>
      </c>
      <c r="J2183" s="19" t="n">
        <f aca="false">IFERROR(VALUE(SUBSTITUTE(TRIM('수출입 실적(품목별)'!G2187),",","")),"")</f>
        <v>249879</v>
      </c>
      <c r="K2183" s="19" t="n">
        <f aca="false">IFERROR(VALUE(SUBSTITUTE(TRIM('수출입 실적(품목별)'!H2187),",","")),"")</f>
        <v>-222573</v>
      </c>
    </row>
    <row r="2184" customFormat="false" ht="15" hidden="false" customHeight="true" outlineLevel="0" collapsed="false">
      <c r="A2184" s="11" t="str">
        <f aca="false">TRIM('수출입 실적(품목별)'!A2188)</f>
        <v>2025.11</v>
      </c>
      <c r="B2184" s="17" t="n">
        <f aca="false">IFERROR(VALUE(LEFT($A2184,4)),"")</f>
        <v>2025</v>
      </c>
      <c r="C2184" s="17" t="n">
        <f aca="false">IFERROR(VALUE(RIGHT($A2184,2)),"")</f>
        <v>11</v>
      </c>
      <c r="D2184" s="17" t="n">
        <f aca="false">IFERROR(ROUNDUP($C2184/3,0),"")</f>
        <v>4</v>
      </c>
      <c r="E2184" s="11" t="str">
        <f aca="false">TRIM('수출입 실적(품목별)'!B2188)</f>
        <v>65</v>
      </c>
      <c r="F2184" s="11" t="str">
        <f aca="false">TRIM('수출입 실적(품목별)'!C2188)</f>
        <v>모자류와 그 부분품</v>
      </c>
      <c r="G2184" s="18" t="n">
        <f aca="false">IFERROR(VALUE(SUBSTITUTE(TRIM('수출입 실적(품목별)'!D2188),",","")),"")</f>
        <v>267.8</v>
      </c>
      <c r="H2184" s="19" t="n">
        <f aca="false">IFERROR(VALUE(SUBSTITUTE(TRIM('수출입 실적(품목별)'!E2188),",","")),"")</f>
        <v>9368</v>
      </c>
      <c r="I2184" s="18" t="n">
        <f aca="false">IFERROR(VALUE(SUBSTITUTE(TRIM('수출입 실적(품목별)'!F2188),",","")),"")</f>
        <v>959.4</v>
      </c>
      <c r="J2184" s="19" t="n">
        <f aca="false">IFERROR(VALUE(SUBSTITUTE(TRIM('수출입 실적(품목별)'!G2188),",","")),"")</f>
        <v>23747</v>
      </c>
      <c r="K2184" s="19" t="n">
        <f aca="false">IFERROR(VALUE(SUBSTITUTE(TRIM('수출입 실적(품목별)'!H2188),",","")),"")</f>
        <v>-14379</v>
      </c>
    </row>
    <row r="2185" customFormat="false" ht="15" hidden="false" customHeight="true" outlineLevel="0" collapsed="false">
      <c r="A2185" s="11" t="str">
        <f aca="false">TRIM('수출입 실적(품목별)'!A2189)</f>
        <v>2025.11</v>
      </c>
      <c r="B2185" s="17" t="n">
        <f aca="false">IFERROR(VALUE(LEFT($A2185,4)),"")</f>
        <v>2025</v>
      </c>
      <c r="C2185" s="17" t="n">
        <f aca="false">IFERROR(VALUE(RIGHT($A2185,2)),"")</f>
        <v>11</v>
      </c>
      <c r="D2185" s="17" t="n">
        <f aca="false">IFERROR(ROUNDUP($C2185/3,0),"")</f>
        <v>4</v>
      </c>
      <c r="E2185" s="11" t="str">
        <f aca="false">TRIM('수출입 실적(품목별)'!B2189)</f>
        <v>66</v>
      </c>
      <c r="F2185" s="11" t="str">
        <f aca="false">TRIM('수출입 실적(품목별)'!C2189)</f>
        <v>산류(傘類)ㆍ지팡이ㆍ시트스틱(seat-stick)ㆍ채찍ㆍ승마용 채찍과 이들의 부분품</v>
      </c>
      <c r="G2185" s="18" t="n">
        <f aca="false">IFERROR(VALUE(SUBSTITUTE(TRIM('수출입 실적(품목별)'!D2189),",","")),"")</f>
        <v>5.9</v>
      </c>
      <c r="H2185" s="19" t="n">
        <f aca="false">IFERROR(VALUE(SUBSTITUTE(TRIM('수출입 실적(품목별)'!E2189),",","")),"")</f>
        <v>151</v>
      </c>
      <c r="I2185" s="18" t="n">
        <f aca="false">IFERROR(VALUE(SUBSTITUTE(TRIM('수출입 실적(품목별)'!F2189),",","")),"")</f>
        <v>883.4</v>
      </c>
      <c r="J2185" s="19" t="n">
        <f aca="false">IFERROR(VALUE(SUBSTITUTE(TRIM('수출입 실적(품목별)'!G2189),",","")),"")</f>
        <v>6338</v>
      </c>
      <c r="K2185" s="19" t="n">
        <f aca="false">IFERROR(VALUE(SUBSTITUTE(TRIM('수출입 실적(품목별)'!H2189),",","")),"")</f>
        <v>-6188</v>
      </c>
    </row>
    <row r="2186" customFormat="false" ht="15" hidden="false" customHeight="true" outlineLevel="0" collapsed="false">
      <c r="A2186" s="11" t="str">
        <f aca="false">TRIM('수출입 실적(품목별)'!A2190)</f>
        <v>2025.11</v>
      </c>
      <c r="B2186" s="17" t="n">
        <f aca="false">IFERROR(VALUE(LEFT($A2186,4)),"")</f>
        <v>2025</v>
      </c>
      <c r="C2186" s="17" t="n">
        <f aca="false">IFERROR(VALUE(RIGHT($A2186,2)),"")</f>
        <v>11</v>
      </c>
      <c r="D2186" s="17" t="n">
        <f aca="false">IFERROR(ROUNDUP($C2186/3,0),"")</f>
        <v>4</v>
      </c>
      <c r="E2186" s="11" t="str">
        <f aca="false">TRIM('수출입 실적(품목별)'!B2190)</f>
        <v>67</v>
      </c>
      <c r="F2186" s="11" t="str">
        <f aca="false">TRIM('수출입 실적(품목별)'!C2190)</f>
        <v>조제 깃털ㆍ솜털과 그 제품, 조화, 사람 머리카락으로 된 제품</v>
      </c>
      <c r="G2186" s="18" t="n">
        <f aca="false">IFERROR(VALUE(SUBSTITUTE(TRIM('수출입 실적(품목별)'!D2190),",","")),"")</f>
        <v>24.9</v>
      </c>
      <c r="H2186" s="19" t="n">
        <f aca="false">IFERROR(VALUE(SUBSTITUTE(TRIM('수출입 실적(품목별)'!E2190),",","")),"")</f>
        <v>1729</v>
      </c>
      <c r="I2186" s="18" t="n">
        <f aca="false">IFERROR(VALUE(SUBSTITUTE(TRIM('수출입 실적(품목별)'!F2190),",","")),"")</f>
        <v>429.2</v>
      </c>
      <c r="J2186" s="19" t="n">
        <f aca="false">IFERROR(VALUE(SUBSTITUTE(TRIM('수출입 실적(품목별)'!G2190),",","")),"")</f>
        <v>7501</v>
      </c>
      <c r="K2186" s="19" t="n">
        <f aca="false">IFERROR(VALUE(SUBSTITUTE(TRIM('수출입 실적(품목별)'!H2190),",","")),"")</f>
        <v>-5772</v>
      </c>
    </row>
    <row r="2187" customFormat="false" ht="15" hidden="false" customHeight="true" outlineLevel="0" collapsed="false">
      <c r="A2187" s="11" t="str">
        <f aca="false">TRIM('수출입 실적(품목별)'!A2191)</f>
        <v>2025.11</v>
      </c>
      <c r="B2187" s="17" t="n">
        <f aca="false">IFERROR(VALUE(LEFT($A2187,4)),"")</f>
        <v>2025</v>
      </c>
      <c r="C2187" s="17" t="n">
        <f aca="false">IFERROR(VALUE(RIGHT($A2187,2)),"")</f>
        <v>11</v>
      </c>
      <c r="D2187" s="17" t="n">
        <f aca="false">IFERROR(ROUNDUP($C2187/3,0),"")</f>
        <v>4</v>
      </c>
      <c r="E2187" s="11" t="str">
        <f aca="false">TRIM('수출입 실적(품목별)'!B2191)</f>
        <v>68</v>
      </c>
      <c r="F2187" s="11" t="str">
        <f aca="false">TRIM('수출입 실적(품목별)'!C2191)</f>
        <v>돌ㆍ플라스터(plaster)ㆍ시멘트ㆍ석면ㆍ운모나 이와 유사한 재료의 제품</v>
      </c>
      <c r="G2187" s="18" t="n">
        <f aca="false">IFERROR(VALUE(SUBSTITUTE(TRIM('수출입 실적(품목별)'!D2191),",","")),"")</f>
        <v>11140.2</v>
      </c>
      <c r="H2187" s="19" t="n">
        <f aca="false">IFERROR(VALUE(SUBSTITUTE(TRIM('수출입 실적(품목별)'!E2191),",","")),"")</f>
        <v>77557</v>
      </c>
      <c r="I2187" s="18" t="n">
        <f aca="false">IFERROR(VALUE(SUBSTITUTE(TRIM('수출입 실적(품목별)'!F2191),",","")),"")</f>
        <v>180027.9</v>
      </c>
      <c r="J2187" s="19" t="n">
        <f aca="false">IFERROR(VALUE(SUBSTITUTE(TRIM('수출입 실적(품목별)'!G2191),",","")),"")</f>
        <v>103074</v>
      </c>
      <c r="K2187" s="19" t="n">
        <f aca="false">IFERROR(VALUE(SUBSTITUTE(TRIM('수출입 실적(품목별)'!H2191),",","")),"")</f>
        <v>-25517</v>
      </c>
    </row>
    <row r="2188" customFormat="false" ht="15" hidden="false" customHeight="true" outlineLevel="0" collapsed="false">
      <c r="A2188" s="11" t="str">
        <f aca="false">TRIM('수출입 실적(품목별)'!A2192)</f>
        <v>2025.11</v>
      </c>
      <c r="B2188" s="17" t="n">
        <f aca="false">IFERROR(VALUE(LEFT($A2188,4)),"")</f>
        <v>2025</v>
      </c>
      <c r="C2188" s="17" t="n">
        <f aca="false">IFERROR(VALUE(RIGHT($A2188,2)),"")</f>
        <v>11</v>
      </c>
      <c r="D2188" s="17" t="n">
        <f aca="false">IFERROR(ROUNDUP($C2188/3,0),"")</f>
        <v>4</v>
      </c>
      <c r="E2188" s="11" t="str">
        <f aca="false">TRIM('수출입 실적(품목별)'!B2192)</f>
        <v>69</v>
      </c>
      <c r="F2188" s="11" t="str">
        <f aca="false">TRIM('수출입 실적(품목별)'!C2192)</f>
        <v>도자제품</v>
      </c>
      <c r="G2188" s="18" t="n">
        <f aca="false">IFERROR(VALUE(SUBSTITUTE(TRIM('수출입 실적(품목별)'!D2192),",","")),"")</f>
        <v>2560.4</v>
      </c>
      <c r="H2188" s="19" t="n">
        <f aca="false">IFERROR(VALUE(SUBSTITUTE(TRIM('수출입 실적(품목별)'!E2192),",","")),"")</f>
        <v>34029</v>
      </c>
      <c r="I2188" s="18" t="n">
        <f aca="false">IFERROR(VALUE(SUBSTITUTE(TRIM('수출입 실적(품목별)'!F2192),",","")),"")</f>
        <v>106308.8</v>
      </c>
      <c r="J2188" s="19" t="n">
        <f aca="false">IFERROR(VALUE(SUBSTITUTE(TRIM('수출입 실적(품목별)'!G2192),",","")),"")</f>
        <v>112887</v>
      </c>
      <c r="K2188" s="19" t="n">
        <f aca="false">IFERROR(VALUE(SUBSTITUTE(TRIM('수출입 실적(품목별)'!H2192),",","")),"")</f>
        <v>-78858</v>
      </c>
    </row>
    <row r="2189" customFormat="false" ht="15" hidden="false" customHeight="true" outlineLevel="0" collapsed="false">
      <c r="A2189" s="11" t="str">
        <f aca="false">TRIM('수출입 실적(품목별)'!A2193)</f>
        <v>2025.11</v>
      </c>
      <c r="B2189" s="17" t="n">
        <f aca="false">IFERROR(VALUE(LEFT($A2189,4)),"")</f>
        <v>2025</v>
      </c>
      <c r="C2189" s="17" t="n">
        <f aca="false">IFERROR(VALUE(RIGHT($A2189,2)),"")</f>
        <v>11</v>
      </c>
      <c r="D2189" s="17" t="n">
        <f aca="false">IFERROR(ROUNDUP($C2189/3,0),"")</f>
        <v>4</v>
      </c>
      <c r="E2189" s="11" t="str">
        <f aca="false">TRIM('수출입 실적(품목별)'!B2193)</f>
        <v>70</v>
      </c>
      <c r="F2189" s="11" t="str">
        <f aca="false">TRIM('수출입 실적(품목별)'!C2193)</f>
        <v>유리와 유리제품</v>
      </c>
      <c r="G2189" s="18" t="n">
        <f aca="false">IFERROR(VALUE(SUBSTITUTE(TRIM('수출입 실적(품목별)'!D2193),",","")),"")</f>
        <v>26406.3</v>
      </c>
      <c r="H2189" s="19" t="n">
        <f aca="false">IFERROR(VALUE(SUBSTITUTE(TRIM('수출입 실적(품목별)'!E2193),",","")),"")</f>
        <v>151193</v>
      </c>
      <c r="I2189" s="18" t="n">
        <f aca="false">IFERROR(VALUE(SUBSTITUTE(TRIM('수출입 실적(품목별)'!F2193),",","")),"")</f>
        <v>73340.7</v>
      </c>
      <c r="J2189" s="19" t="n">
        <f aca="false">IFERROR(VALUE(SUBSTITUTE(TRIM('수출입 실적(품목별)'!G2193),",","")),"")</f>
        <v>215200</v>
      </c>
      <c r="K2189" s="19" t="n">
        <f aca="false">IFERROR(VALUE(SUBSTITUTE(TRIM('수출입 실적(품목별)'!H2193),",","")),"")</f>
        <v>-64007</v>
      </c>
    </row>
    <row r="2190" customFormat="false" ht="15" hidden="false" customHeight="true" outlineLevel="0" collapsed="false">
      <c r="A2190" s="11" t="str">
        <f aca="false">TRIM('수출입 실적(품목별)'!A2194)</f>
        <v>2025.11</v>
      </c>
      <c r="B2190" s="17" t="n">
        <f aca="false">IFERROR(VALUE(LEFT($A2190,4)),"")</f>
        <v>2025</v>
      </c>
      <c r="C2190" s="17" t="n">
        <f aca="false">IFERROR(VALUE(RIGHT($A2190,2)),"")</f>
        <v>11</v>
      </c>
      <c r="D2190" s="17" t="n">
        <f aca="false">IFERROR(ROUNDUP($C2190/3,0),"")</f>
        <v>4</v>
      </c>
      <c r="E2190" s="11" t="str">
        <f aca="false">TRIM('수출입 실적(품목별)'!B2194)</f>
        <v>71</v>
      </c>
      <c r="F2190" s="11" t="str">
        <f aca="false">TRIM('수출입 실적(품목별)'!C2194)</f>
        <v>천연진주ㆍ양식진주ㆍ귀석ㆍ반귀석ㆍ귀금속ㆍ귀금속을 입힌 금속과 이들의 제품, 모조 신변장식용품, 주화</v>
      </c>
      <c r="G2190" s="18" t="n">
        <f aca="false">IFERROR(VALUE(SUBSTITUTE(TRIM('수출입 실적(품목별)'!D2194),",","")),"")</f>
        <v>825.1</v>
      </c>
      <c r="H2190" s="19" t="n">
        <f aca="false">IFERROR(VALUE(SUBSTITUTE(TRIM('수출입 실적(품목별)'!E2194),",","")),"")</f>
        <v>1043507</v>
      </c>
      <c r="I2190" s="18" t="n">
        <f aca="false">IFERROR(VALUE(SUBSTITUTE(TRIM('수출입 실적(품목별)'!F2194),",","")),"")</f>
        <v>1564.3</v>
      </c>
      <c r="J2190" s="19" t="n">
        <f aca="false">IFERROR(VALUE(SUBSTITUTE(TRIM('수출입 실적(품목별)'!G2194),",","")),"")</f>
        <v>2063873</v>
      </c>
      <c r="K2190" s="19" t="n">
        <f aca="false">IFERROR(VALUE(SUBSTITUTE(TRIM('수출입 실적(품목별)'!H2194),",","")),"")</f>
        <v>-1020366</v>
      </c>
    </row>
    <row r="2191" customFormat="false" ht="15" hidden="false" customHeight="true" outlineLevel="0" collapsed="false">
      <c r="A2191" s="11" t="str">
        <f aca="false">TRIM('수출입 실적(품목별)'!A2195)</f>
        <v>2025.11</v>
      </c>
      <c r="B2191" s="17" t="n">
        <f aca="false">IFERROR(VALUE(LEFT($A2191,4)),"")</f>
        <v>2025</v>
      </c>
      <c r="C2191" s="17" t="n">
        <f aca="false">IFERROR(VALUE(RIGHT($A2191,2)),"")</f>
        <v>11</v>
      </c>
      <c r="D2191" s="17" t="n">
        <f aca="false">IFERROR(ROUNDUP($C2191/3,0),"")</f>
        <v>4</v>
      </c>
      <c r="E2191" s="11" t="str">
        <f aca="false">TRIM('수출입 실적(품목별)'!B2195)</f>
        <v>72</v>
      </c>
      <c r="F2191" s="11" t="str">
        <f aca="false">TRIM('수출입 실적(품목별)'!C2195)</f>
        <v>철강</v>
      </c>
      <c r="G2191" s="18" t="n">
        <f aca="false">IFERROR(VALUE(SUBSTITUTE(TRIM('수출입 실적(품목별)'!D2195),",","")),"")</f>
        <v>1964129.5</v>
      </c>
      <c r="H2191" s="19" t="n">
        <f aca="false">IFERROR(VALUE(SUBSTITUTE(TRIM('수출입 실적(품목별)'!E2195),",","")),"")</f>
        <v>1670397</v>
      </c>
      <c r="I2191" s="18" t="n">
        <f aca="false">IFERROR(VALUE(SUBSTITUTE(TRIM('수출입 실적(품목별)'!F2195),",","")),"")</f>
        <v>1100096.8</v>
      </c>
      <c r="J2191" s="19" t="n">
        <f aca="false">IFERROR(VALUE(SUBSTITUTE(TRIM('수출입 실적(품목별)'!G2195),",","")),"")</f>
        <v>899878</v>
      </c>
      <c r="K2191" s="19" t="n">
        <f aca="false">IFERROR(VALUE(SUBSTITUTE(TRIM('수출입 실적(품목별)'!H2195),",","")),"")</f>
        <v>770519</v>
      </c>
    </row>
    <row r="2192" customFormat="false" ht="15" hidden="false" customHeight="true" outlineLevel="0" collapsed="false">
      <c r="A2192" s="11" t="str">
        <f aca="false">TRIM('수출입 실적(품목별)'!A2196)</f>
        <v>2025.11</v>
      </c>
      <c r="B2192" s="17" t="n">
        <f aca="false">IFERROR(VALUE(LEFT($A2192,4)),"")</f>
        <v>2025</v>
      </c>
      <c r="C2192" s="17" t="n">
        <f aca="false">IFERROR(VALUE(RIGHT($A2192,2)),"")</f>
        <v>11</v>
      </c>
      <c r="D2192" s="17" t="n">
        <f aca="false">IFERROR(ROUNDUP($C2192/3,0),"")</f>
        <v>4</v>
      </c>
      <c r="E2192" s="11" t="str">
        <f aca="false">TRIM('수출입 실적(품목별)'!B2196)</f>
        <v>73</v>
      </c>
      <c r="F2192" s="11" t="str">
        <f aca="false">TRIM('수출입 실적(품목별)'!C2196)</f>
        <v>철강의 제품</v>
      </c>
      <c r="G2192" s="18" t="n">
        <f aca="false">IFERROR(VALUE(SUBSTITUTE(TRIM('수출입 실적(품목별)'!D2196),",","")),"")</f>
        <v>239833.1</v>
      </c>
      <c r="H2192" s="19" t="n">
        <f aca="false">IFERROR(VALUE(SUBSTITUTE(TRIM('수출입 실적(품목별)'!E2196),",","")),"")</f>
        <v>672462</v>
      </c>
      <c r="I2192" s="18" t="n">
        <f aca="false">IFERROR(VALUE(SUBSTITUTE(TRIM('수출입 실적(품목별)'!F2196),",","")),"")</f>
        <v>203774</v>
      </c>
      <c r="J2192" s="19" t="n">
        <f aca="false">IFERROR(VALUE(SUBSTITUTE(TRIM('수출입 실적(품목별)'!G2196),",","")),"")</f>
        <v>565396</v>
      </c>
      <c r="K2192" s="19" t="n">
        <f aca="false">IFERROR(VALUE(SUBSTITUTE(TRIM('수출입 실적(품목별)'!H2196),",","")),"")</f>
        <v>107066</v>
      </c>
    </row>
    <row r="2193" customFormat="false" ht="15" hidden="false" customHeight="true" outlineLevel="0" collapsed="false">
      <c r="A2193" s="11" t="str">
        <f aca="false">TRIM('수출입 실적(품목별)'!A2197)</f>
        <v>2025.11</v>
      </c>
      <c r="B2193" s="17" t="n">
        <f aca="false">IFERROR(VALUE(LEFT($A2193,4)),"")</f>
        <v>2025</v>
      </c>
      <c r="C2193" s="17" t="n">
        <f aca="false">IFERROR(VALUE(RIGHT($A2193,2)),"")</f>
        <v>11</v>
      </c>
      <c r="D2193" s="17" t="n">
        <f aca="false">IFERROR(ROUNDUP($C2193/3,0),"")</f>
        <v>4</v>
      </c>
      <c r="E2193" s="11" t="str">
        <f aca="false">TRIM('수출입 실적(품목별)'!B2197)</f>
        <v>74</v>
      </c>
      <c r="F2193" s="11" t="str">
        <f aca="false">TRIM('수출입 실적(품목별)'!C2197)</f>
        <v>구리와 그 제품</v>
      </c>
      <c r="G2193" s="18" t="n">
        <f aca="false">IFERROR(VALUE(SUBSTITUTE(TRIM('수출입 실적(품목별)'!D2197),",","")),"")</f>
        <v>65441.8</v>
      </c>
      <c r="H2193" s="19" t="n">
        <f aca="false">IFERROR(VALUE(SUBSTITUTE(TRIM('수출입 실적(품목별)'!E2197),",","")),"")</f>
        <v>633637</v>
      </c>
      <c r="I2193" s="18" t="n">
        <f aca="false">IFERROR(VALUE(SUBSTITUTE(TRIM('수출입 실적(품목별)'!F2197),",","")),"")</f>
        <v>67925.7</v>
      </c>
      <c r="J2193" s="19" t="n">
        <f aca="false">IFERROR(VALUE(SUBSTITUTE(TRIM('수출입 실적(품목별)'!G2197),",","")),"")</f>
        <v>718643</v>
      </c>
      <c r="K2193" s="19" t="n">
        <f aca="false">IFERROR(VALUE(SUBSTITUTE(TRIM('수출입 실적(품목별)'!H2197),",","")),"")</f>
        <v>-85006</v>
      </c>
    </row>
    <row r="2194" customFormat="false" ht="15" hidden="false" customHeight="true" outlineLevel="0" collapsed="false">
      <c r="A2194" s="11" t="str">
        <f aca="false">TRIM('수출입 실적(품목별)'!A2198)</f>
        <v>2025.11</v>
      </c>
      <c r="B2194" s="17" t="n">
        <f aca="false">IFERROR(VALUE(LEFT($A2194,4)),"")</f>
        <v>2025</v>
      </c>
      <c r="C2194" s="17" t="n">
        <f aca="false">IFERROR(VALUE(RIGHT($A2194,2)),"")</f>
        <v>11</v>
      </c>
      <c r="D2194" s="17" t="n">
        <f aca="false">IFERROR(ROUNDUP($C2194/3,0),"")</f>
        <v>4</v>
      </c>
      <c r="E2194" s="11" t="str">
        <f aca="false">TRIM('수출입 실적(품목별)'!B2198)</f>
        <v>75</v>
      </c>
      <c r="F2194" s="11" t="str">
        <f aca="false">TRIM('수출입 실적(품목별)'!C2198)</f>
        <v>니켈과 그 제품</v>
      </c>
      <c r="G2194" s="18" t="n">
        <f aca="false">IFERROR(VALUE(SUBSTITUTE(TRIM('수출입 실적(품목별)'!D2198),",","")),"")</f>
        <v>946.4</v>
      </c>
      <c r="H2194" s="19" t="n">
        <f aca="false">IFERROR(VALUE(SUBSTITUTE(TRIM('수출입 실적(품목별)'!E2198),",","")),"")</f>
        <v>18506</v>
      </c>
      <c r="I2194" s="18" t="n">
        <f aca="false">IFERROR(VALUE(SUBSTITUTE(TRIM('수출입 실적(품목별)'!F2198),",","")),"")</f>
        <v>3964</v>
      </c>
      <c r="J2194" s="19" t="n">
        <f aca="false">IFERROR(VALUE(SUBSTITUTE(TRIM('수출입 실적(품목별)'!G2198),",","")),"")</f>
        <v>89469</v>
      </c>
      <c r="K2194" s="19" t="n">
        <f aca="false">IFERROR(VALUE(SUBSTITUTE(TRIM('수출입 실적(품목별)'!H2198),",","")),"")</f>
        <v>-70963</v>
      </c>
    </row>
    <row r="2195" customFormat="false" ht="15" hidden="false" customHeight="true" outlineLevel="0" collapsed="false">
      <c r="A2195" s="11" t="str">
        <f aca="false">TRIM('수출입 실적(품목별)'!A2199)</f>
        <v>2025.11</v>
      </c>
      <c r="B2195" s="17" t="n">
        <f aca="false">IFERROR(VALUE(LEFT($A2195,4)),"")</f>
        <v>2025</v>
      </c>
      <c r="C2195" s="17" t="n">
        <f aca="false">IFERROR(VALUE(RIGHT($A2195,2)),"")</f>
        <v>11</v>
      </c>
      <c r="D2195" s="17" t="n">
        <f aca="false">IFERROR(ROUNDUP($C2195/3,0),"")</f>
        <v>4</v>
      </c>
      <c r="E2195" s="11" t="str">
        <f aca="false">TRIM('수출입 실적(품목별)'!B2199)</f>
        <v>76</v>
      </c>
      <c r="F2195" s="11" t="str">
        <f aca="false">TRIM('수출입 실적(품목별)'!C2199)</f>
        <v>알루미늄과 그 제품</v>
      </c>
      <c r="G2195" s="18" t="n">
        <f aca="false">IFERROR(VALUE(SUBSTITUTE(TRIM('수출입 실적(품목별)'!D2199),",","")),"")</f>
        <v>93692.6</v>
      </c>
      <c r="H2195" s="19" t="n">
        <f aca="false">IFERROR(VALUE(SUBSTITUTE(TRIM('수출입 실적(품목별)'!E2199),",","")),"")</f>
        <v>392581</v>
      </c>
      <c r="I2195" s="18" t="n">
        <f aca="false">IFERROR(VALUE(SUBSTITUTE(TRIM('수출입 실적(품목별)'!F2199),",","")),"")</f>
        <v>223190.8</v>
      </c>
      <c r="J2195" s="19" t="n">
        <f aca="false">IFERROR(VALUE(SUBSTITUTE(TRIM('수출입 실적(품목별)'!G2199),",","")),"")</f>
        <v>699462</v>
      </c>
      <c r="K2195" s="19" t="n">
        <f aca="false">IFERROR(VALUE(SUBSTITUTE(TRIM('수출입 실적(품목별)'!H2199),",","")),"")</f>
        <v>-306881</v>
      </c>
    </row>
    <row r="2196" customFormat="false" ht="15" hidden="false" customHeight="true" outlineLevel="0" collapsed="false">
      <c r="A2196" s="11" t="str">
        <f aca="false">TRIM('수출입 실적(품목별)'!A2200)</f>
        <v>2025.11</v>
      </c>
      <c r="B2196" s="17" t="n">
        <f aca="false">IFERROR(VALUE(LEFT($A2196,4)),"")</f>
        <v>2025</v>
      </c>
      <c r="C2196" s="17" t="n">
        <f aca="false">IFERROR(VALUE(RIGHT($A2196,2)),"")</f>
        <v>11</v>
      </c>
      <c r="D2196" s="17" t="n">
        <f aca="false">IFERROR(ROUNDUP($C2196/3,0),"")</f>
        <v>4</v>
      </c>
      <c r="E2196" s="11" t="str">
        <f aca="false">TRIM('수출입 실적(품목별)'!B2200)</f>
        <v>78</v>
      </c>
      <c r="F2196" s="11" t="str">
        <f aca="false">TRIM('수출입 실적(품목별)'!C2200)</f>
        <v>납과 그 제품</v>
      </c>
      <c r="G2196" s="18" t="n">
        <f aca="false">IFERROR(VALUE(SUBSTITUTE(TRIM('수출입 실적(품목별)'!D2200),",","")),"")</f>
        <v>21124.1</v>
      </c>
      <c r="H2196" s="19" t="n">
        <f aca="false">IFERROR(VALUE(SUBSTITUTE(TRIM('수출입 실적(품목별)'!E2200),",","")),"")</f>
        <v>46204</v>
      </c>
      <c r="I2196" s="18" t="n">
        <f aca="false">IFERROR(VALUE(SUBSTITUTE(TRIM('수출입 실적(품목별)'!F2200),",","")),"")</f>
        <v>12493</v>
      </c>
      <c r="J2196" s="19" t="n">
        <f aca="false">IFERROR(VALUE(SUBSTITUTE(TRIM('수출입 실적(품목별)'!G2200),",","")),"")</f>
        <v>27965</v>
      </c>
      <c r="K2196" s="19" t="n">
        <f aca="false">IFERROR(VALUE(SUBSTITUTE(TRIM('수출입 실적(품목별)'!H2200),",","")),"")</f>
        <v>18239</v>
      </c>
    </row>
    <row r="2197" customFormat="false" ht="15" hidden="false" customHeight="true" outlineLevel="0" collapsed="false">
      <c r="A2197" s="11" t="str">
        <f aca="false">TRIM('수출입 실적(품목별)'!A2201)</f>
        <v>2025.11</v>
      </c>
      <c r="B2197" s="17" t="n">
        <f aca="false">IFERROR(VALUE(LEFT($A2197,4)),"")</f>
        <v>2025</v>
      </c>
      <c r="C2197" s="17" t="n">
        <f aca="false">IFERROR(VALUE(RIGHT($A2197,2)),"")</f>
        <v>11</v>
      </c>
      <c r="D2197" s="17" t="n">
        <f aca="false">IFERROR(ROUNDUP($C2197/3,0),"")</f>
        <v>4</v>
      </c>
      <c r="E2197" s="11" t="str">
        <f aca="false">TRIM('수출입 실적(품목별)'!B2201)</f>
        <v>79</v>
      </c>
      <c r="F2197" s="11" t="str">
        <f aca="false">TRIM('수출입 실적(품목별)'!C2201)</f>
        <v>아연과 그 제품</v>
      </c>
      <c r="G2197" s="18" t="n">
        <f aca="false">IFERROR(VALUE(SUBSTITUTE(TRIM('수출입 실적(품목별)'!D2201),",","")),"")</f>
        <v>37937</v>
      </c>
      <c r="H2197" s="19" t="n">
        <f aca="false">IFERROR(VALUE(SUBSTITUTE(TRIM('수출입 실적(품목별)'!E2201),",","")),"")</f>
        <v>126404</v>
      </c>
      <c r="I2197" s="18" t="n">
        <f aca="false">IFERROR(VALUE(SUBSTITUTE(TRIM('수출입 실적(품목별)'!F2201),",","")),"")</f>
        <v>2005.9</v>
      </c>
      <c r="J2197" s="19" t="n">
        <f aca="false">IFERROR(VALUE(SUBSTITUTE(TRIM('수출입 실적(품목별)'!G2201),",","")),"")</f>
        <v>13486</v>
      </c>
      <c r="K2197" s="19" t="n">
        <f aca="false">IFERROR(VALUE(SUBSTITUTE(TRIM('수출입 실적(품목별)'!H2201),",","")),"")</f>
        <v>112919</v>
      </c>
    </row>
    <row r="2198" customFormat="false" ht="15" hidden="false" customHeight="true" outlineLevel="0" collapsed="false">
      <c r="A2198" s="11" t="str">
        <f aca="false">TRIM('수출입 실적(품목별)'!A2202)</f>
        <v>2025.11</v>
      </c>
      <c r="B2198" s="17" t="n">
        <f aca="false">IFERROR(VALUE(LEFT($A2198,4)),"")</f>
        <v>2025</v>
      </c>
      <c r="C2198" s="17" t="n">
        <f aca="false">IFERROR(VALUE(RIGHT($A2198,2)),"")</f>
        <v>11</v>
      </c>
      <c r="D2198" s="17" t="n">
        <f aca="false">IFERROR(ROUNDUP($C2198/3,0),"")</f>
        <v>4</v>
      </c>
      <c r="E2198" s="11" t="str">
        <f aca="false">TRIM('수출입 실적(품목별)'!B2202)</f>
        <v>80</v>
      </c>
      <c r="F2198" s="11" t="str">
        <f aca="false">TRIM('수출입 실적(품목별)'!C2202)</f>
        <v>주석과 그 제품</v>
      </c>
      <c r="G2198" s="18" t="n">
        <f aca="false">IFERROR(VALUE(SUBSTITUTE(TRIM('수출입 실적(품목별)'!D2202),",","")),"")</f>
        <v>134.3</v>
      </c>
      <c r="H2198" s="19" t="n">
        <f aca="false">IFERROR(VALUE(SUBSTITUTE(TRIM('수출입 실적(품목별)'!E2202),",","")),"")</f>
        <v>5441</v>
      </c>
      <c r="I2198" s="18" t="n">
        <f aca="false">IFERROR(VALUE(SUBSTITUTE(TRIM('수출입 실적(품목별)'!F2202),",","")),"")</f>
        <v>1275.9</v>
      </c>
      <c r="J2198" s="19" t="n">
        <f aca="false">IFERROR(VALUE(SUBSTITUTE(TRIM('수출입 실적(품목별)'!G2202),",","")),"")</f>
        <v>45397</v>
      </c>
      <c r="K2198" s="19" t="n">
        <f aca="false">IFERROR(VALUE(SUBSTITUTE(TRIM('수출입 실적(품목별)'!H2202),",","")),"")</f>
        <v>-39955</v>
      </c>
    </row>
    <row r="2199" customFormat="false" ht="15" hidden="false" customHeight="true" outlineLevel="0" collapsed="false">
      <c r="A2199" s="11" t="str">
        <f aca="false">TRIM('수출입 실적(품목별)'!A2203)</f>
        <v>2025.11</v>
      </c>
      <c r="B2199" s="17" t="n">
        <f aca="false">IFERROR(VALUE(LEFT($A2199,4)),"")</f>
        <v>2025</v>
      </c>
      <c r="C2199" s="17" t="n">
        <f aca="false">IFERROR(VALUE(RIGHT($A2199,2)),"")</f>
        <v>11</v>
      </c>
      <c r="D2199" s="17" t="n">
        <f aca="false">IFERROR(ROUNDUP($C2199/3,0),"")</f>
        <v>4</v>
      </c>
      <c r="E2199" s="11" t="str">
        <f aca="false">TRIM('수출입 실적(품목별)'!B2203)</f>
        <v>81</v>
      </c>
      <c r="F2199" s="11" t="str">
        <f aca="false">TRIM('수출입 실적(품목별)'!C2203)</f>
        <v>그 밖의 비금속(卑金屬), 서멧(cermet), 이들의 제품</v>
      </c>
      <c r="G2199" s="18" t="n">
        <f aca="false">IFERROR(VALUE(SUBSTITUTE(TRIM('수출입 실적(품목별)'!D2203),",","")),"")</f>
        <v>2556.2</v>
      </c>
      <c r="H2199" s="19" t="n">
        <f aca="false">IFERROR(VALUE(SUBSTITUTE(TRIM('수출입 실적(품목별)'!E2203),",","")),"")</f>
        <v>44326</v>
      </c>
      <c r="I2199" s="18" t="n">
        <f aca="false">IFERROR(VALUE(SUBSTITUTE(TRIM('수출입 실적(품목별)'!F2203),",","")),"")</f>
        <v>14537.7</v>
      </c>
      <c r="J2199" s="19" t="n">
        <f aca="false">IFERROR(VALUE(SUBSTITUTE(TRIM('수출입 실적(품목별)'!G2203),",","")),"")</f>
        <v>127212</v>
      </c>
      <c r="K2199" s="19" t="n">
        <f aca="false">IFERROR(VALUE(SUBSTITUTE(TRIM('수출입 실적(품목별)'!H2203),",","")),"")</f>
        <v>-82886</v>
      </c>
    </row>
    <row r="2200" customFormat="false" ht="15" hidden="false" customHeight="true" outlineLevel="0" collapsed="false">
      <c r="A2200" s="11" t="str">
        <f aca="false">TRIM('수출입 실적(품목별)'!A2204)</f>
        <v>2025.11</v>
      </c>
      <c r="B2200" s="17" t="n">
        <f aca="false">IFERROR(VALUE(LEFT($A2200,4)),"")</f>
        <v>2025</v>
      </c>
      <c r="C2200" s="17" t="n">
        <f aca="false">IFERROR(VALUE(RIGHT($A2200,2)),"")</f>
        <v>11</v>
      </c>
      <c r="D2200" s="17" t="n">
        <f aca="false">IFERROR(ROUNDUP($C2200/3,0),"")</f>
        <v>4</v>
      </c>
      <c r="E2200" s="11" t="str">
        <f aca="false">TRIM('수출입 실적(품목별)'!B2204)</f>
        <v>82</v>
      </c>
      <c r="F2200" s="11" t="str">
        <f aca="false">TRIM('수출입 실적(품목별)'!C2204)</f>
        <v>비금속(卑金屬)으로 만든 공구ㆍ도구ㆍ칼붙이ㆍ스푼ㆍ포크, 이들의 부분품</v>
      </c>
      <c r="G2200" s="18" t="n">
        <f aca="false">IFERROR(VALUE(SUBSTITUTE(TRIM('수출입 실적(품목별)'!D2204),",","")),"")</f>
        <v>6989</v>
      </c>
      <c r="H2200" s="19" t="n">
        <f aca="false">IFERROR(VALUE(SUBSTITUTE(TRIM('수출입 실적(품목별)'!E2204),",","")),"")</f>
        <v>156007</v>
      </c>
      <c r="I2200" s="18" t="n">
        <f aca="false">IFERROR(VALUE(SUBSTITUTE(TRIM('수출입 실적(품목별)'!F2204),",","")),"")</f>
        <v>4903</v>
      </c>
      <c r="J2200" s="19" t="n">
        <f aca="false">IFERROR(VALUE(SUBSTITUTE(TRIM('수출입 실적(품목별)'!G2204),",","")),"")</f>
        <v>81255</v>
      </c>
      <c r="K2200" s="19" t="n">
        <f aca="false">IFERROR(VALUE(SUBSTITUTE(TRIM('수출입 실적(품목별)'!H2204),",","")),"")</f>
        <v>74752</v>
      </c>
    </row>
    <row r="2201" customFormat="false" ht="15" hidden="false" customHeight="true" outlineLevel="0" collapsed="false">
      <c r="A2201" s="11" t="str">
        <f aca="false">TRIM('수출입 실적(품목별)'!A2205)</f>
        <v>2025.11</v>
      </c>
      <c r="B2201" s="17" t="n">
        <f aca="false">IFERROR(VALUE(LEFT($A2201,4)),"")</f>
        <v>2025</v>
      </c>
      <c r="C2201" s="17" t="n">
        <f aca="false">IFERROR(VALUE(RIGHT($A2201,2)),"")</f>
        <v>11</v>
      </c>
      <c r="D2201" s="17" t="n">
        <f aca="false">IFERROR(ROUNDUP($C2201/3,0),"")</f>
        <v>4</v>
      </c>
      <c r="E2201" s="11" t="str">
        <f aca="false">TRIM('수출입 실적(품목별)'!B2205)</f>
        <v>83</v>
      </c>
      <c r="F2201" s="11" t="str">
        <f aca="false">TRIM('수출입 실적(품목별)'!C2205)</f>
        <v>비금속(卑金屬)으로 만든 각종 제품</v>
      </c>
      <c r="G2201" s="18" t="n">
        <f aca="false">IFERROR(VALUE(SUBSTITUTE(TRIM('수출입 실적(품목별)'!D2205),",","")),"")</f>
        <v>20754.9</v>
      </c>
      <c r="H2201" s="19" t="n">
        <f aca="false">IFERROR(VALUE(SUBSTITUTE(TRIM('수출입 실적(품목별)'!E2205),",","")),"")</f>
        <v>120175</v>
      </c>
      <c r="I2201" s="18" t="n">
        <f aca="false">IFERROR(VALUE(SUBSTITUTE(TRIM('수출입 실적(품목별)'!F2205),",","")),"")</f>
        <v>10766.2</v>
      </c>
      <c r="J2201" s="19" t="n">
        <f aca="false">IFERROR(VALUE(SUBSTITUTE(TRIM('수출입 실적(품목별)'!G2205),",","")),"")</f>
        <v>73905</v>
      </c>
      <c r="K2201" s="19" t="n">
        <f aca="false">IFERROR(VALUE(SUBSTITUTE(TRIM('수출입 실적(품목별)'!H2205),",","")),"")</f>
        <v>46269</v>
      </c>
    </row>
    <row r="2202" customFormat="false" ht="15" hidden="false" customHeight="true" outlineLevel="0" collapsed="false">
      <c r="A2202" s="11" t="str">
        <f aca="false">TRIM('수출입 실적(품목별)'!A2206)</f>
        <v>2025.11</v>
      </c>
      <c r="B2202" s="17" t="n">
        <f aca="false">IFERROR(VALUE(LEFT($A2202,4)),"")</f>
        <v>2025</v>
      </c>
      <c r="C2202" s="17" t="n">
        <f aca="false">IFERROR(VALUE(RIGHT($A2202,2)),"")</f>
        <v>11</v>
      </c>
      <c r="D2202" s="17" t="n">
        <f aca="false">IFERROR(ROUNDUP($C2202/3,0),"")</f>
        <v>4</v>
      </c>
      <c r="E2202" s="11" t="str">
        <f aca="false">TRIM('수출입 실적(품목별)'!B2206)</f>
        <v>84</v>
      </c>
      <c r="F2202" s="11" t="str">
        <f aca="false">TRIM('수출입 실적(품목별)'!C2206)</f>
        <v>원자로ㆍ보일러ㆍ기계류와 이들의 부분품</v>
      </c>
      <c r="G2202" s="18" t="n">
        <f aca="false">IFERROR(VALUE(SUBSTITUTE(TRIM('수출입 실적(품목별)'!D2206),",","")),"")</f>
        <v>366789</v>
      </c>
      <c r="H2202" s="19" t="n">
        <f aca="false">IFERROR(VALUE(SUBSTITUTE(TRIM('수출입 실적(품목별)'!E2206),",","")),"")</f>
        <v>7692368</v>
      </c>
      <c r="I2202" s="18" t="n">
        <f aca="false">IFERROR(VALUE(SUBSTITUTE(TRIM('수출입 실적(품목별)'!F2206),",","")),"")</f>
        <v>199772.1</v>
      </c>
      <c r="J2202" s="19" t="n">
        <f aca="false">IFERROR(VALUE(SUBSTITUTE(TRIM('수출입 실적(품목별)'!G2206),",","")),"")</f>
        <v>6155497</v>
      </c>
      <c r="K2202" s="19" t="n">
        <f aca="false">IFERROR(VALUE(SUBSTITUTE(TRIM('수출입 실적(품목별)'!H2206),",","")),"")</f>
        <v>1536871</v>
      </c>
    </row>
    <row r="2203" customFormat="false" ht="15" hidden="false" customHeight="true" outlineLevel="0" collapsed="false">
      <c r="A2203" s="11" t="str">
        <f aca="false">TRIM('수출입 실적(품목별)'!A2207)</f>
        <v>2025.11</v>
      </c>
      <c r="B2203" s="17" t="n">
        <f aca="false">IFERROR(VALUE(LEFT($A2203,4)),"")</f>
        <v>2025</v>
      </c>
      <c r="C2203" s="17" t="n">
        <f aca="false">IFERROR(VALUE(RIGHT($A2203,2)),"")</f>
        <v>11</v>
      </c>
      <c r="D2203" s="17" t="n">
        <f aca="false">IFERROR(ROUNDUP($C2203/3,0),"")</f>
        <v>4</v>
      </c>
      <c r="E2203" s="11" t="str">
        <f aca="false">TRIM('수출입 실적(품목별)'!B2207)</f>
        <v>85</v>
      </c>
      <c r="F2203" s="11" t="str">
        <f aca="false">TRIM('수출입 실적(품목별)'!C2207)</f>
        <v>전기기기와 그 부분품, 녹음기ㆍ음성 재생기ㆍ텔레비전의 영상과 음성의 기록기ㆍ재생기와 이들의 부분품ㆍ부속품</v>
      </c>
      <c r="G2203" s="18" t="n">
        <f aca="false">IFERROR(VALUE(SUBSTITUTE(TRIM('수출입 실적(품목별)'!D2207),",","")),"")</f>
        <v>211940.5</v>
      </c>
      <c r="H2203" s="19" t="n">
        <f aca="false">IFERROR(VALUE(SUBSTITUTE(TRIM('수출입 실적(품목별)'!E2207),",","")),"")</f>
        <v>22241662</v>
      </c>
      <c r="I2203" s="18" t="n">
        <f aca="false">IFERROR(VALUE(SUBSTITUTE(TRIM('수출입 실적(품목별)'!F2207),",","")),"")</f>
        <v>205447.7</v>
      </c>
      <c r="J2203" s="19" t="n">
        <f aca="false">IFERROR(VALUE(SUBSTITUTE(TRIM('수출입 실적(품목별)'!G2207),",","")),"")</f>
        <v>10846411</v>
      </c>
      <c r="K2203" s="19" t="n">
        <f aca="false">IFERROR(VALUE(SUBSTITUTE(TRIM('수출입 실적(품목별)'!H2207),",","")),"")</f>
        <v>11395251</v>
      </c>
    </row>
    <row r="2204" customFormat="false" ht="15" hidden="false" customHeight="true" outlineLevel="0" collapsed="false">
      <c r="A2204" s="11" t="str">
        <f aca="false">TRIM('수출입 실적(품목별)'!A2208)</f>
        <v>2025.11</v>
      </c>
      <c r="B2204" s="17" t="n">
        <f aca="false">IFERROR(VALUE(LEFT($A2204,4)),"")</f>
        <v>2025</v>
      </c>
      <c r="C2204" s="17" t="n">
        <f aca="false">IFERROR(VALUE(RIGHT($A2204,2)),"")</f>
        <v>11</v>
      </c>
      <c r="D2204" s="17" t="n">
        <f aca="false">IFERROR(ROUNDUP($C2204/3,0),"")</f>
        <v>4</v>
      </c>
      <c r="E2204" s="11" t="str">
        <f aca="false">TRIM('수출입 실적(품목별)'!B2208)</f>
        <v>86</v>
      </c>
      <c r="F2204" s="11" t="str">
        <f aca="false">TRIM('수출입 실적(품목별)'!C2208)</f>
        <v>철도용이나 궤도용 기관차ㆍ차량과 이들의 부분품, 철도용이나 궤도용 장비품과 그 부분품, 기계식(전기기계식을 포함한다) 각종 교통신호용 기기</v>
      </c>
      <c r="G2204" s="18" t="n">
        <f aca="false">IFERROR(VALUE(SUBSTITUTE(TRIM('수출입 실적(품목별)'!D2208),",","")),"")</f>
        <v>11415</v>
      </c>
      <c r="H2204" s="19" t="n">
        <f aca="false">IFERROR(VALUE(SUBSTITUTE(TRIM('수출입 실적(품목별)'!E2208),",","")),"")</f>
        <v>73832</v>
      </c>
      <c r="I2204" s="18" t="n">
        <f aca="false">IFERROR(VALUE(SUBSTITUTE(TRIM('수출입 실적(품목별)'!F2208),",","")),"")</f>
        <v>9760.7</v>
      </c>
      <c r="J2204" s="19" t="n">
        <f aca="false">IFERROR(VALUE(SUBSTITUTE(TRIM('수출입 실적(품목별)'!G2208),",","")),"")</f>
        <v>46953</v>
      </c>
      <c r="K2204" s="19" t="n">
        <f aca="false">IFERROR(VALUE(SUBSTITUTE(TRIM('수출입 실적(품목별)'!H2208),",","")),"")</f>
        <v>26879</v>
      </c>
    </row>
    <row r="2205" customFormat="false" ht="15" hidden="false" customHeight="true" outlineLevel="0" collapsed="false">
      <c r="A2205" s="11" t="str">
        <f aca="false">TRIM('수출입 실적(품목별)'!A2209)</f>
        <v>2025.11</v>
      </c>
      <c r="B2205" s="17" t="n">
        <f aca="false">IFERROR(VALUE(LEFT($A2205,4)),"")</f>
        <v>2025</v>
      </c>
      <c r="C2205" s="17" t="n">
        <f aca="false">IFERROR(VALUE(RIGHT($A2205,2)),"")</f>
        <v>11</v>
      </c>
      <c r="D2205" s="17" t="n">
        <f aca="false">IFERROR(ROUNDUP($C2205/3,0),"")</f>
        <v>4</v>
      </c>
      <c r="E2205" s="11" t="str">
        <f aca="false">TRIM('수출입 실적(품목별)'!B2209)</f>
        <v>87</v>
      </c>
      <c r="F2205" s="11" t="str">
        <f aca="false">TRIM('수출입 실적(품목별)'!C2209)</f>
        <v>철도용이나 궤도용 외의 차량과 그 부분품ㆍ부속품</v>
      </c>
      <c r="G2205" s="18" t="n">
        <f aca="false">IFERROR(VALUE(SUBSTITUTE(TRIM('수출입 실적(품목별)'!D2209),",","")),"")</f>
        <v>712787.4</v>
      </c>
      <c r="H2205" s="19" t="n">
        <f aca="false">IFERROR(VALUE(SUBSTITUTE(TRIM('수출입 실적(품목별)'!E2209),",","")),"")</f>
        <v>7861930</v>
      </c>
      <c r="I2205" s="18" t="n">
        <f aca="false">IFERROR(VALUE(SUBSTITUTE(TRIM('수출입 실적(품목별)'!F2209),",","")),"")</f>
        <v>101090.8</v>
      </c>
      <c r="J2205" s="19" t="n">
        <f aca="false">IFERROR(VALUE(SUBSTITUTE(TRIM('수출입 실적(품목별)'!G2209),",","")),"")</f>
        <v>1602851</v>
      </c>
      <c r="K2205" s="19" t="n">
        <f aca="false">IFERROR(VALUE(SUBSTITUTE(TRIM('수출입 실적(품목별)'!H2209),",","")),"")</f>
        <v>6259079</v>
      </c>
    </row>
    <row r="2206" customFormat="false" ht="15" hidden="false" customHeight="true" outlineLevel="0" collapsed="false">
      <c r="A2206" s="11" t="str">
        <f aca="false">TRIM('수출입 실적(품목별)'!A2210)</f>
        <v>2025.11</v>
      </c>
      <c r="B2206" s="17" t="n">
        <f aca="false">IFERROR(VALUE(LEFT($A2206,4)),"")</f>
        <v>2025</v>
      </c>
      <c r="C2206" s="17" t="n">
        <f aca="false">IFERROR(VALUE(RIGHT($A2206,2)),"")</f>
        <v>11</v>
      </c>
      <c r="D2206" s="17" t="n">
        <f aca="false">IFERROR(ROUNDUP($C2206/3,0),"")</f>
        <v>4</v>
      </c>
      <c r="E2206" s="11" t="str">
        <f aca="false">TRIM('수출입 실적(품목별)'!B2210)</f>
        <v>88</v>
      </c>
      <c r="F2206" s="11" t="str">
        <f aca="false">TRIM('수출입 실적(품목별)'!C2210)</f>
        <v>항공기와 우주선, 이들의 부분품</v>
      </c>
      <c r="G2206" s="18" t="n">
        <f aca="false">IFERROR(VALUE(SUBSTITUTE(TRIM('수출입 실적(품목별)'!D2210),",","")),"")</f>
        <v>520.4</v>
      </c>
      <c r="H2206" s="19" t="n">
        <f aca="false">IFERROR(VALUE(SUBSTITUTE(TRIM('수출입 실적(품목별)'!E2210),",","")),"")</f>
        <v>203591</v>
      </c>
      <c r="I2206" s="18" t="n">
        <f aca="false">IFERROR(VALUE(SUBSTITUTE(TRIM('수출입 실적(품목별)'!F2210),",","")),"")</f>
        <v>456.8</v>
      </c>
      <c r="J2206" s="19" t="n">
        <f aca="false">IFERROR(VALUE(SUBSTITUTE(TRIM('수출입 실적(품목별)'!G2210),",","")),"")</f>
        <v>371354</v>
      </c>
      <c r="K2206" s="19" t="n">
        <f aca="false">IFERROR(VALUE(SUBSTITUTE(TRIM('수출입 실적(품목별)'!H2210),",","")),"")</f>
        <v>-167763</v>
      </c>
    </row>
    <row r="2207" customFormat="false" ht="15" hidden="false" customHeight="true" outlineLevel="0" collapsed="false">
      <c r="A2207" s="11" t="str">
        <f aca="false">TRIM('수출입 실적(품목별)'!A2211)</f>
        <v>2025.11</v>
      </c>
      <c r="B2207" s="17" t="n">
        <f aca="false">IFERROR(VALUE(LEFT($A2207,4)),"")</f>
        <v>2025</v>
      </c>
      <c r="C2207" s="17" t="n">
        <f aca="false">IFERROR(VALUE(RIGHT($A2207,2)),"")</f>
        <v>11</v>
      </c>
      <c r="D2207" s="17" t="n">
        <f aca="false">IFERROR(ROUNDUP($C2207/3,0),"")</f>
        <v>4</v>
      </c>
      <c r="E2207" s="11" t="str">
        <f aca="false">TRIM('수출입 실적(품목별)'!B2211)</f>
        <v>89</v>
      </c>
      <c r="F2207" s="11" t="str">
        <f aca="false">TRIM('수출입 실적(품목별)'!C2211)</f>
        <v>선박과 수상 구조물</v>
      </c>
      <c r="G2207" s="18" t="n">
        <f aca="false">IFERROR(VALUE(SUBSTITUTE(TRIM('수출입 실적(품목별)'!D2211),",","")),"")</f>
        <v>448408.4</v>
      </c>
      <c r="H2207" s="19" t="n">
        <f aca="false">IFERROR(VALUE(SUBSTITUTE(TRIM('수출입 실적(품목별)'!E2211),",","")),"")</f>
        <v>1682410</v>
      </c>
      <c r="I2207" s="18" t="n">
        <f aca="false">IFERROR(VALUE(SUBSTITUTE(TRIM('수출입 실적(품목별)'!F2211),",","")),"")</f>
        <v>377716.3</v>
      </c>
      <c r="J2207" s="19" t="n">
        <f aca="false">IFERROR(VALUE(SUBSTITUTE(TRIM('수출입 실적(품목별)'!G2211),",","")),"")</f>
        <v>419918</v>
      </c>
      <c r="K2207" s="19" t="n">
        <f aca="false">IFERROR(VALUE(SUBSTITUTE(TRIM('수출입 실적(품목별)'!H2211),",","")),"")</f>
        <v>1262492</v>
      </c>
    </row>
    <row r="2208" customFormat="false" ht="15" hidden="false" customHeight="true" outlineLevel="0" collapsed="false">
      <c r="A2208" s="11" t="str">
        <f aca="false">TRIM('수출입 실적(품목별)'!A2212)</f>
        <v>2025.11</v>
      </c>
      <c r="B2208" s="17" t="n">
        <f aca="false">IFERROR(VALUE(LEFT($A2208,4)),"")</f>
        <v>2025</v>
      </c>
      <c r="C2208" s="17" t="n">
        <f aca="false">IFERROR(VALUE(RIGHT($A2208,2)),"")</f>
        <v>11</v>
      </c>
      <c r="D2208" s="17" t="n">
        <f aca="false">IFERROR(ROUNDUP($C2208/3,0),"")</f>
        <v>4</v>
      </c>
      <c r="E2208" s="11" t="str">
        <f aca="false">TRIM('수출입 실적(품목별)'!B2212)</f>
        <v>90</v>
      </c>
      <c r="F2208" s="11" t="str">
        <f aca="false">TRIM('수출입 실적(품목별)'!C2212)</f>
        <v>광학기기ㆍ사진용 기기ㆍ영화용 기기ㆍ측정기기ㆍ검사기기ㆍ정밀기기ㆍ의료용 기기, 이들의 부분품과 부속품</v>
      </c>
      <c r="G2208" s="18" t="n">
        <f aca="false">IFERROR(VALUE(SUBSTITUTE(TRIM('수출입 실적(품목별)'!D2212),",","")),"")</f>
        <v>15008.1</v>
      </c>
      <c r="H2208" s="19" t="n">
        <f aca="false">IFERROR(VALUE(SUBSTITUTE(TRIM('수출입 실적(품목별)'!E2212),",","")),"")</f>
        <v>1368222</v>
      </c>
      <c r="I2208" s="18" t="n">
        <f aca="false">IFERROR(VALUE(SUBSTITUTE(TRIM('수출입 실적(품목별)'!F2212),",","")),"")</f>
        <v>15039.2</v>
      </c>
      <c r="J2208" s="19" t="n">
        <f aca="false">IFERROR(VALUE(SUBSTITUTE(TRIM('수출입 실적(품목별)'!G2212),",","")),"")</f>
        <v>1962873</v>
      </c>
      <c r="K2208" s="19" t="n">
        <f aca="false">IFERROR(VALUE(SUBSTITUTE(TRIM('수출입 실적(품목별)'!H2212),",","")),"")</f>
        <v>-594651</v>
      </c>
    </row>
    <row r="2209" customFormat="false" ht="15" hidden="false" customHeight="true" outlineLevel="0" collapsed="false">
      <c r="A2209" s="11" t="str">
        <f aca="false">TRIM('수출입 실적(품목별)'!A2213)</f>
        <v>2025.11</v>
      </c>
      <c r="B2209" s="17" t="n">
        <f aca="false">IFERROR(VALUE(LEFT($A2209,4)),"")</f>
        <v>2025</v>
      </c>
      <c r="C2209" s="17" t="n">
        <f aca="false">IFERROR(VALUE(RIGHT($A2209,2)),"")</f>
        <v>11</v>
      </c>
      <c r="D2209" s="17" t="n">
        <f aca="false">IFERROR(ROUNDUP($C2209/3,0),"")</f>
        <v>4</v>
      </c>
      <c r="E2209" s="11" t="str">
        <f aca="false">TRIM('수출입 실적(품목별)'!B2213)</f>
        <v>91</v>
      </c>
      <c r="F2209" s="11" t="str">
        <f aca="false">TRIM('수출입 실적(품목별)'!C2213)</f>
        <v>시계와 그 부분품</v>
      </c>
      <c r="G2209" s="18" t="n">
        <f aca="false">IFERROR(VALUE(SUBSTITUTE(TRIM('수출입 실적(품목별)'!D2213),",","")),"")</f>
        <v>11.7</v>
      </c>
      <c r="H2209" s="19" t="n">
        <f aca="false">IFERROR(VALUE(SUBSTITUTE(TRIM('수출입 실적(품목별)'!E2213),",","")),"")</f>
        <v>23712</v>
      </c>
      <c r="I2209" s="18" t="n">
        <f aca="false">IFERROR(VALUE(SUBSTITUTE(TRIM('수출입 실적(품목별)'!F2213),",","")),"")</f>
        <v>267.8</v>
      </c>
      <c r="J2209" s="19" t="n">
        <f aca="false">IFERROR(VALUE(SUBSTITUTE(TRIM('수출입 실적(품목별)'!G2213),",","")),"")</f>
        <v>111863</v>
      </c>
      <c r="K2209" s="19" t="n">
        <f aca="false">IFERROR(VALUE(SUBSTITUTE(TRIM('수출입 실적(품목별)'!H2213),",","")),"")</f>
        <v>-88151</v>
      </c>
    </row>
    <row r="2210" customFormat="false" ht="15" hidden="false" customHeight="true" outlineLevel="0" collapsed="false">
      <c r="A2210" s="11" t="str">
        <f aca="false">TRIM('수출입 실적(품목별)'!A2214)</f>
        <v>2025.11</v>
      </c>
      <c r="B2210" s="17" t="n">
        <f aca="false">IFERROR(VALUE(LEFT($A2210,4)),"")</f>
        <v>2025</v>
      </c>
      <c r="C2210" s="17" t="n">
        <f aca="false">IFERROR(VALUE(RIGHT($A2210,2)),"")</f>
        <v>11</v>
      </c>
      <c r="D2210" s="17" t="n">
        <f aca="false">IFERROR(ROUNDUP($C2210/3,0),"")</f>
        <v>4</v>
      </c>
      <c r="E2210" s="11" t="str">
        <f aca="false">TRIM('수출입 실적(품목별)'!B2214)</f>
        <v>92</v>
      </c>
      <c r="F2210" s="11" t="str">
        <f aca="false">TRIM('수출입 실적(품목별)'!C2214)</f>
        <v>악기와 그 부분품과 부속품</v>
      </c>
      <c r="G2210" s="18" t="n">
        <f aca="false">IFERROR(VALUE(SUBSTITUTE(TRIM('수출입 실적(품목별)'!D2214),",","")),"")</f>
        <v>383</v>
      </c>
      <c r="H2210" s="19" t="n">
        <f aca="false">IFERROR(VALUE(SUBSTITUTE(TRIM('수출입 실적(품목별)'!E2214),",","")),"")</f>
        <v>7915</v>
      </c>
      <c r="I2210" s="18" t="n">
        <f aca="false">IFERROR(VALUE(SUBSTITUTE(TRIM('수출입 실적(품목별)'!F2214),",","")),"")</f>
        <v>761.2</v>
      </c>
      <c r="J2210" s="19" t="n">
        <f aca="false">IFERROR(VALUE(SUBSTITUTE(TRIM('수출입 실적(품목별)'!G2214),",","")),"")</f>
        <v>15664</v>
      </c>
      <c r="K2210" s="19" t="n">
        <f aca="false">IFERROR(VALUE(SUBSTITUTE(TRIM('수출입 실적(품목별)'!H2214),",","")),"")</f>
        <v>-7748</v>
      </c>
    </row>
    <row r="2211" customFormat="false" ht="15" hidden="false" customHeight="true" outlineLevel="0" collapsed="false">
      <c r="A2211" s="11" t="str">
        <f aca="false">TRIM('수출입 실적(품목별)'!A2215)</f>
        <v>2025.11</v>
      </c>
      <c r="B2211" s="17" t="n">
        <f aca="false">IFERROR(VALUE(LEFT($A2211,4)),"")</f>
        <v>2025</v>
      </c>
      <c r="C2211" s="17" t="n">
        <f aca="false">IFERROR(VALUE(RIGHT($A2211,2)),"")</f>
        <v>11</v>
      </c>
      <c r="D2211" s="17" t="n">
        <f aca="false">IFERROR(ROUNDUP($C2211/3,0),"")</f>
        <v>4</v>
      </c>
      <c r="E2211" s="11" t="str">
        <f aca="false">TRIM('수출입 실적(품목별)'!B2215)</f>
        <v>93</v>
      </c>
      <c r="F2211" s="11" t="str">
        <f aca="false">TRIM('수출입 실적(품목별)'!C2215)</f>
        <v>무기ㆍ총포탄과 이들의 부분품과 부속품</v>
      </c>
      <c r="G2211" s="18" t="n">
        <f aca="false">IFERROR(VALUE(SUBSTITUTE(TRIM('수출입 실적(품목별)'!D2215),",","")),"")</f>
        <v>3768.3</v>
      </c>
      <c r="H2211" s="19" t="n">
        <f aca="false">IFERROR(VALUE(SUBSTITUTE(TRIM('수출입 실적(품목별)'!E2215),",","")),"")</f>
        <v>344118</v>
      </c>
      <c r="I2211" s="18" t="n">
        <f aca="false">IFERROR(VALUE(SUBSTITUTE(TRIM('수출입 실적(품목별)'!F2215),",","")),"")</f>
        <v>179.6</v>
      </c>
      <c r="J2211" s="19" t="n">
        <f aca="false">IFERROR(VALUE(SUBSTITUTE(TRIM('수출입 실적(품목별)'!G2215),",","")),"")</f>
        <v>47113</v>
      </c>
      <c r="K2211" s="19" t="n">
        <f aca="false">IFERROR(VALUE(SUBSTITUTE(TRIM('수출입 실적(품목별)'!H2215),",","")),"")</f>
        <v>297004</v>
      </c>
    </row>
    <row r="2212" customFormat="false" ht="15" hidden="false" customHeight="true" outlineLevel="0" collapsed="false">
      <c r="A2212" s="11" t="str">
        <f aca="false">TRIM('수출입 실적(품목별)'!A2216)</f>
        <v>2025.11</v>
      </c>
      <c r="B2212" s="17" t="n">
        <f aca="false">IFERROR(VALUE(LEFT($A2212,4)),"")</f>
        <v>2025</v>
      </c>
      <c r="C2212" s="17" t="n">
        <f aca="false">IFERROR(VALUE(RIGHT($A2212,2)),"")</f>
        <v>11</v>
      </c>
      <c r="D2212" s="17" t="n">
        <f aca="false">IFERROR(ROUNDUP($C2212/3,0),"")</f>
        <v>4</v>
      </c>
      <c r="E2212" s="11" t="str">
        <f aca="false">TRIM('수출입 실적(품목별)'!B2216)</f>
        <v>94</v>
      </c>
      <c r="F2212" s="11" t="str">
        <f aca="false">TRIM('수출입 실적(품목별)'!C2216)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212" s="18" t="n">
        <f aca="false">IFERROR(VALUE(SUBSTITUTE(TRIM('수출입 실적(품목별)'!D2216),",","")),"")</f>
        <v>14766.6</v>
      </c>
      <c r="H2212" s="19" t="n">
        <f aca="false">IFERROR(VALUE(SUBSTITUTE(TRIM('수출입 실적(품목별)'!E2216),",","")),"")</f>
        <v>108427</v>
      </c>
      <c r="I2212" s="18" t="n">
        <f aca="false">IFERROR(VALUE(SUBSTITUTE(TRIM('수출입 실적(품목별)'!F2216),",","")),"")</f>
        <v>77726.3</v>
      </c>
      <c r="J2212" s="19" t="n">
        <f aca="false">IFERROR(VALUE(SUBSTITUTE(TRIM('수출입 실적(품목별)'!G2216),",","")),"")</f>
        <v>323023</v>
      </c>
      <c r="K2212" s="19" t="n">
        <f aca="false">IFERROR(VALUE(SUBSTITUTE(TRIM('수출입 실적(품목별)'!H2216),",","")),"")</f>
        <v>-214596</v>
      </c>
    </row>
    <row r="2213" customFormat="false" ht="15" hidden="false" customHeight="true" outlineLevel="0" collapsed="false">
      <c r="A2213" s="11" t="str">
        <f aca="false">TRIM('수출입 실적(품목별)'!A2217)</f>
        <v>2025.11</v>
      </c>
      <c r="B2213" s="17" t="n">
        <f aca="false">IFERROR(VALUE(LEFT($A2213,4)),"")</f>
        <v>2025</v>
      </c>
      <c r="C2213" s="17" t="n">
        <f aca="false">IFERROR(VALUE(RIGHT($A2213,2)),"")</f>
        <v>11</v>
      </c>
      <c r="D2213" s="17" t="n">
        <f aca="false">IFERROR(ROUNDUP($C2213/3,0),"")</f>
        <v>4</v>
      </c>
      <c r="E2213" s="11" t="str">
        <f aca="false">TRIM('수출입 실적(품목별)'!B2217)</f>
        <v>95</v>
      </c>
      <c r="F2213" s="11" t="str">
        <f aca="false">TRIM('수출입 실적(품목별)'!C2217)</f>
        <v>완구ㆍ게임용구ㆍ운동용구와 이들의 부분품과 부속품</v>
      </c>
      <c r="G2213" s="18" t="n">
        <f aca="false">IFERROR(VALUE(SUBSTITUTE(TRIM('수출입 실적(품목별)'!D2217),",","")),"")</f>
        <v>2466.1</v>
      </c>
      <c r="H2213" s="19" t="n">
        <f aca="false">IFERROR(VALUE(SUBSTITUTE(TRIM('수출입 실적(품목별)'!E2217),",","")),"")</f>
        <v>58095</v>
      </c>
      <c r="I2213" s="18" t="n">
        <f aca="false">IFERROR(VALUE(SUBSTITUTE(TRIM('수출입 실적(품목별)'!F2217),",","")),"")</f>
        <v>15622.9</v>
      </c>
      <c r="J2213" s="19" t="n">
        <f aca="false">IFERROR(VALUE(SUBSTITUTE(TRIM('수출입 실적(품목별)'!G2217),",","")),"")</f>
        <v>241512</v>
      </c>
      <c r="K2213" s="19" t="n">
        <f aca="false">IFERROR(VALUE(SUBSTITUTE(TRIM('수출입 실적(품목별)'!H2217),",","")),"")</f>
        <v>-183417</v>
      </c>
    </row>
    <row r="2214" customFormat="false" ht="15" hidden="false" customHeight="true" outlineLevel="0" collapsed="false">
      <c r="A2214" s="11" t="str">
        <f aca="false">TRIM('수출입 실적(품목별)'!A2218)</f>
        <v>2025.11</v>
      </c>
      <c r="B2214" s="17" t="n">
        <f aca="false">IFERROR(VALUE(LEFT($A2214,4)),"")</f>
        <v>2025</v>
      </c>
      <c r="C2214" s="17" t="n">
        <f aca="false">IFERROR(VALUE(RIGHT($A2214,2)),"")</f>
        <v>11</v>
      </c>
      <c r="D2214" s="17" t="n">
        <f aca="false">IFERROR(ROUNDUP($C2214/3,0),"")</f>
        <v>4</v>
      </c>
      <c r="E2214" s="11" t="str">
        <f aca="false">TRIM('수출입 실적(품목별)'!B2218)</f>
        <v>96</v>
      </c>
      <c r="F2214" s="11" t="str">
        <f aca="false">TRIM('수출입 실적(품목별)'!C2218)</f>
        <v>잡품</v>
      </c>
      <c r="G2214" s="18" t="n">
        <f aca="false">IFERROR(VALUE(SUBSTITUTE(TRIM('수출입 실적(품목별)'!D2218),",","")),"")</f>
        <v>2357.7</v>
      </c>
      <c r="H2214" s="19" t="n">
        <f aca="false">IFERROR(VALUE(SUBSTITUTE(TRIM('수출입 실적(품목별)'!E2218),",","")),"")</f>
        <v>37757</v>
      </c>
      <c r="I2214" s="18" t="n">
        <f aca="false">IFERROR(VALUE(SUBSTITUTE(TRIM('수출입 실적(품목별)'!F2218),",","")),"")</f>
        <v>10548.5</v>
      </c>
      <c r="J2214" s="19" t="n">
        <f aca="false">IFERROR(VALUE(SUBSTITUTE(TRIM('수출입 실적(품목별)'!G2218),",","")),"")</f>
        <v>84149</v>
      </c>
      <c r="K2214" s="19" t="n">
        <f aca="false">IFERROR(VALUE(SUBSTITUTE(TRIM('수출입 실적(품목별)'!H2218),",","")),"")</f>
        <v>-46393</v>
      </c>
    </row>
    <row r="2215" customFormat="false" ht="15" hidden="false" customHeight="true" outlineLevel="0" collapsed="false">
      <c r="A2215" s="11" t="str">
        <f aca="false">TRIM('수출입 실적(품목별)'!A2219)</f>
        <v>2025.11</v>
      </c>
      <c r="B2215" s="17" t="n">
        <f aca="false">IFERROR(VALUE(LEFT($A2215,4)),"")</f>
        <v>2025</v>
      </c>
      <c r="C2215" s="17" t="n">
        <f aca="false">IFERROR(VALUE(RIGHT($A2215,2)),"")</f>
        <v>11</v>
      </c>
      <c r="D2215" s="17" t="n">
        <f aca="false">IFERROR(ROUNDUP($C2215/3,0),"")</f>
        <v>4</v>
      </c>
      <c r="E2215" s="11" t="str">
        <f aca="false">TRIM('수출입 실적(품목별)'!B2219)</f>
        <v>97</v>
      </c>
      <c r="F2215" s="11" t="str">
        <f aca="false">TRIM('수출입 실적(품목별)'!C2219)</f>
        <v>예술품ㆍ수집품ㆍ골동품</v>
      </c>
      <c r="G2215" s="18" t="n">
        <f aca="false">IFERROR(VALUE(SUBSTITUTE(TRIM('수출입 실적(품목별)'!D2219),",","")),"")</f>
        <v>12.9</v>
      </c>
      <c r="H2215" s="19" t="n">
        <f aca="false">IFERROR(VALUE(SUBSTITUTE(TRIM('수출입 실적(품목별)'!E2219),",","")),"")</f>
        <v>14417</v>
      </c>
      <c r="I2215" s="18" t="n">
        <f aca="false">IFERROR(VALUE(SUBSTITUTE(TRIM('수출입 실적(품목별)'!F2219),",","")),"")</f>
        <v>81.5</v>
      </c>
      <c r="J2215" s="19" t="n">
        <f aca="false">IFERROR(VALUE(SUBSTITUTE(TRIM('수출입 실적(품목별)'!G2219),",","")),"")</f>
        <v>44623</v>
      </c>
      <c r="K2215" s="19" t="n">
        <f aca="false">IFERROR(VALUE(SUBSTITUTE(TRIM('수출입 실적(품목별)'!H2219),",","")),"")</f>
        <v>-30206</v>
      </c>
    </row>
    <row r="2216" customFormat="false" ht="15" hidden="false" customHeight="true" outlineLevel="0" collapsed="false">
      <c r="A2216" s="11" t="str">
        <f aca="false">TRIM('수출입 실적(품목별)'!A2220)</f>
        <v>2025.12</v>
      </c>
      <c r="B2216" s="17" t="n">
        <f aca="false">IFERROR(VALUE(LEFT($A2216,4)),"")</f>
        <v>2025</v>
      </c>
      <c r="C2216" s="17" t="n">
        <f aca="false">IFERROR(VALUE(RIGHT($A2216,2)),"")</f>
        <v>12</v>
      </c>
      <c r="D2216" s="17" t="n">
        <f aca="false">IFERROR(ROUNDUP($C2216/3,0),"")</f>
        <v>4</v>
      </c>
      <c r="E2216" s="11" t="str">
        <f aca="false">TRIM('수출입 실적(품목별)'!B2220)</f>
        <v>01</v>
      </c>
      <c r="F2216" s="11" t="str">
        <f aca="false">TRIM('수출입 실적(품목별)'!C2220)</f>
        <v>살아 있는 동물</v>
      </c>
      <c r="G2216" s="18" t="n">
        <f aca="false">IFERROR(VALUE(SUBSTITUTE(TRIM('수출입 실적(품목별)'!D2220),",","")),"")</f>
        <v>1.8</v>
      </c>
      <c r="H2216" s="19" t="n">
        <f aca="false">IFERROR(VALUE(SUBSTITUTE(TRIM('수출입 실적(품목별)'!E2220),",","")),"")</f>
        <v>986</v>
      </c>
      <c r="I2216" s="18" t="n">
        <f aca="false">IFERROR(VALUE(SUBSTITUTE(TRIM('수출입 실적(품목별)'!F2220),",","")),"")</f>
        <v>150.6</v>
      </c>
      <c r="J2216" s="19" t="n">
        <f aca="false">IFERROR(VALUE(SUBSTITUTE(TRIM('수출입 실적(품목별)'!G2220),",","")),"")</f>
        <v>7127</v>
      </c>
      <c r="K2216" s="19" t="n">
        <f aca="false">IFERROR(VALUE(SUBSTITUTE(TRIM('수출입 실적(품목별)'!H2220),",","")),"")</f>
        <v>-6142</v>
      </c>
    </row>
    <row r="2217" customFormat="false" ht="15" hidden="false" customHeight="true" outlineLevel="0" collapsed="false">
      <c r="A2217" s="11" t="str">
        <f aca="false">TRIM('수출입 실적(품목별)'!A2221)</f>
        <v>2025.12</v>
      </c>
      <c r="B2217" s="17" t="n">
        <f aca="false">IFERROR(VALUE(LEFT($A2217,4)),"")</f>
        <v>2025</v>
      </c>
      <c r="C2217" s="17" t="n">
        <f aca="false">IFERROR(VALUE(RIGHT($A2217,2)),"")</f>
        <v>12</v>
      </c>
      <c r="D2217" s="17" t="n">
        <f aca="false">IFERROR(ROUNDUP($C2217/3,0),"")</f>
        <v>4</v>
      </c>
      <c r="E2217" s="11" t="str">
        <f aca="false">TRIM('수출입 실적(품목별)'!B2221)</f>
        <v>02</v>
      </c>
      <c r="F2217" s="11" t="str">
        <f aca="false">TRIM('수출입 실적(품목별)'!C2221)</f>
        <v>육과 식용 설육(屑肉)</v>
      </c>
      <c r="G2217" s="18" t="n">
        <f aca="false">IFERROR(VALUE(SUBSTITUTE(TRIM('수출입 실적(품목별)'!D2221),",","")),"")</f>
        <v>5325.6</v>
      </c>
      <c r="H2217" s="19" t="n">
        <f aca="false">IFERROR(VALUE(SUBSTITUTE(TRIM('수출입 실적(품목별)'!E2221),",","")),"")</f>
        <v>8391</v>
      </c>
      <c r="I2217" s="18" t="n">
        <f aca="false">IFERROR(VALUE(SUBSTITUTE(TRIM('수출입 실적(품목별)'!F2221),",","")),"")</f>
        <v>96650</v>
      </c>
      <c r="J2217" s="19" t="n">
        <f aca="false">IFERROR(VALUE(SUBSTITUTE(TRIM('수출입 실적(품목별)'!G2221),",","")),"")</f>
        <v>454120</v>
      </c>
      <c r="K2217" s="19" t="n">
        <f aca="false">IFERROR(VALUE(SUBSTITUTE(TRIM('수출입 실적(품목별)'!H2221),",","")),"")</f>
        <v>-445729</v>
      </c>
    </row>
    <row r="2218" customFormat="false" ht="15" hidden="false" customHeight="true" outlineLevel="0" collapsed="false">
      <c r="A2218" s="11" t="str">
        <f aca="false">TRIM('수출입 실적(품목별)'!A2222)</f>
        <v>2025.12</v>
      </c>
      <c r="B2218" s="17" t="n">
        <f aca="false">IFERROR(VALUE(LEFT($A2218,4)),"")</f>
        <v>2025</v>
      </c>
      <c r="C2218" s="17" t="n">
        <f aca="false">IFERROR(VALUE(RIGHT($A2218,2)),"")</f>
        <v>12</v>
      </c>
      <c r="D2218" s="17" t="n">
        <f aca="false">IFERROR(ROUNDUP($C2218/3,0),"")</f>
        <v>4</v>
      </c>
      <c r="E2218" s="11" t="str">
        <f aca="false">TRIM('수출입 실적(품목별)'!B2222)</f>
        <v>03</v>
      </c>
      <c r="F2218" s="11" t="str">
        <f aca="false">TRIM('수출입 실적(품목별)'!C2222)</f>
        <v>어류ㆍ갑각류ㆍ연체동물과 그 밖의 수생(水生) 무척추동물</v>
      </c>
      <c r="G2218" s="18" t="n">
        <f aca="false">IFERROR(VALUE(SUBSTITUTE(TRIM('수출입 실적(품목별)'!D2222),",","")),"")</f>
        <v>72264.3</v>
      </c>
      <c r="H2218" s="19" t="n">
        <f aca="false">IFERROR(VALUE(SUBSTITUTE(TRIM('수출입 실적(품목별)'!E2222),",","")),"")</f>
        <v>203518</v>
      </c>
      <c r="I2218" s="18" t="n">
        <f aca="false">IFERROR(VALUE(SUBSTITUTE(TRIM('수출입 실적(품목별)'!F2222),",","")),"")</f>
        <v>124589.6</v>
      </c>
      <c r="J2218" s="19" t="n">
        <f aca="false">IFERROR(VALUE(SUBSTITUTE(TRIM('수출입 실적(품목별)'!G2222),",","")),"")</f>
        <v>551878</v>
      </c>
      <c r="K2218" s="19" t="n">
        <f aca="false">IFERROR(VALUE(SUBSTITUTE(TRIM('수출입 실적(품목별)'!H2222),",","")),"")</f>
        <v>-348360</v>
      </c>
    </row>
    <row r="2219" customFormat="false" ht="15" hidden="false" customHeight="true" outlineLevel="0" collapsed="false">
      <c r="A2219" s="11" t="str">
        <f aca="false">TRIM('수출입 실적(품목별)'!A2223)</f>
        <v>2025.12</v>
      </c>
      <c r="B2219" s="17" t="n">
        <f aca="false">IFERROR(VALUE(LEFT($A2219,4)),"")</f>
        <v>2025</v>
      </c>
      <c r="C2219" s="17" t="n">
        <f aca="false">IFERROR(VALUE(RIGHT($A2219,2)),"")</f>
        <v>12</v>
      </c>
      <c r="D2219" s="17" t="n">
        <f aca="false">IFERROR(ROUNDUP($C2219/3,0),"")</f>
        <v>4</v>
      </c>
      <c r="E2219" s="11" t="str">
        <f aca="false">TRIM('수출입 실적(품목별)'!B2223)</f>
        <v>04</v>
      </c>
      <c r="F2219" s="11" t="str">
        <f aca="false">TRIM('수출입 실적(품목별)'!C2223)</f>
        <v>낙농품, 새의 알, 천연꿀, 다른 류로 분류되지 않은 식용인 동물성 생산품</v>
      </c>
      <c r="G2219" s="18" t="n">
        <f aca="false">IFERROR(VALUE(SUBSTITUTE(TRIM('수출입 실적(품목별)'!D2223),",","")),"")</f>
        <v>3233.9</v>
      </c>
      <c r="H2219" s="19" t="n">
        <f aca="false">IFERROR(VALUE(SUBSTITUTE(TRIM('수출입 실적(품목별)'!E2223),",","")),"")</f>
        <v>8647</v>
      </c>
      <c r="I2219" s="18" t="n">
        <f aca="false">IFERROR(VALUE(SUBSTITUTE(TRIM('수출입 실적(품목별)'!F2223),",","")),"")</f>
        <v>32271.6</v>
      </c>
      <c r="J2219" s="19" t="n">
        <f aca="false">IFERROR(VALUE(SUBSTITUTE(TRIM('수출입 실적(품목별)'!G2223),",","")),"")</f>
        <v>143192</v>
      </c>
      <c r="K2219" s="19" t="n">
        <f aca="false">IFERROR(VALUE(SUBSTITUTE(TRIM('수출입 실적(품목별)'!H2223),",","")),"")</f>
        <v>-134545</v>
      </c>
    </row>
    <row r="2220" customFormat="false" ht="15" hidden="false" customHeight="true" outlineLevel="0" collapsed="false">
      <c r="A2220" s="11" t="str">
        <f aca="false">TRIM('수출입 실적(품목별)'!A2224)</f>
        <v>2025.12</v>
      </c>
      <c r="B2220" s="17" t="n">
        <f aca="false">IFERROR(VALUE(LEFT($A2220,4)),"")</f>
        <v>2025</v>
      </c>
      <c r="C2220" s="17" t="n">
        <f aca="false">IFERROR(VALUE(RIGHT($A2220,2)),"")</f>
        <v>12</v>
      </c>
      <c r="D2220" s="17" t="n">
        <f aca="false">IFERROR(ROUNDUP($C2220/3,0),"")</f>
        <v>4</v>
      </c>
      <c r="E2220" s="11" t="str">
        <f aca="false">TRIM('수출입 실적(품목별)'!B2224)</f>
        <v>05</v>
      </c>
      <c r="F2220" s="11" t="str">
        <f aca="false">TRIM('수출입 실적(품목별)'!C2224)</f>
        <v>다른 류로 분류되지 않은 동물성 생산품</v>
      </c>
      <c r="G2220" s="18" t="n">
        <f aca="false">IFERROR(VALUE(SUBSTITUTE(TRIM('수출입 실적(품목별)'!D2224),",","")),"")</f>
        <v>1281.1</v>
      </c>
      <c r="H2220" s="19" t="n">
        <f aca="false">IFERROR(VALUE(SUBSTITUTE(TRIM('수출입 실적(품목별)'!E2224),",","")),"")</f>
        <v>4392</v>
      </c>
      <c r="I2220" s="18" t="n">
        <f aca="false">IFERROR(VALUE(SUBSTITUTE(TRIM('수출입 실적(품목별)'!F2224),",","")),"")</f>
        <v>4108.1</v>
      </c>
      <c r="J2220" s="19" t="n">
        <f aca="false">IFERROR(VALUE(SUBSTITUTE(TRIM('수출입 실적(품목별)'!G2224),",","")),"")</f>
        <v>20489</v>
      </c>
      <c r="K2220" s="19" t="n">
        <f aca="false">IFERROR(VALUE(SUBSTITUTE(TRIM('수출입 실적(품목별)'!H2224),",","")),"")</f>
        <v>-16097</v>
      </c>
    </row>
    <row r="2221" customFormat="false" ht="15" hidden="false" customHeight="true" outlineLevel="0" collapsed="false">
      <c r="A2221" s="11" t="str">
        <f aca="false">TRIM('수출입 실적(품목별)'!A2225)</f>
        <v>2025.12</v>
      </c>
      <c r="B2221" s="17" t="n">
        <f aca="false">IFERROR(VALUE(LEFT($A2221,4)),"")</f>
        <v>2025</v>
      </c>
      <c r="C2221" s="17" t="n">
        <f aca="false">IFERROR(VALUE(RIGHT($A2221,2)),"")</f>
        <v>12</v>
      </c>
      <c r="D2221" s="17" t="n">
        <f aca="false">IFERROR(ROUNDUP($C2221/3,0),"")</f>
        <v>4</v>
      </c>
      <c r="E2221" s="11" t="str">
        <f aca="false">TRIM('수출입 실적(품목별)'!B2225)</f>
        <v>06</v>
      </c>
      <c r="F2221" s="11" t="str">
        <f aca="false">TRIM('수출입 실적(품목별)'!C2225)</f>
        <v>살아 있는 수목과 그 밖의 식물, 인경(鱗莖)ㆍ뿌리와 이와 유사한 물품, 절화(切花)와 장식용 잎</v>
      </c>
      <c r="G2221" s="18" t="n">
        <f aca="false">IFERROR(VALUE(SUBSTITUTE(TRIM('수출입 실적(품목별)'!D2225),",","")),"")</f>
        <v>40.7</v>
      </c>
      <c r="H2221" s="19" t="n">
        <f aca="false">IFERROR(VALUE(SUBSTITUTE(TRIM('수출입 실적(품목별)'!E2225),",","")),"")</f>
        <v>593</v>
      </c>
      <c r="I2221" s="18" t="n">
        <f aca="false">IFERROR(VALUE(SUBSTITUTE(TRIM('수출입 실적(품목별)'!F2225),",","")),"")</f>
        <v>11040.2</v>
      </c>
      <c r="J2221" s="19" t="n">
        <f aca="false">IFERROR(VALUE(SUBSTITUTE(TRIM('수출입 실적(품목별)'!G2225),",","")),"")</f>
        <v>19085</v>
      </c>
      <c r="K2221" s="19" t="n">
        <f aca="false">IFERROR(VALUE(SUBSTITUTE(TRIM('수출입 실적(품목별)'!H2225),",","")),"")</f>
        <v>-18492</v>
      </c>
    </row>
    <row r="2222" customFormat="false" ht="15" hidden="false" customHeight="true" outlineLevel="0" collapsed="false">
      <c r="A2222" s="11" t="str">
        <f aca="false">TRIM('수출입 실적(품목별)'!A2226)</f>
        <v>2025.12</v>
      </c>
      <c r="B2222" s="17" t="n">
        <f aca="false">IFERROR(VALUE(LEFT($A2222,4)),"")</f>
        <v>2025</v>
      </c>
      <c r="C2222" s="17" t="n">
        <f aca="false">IFERROR(VALUE(RIGHT($A2222,2)),"")</f>
        <v>12</v>
      </c>
      <c r="D2222" s="17" t="n">
        <f aca="false">IFERROR(ROUNDUP($C2222/3,0),"")</f>
        <v>4</v>
      </c>
      <c r="E2222" s="11" t="str">
        <f aca="false">TRIM('수출입 실적(품목별)'!B2226)</f>
        <v>07</v>
      </c>
      <c r="F2222" s="11" t="str">
        <f aca="false">TRIM('수출입 실적(품목별)'!C2226)</f>
        <v>식용의 채소ㆍ뿌리ㆍ괴경(塊莖)</v>
      </c>
      <c r="G2222" s="18" t="n">
        <f aca="false">IFERROR(VALUE(SUBSTITUTE(TRIM('수출입 실적(품목별)'!D2226),",","")),"")</f>
        <v>5400.7</v>
      </c>
      <c r="H2222" s="19" t="n">
        <f aca="false">IFERROR(VALUE(SUBSTITUTE(TRIM('수출입 실적(품목별)'!E2226),",","")),"")</f>
        <v>11424</v>
      </c>
      <c r="I2222" s="18" t="n">
        <f aca="false">IFERROR(VALUE(SUBSTITUTE(TRIM('수출입 실적(품목별)'!F2226),",","")),"")</f>
        <v>101326.4</v>
      </c>
      <c r="J2222" s="19" t="n">
        <f aca="false">IFERROR(VALUE(SUBSTITUTE(TRIM('수출입 실적(품목별)'!G2226),",","")),"")</f>
        <v>78714</v>
      </c>
      <c r="K2222" s="19" t="n">
        <f aca="false">IFERROR(VALUE(SUBSTITUTE(TRIM('수출입 실적(품목별)'!H2226),",","")),"")</f>
        <v>-67290</v>
      </c>
    </row>
    <row r="2223" customFormat="false" ht="15" hidden="false" customHeight="true" outlineLevel="0" collapsed="false">
      <c r="A2223" s="11" t="str">
        <f aca="false">TRIM('수출입 실적(품목별)'!A2227)</f>
        <v>2025.12</v>
      </c>
      <c r="B2223" s="17" t="n">
        <f aca="false">IFERROR(VALUE(LEFT($A2223,4)),"")</f>
        <v>2025</v>
      </c>
      <c r="C2223" s="17" t="n">
        <f aca="false">IFERROR(VALUE(RIGHT($A2223,2)),"")</f>
        <v>12</v>
      </c>
      <c r="D2223" s="17" t="n">
        <f aca="false">IFERROR(ROUNDUP($C2223/3,0),"")</f>
        <v>4</v>
      </c>
      <c r="E2223" s="11" t="str">
        <f aca="false">TRIM('수출입 실적(품목별)'!B2227)</f>
        <v>08</v>
      </c>
      <c r="F2223" s="11" t="str">
        <f aca="false">TRIM('수출입 실적(품목별)'!C2227)</f>
        <v>식용의 과실과 견과류, 감귤류ㆍ멜론의 껍질</v>
      </c>
      <c r="G2223" s="18" t="n">
        <f aca="false">IFERROR(VALUE(SUBSTITUTE(TRIM('수출입 실적(품목별)'!D2227),",","")),"")</f>
        <v>9261.3</v>
      </c>
      <c r="H2223" s="19" t="n">
        <f aca="false">IFERROR(VALUE(SUBSTITUTE(TRIM('수출입 실적(품목별)'!E2227),",","")),"")</f>
        <v>52188</v>
      </c>
      <c r="I2223" s="18" t="n">
        <f aca="false">IFERROR(VALUE(SUBSTITUTE(TRIM('수출입 실적(품목별)'!F2227),",","")),"")</f>
        <v>55106</v>
      </c>
      <c r="J2223" s="19" t="n">
        <f aca="false">IFERROR(VALUE(SUBSTITUTE(TRIM('수출입 실적(품목별)'!G2227),",","")),"")</f>
        <v>144864</v>
      </c>
      <c r="K2223" s="19" t="n">
        <f aca="false">IFERROR(VALUE(SUBSTITUTE(TRIM('수출입 실적(품목별)'!H2227),",","")),"")</f>
        <v>-92677</v>
      </c>
    </row>
    <row r="2224" customFormat="false" ht="15" hidden="false" customHeight="true" outlineLevel="0" collapsed="false">
      <c r="A2224" s="11" t="str">
        <f aca="false">TRIM('수출입 실적(품목별)'!A2228)</f>
        <v>2025.12</v>
      </c>
      <c r="B2224" s="17" t="n">
        <f aca="false">IFERROR(VALUE(LEFT($A2224,4)),"")</f>
        <v>2025</v>
      </c>
      <c r="C2224" s="17" t="n">
        <f aca="false">IFERROR(VALUE(RIGHT($A2224,2)),"")</f>
        <v>12</v>
      </c>
      <c r="D2224" s="17" t="n">
        <f aca="false">IFERROR(ROUNDUP($C2224/3,0),"")</f>
        <v>4</v>
      </c>
      <c r="E2224" s="11" t="str">
        <f aca="false">TRIM('수출입 실적(품목별)'!B2228)</f>
        <v>09</v>
      </c>
      <c r="F2224" s="11" t="str">
        <f aca="false">TRIM('수출입 실적(품목별)'!C2228)</f>
        <v>커피ㆍ차ㆍ마테(maté)ㆍ향신료</v>
      </c>
      <c r="G2224" s="18" t="n">
        <f aca="false">IFERROR(VALUE(SUBSTITUTE(TRIM('수출입 실적(품목별)'!D2228),",","")),"")</f>
        <v>508.2</v>
      </c>
      <c r="H2224" s="19" t="n">
        <f aca="false">IFERROR(VALUE(SUBSTITUTE(TRIM('수출입 실적(품목별)'!E2228),",","")),"")</f>
        <v>4454</v>
      </c>
      <c r="I2224" s="18" t="n">
        <f aca="false">IFERROR(VALUE(SUBSTITUTE(TRIM('수출입 실적(품목별)'!F2228),",","")),"")</f>
        <v>16019.1</v>
      </c>
      <c r="J2224" s="19" t="n">
        <f aca="false">IFERROR(VALUE(SUBSTITUTE(TRIM('수출입 실적(품목별)'!G2228),",","")),"")</f>
        <v>133584</v>
      </c>
      <c r="K2224" s="19" t="n">
        <f aca="false">IFERROR(VALUE(SUBSTITUTE(TRIM('수출입 실적(품목별)'!H2228),",","")),"")</f>
        <v>-129131</v>
      </c>
    </row>
    <row r="2225" customFormat="false" ht="15" hidden="false" customHeight="true" outlineLevel="0" collapsed="false">
      <c r="A2225" s="11" t="str">
        <f aca="false">TRIM('수출입 실적(품목별)'!A2229)</f>
        <v>2025.12</v>
      </c>
      <c r="B2225" s="17" t="n">
        <f aca="false">IFERROR(VALUE(LEFT($A2225,4)),"")</f>
        <v>2025</v>
      </c>
      <c r="C2225" s="17" t="n">
        <f aca="false">IFERROR(VALUE(RIGHT($A2225,2)),"")</f>
        <v>12</v>
      </c>
      <c r="D2225" s="17" t="n">
        <f aca="false">IFERROR(ROUNDUP($C2225/3,0),"")</f>
        <v>4</v>
      </c>
      <c r="E2225" s="11" t="str">
        <f aca="false">TRIM('수출입 실적(품목별)'!B2229)</f>
        <v>10</v>
      </c>
      <c r="F2225" s="11" t="str">
        <f aca="false">TRIM('수출입 실적(품목별)'!C2229)</f>
        <v>곡물</v>
      </c>
      <c r="G2225" s="18" t="n">
        <f aca="false">IFERROR(VALUE(SUBSTITUTE(TRIM('수출입 실적(품목별)'!D2229),",","")),"")</f>
        <v>6272.2</v>
      </c>
      <c r="H2225" s="19" t="n">
        <f aca="false">IFERROR(VALUE(SUBSTITUTE(TRIM('수출입 실적(품목별)'!E2229),",","")),"")</f>
        <v>9768</v>
      </c>
      <c r="I2225" s="18" t="n">
        <f aca="false">IFERROR(VALUE(SUBSTITUTE(TRIM('수출입 실적(품목별)'!F2229),",","")),"")</f>
        <v>1505644.3</v>
      </c>
      <c r="J2225" s="19" t="n">
        <f aca="false">IFERROR(VALUE(SUBSTITUTE(TRIM('수출입 실적(품목별)'!G2229),",","")),"")</f>
        <v>410763</v>
      </c>
      <c r="K2225" s="19" t="n">
        <f aca="false">IFERROR(VALUE(SUBSTITUTE(TRIM('수출입 실적(품목별)'!H2229),",","")),"")</f>
        <v>-400995</v>
      </c>
    </row>
    <row r="2226" customFormat="false" ht="15" hidden="false" customHeight="true" outlineLevel="0" collapsed="false">
      <c r="A2226" s="11" t="str">
        <f aca="false">TRIM('수출입 실적(품목별)'!A2230)</f>
        <v>2025.12</v>
      </c>
      <c r="B2226" s="17" t="n">
        <f aca="false">IFERROR(VALUE(LEFT($A2226,4)),"")</f>
        <v>2025</v>
      </c>
      <c r="C2226" s="17" t="n">
        <f aca="false">IFERROR(VALUE(RIGHT($A2226,2)),"")</f>
        <v>12</v>
      </c>
      <c r="D2226" s="17" t="n">
        <f aca="false">IFERROR(ROUNDUP($C2226/3,0),"")</f>
        <v>4</v>
      </c>
      <c r="E2226" s="11" t="str">
        <f aca="false">TRIM('수출입 실적(품목별)'!B2230)</f>
        <v>11</v>
      </c>
      <c r="F2226" s="11" t="str">
        <f aca="false">TRIM('수출입 실적(품목별)'!C2230)</f>
        <v>제분공업의 생산품과 맥아, 전분, 이눌린(inulin), 밀의 글루텐(gluten)</v>
      </c>
      <c r="G2226" s="18" t="n">
        <f aca="false">IFERROR(VALUE(SUBSTITUTE(TRIM('수출입 실적(품목별)'!D2230),",","")),"")</f>
        <v>5455.9</v>
      </c>
      <c r="H2226" s="19" t="n">
        <f aca="false">IFERROR(VALUE(SUBSTITUTE(TRIM('수출입 실적(품목별)'!E2230),",","")),"")</f>
        <v>3658</v>
      </c>
      <c r="I2226" s="18" t="n">
        <f aca="false">IFERROR(VALUE(SUBSTITUTE(TRIM('수출입 실적(품목별)'!F2230),",","")),"")</f>
        <v>44517.8</v>
      </c>
      <c r="J2226" s="19" t="n">
        <f aca="false">IFERROR(VALUE(SUBSTITUTE(TRIM('수출입 실적(품목별)'!G2230),",","")),"")</f>
        <v>34872</v>
      </c>
      <c r="K2226" s="19" t="n">
        <f aca="false">IFERROR(VALUE(SUBSTITUTE(TRIM('수출입 실적(품목별)'!H2230),",","")),"")</f>
        <v>-31214</v>
      </c>
    </row>
    <row r="2227" customFormat="false" ht="15" hidden="false" customHeight="true" outlineLevel="0" collapsed="false">
      <c r="A2227" s="11" t="str">
        <f aca="false">TRIM('수출입 실적(품목별)'!A2231)</f>
        <v>2025.12</v>
      </c>
      <c r="B2227" s="17" t="n">
        <f aca="false">IFERROR(VALUE(LEFT($A2227,4)),"")</f>
        <v>2025</v>
      </c>
      <c r="C2227" s="17" t="n">
        <f aca="false">IFERROR(VALUE(RIGHT($A2227,2)),"")</f>
        <v>12</v>
      </c>
      <c r="D2227" s="17" t="n">
        <f aca="false">IFERROR(ROUNDUP($C2227/3,0),"")</f>
        <v>4</v>
      </c>
      <c r="E2227" s="11" t="str">
        <f aca="false">TRIM('수출입 실적(품목별)'!B2231)</f>
        <v>12</v>
      </c>
      <c r="F2227" s="11" t="str">
        <f aca="false">TRIM('수출입 실적(품목별)'!C2231)</f>
        <v>채유(採油)에 적합한 종자와 과실, 각종 종자와 과실, 공업용ㆍ의약용 식물, 짚과 사료용 식물</v>
      </c>
      <c r="G2227" s="18" t="n">
        <f aca="false">IFERROR(VALUE(SUBSTITUTE(TRIM('수출입 실적(품목별)'!D2231),",","")),"")</f>
        <v>1874.7</v>
      </c>
      <c r="H2227" s="19" t="n">
        <f aca="false">IFERROR(VALUE(SUBSTITUTE(TRIM('수출입 실적(품목별)'!E2231),",","")),"")</f>
        <v>51279</v>
      </c>
      <c r="I2227" s="18" t="n">
        <f aca="false">IFERROR(VALUE(SUBSTITUTE(TRIM('수출입 실적(품목별)'!F2231),",","")),"")</f>
        <v>298970.3</v>
      </c>
      <c r="J2227" s="19" t="n">
        <f aca="false">IFERROR(VALUE(SUBSTITUTE(TRIM('수출입 실적(품목별)'!G2231),",","")),"")</f>
        <v>170430</v>
      </c>
      <c r="K2227" s="19" t="n">
        <f aca="false">IFERROR(VALUE(SUBSTITUTE(TRIM('수출입 실적(품목별)'!H2231),",","")),"")</f>
        <v>-119151</v>
      </c>
    </row>
    <row r="2228" customFormat="false" ht="15" hidden="false" customHeight="true" outlineLevel="0" collapsed="false">
      <c r="A2228" s="11" t="str">
        <f aca="false">TRIM('수출입 실적(품목별)'!A2232)</f>
        <v>2025.12</v>
      </c>
      <c r="B2228" s="17" t="n">
        <f aca="false">IFERROR(VALUE(LEFT($A2228,4)),"")</f>
        <v>2025</v>
      </c>
      <c r="C2228" s="17" t="n">
        <f aca="false">IFERROR(VALUE(RIGHT($A2228,2)),"")</f>
        <v>12</v>
      </c>
      <c r="D2228" s="17" t="n">
        <f aca="false">IFERROR(ROUNDUP($C2228/3,0),"")</f>
        <v>4</v>
      </c>
      <c r="E2228" s="11" t="str">
        <f aca="false">TRIM('수출입 실적(품목별)'!B2232)</f>
        <v>13</v>
      </c>
      <c r="F2228" s="11" t="str">
        <f aca="false">TRIM('수출입 실적(품목별)'!C2232)</f>
        <v>락(lac), 검ㆍ수지ㆍ그 밖의 식물성 수액과 추출물(extract)</v>
      </c>
      <c r="G2228" s="18" t="n">
        <f aca="false">IFERROR(VALUE(SUBSTITUTE(TRIM('수출입 실적(품목별)'!D2232),",","")),"")</f>
        <v>338</v>
      </c>
      <c r="H2228" s="19" t="n">
        <f aca="false">IFERROR(VALUE(SUBSTITUTE(TRIM('수출입 실적(품목별)'!E2232),",","")),"")</f>
        <v>7785</v>
      </c>
      <c r="I2228" s="18" t="n">
        <f aca="false">IFERROR(VALUE(SUBSTITUTE(TRIM('수출입 실적(품목별)'!F2232),",","")),"")</f>
        <v>8678.6</v>
      </c>
      <c r="J2228" s="19" t="n">
        <f aca="false">IFERROR(VALUE(SUBSTITUTE(TRIM('수출입 실적(품목별)'!G2232),",","")),"")</f>
        <v>30499</v>
      </c>
      <c r="K2228" s="19" t="n">
        <f aca="false">IFERROR(VALUE(SUBSTITUTE(TRIM('수출입 실적(품목별)'!H2232),",","")),"")</f>
        <v>-22714</v>
      </c>
    </row>
    <row r="2229" customFormat="false" ht="15" hidden="false" customHeight="true" outlineLevel="0" collapsed="false">
      <c r="A2229" s="11" t="str">
        <f aca="false">TRIM('수출입 실적(품목별)'!A2233)</f>
        <v>2025.12</v>
      </c>
      <c r="B2229" s="17" t="n">
        <f aca="false">IFERROR(VALUE(LEFT($A2229,4)),"")</f>
        <v>2025</v>
      </c>
      <c r="C2229" s="17" t="n">
        <f aca="false">IFERROR(VALUE(RIGHT($A2229,2)),"")</f>
        <v>12</v>
      </c>
      <c r="D2229" s="17" t="n">
        <f aca="false">IFERROR(ROUNDUP($C2229/3,0),"")</f>
        <v>4</v>
      </c>
      <c r="E2229" s="11" t="str">
        <f aca="false">TRIM('수출입 실적(품목별)'!B2233)</f>
        <v>14</v>
      </c>
      <c r="F2229" s="11" t="str">
        <f aca="false">TRIM('수출입 실적(품목별)'!C2233)</f>
        <v>식물성 편조물(編組物)용 재료와 다른 류로 분류되지 않은 식물성 생산품</v>
      </c>
      <c r="G2229" s="18" t="n">
        <f aca="false">IFERROR(VALUE(SUBSTITUTE(TRIM('수출입 실적(품목별)'!D2233),",","")),"")</f>
        <v>1.6</v>
      </c>
      <c r="H2229" s="19" t="n">
        <f aca="false">IFERROR(VALUE(SUBSTITUTE(TRIM('수출입 실적(품목별)'!E2233),",","")),"")</f>
        <v>63</v>
      </c>
      <c r="I2229" s="18" t="n">
        <f aca="false">IFERROR(VALUE(SUBSTITUTE(TRIM('수출입 실적(품목별)'!F2233),",","")),"")</f>
        <v>47190.3</v>
      </c>
      <c r="J2229" s="19" t="n">
        <f aca="false">IFERROR(VALUE(SUBSTITUTE(TRIM('수출입 실적(품목별)'!G2233),",","")),"")</f>
        <v>9329</v>
      </c>
      <c r="K2229" s="19" t="n">
        <f aca="false">IFERROR(VALUE(SUBSTITUTE(TRIM('수출입 실적(품목별)'!H2233),",","")),"")</f>
        <v>-9266</v>
      </c>
    </row>
    <row r="2230" customFormat="false" ht="15" hidden="false" customHeight="true" outlineLevel="0" collapsed="false">
      <c r="A2230" s="11" t="str">
        <f aca="false">TRIM('수출입 실적(품목별)'!A2234)</f>
        <v>2025.12</v>
      </c>
      <c r="B2230" s="17" t="n">
        <f aca="false">IFERROR(VALUE(LEFT($A2230,4)),"")</f>
        <v>2025</v>
      </c>
      <c r="C2230" s="17" t="n">
        <f aca="false">IFERROR(VALUE(RIGHT($A2230,2)),"")</f>
        <v>12</v>
      </c>
      <c r="D2230" s="17" t="n">
        <f aca="false">IFERROR(ROUNDUP($C2230/3,0),"")</f>
        <v>4</v>
      </c>
      <c r="E2230" s="11" t="str">
        <f aca="false">TRIM('수출입 실적(품목별)'!B2234)</f>
        <v>15</v>
      </c>
      <c r="F2230" s="11" t="str">
        <f aca="false">TRIM('수출입 실적(품목별)'!C2234)</f>
        <v>동물성ㆍ식물성ㆍ미생물성 지방과 기름 및이들의 분해생산물, 조제한 식용 지방과 동물성ㆍ식물성 왁스</v>
      </c>
      <c r="G2230" s="18" t="n">
        <f aca="false">IFERROR(VALUE(SUBSTITUTE(TRIM('수출입 실적(품목별)'!D2234),",","")),"")</f>
        <v>18220.4</v>
      </c>
      <c r="H2230" s="19" t="n">
        <f aca="false">IFERROR(VALUE(SUBSTITUTE(TRIM('수출입 실적(품목별)'!E2234),",","")),"")</f>
        <v>24038</v>
      </c>
      <c r="I2230" s="18" t="n">
        <f aca="false">IFERROR(VALUE(SUBSTITUTE(TRIM('수출입 실적(품목별)'!F2234),",","")),"")</f>
        <v>145086.8</v>
      </c>
      <c r="J2230" s="19" t="n">
        <f aca="false">IFERROR(VALUE(SUBSTITUTE(TRIM('수출입 실적(품목별)'!G2234),",","")),"")</f>
        <v>235961</v>
      </c>
      <c r="K2230" s="19" t="n">
        <f aca="false">IFERROR(VALUE(SUBSTITUTE(TRIM('수출입 실적(품목별)'!H2234),",","")),"")</f>
        <v>-211923</v>
      </c>
    </row>
    <row r="2231" customFormat="false" ht="15" hidden="false" customHeight="true" outlineLevel="0" collapsed="false">
      <c r="A2231" s="11" t="str">
        <f aca="false">TRIM('수출입 실적(품목별)'!A2235)</f>
        <v>2025.12</v>
      </c>
      <c r="B2231" s="17" t="n">
        <f aca="false">IFERROR(VALUE(LEFT($A2231,4)),"")</f>
        <v>2025</v>
      </c>
      <c r="C2231" s="17" t="n">
        <f aca="false">IFERROR(VALUE(RIGHT($A2231,2)),"")</f>
        <v>12</v>
      </c>
      <c r="D2231" s="17" t="n">
        <f aca="false">IFERROR(ROUNDUP($C2231/3,0),"")</f>
        <v>4</v>
      </c>
      <c r="E2231" s="11" t="str">
        <f aca="false">TRIM('수출입 실적(품목별)'!B2235)</f>
        <v>16</v>
      </c>
      <c r="F2231" s="11" t="str">
        <f aca="false">TRIM('수출입 실적(품목별)'!C2235)</f>
        <v>육류ㆍ어류ㆍ갑각류ㆍ연체동물이나 그 밖의 수생(水生) 무척추동물 또는 곤충의 조제품</v>
      </c>
      <c r="G2231" s="18" t="n">
        <f aca="false">IFERROR(VALUE(SUBSTITUTE(TRIM('수출입 실적(품목별)'!D2235),",","")),"")</f>
        <v>4244.4</v>
      </c>
      <c r="H2231" s="19" t="n">
        <f aca="false">IFERROR(VALUE(SUBSTITUTE(TRIM('수출입 실적(품목별)'!E2235),",","")),"")</f>
        <v>28030</v>
      </c>
      <c r="I2231" s="18" t="n">
        <f aca="false">IFERROR(VALUE(SUBSTITUTE(TRIM('수출입 실적(품목별)'!F2235),",","")),"")</f>
        <v>15341.1</v>
      </c>
      <c r="J2231" s="19" t="n">
        <f aca="false">IFERROR(VALUE(SUBSTITUTE(TRIM('수출입 실적(품목별)'!G2235),",","")),"")</f>
        <v>83939</v>
      </c>
      <c r="K2231" s="19" t="n">
        <f aca="false">IFERROR(VALUE(SUBSTITUTE(TRIM('수출입 실적(품목별)'!H2235),",","")),"")</f>
        <v>-55908</v>
      </c>
    </row>
    <row r="2232" customFormat="false" ht="15" hidden="false" customHeight="true" outlineLevel="0" collapsed="false">
      <c r="A2232" s="11" t="str">
        <f aca="false">TRIM('수출입 실적(품목별)'!A2236)</f>
        <v>2025.12</v>
      </c>
      <c r="B2232" s="17" t="n">
        <f aca="false">IFERROR(VALUE(LEFT($A2232,4)),"")</f>
        <v>2025</v>
      </c>
      <c r="C2232" s="17" t="n">
        <f aca="false">IFERROR(VALUE(RIGHT($A2232,2)),"")</f>
        <v>12</v>
      </c>
      <c r="D2232" s="17" t="n">
        <f aca="false">IFERROR(ROUNDUP($C2232/3,0),"")</f>
        <v>4</v>
      </c>
      <c r="E2232" s="11" t="str">
        <f aca="false">TRIM('수출입 실적(품목별)'!B2236)</f>
        <v>17</v>
      </c>
      <c r="F2232" s="11" t="str">
        <f aca="false">TRIM('수출입 실적(품목별)'!C2236)</f>
        <v>당류(糖類)와 설탕과자</v>
      </c>
      <c r="G2232" s="18" t="n">
        <f aca="false">IFERROR(VALUE(SUBSTITUTE(TRIM('수출입 실적(품목별)'!D2236),",","")),"")</f>
        <v>26551.9</v>
      </c>
      <c r="H2232" s="19" t="n">
        <f aca="false">IFERROR(VALUE(SUBSTITUTE(TRIM('수출입 실적(품목별)'!E2236),",","")),"")</f>
        <v>25088</v>
      </c>
      <c r="I2232" s="18" t="n">
        <f aca="false">IFERROR(VALUE(SUBSTITUTE(TRIM('수출입 실적(품목별)'!F2236),",","")),"")</f>
        <v>175901.8</v>
      </c>
      <c r="J2232" s="19" t="n">
        <f aca="false">IFERROR(VALUE(SUBSTITUTE(TRIM('수출입 실적(품목별)'!G2236),",","")),"")</f>
        <v>116123</v>
      </c>
      <c r="K2232" s="19" t="n">
        <f aca="false">IFERROR(VALUE(SUBSTITUTE(TRIM('수출입 실적(품목별)'!H2236),",","")),"")</f>
        <v>-91035</v>
      </c>
    </row>
    <row r="2233" customFormat="false" ht="15" hidden="false" customHeight="true" outlineLevel="0" collapsed="false">
      <c r="A2233" s="11" t="str">
        <f aca="false">TRIM('수출입 실적(품목별)'!A2237)</f>
        <v>2025.12</v>
      </c>
      <c r="B2233" s="17" t="n">
        <f aca="false">IFERROR(VALUE(LEFT($A2233,4)),"")</f>
        <v>2025</v>
      </c>
      <c r="C2233" s="17" t="n">
        <f aca="false">IFERROR(VALUE(RIGHT($A2233,2)),"")</f>
        <v>12</v>
      </c>
      <c r="D2233" s="17" t="n">
        <f aca="false">IFERROR(ROUNDUP($C2233/3,0),"")</f>
        <v>4</v>
      </c>
      <c r="E2233" s="11" t="str">
        <f aca="false">TRIM('수출입 실적(품목별)'!B2237)</f>
        <v>18</v>
      </c>
      <c r="F2233" s="11" t="str">
        <f aca="false">TRIM('수출입 실적(품목별)'!C2237)</f>
        <v>코코아와 그 조제품</v>
      </c>
      <c r="G2233" s="18" t="n">
        <f aca="false">IFERROR(VALUE(SUBSTITUTE(TRIM('수출입 실적(품목별)'!D2237),",","")),"")</f>
        <v>2240.5</v>
      </c>
      <c r="H2233" s="19" t="n">
        <f aca="false">IFERROR(VALUE(SUBSTITUTE(TRIM('수출입 실적(품목별)'!E2237),",","")),"")</f>
        <v>8460</v>
      </c>
      <c r="I2233" s="18" t="n">
        <f aca="false">IFERROR(VALUE(SUBSTITUTE(TRIM('수출입 실적(품목별)'!F2237),",","")),"")</f>
        <v>5780.8</v>
      </c>
      <c r="J2233" s="19" t="n">
        <f aca="false">IFERROR(VALUE(SUBSTITUTE(TRIM('수출입 실적(품목별)'!G2237),",","")),"")</f>
        <v>57345</v>
      </c>
      <c r="K2233" s="19" t="n">
        <f aca="false">IFERROR(VALUE(SUBSTITUTE(TRIM('수출입 실적(품목별)'!H2237),",","")),"")</f>
        <v>-48884</v>
      </c>
    </row>
    <row r="2234" customFormat="false" ht="15" hidden="false" customHeight="true" outlineLevel="0" collapsed="false">
      <c r="A2234" s="11" t="str">
        <f aca="false">TRIM('수출입 실적(품목별)'!A2238)</f>
        <v>2025.12</v>
      </c>
      <c r="B2234" s="17" t="n">
        <f aca="false">IFERROR(VALUE(LEFT($A2234,4)),"")</f>
        <v>2025</v>
      </c>
      <c r="C2234" s="17" t="n">
        <f aca="false">IFERROR(VALUE(RIGHT($A2234,2)),"")</f>
        <v>12</v>
      </c>
      <c r="D2234" s="17" t="n">
        <f aca="false">IFERROR(ROUNDUP($C2234/3,0),"")</f>
        <v>4</v>
      </c>
      <c r="E2234" s="11" t="str">
        <f aca="false">TRIM('수출입 실적(품목별)'!B2238)</f>
        <v>19</v>
      </c>
      <c r="F2234" s="11" t="str">
        <f aca="false">TRIM('수출입 실적(품목별)'!C2238)</f>
        <v>곡물ㆍ고운 가루ㆍ전분ㆍ밀크의 조제품과 베이커리 제품</v>
      </c>
      <c r="G2234" s="18" t="n">
        <f aca="false">IFERROR(VALUE(SUBSTITUTE(TRIM('수출입 실적(품목별)'!D2238),",","")),"")</f>
        <v>59857</v>
      </c>
      <c r="H2234" s="19" t="n">
        <f aca="false">IFERROR(VALUE(SUBSTITUTE(TRIM('수출입 실적(품목별)'!E2238),",","")),"")</f>
        <v>242221</v>
      </c>
      <c r="I2234" s="18" t="n">
        <f aca="false">IFERROR(VALUE(SUBSTITUTE(TRIM('수출입 실적(품목별)'!F2238),",","")),"")</f>
        <v>34436</v>
      </c>
      <c r="J2234" s="19" t="n">
        <f aca="false">IFERROR(VALUE(SUBSTITUTE(TRIM('수출입 실적(품목별)'!G2238),",","")),"")</f>
        <v>113648</v>
      </c>
      <c r="K2234" s="19" t="n">
        <f aca="false">IFERROR(VALUE(SUBSTITUTE(TRIM('수출입 실적(품목별)'!H2238),",","")),"")</f>
        <v>128573</v>
      </c>
    </row>
    <row r="2235" customFormat="false" ht="15" hidden="false" customHeight="true" outlineLevel="0" collapsed="false">
      <c r="A2235" s="11" t="str">
        <f aca="false">TRIM('수출입 실적(품목별)'!A2239)</f>
        <v>2025.12</v>
      </c>
      <c r="B2235" s="17" t="n">
        <f aca="false">IFERROR(VALUE(LEFT($A2235,4)),"")</f>
        <v>2025</v>
      </c>
      <c r="C2235" s="17" t="n">
        <f aca="false">IFERROR(VALUE(RIGHT($A2235,2)),"")</f>
        <v>12</v>
      </c>
      <c r="D2235" s="17" t="n">
        <f aca="false">IFERROR(ROUNDUP($C2235/3,0),"")</f>
        <v>4</v>
      </c>
      <c r="E2235" s="11" t="str">
        <f aca="false">TRIM('수출입 실적(품목별)'!B2239)</f>
        <v>20</v>
      </c>
      <c r="F2235" s="11" t="str">
        <f aca="false">TRIM('수출입 실적(품목별)'!C2239)</f>
        <v>채소ㆍ과실ㆍ견과류나 식물의그 밖의 부분의 조제품</v>
      </c>
      <c r="G2235" s="18" t="n">
        <f aca="false">IFERROR(VALUE(SUBSTITUTE(TRIM('수출입 실적(품목별)'!D2239),",","")),"")</f>
        <v>10806.1</v>
      </c>
      <c r="H2235" s="19" t="n">
        <f aca="false">IFERROR(VALUE(SUBSTITUTE(TRIM('수출입 실적(품목별)'!E2239),",","")),"")</f>
        <v>104969</v>
      </c>
      <c r="I2235" s="18" t="n">
        <f aca="false">IFERROR(VALUE(SUBSTITUTE(TRIM('수출입 실적(품목별)'!F2239),",","")),"")</f>
        <v>104187.2</v>
      </c>
      <c r="J2235" s="19" t="n">
        <f aca="false">IFERROR(VALUE(SUBSTITUTE(TRIM('수출입 실적(품목별)'!G2239),",","")),"")</f>
        <v>147100</v>
      </c>
      <c r="K2235" s="19" t="n">
        <f aca="false">IFERROR(VALUE(SUBSTITUTE(TRIM('수출입 실적(품목별)'!H2239),",","")),"")</f>
        <v>-42131</v>
      </c>
    </row>
    <row r="2236" customFormat="false" ht="15" hidden="false" customHeight="true" outlineLevel="0" collapsed="false">
      <c r="A2236" s="11" t="str">
        <f aca="false">TRIM('수출입 실적(품목별)'!A2240)</f>
        <v>2025.12</v>
      </c>
      <c r="B2236" s="17" t="n">
        <f aca="false">IFERROR(VALUE(LEFT($A2236,4)),"")</f>
        <v>2025</v>
      </c>
      <c r="C2236" s="17" t="n">
        <f aca="false">IFERROR(VALUE(RIGHT($A2236,2)),"")</f>
        <v>12</v>
      </c>
      <c r="D2236" s="17" t="n">
        <f aca="false">IFERROR(ROUNDUP($C2236/3,0),"")</f>
        <v>4</v>
      </c>
      <c r="E2236" s="11" t="str">
        <f aca="false">TRIM('수출입 실적(품목별)'!B2240)</f>
        <v>21</v>
      </c>
      <c r="F2236" s="11" t="str">
        <f aca="false">TRIM('수출입 실적(품목별)'!C2240)</f>
        <v>각종 조제 식료품</v>
      </c>
      <c r="G2236" s="18" t="n">
        <f aca="false">IFERROR(VALUE(SUBSTITUTE(TRIM('수출입 실적(품목별)'!D2240),",","")),"")</f>
        <v>36174.2</v>
      </c>
      <c r="H2236" s="19" t="n">
        <f aca="false">IFERROR(VALUE(SUBSTITUTE(TRIM('수출입 실적(품목별)'!E2240),",","")),"")</f>
        <v>167692</v>
      </c>
      <c r="I2236" s="18" t="n">
        <f aca="false">IFERROR(VALUE(SUBSTITUTE(TRIM('수출입 실적(품목별)'!F2240),",","")),"")</f>
        <v>35298.8</v>
      </c>
      <c r="J2236" s="19" t="n">
        <f aca="false">IFERROR(VALUE(SUBSTITUTE(TRIM('수출입 실적(품목별)'!G2240),",","")),"")</f>
        <v>258948</v>
      </c>
      <c r="K2236" s="19" t="n">
        <f aca="false">IFERROR(VALUE(SUBSTITUTE(TRIM('수출입 실적(품목별)'!H2240),",","")),"")</f>
        <v>-91256</v>
      </c>
    </row>
    <row r="2237" customFormat="false" ht="15" hidden="false" customHeight="true" outlineLevel="0" collapsed="false">
      <c r="A2237" s="11" t="str">
        <f aca="false">TRIM('수출입 실적(품목별)'!A2241)</f>
        <v>2025.12</v>
      </c>
      <c r="B2237" s="17" t="n">
        <f aca="false">IFERROR(VALUE(LEFT($A2237,4)),"")</f>
        <v>2025</v>
      </c>
      <c r="C2237" s="17" t="n">
        <f aca="false">IFERROR(VALUE(RIGHT($A2237,2)),"")</f>
        <v>12</v>
      </c>
      <c r="D2237" s="17" t="n">
        <f aca="false">IFERROR(ROUNDUP($C2237/3,0),"")</f>
        <v>4</v>
      </c>
      <c r="E2237" s="11" t="str">
        <f aca="false">TRIM('수출입 실적(품목별)'!B2241)</f>
        <v>22</v>
      </c>
      <c r="F2237" s="11" t="str">
        <f aca="false">TRIM('수출입 실적(품목별)'!C2241)</f>
        <v>음료ㆍ주류ㆍ식초</v>
      </c>
      <c r="G2237" s="18" t="n">
        <f aca="false">IFERROR(VALUE(SUBSTITUTE(TRIM('수출입 실적(품목별)'!D2241),",","")),"")</f>
        <v>77606.4</v>
      </c>
      <c r="H2237" s="19" t="n">
        <f aca="false">IFERROR(VALUE(SUBSTITUTE(TRIM('수출입 실적(품목별)'!E2241),",","")),"")</f>
        <v>92818</v>
      </c>
      <c r="I2237" s="18" t="n">
        <f aca="false">IFERROR(VALUE(SUBSTITUTE(TRIM('수출입 실적(품목별)'!F2241),",","")),"")</f>
        <v>88783.9</v>
      </c>
      <c r="J2237" s="19" t="n">
        <f aca="false">IFERROR(VALUE(SUBSTITUTE(TRIM('수출입 실적(품목별)'!G2241),",","")),"")</f>
        <v>142415</v>
      </c>
      <c r="K2237" s="19" t="n">
        <f aca="false">IFERROR(VALUE(SUBSTITUTE(TRIM('수출입 실적(품목별)'!H2241),",","")),"")</f>
        <v>-49597</v>
      </c>
    </row>
    <row r="2238" customFormat="false" ht="15" hidden="false" customHeight="true" outlineLevel="0" collapsed="false">
      <c r="A2238" s="11" t="str">
        <f aca="false">TRIM('수출입 실적(품목별)'!A2242)</f>
        <v>2025.12</v>
      </c>
      <c r="B2238" s="17" t="n">
        <f aca="false">IFERROR(VALUE(LEFT($A2238,4)),"")</f>
        <v>2025</v>
      </c>
      <c r="C2238" s="17" t="n">
        <f aca="false">IFERROR(VALUE(RIGHT($A2238,2)),"")</f>
        <v>12</v>
      </c>
      <c r="D2238" s="17" t="n">
        <f aca="false">IFERROR(ROUNDUP($C2238/3,0),"")</f>
        <v>4</v>
      </c>
      <c r="E2238" s="11" t="str">
        <f aca="false">TRIM('수출입 실적(품목별)'!B2242)</f>
        <v>23</v>
      </c>
      <c r="F2238" s="11" t="str">
        <f aca="false">TRIM('수출입 실적(품목별)'!C2242)</f>
        <v>식품 공업에서 생기는 잔재물과 웨이스트(waste), 조제 사료</v>
      </c>
      <c r="G2238" s="18" t="n">
        <f aca="false">IFERROR(VALUE(SUBSTITUTE(TRIM('수출입 실적(품목별)'!D2242),",","")),"")</f>
        <v>36102.2</v>
      </c>
      <c r="H2238" s="19" t="n">
        <f aca="false">IFERROR(VALUE(SUBSTITUTE(TRIM('수출입 실적(품목별)'!E2242),",","")),"")</f>
        <v>29874</v>
      </c>
      <c r="I2238" s="18" t="n">
        <f aca="false">IFERROR(VALUE(SUBSTITUTE(TRIM('수출입 실적(품목별)'!F2242),",","")),"")</f>
        <v>618836.8</v>
      </c>
      <c r="J2238" s="19" t="n">
        <f aca="false">IFERROR(VALUE(SUBSTITUTE(TRIM('수출입 실적(품목별)'!G2242),",","")),"")</f>
        <v>202832</v>
      </c>
      <c r="K2238" s="19" t="n">
        <f aca="false">IFERROR(VALUE(SUBSTITUTE(TRIM('수출입 실적(품목별)'!H2242),",","")),"")</f>
        <v>-172958</v>
      </c>
    </row>
    <row r="2239" customFormat="false" ht="15" hidden="false" customHeight="true" outlineLevel="0" collapsed="false">
      <c r="A2239" s="11" t="str">
        <f aca="false">TRIM('수출입 실적(품목별)'!A2243)</f>
        <v>2025.12</v>
      </c>
      <c r="B2239" s="17" t="n">
        <f aca="false">IFERROR(VALUE(LEFT($A2239,4)),"")</f>
        <v>2025</v>
      </c>
      <c r="C2239" s="17" t="n">
        <f aca="false">IFERROR(VALUE(RIGHT($A2239,2)),"")</f>
        <v>12</v>
      </c>
      <c r="D2239" s="17" t="n">
        <f aca="false">IFERROR(ROUNDUP($C2239/3,0),"")</f>
        <v>4</v>
      </c>
      <c r="E2239" s="11" t="str">
        <f aca="false">TRIM('수출입 실적(품목별)'!B2243)</f>
        <v>24</v>
      </c>
      <c r="F2239" s="11" t="str">
        <f aca="false">TRIM('수출입 실적(품목별)'!C2243)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239" s="18" t="n">
        <f aca="false">IFERROR(VALUE(SUBSTITUTE(TRIM('수출입 실적(품목별)'!D2243),",","")),"")</f>
        <v>6973.4</v>
      </c>
      <c r="H2239" s="19" t="n">
        <f aca="false">IFERROR(VALUE(SUBSTITUTE(TRIM('수출입 실적(품목별)'!E2243),",","")),"")</f>
        <v>60593</v>
      </c>
      <c r="I2239" s="18" t="n">
        <f aca="false">IFERROR(VALUE(SUBSTITUTE(TRIM('수출입 실적(품목별)'!F2243),",","")),"")</f>
        <v>8735</v>
      </c>
      <c r="J2239" s="19" t="n">
        <f aca="false">IFERROR(VALUE(SUBSTITUTE(TRIM('수출입 실적(품목별)'!G2243),",","")),"")</f>
        <v>72695</v>
      </c>
      <c r="K2239" s="19" t="n">
        <f aca="false">IFERROR(VALUE(SUBSTITUTE(TRIM('수출입 실적(품목별)'!H2243),",","")),"")</f>
        <v>-12102</v>
      </c>
    </row>
    <row r="2240" customFormat="false" ht="15" hidden="false" customHeight="true" outlineLevel="0" collapsed="false">
      <c r="A2240" s="11" t="str">
        <f aca="false">TRIM('수출입 실적(품목별)'!A2244)</f>
        <v>2025.12</v>
      </c>
      <c r="B2240" s="17" t="n">
        <f aca="false">IFERROR(VALUE(LEFT($A2240,4)),"")</f>
        <v>2025</v>
      </c>
      <c r="C2240" s="17" t="n">
        <f aca="false">IFERROR(VALUE(RIGHT($A2240,2)),"")</f>
        <v>12</v>
      </c>
      <c r="D2240" s="17" t="n">
        <f aca="false">IFERROR(ROUNDUP($C2240/3,0),"")</f>
        <v>4</v>
      </c>
      <c r="E2240" s="11" t="str">
        <f aca="false">TRIM('수출입 실적(품목별)'!B2244)</f>
        <v>25</v>
      </c>
      <c r="F2240" s="11" t="str">
        <f aca="false">TRIM('수출입 실적(품목별)'!C2244)</f>
        <v>소금, 황, 토석류(土石類), 석고ㆍ석회ㆍ시멘트</v>
      </c>
      <c r="G2240" s="18" t="n">
        <f aca="false">IFERROR(VALUE(SUBSTITUTE(TRIM('수출입 실적(품목별)'!D2244),",","")),"")</f>
        <v>639160</v>
      </c>
      <c r="H2240" s="19" t="n">
        <f aca="false">IFERROR(VALUE(SUBSTITUTE(TRIM('수출입 실적(품목별)'!E2244),",","")),"")</f>
        <v>67065</v>
      </c>
      <c r="I2240" s="18" t="n">
        <f aca="false">IFERROR(VALUE(SUBSTITUTE(TRIM('수출입 실적(품목별)'!F2244),",","")),"")</f>
        <v>1106499.3</v>
      </c>
      <c r="J2240" s="19" t="n">
        <f aca="false">IFERROR(VALUE(SUBSTITUTE(TRIM('수출입 실적(품목별)'!G2244),",","")),"")</f>
        <v>75735</v>
      </c>
      <c r="K2240" s="19" t="n">
        <f aca="false">IFERROR(VALUE(SUBSTITUTE(TRIM('수출입 실적(품목별)'!H2244),",","")),"")</f>
        <v>-8671</v>
      </c>
    </row>
    <row r="2241" customFormat="false" ht="15" hidden="false" customHeight="true" outlineLevel="0" collapsed="false">
      <c r="A2241" s="11" t="str">
        <f aca="false">TRIM('수출입 실적(품목별)'!A2245)</f>
        <v>2025.12</v>
      </c>
      <c r="B2241" s="17" t="n">
        <f aca="false">IFERROR(VALUE(LEFT($A2241,4)),"")</f>
        <v>2025</v>
      </c>
      <c r="C2241" s="17" t="n">
        <f aca="false">IFERROR(VALUE(RIGHT($A2241,2)),"")</f>
        <v>12</v>
      </c>
      <c r="D2241" s="17" t="n">
        <f aca="false">IFERROR(ROUNDUP($C2241/3,0),"")</f>
        <v>4</v>
      </c>
      <c r="E2241" s="11" t="str">
        <f aca="false">TRIM('수출입 실적(품목별)'!B2245)</f>
        <v>26</v>
      </c>
      <c r="F2241" s="11" t="str">
        <f aca="false">TRIM('수출입 실적(품목별)'!C2245)</f>
        <v>광(鑛)ㆍ슬래그(slag)ㆍ회(灰)</v>
      </c>
      <c r="G2241" s="18" t="n">
        <f aca="false">IFERROR(VALUE(SUBSTITUTE(TRIM('수출입 실적(품목별)'!D2245),",","")),"")</f>
        <v>192123.9</v>
      </c>
      <c r="H2241" s="19" t="n">
        <f aca="false">IFERROR(VALUE(SUBSTITUTE(TRIM('수출입 실적(품목별)'!E2245),",","")),"")</f>
        <v>73494</v>
      </c>
      <c r="I2241" s="18" t="n">
        <f aca="false">IFERROR(VALUE(SUBSTITUTE(TRIM('수출입 실적(품목별)'!F2245),",","")),"")</f>
        <v>6759360.5</v>
      </c>
      <c r="J2241" s="19" t="n">
        <f aca="false">IFERROR(VALUE(SUBSTITUTE(TRIM('수출입 실적(품목별)'!G2245),",","")),"")</f>
        <v>1849101</v>
      </c>
      <c r="K2241" s="19" t="n">
        <f aca="false">IFERROR(VALUE(SUBSTITUTE(TRIM('수출입 실적(품목별)'!H2245),",","")),"")</f>
        <v>-1775607</v>
      </c>
    </row>
    <row r="2242" customFormat="false" ht="15" hidden="false" customHeight="true" outlineLevel="0" collapsed="false">
      <c r="A2242" s="11" t="str">
        <f aca="false">TRIM('수출입 실적(품목별)'!A2246)</f>
        <v>2025.12</v>
      </c>
      <c r="B2242" s="17" t="n">
        <f aca="false">IFERROR(VALUE(LEFT($A2242,4)),"")</f>
        <v>2025</v>
      </c>
      <c r="C2242" s="17" t="n">
        <f aca="false">IFERROR(VALUE(RIGHT($A2242,2)),"")</f>
        <v>12</v>
      </c>
      <c r="D2242" s="17" t="n">
        <f aca="false">IFERROR(ROUNDUP($C2242/3,0),"")</f>
        <v>4</v>
      </c>
      <c r="E2242" s="11" t="str">
        <f aca="false">TRIM('수출입 실적(품목별)'!B2246)</f>
        <v>27</v>
      </c>
      <c r="F2242" s="11" t="str">
        <f aca="false">TRIM('수출입 실적(품목별)'!C2246)</f>
        <v>광물성 연료ㆍ광물유(鑛物油)와 이들의 증류물, 역청(瀝靑)물질, 광물성 왁스</v>
      </c>
      <c r="G2242" s="18" t="n">
        <f aca="false">IFERROR(VALUE(SUBSTITUTE(TRIM('수출입 실적(품목별)'!D2246),",","")),"")</f>
        <v>6503274.5</v>
      </c>
      <c r="H2242" s="19" t="n">
        <f aca="false">IFERROR(VALUE(SUBSTITUTE(TRIM('수출입 실적(품목별)'!E2246),",","")),"")</f>
        <v>4279615</v>
      </c>
      <c r="I2242" s="18" t="n">
        <f aca="false">IFERROR(VALUE(SUBSTITUTE(TRIM('수출입 실적(품목별)'!F2246),",","")),"")</f>
        <v>29238340.4</v>
      </c>
      <c r="J2242" s="19" t="n">
        <f aca="false">IFERROR(VALUE(SUBSTITUTE(TRIM('수출입 실적(품목별)'!G2246),",","")),"")</f>
        <v>11246980</v>
      </c>
      <c r="K2242" s="19" t="n">
        <f aca="false">IFERROR(VALUE(SUBSTITUTE(TRIM('수출입 실적(품목별)'!H2246),",","")),"")</f>
        <v>-6967365</v>
      </c>
    </row>
    <row r="2243" customFormat="false" ht="15" hidden="false" customHeight="true" outlineLevel="0" collapsed="false">
      <c r="A2243" s="11" t="str">
        <f aca="false">TRIM('수출입 실적(품목별)'!A2247)</f>
        <v>2025.12</v>
      </c>
      <c r="B2243" s="17" t="n">
        <f aca="false">IFERROR(VALUE(LEFT($A2243,4)),"")</f>
        <v>2025</v>
      </c>
      <c r="C2243" s="17" t="n">
        <f aca="false">IFERROR(VALUE(RIGHT($A2243,2)),"")</f>
        <v>12</v>
      </c>
      <c r="D2243" s="17" t="n">
        <f aca="false">IFERROR(ROUNDUP($C2243/3,0),"")</f>
        <v>4</v>
      </c>
      <c r="E2243" s="11" t="str">
        <f aca="false">TRIM('수출입 실적(품목별)'!B2247)</f>
        <v>28</v>
      </c>
      <c r="F2243" s="11" t="str">
        <f aca="false">TRIM('수출입 실적(품목별)'!C2247)</f>
        <v>무기화학품, 귀금속ㆍ희토류(稀土類)금속ㆍ방사성원소ㆍ동위원소의 유기화합물이나 무기화합물</v>
      </c>
      <c r="G2243" s="18" t="n">
        <f aca="false">IFERROR(VALUE(SUBSTITUTE(TRIM('수출입 실적(품목별)'!D2247),",","")),"")</f>
        <v>534538</v>
      </c>
      <c r="H2243" s="19" t="n">
        <f aca="false">IFERROR(VALUE(SUBSTITUTE(TRIM('수출입 실적(품목별)'!E2247),",","")),"")</f>
        <v>786439</v>
      </c>
      <c r="I2243" s="18" t="n">
        <f aca="false">IFERROR(VALUE(SUBSTITUTE(TRIM('수출입 실적(품목별)'!F2247),",","")),"")</f>
        <v>474652.2</v>
      </c>
      <c r="J2243" s="19" t="n">
        <f aca="false">IFERROR(VALUE(SUBSTITUTE(TRIM('수출입 실적(품목별)'!G2247),",","")),"")</f>
        <v>913452</v>
      </c>
      <c r="K2243" s="19" t="n">
        <f aca="false">IFERROR(VALUE(SUBSTITUTE(TRIM('수출입 실적(품목별)'!H2247),",","")),"")</f>
        <v>-127013</v>
      </c>
    </row>
    <row r="2244" customFormat="false" ht="15" hidden="false" customHeight="true" outlineLevel="0" collapsed="false">
      <c r="A2244" s="11" t="str">
        <f aca="false">TRIM('수출입 실적(품목별)'!A2248)</f>
        <v>2025.12</v>
      </c>
      <c r="B2244" s="17" t="n">
        <f aca="false">IFERROR(VALUE(LEFT($A2244,4)),"")</f>
        <v>2025</v>
      </c>
      <c r="C2244" s="17" t="n">
        <f aca="false">IFERROR(VALUE(RIGHT($A2244,2)),"")</f>
        <v>12</v>
      </c>
      <c r="D2244" s="17" t="n">
        <f aca="false">IFERROR(ROUNDUP($C2244/3,0),"")</f>
        <v>4</v>
      </c>
      <c r="E2244" s="11" t="str">
        <f aca="false">TRIM('수출입 실적(품목별)'!B2248)</f>
        <v>29</v>
      </c>
      <c r="F2244" s="11" t="str">
        <f aca="false">TRIM('수출입 실적(품목별)'!C2248)</f>
        <v>유기화학품</v>
      </c>
      <c r="G2244" s="18" t="n">
        <f aca="false">IFERROR(VALUE(SUBSTITUTE(TRIM('수출입 실적(품목별)'!D2248),",","")),"")</f>
        <v>1787899.4</v>
      </c>
      <c r="H2244" s="19" t="n">
        <f aca="false">IFERROR(VALUE(SUBSTITUTE(TRIM('수출입 실적(품목별)'!E2248),",","")),"")</f>
        <v>1667103</v>
      </c>
      <c r="I2244" s="18" t="n">
        <f aca="false">IFERROR(VALUE(SUBSTITUTE(TRIM('수출입 실적(품목별)'!F2248),",","")),"")</f>
        <v>758467.3</v>
      </c>
      <c r="J2244" s="19" t="n">
        <f aca="false">IFERROR(VALUE(SUBSTITUTE(TRIM('수출입 실적(품목별)'!G2248),",","")),"")</f>
        <v>1239745</v>
      </c>
      <c r="K2244" s="19" t="n">
        <f aca="false">IFERROR(VALUE(SUBSTITUTE(TRIM('수출입 실적(품목별)'!H2248),",","")),"")</f>
        <v>427358</v>
      </c>
    </row>
    <row r="2245" customFormat="false" ht="15" hidden="false" customHeight="true" outlineLevel="0" collapsed="false">
      <c r="A2245" s="11" t="str">
        <f aca="false">TRIM('수출입 실적(품목별)'!A2249)</f>
        <v>2025.12</v>
      </c>
      <c r="B2245" s="17" t="n">
        <f aca="false">IFERROR(VALUE(LEFT($A2245,4)),"")</f>
        <v>2025</v>
      </c>
      <c r="C2245" s="17" t="n">
        <f aca="false">IFERROR(VALUE(RIGHT($A2245,2)),"")</f>
        <v>12</v>
      </c>
      <c r="D2245" s="17" t="n">
        <f aca="false">IFERROR(ROUNDUP($C2245/3,0),"")</f>
        <v>4</v>
      </c>
      <c r="E2245" s="11" t="str">
        <f aca="false">TRIM('수출입 실적(품목별)'!B2249)</f>
        <v>30</v>
      </c>
      <c r="F2245" s="11" t="str">
        <f aca="false">TRIM('수출입 실적(품목별)'!C2249)</f>
        <v>의료용품</v>
      </c>
      <c r="G2245" s="18" t="n">
        <f aca="false">IFERROR(VALUE(SUBSTITUTE(TRIM('수출입 실적(품목별)'!D2249),",","")),"")</f>
        <v>3444.4</v>
      </c>
      <c r="H2245" s="19" t="n">
        <f aca="false">IFERROR(VALUE(SUBSTITUTE(TRIM('수출입 실적(품목별)'!E2249),",","")),"")</f>
        <v>803942</v>
      </c>
      <c r="I2245" s="18" t="n">
        <f aca="false">IFERROR(VALUE(SUBSTITUTE(TRIM('수출입 실적(품목별)'!F2249),",","")),"")</f>
        <v>8656.3</v>
      </c>
      <c r="J2245" s="19" t="n">
        <f aca="false">IFERROR(VALUE(SUBSTITUTE(TRIM('수출입 실적(품목별)'!G2249),",","")),"")</f>
        <v>870827</v>
      </c>
      <c r="K2245" s="19" t="n">
        <f aca="false">IFERROR(VALUE(SUBSTITUTE(TRIM('수출입 실적(품목별)'!H2249),",","")),"")</f>
        <v>-66885</v>
      </c>
    </row>
    <row r="2246" customFormat="false" ht="15" hidden="false" customHeight="true" outlineLevel="0" collapsed="false">
      <c r="A2246" s="11" t="str">
        <f aca="false">TRIM('수출입 실적(품목별)'!A2250)</f>
        <v>2025.12</v>
      </c>
      <c r="B2246" s="17" t="n">
        <f aca="false">IFERROR(VALUE(LEFT($A2246,4)),"")</f>
        <v>2025</v>
      </c>
      <c r="C2246" s="17" t="n">
        <f aca="false">IFERROR(VALUE(RIGHT($A2246,2)),"")</f>
        <v>12</v>
      </c>
      <c r="D2246" s="17" t="n">
        <f aca="false">IFERROR(ROUNDUP($C2246/3,0),"")</f>
        <v>4</v>
      </c>
      <c r="E2246" s="11" t="str">
        <f aca="false">TRIM('수출입 실적(품목별)'!B2250)</f>
        <v>31</v>
      </c>
      <c r="F2246" s="11" t="str">
        <f aca="false">TRIM('수출입 실적(품목별)'!C2250)</f>
        <v>비료</v>
      </c>
      <c r="G2246" s="18" t="n">
        <f aca="false">IFERROR(VALUE(SUBSTITUTE(TRIM('수출입 실적(품목별)'!D2250),",","")),"")</f>
        <v>137544.8</v>
      </c>
      <c r="H2246" s="19" t="n">
        <f aca="false">IFERROR(VALUE(SUBSTITUTE(TRIM('수출입 실적(품목별)'!E2250),",","")),"")</f>
        <v>51873</v>
      </c>
      <c r="I2246" s="18" t="n">
        <f aca="false">IFERROR(VALUE(SUBSTITUTE(TRIM('수출입 실적(품목별)'!F2250),",","")),"")</f>
        <v>108705.5</v>
      </c>
      <c r="J2246" s="19" t="n">
        <f aca="false">IFERROR(VALUE(SUBSTITUTE(TRIM('수출입 실적(품목별)'!G2250),",","")),"")</f>
        <v>49990</v>
      </c>
      <c r="K2246" s="19" t="n">
        <f aca="false">IFERROR(VALUE(SUBSTITUTE(TRIM('수출입 실적(품목별)'!H2250),",","")),"")</f>
        <v>1883</v>
      </c>
    </row>
    <row r="2247" customFormat="false" ht="15" hidden="false" customHeight="true" outlineLevel="0" collapsed="false">
      <c r="A2247" s="11" t="str">
        <f aca="false">TRIM('수출입 실적(품목별)'!A2251)</f>
        <v>2025.12</v>
      </c>
      <c r="B2247" s="17" t="n">
        <f aca="false">IFERROR(VALUE(LEFT($A2247,4)),"")</f>
        <v>2025</v>
      </c>
      <c r="C2247" s="17" t="n">
        <f aca="false">IFERROR(VALUE(RIGHT($A2247,2)),"")</f>
        <v>12</v>
      </c>
      <c r="D2247" s="17" t="n">
        <f aca="false">IFERROR(ROUNDUP($C2247/3,0),"")</f>
        <v>4</v>
      </c>
      <c r="E2247" s="11" t="str">
        <f aca="false">TRIM('수출입 실적(품목별)'!B2251)</f>
        <v>32</v>
      </c>
      <c r="F2247" s="11" t="str">
        <f aca="false">TRIM('수출입 실적(품목별)'!C2251)</f>
        <v>유연용ㆍ염색용 추출물(extract), 탄닌과 이들의 유도체, 염료ㆍ안료와 그 밖의 착색제, 페인트ㆍ바니시(varnish), 퍼티(putty)와 그 밖의 매스틱(mastic), 잉크</v>
      </c>
      <c r="G2247" s="18" t="n">
        <f aca="false">IFERROR(VALUE(SUBSTITUTE(TRIM('수출입 실적(품목별)'!D2251),",","")),"")</f>
        <v>29773.6</v>
      </c>
      <c r="H2247" s="19" t="n">
        <f aca="false">IFERROR(VALUE(SUBSTITUTE(TRIM('수출입 실적(품목별)'!E2251),",","")),"")</f>
        <v>224733</v>
      </c>
      <c r="I2247" s="18" t="n">
        <f aca="false">IFERROR(VALUE(SUBSTITUTE(TRIM('수출입 실적(품목별)'!F2251),",","")),"")</f>
        <v>24848.5</v>
      </c>
      <c r="J2247" s="19" t="n">
        <f aca="false">IFERROR(VALUE(SUBSTITUTE(TRIM('수출입 실적(품목별)'!G2251),",","")),"")</f>
        <v>194813</v>
      </c>
      <c r="K2247" s="19" t="n">
        <f aca="false">IFERROR(VALUE(SUBSTITUTE(TRIM('수출입 실적(품목별)'!H2251),",","")),"")</f>
        <v>29920</v>
      </c>
    </row>
    <row r="2248" customFormat="false" ht="15" hidden="false" customHeight="true" outlineLevel="0" collapsed="false">
      <c r="A2248" s="11" t="str">
        <f aca="false">TRIM('수출입 실적(품목별)'!A2252)</f>
        <v>2025.12</v>
      </c>
      <c r="B2248" s="17" t="n">
        <f aca="false">IFERROR(VALUE(LEFT($A2248,4)),"")</f>
        <v>2025</v>
      </c>
      <c r="C2248" s="17" t="n">
        <f aca="false">IFERROR(VALUE(RIGHT($A2248,2)),"")</f>
        <v>12</v>
      </c>
      <c r="D2248" s="17" t="n">
        <f aca="false">IFERROR(ROUNDUP($C2248/3,0),"")</f>
        <v>4</v>
      </c>
      <c r="E2248" s="11" t="str">
        <f aca="false">TRIM('수출입 실적(품목별)'!B2252)</f>
        <v>33</v>
      </c>
      <c r="F2248" s="11" t="str">
        <f aca="false">TRIM('수출입 실적(품목별)'!C2252)</f>
        <v>정유(essential oil)와 레지노이드(resinoid), 조제향료와 화장품ㆍ화장용품</v>
      </c>
      <c r="G2248" s="18" t="n">
        <f aca="false">IFERROR(VALUE(SUBSTITUTE(TRIM('수출입 실적(품목별)'!D2252),",","")),"")</f>
        <v>43355.8</v>
      </c>
      <c r="H2248" s="19" t="n">
        <f aca="false">IFERROR(VALUE(SUBSTITUTE(TRIM('수출입 실적(품목별)'!E2252),",","")),"")</f>
        <v>1033401</v>
      </c>
      <c r="I2248" s="18" t="n">
        <f aca="false">IFERROR(VALUE(SUBSTITUTE(TRIM('수출입 실적(품목별)'!F2252),",","")),"")</f>
        <v>10840.9</v>
      </c>
      <c r="J2248" s="19" t="n">
        <f aca="false">IFERROR(VALUE(SUBSTITUTE(TRIM('수출입 실적(품목별)'!G2252),",","")),"")</f>
        <v>195995</v>
      </c>
      <c r="K2248" s="19" t="n">
        <f aca="false">IFERROR(VALUE(SUBSTITUTE(TRIM('수출입 실적(품목별)'!H2252),",","")),"")</f>
        <v>837405</v>
      </c>
    </row>
    <row r="2249" customFormat="false" ht="15" hidden="false" customHeight="true" outlineLevel="0" collapsed="false">
      <c r="A2249" s="11" t="str">
        <f aca="false">TRIM('수출입 실적(품목별)'!A2253)</f>
        <v>2025.12</v>
      </c>
      <c r="B2249" s="17" t="n">
        <f aca="false">IFERROR(VALUE(LEFT($A2249,4)),"")</f>
        <v>2025</v>
      </c>
      <c r="C2249" s="17" t="n">
        <f aca="false">IFERROR(VALUE(RIGHT($A2249,2)),"")</f>
        <v>12</v>
      </c>
      <c r="D2249" s="17" t="n">
        <f aca="false">IFERROR(ROUNDUP($C2249/3,0),"")</f>
        <v>4</v>
      </c>
      <c r="E2249" s="11" t="str">
        <f aca="false">TRIM('수출입 실적(품목별)'!B2253)</f>
        <v>34</v>
      </c>
      <c r="F2249" s="11" t="str">
        <f aca="false">TRIM('수출입 실적(품목별)'!C2253)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249" s="18" t="n">
        <f aca="false">IFERROR(VALUE(SUBSTITUTE(TRIM('수출입 실적(품목별)'!D2253),",","")),"")</f>
        <v>58081.5</v>
      </c>
      <c r="H2249" s="19" t="n">
        <f aca="false">IFERROR(VALUE(SUBSTITUTE(TRIM('수출입 실적(품목별)'!E2253),",","")),"")</f>
        <v>169659</v>
      </c>
      <c r="I2249" s="18" t="n">
        <f aca="false">IFERROR(VALUE(SUBSTITUTE(TRIM('수출입 실적(품목별)'!F2253),",","")),"")</f>
        <v>25994.4</v>
      </c>
      <c r="J2249" s="19" t="n">
        <f aca="false">IFERROR(VALUE(SUBSTITUTE(TRIM('수출입 실적(품목별)'!G2253),",","")),"")</f>
        <v>99467</v>
      </c>
      <c r="K2249" s="19" t="n">
        <f aca="false">IFERROR(VALUE(SUBSTITUTE(TRIM('수출입 실적(품목별)'!H2253),",","")),"")</f>
        <v>70192</v>
      </c>
    </row>
    <row r="2250" customFormat="false" ht="15" hidden="false" customHeight="true" outlineLevel="0" collapsed="false">
      <c r="A2250" s="11" t="str">
        <f aca="false">TRIM('수출입 실적(품목별)'!A2254)</f>
        <v>2025.12</v>
      </c>
      <c r="B2250" s="17" t="n">
        <f aca="false">IFERROR(VALUE(LEFT($A2250,4)),"")</f>
        <v>2025</v>
      </c>
      <c r="C2250" s="17" t="n">
        <f aca="false">IFERROR(VALUE(RIGHT($A2250,2)),"")</f>
        <v>12</v>
      </c>
      <c r="D2250" s="17" t="n">
        <f aca="false">IFERROR(ROUNDUP($C2250/3,0),"")</f>
        <v>4</v>
      </c>
      <c r="E2250" s="11" t="str">
        <f aca="false">TRIM('수출입 실적(품목별)'!B2254)</f>
        <v>35</v>
      </c>
      <c r="F2250" s="11" t="str">
        <f aca="false">TRIM('수출입 실적(품목별)'!C2254)</f>
        <v>단백질계 물질, 변성전분, 글루(glue), 효소</v>
      </c>
      <c r="G2250" s="18" t="n">
        <f aca="false">IFERROR(VALUE(SUBSTITUTE(TRIM('수출입 실적(품목별)'!D2254),",","")),"")</f>
        <v>6905.8</v>
      </c>
      <c r="H2250" s="19" t="n">
        <f aca="false">IFERROR(VALUE(SUBSTITUTE(TRIM('수출입 실적(품목별)'!E2254),",","")),"")</f>
        <v>81503</v>
      </c>
      <c r="I2250" s="18" t="n">
        <f aca="false">IFERROR(VALUE(SUBSTITUTE(TRIM('수출입 실적(품목별)'!F2254),",","")),"")</f>
        <v>29336.1</v>
      </c>
      <c r="J2250" s="19" t="n">
        <f aca="false">IFERROR(VALUE(SUBSTITUTE(TRIM('수출입 실적(품목별)'!G2254),",","")),"")</f>
        <v>102380</v>
      </c>
      <c r="K2250" s="19" t="n">
        <f aca="false">IFERROR(VALUE(SUBSTITUTE(TRIM('수출입 실적(품목별)'!H2254),",","")),"")</f>
        <v>-20877</v>
      </c>
    </row>
    <row r="2251" customFormat="false" ht="15" hidden="false" customHeight="true" outlineLevel="0" collapsed="false">
      <c r="A2251" s="11" t="str">
        <f aca="false">TRIM('수출입 실적(품목별)'!A2255)</f>
        <v>2025.12</v>
      </c>
      <c r="B2251" s="17" t="n">
        <f aca="false">IFERROR(VALUE(LEFT($A2251,4)),"")</f>
        <v>2025</v>
      </c>
      <c r="C2251" s="17" t="n">
        <f aca="false">IFERROR(VALUE(RIGHT($A2251,2)),"")</f>
        <v>12</v>
      </c>
      <c r="D2251" s="17" t="n">
        <f aca="false">IFERROR(ROUNDUP($C2251/3,0),"")</f>
        <v>4</v>
      </c>
      <c r="E2251" s="11" t="str">
        <f aca="false">TRIM('수출입 실적(품목별)'!B2255)</f>
        <v>36</v>
      </c>
      <c r="F2251" s="11" t="str">
        <f aca="false">TRIM('수출입 실적(품목별)'!C2255)</f>
        <v>화약류, 화공품, 성냥, 발화성 합금, 특정 가연성 조제품</v>
      </c>
      <c r="G2251" s="18" t="n">
        <f aca="false">IFERROR(VALUE(SUBSTITUTE(TRIM('수출입 실적(품목별)'!D2255),",","")),"")</f>
        <v>318.5</v>
      </c>
      <c r="H2251" s="19" t="n">
        <f aca="false">IFERROR(VALUE(SUBSTITUTE(TRIM('수출입 실적(품목별)'!E2255),",","")),"")</f>
        <v>17296</v>
      </c>
      <c r="I2251" s="18" t="n">
        <f aca="false">IFERROR(VALUE(SUBSTITUTE(TRIM('수출입 실적(품목별)'!F2255),",","")),"")</f>
        <v>434.7</v>
      </c>
      <c r="J2251" s="19" t="n">
        <f aca="false">IFERROR(VALUE(SUBSTITUTE(TRIM('수출입 실적(품목별)'!G2255),",","")),"")</f>
        <v>13518</v>
      </c>
      <c r="K2251" s="19" t="n">
        <f aca="false">IFERROR(VALUE(SUBSTITUTE(TRIM('수출입 실적(품목별)'!H2255),",","")),"")</f>
        <v>3778</v>
      </c>
    </row>
    <row r="2252" customFormat="false" ht="15" hidden="false" customHeight="true" outlineLevel="0" collapsed="false">
      <c r="A2252" s="11" t="str">
        <f aca="false">TRIM('수출입 실적(품목별)'!A2256)</f>
        <v>2025.12</v>
      </c>
      <c r="B2252" s="17" t="n">
        <f aca="false">IFERROR(VALUE(LEFT($A2252,4)),"")</f>
        <v>2025</v>
      </c>
      <c r="C2252" s="17" t="n">
        <f aca="false">IFERROR(VALUE(RIGHT($A2252,2)),"")</f>
        <v>12</v>
      </c>
      <c r="D2252" s="17" t="n">
        <f aca="false">IFERROR(ROUNDUP($C2252/3,0),"")</f>
        <v>4</v>
      </c>
      <c r="E2252" s="11" t="str">
        <f aca="false">TRIM('수출입 실적(품목별)'!B2256)</f>
        <v>37</v>
      </c>
      <c r="F2252" s="11" t="str">
        <f aca="false">TRIM('수출입 실적(품목별)'!C2256)</f>
        <v>사진용이나 영화용 재료</v>
      </c>
      <c r="G2252" s="18" t="n">
        <f aca="false">IFERROR(VALUE(SUBSTITUTE(TRIM('수출입 실적(품목별)'!D2256),",","")),"")</f>
        <v>1936.7</v>
      </c>
      <c r="H2252" s="19" t="n">
        <f aca="false">IFERROR(VALUE(SUBSTITUTE(TRIM('수출입 실적(품목별)'!E2256),",","")),"")</f>
        <v>95512</v>
      </c>
      <c r="I2252" s="18" t="n">
        <f aca="false">IFERROR(VALUE(SUBSTITUTE(TRIM('수출입 실적(품목별)'!F2256),",","")),"")</f>
        <v>3730.8</v>
      </c>
      <c r="J2252" s="19" t="n">
        <f aca="false">IFERROR(VALUE(SUBSTITUTE(TRIM('수출입 실적(품목별)'!G2256),",","")),"")</f>
        <v>113436</v>
      </c>
      <c r="K2252" s="19" t="n">
        <f aca="false">IFERROR(VALUE(SUBSTITUTE(TRIM('수출입 실적(품목별)'!H2256),",","")),"")</f>
        <v>-17924</v>
      </c>
    </row>
    <row r="2253" customFormat="false" ht="15" hidden="false" customHeight="true" outlineLevel="0" collapsed="false">
      <c r="A2253" s="11" t="str">
        <f aca="false">TRIM('수출입 실적(품목별)'!A2257)</f>
        <v>2025.12</v>
      </c>
      <c r="B2253" s="17" t="n">
        <f aca="false">IFERROR(VALUE(LEFT($A2253,4)),"")</f>
        <v>2025</v>
      </c>
      <c r="C2253" s="17" t="n">
        <f aca="false">IFERROR(VALUE(RIGHT($A2253,2)),"")</f>
        <v>12</v>
      </c>
      <c r="D2253" s="17" t="n">
        <f aca="false">IFERROR(ROUNDUP($C2253/3,0),"")</f>
        <v>4</v>
      </c>
      <c r="E2253" s="11" t="str">
        <f aca="false">TRIM('수출입 실적(품목별)'!B2257)</f>
        <v>38</v>
      </c>
      <c r="F2253" s="11" t="str">
        <f aca="false">TRIM('수출입 실적(품목별)'!C2257)</f>
        <v>각종 화학공업 생산품</v>
      </c>
      <c r="G2253" s="18" t="n">
        <f aca="false">IFERROR(VALUE(SUBSTITUTE(TRIM('수출입 실적(품목별)'!D2257),",","")),"")</f>
        <v>110211</v>
      </c>
      <c r="H2253" s="19" t="n">
        <f aca="false">IFERROR(VALUE(SUBSTITUTE(TRIM('수출입 실적(품목별)'!E2257),",","")),"")</f>
        <v>667452</v>
      </c>
      <c r="I2253" s="18" t="n">
        <f aca="false">IFERROR(VALUE(SUBSTITUTE(TRIM('수출입 실적(품목별)'!F2257),",","")),"")</f>
        <v>310397.6</v>
      </c>
      <c r="J2253" s="19" t="n">
        <f aca="false">IFERROR(VALUE(SUBSTITUTE(TRIM('수출입 실적(품목별)'!G2257),",","")),"")</f>
        <v>938448</v>
      </c>
      <c r="K2253" s="19" t="n">
        <f aca="false">IFERROR(VALUE(SUBSTITUTE(TRIM('수출입 실적(품목별)'!H2257),",","")),"")</f>
        <v>-270997</v>
      </c>
    </row>
    <row r="2254" customFormat="false" ht="15" hidden="false" customHeight="true" outlineLevel="0" collapsed="false">
      <c r="A2254" s="11" t="str">
        <f aca="false">TRIM('수출입 실적(품목별)'!A2258)</f>
        <v>2025.12</v>
      </c>
      <c r="B2254" s="17" t="n">
        <f aca="false">IFERROR(VALUE(LEFT($A2254,4)),"")</f>
        <v>2025</v>
      </c>
      <c r="C2254" s="17" t="n">
        <f aca="false">IFERROR(VALUE(RIGHT($A2254,2)),"")</f>
        <v>12</v>
      </c>
      <c r="D2254" s="17" t="n">
        <f aca="false">IFERROR(ROUNDUP($C2254/3,0),"")</f>
        <v>4</v>
      </c>
      <c r="E2254" s="11" t="str">
        <f aca="false">TRIM('수출입 실적(품목별)'!B2258)</f>
        <v>39</v>
      </c>
      <c r="F2254" s="11" t="str">
        <f aca="false">TRIM('수출입 실적(품목별)'!C2258)</f>
        <v>플라스틱과 그 제품</v>
      </c>
      <c r="G2254" s="18" t="n">
        <f aca="false">IFERROR(VALUE(SUBSTITUTE(TRIM('수출입 실적(품목별)'!D2258),",","")),"")</f>
        <v>1523511.5</v>
      </c>
      <c r="H2254" s="19" t="n">
        <f aca="false">IFERROR(VALUE(SUBSTITUTE(TRIM('수출입 실적(품목별)'!E2258),",","")),"")</f>
        <v>2849819</v>
      </c>
      <c r="I2254" s="18" t="n">
        <f aca="false">IFERROR(VALUE(SUBSTITUTE(TRIM('수출입 실적(품목별)'!F2258),",","")),"")</f>
        <v>304825.7</v>
      </c>
      <c r="J2254" s="19" t="n">
        <f aca="false">IFERROR(VALUE(SUBSTITUTE(TRIM('수출입 실적(품목별)'!G2258),",","")),"")</f>
        <v>1262595</v>
      </c>
      <c r="K2254" s="19" t="n">
        <f aca="false">IFERROR(VALUE(SUBSTITUTE(TRIM('수출입 실적(품목별)'!H2258),",","")),"")</f>
        <v>1587224</v>
      </c>
    </row>
    <row r="2255" customFormat="false" ht="15" hidden="false" customHeight="true" outlineLevel="0" collapsed="false">
      <c r="A2255" s="11" t="str">
        <f aca="false">TRIM('수출입 실적(품목별)'!A2259)</f>
        <v>2025.12</v>
      </c>
      <c r="B2255" s="17" t="n">
        <f aca="false">IFERROR(VALUE(LEFT($A2255,4)),"")</f>
        <v>2025</v>
      </c>
      <c r="C2255" s="17" t="n">
        <f aca="false">IFERROR(VALUE(RIGHT($A2255,2)),"")</f>
        <v>12</v>
      </c>
      <c r="D2255" s="17" t="n">
        <f aca="false">IFERROR(ROUNDUP($C2255/3,0),"")</f>
        <v>4</v>
      </c>
      <c r="E2255" s="11" t="str">
        <f aca="false">TRIM('수출입 실적(품목별)'!B2259)</f>
        <v>40</v>
      </c>
      <c r="F2255" s="11" t="str">
        <f aca="false">TRIM('수출입 실적(품목별)'!C2259)</f>
        <v>고무와 그 제품</v>
      </c>
      <c r="G2255" s="18" t="n">
        <f aca="false">IFERROR(VALUE(SUBSTITUTE(TRIM('수출입 실적(품목별)'!D2259),",","")),"")</f>
        <v>267272.3</v>
      </c>
      <c r="H2255" s="19" t="n">
        <f aca="false">IFERROR(VALUE(SUBSTITUTE(TRIM('수출입 실적(품목별)'!E2259),",","")),"")</f>
        <v>620681</v>
      </c>
      <c r="I2255" s="18" t="n">
        <f aca="false">IFERROR(VALUE(SUBSTITUTE(TRIM('수출입 실적(품목별)'!F2259),",","")),"")</f>
        <v>94458.1</v>
      </c>
      <c r="J2255" s="19" t="n">
        <f aca="false">IFERROR(VALUE(SUBSTITUTE(TRIM('수출입 실적(품목별)'!G2259),",","")),"")</f>
        <v>293196</v>
      </c>
      <c r="K2255" s="19" t="n">
        <f aca="false">IFERROR(VALUE(SUBSTITUTE(TRIM('수출입 실적(품목별)'!H2259),",","")),"")</f>
        <v>327485</v>
      </c>
    </row>
    <row r="2256" customFormat="false" ht="15" hidden="false" customHeight="true" outlineLevel="0" collapsed="false">
      <c r="A2256" s="11" t="str">
        <f aca="false">TRIM('수출입 실적(품목별)'!A2260)</f>
        <v>2025.12</v>
      </c>
      <c r="B2256" s="17" t="n">
        <f aca="false">IFERROR(VALUE(LEFT($A2256,4)),"")</f>
        <v>2025</v>
      </c>
      <c r="C2256" s="17" t="n">
        <f aca="false">IFERROR(VALUE(RIGHT($A2256,2)),"")</f>
        <v>12</v>
      </c>
      <c r="D2256" s="17" t="n">
        <f aca="false">IFERROR(ROUNDUP($C2256/3,0),"")</f>
        <v>4</v>
      </c>
      <c r="E2256" s="11" t="str">
        <f aca="false">TRIM('수출입 실적(품목별)'!B2260)</f>
        <v>41</v>
      </c>
      <c r="F2256" s="11" t="str">
        <f aca="false">TRIM('수출입 실적(품목별)'!C2260)</f>
        <v>원피(모피는 제외한다)와 가죽</v>
      </c>
      <c r="G2256" s="18" t="n">
        <f aca="false">IFERROR(VALUE(SUBSTITUTE(TRIM('수출입 실적(품목별)'!D2260),",","")),"")</f>
        <v>2449.2</v>
      </c>
      <c r="H2256" s="19" t="n">
        <f aca="false">IFERROR(VALUE(SUBSTITUTE(TRIM('수출입 실적(품목별)'!E2260),",","")),"")</f>
        <v>21524</v>
      </c>
      <c r="I2256" s="18" t="n">
        <f aca="false">IFERROR(VALUE(SUBSTITUTE(TRIM('수출입 실적(품목별)'!F2260),",","")),"")</f>
        <v>6481.1</v>
      </c>
      <c r="J2256" s="19" t="n">
        <f aca="false">IFERROR(VALUE(SUBSTITUTE(TRIM('수출입 실적(품목별)'!G2260),",","")),"")</f>
        <v>23412</v>
      </c>
      <c r="K2256" s="19" t="n">
        <f aca="false">IFERROR(VALUE(SUBSTITUTE(TRIM('수출입 실적(품목별)'!H2260),",","")),"")</f>
        <v>-1888</v>
      </c>
    </row>
    <row r="2257" customFormat="false" ht="15" hidden="false" customHeight="true" outlineLevel="0" collapsed="false">
      <c r="A2257" s="11" t="str">
        <f aca="false">TRIM('수출입 실적(품목별)'!A2261)</f>
        <v>2025.12</v>
      </c>
      <c r="B2257" s="17" t="n">
        <f aca="false">IFERROR(VALUE(LEFT($A2257,4)),"")</f>
        <v>2025</v>
      </c>
      <c r="C2257" s="17" t="n">
        <f aca="false">IFERROR(VALUE(RIGHT($A2257,2)),"")</f>
        <v>12</v>
      </c>
      <c r="D2257" s="17" t="n">
        <f aca="false">IFERROR(ROUNDUP($C2257/3,0),"")</f>
        <v>4</v>
      </c>
      <c r="E2257" s="11" t="str">
        <f aca="false">TRIM('수출입 실적(품목별)'!B2261)</f>
        <v>42</v>
      </c>
      <c r="F2257" s="11" t="str">
        <f aca="false">TRIM('수출입 실적(품목별)'!C2261)</f>
        <v>가죽제품, 마구, 여행용구ㆍ핸드백과 이와 유사한 용기, 동물 거트(gut)[누에의 거트(gut)는 제외한다]의 제품</v>
      </c>
      <c r="G2257" s="18" t="n">
        <f aca="false">IFERROR(VALUE(SUBSTITUTE(TRIM('수출입 실적(품목별)'!D2261),",","")),"")</f>
        <v>844</v>
      </c>
      <c r="H2257" s="19" t="n">
        <f aca="false">IFERROR(VALUE(SUBSTITUTE(TRIM('수출입 실적(품목별)'!E2261),",","")),"")</f>
        <v>47897</v>
      </c>
      <c r="I2257" s="18" t="n">
        <f aca="false">IFERROR(VALUE(SUBSTITUTE(TRIM('수출입 실적(품목별)'!F2261),",","")),"")</f>
        <v>9970.1</v>
      </c>
      <c r="J2257" s="19" t="n">
        <f aca="false">IFERROR(VALUE(SUBSTITUTE(TRIM('수출입 실적(품목별)'!G2261),",","")),"")</f>
        <v>350666</v>
      </c>
      <c r="K2257" s="19" t="n">
        <f aca="false">IFERROR(VALUE(SUBSTITUTE(TRIM('수출입 실적(품목별)'!H2261),",","")),"")</f>
        <v>-302769</v>
      </c>
    </row>
    <row r="2258" customFormat="false" ht="15" hidden="false" customHeight="true" outlineLevel="0" collapsed="false">
      <c r="A2258" s="11" t="str">
        <f aca="false">TRIM('수출입 실적(품목별)'!A2262)</f>
        <v>2025.12</v>
      </c>
      <c r="B2258" s="17" t="n">
        <f aca="false">IFERROR(VALUE(LEFT($A2258,4)),"")</f>
        <v>2025</v>
      </c>
      <c r="C2258" s="17" t="n">
        <f aca="false">IFERROR(VALUE(RIGHT($A2258,2)),"")</f>
        <v>12</v>
      </c>
      <c r="D2258" s="17" t="n">
        <f aca="false">IFERROR(ROUNDUP($C2258/3,0),"")</f>
        <v>4</v>
      </c>
      <c r="E2258" s="11" t="str">
        <f aca="false">TRIM('수출입 실적(품목별)'!B2262)</f>
        <v>43</v>
      </c>
      <c r="F2258" s="11" t="str">
        <f aca="false">TRIM('수출입 실적(품목별)'!C2262)</f>
        <v>모피ㆍ인조모피와 이들의 제품</v>
      </c>
      <c r="G2258" s="18" t="n">
        <f aca="false">IFERROR(VALUE(SUBSTITUTE(TRIM('수출입 실적(품목별)'!D2262),",","")),"")</f>
        <v>7.4</v>
      </c>
      <c r="H2258" s="19" t="n">
        <f aca="false">IFERROR(VALUE(SUBSTITUTE(TRIM('수출입 실적(품목별)'!E2262),",","")),"")</f>
        <v>517</v>
      </c>
      <c r="I2258" s="18" t="n">
        <f aca="false">IFERROR(VALUE(SUBSTITUTE(TRIM('수출입 실적(품목별)'!F2262),",","")),"")</f>
        <v>92.1</v>
      </c>
      <c r="J2258" s="19" t="n">
        <f aca="false">IFERROR(VALUE(SUBSTITUTE(TRIM('수출입 실적(품목별)'!G2262),",","")),"")</f>
        <v>10017</v>
      </c>
      <c r="K2258" s="19" t="n">
        <f aca="false">IFERROR(VALUE(SUBSTITUTE(TRIM('수출입 실적(품목별)'!H2262),",","")),"")</f>
        <v>-9499</v>
      </c>
    </row>
    <row r="2259" customFormat="false" ht="15" hidden="false" customHeight="true" outlineLevel="0" collapsed="false">
      <c r="A2259" s="11" t="str">
        <f aca="false">TRIM('수출입 실적(품목별)'!A2263)</f>
        <v>2025.12</v>
      </c>
      <c r="B2259" s="17" t="n">
        <f aca="false">IFERROR(VALUE(LEFT($A2259,4)),"")</f>
        <v>2025</v>
      </c>
      <c r="C2259" s="17" t="n">
        <f aca="false">IFERROR(VALUE(RIGHT($A2259,2)),"")</f>
        <v>12</v>
      </c>
      <c r="D2259" s="17" t="n">
        <f aca="false">IFERROR(ROUNDUP($C2259/3,0),"")</f>
        <v>4</v>
      </c>
      <c r="E2259" s="11" t="str">
        <f aca="false">TRIM('수출입 실적(품목별)'!B2263)</f>
        <v>44</v>
      </c>
      <c r="F2259" s="11" t="str">
        <f aca="false">TRIM('수출입 실적(품목별)'!C2263)</f>
        <v>목재와 그 제품, 목탄</v>
      </c>
      <c r="G2259" s="18" t="n">
        <f aca="false">IFERROR(VALUE(SUBSTITUTE(TRIM('수출입 실적(품목별)'!D2263),",","")),"")</f>
        <v>3656.1</v>
      </c>
      <c r="H2259" s="19" t="n">
        <f aca="false">IFERROR(VALUE(SUBSTITUTE(TRIM('수출입 실적(품목별)'!E2263),",","")),"")</f>
        <v>6284</v>
      </c>
      <c r="I2259" s="18" t="n">
        <f aca="false">IFERROR(VALUE(SUBSTITUTE(TRIM('수출입 실적(품목별)'!F2263),",","")),"")</f>
        <v>798067</v>
      </c>
      <c r="J2259" s="19" t="n">
        <f aca="false">IFERROR(VALUE(SUBSTITUTE(TRIM('수출입 실적(품목별)'!G2263),",","")),"")</f>
        <v>243333</v>
      </c>
      <c r="K2259" s="19" t="n">
        <f aca="false">IFERROR(VALUE(SUBSTITUTE(TRIM('수출입 실적(품목별)'!H2263),",","")),"")</f>
        <v>-237049</v>
      </c>
    </row>
    <row r="2260" customFormat="false" ht="15" hidden="false" customHeight="true" outlineLevel="0" collapsed="false">
      <c r="A2260" s="11" t="str">
        <f aca="false">TRIM('수출입 실적(품목별)'!A2264)</f>
        <v>2025.12</v>
      </c>
      <c r="B2260" s="17" t="n">
        <f aca="false">IFERROR(VALUE(LEFT($A2260,4)),"")</f>
        <v>2025</v>
      </c>
      <c r="C2260" s="17" t="n">
        <f aca="false">IFERROR(VALUE(RIGHT($A2260,2)),"")</f>
        <v>12</v>
      </c>
      <c r="D2260" s="17" t="n">
        <f aca="false">IFERROR(ROUNDUP($C2260/3,0),"")</f>
        <v>4</v>
      </c>
      <c r="E2260" s="11" t="str">
        <f aca="false">TRIM('수출입 실적(품목별)'!B2264)</f>
        <v>45</v>
      </c>
      <c r="F2260" s="11" t="str">
        <f aca="false">TRIM('수출입 실적(품목별)'!C2264)</f>
        <v>코르크(cork)와 그 제품</v>
      </c>
      <c r="G2260" s="18" t="n">
        <f aca="false">IFERROR(VALUE(SUBSTITUTE(TRIM('수출입 실적(품목별)'!D2264),",","")),"")</f>
        <v>1.5</v>
      </c>
      <c r="H2260" s="19" t="n">
        <f aca="false">IFERROR(VALUE(SUBSTITUTE(TRIM('수출입 실적(품목별)'!E2264),",","")),"")</f>
        <v>40</v>
      </c>
      <c r="I2260" s="18" t="n">
        <f aca="false">IFERROR(VALUE(SUBSTITUTE(TRIM('수출입 실적(품목별)'!F2264),",","")),"")</f>
        <v>120.3</v>
      </c>
      <c r="J2260" s="19" t="n">
        <f aca="false">IFERROR(VALUE(SUBSTITUTE(TRIM('수출입 실적(품목별)'!G2264),",","")),"")</f>
        <v>1062</v>
      </c>
      <c r="K2260" s="19" t="n">
        <f aca="false">IFERROR(VALUE(SUBSTITUTE(TRIM('수출입 실적(품목별)'!H2264),",","")),"")</f>
        <v>-1023</v>
      </c>
    </row>
    <row r="2261" customFormat="false" ht="15" hidden="false" customHeight="true" outlineLevel="0" collapsed="false">
      <c r="A2261" s="11" t="str">
        <f aca="false">TRIM('수출입 실적(품목별)'!A2265)</f>
        <v>2025.12</v>
      </c>
      <c r="B2261" s="17" t="n">
        <f aca="false">IFERROR(VALUE(LEFT($A2261,4)),"")</f>
        <v>2025</v>
      </c>
      <c r="C2261" s="17" t="n">
        <f aca="false">IFERROR(VALUE(RIGHT($A2261,2)),"")</f>
        <v>12</v>
      </c>
      <c r="D2261" s="17" t="n">
        <f aca="false">IFERROR(ROUNDUP($C2261/3,0),"")</f>
        <v>4</v>
      </c>
      <c r="E2261" s="11" t="str">
        <f aca="false">TRIM('수출입 실적(품목별)'!B2265)</f>
        <v>46</v>
      </c>
      <c r="F2261" s="11" t="str">
        <f aca="false">TRIM('수출입 실적(품목별)'!C2265)</f>
        <v>짚ㆍ에스파르토(esparto)나 그 밖의 조물 재료의 제품, 바구니 세공물(basketware)과 지조세공물(枝條細工物)</v>
      </c>
      <c r="G2261" s="18" t="n">
        <f aca="false">IFERROR(VALUE(SUBSTITUTE(TRIM('수출입 실적(품목별)'!D2265),",","")),"")</f>
        <v>4.6</v>
      </c>
      <c r="H2261" s="19" t="n">
        <f aca="false">IFERROR(VALUE(SUBSTITUTE(TRIM('수출입 실적(품목별)'!E2265),",","")),"")</f>
        <v>185</v>
      </c>
      <c r="I2261" s="18" t="n">
        <f aca="false">IFERROR(VALUE(SUBSTITUTE(TRIM('수출입 실적(품목별)'!F2265),",","")),"")</f>
        <v>291.4</v>
      </c>
      <c r="J2261" s="19" t="n">
        <f aca="false">IFERROR(VALUE(SUBSTITUTE(TRIM('수출입 실적(품목별)'!G2265),",","")),"")</f>
        <v>1691</v>
      </c>
      <c r="K2261" s="19" t="n">
        <f aca="false">IFERROR(VALUE(SUBSTITUTE(TRIM('수출입 실적(품목별)'!H2265),",","")),"")</f>
        <v>-1506</v>
      </c>
    </row>
    <row r="2262" customFormat="false" ht="15" hidden="false" customHeight="true" outlineLevel="0" collapsed="false">
      <c r="A2262" s="11" t="str">
        <f aca="false">TRIM('수출입 실적(품목별)'!A2266)</f>
        <v>2025.12</v>
      </c>
      <c r="B2262" s="17" t="n">
        <f aca="false">IFERROR(VALUE(LEFT($A2262,4)),"")</f>
        <v>2025</v>
      </c>
      <c r="C2262" s="17" t="n">
        <f aca="false">IFERROR(VALUE(RIGHT($A2262,2)),"")</f>
        <v>12</v>
      </c>
      <c r="D2262" s="17" t="n">
        <f aca="false">IFERROR(ROUNDUP($C2262/3,0),"")</f>
        <v>4</v>
      </c>
      <c r="E2262" s="11" t="str">
        <f aca="false">TRIM('수출입 실적(품목별)'!B2266)</f>
        <v>47</v>
      </c>
      <c r="F2262" s="11" t="str">
        <f aca="false">TRIM('수출입 실적(품목별)'!C2266)</f>
        <v>목재나 그 밖의 섬유질 셀룰로오스재료의 펄프, 회수한 종이ㆍ판지[웨이스트(waste)와 스크랩(scrap)]</v>
      </c>
      <c r="G2262" s="18" t="n">
        <f aca="false">IFERROR(VALUE(SUBSTITUTE(TRIM('수출입 실적(품목별)'!D2266),",","")),"")</f>
        <v>44268.8</v>
      </c>
      <c r="H2262" s="19" t="n">
        <f aca="false">IFERROR(VALUE(SUBSTITUTE(TRIM('수출입 실적(품목별)'!E2266),",","")),"")</f>
        <v>10619</v>
      </c>
      <c r="I2262" s="18" t="n">
        <f aca="false">IFERROR(VALUE(SUBSTITUTE(TRIM('수출입 실적(품목별)'!F2266),",","")),"")</f>
        <v>211497.9</v>
      </c>
      <c r="J2262" s="19" t="n">
        <f aca="false">IFERROR(VALUE(SUBSTITUTE(TRIM('수출입 실적(품목별)'!G2266),",","")),"")</f>
        <v>105614</v>
      </c>
      <c r="K2262" s="19" t="n">
        <f aca="false">IFERROR(VALUE(SUBSTITUTE(TRIM('수출입 실적(품목별)'!H2266),",","")),"")</f>
        <v>-94994</v>
      </c>
    </row>
    <row r="2263" customFormat="false" ht="15" hidden="false" customHeight="true" outlineLevel="0" collapsed="false">
      <c r="A2263" s="11" t="str">
        <f aca="false">TRIM('수출입 실적(품목별)'!A2267)</f>
        <v>2025.12</v>
      </c>
      <c r="B2263" s="17" t="n">
        <f aca="false">IFERROR(VALUE(LEFT($A2263,4)),"")</f>
        <v>2025</v>
      </c>
      <c r="C2263" s="17" t="n">
        <f aca="false">IFERROR(VALUE(RIGHT($A2263,2)),"")</f>
        <v>12</v>
      </c>
      <c r="D2263" s="17" t="n">
        <f aca="false">IFERROR(ROUNDUP($C2263/3,0),"")</f>
        <v>4</v>
      </c>
      <c r="E2263" s="11" t="str">
        <f aca="false">TRIM('수출입 실적(품목별)'!B2267)</f>
        <v>48</v>
      </c>
      <c r="F2263" s="11" t="str">
        <f aca="false">TRIM('수출입 실적(품목별)'!C2267)</f>
        <v>종이와 판지, 제지용 펄프ㆍ종이ㆍ판지의 제품</v>
      </c>
      <c r="G2263" s="18" t="n">
        <f aca="false">IFERROR(VALUE(SUBSTITUTE(TRIM('수출입 실적(품목별)'!D2267),",","")),"")</f>
        <v>245414.1</v>
      </c>
      <c r="H2263" s="19" t="n">
        <f aca="false">IFERROR(VALUE(SUBSTITUTE(TRIM('수출입 실적(품목별)'!E2267),",","")),"")</f>
        <v>227466</v>
      </c>
      <c r="I2263" s="18" t="n">
        <f aca="false">IFERROR(VALUE(SUBSTITUTE(TRIM('수출입 실적(품목별)'!F2267),",","")),"")</f>
        <v>142850.8</v>
      </c>
      <c r="J2263" s="19" t="n">
        <f aca="false">IFERROR(VALUE(SUBSTITUTE(TRIM('수출입 실적(품목별)'!G2267),",","")),"")</f>
        <v>210253</v>
      </c>
      <c r="K2263" s="19" t="n">
        <f aca="false">IFERROR(VALUE(SUBSTITUTE(TRIM('수출입 실적(품목별)'!H2267),",","")),"")</f>
        <v>17213</v>
      </c>
    </row>
    <row r="2264" customFormat="false" ht="15" hidden="false" customHeight="true" outlineLevel="0" collapsed="false">
      <c r="A2264" s="11" t="str">
        <f aca="false">TRIM('수출입 실적(품목별)'!A2268)</f>
        <v>2025.12</v>
      </c>
      <c r="B2264" s="17" t="n">
        <f aca="false">IFERROR(VALUE(LEFT($A2264,4)),"")</f>
        <v>2025</v>
      </c>
      <c r="C2264" s="17" t="n">
        <f aca="false">IFERROR(VALUE(RIGHT($A2264,2)),"")</f>
        <v>12</v>
      </c>
      <c r="D2264" s="17" t="n">
        <f aca="false">IFERROR(ROUNDUP($C2264/3,0),"")</f>
        <v>4</v>
      </c>
      <c r="E2264" s="11" t="str">
        <f aca="false">TRIM('수출입 실적(품목별)'!B2268)</f>
        <v>49</v>
      </c>
      <c r="F2264" s="11" t="str">
        <f aca="false">TRIM('수출입 실적(품목별)'!C2268)</f>
        <v>인쇄서적ㆍ신문ㆍ회화ㆍ그 밖의 인쇄물, 수제(手製)문서ㆍ타자문서ㆍ도면</v>
      </c>
      <c r="G2264" s="18" t="n">
        <f aca="false">IFERROR(VALUE(SUBSTITUTE(TRIM('수출입 실적(품목별)'!D2268),",","")),"")</f>
        <v>2607.7</v>
      </c>
      <c r="H2264" s="19" t="n">
        <f aca="false">IFERROR(VALUE(SUBSTITUTE(TRIM('수출입 실적(품목별)'!E2268),",","")),"")</f>
        <v>27117</v>
      </c>
      <c r="I2264" s="18" t="n">
        <f aca="false">IFERROR(VALUE(SUBSTITUTE(TRIM('수출입 실적(품목별)'!F2268),",","")),"")</f>
        <v>1416.8</v>
      </c>
      <c r="J2264" s="19" t="n">
        <f aca="false">IFERROR(VALUE(SUBSTITUTE(TRIM('수출입 실적(품목별)'!G2268),",","")),"")</f>
        <v>32648</v>
      </c>
      <c r="K2264" s="19" t="n">
        <f aca="false">IFERROR(VALUE(SUBSTITUTE(TRIM('수출입 실적(품목별)'!H2268),",","")),"")</f>
        <v>-5531</v>
      </c>
    </row>
    <row r="2265" customFormat="false" ht="15" hidden="false" customHeight="true" outlineLevel="0" collapsed="false">
      <c r="A2265" s="11" t="str">
        <f aca="false">TRIM('수출입 실적(품목별)'!A2269)</f>
        <v>2025.12</v>
      </c>
      <c r="B2265" s="17" t="n">
        <f aca="false">IFERROR(VALUE(LEFT($A2265,4)),"")</f>
        <v>2025</v>
      </c>
      <c r="C2265" s="17" t="n">
        <f aca="false">IFERROR(VALUE(RIGHT($A2265,2)),"")</f>
        <v>12</v>
      </c>
      <c r="D2265" s="17" t="n">
        <f aca="false">IFERROR(ROUNDUP($C2265/3,0),"")</f>
        <v>4</v>
      </c>
      <c r="E2265" s="11" t="str">
        <f aca="false">TRIM('수출입 실적(품목별)'!B2269)</f>
        <v>50</v>
      </c>
      <c r="F2265" s="11" t="str">
        <f aca="false">TRIM('수출입 실적(품목별)'!C2269)</f>
        <v>견</v>
      </c>
      <c r="G2265" s="18" t="n">
        <f aca="false">IFERROR(VALUE(SUBSTITUTE(TRIM('수출입 실적(품목별)'!D2269),",","")),"")</f>
        <v>8.9</v>
      </c>
      <c r="H2265" s="19" t="n">
        <f aca="false">IFERROR(VALUE(SUBSTITUTE(TRIM('수출입 실적(품목별)'!E2269),",","")),"")</f>
        <v>1541</v>
      </c>
      <c r="I2265" s="18" t="n">
        <f aca="false">IFERROR(VALUE(SUBSTITUTE(TRIM('수출입 실적(품목별)'!F2269),",","")),"")</f>
        <v>40.7</v>
      </c>
      <c r="J2265" s="19" t="n">
        <f aca="false">IFERROR(VALUE(SUBSTITUTE(TRIM('수출입 실적(품목별)'!G2269),",","")),"")</f>
        <v>2884</v>
      </c>
      <c r="K2265" s="19" t="n">
        <f aca="false">IFERROR(VALUE(SUBSTITUTE(TRIM('수출입 실적(품목별)'!H2269),",","")),"")</f>
        <v>-1344</v>
      </c>
    </row>
    <row r="2266" customFormat="false" ht="15" hidden="false" customHeight="true" outlineLevel="0" collapsed="false">
      <c r="A2266" s="11" t="str">
        <f aca="false">TRIM('수출입 실적(품목별)'!A2270)</f>
        <v>2025.12</v>
      </c>
      <c r="B2266" s="17" t="n">
        <f aca="false">IFERROR(VALUE(LEFT($A2266,4)),"")</f>
        <v>2025</v>
      </c>
      <c r="C2266" s="17" t="n">
        <f aca="false">IFERROR(VALUE(RIGHT($A2266,2)),"")</f>
        <v>12</v>
      </c>
      <c r="D2266" s="17" t="n">
        <f aca="false">IFERROR(ROUNDUP($C2266/3,0),"")</f>
        <v>4</v>
      </c>
      <c r="E2266" s="11" t="str">
        <f aca="false">TRIM('수출입 실적(품목별)'!B2270)</f>
        <v>51</v>
      </c>
      <c r="F2266" s="11" t="str">
        <f aca="false">TRIM('수출입 실적(품목별)'!C2270)</f>
        <v>양모ㆍ동물의 부드러운 털이나 거친 털ㆍ말의 털로 만든 실과 직물</v>
      </c>
      <c r="G2266" s="18" t="n">
        <f aca="false">IFERROR(VALUE(SUBSTITUTE(TRIM('수출입 실적(품목별)'!D2270),",","")),"")</f>
        <v>72.6</v>
      </c>
      <c r="H2266" s="19" t="n">
        <f aca="false">IFERROR(VALUE(SUBSTITUTE(TRIM('수출입 실적(품목별)'!E2270),",","")),"")</f>
        <v>1324</v>
      </c>
      <c r="I2266" s="18" t="n">
        <f aca="false">IFERROR(VALUE(SUBSTITUTE(TRIM('수출입 실적(품목별)'!F2270),",","")),"")</f>
        <v>946.4</v>
      </c>
      <c r="J2266" s="19" t="n">
        <f aca="false">IFERROR(VALUE(SUBSTITUTE(TRIM('수출입 실적(품목별)'!G2270),",","")),"")</f>
        <v>16688</v>
      </c>
      <c r="K2266" s="19" t="n">
        <f aca="false">IFERROR(VALUE(SUBSTITUTE(TRIM('수출입 실적(품목별)'!H2270),",","")),"")</f>
        <v>-15363</v>
      </c>
    </row>
    <row r="2267" customFormat="false" ht="15" hidden="false" customHeight="true" outlineLevel="0" collapsed="false">
      <c r="A2267" s="11" t="str">
        <f aca="false">TRIM('수출입 실적(품목별)'!A2271)</f>
        <v>2025.12</v>
      </c>
      <c r="B2267" s="17" t="n">
        <f aca="false">IFERROR(VALUE(LEFT($A2267,4)),"")</f>
        <v>2025</v>
      </c>
      <c r="C2267" s="17" t="n">
        <f aca="false">IFERROR(VALUE(RIGHT($A2267,2)),"")</f>
        <v>12</v>
      </c>
      <c r="D2267" s="17" t="n">
        <f aca="false">IFERROR(ROUNDUP($C2267/3,0),"")</f>
        <v>4</v>
      </c>
      <c r="E2267" s="11" t="str">
        <f aca="false">TRIM('수출입 실적(품목별)'!B2271)</f>
        <v>52</v>
      </c>
      <c r="F2267" s="11" t="str">
        <f aca="false">TRIM('수출입 실적(품목별)'!C2271)</f>
        <v>면</v>
      </c>
      <c r="G2267" s="18" t="n">
        <f aca="false">IFERROR(VALUE(SUBSTITUTE(TRIM('수출입 실적(품목별)'!D2271),",","")),"")</f>
        <v>3334.9</v>
      </c>
      <c r="H2267" s="19" t="n">
        <f aca="false">IFERROR(VALUE(SUBSTITUTE(TRIM('수출입 실적(품목별)'!E2271),",","")),"")</f>
        <v>26699</v>
      </c>
      <c r="I2267" s="18" t="n">
        <f aca="false">IFERROR(VALUE(SUBSTITUTE(TRIM('수출입 실적(품목별)'!F2271),",","")),"")</f>
        <v>19983.5</v>
      </c>
      <c r="J2267" s="19" t="n">
        <f aca="false">IFERROR(VALUE(SUBSTITUTE(TRIM('수출입 실적(품목별)'!G2271),",","")),"")</f>
        <v>59075</v>
      </c>
      <c r="K2267" s="19" t="n">
        <f aca="false">IFERROR(VALUE(SUBSTITUTE(TRIM('수출입 실적(품목별)'!H2271),",","")),"")</f>
        <v>-32376</v>
      </c>
    </row>
    <row r="2268" customFormat="false" ht="15" hidden="false" customHeight="true" outlineLevel="0" collapsed="false">
      <c r="A2268" s="11" t="str">
        <f aca="false">TRIM('수출입 실적(품목별)'!A2272)</f>
        <v>2025.12</v>
      </c>
      <c r="B2268" s="17" t="n">
        <f aca="false">IFERROR(VALUE(LEFT($A2268,4)),"")</f>
        <v>2025</v>
      </c>
      <c r="C2268" s="17" t="n">
        <f aca="false">IFERROR(VALUE(RIGHT($A2268,2)),"")</f>
        <v>12</v>
      </c>
      <c r="D2268" s="17" t="n">
        <f aca="false">IFERROR(ROUNDUP($C2268/3,0),"")</f>
        <v>4</v>
      </c>
      <c r="E2268" s="11" t="str">
        <f aca="false">TRIM('수출입 실적(품목별)'!B2272)</f>
        <v>53</v>
      </c>
      <c r="F2268" s="11" t="str">
        <f aca="false">TRIM('수출입 실적(품목별)'!C2272)</f>
        <v>그 밖의 식물성 방직용 섬유, 종이실(paper yarn)과 종이실로 만든 직물</v>
      </c>
      <c r="G2268" s="18" t="n">
        <f aca="false">IFERROR(VALUE(SUBSTITUTE(TRIM('수출입 실적(품목별)'!D2272),",","")),"")</f>
        <v>28.5</v>
      </c>
      <c r="H2268" s="19" t="n">
        <f aca="false">IFERROR(VALUE(SUBSTITUTE(TRIM('수출입 실적(품목별)'!E2272),",","")),"")</f>
        <v>880</v>
      </c>
      <c r="I2268" s="18" t="n">
        <f aca="false">IFERROR(VALUE(SUBSTITUTE(TRIM('수출입 실적(품목별)'!F2272),",","")),"")</f>
        <v>1128.3</v>
      </c>
      <c r="J2268" s="19" t="n">
        <f aca="false">IFERROR(VALUE(SUBSTITUTE(TRIM('수출입 실적(품목별)'!G2272),",","")),"")</f>
        <v>4900</v>
      </c>
      <c r="K2268" s="19" t="n">
        <f aca="false">IFERROR(VALUE(SUBSTITUTE(TRIM('수출입 실적(품목별)'!H2272),",","")),"")</f>
        <v>-4019</v>
      </c>
    </row>
    <row r="2269" customFormat="false" ht="15" hidden="false" customHeight="true" outlineLevel="0" collapsed="false">
      <c r="A2269" s="11" t="str">
        <f aca="false">TRIM('수출입 실적(품목별)'!A2273)</f>
        <v>2025.12</v>
      </c>
      <c r="B2269" s="17" t="n">
        <f aca="false">IFERROR(VALUE(LEFT($A2269,4)),"")</f>
        <v>2025</v>
      </c>
      <c r="C2269" s="17" t="n">
        <f aca="false">IFERROR(VALUE(RIGHT($A2269,2)),"")</f>
        <v>12</v>
      </c>
      <c r="D2269" s="17" t="n">
        <f aca="false">IFERROR(ROUNDUP($C2269/3,0),"")</f>
        <v>4</v>
      </c>
      <c r="E2269" s="11" t="str">
        <f aca="false">TRIM('수출입 실적(품목별)'!B2273)</f>
        <v>54</v>
      </c>
      <c r="F2269" s="11" t="str">
        <f aca="false">TRIM('수출입 실적(품목별)'!C2273)</f>
        <v>인조필라멘트, 인조방직용 섬유재료의 스트립(strip)과 이와 유사한 것</v>
      </c>
      <c r="G2269" s="18" t="n">
        <f aca="false">IFERROR(VALUE(SUBSTITUTE(TRIM('수출입 실적(품목별)'!D2273),",","")),"")</f>
        <v>25077.4</v>
      </c>
      <c r="H2269" s="19" t="n">
        <f aca="false">IFERROR(VALUE(SUBSTITUTE(TRIM('수출입 실적(품목별)'!E2273),",","")),"")</f>
        <v>168488</v>
      </c>
      <c r="I2269" s="18" t="n">
        <f aca="false">IFERROR(VALUE(SUBSTITUTE(TRIM('수출입 실적(품목별)'!F2273),",","")),"")</f>
        <v>45363.8</v>
      </c>
      <c r="J2269" s="19" t="n">
        <f aca="false">IFERROR(VALUE(SUBSTITUTE(TRIM('수출입 실적(품목별)'!G2273),",","")),"")</f>
        <v>90053</v>
      </c>
      <c r="K2269" s="19" t="n">
        <f aca="false">IFERROR(VALUE(SUBSTITUTE(TRIM('수출입 실적(품목별)'!H2273),",","")),"")</f>
        <v>78435</v>
      </c>
    </row>
    <row r="2270" customFormat="false" ht="15" hidden="false" customHeight="true" outlineLevel="0" collapsed="false">
      <c r="A2270" s="11" t="str">
        <f aca="false">TRIM('수출입 실적(품목별)'!A2274)</f>
        <v>2025.12</v>
      </c>
      <c r="B2270" s="17" t="n">
        <f aca="false">IFERROR(VALUE(LEFT($A2270,4)),"")</f>
        <v>2025</v>
      </c>
      <c r="C2270" s="17" t="n">
        <f aca="false">IFERROR(VALUE(RIGHT($A2270,2)),"")</f>
        <v>12</v>
      </c>
      <c r="D2270" s="17" t="n">
        <f aca="false">IFERROR(ROUNDUP($C2270/3,0),"")</f>
        <v>4</v>
      </c>
      <c r="E2270" s="11" t="str">
        <f aca="false">TRIM('수출입 실적(품목별)'!B2274)</f>
        <v>55</v>
      </c>
      <c r="F2270" s="11" t="str">
        <f aca="false">TRIM('수출입 실적(품목별)'!C2274)</f>
        <v>인조스테이플섬유</v>
      </c>
      <c r="G2270" s="18" t="n">
        <f aca="false">IFERROR(VALUE(SUBSTITUTE(TRIM('수출입 실적(품목별)'!D2274),",","")),"")</f>
        <v>54480.9</v>
      </c>
      <c r="H2270" s="19" t="n">
        <f aca="false">IFERROR(VALUE(SUBSTITUTE(TRIM('수출입 실적(품목별)'!E2274),",","")),"")</f>
        <v>103834</v>
      </c>
      <c r="I2270" s="18" t="n">
        <f aca="false">IFERROR(VALUE(SUBSTITUTE(TRIM('수출입 실적(품목별)'!F2274),",","")),"")</f>
        <v>14857.8</v>
      </c>
      <c r="J2270" s="19" t="n">
        <f aca="false">IFERROR(VALUE(SUBSTITUTE(TRIM('수출입 실적(품목별)'!G2274),",","")),"")</f>
        <v>49475</v>
      </c>
      <c r="K2270" s="19" t="n">
        <f aca="false">IFERROR(VALUE(SUBSTITUTE(TRIM('수출입 실적(품목별)'!H2274),",","")),"")</f>
        <v>54359</v>
      </c>
    </row>
    <row r="2271" customFormat="false" ht="15" hidden="false" customHeight="true" outlineLevel="0" collapsed="false">
      <c r="A2271" s="11" t="str">
        <f aca="false">TRIM('수출입 실적(품목별)'!A2275)</f>
        <v>2025.12</v>
      </c>
      <c r="B2271" s="17" t="n">
        <f aca="false">IFERROR(VALUE(LEFT($A2271,4)),"")</f>
        <v>2025</v>
      </c>
      <c r="C2271" s="17" t="n">
        <f aca="false">IFERROR(VALUE(RIGHT($A2271,2)),"")</f>
        <v>12</v>
      </c>
      <c r="D2271" s="17" t="n">
        <f aca="false">IFERROR(ROUNDUP($C2271/3,0),"")</f>
        <v>4</v>
      </c>
      <c r="E2271" s="11" t="str">
        <f aca="false">TRIM('수출입 실적(품목별)'!B2275)</f>
        <v>56</v>
      </c>
      <c r="F2271" s="11" t="str">
        <f aca="false">TRIM('수출입 실적(품목별)'!C2275)</f>
        <v>워딩(wadding)ㆍ펠트(felt)ㆍ부직포, 특수사, 끈ㆍ배의 밧줄(cordage)ㆍ로프ㆍ케이블과 이들의 제품</v>
      </c>
      <c r="G2271" s="18" t="n">
        <f aca="false">IFERROR(VALUE(SUBSTITUTE(TRIM('수출입 실적(품목별)'!D2275),",","")),"")</f>
        <v>11003.2</v>
      </c>
      <c r="H2271" s="19" t="n">
        <f aca="false">IFERROR(VALUE(SUBSTITUTE(TRIM('수출입 실적(품목별)'!E2275),",","")),"")</f>
        <v>65123</v>
      </c>
      <c r="I2271" s="18" t="n">
        <f aca="false">IFERROR(VALUE(SUBSTITUTE(TRIM('수출입 실적(품목별)'!F2275),",","")),"")</f>
        <v>20531.9</v>
      </c>
      <c r="J2271" s="19" t="n">
        <f aca="false">IFERROR(VALUE(SUBSTITUTE(TRIM('수출입 실적(품목별)'!G2275),",","")),"")</f>
        <v>62850</v>
      </c>
      <c r="K2271" s="19" t="n">
        <f aca="false">IFERROR(VALUE(SUBSTITUTE(TRIM('수출입 실적(품목별)'!H2275),",","")),"")</f>
        <v>2273</v>
      </c>
    </row>
    <row r="2272" customFormat="false" ht="15" hidden="false" customHeight="true" outlineLevel="0" collapsed="false">
      <c r="A2272" s="11" t="str">
        <f aca="false">TRIM('수출입 실적(품목별)'!A2276)</f>
        <v>2025.12</v>
      </c>
      <c r="B2272" s="17" t="n">
        <f aca="false">IFERROR(VALUE(LEFT($A2272,4)),"")</f>
        <v>2025</v>
      </c>
      <c r="C2272" s="17" t="n">
        <f aca="false">IFERROR(VALUE(RIGHT($A2272,2)),"")</f>
        <v>12</v>
      </c>
      <c r="D2272" s="17" t="n">
        <f aca="false">IFERROR(ROUNDUP($C2272/3,0),"")</f>
        <v>4</v>
      </c>
      <c r="E2272" s="11" t="str">
        <f aca="false">TRIM('수출입 실적(품목별)'!B2276)</f>
        <v>57</v>
      </c>
      <c r="F2272" s="11" t="str">
        <f aca="false">TRIM('수출입 실적(품목별)'!C2276)</f>
        <v>양탄자류와 그 밖의 방직용 섬유로 만든 바닥깔개</v>
      </c>
      <c r="G2272" s="18" t="n">
        <f aca="false">IFERROR(VALUE(SUBSTITUTE(TRIM('수출입 실적(품목별)'!D2276),",","")),"")</f>
        <v>571.7</v>
      </c>
      <c r="H2272" s="19" t="n">
        <f aca="false">IFERROR(VALUE(SUBSTITUTE(TRIM('수출입 실적(품목별)'!E2276),",","")),"")</f>
        <v>7159</v>
      </c>
      <c r="I2272" s="18" t="n">
        <f aca="false">IFERROR(VALUE(SUBSTITUTE(TRIM('수출입 실적(품목별)'!F2276),",","")),"")</f>
        <v>5730</v>
      </c>
      <c r="J2272" s="19" t="n">
        <f aca="false">IFERROR(VALUE(SUBSTITUTE(TRIM('수출입 실적(품목별)'!G2276),",","")),"")</f>
        <v>10210</v>
      </c>
      <c r="K2272" s="19" t="n">
        <f aca="false">IFERROR(VALUE(SUBSTITUTE(TRIM('수출입 실적(품목별)'!H2276),",","")),"")</f>
        <v>-3051</v>
      </c>
    </row>
    <row r="2273" customFormat="false" ht="15" hidden="false" customHeight="true" outlineLevel="0" collapsed="false">
      <c r="A2273" s="11" t="str">
        <f aca="false">TRIM('수출입 실적(품목별)'!A2277)</f>
        <v>2025.12</v>
      </c>
      <c r="B2273" s="17" t="n">
        <f aca="false">IFERROR(VALUE(LEFT($A2273,4)),"")</f>
        <v>2025</v>
      </c>
      <c r="C2273" s="17" t="n">
        <f aca="false">IFERROR(VALUE(RIGHT($A2273,2)),"")</f>
        <v>12</v>
      </c>
      <c r="D2273" s="17" t="n">
        <f aca="false">IFERROR(ROUNDUP($C2273/3,0),"")</f>
        <v>4</v>
      </c>
      <c r="E2273" s="11" t="str">
        <f aca="false">TRIM('수출입 실적(품목별)'!B2277)</f>
        <v>58</v>
      </c>
      <c r="F2273" s="11" t="str">
        <f aca="false">TRIM('수출입 실적(품목별)'!C2277)</f>
        <v>특수직물, 터프트(tuft)한 직물, 레이스, 태피스트리(tapestry), 트리밍(trimming), 자수천</v>
      </c>
      <c r="G2273" s="18" t="n">
        <f aca="false">IFERROR(VALUE(SUBSTITUTE(TRIM('수출입 실적(품목별)'!D2277),",","")),"")</f>
        <v>1245.1</v>
      </c>
      <c r="H2273" s="19" t="n">
        <f aca="false">IFERROR(VALUE(SUBSTITUTE(TRIM('수출입 실적(품목별)'!E2277),",","")),"")</f>
        <v>16358</v>
      </c>
      <c r="I2273" s="18" t="n">
        <f aca="false">IFERROR(VALUE(SUBSTITUTE(TRIM('수출입 실적(품목별)'!F2277),",","")),"")</f>
        <v>930.3</v>
      </c>
      <c r="J2273" s="19" t="n">
        <f aca="false">IFERROR(VALUE(SUBSTITUTE(TRIM('수출입 실적(품목별)'!G2277),",","")),"")</f>
        <v>7972</v>
      </c>
      <c r="K2273" s="19" t="n">
        <f aca="false">IFERROR(VALUE(SUBSTITUTE(TRIM('수출입 실적(품목별)'!H2277),",","")),"")</f>
        <v>8386</v>
      </c>
    </row>
    <row r="2274" customFormat="false" ht="15" hidden="false" customHeight="true" outlineLevel="0" collapsed="false">
      <c r="A2274" s="11" t="str">
        <f aca="false">TRIM('수출입 실적(품목별)'!A2278)</f>
        <v>2025.12</v>
      </c>
      <c r="B2274" s="17" t="n">
        <f aca="false">IFERROR(VALUE(LEFT($A2274,4)),"")</f>
        <v>2025</v>
      </c>
      <c r="C2274" s="17" t="n">
        <f aca="false">IFERROR(VALUE(RIGHT($A2274,2)),"")</f>
        <v>12</v>
      </c>
      <c r="D2274" s="17" t="n">
        <f aca="false">IFERROR(ROUNDUP($C2274/3,0),"")</f>
        <v>4</v>
      </c>
      <c r="E2274" s="11" t="str">
        <f aca="false">TRIM('수출입 실적(품목별)'!B2278)</f>
        <v>59</v>
      </c>
      <c r="F2274" s="11" t="str">
        <f aca="false">TRIM('수출입 실적(품목별)'!C2278)</f>
        <v>침투ㆍ도포ㆍ피복하거나 적층한 방직용 섬유의 직물, 공업용인 방직용 섬유제품</v>
      </c>
      <c r="G2274" s="18" t="n">
        <f aca="false">IFERROR(VALUE(SUBSTITUTE(TRIM('수출입 실적(품목별)'!D2278),",","")),"")</f>
        <v>9148.5</v>
      </c>
      <c r="H2274" s="19" t="n">
        <f aca="false">IFERROR(VALUE(SUBSTITUTE(TRIM('수출입 실적(품목별)'!E2278),",","")),"")</f>
        <v>91677</v>
      </c>
      <c r="I2274" s="18" t="n">
        <f aca="false">IFERROR(VALUE(SUBSTITUTE(TRIM('수출입 실적(품목별)'!F2278),",","")),"")</f>
        <v>5850.7</v>
      </c>
      <c r="J2274" s="19" t="n">
        <f aca="false">IFERROR(VALUE(SUBSTITUTE(TRIM('수출입 실적(품목별)'!G2278),",","")),"")</f>
        <v>37253</v>
      </c>
      <c r="K2274" s="19" t="n">
        <f aca="false">IFERROR(VALUE(SUBSTITUTE(TRIM('수출입 실적(품목별)'!H2278),",","")),"")</f>
        <v>54424</v>
      </c>
    </row>
    <row r="2275" customFormat="false" ht="15" hidden="false" customHeight="true" outlineLevel="0" collapsed="false">
      <c r="A2275" s="11" t="str">
        <f aca="false">TRIM('수출입 실적(품목별)'!A2279)</f>
        <v>2025.12</v>
      </c>
      <c r="B2275" s="17" t="n">
        <f aca="false">IFERROR(VALUE(LEFT($A2275,4)),"")</f>
        <v>2025</v>
      </c>
      <c r="C2275" s="17" t="n">
        <f aca="false">IFERROR(VALUE(RIGHT($A2275,2)),"")</f>
        <v>12</v>
      </c>
      <c r="D2275" s="17" t="n">
        <f aca="false">IFERROR(ROUNDUP($C2275/3,0),"")</f>
        <v>4</v>
      </c>
      <c r="E2275" s="11" t="str">
        <f aca="false">TRIM('수출입 실적(품목별)'!B2279)</f>
        <v>60</v>
      </c>
      <c r="F2275" s="11" t="str">
        <f aca="false">TRIM('수출입 실적(품목별)'!C2279)</f>
        <v>메리야스 편물과 뜨개질 편물</v>
      </c>
      <c r="G2275" s="18" t="n">
        <f aca="false">IFERROR(VALUE(SUBSTITUTE(TRIM('수출입 실적(품목별)'!D2279),",","")),"")</f>
        <v>17198</v>
      </c>
      <c r="H2275" s="19" t="n">
        <f aca="false">IFERROR(VALUE(SUBSTITUTE(TRIM('수출입 실적(품목별)'!E2279),",","")),"")</f>
        <v>132486</v>
      </c>
      <c r="I2275" s="18" t="n">
        <f aca="false">IFERROR(VALUE(SUBSTITUTE(TRIM('수출입 실적(품목별)'!F2279),",","")),"")</f>
        <v>2380.4</v>
      </c>
      <c r="J2275" s="19" t="n">
        <f aca="false">IFERROR(VALUE(SUBSTITUTE(TRIM('수출입 실적(품목별)'!G2279),",","")),"")</f>
        <v>11121</v>
      </c>
      <c r="K2275" s="19" t="n">
        <f aca="false">IFERROR(VALUE(SUBSTITUTE(TRIM('수출입 실적(품목별)'!H2279),",","")),"")</f>
        <v>121365</v>
      </c>
    </row>
    <row r="2276" customFormat="false" ht="15" hidden="false" customHeight="true" outlineLevel="0" collapsed="false">
      <c r="A2276" s="11" t="str">
        <f aca="false">TRIM('수출입 실적(품목별)'!A2280)</f>
        <v>2025.12</v>
      </c>
      <c r="B2276" s="17" t="n">
        <f aca="false">IFERROR(VALUE(LEFT($A2276,4)),"")</f>
        <v>2025</v>
      </c>
      <c r="C2276" s="17" t="n">
        <f aca="false">IFERROR(VALUE(RIGHT($A2276,2)),"")</f>
        <v>12</v>
      </c>
      <c r="D2276" s="17" t="n">
        <f aca="false">IFERROR(ROUNDUP($C2276/3,0),"")</f>
        <v>4</v>
      </c>
      <c r="E2276" s="11" t="str">
        <f aca="false">TRIM('수출입 실적(품목별)'!B2280)</f>
        <v>61</v>
      </c>
      <c r="F2276" s="11" t="str">
        <f aca="false">TRIM('수출입 실적(품목별)'!C2280)</f>
        <v>의류와 그 부속품(메리야스 편물이나 뜨개질 편물로 한정한다)</v>
      </c>
      <c r="G2276" s="18" t="n">
        <f aca="false">IFERROR(VALUE(SUBSTITUTE(TRIM('수출입 실적(품목별)'!D2280),",","")),"")</f>
        <v>3054.4</v>
      </c>
      <c r="H2276" s="19" t="n">
        <f aca="false">IFERROR(VALUE(SUBSTITUTE(TRIM('수출입 실적(품목별)'!E2280),",","")),"")</f>
        <v>86428</v>
      </c>
      <c r="I2276" s="18" t="n">
        <f aca="false">IFERROR(VALUE(SUBSTITUTE(TRIM('수출입 실적(품목별)'!F2280),",","")),"")</f>
        <v>25757.4</v>
      </c>
      <c r="J2276" s="19" t="n">
        <f aca="false">IFERROR(VALUE(SUBSTITUTE(TRIM('수출입 실적(품목별)'!G2280),",","")),"")</f>
        <v>442831</v>
      </c>
      <c r="K2276" s="19" t="n">
        <f aca="false">IFERROR(VALUE(SUBSTITUTE(TRIM('수출입 실적(품목별)'!H2280),",","")),"")</f>
        <v>-356402</v>
      </c>
    </row>
    <row r="2277" customFormat="false" ht="15" hidden="false" customHeight="true" outlineLevel="0" collapsed="false">
      <c r="A2277" s="11" t="str">
        <f aca="false">TRIM('수출입 실적(품목별)'!A2281)</f>
        <v>2025.12</v>
      </c>
      <c r="B2277" s="17" t="n">
        <f aca="false">IFERROR(VALUE(LEFT($A2277,4)),"")</f>
        <v>2025</v>
      </c>
      <c r="C2277" s="17" t="n">
        <f aca="false">IFERROR(VALUE(RIGHT($A2277,2)),"")</f>
        <v>12</v>
      </c>
      <c r="D2277" s="17" t="n">
        <f aca="false">IFERROR(ROUNDUP($C2277/3,0),"")</f>
        <v>4</v>
      </c>
      <c r="E2277" s="11" t="str">
        <f aca="false">TRIM('수출입 실적(품목별)'!B2281)</f>
        <v>62</v>
      </c>
      <c r="F2277" s="11" t="str">
        <f aca="false">TRIM('수출입 실적(품목별)'!C2281)</f>
        <v>의류와 그 부속품(메리야스 편물이나 뜨개질편물은 제외한다)</v>
      </c>
      <c r="G2277" s="18" t="n">
        <f aca="false">IFERROR(VALUE(SUBSTITUTE(TRIM('수출입 실적(품목별)'!D2281),",","")),"")</f>
        <v>3392.4</v>
      </c>
      <c r="H2277" s="19" t="n">
        <f aca="false">IFERROR(VALUE(SUBSTITUTE(TRIM('수출입 실적(품목별)'!E2281),",","")),"")</f>
        <v>93509</v>
      </c>
      <c r="I2277" s="18" t="n">
        <f aca="false">IFERROR(VALUE(SUBSTITUTE(TRIM('수출입 실적(품목별)'!F2281),",","")),"")</f>
        <v>21815.5</v>
      </c>
      <c r="J2277" s="19" t="n">
        <f aca="false">IFERROR(VALUE(SUBSTITUTE(TRIM('수출입 실적(품목별)'!G2281),",","")),"")</f>
        <v>541506</v>
      </c>
      <c r="K2277" s="19" t="n">
        <f aca="false">IFERROR(VALUE(SUBSTITUTE(TRIM('수출입 실적(품목별)'!H2281),",","")),"")</f>
        <v>-447997</v>
      </c>
    </row>
    <row r="2278" customFormat="false" ht="15" hidden="false" customHeight="true" outlineLevel="0" collapsed="false">
      <c r="A2278" s="11" t="str">
        <f aca="false">TRIM('수출입 실적(품목별)'!A2282)</f>
        <v>2025.12</v>
      </c>
      <c r="B2278" s="17" t="n">
        <f aca="false">IFERROR(VALUE(LEFT($A2278,4)),"")</f>
        <v>2025</v>
      </c>
      <c r="C2278" s="17" t="n">
        <f aca="false">IFERROR(VALUE(RIGHT($A2278,2)),"")</f>
        <v>12</v>
      </c>
      <c r="D2278" s="17" t="n">
        <f aca="false">IFERROR(ROUNDUP($C2278/3,0),"")</f>
        <v>4</v>
      </c>
      <c r="E2278" s="11" t="str">
        <f aca="false">TRIM('수출입 실적(품목별)'!B2282)</f>
        <v>63</v>
      </c>
      <c r="F2278" s="11" t="str">
        <f aca="false">TRIM('수출입 실적(품목별)'!C2282)</f>
        <v>제품으로 된 방직용 섬유의 그 밖의 물품, 세트, 사용하던 의류ㆍ방직용 섬유제품, 넝마</v>
      </c>
      <c r="G2278" s="18" t="n">
        <f aca="false">IFERROR(VALUE(SUBSTITUTE(TRIM('수출입 실적(품목별)'!D2282),",","")),"")</f>
        <v>25333.3</v>
      </c>
      <c r="H2278" s="19" t="n">
        <f aca="false">IFERROR(VALUE(SUBSTITUTE(TRIM('수출입 실적(품목별)'!E2282),",","")),"")</f>
        <v>47566</v>
      </c>
      <c r="I2278" s="18" t="n">
        <f aca="false">IFERROR(VALUE(SUBSTITUTE(TRIM('수출입 실적(품목별)'!F2282),",","")),"")</f>
        <v>28799</v>
      </c>
      <c r="J2278" s="19" t="n">
        <f aca="false">IFERROR(VALUE(SUBSTITUTE(TRIM('수출입 실적(품목별)'!G2282),",","")),"")</f>
        <v>129696</v>
      </c>
      <c r="K2278" s="19" t="n">
        <f aca="false">IFERROR(VALUE(SUBSTITUTE(TRIM('수출입 실적(품목별)'!H2282),",","")),"")</f>
        <v>-82129</v>
      </c>
    </row>
    <row r="2279" customFormat="false" ht="15" hidden="false" customHeight="true" outlineLevel="0" collapsed="false">
      <c r="A2279" s="11" t="str">
        <f aca="false">TRIM('수출입 실적(품목별)'!A2283)</f>
        <v>2025.12</v>
      </c>
      <c r="B2279" s="17" t="n">
        <f aca="false">IFERROR(VALUE(LEFT($A2279,4)),"")</f>
        <v>2025</v>
      </c>
      <c r="C2279" s="17" t="n">
        <f aca="false">IFERROR(VALUE(RIGHT($A2279,2)),"")</f>
        <v>12</v>
      </c>
      <c r="D2279" s="17" t="n">
        <f aca="false">IFERROR(ROUNDUP($C2279/3,0),"")</f>
        <v>4</v>
      </c>
      <c r="E2279" s="11" t="str">
        <f aca="false">TRIM('수출입 실적(품목별)'!B2283)</f>
        <v>64</v>
      </c>
      <c r="F2279" s="11" t="str">
        <f aca="false">TRIM('수출입 실적(품목별)'!C2283)</f>
        <v>신발류ㆍ각반과 이와 유사한 것, 이들의 부분품</v>
      </c>
      <c r="G2279" s="18" t="n">
        <f aca="false">IFERROR(VALUE(SUBSTITUTE(TRIM('수출입 실적(품목별)'!D2283),",","")),"")</f>
        <v>1303.4</v>
      </c>
      <c r="H2279" s="19" t="n">
        <f aca="false">IFERROR(VALUE(SUBSTITUTE(TRIM('수출입 실적(품목별)'!E2283),",","")),"")</f>
        <v>37175</v>
      </c>
      <c r="I2279" s="18" t="n">
        <f aca="false">IFERROR(VALUE(SUBSTITUTE(TRIM('수출입 실적(품목별)'!F2283),",","")),"")</f>
        <v>12616.1</v>
      </c>
      <c r="J2279" s="19" t="n">
        <f aca="false">IFERROR(VALUE(SUBSTITUTE(TRIM('수출입 실적(품목별)'!G2283),",","")),"")</f>
        <v>346743</v>
      </c>
      <c r="K2279" s="19" t="n">
        <f aca="false">IFERROR(VALUE(SUBSTITUTE(TRIM('수출입 실적(품목별)'!H2283),",","")),"")</f>
        <v>-309568</v>
      </c>
    </row>
    <row r="2280" customFormat="false" ht="15" hidden="false" customHeight="true" outlineLevel="0" collapsed="false">
      <c r="A2280" s="11" t="str">
        <f aca="false">TRIM('수출입 실적(품목별)'!A2284)</f>
        <v>2025.12</v>
      </c>
      <c r="B2280" s="17" t="n">
        <f aca="false">IFERROR(VALUE(LEFT($A2280,4)),"")</f>
        <v>2025</v>
      </c>
      <c r="C2280" s="17" t="n">
        <f aca="false">IFERROR(VALUE(RIGHT($A2280,2)),"")</f>
        <v>12</v>
      </c>
      <c r="D2280" s="17" t="n">
        <f aca="false">IFERROR(ROUNDUP($C2280/3,0),"")</f>
        <v>4</v>
      </c>
      <c r="E2280" s="11" t="str">
        <f aca="false">TRIM('수출입 실적(품목별)'!B2284)</f>
        <v>65</v>
      </c>
      <c r="F2280" s="11" t="str">
        <f aca="false">TRIM('수출입 실적(품목별)'!C2284)</f>
        <v>모자류와 그 부분품</v>
      </c>
      <c r="G2280" s="18" t="n">
        <f aca="false">IFERROR(VALUE(SUBSTITUTE(TRIM('수출입 실적(품목별)'!D2284),",","")),"")</f>
        <v>283.4</v>
      </c>
      <c r="H2280" s="19" t="n">
        <f aca="false">IFERROR(VALUE(SUBSTITUTE(TRIM('수출입 실적(품목별)'!E2284),",","")),"")</f>
        <v>11215</v>
      </c>
      <c r="I2280" s="18" t="n">
        <f aca="false">IFERROR(VALUE(SUBSTITUTE(TRIM('수출입 실적(품목별)'!F2284),",","")),"")</f>
        <v>1055.6</v>
      </c>
      <c r="J2280" s="19" t="n">
        <f aca="false">IFERROR(VALUE(SUBSTITUTE(TRIM('수출입 실적(품목별)'!G2284),",","")),"")</f>
        <v>27468</v>
      </c>
      <c r="K2280" s="19" t="n">
        <f aca="false">IFERROR(VALUE(SUBSTITUTE(TRIM('수출입 실적(품목별)'!H2284),",","")),"")</f>
        <v>-16253</v>
      </c>
    </row>
    <row r="2281" customFormat="false" ht="15" hidden="false" customHeight="true" outlineLevel="0" collapsed="false">
      <c r="A2281" s="11" t="str">
        <f aca="false">TRIM('수출입 실적(품목별)'!A2285)</f>
        <v>2025.12</v>
      </c>
      <c r="B2281" s="17" t="n">
        <f aca="false">IFERROR(VALUE(LEFT($A2281,4)),"")</f>
        <v>2025</v>
      </c>
      <c r="C2281" s="17" t="n">
        <f aca="false">IFERROR(VALUE(RIGHT($A2281,2)),"")</f>
        <v>12</v>
      </c>
      <c r="D2281" s="17" t="n">
        <f aca="false">IFERROR(ROUNDUP($C2281/3,0),"")</f>
        <v>4</v>
      </c>
      <c r="E2281" s="11" t="str">
        <f aca="false">TRIM('수출입 실적(품목별)'!B2285)</f>
        <v>66</v>
      </c>
      <c r="F2281" s="11" t="str">
        <f aca="false">TRIM('수출입 실적(품목별)'!C2285)</f>
        <v>산류(傘類)ㆍ지팡이ㆍ시트스틱(seat-stick)ㆍ채찍ㆍ승마용 채찍과 이들의 부분품</v>
      </c>
      <c r="G2281" s="18" t="n">
        <f aca="false">IFERROR(VALUE(SUBSTITUTE(TRIM('수출입 실적(품목별)'!D2285),",","")),"")</f>
        <v>13.2</v>
      </c>
      <c r="H2281" s="19" t="n">
        <f aca="false">IFERROR(VALUE(SUBSTITUTE(TRIM('수출입 실적(품목별)'!E2285),",","")),"")</f>
        <v>504</v>
      </c>
      <c r="I2281" s="18" t="n">
        <f aca="false">IFERROR(VALUE(SUBSTITUTE(TRIM('수출입 실적(품목별)'!F2285),",","")),"")</f>
        <v>967.4</v>
      </c>
      <c r="J2281" s="19" t="n">
        <f aca="false">IFERROR(VALUE(SUBSTITUTE(TRIM('수출입 실적(품목별)'!G2285),",","")),"")</f>
        <v>8388</v>
      </c>
      <c r="K2281" s="19" t="n">
        <f aca="false">IFERROR(VALUE(SUBSTITUTE(TRIM('수출입 실적(품목별)'!H2285),",","")),"")</f>
        <v>-7884</v>
      </c>
    </row>
    <row r="2282" customFormat="false" ht="15" hidden="false" customHeight="true" outlineLevel="0" collapsed="false">
      <c r="A2282" s="11" t="str">
        <f aca="false">TRIM('수출입 실적(품목별)'!A2286)</f>
        <v>2025.12</v>
      </c>
      <c r="B2282" s="17" t="n">
        <f aca="false">IFERROR(VALUE(LEFT($A2282,4)),"")</f>
        <v>2025</v>
      </c>
      <c r="C2282" s="17" t="n">
        <f aca="false">IFERROR(VALUE(RIGHT($A2282,2)),"")</f>
        <v>12</v>
      </c>
      <c r="D2282" s="17" t="n">
        <f aca="false">IFERROR(ROUNDUP($C2282/3,0),"")</f>
        <v>4</v>
      </c>
      <c r="E2282" s="11" t="str">
        <f aca="false">TRIM('수출입 실적(품목별)'!B2286)</f>
        <v>67</v>
      </c>
      <c r="F2282" s="11" t="str">
        <f aca="false">TRIM('수출입 실적(품목별)'!C2286)</f>
        <v>조제 깃털ㆍ솜털과 그 제품, 조화, 사람 머리카락으로 된 제품</v>
      </c>
      <c r="G2282" s="18" t="n">
        <f aca="false">IFERROR(VALUE(SUBSTITUTE(TRIM('수출입 실적(품목별)'!D2286),",","")),"")</f>
        <v>24.6</v>
      </c>
      <c r="H2282" s="19" t="n">
        <f aca="false">IFERROR(VALUE(SUBSTITUTE(TRIM('수출입 실적(품목별)'!E2286),",","")),"")</f>
        <v>1532</v>
      </c>
      <c r="I2282" s="18" t="n">
        <f aca="false">IFERROR(VALUE(SUBSTITUTE(TRIM('수출입 실적(품목별)'!F2286),",","")),"")</f>
        <v>537.2</v>
      </c>
      <c r="J2282" s="19" t="n">
        <f aca="false">IFERROR(VALUE(SUBSTITUTE(TRIM('수출입 실적(품목별)'!G2286),",","")),"")</f>
        <v>10112</v>
      </c>
      <c r="K2282" s="19" t="n">
        <f aca="false">IFERROR(VALUE(SUBSTITUTE(TRIM('수출입 실적(품목별)'!H2286),",","")),"")</f>
        <v>-8579</v>
      </c>
    </row>
    <row r="2283" customFormat="false" ht="15" hidden="false" customHeight="true" outlineLevel="0" collapsed="false">
      <c r="A2283" s="11" t="str">
        <f aca="false">TRIM('수출입 실적(품목별)'!A2287)</f>
        <v>2025.12</v>
      </c>
      <c r="B2283" s="17" t="n">
        <f aca="false">IFERROR(VALUE(LEFT($A2283,4)),"")</f>
        <v>2025</v>
      </c>
      <c r="C2283" s="17" t="n">
        <f aca="false">IFERROR(VALUE(RIGHT($A2283,2)),"")</f>
        <v>12</v>
      </c>
      <c r="D2283" s="17" t="n">
        <f aca="false">IFERROR(ROUNDUP($C2283/3,0),"")</f>
        <v>4</v>
      </c>
      <c r="E2283" s="11" t="str">
        <f aca="false">TRIM('수출입 실적(품목별)'!B2287)</f>
        <v>68</v>
      </c>
      <c r="F2283" s="11" t="str">
        <f aca="false">TRIM('수출입 실적(품목별)'!C2287)</f>
        <v>돌ㆍ플라스터(plaster)ㆍ시멘트ㆍ석면ㆍ운모나 이와 유사한 재료의 제품</v>
      </c>
      <c r="G2283" s="18" t="n">
        <f aca="false">IFERROR(VALUE(SUBSTITUTE(TRIM('수출입 실적(품목별)'!D2287),",","")),"")</f>
        <v>10425.9</v>
      </c>
      <c r="H2283" s="19" t="n">
        <f aca="false">IFERROR(VALUE(SUBSTITUTE(TRIM('수출입 실적(품목별)'!E2287),",","")),"")</f>
        <v>78218</v>
      </c>
      <c r="I2283" s="18" t="n">
        <f aca="false">IFERROR(VALUE(SUBSTITUTE(TRIM('수출입 실적(품목별)'!F2287),",","")),"")</f>
        <v>192212.1</v>
      </c>
      <c r="J2283" s="19" t="n">
        <f aca="false">IFERROR(VALUE(SUBSTITUTE(TRIM('수출입 실적(품목별)'!G2287),",","")),"")</f>
        <v>114432</v>
      </c>
      <c r="K2283" s="19" t="n">
        <f aca="false">IFERROR(VALUE(SUBSTITUTE(TRIM('수출입 실적(품목별)'!H2287),",","")),"")</f>
        <v>-36213</v>
      </c>
    </row>
    <row r="2284" customFormat="false" ht="15" hidden="false" customHeight="true" outlineLevel="0" collapsed="false">
      <c r="A2284" s="11" t="str">
        <f aca="false">TRIM('수출입 실적(품목별)'!A2288)</f>
        <v>2025.12</v>
      </c>
      <c r="B2284" s="17" t="n">
        <f aca="false">IFERROR(VALUE(LEFT($A2284,4)),"")</f>
        <v>2025</v>
      </c>
      <c r="C2284" s="17" t="n">
        <f aca="false">IFERROR(VALUE(RIGHT($A2284,2)),"")</f>
        <v>12</v>
      </c>
      <c r="D2284" s="17" t="n">
        <f aca="false">IFERROR(ROUNDUP($C2284/3,0),"")</f>
        <v>4</v>
      </c>
      <c r="E2284" s="11" t="str">
        <f aca="false">TRIM('수출입 실적(품목별)'!B2288)</f>
        <v>69</v>
      </c>
      <c r="F2284" s="11" t="str">
        <f aca="false">TRIM('수출입 실적(품목별)'!C2288)</f>
        <v>도자제품</v>
      </c>
      <c r="G2284" s="18" t="n">
        <f aca="false">IFERROR(VALUE(SUBSTITUTE(TRIM('수출입 실적(품목별)'!D2288),",","")),"")</f>
        <v>2904.5</v>
      </c>
      <c r="H2284" s="19" t="n">
        <f aca="false">IFERROR(VALUE(SUBSTITUTE(TRIM('수출입 실적(품목별)'!E2288),",","")),"")</f>
        <v>38841</v>
      </c>
      <c r="I2284" s="18" t="n">
        <f aca="false">IFERROR(VALUE(SUBSTITUTE(TRIM('수출입 실적(품목별)'!F2288),",","")),"")</f>
        <v>138275.6</v>
      </c>
      <c r="J2284" s="19" t="n">
        <f aca="false">IFERROR(VALUE(SUBSTITUTE(TRIM('수출입 실적(품목별)'!G2288),",","")),"")</f>
        <v>141269</v>
      </c>
      <c r="K2284" s="19" t="n">
        <f aca="false">IFERROR(VALUE(SUBSTITUTE(TRIM('수출입 실적(품목별)'!H2288),",","")),"")</f>
        <v>-102428</v>
      </c>
    </row>
    <row r="2285" customFormat="false" ht="15" hidden="false" customHeight="true" outlineLevel="0" collapsed="false">
      <c r="A2285" s="11" t="str">
        <f aca="false">TRIM('수출입 실적(품목별)'!A2289)</f>
        <v>2025.12</v>
      </c>
      <c r="B2285" s="17" t="n">
        <f aca="false">IFERROR(VALUE(LEFT($A2285,4)),"")</f>
        <v>2025</v>
      </c>
      <c r="C2285" s="17" t="n">
        <f aca="false">IFERROR(VALUE(RIGHT($A2285,2)),"")</f>
        <v>12</v>
      </c>
      <c r="D2285" s="17" t="n">
        <f aca="false">IFERROR(ROUNDUP($C2285/3,0),"")</f>
        <v>4</v>
      </c>
      <c r="E2285" s="11" t="str">
        <f aca="false">TRIM('수출입 실적(품목별)'!B2289)</f>
        <v>70</v>
      </c>
      <c r="F2285" s="11" t="str">
        <f aca="false">TRIM('수출입 실적(품목별)'!C2289)</f>
        <v>유리와 유리제품</v>
      </c>
      <c r="G2285" s="18" t="n">
        <f aca="false">IFERROR(VALUE(SUBSTITUTE(TRIM('수출입 실적(품목별)'!D2289),",","")),"")</f>
        <v>28514</v>
      </c>
      <c r="H2285" s="19" t="n">
        <f aca="false">IFERROR(VALUE(SUBSTITUTE(TRIM('수출입 실적(품목별)'!E2289),",","")),"")</f>
        <v>163070</v>
      </c>
      <c r="I2285" s="18" t="n">
        <f aca="false">IFERROR(VALUE(SUBSTITUTE(TRIM('수출입 실적(품목별)'!F2289),",","")),"")</f>
        <v>88304.6</v>
      </c>
      <c r="J2285" s="19" t="n">
        <f aca="false">IFERROR(VALUE(SUBSTITUTE(TRIM('수출입 실적(품목별)'!G2289),",","")),"")</f>
        <v>249946</v>
      </c>
      <c r="K2285" s="19" t="n">
        <f aca="false">IFERROR(VALUE(SUBSTITUTE(TRIM('수출입 실적(품목별)'!H2289),",","")),"")</f>
        <v>-86877</v>
      </c>
    </row>
    <row r="2286" customFormat="false" ht="15" hidden="false" customHeight="true" outlineLevel="0" collapsed="false">
      <c r="A2286" s="11" t="str">
        <f aca="false">TRIM('수출입 실적(품목별)'!A2290)</f>
        <v>2025.12</v>
      </c>
      <c r="B2286" s="17" t="n">
        <f aca="false">IFERROR(VALUE(LEFT($A2286,4)),"")</f>
        <v>2025</v>
      </c>
      <c r="C2286" s="17" t="n">
        <f aca="false">IFERROR(VALUE(RIGHT($A2286,2)),"")</f>
        <v>12</v>
      </c>
      <c r="D2286" s="17" t="n">
        <f aca="false">IFERROR(ROUNDUP($C2286/3,0),"")</f>
        <v>4</v>
      </c>
      <c r="E2286" s="11" t="str">
        <f aca="false">TRIM('수출입 실적(품목별)'!B2290)</f>
        <v>71</v>
      </c>
      <c r="F2286" s="11" t="str">
        <f aca="false">TRIM('수출입 실적(품목별)'!C2290)</f>
        <v>천연진주ㆍ양식진주ㆍ귀석ㆍ반귀석ㆍ귀금속ㆍ귀금속을 입힌 금속과 이들의 제품, 모조 신변장식용품, 주화</v>
      </c>
      <c r="G2286" s="18" t="n">
        <f aca="false">IFERROR(VALUE(SUBSTITUTE(TRIM('수출입 실적(품목별)'!D2290),",","")),"")</f>
        <v>784.9</v>
      </c>
      <c r="H2286" s="19" t="n">
        <f aca="false">IFERROR(VALUE(SUBSTITUTE(TRIM('수출입 실적(품목별)'!E2290),",","")),"")</f>
        <v>814015</v>
      </c>
      <c r="I2286" s="18" t="n">
        <f aca="false">IFERROR(VALUE(SUBSTITUTE(TRIM('수출입 실적(품목별)'!F2290),",","")),"")</f>
        <v>1835.2</v>
      </c>
      <c r="J2286" s="19" t="n">
        <f aca="false">IFERROR(VALUE(SUBSTITUTE(TRIM('수출입 실적(품목별)'!G2290),",","")),"")</f>
        <v>1484187</v>
      </c>
      <c r="K2286" s="19" t="n">
        <f aca="false">IFERROR(VALUE(SUBSTITUTE(TRIM('수출입 실적(품목별)'!H2290),",","")),"")</f>
        <v>-670172</v>
      </c>
    </row>
    <row r="2287" customFormat="false" ht="15" hidden="false" customHeight="true" outlineLevel="0" collapsed="false">
      <c r="A2287" s="11" t="str">
        <f aca="false">TRIM('수출입 실적(품목별)'!A2291)</f>
        <v>2025.12</v>
      </c>
      <c r="B2287" s="17" t="n">
        <f aca="false">IFERROR(VALUE(LEFT($A2287,4)),"")</f>
        <v>2025</v>
      </c>
      <c r="C2287" s="17" t="n">
        <f aca="false">IFERROR(VALUE(RIGHT($A2287,2)),"")</f>
        <v>12</v>
      </c>
      <c r="D2287" s="17" t="n">
        <f aca="false">IFERROR(ROUNDUP($C2287/3,0),"")</f>
        <v>4</v>
      </c>
      <c r="E2287" s="11" t="str">
        <f aca="false">TRIM('수출입 실적(품목별)'!B2291)</f>
        <v>72</v>
      </c>
      <c r="F2287" s="11" t="str">
        <f aca="false">TRIM('수출입 실적(품목별)'!C2291)</f>
        <v>철강</v>
      </c>
      <c r="G2287" s="18" t="n">
        <f aca="false">IFERROR(VALUE(SUBSTITUTE(TRIM('수출입 실적(품목별)'!D2291),",","")),"")</f>
        <v>2244085.1</v>
      </c>
      <c r="H2287" s="19" t="n">
        <f aca="false">IFERROR(VALUE(SUBSTITUTE(TRIM('수출입 실적(품목별)'!E2291),",","")),"")</f>
        <v>1863783</v>
      </c>
      <c r="I2287" s="18" t="n">
        <f aca="false">IFERROR(VALUE(SUBSTITUTE(TRIM('수출입 실적(품목별)'!F2291),",","")),"")</f>
        <v>1339040.4</v>
      </c>
      <c r="J2287" s="19" t="n">
        <f aca="false">IFERROR(VALUE(SUBSTITUTE(TRIM('수출입 실적(품목별)'!G2291),",","")),"")</f>
        <v>1056289</v>
      </c>
      <c r="K2287" s="19" t="n">
        <f aca="false">IFERROR(VALUE(SUBSTITUTE(TRIM('수출입 실적(품목별)'!H2291),",","")),"")</f>
        <v>807494</v>
      </c>
    </row>
    <row r="2288" customFormat="false" ht="15" hidden="false" customHeight="true" outlineLevel="0" collapsed="false">
      <c r="A2288" s="11" t="str">
        <f aca="false">TRIM('수출입 실적(품목별)'!A2292)</f>
        <v>2025.12</v>
      </c>
      <c r="B2288" s="17" t="n">
        <f aca="false">IFERROR(VALUE(LEFT($A2288,4)),"")</f>
        <v>2025</v>
      </c>
      <c r="C2288" s="17" t="n">
        <f aca="false">IFERROR(VALUE(RIGHT($A2288,2)),"")</f>
        <v>12</v>
      </c>
      <c r="D2288" s="17" t="n">
        <f aca="false">IFERROR(ROUNDUP($C2288/3,0),"")</f>
        <v>4</v>
      </c>
      <c r="E2288" s="11" t="str">
        <f aca="false">TRIM('수출입 실적(품목별)'!B2292)</f>
        <v>73</v>
      </c>
      <c r="F2288" s="11" t="str">
        <f aca="false">TRIM('수출입 실적(품목별)'!C2292)</f>
        <v>철강의 제품</v>
      </c>
      <c r="G2288" s="18" t="n">
        <f aca="false">IFERROR(VALUE(SUBSTITUTE(TRIM('수출입 실적(품목별)'!D2292),",","")),"")</f>
        <v>301505.6</v>
      </c>
      <c r="H2288" s="19" t="n">
        <f aca="false">IFERROR(VALUE(SUBSTITUTE(TRIM('수출입 실적(품목별)'!E2292),",","")),"")</f>
        <v>718328</v>
      </c>
      <c r="I2288" s="18" t="n">
        <f aca="false">IFERROR(VALUE(SUBSTITUTE(TRIM('수출입 실적(품목별)'!F2292),",","")),"")</f>
        <v>269598.9</v>
      </c>
      <c r="J2288" s="19" t="n">
        <f aca="false">IFERROR(VALUE(SUBSTITUTE(TRIM('수출입 실적(품목별)'!G2292),",","")),"")</f>
        <v>725101</v>
      </c>
      <c r="K2288" s="19" t="n">
        <f aca="false">IFERROR(VALUE(SUBSTITUTE(TRIM('수출입 실적(품목별)'!H2292),",","")),"")</f>
        <v>-6774</v>
      </c>
    </row>
    <row r="2289" customFormat="false" ht="15" hidden="false" customHeight="true" outlineLevel="0" collapsed="false">
      <c r="A2289" s="11" t="str">
        <f aca="false">TRIM('수출입 실적(품목별)'!A2293)</f>
        <v>2025.12</v>
      </c>
      <c r="B2289" s="17" t="n">
        <f aca="false">IFERROR(VALUE(LEFT($A2289,4)),"")</f>
        <v>2025</v>
      </c>
      <c r="C2289" s="17" t="n">
        <f aca="false">IFERROR(VALUE(RIGHT($A2289,2)),"")</f>
        <v>12</v>
      </c>
      <c r="D2289" s="17" t="n">
        <f aca="false">IFERROR(ROUNDUP($C2289/3,0),"")</f>
        <v>4</v>
      </c>
      <c r="E2289" s="11" t="str">
        <f aca="false">TRIM('수출입 실적(품목별)'!B2293)</f>
        <v>74</v>
      </c>
      <c r="F2289" s="11" t="str">
        <f aca="false">TRIM('수출입 실적(품목별)'!C2293)</f>
        <v>구리와 그 제품</v>
      </c>
      <c r="G2289" s="18" t="n">
        <f aca="false">IFERROR(VALUE(SUBSTITUTE(TRIM('수출입 실적(품목별)'!D2293),",","")),"")</f>
        <v>63225.7</v>
      </c>
      <c r="H2289" s="19" t="n">
        <f aca="false">IFERROR(VALUE(SUBSTITUTE(TRIM('수출입 실적(품목별)'!E2293),",","")),"")</f>
        <v>697401</v>
      </c>
      <c r="I2289" s="18" t="n">
        <f aca="false">IFERROR(VALUE(SUBSTITUTE(TRIM('수출입 실적(품목별)'!F2293),",","")),"")</f>
        <v>77785.6</v>
      </c>
      <c r="J2289" s="19" t="n">
        <f aca="false">IFERROR(VALUE(SUBSTITUTE(TRIM('수출입 실적(품목별)'!G2293),",","")),"")</f>
        <v>841923</v>
      </c>
      <c r="K2289" s="19" t="n">
        <f aca="false">IFERROR(VALUE(SUBSTITUTE(TRIM('수출입 실적(품목별)'!H2293),",","")),"")</f>
        <v>-144522</v>
      </c>
    </row>
    <row r="2290" customFormat="false" ht="15" hidden="false" customHeight="true" outlineLevel="0" collapsed="false">
      <c r="A2290" s="11" t="str">
        <f aca="false">TRIM('수출입 실적(품목별)'!A2294)</f>
        <v>2025.12</v>
      </c>
      <c r="B2290" s="17" t="n">
        <f aca="false">IFERROR(VALUE(LEFT($A2290,4)),"")</f>
        <v>2025</v>
      </c>
      <c r="C2290" s="17" t="n">
        <f aca="false">IFERROR(VALUE(RIGHT($A2290,2)),"")</f>
        <v>12</v>
      </c>
      <c r="D2290" s="17" t="n">
        <f aca="false">IFERROR(ROUNDUP($C2290/3,0),"")</f>
        <v>4</v>
      </c>
      <c r="E2290" s="11" t="str">
        <f aca="false">TRIM('수출입 실적(품목별)'!B2294)</f>
        <v>75</v>
      </c>
      <c r="F2290" s="11" t="str">
        <f aca="false">TRIM('수출입 실적(품목별)'!C2294)</f>
        <v>니켈과 그 제품</v>
      </c>
      <c r="G2290" s="18" t="n">
        <f aca="false">IFERROR(VALUE(SUBSTITUTE(TRIM('수출입 실적(품목별)'!D2294),",","")),"")</f>
        <v>776.9</v>
      </c>
      <c r="H2290" s="19" t="n">
        <f aca="false">IFERROR(VALUE(SUBSTITUTE(TRIM('수출입 실적(품목별)'!E2294),",","")),"")</f>
        <v>18762</v>
      </c>
      <c r="I2290" s="18" t="n">
        <f aca="false">IFERROR(VALUE(SUBSTITUTE(TRIM('수출입 실적(품목별)'!F2294),",","")),"")</f>
        <v>3916.7</v>
      </c>
      <c r="J2290" s="19" t="n">
        <f aca="false">IFERROR(VALUE(SUBSTITUTE(TRIM('수출입 실적(품목별)'!G2294),",","")),"")</f>
        <v>93043</v>
      </c>
      <c r="K2290" s="19" t="n">
        <f aca="false">IFERROR(VALUE(SUBSTITUTE(TRIM('수출입 실적(품목별)'!H2294),",","")),"")</f>
        <v>-74281</v>
      </c>
    </row>
    <row r="2291" customFormat="false" ht="15" hidden="false" customHeight="true" outlineLevel="0" collapsed="false">
      <c r="A2291" s="11" t="str">
        <f aca="false">TRIM('수출입 실적(품목별)'!A2295)</f>
        <v>2025.12</v>
      </c>
      <c r="B2291" s="17" t="n">
        <f aca="false">IFERROR(VALUE(LEFT($A2291,4)),"")</f>
        <v>2025</v>
      </c>
      <c r="C2291" s="17" t="n">
        <f aca="false">IFERROR(VALUE(RIGHT($A2291,2)),"")</f>
        <v>12</v>
      </c>
      <c r="D2291" s="17" t="n">
        <f aca="false">IFERROR(ROUNDUP($C2291/3,0),"")</f>
        <v>4</v>
      </c>
      <c r="E2291" s="11" t="str">
        <f aca="false">TRIM('수출입 실적(품목별)'!B2295)</f>
        <v>76</v>
      </c>
      <c r="F2291" s="11" t="str">
        <f aca="false">TRIM('수출입 실적(품목별)'!C2295)</f>
        <v>알루미늄과 그 제품</v>
      </c>
      <c r="G2291" s="18" t="n">
        <f aca="false">IFERROR(VALUE(SUBSTITUTE(TRIM('수출입 실적(품목별)'!D2295),",","")),"")</f>
        <v>119340.8</v>
      </c>
      <c r="H2291" s="19" t="n">
        <f aca="false">IFERROR(VALUE(SUBSTITUTE(TRIM('수출입 실적(품목별)'!E2295),",","")),"")</f>
        <v>490487</v>
      </c>
      <c r="I2291" s="18" t="n">
        <f aca="false">IFERROR(VALUE(SUBSTITUTE(TRIM('수출입 실적(품목별)'!F2295),",","")),"")</f>
        <v>240674.3</v>
      </c>
      <c r="J2291" s="19" t="n">
        <f aca="false">IFERROR(VALUE(SUBSTITUTE(TRIM('수출입 실적(품목별)'!G2295),",","")),"")</f>
        <v>780189</v>
      </c>
      <c r="K2291" s="19" t="n">
        <f aca="false">IFERROR(VALUE(SUBSTITUTE(TRIM('수출입 실적(품목별)'!H2295),",","")),"")</f>
        <v>-289702</v>
      </c>
    </row>
    <row r="2292" customFormat="false" ht="15" hidden="false" customHeight="true" outlineLevel="0" collapsed="false">
      <c r="A2292" s="11" t="str">
        <f aca="false">TRIM('수출입 실적(품목별)'!A2296)</f>
        <v>2025.12</v>
      </c>
      <c r="B2292" s="17" t="n">
        <f aca="false">IFERROR(VALUE(LEFT($A2292,4)),"")</f>
        <v>2025</v>
      </c>
      <c r="C2292" s="17" t="n">
        <f aca="false">IFERROR(VALUE(RIGHT($A2292,2)),"")</f>
        <v>12</v>
      </c>
      <c r="D2292" s="17" t="n">
        <f aca="false">IFERROR(ROUNDUP($C2292/3,0),"")</f>
        <v>4</v>
      </c>
      <c r="E2292" s="11" t="str">
        <f aca="false">TRIM('수출입 실적(품목별)'!B2296)</f>
        <v>78</v>
      </c>
      <c r="F2292" s="11" t="str">
        <f aca="false">TRIM('수출입 실적(품목별)'!C2296)</f>
        <v>납과 그 제품</v>
      </c>
      <c r="G2292" s="18" t="n">
        <f aca="false">IFERROR(VALUE(SUBSTITUTE(TRIM('수출입 실적(품목별)'!D2296),",","")),"")</f>
        <v>31655.6</v>
      </c>
      <c r="H2292" s="19" t="n">
        <f aca="false">IFERROR(VALUE(SUBSTITUTE(TRIM('수출입 실적(품목별)'!E2296),",","")),"")</f>
        <v>69496</v>
      </c>
      <c r="I2292" s="18" t="n">
        <f aca="false">IFERROR(VALUE(SUBSTITUTE(TRIM('수출입 실적(품목별)'!F2296),",","")),"")</f>
        <v>14401.3</v>
      </c>
      <c r="J2292" s="19" t="n">
        <f aca="false">IFERROR(VALUE(SUBSTITUTE(TRIM('수출입 실적(품목별)'!G2296),",","")),"")</f>
        <v>34692</v>
      </c>
      <c r="K2292" s="19" t="n">
        <f aca="false">IFERROR(VALUE(SUBSTITUTE(TRIM('수출입 실적(품목별)'!H2296),",","")),"")</f>
        <v>34804</v>
      </c>
    </row>
    <row r="2293" customFormat="false" ht="15" hidden="false" customHeight="true" outlineLevel="0" collapsed="false">
      <c r="A2293" s="11" t="str">
        <f aca="false">TRIM('수출입 실적(품목별)'!A2297)</f>
        <v>2025.12</v>
      </c>
      <c r="B2293" s="17" t="n">
        <f aca="false">IFERROR(VALUE(LEFT($A2293,4)),"")</f>
        <v>2025</v>
      </c>
      <c r="C2293" s="17" t="n">
        <f aca="false">IFERROR(VALUE(RIGHT($A2293,2)),"")</f>
        <v>12</v>
      </c>
      <c r="D2293" s="17" t="n">
        <f aca="false">IFERROR(ROUNDUP($C2293/3,0),"")</f>
        <v>4</v>
      </c>
      <c r="E2293" s="11" t="str">
        <f aca="false">TRIM('수출입 실적(품목별)'!B2297)</f>
        <v>79</v>
      </c>
      <c r="F2293" s="11" t="str">
        <f aca="false">TRIM('수출입 실적(품목별)'!C2297)</f>
        <v>아연과 그 제품</v>
      </c>
      <c r="G2293" s="18" t="n">
        <f aca="false">IFERROR(VALUE(SUBSTITUTE(TRIM('수출입 실적(품목별)'!D2297),",","")),"")</f>
        <v>53573</v>
      </c>
      <c r="H2293" s="19" t="n">
        <f aca="false">IFERROR(VALUE(SUBSTITUTE(TRIM('수출입 실적(품목별)'!E2297),",","")),"")</f>
        <v>178798</v>
      </c>
      <c r="I2293" s="18" t="n">
        <f aca="false">IFERROR(VALUE(SUBSTITUTE(TRIM('수출입 실적(품목별)'!F2297),",","")),"")</f>
        <v>2969.6</v>
      </c>
      <c r="J2293" s="19" t="n">
        <f aca="false">IFERROR(VALUE(SUBSTITUTE(TRIM('수출입 실적(품목별)'!G2297),",","")),"")</f>
        <v>14324</v>
      </c>
      <c r="K2293" s="19" t="n">
        <f aca="false">IFERROR(VALUE(SUBSTITUTE(TRIM('수출입 실적(품목별)'!H2297),",","")),"")</f>
        <v>164474</v>
      </c>
    </row>
    <row r="2294" customFormat="false" ht="15" hidden="false" customHeight="true" outlineLevel="0" collapsed="false">
      <c r="A2294" s="11" t="str">
        <f aca="false">TRIM('수출입 실적(품목별)'!A2298)</f>
        <v>2025.12</v>
      </c>
      <c r="B2294" s="17" t="n">
        <f aca="false">IFERROR(VALUE(LEFT($A2294,4)),"")</f>
        <v>2025</v>
      </c>
      <c r="C2294" s="17" t="n">
        <f aca="false">IFERROR(VALUE(RIGHT($A2294,2)),"")</f>
        <v>12</v>
      </c>
      <c r="D2294" s="17" t="n">
        <f aca="false">IFERROR(ROUNDUP($C2294/3,0),"")</f>
        <v>4</v>
      </c>
      <c r="E2294" s="11" t="str">
        <f aca="false">TRIM('수출입 실적(품목별)'!B2298)</f>
        <v>80</v>
      </c>
      <c r="F2294" s="11" t="str">
        <f aca="false">TRIM('수출입 실적(품목별)'!C2298)</f>
        <v>주석과 그 제품</v>
      </c>
      <c r="G2294" s="18" t="n">
        <f aca="false">IFERROR(VALUE(SUBSTITUTE(TRIM('수출입 실적(품목별)'!D2298),",","")),"")</f>
        <v>183.3</v>
      </c>
      <c r="H2294" s="19" t="n">
        <f aca="false">IFERROR(VALUE(SUBSTITUTE(TRIM('수출입 실적(품목별)'!E2298),",","")),"")</f>
        <v>10912</v>
      </c>
      <c r="I2294" s="18" t="n">
        <f aca="false">IFERROR(VALUE(SUBSTITUTE(TRIM('수출입 실적(품목별)'!F2298),",","")),"")</f>
        <v>1114.5</v>
      </c>
      <c r="J2294" s="19" t="n">
        <f aca="false">IFERROR(VALUE(SUBSTITUTE(TRIM('수출입 실적(품목별)'!G2298),",","")),"")</f>
        <v>47146</v>
      </c>
      <c r="K2294" s="19" t="n">
        <f aca="false">IFERROR(VALUE(SUBSTITUTE(TRIM('수출입 실적(품목별)'!H2298),",","")),"")</f>
        <v>-36234</v>
      </c>
    </row>
    <row r="2295" customFormat="false" ht="15" hidden="false" customHeight="true" outlineLevel="0" collapsed="false">
      <c r="A2295" s="11" t="str">
        <f aca="false">TRIM('수출입 실적(품목별)'!A2299)</f>
        <v>2025.12</v>
      </c>
      <c r="B2295" s="17" t="n">
        <f aca="false">IFERROR(VALUE(LEFT($A2295,4)),"")</f>
        <v>2025</v>
      </c>
      <c r="C2295" s="17" t="n">
        <f aca="false">IFERROR(VALUE(RIGHT($A2295,2)),"")</f>
        <v>12</v>
      </c>
      <c r="D2295" s="17" t="n">
        <f aca="false">IFERROR(ROUNDUP($C2295/3,0),"")</f>
        <v>4</v>
      </c>
      <c r="E2295" s="11" t="str">
        <f aca="false">TRIM('수출입 실적(품목별)'!B2299)</f>
        <v>81</v>
      </c>
      <c r="F2295" s="11" t="str">
        <f aca="false">TRIM('수출입 실적(품목별)'!C2299)</f>
        <v>그 밖의 비금속(卑金屬), 서멧(cermet), 이들의 제품</v>
      </c>
      <c r="G2295" s="18" t="n">
        <f aca="false">IFERROR(VALUE(SUBSTITUTE(TRIM('수출입 실적(품목별)'!D2299),",","")),"")</f>
        <v>3628.8</v>
      </c>
      <c r="H2295" s="19" t="n">
        <f aca="false">IFERROR(VALUE(SUBSTITUTE(TRIM('수출입 실적(품목별)'!E2299),",","")),"")</f>
        <v>54706</v>
      </c>
      <c r="I2295" s="18" t="n">
        <f aca="false">IFERROR(VALUE(SUBSTITUTE(TRIM('수출입 실적(품목별)'!F2299),",","")),"")</f>
        <v>12127.7</v>
      </c>
      <c r="J2295" s="19" t="n">
        <f aca="false">IFERROR(VALUE(SUBSTITUTE(TRIM('수출입 실적(품목별)'!G2299),",","")),"")</f>
        <v>122862</v>
      </c>
      <c r="K2295" s="19" t="n">
        <f aca="false">IFERROR(VALUE(SUBSTITUTE(TRIM('수출입 실적(품목별)'!H2299),",","")),"")</f>
        <v>-68156</v>
      </c>
    </row>
    <row r="2296" customFormat="false" ht="15" hidden="false" customHeight="true" outlineLevel="0" collapsed="false">
      <c r="A2296" s="11" t="str">
        <f aca="false">TRIM('수출입 실적(품목별)'!A2300)</f>
        <v>2025.12</v>
      </c>
      <c r="B2296" s="17" t="n">
        <f aca="false">IFERROR(VALUE(LEFT($A2296,4)),"")</f>
        <v>2025</v>
      </c>
      <c r="C2296" s="17" t="n">
        <f aca="false">IFERROR(VALUE(RIGHT($A2296,2)),"")</f>
        <v>12</v>
      </c>
      <c r="D2296" s="17" t="n">
        <f aca="false">IFERROR(ROUNDUP($C2296/3,0),"")</f>
        <v>4</v>
      </c>
      <c r="E2296" s="11" t="str">
        <f aca="false">TRIM('수출입 실적(품목별)'!B2300)</f>
        <v>82</v>
      </c>
      <c r="F2296" s="11" t="str">
        <f aca="false">TRIM('수출입 실적(품목별)'!C2300)</f>
        <v>비금속(卑金屬)으로 만든 공구ㆍ도구ㆍ칼붙이ㆍ스푼ㆍ포크, 이들의 부분품</v>
      </c>
      <c r="G2296" s="18" t="n">
        <f aca="false">IFERROR(VALUE(SUBSTITUTE(TRIM('수출입 실적(품목별)'!D2300),",","")),"")</f>
        <v>12235.1</v>
      </c>
      <c r="H2296" s="19" t="n">
        <f aca="false">IFERROR(VALUE(SUBSTITUTE(TRIM('수출입 실적(품목별)'!E2300),",","")),"")</f>
        <v>202543</v>
      </c>
      <c r="I2296" s="18" t="n">
        <f aca="false">IFERROR(VALUE(SUBSTITUTE(TRIM('수출입 실적(품목별)'!F2300),",","")),"")</f>
        <v>5943.2</v>
      </c>
      <c r="J2296" s="19" t="n">
        <f aca="false">IFERROR(VALUE(SUBSTITUTE(TRIM('수출입 실적(품목별)'!G2300),",","")),"")</f>
        <v>101419</v>
      </c>
      <c r="K2296" s="19" t="n">
        <f aca="false">IFERROR(VALUE(SUBSTITUTE(TRIM('수출입 실적(품목별)'!H2300),",","")),"")</f>
        <v>101124</v>
      </c>
    </row>
    <row r="2297" customFormat="false" ht="15" hidden="false" customHeight="true" outlineLevel="0" collapsed="false">
      <c r="A2297" s="11" t="str">
        <f aca="false">TRIM('수출입 실적(품목별)'!A2301)</f>
        <v>2025.12</v>
      </c>
      <c r="B2297" s="17" t="n">
        <f aca="false">IFERROR(VALUE(LEFT($A2297,4)),"")</f>
        <v>2025</v>
      </c>
      <c r="C2297" s="17" t="n">
        <f aca="false">IFERROR(VALUE(RIGHT($A2297,2)),"")</f>
        <v>12</v>
      </c>
      <c r="D2297" s="17" t="n">
        <f aca="false">IFERROR(ROUNDUP($C2297/3,0),"")</f>
        <v>4</v>
      </c>
      <c r="E2297" s="11" t="str">
        <f aca="false">TRIM('수출입 실적(품목별)'!B2301)</f>
        <v>83</v>
      </c>
      <c r="F2297" s="11" t="str">
        <f aca="false">TRIM('수출입 실적(품목별)'!C2301)</f>
        <v>비금속(卑金屬)으로 만든 각종 제품</v>
      </c>
      <c r="G2297" s="18" t="n">
        <f aca="false">IFERROR(VALUE(SUBSTITUTE(TRIM('수출입 실적(품목별)'!D2301),",","")),"")</f>
        <v>23919.2</v>
      </c>
      <c r="H2297" s="19" t="n">
        <f aca="false">IFERROR(VALUE(SUBSTITUTE(TRIM('수출입 실적(품목별)'!E2301),",","")),"")</f>
        <v>143847</v>
      </c>
      <c r="I2297" s="18" t="n">
        <f aca="false">IFERROR(VALUE(SUBSTITUTE(TRIM('수출입 실적(품목별)'!F2301),",","")),"")</f>
        <v>12745.4</v>
      </c>
      <c r="J2297" s="19" t="n">
        <f aca="false">IFERROR(VALUE(SUBSTITUTE(TRIM('수출입 실적(품목별)'!G2301),",","")),"")</f>
        <v>82503</v>
      </c>
      <c r="K2297" s="19" t="n">
        <f aca="false">IFERROR(VALUE(SUBSTITUTE(TRIM('수출입 실적(품목별)'!H2301),",","")),"")</f>
        <v>61344</v>
      </c>
    </row>
    <row r="2298" customFormat="false" ht="15" hidden="false" customHeight="true" outlineLevel="0" collapsed="false">
      <c r="A2298" s="11" t="str">
        <f aca="false">TRIM('수출입 실적(품목별)'!A2302)</f>
        <v>2025.12</v>
      </c>
      <c r="B2298" s="17" t="n">
        <f aca="false">IFERROR(VALUE(LEFT($A2298,4)),"")</f>
        <v>2025</v>
      </c>
      <c r="C2298" s="17" t="n">
        <f aca="false">IFERROR(VALUE(RIGHT($A2298,2)),"")</f>
        <v>12</v>
      </c>
      <c r="D2298" s="17" t="n">
        <f aca="false">IFERROR(ROUNDUP($C2298/3,0),"")</f>
        <v>4</v>
      </c>
      <c r="E2298" s="11" t="str">
        <f aca="false">TRIM('수출입 실적(품목별)'!B2302)</f>
        <v>84</v>
      </c>
      <c r="F2298" s="11" t="str">
        <f aca="false">TRIM('수출입 실적(품목별)'!C2302)</f>
        <v>원자로ㆍ보일러ㆍ기계류와 이들의 부분품</v>
      </c>
      <c r="G2298" s="18" t="n">
        <f aca="false">IFERROR(VALUE(SUBSTITUTE(TRIM('수출입 실적(품목별)'!D2302),",","")),"")</f>
        <v>396259</v>
      </c>
      <c r="H2298" s="19" t="n">
        <f aca="false">IFERROR(VALUE(SUBSTITUTE(TRIM('수출입 실적(품목별)'!E2302),",","")),"")</f>
        <v>8929338</v>
      </c>
      <c r="I2298" s="18" t="n">
        <f aca="false">IFERROR(VALUE(SUBSTITUTE(TRIM('수출입 실적(품목별)'!F2302),",","")),"")</f>
        <v>220878.6</v>
      </c>
      <c r="J2298" s="19" t="n">
        <f aca="false">IFERROR(VALUE(SUBSTITUTE(TRIM('수출입 실적(품목별)'!G2302),",","")),"")</f>
        <v>7135244</v>
      </c>
      <c r="K2298" s="19" t="n">
        <f aca="false">IFERROR(VALUE(SUBSTITUTE(TRIM('수출입 실적(품목별)'!H2302),",","")),"")</f>
        <v>1794094</v>
      </c>
    </row>
    <row r="2299" customFormat="false" ht="15" hidden="false" customHeight="true" outlineLevel="0" collapsed="false">
      <c r="A2299" s="11" t="str">
        <f aca="false">TRIM('수출입 실적(품목별)'!A2303)</f>
        <v>2025.12</v>
      </c>
      <c r="B2299" s="17" t="n">
        <f aca="false">IFERROR(VALUE(LEFT($A2299,4)),"")</f>
        <v>2025</v>
      </c>
      <c r="C2299" s="17" t="n">
        <f aca="false">IFERROR(VALUE(RIGHT($A2299,2)),"")</f>
        <v>12</v>
      </c>
      <c r="D2299" s="17" t="n">
        <f aca="false">IFERROR(ROUNDUP($C2299/3,0),"")</f>
        <v>4</v>
      </c>
      <c r="E2299" s="11" t="str">
        <f aca="false">TRIM('수출입 실적(품목별)'!B2303)</f>
        <v>85</v>
      </c>
      <c r="F2299" s="11" t="str">
        <f aca="false">TRIM('수출입 실적(품목별)'!C2303)</f>
        <v>전기기기와 그 부분품, 녹음기ㆍ음성 재생기ㆍ텔레비전의 영상과 음성의 기록기ㆍ재생기와 이들의 부분품ㆍ부속품</v>
      </c>
      <c r="G2299" s="18" t="n">
        <f aca="false">IFERROR(VALUE(SUBSTITUTE(TRIM('수출입 실적(품목별)'!D2303),",","")),"")</f>
        <v>234535.6</v>
      </c>
      <c r="H2299" s="19" t="n">
        <f aca="false">IFERROR(VALUE(SUBSTITUTE(TRIM('수출입 실적(품목별)'!E2303),",","")),"")</f>
        <v>25992347</v>
      </c>
      <c r="I2299" s="18" t="n">
        <f aca="false">IFERROR(VALUE(SUBSTITUTE(TRIM('수출입 실적(품목별)'!F2303),",","")),"")</f>
        <v>246870.9</v>
      </c>
      <c r="J2299" s="19" t="n">
        <f aca="false">IFERROR(VALUE(SUBSTITUTE(TRIM('수출입 실적(품목별)'!G2303),",","")),"")</f>
        <v>12400968</v>
      </c>
      <c r="K2299" s="19" t="n">
        <f aca="false">IFERROR(VALUE(SUBSTITUTE(TRIM('수출입 실적(품목별)'!H2303),",","")),"")</f>
        <v>13591379</v>
      </c>
    </row>
    <row r="2300" customFormat="false" ht="15" hidden="false" customHeight="true" outlineLevel="0" collapsed="false">
      <c r="A2300" s="11" t="str">
        <f aca="false">TRIM('수출입 실적(품목별)'!A2304)</f>
        <v>2025.12</v>
      </c>
      <c r="B2300" s="17" t="n">
        <f aca="false">IFERROR(VALUE(LEFT($A2300,4)),"")</f>
        <v>2025</v>
      </c>
      <c r="C2300" s="17" t="n">
        <f aca="false">IFERROR(VALUE(RIGHT($A2300,2)),"")</f>
        <v>12</v>
      </c>
      <c r="D2300" s="17" t="n">
        <f aca="false">IFERROR(ROUNDUP($C2300/3,0),"")</f>
        <v>4</v>
      </c>
      <c r="E2300" s="11" t="str">
        <f aca="false">TRIM('수출입 실적(품목별)'!B2304)</f>
        <v>86</v>
      </c>
      <c r="F2300" s="11" t="str">
        <f aca="false">TRIM('수출입 실적(품목별)'!C2304)</f>
        <v>철도용이나 궤도용 기관차ㆍ차량과 이들의 부분품, 철도용이나 궤도용 장비품과 그 부분품, 기계식(전기기계식을 포함한다) 각종 교통신호용 기기</v>
      </c>
      <c r="G2300" s="18" t="n">
        <f aca="false">IFERROR(VALUE(SUBSTITUTE(TRIM('수출입 실적(품목별)'!D2304),",","")),"")</f>
        <v>12854.8</v>
      </c>
      <c r="H2300" s="19" t="n">
        <f aca="false">IFERROR(VALUE(SUBSTITUTE(TRIM('수출입 실적(품목별)'!E2304),",","")),"")</f>
        <v>49430</v>
      </c>
      <c r="I2300" s="18" t="n">
        <f aca="false">IFERROR(VALUE(SUBSTITUTE(TRIM('수출입 실적(품목별)'!F2304),",","")),"")</f>
        <v>15866.9</v>
      </c>
      <c r="J2300" s="19" t="n">
        <f aca="false">IFERROR(VALUE(SUBSTITUTE(TRIM('수출입 실적(품목별)'!G2304),",","")),"")</f>
        <v>55790</v>
      </c>
      <c r="K2300" s="19" t="n">
        <f aca="false">IFERROR(VALUE(SUBSTITUTE(TRIM('수출입 실적(품목별)'!H2304),",","")),"")</f>
        <v>-6361</v>
      </c>
    </row>
    <row r="2301" customFormat="false" ht="15" hidden="false" customHeight="true" outlineLevel="0" collapsed="false">
      <c r="A2301" s="11" t="str">
        <f aca="false">TRIM('수출입 실적(품목별)'!A2305)</f>
        <v>2025.12</v>
      </c>
      <c r="B2301" s="17" t="n">
        <f aca="false">IFERROR(VALUE(LEFT($A2301,4)),"")</f>
        <v>2025</v>
      </c>
      <c r="C2301" s="17" t="n">
        <f aca="false">IFERROR(VALUE(RIGHT($A2301,2)),"")</f>
        <v>12</v>
      </c>
      <c r="D2301" s="17" t="n">
        <f aca="false">IFERROR(ROUNDUP($C2301/3,0),"")</f>
        <v>4</v>
      </c>
      <c r="E2301" s="11" t="str">
        <f aca="false">TRIM('수출입 실적(품목별)'!B2305)</f>
        <v>87</v>
      </c>
      <c r="F2301" s="11" t="str">
        <f aca="false">TRIM('수출입 실적(품목별)'!C2305)</f>
        <v>철도용이나 궤도용 외의 차량과 그 부분품ㆍ부속품</v>
      </c>
      <c r="G2301" s="18" t="n">
        <f aca="false">IFERROR(VALUE(SUBSTITUTE(TRIM('수출입 실적(품목별)'!D2305),",","")),"")</f>
        <v>731323.5</v>
      </c>
      <c r="H2301" s="19" t="n">
        <f aca="false">IFERROR(VALUE(SUBSTITUTE(TRIM('수출입 실적(품목별)'!E2305),",","")),"")</f>
        <v>7644009</v>
      </c>
      <c r="I2301" s="18" t="n">
        <f aca="false">IFERROR(VALUE(SUBSTITUTE(TRIM('수출입 실적(품목별)'!F2305),",","")),"")</f>
        <v>112775.2</v>
      </c>
      <c r="J2301" s="19" t="n">
        <f aca="false">IFERROR(VALUE(SUBSTITUTE(TRIM('수출입 실적(품목별)'!G2305),",","")),"")</f>
        <v>1851459</v>
      </c>
      <c r="K2301" s="19" t="n">
        <f aca="false">IFERROR(VALUE(SUBSTITUTE(TRIM('수출입 실적(품목별)'!H2305),",","")),"")</f>
        <v>5792550</v>
      </c>
    </row>
    <row r="2302" customFormat="false" ht="15" hidden="false" customHeight="true" outlineLevel="0" collapsed="false">
      <c r="A2302" s="11" t="str">
        <f aca="false">TRIM('수출입 실적(품목별)'!A2306)</f>
        <v>2025.12</v>
      </c>
      <c r="B2302" s="17" t="n">
        <f aca="false">IFERROR(VALUE(LEFT($A2302,4)),"")</f>
        <v>2025</v>
      </c>
      <c r="C2302" s="17" t="n">
        <f aca="false">IFERROR(VALUE(RIGHT($A2302,2)),"")</f>
        <v>12</v>
      </c>
      <c r="D2302" s="17" t="n">
        <f aca="false">IFERROR(ROUNDUP($C2302/3,0),"")</f>
        <v>4</v>
      </c>
      <c r="E2302" s="11" t="str">
        <f aca="false">TRIM('수출입 실적(품목별)'!B2306)</f>
        <v>88</v>
      </c>
      <c r="F2302" s="11" t="str">
        <f aca="false">TRIM('수출입 실적(품목별)'!C2306)</f>
        <v>항공기와 우주선, 이들의 부분품</v>
      </c>
      <c r="G2302" s="18" t="n">
        <f aca="false">IFERROR(VALUE(SUBSTITUTE(TRIM('수출입 실적(품목별)'!D2306),",","")),"")</f>
        <v>1004.5</v>
      </c>
      <c r="H2302" s="19" t="n">
        <f aca="false">IFERROR(VALUE(SUBSTITUTE(TRIM('수출입 실적(품목별)'!E2306),",","")),"")</f>
        <v>364882</v>
      </c>
      <c r="I2302" s="18" t="n">
        <f aca="false">IFERROR(VALUE(SUBSTITUTE(TRIM('수출입 실적(품목별)'!F2306),",","")),"")</f>
        <v>884.9</v>
      </c>
      <c r="J2302" s="19" t="n">
        <f aca="false">IFERROR(VALUE(SUBSTITUTE(TRIM('수출입 실적(품목별)'!G2306),",","")),"")</f>
        <v>426690</v>
      </c>
      <c r="K2302" s="19" t="n">
        <f aca="false">IFERROR(VALUE(SUBSTITUTE(TRIM('수출입 실적(품목별)'!H2306),",","")),"")</f>
        <v>-61808</v>
      </c>
    </row>
    <row r="2303" customFormat="false" ht="15" hidden="false" customHeight="true" outlineLevel="0" collapsed="false">
      <c r="A2303" s="11" t="str">
        <f aca="false">TRIM('수출입 실적(품목별)'!A2307)</f>
        <v>2025.12</v>
      </c>
      <c r="B2303" s="17" t="n">
        <f aca="false">IFERROR(VALUE(LEFT($A2303,4)),"")</f>
        <v>2025</v>
      </c>
      <c r="C2303" s="17" t="n">
        <f aca="false">IFERROR(VALUE(RIGHT($A2303,2)),"")</f>
        <v>12</v>
      </c>
      <c r="D2303" s="17" t="n">
        <f aca="false">IFERROR(ROUNDUP($C2303/3,0),"")</f>
        <v>4</v>
      </c>
      <c r="E2303" s="11" t="str">
        <f aca="false">TRIM('수출입 실적(품목별)'!B2307)</f>
        <v>89</v>
      </c>
      <c r="F2303" s="11" t="str">
        <f aca="false">TRIM('수출입 실적(품목별)'!C2307)</f>
        <v>선박과 수상 구조물</v>
      </c>
      <c r="G2303" s="18" t="n">
        <f aca="false">IFERROR(VALUE(SUBSTITUTE(TRIM('수출입 실적(품목별)'!D2307),",","")),"")</f>
        <v>950083.8</v>
      </c>
      <c r="H2303" s="19" t="n">
        <f aca="false">IFERROR(VALUE(SUBSTITUTE(TRIM('수출입 실적(품목별)'!E2307),",","")),"")</f>
        <v>2838894</v>
      </c>
      <c r="I2303" s="18" t="n">
        <f aca="false">IFERROR(VALUE(SUBSTITUTE(TRIM('수출입 실적(품목별)'!F2307),",","")),"")</f>
        <v>105750.2</v>
      </c>
      <c r="J2303" s="19" t="n">
        <f aca="false">IFERROR(VALUE(SUBSTITUTE(TRIM('수출입 실적(품목별)'!G2307),",","")),"")</f>
        <v>185690</v>
      </c>
      <c r="K2303" s="19" t="n">
        <f aca="false">IFERROR(VALUE(SUBSTITUTE(TRIM('수출입 실적(품목별)'!H2307),",","")),"")</f>
        <v>2653204</v>
      </c>
    </row>
    <row r="2304" customFormat="false" ht="15" hidden="false" customHeight="true" outlineLevel="0" collapsed="false">
      <c r="A2304" s="11" t="str">
        <f aca="false">TRIM('수출입 실적(품목별)'!A2308)</f>
        <v>2025.12</v>
      </c>
      <c r="B2304" s="17" t="n">
        <f aca="false">IFERROR(VALUE(LEFT($A2304,4)),"")</f>
        <v>2025</v>
      </c>
      <c r="C2304" s="17" t="n">
        <f aca="false">IFERROR(VALUE(RIGHT($A2304,2)),"")</f>
        <v>12</v>
      </c>
      <c r="D2304" s="17" t="n">
        <f aca="false">IFERROR(ROUNDUP($C2304/3,0),"")</f>
        <v>4</v>
      </c>
      <c r="E2304" s="11" t="str">
        <f aca="false">TRIM('수출입 실적(품목별)'!B2308)</f>
        <v>90</v>
      </c>
      <c r="F2304" s="11" t="str">
        <f aca="false">TRIM('수출입 실적(품목별)'!C2308)</f>
        <v>광학기기ㆍ사진용 기기ㆍ영화용 기기ㆍ측정기기ㆍ검사기기ㆍ정밀기기ㆍ의료용 기기, 이들의 부분품과 부속품</v>
      </c>
      <c r="G2304" s="18" t="n">
        <f aca="false">IFERROR(VALUE(SUBSTITUTE(TRIM('수출입 실적(품목별)'!D2308),",","")),"")</f>
        <v>19821.2</v>
      </c>
      <c r="H2304" s="19" t="n">
        <f aca="false">IFERROR(VALUE(SUBSTITUTE(TRIM('수출입 실적(품목별)'!E2308),",","")),"")</f>
        <v>1688416</v>
      </c>
      <c r="I2304" s="18" t="n">
        <f aca="false">IFERROR(VALUE(SUBSTITUTE(TRIM('수출입 실적(품목별)'!F2308),",","")),"")</f>
        <v>17657.7</v>
      </c>
      <c r="J2304" s="19" t="n">
        <f aca="false">IFERROR(VALUE(SUBSTITUTE(TRIM('수출입 실적(품목별)'!G2308),",","")),"")</f>
        <v>2581680</v>
      </c>
      <c r="K2304" s="19" t="n">
        <f aca="false">IFERROR(VALUE(SUBSTITUTE(TRIM('수출입 실적(품목별)'!H2308),",","")),"")</f>
        <v>-893265</v>
      </c>
    </row>
    <row r="2305" customFormat="false" ht="15" hidden="false" customHeight="true" outlineLevel="0" collapsed="false">
      <c r="A2305" s="11" t="str">
        <f aca="false">TRIM('수출입 실적(품목별)'!A2309)</f>
        <v>2025.12</v>
      </c>
      <c r="B2305" s="17" t="n">
        <f aca="false">IFERROR(VALUE(LEFT($A2305,4)),"")</f>
        <v>2025</v>
      </c>
      <c r="C2305" s="17" t="n">
        <f aca="false">IFERROR(VALUE(RIGHT($A2305,2)),"")</f>
        <v>12</v>
      </c>
      <c r="D2305" s="17" t="n">
        <f aca="false">IFERROR(ROUNDUP($C2305/3,0),"")</f>
        <v>4</v>
      </c>
      <c r="E2305" s="11" t="str">
        <f aca="false">TRIM('수출입 실적(품목별)'!B2309)</f>
        <v>91</v>
      </c>
      <c r="F2305" s="11" t="str">
        <f aca="false">TRIM('수출입 실적(품목별)'!C2309)</f>
        <v>시계와 그 부분품</v>
      </c>
      <c r="G2305" s="18" t="n">
        <f aca="false">IFERROR(VALUE(SUBSTITUTE(TRIM('수출입 실적(품목별)'!D2309),",","")),"")</f>
        <v>22.9</v>
      </c>
      <c r="H2305" s="19" t="n">
        <f aca="false">IFERROR(VALUE(SUBSTITUTE(TRIM('수출입 실적(품목별)'!E2309),",","")),"")</f>
        <v>27052</v>
      </c>
      <c r="I2305" s="18" t="n">
        <f aca="false">IFERROR(VALUE(SUBSTITUTE(TRIM('수출입 실적(품목별)'!F2309),",","")),"")</f>
        <v>385.7</v>
      </c>
      <c r="J2305" s="19" t="n">
        <f aca="false">IFERROR(VALUE(SUBSTITUTE(TRIM('수출입 실적(품목별)'!G2309),",","")),"")</f>
        <v>92377</v>
      </c>
      <c r="K2305" s="19" t="n">
        <f aca="false">IFERROR(VALUE(SUBSTITUTE(TRIM('수출입 실적(품목별)'!H2309),",","")),"")</f>
        <v>-65325</v>
      </c>
    </row>
    <row r="2306" customFormat="false" ht="15" hidden="false" customHeight="true" outlineLevel="0" collapsed="false">
      <c r="A2306" s="11" t="str">
        <f aca="false">TRIM('수출입 실적(품목별)'!A2310)</f>
        <v>2025.12</v>
      </c>
      <c r="B2306" s="17" t="n">
        <f aca="false">IFERROR(VALUE(LEFT($A2306,4)),"")</f>
        <v>2025</v>
      </c>
      <c r="C2306" s="17" t="n">
        <f aca="false">IFERROR(VALUE(RIGHT($A2306,2)),"")</f>
        <v>12</v>
      </c>
      <c r="D2306" s="17" t="n">
        <f aca="false">IFERROR(ROUNDUP($C2306/3,0),"")</f>
        <v>4</v>
      </c>
      <c r="E2306" s="11" t="str">
        <f aca="false">TRIM('수출입 실적(품목별)'!B2310)</f>
        <v>92</v>
      </c>
      <c r="F2306" s="11" t="str">
        <f aca="false">TRIM('수출입 실적(품목별)'!C2310)</f>
        <v>악기와 그 부분품과 부속품</v>
      </c>
      <c r="G2306" s="18" t="n">
        <f aca="false">IFERROR(VALUE(SUBSTITUTE(TRIM('수출입 실적(품목별)'!D2310),",","")),"")</f>
        <v>364.3</v>
      </c>
      <c r="H2306" s="19" t="n">
        <f aca="false">IFERROR(VALUE(SUBSTITUTE(TRIM('수출입 실적(품목별)'!E2310),",","")),"")</f>
        <v>8966</v>
      </c>
      <c r="I2306" s="18" t="n">
        <f aca="false">IFERROR(VALUE(SUBSTITUTE(TRIM('수출입 실적(품목별)'!F2310),",","")),"")</f>
        <v>673.1</v>
      </c>
      <c r="J2306" s="19" t="n">
        <f aca="false">IFERROR(VALUE(SUBSTITUTE(TRIM('수출입 실적(품목별)'!G2310),",","")),"")</f>
        <v>16093</v>
      </c>
      <c r="K2306" s="19" t="n">
        <f aca="false">IFERROR(VALUE(SUBSTITUTE(TRIM('수출입 실적(품목별)'!H2310),",","")),"")</f>
        <v>-7127</v>
      </c>
    </row>
    <row r="2307" customFormat="false" ht="15" hidden="false" customHeight="true" outlineLevel="0" collapsed="false">
      <c r="A2307" s="11" t="str">
        <f aca="false">TRIM('수출입 실적(품목별)'!A2311)</f>
        <v>2025.12</v>
      </c>
      <c r="B2307" s="17" t="n">
        <f aca="false">IFERROR(VALUE(LEFT($A2307,4)),"")</f>
        <v>2025</v>
      </c>
      <c r="C2307" s="17" t="n">
        <f aca="false">IFERROR(VALUE(RIGHT($A2307,2)),"")</f>
        <v>12</v>
      </c>
      <c r="D2307" s="17" t="n">
        <f aca="false">IFERROR(ROUNDUP($C2307/3,0),"")</f>
        <v>4</v>
      </c>
      <c r="E2307" s="11" t="str">
        <f aca="false">TRIM('수출입 실적(품목별)'!B2311)</f>
        <v>93</v>
      </c>
      <c r="F2307" s="11" t="str">
        <f aca="false">TRIM('수출입 실적(품목별)'!C2311)</f>
        <v>무기ㆍ총포탄과 이들의 부분품과 부속품</v>
      </c>
      <c r="G2307" s="18" t="n">
        <f aca="false">IFERROR(VALUE(SUBSTITUTE(TRIM('수출입 실적(품목별)'!D2311),",","")),"")</f>
        <v>2036.3</v>
      </c>
      <c r="H2307" s="19" t="n">
        <f aca="false">IFERROR(VALUE(SUBSTITUTE(TRIM('수출입 실적(품목별)'!E2311),",","")),"")</f>
        <v>282967</v>
      </c>
      <c r="I2307" s="18" t="n">
        <f aca="false">IFERROR(VALUE(SUBSTITUTE(TRIM('수출입 실적(품목별)'!F2311),",","")),"")</f>
        <v>338.6</v>
      </c>
      <c r="J2307" s="19" t="n">
        <f aca="false">IFERROR(VALUE(SUBSTITUTE(TRIM('수출입 실적(품목별)'!G2311),",","")),"")</f>
        <v>31310</v>
      </c>
      <c r="K2307" s="19" t="n">
        <f aca="false">IFERROR(VALUE(SUBSTITUTE(TRIM('수출입 실적(품목별)'!H2311),",","")),"")</f>
        <v>251657</v>
      </c>
    </row>
    <row r="2308" customFormat="false" ht="15" hidden="false" customHeight="true" outlineLevel="0" collapsed="false">
      <c r="A2308" s="11" t="str">
        <f aca="false">TRIM('수출입 실적(품목별)'!A2312)</f>
        <v>2025.12</v>
      </c>
      <c r="B2308" s="17" t="n">
        <f aca="false">IFERROR(VALUE(LEFT($A2308,4)),"")</f>
        <v>2025</v>
      </c>
      <c r="C2308" s="17" t="n">
        <f aca="false">IFERROR(VALUE(RIGHT($A2308,2)),"")</f>
        <v>12</v>
      </c>
      <c r="D2308" s="17" t="n">
        <f aca="false">IFERROR(ROUNDUP($C2308/3,0),"")</f>
        <v>4</v>
      </c>
      <c r="E2308" s="11" t="str">
        <f aca="false">TRIM('수출입 실적(품목별)'!B2312)</f>
        <v>94</v>
      </c>
      <c r="F2308" s="11" t="str">
        <f aca="false">TRIM('수출입 실적(품목별)'!C2312)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308" s="18" t="n">
        <f aca="false">IFERROR(VALUE(SUBSTITUTE(TRIM('수출입 실적(품목별)'!D2312),",","")),"")</f>
        <v>16580.7</v>
      </c>
      <c r="H2308" s="19" t="n">
        <f aca="false">IFERROR(VALUE(SUBSTITUTE(TRIM('수출입 실적(품목별)'!E2312),",","")),"")</f>
        <v>122830</v>
      </c>
      <c r="I2308" s="18" t="n">
        <f aca="false">IFERROR(VALUE(SUBSTITUTE(TRIM('수출입 실적(품목별)'!F2312),",","")),"")</f>
        <v>85787</v>
      </c>
      <c r="J2308" s="19" t="n">
        <f aca="false">IFERROR(VALUE(SUBSTITUTE(TRIM('수출입 실적(품목별)'!G2312),",","")),"")</f>
        <v>356962</v>
      </c>
      <c r="K2308" s="19" t="n">
        <f aca="false">IFERROR(VALUE(SUBSTITUTE(TRIM('수출입 실적(품목별)'!H2312),",","")),"")</f>
        <v>-234132</v>
      </c>
    </row>
    <row r="2309" customFormat="false" ht="15" hidden="false" customHeight="true" outlineLevel="0" collapsed="false">
      <c r="A2309" s="11" t="str">
        <f aca="false">TRIM('수출입 실적(품목별)'!A2313)</f>
        <v>2025.12</v>
      </c>
      <c r="B2309" s="17" t="n">
        <f aca="false">IFERROR(VALUE(LEFT($A2309,4)),"")</f>
        <v>2025</v>
      </c>
      <c r="C2309" s="17" t="n">
        <f aca="false">IFERROR(VALUE(RIGHT($A2309,2)),"")</f>
        <v>12</v>
      </c>
      <c r="D2309" s="17" t="n">
        <f aca="false">IFERROR(ROUNDUP($C2309/3,0),"")</f>
        <v>4</v>
      </c>
      <c r="E2309" s="11" t="str">
        <f aca="false">TRIM('수출입 실적(품목별)'!B2313)</f>
        <v>95</v>
      </c>
      <c r="F2309" s="11" t="str">
        <f aca="false">TRIM('수출입 실적(품목별)'!C2313)</f>
        <v>완구ㆍ게임용구ㆍ운동용구와 이들의 부분품과 부속품</v>
      </c>
      <c r="G2309" s="18" t="n">
        <f aca="false">IFERROR(VALUE(SUBSTITUTE(TRIM('수출입 실적(품목별)'!D2313),",","")),"")</f>
        <v>2765.7</v>
      </c>
      <c r="H2309" s="19" t="n">
        <f aca="false">IFERROR(VALUE(SUBSTITUTE(TRIM('수출입 실적(품목별)'!E2313),",","")),"")</f>
        <v>63378</v>
      </c>
      <c r="I2309" s="18" t="n">
        <f aca="false">IFERROR(VALUE(SUBSTITUTE(TRIM('수출입 실적(품목별)'!F2313),",","")),"")</f>
        <v>17980.4</v>
      </c>
      <c r="J2309" s="19" t="n">
        <f aca="false">IFERROR(VALUE(SUBSTITUTE(TRIM('수출입 실적(품목별)'!G2313),",","")),"")</f>
        <v>267603</v>
      </c>
      <c r="K2309" s="19" t="n">
        <f aca="false">IFERROR(VALUE(SUBSTITUTE(TRIM('수출입 실적(품목별)'!H2313),",","")),"")</f>
        <v>-204225</v>
      </c>
    </row>
    <row r="2310" customFormat="false" ht="15" hidden="false" customHeight="true" outlineLevel="0" collapsed="false">
      <c r="A2310" s="11" t="str">
        <f aca="false">TRIM('수출입 실적(품목별)'!A2314)</f>
        <v>2025.12</v>
      </c>
      <c r="B2310" s="17" t="n">
        <f aca="false">IFERROR(VALUE(LEFT($A2310,4)),"")</f>
        <v>2025</v>
      </c>
      <c r="C2310" s="17" t="n">
        <f aca="false">IFERROR(VALUE(RIGHT($A2310,2)),"")</f>
        <v>12</v>
      </c>
      <c r="D2310" s="17" t="n">
        <f aca="false">IFERROR(ROUNDUP($C2310/3,0),"")</f>
        <v>4</v>
      </c>
      <c r="E2310" s="11" t="str">
        <f aca="false">TRIM('수출입 실적(품목별)'!B2314)</f>
        <v>96</v>
      </c>
      <c r="F2310" s="11" t="str">
        <f aca="false">TRIM('수출입 실적(품목별)'!C2314)</f>
        <v>잡품</v>
      </c>
      <c r="G2310" s="18" t="n">
        <f aca="false">IFERROR(VALUE(SUBSTITUTE(TRIM('수출입 실적(품목별)'!D2314),",","")),"")</f>
        <v>2280</v>
      </c>
      <c r="H2310" s="19" t="n">
        <f aca="false">IFERROR(VALUE(SUBSTITUTE(TRIM('수출입 실적(품목별)'!E2314),",","")),"")</f>
        <v>37218</v>
      </c>
      <c r="I2310" s="18" t="n">
        <f aca="false">IFERROR(VALUE(SUBSTITUTE(TRIM('수출입 실적(품목별)'!F2314),",","")),"")</f>
        <v>12607.3</v>
      </c>
      <c r="J2310" s="19" t="n">
        <f aca="false">IFERROR(VALUE(SUBSTITUTE(TRIM('수출입 실적(품목별)'!G2314),",","")),"")</f>
        <v>104780</v>
      </c>
      <c r="K2310" s="19" t="n">
        <f aca="false">IFERROR(VALUE(SUBSTITUTE(TRIM('수출입 실적(품목별)'!H2314),",","")),"")</f>
        <v>-67562</v>
      </c>
    </row>
    <row r="2311" customFormat="false" ht="15" hidden="false" customHeight="true" outlineLevel="0" collapsed="false">
      <c r="A2311" s="11" t="str">
        <f aca="false">TRIM('수출입 실적(품목별)'!A2315)</f>
        <v>2025.12</v>
      </c>
      <c r="B2311" s="17" t="n">
        <f aca="false">IFERROR(VALUE(LEFT($A2311,4)),"")</f>
        <v>2025</v>
      </c>
      <c r="C2311" s="17" t="n">
        <f aca="false">IFERROR(VALUE(RIGHT($A2311,2)),"")</f>
        <v>12</v>
      </c>
      <c r="D2311" s="17" t="n">
        <f aca="false">IFERROR(ROUNDUP($C2311/3,0),"")</f>
        <v>4</v>
      </c>
      <c r="E2311" s="11" t="str">
        <f aca="false">TRIM('수출입 실적(품목별)'!B2315)</f>
        <v>97</v>
      </c>
      <c r="F2311" s="11" t="str">
        <f aca="false">TRIM('수출입 실적(품목별)'!C2315)</f>
        <v>예술품ㆍ수집품ㆍ골동품</v>
      </c>
      <c r="G2311" s="18" t="n">
        <f aca="false">IFERROR(VALUE(SUBSTITUTE(TRIM('수출입 실적(품목별)'!D2315),",","")),"")</f>
        <v>19</v>
      </c>
      <c r="H2311" s="19" t="n">
        <f aca="false">IFERROR(VALUE(SUBSTITUTE(TRIM('수출입 실적(품목별)'!E2315),",","")),"")</f>
        <v>22587</v>
      </c>
      <c r="I2311" s="18" t="n">
        <f aca="false">IFERROR(VALUE(SUBSTITUTE(TRIM('수출입 실적(품목별)'!F2315),",","")),"")</f>
        <v>70.1</v>
      </c>
      <c r="J2311" s="19" t="n">
        <f aca="false">IFERROR(VALUE(SUBSTITUTE(TRIM('수출입 실적(품목별)'!G2315),",","")),"")</f>
        <v>15865</v>
      </c>
      <c r="K2311" s="19" t="n">
        <f aca="false">IFERROR(VALUE(SUBSTITUTE(TRIM('수출입 실적(품목별)'!H2315),",","")),"")</f>
        <v>6723</v>
      </c>
    </row>
    <row r="2312" customFormat="false" ht="15" hidden="false" customHeight="true" outlineLevel="0" collapsed="false">
      <c r="A2312" s="11" t="str">
        <f aca="false">TRIM('수출입 실적(품목별)'!A2316)</f>
        <v>2026.01</v>
      </c>
      <c r="B2312" s="17" t="n">
        <f aca="false">IFERROR(VALUE(LEFT($A2312,4)),"")</f>
        <v>2026</v>
      </c>
      <c r="C2312" s="17" t="n">
        <f aca="false">IFERROR(VALUE(RIGHT($A2312,2)),"")</f>
        <v>1</v>
      </c>
      <c r="D2312" s="17" t="n">
        <f aca="false">IFERROR(ROUNDUP($C2312/3,0),"")</f>
        <v>1</v>
      </c>
      <c r="E2312" s="11" t="str">
        <f aca="false">TRIM('수출입 실적(품목별)'!B2316)</f>
        <v>01</v>
      </c>
      <c r="F2312" s="11" t="str">
        <f aca="false">TRIM('수출입 실적(품목별)'!C2316)</f>
        <v>살아 있는 동물</v>
      </c>
      <c r="G2312" s="18" t="n">
        <f aca="false">IFERROR(VALUE(SUBSTITUTE(TRIM('수출입 실적(품목별)'!D2316),",","")),"")</f>
        <v>1.7</v>
      </c>
      <c r="H2312" s="19" t="n">
        <f aca="false">IFERROR(VALUE(SUBSTITUTE(TRIM('수출입 실적(품목별)'!E2316),",","")),"")</f>
        <v>405</v>
      </c>
      <c r="I2312" s="18" t="n">
        <f aca="false">IFERROR(VALUE(SUBSTITUTE(TRIM('수출입 실적(품목별)'!F2316),",","")),"")</f>
        <v>48.1</v>
      </c>
      <c r="J2312" s="19" t="n">
        <f aca="false">IFERROR(VALUE(SUBSTITUTE(TRIM('수출입 실적(품목별)'!G2316),",","")),"")</f>
        <v>9604</v>
      </c>
      <c r="K2312" s="19" t="n">
        <f aca="false">IFERROR(VALUE(SUBSTITUTE(TRIM('수출입 실적(품목별)'!H2316),",","")),"")</f>
        <v>-9200</v>
      </c>
    </row>
    <row r="2313" customFormat="false" ht="15" hidden="false" customHeight="true" outlineLevel="0" collapsed="false">
      <c r="A2313" s="11" t="str">
        <f aca="false">TRIM('수출입 실적(품목별)'!A2317)</f>
        <v>2026.01</v>
      </c>
      <c r="B2313" s="17" t="n">
        <f aca="false">IFERROR(VALUE(LEFT($A2313,4)),"")</f>
        <v>2026</v>
      </c>
      <c r="C2313" s="17" t="n">
        <f aca="false">IFERROR(VALUE(RIGHT($A2313,2)),"")</f>
        <v>1</v>
      </c>
      <c r="D2313" s="17" t="n">
        <f aca="false">IFERROR(ROUNDUP($C2313/3,0),"")</f>
        <v>1</v>
      </c>
      <c r="E2313" s="11" t="str">
        <f aca="false">TRIM('수출입 실적(품목별)'!B2317)</f>
        <v>02</v>
      </c>
      <c r="F2313" s="11" t="str">
        <f aca="false">TRIM('수출입 실적(품목별)'!C2317)</f>
        <v>육과 식용 설육(屑肉)</v>
      </c>
      <c r="G2313" s="18" t="n">
        <f aca="false">IFERROR(VALUE(SUBSTITUTE(TRIM('수출입 실적(품목별)'!D2317),",","")),"")</f>
        <v>6190.7</v>
      </c>
      <c r="H2313" s="19" t="n">
        <f aca="false">IFERROR(VALUE(SUBSTITUTE(TRIM('수출입 실적(품목별)'!E2317),",","")),"")</f>
        <v>8807</v>
      </c>
      <c r="I2313" s="18" t="n">
        <f aca="false">IFERROR(VALUE(SUBSTITUTE(TRIM('수출입 실적(품목별)'!F2317),",","")),"")</f>
        <v>178935.2</v>
      </c>
      <c r="J2313" s="19" t="n">
        <f aca="false">IFERROR(VALUE(SUBSTITUTE(TRIM('수출입 실적(품목별)'!G2317),",","")),"")</f>
        <v>1058452</v>
      </c>
      <c r="K2313" s="19" t="n">
        <f aca="false">IFERROR(VALUE(SUBSTITUTE(TRIM('수출입 실적(품목별)'!H2317),",","")),"")</f>
        <v>-1049646</v>
      </c>
    </row>
    <row r="2314" customFormat="false" ht="15" hidden="false" customHeight="true" outlineLevel="0" collapsed="false">
      <c r="A2314" s="11" t="str">
        <f aca="false">TRIM('수출입 실적(품목별)'!A2318)</f>
        <v>2026.01</v>
      </c>
      <c r="B2314" s="17" t="n">
        <f aca="false">IFERROR(VALUE(LEFT($A2314,4)),"")</f>
        <v>2026</v>
      </c>
      <c r="C2314" s="17" t="n">
        <f aca="false">IFERROR(VALUE(RIGHT($A2314,2)),"")</f>
        <v>1</v>
      </c>
      <c r="D2314" s="17" t="n">
        <f aca="false">IFERROR(ROUNDUP($C2314/3,0),"")</f>
        <v>1</v>
      </c>
      <c r="E2314" s="11" t="str">
        <f aca="false">TRIM('수출입 실적(품목별)'!B2318)</f>
        <v>03</v>
      </c>
      <c r="F2314" s="11" t="str">
        <f aca="false">TRIM('수출입 실적(품목별)'!C2318)</f>
        <v>어류ㆍ갑각류ㆍ연체동물과 그 밖의 수생(水生) 무척추동물</v>
      </c>
      <c r="G2314" s="18" t="n">
        <f aca="false">IFERROR(VALUE(SUBSTITUTE(TRIM('수출입 실적(품목별)'!D2318),",","")),"")</f>
        <v>46832.6</v>
      </c>
      <c r="H2314" s="19" t="n">
        <f aca="false">IFERROR(VALUE(SUBSTITUTE(TRIM('수출입 실적(품목별)'!E2318),",","")),"")</f>
        <v>154459</v>
      </c>
      <c r="I2314" s="18" t="n">
        <f aca="false">IFERROR(VALUE(SUBSTITUTE(TRIM('수출입 실적(품목별)'!F2318),",","")),"")</f>
        <v>108184.9</v>
      </c>
      <c r="J2314" s="19" t="n">
        <f aca="false">IFERROR(VALUE(SUBSTITUTE(TRIM('수출입 실적(품목별)'!G2318),",","")),"")</f>
        <v>446128</v>
      </c>
      <c r="K2314" s="19" t="n">
        <f aca="false">IFERROR(VALUE(SUBSTITUTE(TRIM('수출입 실적(품목별)'!H2318),",","")),"")</f>
        <v>-291669</v>
      </c>
    </row>
    <row r="2315" customFormat="false" ht="15" hidden="false" customHeight="true" outlineLevel="0" collapsed="false">
      <c r="A2315" s="11" t="str">
        <f aca="false">TRIM('수출입 실적(품목별)'!A2319)</f>
        <v>2026.01</v>
      </c>
      <c r="B2315" s="17" t="n">
        <f aca="false">IFERROR(VALUE(LEFT($A2315,4)),"")</f>
        <v>2026</v>
      </c>
      <c r="C2315" s="17" t="n">
        <f aca="false">IFERROR(VALUE(RIGHT($A2315,2)),"")</f>
        <v>1</v>
      </c>
      <c r="D2315" s="17" t="n">
        <f aca="false">IFERROR(ROUNDUP($C2315/3,0),"")</f>
        <v>1</v>
      </c>
      <c r="E2315" s="11" t="str">
        <f aca="false">TRIM('수출입 실적(품목별)'!B2319)</f>
        <v>04</v>
      </c>
      <c r="F2315" s="11" t="str">
        <f aca="false">TRIM('수출입 실적(품목별)'!C2319)</f>
        <v>낙농품, 새의 알, 천연꿀, 다른 류로 분류되지 않은 식용인 동물성 생산품</v>
      </c>
      <c r="G2315" s="18" t="n">
        <f aca="false">IFERROR(VALUE(SUBSTITUTE(TRIM('수출입 실적(품목별)'!D2319),",","")),"")</f>
        <v>2950.4</v>
      </c>
      <c r="H2315" s="19" t="n">
        <f aca="false">IFERROR(VALUE(SUBSTITUTE(TRIM('수출입 실적(품목별)'!E2319),",","")),"")</f>
        <v>7077</v>
      </c>
      <c r="I2315" s="18" t="n">
        <f aca="false">IFERROR(VALUE(SUBSTITUTE(TRIM('수출입 실적(품목별)'!F2319),",","")),"")</f>
        <v>37014.6</v>
      </c>
      <c r="J2315" s="19" t="n">
        <f aca="false">IFERROR(VALUE(SUBSTITUTE(TRIM('수출입 실적(품목별)'!G2319),",","")),"")</f>
        <v>172090</v>
      </c>
      <c r="K2315" s="19" t="n">
        <f aca="false">IFERROR(VALUE(SUBSTITUTE(TRIM('수출입 실적(품목별)'!H2319),",","")),"")</f>
        <v>-165013</v>
      </c>
    </row>
    <row r="2316" customFormat="false" ht="15" hidden="false" customHeight="true" outlineLevel="0" collapsed="false">
      <c r="A2316" s="11" t="str">
        <f aca="false">TRIM('수출입 실적(품목별)'!A2320)</f>
        <v>2026.01</v>
      </c>
      <c r="B2316" s="17" t="n">
        <f aca="false">IFERROR(VALUE(LEFT($A2316,4)),"")</f>
        <v>2026</v>
      </c>
      <c r="C2316" s="17" t="n">
        <f aca="false">IFERROR(VALUE(RIGHT($A2316,2)),"")</f>
        <v>1</v>
      </c>
      <c r="D2316" s="17" t="n">
        <f aca="false">IFERROR(ROUNDUP($C2316/3,0),"")</f>
        <v>1</v>
      </c>
      <c r="E2316" s="11" t="str">
        <f aca="false">TRIM('수출입 실적(품목별)'!B2320)</f>
        <v>05</v>
      </c>
      <c r="F2316" s="11" t="str">
        <f aca="false">TRIM('수출입 실적(품목별)'!C2320)</f>
        <v>다른 류로 분류되지 않은 동물성 생산품</v>
      </c>
      <c r="G2316" s="18" t="n">
        <f aca="false">IFERROR(VALUE(SUBSTITUTE(TRIM('수출입 실적(품목별)'!D2320),",","")),"")</f>
        <v>1658.3</v>
      </c>
      <c r="H2316" s="19" t="n">
        <f aca="false">IFERROR(VALUE(SUBSTITUTE(TRIM('수출입 실적(품목별)'!E2320),",","")),"")</f>
        <v>4241</v>
      </c>
      <c r="I2316" s="18" t="n">
        <f aca="false">IFERROR(VALUE(SUBSTITUTE(TRIM('수출입 실적(품목별)'!F2320),",","")),"")</f>
        <v>5869.1</v>
      </c>
      <c r="J2316" s="19" t="n">
        <f aca="false">IFERROR(VALUE(SUBSTITUTE(TRIM('수출입 실적(품목별)'!G2320),",","")),"")</f>
        <v>24969</v>
      </c>
      <c r="K2316" s="19" t="n">
        <f aca="false">IFERROR(VALUE(SUBSTITUTE(TRIM('수출입 실적(품목별)'!H2320),",","")),"")</f>
        <v>-20728</v>
      </c>
    </row>
    <row r="2317" customFormat="false" ht="15" hidden="false" customHeight="true" outlineLevel="0" collapsed="false">
      <c r="A2317" s="11" t="str">
        <f aca="false">TRIM('수출입 실적(품목별)'!A2321)</f>
        <v>2026.01</v>
      </c>
      <c r="B2317" s="17" t="n">
        <f aca="false">IFERROR(VALUE(LEFT($A2317,4)),"")</f>
        <v>2026</v>
      </c>
      <c r="C2317" s="17" t="n">
        <f aca="false">IFERROR(VALUE(RIGHT($A2317,2)),"")</f>
        <v>1</v>
      </c>
      <c r="D2317" s="17" t="n">
        <f aca="false">IFERROR(ROUNDUP($C2317/3,0),"")</f>
        <v>1</v>
      </c>
      <c r="E2317" s="11" t="str">
        <f aca="false">TRIM('수출입 실적(품목별)'!B2321)</f>
        <v>06</v>
      </c>
      <c r="F2317" s="11" t="str">
        <f aca="false">TRIM('수출입 실적(품목별)'!C2321)</f>
        <v>살아 있는 수목과 그 밖의 식물, 인경(鱗莖)ㆍ뿌리와 이와 유사한 물품, 절화(切花)와 장식용 잎</v>
      </c>
      <c r="G2317" s="18" t="n">
        <f aca="false">IFERROR(VALUE(SUBSTITUTE(TRIM('수출입 실적(품목별)'!D2321),",","")),"")</f>
        <v>186</v>
      </c>
      <c r="H2317" s="19" t="n">
        <f aca="false">IFERROR(VALUE(SUBSTITUTE(TRIM('수출입 실적(품목별)'!E2321),",","")),"")</f>
        <v>350</v>
      </c>
      <c r="I2317" s="18" t="n">
        <f aca="false">IFERROR(VALUE(SUBSTITUTE(TRIM('수출입 실적(품목별)'!F2321),",","")),"")</f>
        <v>9842.4</v>
      </c>
      <c r="J2317" s="19" t="n">
        <f aca="false">IFERROR(VALUE(SUBSTITUTE(TRIM('수출입 실적(품목별)'!G2321),",","")),"")</f>
        <v>15735</v>
      </c>
      <c r="K2317" s="19" t="n">
        <f aca="false">IFERROR(VALUE(SUBSTITUTE(TRIM('수출입 실적(품목별)'!H2321),",","")),"")</f>
        <v>-15385</v>
      </c>
    </row>
    <row r="2318" customFormat="false" ht="15" hidden="false" customHeight="true" outlineLevel="0" collapsed="false">
      <c r="A2318" s="11" t="str">
        <f aca="false">TRIM('수출입 실적(품목별)'!A2322)</f>
        <v>2026.01</v>
      </c>
      <c r="B2318" s="17" t="n">
        <f aca="false">IFERROR(VALUE(LEFT($A2318,4)),"")</f>
        <v>2026</v>
      </c>
      <c r="C2318" s="17" t="n">
        <f aca="false">IFERROR(VALUE(RIGHT($A2318,2)),"")</f>
        <v>1</v>
      </c>
      <c r="D2318" s="17" t="n">
        <f aca="false">IFERROR(ROUNDUP($C2318/3,0),"")</f>
        <v>1</v>
      </c>
      <c r="E2318" s="11" t="str">
        <f aca="false">TRIM('수출입 실적(품목별)'!B2322)</f>
        <v>07</v>
      </c>
      <c r="F2318" s="11" t="str">
        <f aca="false">TRIM('수출입 실적(품목별)'!C2322)</f>
        <v>식용의 채소ㆍ뿌리ㆍ괴경(塊莖)</v>
      </c>
      <c r="G2318" s="18" t="n">
        <f aca="false">IFERROR(VALUE(SUBSTITUTE(TRIM('수출입 실적(품목별)'!D2322),",","")),"")</f>
        <v>3691.4</v>
      </c>
      <c r="H2318" s="19" t="n">
        <f aca="false">IFERROR(VALUE(SUBSTITUTE(TRIM('수출입 실적(품목별)'!E2322),",","")),"")</f>
        <v>8479</v>
      </c>
      <c r="I2318" s="18" t="n">
        <f aca="false">IFERROR(VALUE(SUBSTITUTE(TRIM('수출입 실적(품목별)'!F2322),",","")),"")</f>
        <v>76071.4</v>
      </c>
      <c r="J2318" s="19" t="n">
        <f aca="false">IFERROR(VALUE(SUBSTITUTE(TRIM('수출입 실적(품목별)'!G2322),",","")),"")</f>
        <v>61735</v>
      </c>
      <c r="K2318" s="19" t="n">
        <f aca="false">IFERROR(VALUE(SUBSTITUTE(TRIM('수출입 실적(품목별)'!H2322),",","")),"")</f>
        <v>-53257</v>
      </c>
    </row>
    <row r="2319" customFormat="false" ht="15" hidden="false" customHeight="true" outlineLevel="0" collapsed="false">
      <c r="A2319" s="11" t="str">
        <f aca="false">TRIM('수출입 실적(품목별)'!A2323)</f>
        <v>2026.01</v>
      </c>
      <c r="B2319" s="17" t="n">
        <f aca="false">IFERROR(VALUE(LEFT($A2319,4)),"")</f>
        <v>2026</v>
      </c>
      <c r="C2319" s="17" t="n">
        <f aca="false">IFERROR(VALUE(RIGHT($A2319,2)),"")</f>
        <v>1</v>
      </c>
      <c r="D2319" s="17" t="n">
        <f aca="false">IFERROR(ROUNDUP($C2319/3,0),"")</f>
        <v>1</v>
      </c>
      <c r="E2319" s="11" t="str">
        <f aca="false">TRIM('수출입 실적(품목별)'!B2323)</f>
        <v>08</v>
      </c>
      <c r="F2319" s="11" t="str">
        <f aca="false">TRIM('수출입 실적(품목별)'!C2323)</f>
        <v>식용의 과실과 견과류, 감귤류ㆍ멜론의 껍질</v>
      </c>
      <c r="G2319" s="18" t="n">
        <f aca="false">IFERROR(VALUE(SUBSTITUTE(TRIM('수출입 실적(품목별)'!D2323),",","")),"")</f>
        <v>5131.2</v>
      </c>
      <c r="H2319" s="19" t="n">
        <f aca="false">IFERROR(VALUE(SUBSTITUTE(TRIM('수출입 실적(품목별)'!E2323),",","")),"")</f>
        <v>35911</v>
      </c>
      <c r="I2319" s="18" t="n">
        <f aca="false">IFERROR(VALUE(SUBSTITUTE(TRIM('수출입 실적(품목별)'!F2323),",","")),"")</f>
        <v>57879.6</v>
      </c>
      <c r="J2319" s="19" t="n">
        <f aca="false">IFERROR(VALUE(SUBSTITUTE(TRIM('수출입 실적(품목별)'!G2323),",","")),"")</f>
        <v>163341</v>
      </c>
      <c r="K2319" s="19" t="n">
        <f aca="false">IFERROR(VALUE(SUBSTITUTE(TRIM('수출입 실적(품목별)'!H2323),",","")),"")</f>
        <v>-127430</v>
      </c>
    </row>
    <row r="2320" customFormat="false" ht="15" hidden="false" customHeight="true" outlineLevel="0" collapsed="false">
      <c r="A2320" s="11" t="str">
        <f aca="false">TRIM('수출입 실적(품목별)'!A2324)</f>
        <v>2026.01</v>
      </c>
      <c r="B2320" s="17" t="n">
        <f aca="false">IFERROR(VALUE(LEFT($A2320,4)),"")</f>
        <v>2026</v>
      </c>
      <c r="C2320" s="17" t="n">
        <f aca="false">IFERROR(VALUE(RIGHT($A2320,2)),"")</f>
        <v>1</v>
      </c>
      <c r="D2320" s="17" t="n">
        <f aca="false">IFERROR(ROUNDUP($C2320/3,0),"")</f>
        <v>1</v>
      </c>
      <c r="E2320" s="11" t="str">
        <f aca="false">TRIM('수출입 실적(품목별)'!B2324)</f>
        <v>09</v>
      </c>
      <c r="F2320" s="11" t="str">
        <f aca="false">TRIM('수출입 실적(품목별)'!C2324)</f>
        <v>커피ㆍ차ㆍ마테(maté)ㆍ향신료</v>
      </c>
      <c r="G2320" s="18" t="n">
        <f aca="false">IFERROR(VALUE(SUBSTITUTE(TRIM('수출입 실적(품목별)'!D2324),",","")),"")</f>
        <v>454.2</v>
      </c>
      <c r="H2320" s="19" t="n">
        <f aca="false">IFERROR(VALUE(SUBSTITUTE(TRIM('수출입 실적(품목별)'!E2324),",","")),"")</f>
        <v>4119</v>
      </c>
      <c r="I2320" s="18" t="n">
        <f aca="false">IFERROR(VALUE(SUBSTITUTE(TRIM('수출입 실적(품목별)'!F2324),",","")),"")</f>
        <v>15098.7</v>
      </c>
      <c r="J2320" s="19" t="n">
        <f aca="false">IFERROR(VALUE(SUBSTITUTE(TRIM('수출입 실적(품목별)'!G2324),",","")),"")</f>
        <v>132254</v>
      </c>
      <c r="K2320" s="19" t="n">
        <f aca="false">IFERROR(VALUE(SUBSTITUTE(TRIM('수출입 실적(품목별)'!H2324),",","")),"")</f>
        <v>-128135</v>
      </c>
    </row>
    <row r="2321" customFormat="false" ht="15" hidden="false" customHeight="true" outlineLevel="0" collapsed="false">
      <c r="A2321" s="11" t="str">
        <f aca="false">TRIM('수출입 실적(품목별)'!A2325)</f>
        <v>2026.01</v>
      </c>
      <c r="B2321" s="17" t="n">
        <f aca="false">IFERROR(VALUE(LEFT($A2321,4)),"")</f>
        <v>2026</v>
      </c>
      <c r="C2321" s="17" t="n">
        <f aca="false">IFERROR(VALUE(RIGHT($A2321,2)),"")</f>
        <v>1</v>
      </c>
      <c r="D2321" s="17" t="n">
        <f aca="false">IFERROR(ROUNDUP($C2321/3,0),"")</f>
        <v>1</v>
      </c>
      <c r="E2321" s="11" t="str">
        <f aca="false">TRIM('수출입 실적(품목별)'!B2325)</f>
        <v>10</v>
      </c>
      <c r="F2321" s="11" t="str">
        <f aca="false">TRIM('수출입 실적(품목별)'!C2325)</f>
        <v>곡물</v>
      </c>
      <c r="G2321" s="18" t="n">
        <f aca="false">IFERROR(VALUE(SUBSTITUTE(TRIM('수출입 실적(품목별)'!D2325),",","")),"")</f>
        <v>771.3</v>
      </c>
      <c r="H2321" s="19" t="n">
        <f aca="false">IFERROR(VALUE(SUBSTITUTE(TRIM('수출입 실적(품목별)'!E2325),",","")),"")</f>
        <v>1131</v>
      </c>
      <c r="I2321" s="18" t="n">
        <f aca="false">IFERROR(VALUE(SUBSTITUTE(TRIM('수출입 실적(품목별)'!F2325),",","")),"")</f>
        <v>1226543.1</v>
      </c>
      <c r="J2321" s="19" t="n">
        <f aca="false">IFERROR(VALUE(SUBSTITUTE(TRIM('수출입 실적(품목별)'!G2325),",","")),"")</f>
        <v>371701</v>
      </c>
      <c r="K2321" s="19" t="n">
        <f aca="false">IFERROR(VALUE(SUBSTITUTE(TRIM('수출입 실적(품목별)'!H2325),",","")),"")</f>
        <v>-370569</v>
      </c>
    </row>
    <row r="2322" customFormat="false" ht="15" hidden="false" customHeight="true" outlineLevel="0" collapsed="false">
      <c r="A2322" s="11" t="str">
        <f aca="false">TRIM('수출입 실적(품목별)'!A2326)</f>
        <v>2026.01</v>
      </c>
      <c r="B2322" s="17" t="n">
        <f aca="false">IFERROR(VALUE(LEFT($A2322,4)),"")</f>
        <v>2026</v>
      </c>
      <c r="C2322" s="17" t="n">
        <f aca="false">IFERROR(VALUE(RIGHT($A2322,2)),"")</f>
        <v>1</v>
      </c>
      <c r="D2322" s="17" t="n">
        <f aca="false">IFERROR(ROUNDUP($C2322/3,0),"")</f>
        <v>1</v>
      </c>
      <c r="E2322" s="11" t="str">
        <f aca="false">TRIM('수출입 실적(품목별)'!B2326)</f>
        <v>11</v>
      </c>
      <c r="F2322" s="11" t="str">
        <f aca="false">TRIM('수출입 실적(품목별)'!C2326)</f>
        <v>제분공업의 생산품과 맥아, 전분, 이눌린(inulin), 밀의 글루텐(gluten)</v>
      </c>
      <c r="G2322" s="18" t="n">
        <f aca="false">IFERROR(VALUE(SUBSTITUTE(TRIM('수출입 실적(품목별)'!D2326),",","")),"")</f>
        <v>5266.2</v>
      </c>
      <c r="H2322" s="19" t="n">
        <f aca="false">IFERROR(VALUE(SUBSTITUTE(TRIM('수출입 실적(품목별)'!E2326),",","")),"")</f>
        <v>3379</v>
      </c>
      <c r="I2322" s="18" t="n">
        <f aca="false">IFERROR(VALUE(SUBSTITUTE(TRIM('수출입 실적(품목별)'!F2326),",","")),"")</f>
        <v>24349.5</v>
      </c>
      <c r="J2322" s="19" t="n">
        <f aca="false">IFERROR(VALUE(SUBSTITUTE(TRIM('수출입 실적(품목별)'!G2326),",","")),"")</f>
        <v>22982</v>
      </c>
      <c r="K2322" s="19" t="n">
        <f aca="false">IFERROR(VALUE(SUBSTITUTE(TRIM('수출입 실적(품목별)'!H2326),",","")),"")</f>
        <v>-19603</v>
      </c>
    </row>
    <row r="2323" customFormat="false" ht="15" hidden="false" customHeight="true" outlineLevel="0" collapsed="false">
      <c r="A2323" s="11" t="str">
        <f aca="false">TRIM('수출입 실적(품목별)'!A2327)</f>
        <v>2026.01</v>
      </c>
      <c r="B2323" s="17" t="n">
        <f aca="false">IFERROR(VALUE(LEFT($A2323,4)),"")</f>
        <v>2026</v>
      </c>
      <c r="C2323" s="17" t="n">
        <f aca="false">IFERROR(VALUE(RIGHT($A2323,2)),"")</f>
        <v>1</v>
      </c>
      <c r="D2323" s="17" t="n">
        <f aca="false">IFERROR(ROUNDUP($C2323/3,0),"")</f>
        <v>1</v>
      </c>
      <c r="E2323" s="11" t="str">
        <f aca="false">TRIM('수출입 실적(품목별)'!B2327)</f>
        <v>12</v>
      </c>
      <c r="F2323" s="11" t="str">
        <f aca="false">TRIM('수출입 실적(품목별)'!C2327)</f>
        <v>채유(採油)에 적합한 종자와 과실, 각종 종자와 과실, 공업용ㆍ의약용 식물, 짚과 사료용 식물</v>
      </c>
      <c r="G2323" s="18" t="n">
        <f aca="false">IFERROR(VALUE(SUBSTITUTE(TRIM('수출입 실적(품목별)'!D2327),",","")),"")</f>
        <v>2444.3</v>
      </c>
      <c r="H2323" s="19" t="n">
        <f aca="false">IFERROR(VALUE(SUBSTITUTE(TRIM('수출입 실적(품목별)'!E2327),",","")),"")</f>
        <v>57382</v>
      </c>
      <c r="I2323" s="18" t="n">
        <f aca="false">IFERROR(VALUE(SUBSTITUTE(TRIM('수출입 실적(품목별)'!F2327),",","")),"")</f>
        <v>319366.6</v>
      </c>
      <c r="J2323" s="19" t="n">
        <f aca="false">IFERROR(VALUE(SUBSTITUTE(TRIM('수출입 실적(품목별)'!G2327),",","")),"")</f>
        <v>156511</v>
      </c>
      <c r="K2323" s="19" t="n">
        <f aca="false">IFERROR(VALUE(SUBSTITUTE(TRIM('수출입 실적(품목별)'!H2327),",","")),"")</f>
        <v>-99128</v>
      </c>
    </row>
    <row r="2324" customFormat="false" ht="15" hidden="false" customHeight="true" outlineLevel="0" collapsed="false">
      <c r="A2324" s="11" t="str">
        <f aca="false">TRIM('수출입 실적(품목별)'!A2328)</f>
        <v>2026.01</v>
      </c>
      <c r="B2324" s="17" t="n">
        <f aca="false">IFERROR(VALUE(LEFT($A2324,4)),"")</f>
        <v>2026</v>
      </c>
      <c r="C2324" s="17" t="n">
        <f aca="false">IFERROR(VALUE(RIGHT($A2324,2)),"")</f>
        <v>1</v>
      </c>
      <c r="D2324" s="17" t="n">
        <f aca="false">IFERROR(ROUNDUP($C2324/3,0),"")</f>
        <v>1</v>
      </c>
      <c r="E2324" s="11" t="str">
        <f aca="false">TRIM('수출입 실적(품목별)'!B2328)</f>
        <v>13</v>
      </c>
      <c r="F2324" s="11" t="str">
        <f aca="false">TRIM('수출입 실적(품목별)'!C2328)</f>
        <v>락(lac), 검ㆍ수지ㆍ그 밖의 식물성 수액과 추출물(extract)</v>
      </c>
      <c r="G2324" s="18" t="n">
        <f aca="false">IFERROR(VALUE(SUBSTITUTE(TRIM('수출입 실적(품목별)'!D2328),",","")),"")</f>
        <v>388.6</v>
      </c>
      <c r="H2324" s="19" t="n">
        <f aca="false">IFERROR(VALUE(SUBSTITUTE(TRIM('수출입 실적(품목별)'!E2328),",","")),"")</f>
        <v>7416</v>
      </c>
      <c r="I2324" s="18" t="n">
        <f aca="false">IFERROR(VALUE(SUBSTITUTE(TRIM('수출입 실적(품목별)'!F2328),",","")),"")</f>
        <v>5785.5</v>
      </c>
      <c r="J2324" s="19" t="n">
        <f aca="false">IFERROR(VALUE(SUBSTITUTE(TRIM('수출입 실적(품목별)'!G2328),",","")),"")</f>
        <v>32939</v>
      </c>
      <c r="K2324" s="19" t="n">
        <f aca="false">IFERROR(VALUE(SUBSTITUTE(TRIM('수출입 실적(품목별)'!H2328),",","")),"")</f>
        <v>-25522</v>
      </c>
    </row>
    <row r="2325" customFormat="false" ht="15" hidden="false" customHeight="true" outlineLevel="0" collapsed="false">
      <c r="A2325" s="11" t="str">
        <f aca="false">TRIM('수출입 실적(품목별)'!A2329)</f>
        <v>2026.01</v>
      </c>
      <c r="B2325" s="17" t="n">
        <f aca="false">IFERROR(VALUE(LEFT($A2325,4)),"")</f>
        <v>2026</v>
      </c>
      <c r="C2325" s="17" t="n">
        <f aca="false">IFERROR(VALUE(RIGHT($A2325,2)),"")</f>
        <v>1</v>
      </c>
      <c r="D2325" s="17" t="n">
        <f aca="false">IFERROR(ROUNDUP($C2325/3,0),"")</f>
        <v>1</v>
      </c>
      <c r="E2325" s="11" t="str">
        <f aca="false">TRIM('수출입 실적(품목별)'!B2329)</f>
        <v>14</v>
      </c>
      <c r="F2325" s="11" t="str">
        <f aca="false">TRIM('수출입 실적(품목별)'!C2329)</f>
        <v>식물성 편조물(編組物)용 재료와 다른 류로 분류되지 않은 식물성 생산품</v>
      </c>
      <c r="G2325" s="18" t="n">
        <f aca="false">IFERROR(VALUE(SUBSTITUTE(TRIM('수출입 실적(품목별)'!D2329),",","")),"")</f>
        <v>9</v>
      </c>
      <c r="H2325" s="19" t="n">
        <f aca="false">IFERROR(VALUE(SUBSTITUTE(TRIM('수출입 실적(품목별)'!E2329),",","")),"")</f>
        <v>53</v>
      </c>
      <c r="I2325" s="18" t="n">
        <f aca="false">IFERROR(VALUE(SUBSTITUTE(TRIM('수출입 실적(품목별)'!F2329),",","")),"")</f>
        <v>44168.5</v>
      </c>
      <c r="J2325" s="19" t="n">
        <f aca="false">IFERROR(VALUE(SUBSTITUTE(TRIM('수출입 실적(품목별)'!G2329),",","")),"")</f>
        <v>8996</v>
      </c>
      <c r="K2325" s="19" t="n">
        <f aca="false">IFERROR(VALUE(SUBSTITUTE(TRIM('수출입 실적(품목별)'!H2329),",","")),"")</f>
        <v>-8942</v>
      </c>
    </row>
    <row r="2326" customFormat="false" ht="15" hidden="false" customHeight="true" outlineLevel="0" collapsed="false">
      <c r="A2326" s="11" t="str">
        <f aca="false">TRIM('수출입 실적(품목별)'!A2330)</f>
        <v>2026.01</v>
      </c>
      <c r="B2326" s="17" t="n">
        <f aca="false">IFERROR(VALUE(LEFT($A2326,4)),"")</f>
        <v>2026</v>
      </c>
      <c r="C2326" s="17" t="n">
        <f aca="false">IFERROR(VALUE(RIGHT($A2326,2)),"")</f>
        <v>1</v>
      </c>
      <c r="D2326" s="17" t="n">
        <f aca="false">IFERROR(ROUNDUP($C2326/3,0),"")</f>
        <v>1</v>
      </c>
      <c r="E2326" s="11" t="str">
        <f aca="false">TRIM('수출입 실적(품목별)'!B2330)</f>
        <v>15</v>
      </c>
      <c r="F2326" s="11" t="str">
        <f aca="false">TRIM('수출입 실적(품목별)'!C2330)</f>
        <v>동물성ㆍ식물성ㆍ미생물성 지방과 기름 및이들의 분해생산물, 조제한 식용 지방과 동물성ㆍ식물성 왁스</v>
      </c>
      <c r="G2326" s="18" t="n">
        <f aca="false">IFERROR(VALUE(SUBSTITUTE(TRIM('수출입 실적(품목별)'!D2330),",","")),"")</f>
        <v>5824.3</v>
      </c>
      <c r="H2326" s="19" t="n">
        <f aca="false">IFERROR(VALUE(SUBSTITUTE(TRIM('수출입 실적(품목별)'!E2330),",","")),"")</f>
        <v>8924</v>
      </c>
      <c r="I2326" s="18" t="n">
        <f aca="false">IFERROR(VALUE(SUBSTITUTE(TRIM('수출입 실적(품목별)'!F2330),",","")),"")</f>
        <v>150875.3</v>
      </c>
      <c r="J2326" s="19" t="n">
        <f aca="false">IFERROR(VALUE(SUBSTITUTE(TRIM('수출입 실적(품목별)'!G2330),",","")),"")</f>
        <v>233313</v>
      </c>
      <c r="K2326" s="19" t="n">
        <f aca="false">IFERROR(VALUE(SUBSTITUTE(TRIM('수출입 실적(품목별)'!H2330),",","")),"")</f>
        <v>-224389</v>
      </c>
    </row>
    <row r="2327" customFormat="false" ht="15" hidden="false" customHeight="true" outlineLevel="0" collapsed="false">
      <c r="A2327" s="11" t="str">
        <f aca="false">TRIM('수출입 실적(품목별)'!A2331)</f>
        <v>2026.01</v>
      </c>
      <c r="B2327" s="17" t="n">
        <f aca="false">IFERROR(VALUE(LEFT($A2327,4)),"")</f>
        <v>2026</v>
      </c>
      <c r="C2327" s="17" t="n">
        <f aca="false">IFERROR(VALUE(RIGHT($A2327,2)),"")</f>
        <v>1</v>
      </c>
      <c r="D2327" s="17" t="n">
        <f aca="false">IFERROR(ROUNDUP($C2327/3,0),"")</f>
        <v>1</v>
      </c>
      <c r="E2327" s="11" t="str">
        <f aca="false">TRIM('수출입 실적(품목별)'!B2331)</f>
        <v>16</v>
      </c>
      <c r="F2327" s="11" t="str">
        <f aca="false">TRIM('수출입 실적(품목별)'!C2331)</f>
        <v>육류ㆍ어류ㆍ갑각류ㆍ연체동물이나 그 밖의 수생(水生) 무척추동물 또는 곤충의 조제품</v>
      </c>
      <c r="G2327" s="18" t="n">
        <f aca="false">IFERROR(VALUE(SUBSTITUTE(TRIM('수출입 실적(품목별)'!D2331),",","")),"")</f>
        <v>4155.1</v>
      </c>
      <c r="H2327" s="19" t="n">
        <f aca="false">IFERROR(VALUE(SUBSTITUTE(TRIM('수출입 실적(품목별)'!E2331),",","")),"")</f>
        <v>25326</v>
      </c>
      <c r="I2327" s="18" t="n">
        <f aca="false">IFERROR(VALUE(SUBSTITUTE(TRIM('수출입 실적(품목별)'!F2331),",","")),"")</f>
        <v>16906</v>
      </c>
      <c r="J2327" s="19" t="n">
        <f aca="false">IFERROR(VALUE(SUBSTITUTE(TRIM('수출입 실적(품목별)'!G2331),",","")),"")</f>
        <v>91791</v>
      </c>
      <c r="K2327" s="19" t="n">
        <f aca="false">IFERROR(VALUE(SUBSTITUTE(TRIM('수출입 실적(품목별)'!H2331),",","")),"")</f>
        <v>-66464</v>
      </c>
    </row>
    <row r="2328" customFormat="false" ht="15" hidden="false" customHeight="true" outlineLevel="0" collapsed="false">
      <c r="A2328" s="11" t="str">
        <f aca="false">TRIM('수출입 실적(품목별)'!A2332)</f>
        <v>2026.01</v>
      </c>
      <c r="B2328" s="17" t="n">
        <f aca="false">IFERROR(VALUE(LEFT($A2328,4)),"")</f>
        <v>2026</v>
      </c>
      <c r="C2328" s="17" t="n">
        <f aca="false">IFERROR(VALUE(RIGHT($A2328,2)),"")</f>
        <v>1</v>
      </c>
      <c r="D2328" s="17" t="n">
        <f aca="false">IFERROR(ROUNDUP($C2328/3,0),"")</f>
        <v>1</v>
      </c>
      <c r="E2328" s="11" t="str">
        <f aca="false">TRIM('수출입 실적(품목별)'!B2332)</f>
        <v>17</v>
      </c>
      <c r="F2328" s="11" t="str">
        <f aca="false">TRIM('수출입 실적(품목별)'!C2332)</f>
        <v>당류(糖類)와 설탕과자</v>
      </c>
      <c r="G2328" s="18" t="n">
        <f aca="false">IFERROR(VALUE(SUBSTITUTE(TRIM('수출입 실적(품목별)'!D2332),",","")),"")</f>
        <v>18348.5</v>
      </c>
      <c r="H2328" s="19" t="n">
        <f aca="false">IFERROR(VALUE(SUBSTITUTE(TRIM('수출입 실적(품목별)'!E2332),",","")),"")</f>
        <v>20862</v>
      </c>
      <c r="I2328" s="18" t="n">
        <f aca="false">IFERROR(VALUE(SUBSTITUTE(TRIM('수출입 실적(품목별)'!F2332),",","")),"")</f>
        <v>216806.2</v>
      </c>
      <c r="J2328" s="19" t="n">
        <f aca="false">IFERROR(VALUE(SUBSTITUTE(TRIM('수출입 실적(품목별)'!G2332),",","")),"")</f>
        <v>114892</v>
      </c>
      <c r="K2328" s="19" t="n">
        <f aca="false">IFERROR(VALUE(SUBSTITUTE(TRIM('수출입 실적(품목별)'!H2332),",","")),"")</f>
        <v>-94029</v>
      </c>
    </row>
    <row r="2329" customFormat="false" ht="15" hidden="false" customHeight="true" outlineLevel="0" collapsed="false">
      <c r="A2329" s="11" t="str">
        <f aca="false">TRIM('수출입 실적(품목별)'!A2333)</f>
        <v>2026.01</v>
      </c>
      <c r="B2329" s="17" t="n">
        <f aca="false">IFERROR(VALUE(LEFT($A2329,4)),"")</f>
        <v>2026</v>
      </c>
      <c r="C2329" s="17" t="n">
        <f aca="false">IFERROR(VALUE(RIGHT($A2329,2)),"")</f>
        <v>1</v>
      </c>
      <c r="D2329" s="17" t="n">
        <f aca="false">IFERROR(ROUNDUP($C2329/3,0),"")</f>
        <v>1</v>
      </c>
      <c r="E2329" s="11" t="str">
        <f aca="false">TRIM('수출입 실적(품목별)'!B2333)</f>
        <v>18</v>
      </c>
      <c r="F2329" s="11" t="str">
        <f aca="false">TRIM('수출입 실적(품목별)'!C2333)</f>
        <v>코코아와 그 조제품</v>
      </c>
      <c r="G2329" s="18" t="n">
        <f aca="false">IFERROR(VALUE(SUBSTITUTE(TRIM('수출입 실적(품목별)'!D2333),",","")),"")</f>
        <v>2061.2</v>
      </c>
      <c r="H2329" s="19" t="n">
        <f aca="false">IFERROR(VALUE(SUBSTITUTE(TRIM('수출입 실적(품목별)'!E2333),",","")),"")</f>
        <v>7441</v>
      </c>
      <c r="I2329" s="18" t="n">
        <f aca="false">IFERROR(VALUE(SUBSTITUTE(TRIM('수출입 실적(품목별)'!F2333),",","")),"")</f>
        <v>5956.8</v>
      </c>
      <c r="J2329" s="19" t="n">
        <f aca="false">IFERROR(VALUE(SUBSTITUTE(TRIM('수출입 실적(품목별)'!G2333),",","")),"")</f>
        <v>57016</v>
      </c>
      <c r="K2329" s="19" t="n">
        <f aca="false">IFERROR(VALUE(SUBSTITUTE(TRIM('수출입 실적(품목별)'!H2333),",","")),"")</f>
        <v>-49575</v>
      </c>
    </row>
    <row r="2330" customFormat="false" ht="15" hidden="false" customHeight="true" outlineLevel="0" collapsed="false">
      <c r="A2330" s="11" t="str">
        <f aca="false">TRIM('수출입 실적(품목별)'!A2334)</f>
        <v>2026.01</v>
      </c>
      <c r="B2330" s="17" t="n">
        <f aca="false">IFERROR(VALUE(LEFT($A2330,4)),"")</f>
        <v>2026</v>
      </c>
      <c r="C2330" s="17" t="n">
        <f aca="false">IFERROR(VALUE(RIGHT($A2330,2)),"")</f>
        <v>1</v>
      </c>
      <c r="D2330" s="17" t="n">
        <f aca="false">IFERROR(ROUNDUP($C2330/3,0),"")</f>
        <v>1</v>
      </c>
      <c r="E2330" s="11" t="str">
        <f aca="false">TRIM('수출입 실적(품목별)'!B2334)</f>
        <v>19</v>
      </c>
      <c r="F2330" s="11" t="str">
        <f aca="false">TRIM('수출입 실적(품목별)'!C2334)</f>
        <v>곡물ㆍ고운 가루ㆍ전분ㆍ밀크의 조제품과 베이커리 제품</v>
      </c>
      <c r="G2330" s="18" t="n">
        <f aca="false">IFERROR(VALUE(SUBSTITUTE(TRIM('수출입 실적(품목별)'!D2334),",","")),"")</f>
        <v>57609.1</v>
      </c>
      <c r="H2330" s="19" t="n">
        <f aca="false">IFERROR(VALUE(SUBSTITUTE(TRIM('수출입 실적(품목별)'!E2334),",","")),"")</f>
        <v>229195</v>
      </c>
      <c r="I2330" s="18" t="n">
        <f aca="false">IFERROR(VALUE(SUBSTITUTE(TRIM('수출입 실적(품목별)'!F2334),",","")),"")</f>
        <v>33293</v>
      </c>
      <c r="J2330" s="19" t="n">
        <f aca="false">IFERROR(VALUE(SUBSTITUTE(TRIM('수출입 실적(품목별)'!G2334),",","")),"")</f>
        <v>112043</v>
      </c>
      <c r="K2330" s="19" t="n">
        <f aca="false">IFERROR(VALUE(SUBSTITUTE(TRIM('수출입 실적(품목별)'!H2334),",","")),"")</f>
        <v>117153</v>
      </c>
    </row>
    <row r="2331" customFormat="false" ht="15" hidden="false" customHeight="true" outlineLevel="0" collapsed="false">
      <c r="A2331" s="11" t="str">
        <f aca="false">TRIM('수출입 실적(품목별)'!A2335)</f>
        <v>2026.01</v>
      </c>
      <c r="B2331" s="17" t="n">
        <f aca="false">IFERROR(VALUE(LEFT($A2331,4)),"")</f>
        <v>2026</v>
      </c>
      <c r="C2331" s="17" t="n">
        <f aca="false">IFERROR(VALUE(RIGHT($A2331,2)),"")</f>
        <v>1</v>
      </c>
      <c r="D2331" s="17" t="n">
        <f aca="false">IFERROR(ROUNDUP($C2331/3,0),"")</f>
        <v>1</v>
      </c>
      <c r="E2331" s="11" t="str">
        <f aca="false">TRIM('수출입 실적(품목별)'!B2335)</f>
        <v>20</v>
      </c>
      <c r="F2331" s="11" t="str">
        <f aca="false">TRIM('수출입 실적(품목별)'!C2335)</f>
        <v>채소ㆍ과실ㆍ견과류나 식물의그 밖의 부분의 조제품</v>
      </c>
      <c r="G2331" s="18" t="n">
        <f aca="false">IFERROR(VALUE(SUBSTITUTE(TRIM('수출입 실적(품목별)'!D2335),",","")),"")</f>
        <v>10865.7</v>
      </c>
      <c r="H2331" s="19" t="n">
        <f aca="false">IFERROR(VALUE(SUBSTITUTE(TRIM('수출입 실적(품목별)'!E2335),",","")),"")</f>
        <v>98993</v>
      </c>
      <c r="I2331" s="18" t="n">
        <f aca="false">IFERROR(VALUE(SUBSTITUTE(TRIM('수출입 실적(품목별)'!F2335),",","")),"")</f>
        <v>97083.1</v>
      </c>
      <c r="J2331" s="19" t="n">
        <f aca="false">IFERROR(VALUE(SUBSTITUTE(TRIM('수출입 실적(품목별)'!G2335),",","")),"")</f>
        <v>149722</v>
      </c>
      <c r="K2331" s="19" t="n">
        <f aca="false">IFERROR(VALUE(SUBSTITUTE(TRIM('수출입 실적(품목별)'!H2335),",","")),"")</f>
        <v>-50729</v>
      </c>
    </row>
    <row r="2332" customFormat="false" ht="15" hidden="false" customHeight="true" outlineLevel="0" collapsed="false">
      <c r="A2332" s="11" t="str">
        <f aca="false">TRIM('수출입 실적(품목별)'!A2336)</f>
        <v>2026.01</v>
      </c>
      <c r="B2332" s="17" t="n">
        <f aca="false">IFERROR(VALUE(LEFT($A2332,4)),"")</f>
        <v>2026</v>
      </c>
      <c r="C2332" s="17" t="n">
        <f aca="false">IFERROR(VALUE(RIGHT($A2332,2)),"")</f>
        <v>1</v>
      </c>
      <c r="D2332" s="17" t="n">
        <f aca="false">IFERROR(ROUNDUP($C2332/3,0),"")</f>
        <v>1</v>
      </c>
      <c r="E2332" s="11" t="str">
        <f aca="false">TRIM('수출입 실적(품목별)'!B2336)</f>
        <v>21</v>
      </c>
      <c r="F2332" s="11" t="str">
        <f aca="false">TRIM('수출입 실적(품목별)'!C2336)</f>
        <v>각종 조제 식료품</v>
      </c>
      <c r="G2332" s="18" t="n">
        <f aca="false">IFERROR(VALUE(SUBSTITUTE(TRIM('수출입 실적(품목별)'!D2336),",","")),"")</f>
        <v>36221.8</v>
      </c>
      <c r="H2332" s="19" t="n">
        <f aca="false">IFERROR(VALUE(SUBSTITUTE(TRIM('수출입 실적(품목별)'!E2336),",","")),"")</f>
        <v>150886</v>
      </c>
      <c r="I2332" s="18" t="n">
        <f aca="false">IFERROR(VALUE(SUBSTITUTE(TRIM('수출입 실적(품목별)'!F2336),",","")),"")</f>
        <v>33797.2</v>
      </c>
      <c r="J2332" s="19" t="n">
        <f aca="false">IFERROR(VALUE(SUBSTITUTE(TRIM('수출입 실적(품목별)'!G2336),",","")),"")</f>
        <v>227219</v>
      </c>
      <c r="K2332" s="19" t="n">
        <f aca="false">IFERROR(VALUE(SUBSTITUTE(TRIM('수출입 실적(품목별)'!H2336),",","")),"")</f>
        <v>-76334</v>
      </c>
    </row>
    <row r="2333" customFormat="false" ht="15" hidden="false" customHeight="true" outlineLevel="0" collapsed="false">
      <c r="A2333" s="11" t="str">
        <f aca="false">TRIM('수출입 실적(품목별)'!A2337)</f>
        <v>2026.01</v>
      </c>
      <c r="B2333" s="17" t="n">
        <f aca="false">IFERROR(VALUE(LEFT($A2333,4)),"")</f>
        <v>2026</v>
      </c>
      <c r="C2333" s="17" t="n">
        <f aca="false">IFERROR(VALUE(RIGHT($A2333,2)),"")</f>
        <v>1</v>
      </c>
      <c r="D2333" s="17" t="n">
        <f aca="false">IFERROR(ROUNDUP($C2333/3,0),"")</f>
        <v>1</v>
      </c>
      <c r="E2333" s="11" t="str">
        <f aca="false">TRIM('수출입 실적(품목별)'!B2337)</f>
        <v>22</v>
      </c>
      <c r="F2333" s="11" t="str">
        <f aca="false">TRIM('수출입 실적(품목별)'!C2337)</f>
        <v>음료ㆍ주류ㆍ식초</v>
      </c>
      <c r="G2333" s="18" t="n">
        <f aca="false">IFERROR(VALUE(SUBSTITUTE(TRIM('수출입 실적(품목별)'!D2337),",","")),"")</f>
        <v>66166.3</v>
      </c>
      <c r="H2333" s="19" t="n">
        <f aca="false">IFERROR(VALUE(SUBSTITUTE(TRIM('수출입 실적(품목별)'!E2337),",","")),"")</f>
        <v>79142</v>
      </c>
      <c r="I2333" s="18" t="n">
        <f aca="false">IFERROR(VALUE(SUBSTITUTE(TRIM('수출입 실적(품목별)'!F2337),",","")),"")</f>
        <v>81281.9</v>
      </c>
      <c r="J2333" s="19" t="n">
        <f aca="false">IFERROR(VALUE(SUBSTITUTE(TRIM('수출입 실적(품목별)'!G2337),",","")),"")</f>
        <v>134137</v>
      </c>
      <c r="K2333" s="19" t="n">
        <f aca="false">IFERROR(VALUE(SUBSTITUTE(TRIM('수출입 실적(품목별)'!H2337),",","")),"")</f>
        <v>-54995</v>
      </c>
    </row>
    <row r="2334" customFormat="false" ht="15" hidden="false" customHeight="true" outlineLevel="0" collapsed="false">
      <c r="A2334" s="11" t="str">
        <f aca="false">TRIM('수출입 실적(품목별)'!A2338)</f>
        <v>2026.01</v>
      </c>
      <c r="B2334" s="17" t="n">
        <f aca="false">IFERROR(VALUE(LEFT($A2334,4)),"")</f>
        <v>2026</v>
      </c>
      <c r="C2334" s="17" t="n">
        <f aca="false">IFERROR(VALUE(RIGHT($A2334,2)),"")</f>
        <v>1</v>
      </c>
      <c r="D2334" s="17" t="n">
        <f aca="false">IFERROR(ROUNDUP($C2334/3,0),"")</f>
        <v>1</v>
      </c>
      <c r="E2334" s="11" t="str">
        <f aca="false">TRIM('수출입 실적(품목별)'!B2338)</f>
        <v>23</v>
      </c>
      <c r="F2334" s="11" t="str">
        <f aca="false">TRIM('수출입 실적(품목별)'!C2338)</f>
        <v>식품 공업에서 생기는 잔재물과 웨이스트(waste), 조제 사료</v>
      </c>
      <c r="G2334" s="18" t="n">
        <f aca="false">IFERROR(VALUE(SUBSTITUTE(TRIM('수출입 실적(품목별)'!D2338),",","")),"")</f>
        <v>23200</v>
      </c>
      <c r="H2334" s="19" t="n">
        <f aca="false">IFERROR(VALUE(SUBSTITUTE(TRIM('수출입 실적(품목별)'!E2338),",","")),"")</f>
        <v>29761</v>
      </c>
      <c r="I2334" s="18" t="n">
        <f aca="false">IFERROR(VALUE(SUBSTITUTE(TRIM('수출입 실적(품목별)'!F2338),",","")),"")</f>
        <v>570862.9</v>
      </c>
      <c r="J2334" s="19" t="n">
        <f aca="false">IFERROR(VALUE(SUBSTITUTE(TRIM('수출입 실적(품목별)'!G2338),",","")),"")</f>
        <v>186099</v>
      </c>
      <c r="K2334" s="19" t="n">
        <f aca="false">IFERROR(VALUE(SUBSTITUTE(TRIM('수출입 실적(품목별)'!H2338),",","")),"")</f>
        <v>-156339</v>
      </c>
    </row>
    <row r="2335" customFormat="false" ht="15" hidden="false" customHeight="true" outlineLevel="0" collapsed="false">
      <c r="A2335" s="11" t="str">
        <f aca="false">TRIM('수출입 실적(품목별)'!A2339)</f>
        <v>2026.01</v>
      </c>
      <c r="B2335" s="17" t="n">
        <f aca="false">IFERROR(VALUE(LEFT($A2335,4)),"")</f>
        <v>2026</v>
      </c>
      <c r="C2335" s="17" t="n">
        <f aca="false">IFERROR(VALUE(RIGHT($A2335,2)),"")</f>
        <v>1</v>
      </c>
      <c r="D2335" s="17" t="n">
        <f aca="false">IFERROR(ROUNDUP($C2335/3,0),"")</f>
        <v>1</v>
      </c>
      <c r="E2335" s="11" t="str">
        <f aca="false">TRIM('수출입 실적(품목별)'!B2339)</f>
        <v>24</v>
      </c>
      <c r="F2335" s="11" t="str">
        <f aca="false">TRIM('수출입 실적(품목별)'!C2339)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335" s="18" t="n">
        <f aca="false">IFERROR(VALUE(SUBSTITUTE(TRIM('수출입 실적(품목별)'!D2339),",","")),"")</f>
        <v>7872.9</v>
      </c>
      <c r="H2335" s="19" t="n">
        <f aca="false">IFERROR(VALUE(SUBSTITUTE(TRIM('수출입 실적(품목별)'!E2339),",","")),"")</f>
        <v>89961</v>
      </c>
      <c r="I2335" s="18" t="n">
        <f aca="false">IFERROR(VALUE(SUBSTITUTE(TRIM('수출입 실적(품목별)'!F2339),",","")),"")</f>
        <v>7319.3</v>
      </c>
      <c r="J2335" s="19" t="n">
        <f aca="false">IFERROR(VALUE(SUBSTITUTE(TRIM('수출입 실적(품목별)'!G2339),",","")),"")</f>
        <v>73489</v>
      </c>
      <c r="K2335" s="19" t="n">
        <f aca="false">IFERROR(VALUE(SUBSTITUTE(TRIM('수출입 실적(품목별)'!H2339),",","")),"")</f>
        <v>16473</v>
      </c>
    </row>
    <row r="2336" customFormat="false" ht="15" hidden="false" customHeight="true" outlineLevel="0" collapsed="false">
      <c r="A2336" s="11" t="str">
        <f aca="false">TRIM('수출입 실적(품목별)'!A2340)</f>
        <v>2026.01</v>
      </c>
      <c r="B2336" s="17" t="n">
        <f aca="false">IFERROR(VALUE(LEFT($A2336,4)),"")</f>
        <v>2026</v>
      </c>
      <c r="C2336" s="17" t="n">
        <f aca="false">IFERROR(VALUE(RIGHT($A2336,2)),"")</f>
        <v>1</v>
      </c>
      <c r="D2336" s="17" t="n">
        <f aca="false">IFERROR(ROUNDUP($C2336/3,0),"")</f>
        <v>1</v>
      </c>
      <c r="E2336" s="11" t="str">
        <f aca="false">TRIM('수출입 실적(품목별)'!B2340)</f>
        <v>25</v>
      </c>
      <c r="F2336" s="11" t="str">
        <f aca="false">TRIM('수출입 실적(품목별)'!C2340)</f>
        <v>소금, 황, 토석류(土石類), 석고ㆍ석회ㆍ시멘트</v>
      </c>
      <c r="G2336" s="18" t="n">
        <f aca="false">IFERROR(VALUE(SUBSTITUTE(TRIM('수출입 실적(품목별)'!D2340),",","")),"")</f>
        <v>500329.4</v>
      </c>
      <c r="H2336" s="19" t="n">
        <f aca="false">IFERROR(VALUE(SUBSTITUTE(TRIM('수출입 실적(품목별)'!E2340),",","")),"")</f>
        <v>70014</v>
      </c>
      <c r="I2336" s="18" t="n">
        <f aca="false">IFERROR(VALUE(SUBSTITUTE(TRIM('수출입 실적(품목별)'!F2340),",","")),"")</f>
        <v>785399.7</v>
      </c>
      <c r="J2336" s="19" t="n">
        <f aca="false">IFERROR(VALUE(SUBSTITUTE(TRIM('수출입 실적(품목별)'!G2340),",","")),"")</f>
        <v>64626</v>
      </c>
      <c r="K2336" s="19" t="n">
        <f aca="false">IFERROR(VALUE(SUBSTITUTE(TRIM('수출입 실적(품목별)'!H2340),",","")),"")</f>
        <v>5388</v>
      </c>
    </row>
    <row r="2337" customFormat="false" ht="15" hidden="false" customHeight="true" outlineLevel="0" collapsed="false">
      <c r="A2337" s="11" t="str">
        <f aca="false">TRIM('수출입 실적(품목별)'!A2341)</f>
        <v>2026.01</v>
      </c>
      <c r="B2337" s="17" t="n">
        <f aca="false">IFERROR(VALUE(LEFT($A2337,4)),"")</f>
        <v>2026</v>
      </c>
      <c r="C2337" s="17" t="n">
        <f aca="false">IFERROR(VALUE(RIGHT($A2337,2)),"")</f>
        <v>1</v>
      </c>
      <c r="D2337" s="17" t="n">
        <f aca="false">IFERROR(ROUNDUP($C2337/3,0),"")</f>
        <v>1</v>
      </c>
      <c r="E2337" s="11" t="str">
        <f aca="false">TRIM('수출입 실적(품목별)'!B2341)</f>
        <v>26</v>
      </c>
      <c r="F2337" s="11" t="str">
        <f aca="false">TRIM('수출입 실적(품목별)'!C2341)</f>
        <v>광(鑛)ㆍ슬래그(slag)ㆍ회(灰)</v>
      </c>
      <c r="G2337" s="18" t="n">
        <f aca="false">IFERROR(VALUE(SUBSTITUTE(TRIM('수출입 실적(품목별)'!D2341),",","")),"")</f>
        <v>275248</v>
      </c>
      <c r="H2337" s="19" t="n">
        <f aca="false">IFERROR(VALUE(SUBSTITUTE(TRIM('수출입 실적(품목별)'!E2341),",","")),"")</f>
        <v>52856</v>
      </c>
      <c r="I2337" s="18" t="n">
        <f aca="false">IFERROR(VALUE(SUBSTITUTE(TRIM('수출입 실적(품목별)'!F2341),",","")),"")</f>
        <v>7184119.5</v>
      </c>
      <c r="J2337" s="19" t="n">
        <f aca="false">IFERROR(VALUE(SUBSTITUTE(TRIM('수출입 실적(품목별)'!G2341),",","")),"")</f>
        <v>2555647</v>
      </c>
      <c r="K2337" s="19" t="n">
        <f aca="false">IFERROR(VALUE(SUBSTITUTE(TRIM('수출입 실적(품목별)'!H2341),",","")),"")</f>
        <v>-2502791</v>
      </c>
    </row>
    <row r="2338" customFormat="false" ht="15" hidden="false" customHeight="true" outlineLevel="0" collapsed="false">
      <c r="A2338" s="11" t="str">
        <f aca="false">TRIM('수출입 실적(품목별)'!A2342)</f>
        <v>2026.01</v>
      </c>
      <c r="B2338" s="17" t="n">
        <f aca="false">IFERROR(VALUE(LEFT($A2338,4)),"")</f>
        <v>2026</v>
      </c>
      <c r="C2338" s="17" t="n">
        <f aca="false">IFERROR(VALUE(RIGHT($A2338,2)),"")</f>
        <v>1</v>
      </c>
      <c r="D2338" s="17" t="n">
        <f aca="false">IFERROR(ROUNDUP($C2338/3,0),"")</f>
        <v>1</v>
      </c>
      <c r="E2338" s="11" t="str">
        <f aca="false">TRIM('수출입 실적(품목별)'!B2342)</f>
        <v>27</v>
      </c>
      <c r="F2338" s="11" t="str">
        <f aca="false">TRIM('수출입 실적(품목별)'!C2342)</f>
        <v>광물성 연료ㆍ광물유(鑛物油)와 이들의 증류물, 역청(瀝靑)물질, 광물성 왁스</v>
      </c>
      <c r="G2338" s="18" t="n">
        <f aca="false">IFERROR(VALUE(SUBSTITUTE(TRIM('수출입 실적(품목별)'!D2342),",","")),"")</f>
        <v>5945675.1</v>
      </c>
      <c r="H2338" s="19" t="n">
        <f aca="false">IFERROR(VALUE(SUBSTITUTE(TRIM('수출입 실적(품목별)'!E2342),",","")),"")</f>
        <v>3868333</v>
      </c>
      <c r="I2338" s="18" t="n">
        <f aca="false">IFERROR(VALUE(SUBSTITUTE(TRIM('수출입 실적(품목별)'!F2342),",","")),"")</f>
        <v>32460161.3</v>
      </c>
      <c r="J2338" s="19" t="n">
        <f aca="false">IFERROR(VALUE(SUBSTITUTE(TRIM('수출입 실적(품목별)'!G2342),",","")),"")</f>
        <v>12031973</v>
      </c>
      <c r="K2338" s="19" t="n">
        <f aca="false">IFERROR(VALUE(SUBSTITUTE(TRIM('수출입 실적(품목별)'!H2342),",","")),"")</f>
        <v>-8163639</v>
      </c>
    </row>
    <row r="2339" customFormat="false" ht="15" hidden="false" customHeight="true" outlineLevel="0" collapsed="false">
      <c r="A2339" s="11" t="str">
        <f aca="false">TRIM('수출입 실적(품목별)'!A2343)</f>
        <v>2026.01</v>
      </c>
      <c r="B2339" s="17" t="n">
        <f aca="false">IFERROR(VALUE(LEFT($A2339,4)),"")</f>
        <v>2026</v>
      </c>
      <c r="C2339" s="17" t="n">
        <f aca="false">IFERROR(VALUE(RIGHT($A2339,2)),"")</f>
        <v>1</v>
      </c>
      <c r="D2339" s="17" t="n">
        <f aca="false">IFERROR(ROUNDUP($C2339/3,0),"")</f>
        <v>1</v>
      </c>
      <c r="E2339" s="11" t="str">
        <f aca="false">TRIM('수출입 실적(품목별)'!B2343)</f>
        <v>28</v>
      </c>
      <c r="F2339" s="11" t="str">
        <f aca="false">TRIM('수출입 실적(품목별)'!C2343)</f>
        <v>무기화학품, 귀금속ㆍ희토류(稀土類)금속ㆍ방사성원소ㆍ동위원소의 유기화합물이나 무기화합물</v>
      </c>
      <c r="G2339" s="18" t="n">
        <f aca="false">IFERROR(VALUE(SUBSTITUTE(TRIM('수출입 실적(품목별)'!D2343),",","")),"")</f>
        <v>503708.9</v>
      </c>
      <c r="H2339" s="19" t="n">
        <f aca="false">IFERROR(VALUE(SUBSTITUTE(TRIM('수출입 실적(품목별)'!E2343),",","")),"")</f>
        <v>716881</v>
      </c>
      <c r="I2339" s="18" t="n">
        <f aca="false">IFERROR(VALUE(SUBSTITUTE(TRIM('수출입 실적(품목별)'!F2343),",","")),"")</f>
        <v>408504.4</v>
      </c>
      <c r="J2339" s="19" t="n">
        <f aca="false">IFERROR(VALUE(SUBSTITUTE(TRIM('수출입 실적(품목별)'!G2343),",","")),"")</f>
        <v>913901</v>
      </c>
      <c r="K2339" s="19" t="n">
        <f aca="false">IFERROR(VALUE(SUBSTITUTE(TRIM('수출입 실적(품목별)'!H2343),",","")),"")</f>
        <v>-197020</v>
      </c>
    </row>
    <row r="2340" customFormat="false" ht="15" hidden="false" customHeight="true" outlineLevel="0" collapsed="false">
      <c r="A2340" s="11" t="str">
        <f aca="false">TRIM('수출입 실적(품목별)'!A2344)</f>
        <v>2026.01</v>
      </c>
      <c r="B2340" s="17" t="n">
        <f aca="false">IFERROR(VALUE(LEFT($A2340,4)),"")</f>
        <v>2026</v>
      </c>
      <c r="C2340" s="17" t="n">
        <f aca="false">IFERROR(VALUE(RIGHT($A2340,2)),"")</f>
        <v>1</v>
      </c>
      <c r="D2340" s="17" t="n">
        <f aca="false">IFERROR(ROUNDUP($C2340/3,0),"")</f>
        <v>1</v>
      </c>
      <c r="E2340" s="11" t="str">
        <f aca="false">TRIM('수출입 실적(품목별)'!B2344)</f>
        <v>29</v>
      </c>
      <c r="F2340" s="11" t="str">
        <f aca="false">TRIM('수출입 실적(품목별)'!C2344)</f>
        <v>유기화학품</v>
      </c>
      <c r="G2340" s="18" t="n">
        <f aca="false">IFERROR(VALUE(SUBSTITUTE(TRIM('수출입 실적(품목별)'!D2344),",","")),"")</f>
        <v>1751533.9</v>
      </c>
      <c r="H2340" s="19" t="n">
        <f aca="false">IFERROR(VALUE(SUBSTITUTE(TRIM('수출입 실적(품목별)'!E2344),",","")),"")</f>
        <v>1677439</v>
      </c>
      <c r="I2340" s="18" t="n">
        <f aca="false">IFERROR(VALUE(SUBSTITUTE(TRIM('수출입 실적(품목별)'!F2344),",","")),"")</f>
        <v>718013.5</v>
      </c>
      <c r="J2340" s="19" t="n">
        <f aca="false">IFERROR(VALUE(SUBSTITUTE(TRIM('수출입 실적(품목별)'!G2344),",","")),"")</f>
        <v>1148795</v>
      </c>
      <c r="K2340" s="19" t="n">
        <f aca="false">IFERROR(VALUE(SUBSTITUTE(TRIM('수출입 실적(품목별)'!H2344),",","")),"")</f>
        <v>528644</v>
      </c>
    </row>
    <row r="2341" customFormat="false" ht="15" hidden="false" customHeight="true" outlineLevel="0" collapsed="false">
      <c r="A2341" s="11" t="str">
        <f aca="false">TRIM('수출입 실적(품목별)'!A2345)</f>
        <v>2026.01</v>
      </c>
      <c r="B2341" s="17" t="n">
        <f aca="false">IFERROR(VALUE(LEFT($A2341,4)),"")</f>
        <v>2026</v>
      </c>
      <c r="C2341" s="17" t="n">
        <f aca="false">IFERROR(VALUE(RIGHT($A2341,2)),"")</f>
        <v>1</v>
      </c>
      <c r="D2341" s="17" t="n">
        <f aca="false">IFERROR(ROUNDUP($C2341/3,0),"")</f>
        <v>1</v>
      </c>
      <c r="E2341" s="11" t="str">
        <f aca="false">TRIM('수출입 실적(품목별)'!B2345)</f>
        <v>30</v>
      </c>
      <c r="F2341" s="11" t="str">
        <f aca="false">TRIM('수출입 실적(품목별)'!C2345)</f>
        <v>의료용품</v>
      </c>
      <c r="G2341" s="18" t="n">
        <f aca="false">IFERROR(VALUE(SUBSTITUTE(TRIM('수출입 실적(품목별)'!D2345),",","")),"")</f>
        <v>2096.9</v>
      </c>
      <c r="H2341" s="19" t="n">
        <f aca="false">IFERROR(VALUE(SUBSTITUTE(TRIM('수출입 실적(품목별)'!E2345),",","")),"")</f>
        <v>761557</v>
      </c>
      <c r="I2341" s="18" t="n">
        <f aca="false">IFERROR(VALUE(SUBSTITUTE(TRIM('수출입 실적(품목별)'!F2345),",","")),"")</f>
        <v>7462.8</v>
      </c>
      <c r="J2341" s="19" t="n">
        <f aca="false">IFERROR(VALUE(SUBSTITUTE(TRIM('수출입 실적(품목별)'!G2345),",","")),"")</f>
        <v>810902</v>
      </c>
      <c r="K2341" s="19" t="n">
        <f aca="false">IFERROR(VALUE(SUBSTITUTE(TRIM('수출입 실적(품목별)'!H2345),",","")),"")</f>
        <v>-49345</v>
      </c>
    </row>
    <row r="2342" customFormat="false" ht="15" hidden="false" customHeight="true" outlineLevel="0" collapsed="false">
      <c r="A2342" s="11" t="str">
        <f aca="false">TRIM('수출입 실적(품목별)'!A2346)</f>
        <v>2026.01</v>
      </c>
      <c r="B2342" s="17" t="n">
        <f aca="false">IFERROR(VALUE(LEFT($A2342,4)),"")</f>
        <v>2026</v>
      </c>
      <c r="C2342" s="17" t="n">
        <f aca="false">IFERROR(VALUE(RIGHT($A2342,2)),"")</f>
        <v>1</v>
      </c>
      <c r="D2342" s="17" t="n">
        <f aca="false">IFERROR(ROUNDUP($C2342/3,0),"")</f>
        <v>1</v>
      </c>
      <c r="E2342" s="11" t="str">
        <f aca="false">TRIM('수출입 실적(품목별)'!B2346)</f>
        <v>31</v>
      </c>
      <c r="F2342" s="11" t="str">
        <f aca="false">TRIM('수출입 실적(품목별)'!C2346)</f>
        <v>비료</v>
      </c>
      <c r="G2342" s="18" t="n">
        <f aca="false">IFERROR(VALUE(SUBSTITUTE(TRIM('수출입 실적(품목별)'!D2346),",","")),"")</f>
        <v>76264</v>
      </c>
      <c r="H2342" s="19" t="n">
        <f aca="false">IFERROR(VALUE(SUBSTITUTE(TRIM('수출입 실적(품목별)'!E2346),",","")),"")</f>
        <v>36511</v>
      </c>
      <c r="I2342" s="18" t="n">
        <f aca="false">IFERROR(VALUE(SUBSTITUTE(TRIM('수출입 실적(품목별)'!F2346),",","")),"")</f>
        <v>148831.3</v>
      </c>
      <c r="J2342" s="19" t="n">
        <f aca="false">IFERROR(VALUE(SUBSTITUTE(TRIM('수출입 실적(품목별)'!G2346),",","")),"")</f>
        <v>63828</v>
      </c>
      <c r="K2342" s="19" t="n">
        <f aca="false">IFERROR(VALUE(SUBSTITUTE(TRIM('수출입 실적(품목별)'!H2346),",","")),"")</f>
        <v>-27317</v>
      </c>
    </row>
    <row r="2343" customFormat="false" ht="15" hidden="false" customHeight="true" outlineLevel="0" collapsed="false">
      <c r="A2343" s="11" t="str">
        <f aca="false">TRIM('수출입 실적(품목별)'!A2347)</f>
        <v>2026.01</v>
      </c>
      <c r="B2343" s="17" t="n">
        <f aca="false">IFERROR(VALUE(LEFT($A2343,4)),"")</f>
        <v>2026</v>
      </c>
      <c r="C2343" s="17" t="n">
        <f aca="false">IFERROR(VALUE(RIGHT($A2343,2)),"")</f>
        <v>1</v>
      </c>
      <c r="D2343" s="17" t="n">
        <f aca="false">IFERROR(ROUNDUP($C2343/3,0),"")</f>
        <v>1</v>
      </c>
      <c r="E2343" s="11" t="str">
        <f aca="false">TRIM('수출입 실적(품목별)'!B2347)</f>
        <v>32</v>
      </c>
      <c r="F2343" s="11" t="str">
        <f aca="false">TRIM('수출입 실적(품목별)'!C2347)</f>
        <v>유연용ㆍ염색용 추출물(extract), 탄닌과 이들의 유도체, 염료ㆍ안료와 그 밖의 착색제, 페인트ㆍ바니시(varnish), 퍼티(putty)와 그 밖의 매스틱(mastic), 잉크</v>
      </c>
      <c r="G2343" s="18" t="n">
        <f aca="false">IFERROR(VALUE(SUBSTITUTE(TRIM('수출입 실적(품목별)'!D2347),",","")),"")</f>
        <v>27564.7</v>
      </c>
      <c r="H2343" s="19" t="n">
        <f aca="false">IFERROR(VALUE(SUBSTITUTE(TRIM('수출입 실적(품목별)'!E2347),",","")),"")</f>
        <v>228719</v>
      </c>
      <c r="I2343" s="18" t="n">
        <f aca="false">IFERROR(VALUE(SUBSTITUTE(TRIM('수출입 실적(품목별)'!F2347),",","")),"")</f>
        <v>22419</v>
      </c>
      <c r="J2343" s="19" t="n">
        <f aca="false">IFERROR(VALUE(SUBSTITUTE(TRIM('수출입 실적(품목별)'!G2347),",","")),"")</f>
        <v>205238</v>
      </c>
      <c r="K2343" s="19" t="n">
        <f aca="false">IFERROR(VALUE(SUBSTITUTE(TRIM('수출입 실적(품목별)'!H2347),",","")),"")</f>
        <v>23482</v>
      </c>
    </row>
    <row r="2344" customFormat="false" ht="15" hidden="false" customHeight="true" outlineLevel="0" collapsed="false">
      <c r="A2344" s="11" t="str">
        <f aca="false">TRIM('수출입 실적(품목별)'!A2348)</f>
        <v>2026.01</v>
      </c>
      <c r="B2344" s="17" t="n">
        <f aca="false">IFERROR(VALUE(LEFT($A2344,4)),"")</f>
        <v>2026</v>
      </c>
      <c r="C2344" s="17" t="n">
        <f aca="false">IFERROR(VALUE(RIGHT($A2344,2)),"")</f>
        <v>1</v>
      </c>
      <c r="D2344" s="17" t="n">
        <f aca="false">IFERROR(ROUNDUP($C2344/3,0),"")</f>
        <v>1</v>
      </c>
      <c r="E2344" s="11" t="str">
        <f aca="false">TRIM('수출입 실적(품목별)'!B2348)</f>
        <v>33</v>
      </c>
      <c r="F2344" s="11" t="str">
        <f aca="false">TRIM('수출입 실적(품목별)'!C2348)</f>
        <v>정유(essential oil)와 레지노이드(resinoid), 조제향료와 화장품ㆍ화장용품</v>
      </c>
      <c r="G2344" s="18" t="n">
        <f aca="false">IFERROR(VALUE(SUBSTITUTE(TRIM('수출입 실적(품목별)'!D2348),",","")),"")</f>
        <v>42687.2</v>
      </c>
      <c r="H2344" s="19" t="n">
        <f aca="false">IFERROR(VALUE(SUBSTITUTE(TRIM('수출입 실적(품목별)'!E2348),",","")),"")</f>
        <v>993062</v>
      </c>
      <c r="I2344" s="18" t="n">
        <f aca="false">IFERROR(VALUE(SUBSTITUTE(TRIM('수출입 실적(품목별)'!F2348),",","")),"")</f>
        <v>9790.4</v>
      </c>
      <c r="J2344" s="19" t="n">
        <f aca="false">IFERROR(VALUE(SUBSTITUTE(TRIM('수출입 실적(품목별)'!G2348),",","")),"")</f>
        <v>181871</v>
      </c>
      <c r="K2344" s="19" t="n">
        <f aca="false">IFERROR(VALUE(SUBSTITUTE(TRIM('수출입 실적(품목별)'!H2348),",","")),"")</f>
        <v>811190</v>
      </c>
    </row>
    <row r="2345" customFormat="false" ht="15" hidden="false" customHeight="true" outlineLevel="0" collapsed="false">
      <c r="A2345" s="11" t="str">
        <f aca="false">TRIM('수출입 실적(품목별)'!A2349)</f>
        <v>2026.01</v>
      </c>
      <c r="B2345" s="17" t="n">
        <f aca="false">IFERROR(VALUE(LEFT($A2345,4)),"")</f>
        <v>2026</v>
      </c>
      <c r="C2345" s="17" t="n">
        <f aca="false">IFERROR(VALUE(RIGHT($A2345,2)),"")</f>
        <v>1</v>
      </c>
      <c r="D2345" s="17" t="n">
        <f aca="false">IFERROR(ROUNDUP($C2345/3,0),"")</f>
        <v>1</v>
      </c>
      <c r="E2345" s="11" t="str">
        <f aca="false">TRIM('수출입 실적(품목별)'!B2349)</f>
        <v>34</v>
      </c>
      <c r="F2345" s="11" t="str">
        <f aca="false">TRIM('수출입 실적(품목별)'!C2349)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345" s="18" t="n">
        <f aca="false">IFERROR(VALUE(SUBSTITUTE(TRIM('수출입 실적(품목별)'!D2349),",","")),"")</f>
        <v>57789.2</v>
      </c>
      <c r="H2345" s="19" t="n">
        <f aca="false">IFERROR(VALUE(SUBSTITUTE(TRIM('수출입 실적(품목별)'!E2349),",","")),"")</f>
        <v>163588</v>
      </c>
      <c r="I2345" s="18" t="n">
        <f aca="false">IFERROR(VALUE(SUBSTITUTE(TRIM('수출입 실적(품목별)'!F2349),",","")),"")</f>
        <v>23400.7</v>
      </c>
      <c r="J2345" s="19" t="n">
        <f aca="false">IFERROR(VALUE(SUBSTITUTE(TRIM('수출입 실적(품목별)'!G2349),",","")),"")</f>
        <v>88052</v>
      </c>
      <c r="K2345" s="19" t="n">
        <f aca="false">IFERROR(VALUE(SUBSTITUTE(TRIM('수출입 실적(품목별)'!H2349),",","")),"")</f>
        <v>75535</v>
      </c>
    </row>
    <row r="2346" customFormat="false" ht="15" hidden="false" customHeight="true" outlineLevel="0" collapsed="false">
      <c r="A2346" s="11" t="str">
        <f aca="false">TRIM('수출입 실적(품목별)'!A2350)</f>
        <v>2026.01</v>
      </c>
      <c r="B2346" s="17" t="n">
        <f aca="false">IFERROR(VALUE(LEFT($A2346,4)),"")</f>
        <v>2026</v>
      </c>
      <c r="C2346" s="17" t="n">
        <f aca="false">IFERROR(VALUE(RIGHT($A2346,2)),"")</f>
        <v>1</v>
      </c>
      <c r="D2346" s="17" t="n">
        <f aca="false">IFERROR(ROUNDUP($C2346/3,0),"")</f>
        <v>1</v>
      </c>
      <c r="E2346" s="11" t="str">
        <f aca="false">TRIM('수출입 실적(품목별)'!B2350)</f>
        <v>35</v>
      </c>
      <c r="F2346" s="11" t="str">
        <f aca="false">TRIM('수출입 실적(품목별)'!C2350)</f>
        <v>단백질계 물질, 변성전분, 글루(glue), 효소</v>
      </c>
      <c r="G2346" s="18" t="n">
        <f aca="false">IFERROR(VALUE(SUBSTITUTE(TRIM('수출입 실적(품목별)'!D2350),",","")),"")</f>
        <v>7315.2</v>
      </c>
      <c r="H2346" s="19" t="n">
        <f aca="false">IFERROR(VALUE(SUBSTITUTE(TRIM('수출입 실적(품목별)'!E2350),",","")),"")</f>
        <v>84845</v>
      </c>
      <c r="I2346" s="18" t="n">
        <f aca="false">IFERROR(VALUE(SUBSTITUTE(TRIM('수출입 실적(품목별)'!F2350),",","")),"")</f>
        <v>22681.5</v>
      </c>
      <c r="J2346" s="19" t="n">
        <f aca="false">IFERROR(VALUE(SUBSTITUTE(TRIM('수출입 실적(품목별)'!G2350),",","")),"")</f>
        <v>88333</v>
      </c>
      <c r="K2346" s="19" t="n">
        <f aca="false">IFERROR(VALUE(SUBSTITUTE(TRIM('수출입 실적(품목별)'!H2350),",","")),"")</f>
        <v>-3488</v>
      </c>
    </row>
    <row r="2347" customFormat="false" ht="15" hidden="false" customHeight="true" outlineLevel="0" collapsed="false">
      <c r="A2347" s="11" t="str">
        <f aca="false">TRIM('수출입 실적(품목별)'!A2351)</f>
        <v>2026.01</v>
      </c>
      <c r="B2347" s="17" t="n">
        <f aca="false">IFERROR(VALUE(LEFT($A2347,4)),"")</f>
        <v>2026</v>
      </c>
      <c r="C2347" s="17" t="n">
        <f aca="false">IFERROR(VALUE(RIGHT($A2347,2)),"")</f>
        <v>1</v>
      </c>
      <c r="D2347" s="17" t="n">
        <f aca="false">IFERROR(ROUNDUP($C2347/3,0),"")</f>
        <v>1</v>
      </c>
      <c r="E2347" s="11" t="str">
        <f aca="false">TRIM('수출입 실적(품목별)'!B2351)</f>
        <v>36</v>
      </c>
      <c r="F2347" s="11" t="str">
        <f aca="false">TRIM('수출입 실적(품목별)'!C2351)</f>
        <v>화약류, 화공품, 성냥, 발화성 합금, 특정 가연성 조제품</v>
      </c>
      <c r="G2347" s="18" t="n">
        <f aca="false">IFERROR(VALUE(SUBSTITUTE(TRIM('수출입 실적(품목별)'!D2351),",","")),"")</f>
        <v>94.9</v>
      </c>
      <c r="H2347" s="19" t="n">
        <f aca="false">IFERROR(VALUE(SUBSTITUTE(TRIM('수출입 실적(품목별)'!E2351),",","")),"")</f>
        <v>3948</v>
      </c>
      <c r="I2347" s="18" t="n">
        <f aca="false">IFERROR(VALUE(SUBSTITUTE(TRIM('수출입 실적(품목별)'!F2351),",","")),"")</f>
        <v>153.3</v>
      </c>
      <c r="J2347" s="19" t="n">
        <f aca="false">IFERROR(VALUE(SUBSTITUTE(TRIM('수출입 실적(품목별)'!G2351),",","")),"")</f>
        <v>4808</v>
      </c>
      <c r="K2347" s="19" t="n">
        <f aca="false">IFERROR(VALUE(SUBSTITUTE(TRIM('수출입 실적(품목별)'!H2351),",","")),"")</f>
        <v>-860</v>
      </c>
    </row>
    <row r="2348" customFormat="false" ht="15" hidden="false" customHeight="true" outlineLevel="0" collapsed="false">
      <c r="A2348" s="11" t="str">
        <f aca="false">TRIM('수출입 실적(품목별)'!A2352)</f>
        <v>2026.01</v>
      </c>
      <c r="B2348" s="17" t="n">
        <f aca="false">IFERROR(VALUE(LEFT($A2348,4)),"")</f>
        <v>2026</v>
      </c>
      <c r="C2348" s="17" t="n">
        <f aca="false">IFERROR(VALUE(RIGHT($A2348,2)),"")</f>
        <v>1</v>
      </c>
      <c r="D2348" s="17" t="n">
        <f aca="false">IFERROR(ROUNDUP($C2348/3,0),"")</f>
        <v>1</v>
      </c>
      <c r="E2348" s="11" t="str">
        <f aca="false">TRIM('수출입 실적(품목별)'!B2352)</f>
        <v>37</v>
      </c>
      <c r="F2348" s="11" t="str">
        <f aca="false">TRIM('수출입 실적(품목별)'!C2352)</f>
        <v>사진용이나 영화용 재료</v>
      </c>
      <c r="G2348" s="18" t="n">
        <f aca="false">IFERROR(VALUE(SUBSTITUTE(TRIM('수출입 실적(품목별)'!D2352),",","")),"")</f>
        <v>1719.7</v>
      </c>
      <c r="H2348" s="19" t="n">
        <f aca="false">IFERROR(VALUE(SUBSTITUTE(TRIM('수출입 실적(품목별)'!E2352),",","")),"")</f>
        <v>98677</v>
      </c>
      <c r="I2348" s="18" t="n">
        <f aca="false">IFERROR(VALUE(SUBSTITUTE(TRIM('수출입 실적(품목별)'!F2352),",","")),"")</f>
        <v>3228.8</v>
      </c>
      <c r="J2348" s="19" t="n">
        <f aca="false">IFERROR(VALUE(SUBSTITUTE(TRIM('수출입 실적(품목별)'!G2352),",","")),"")</f>
        <v>92074</v>
      </c>
      <c r="K2348" s="19" t="n">
        <f aca="false">IFERROR(VALUE(SUBSTITUTE(TRIM('수출입 실적(품목별)'!H2352),",","")),"")</f>
        <v>6602</v>
      </c>
    </row>
    <row r="2349" customFormat="false" ht="15" hidden="false" customHeight="true" outlineLevel="0" collapsed="false">
      <c r="A2349" s="11" t="str">
        <f aca="false">TRIM('수출입 실적(품목별)'!A2353)</f>
        <v>2026.01</v>
      </c>
      <c r="B2349" s="17" t="n">
        <f aca="false">IFERROR(VALUE(LEFT($A2349,4)),"")</f>
        <v>2026</v>
      </c>
      <c r="C2349" s="17" t="n">
        <f aca="false">IFERROR(VALUE(RIGHT($A2349,2)),"")</f>
        <v>1</v>
      </c>
      <c r="D2349" s="17" t="n">
        <f aca="false">IFERROR(ROUNDUP($C2349/3,0),"")</f>
        <v>1</v>
      </c>
      <c r="E2349" s="11" t="str">
        <f aca="false">TRIM('수출입 실적(품목별)'!B2353)</f>
        <v>38</v>
      </c>
      <c r="F2349" s="11" t="str">
        <f aca="false">TRIM('수출입 실적(품목별)'!C2353)</f>
        <v>각종 화학공업 생산품</v>
      </c>
      <c r="G2349" s="18" t="n">
        <f aca="false">IFERROR(VALUE(SUBSTITUTE(TRIM('수출입 실적(품목별)'!D2353),",","")),"")</f>
        <v>116408.6</v>
      </c>
      <c r="H2349" s="19" t="n">
        <f aca="false">IFERROR(VALUE(SUBSTITUTE(TRIM('수출입 실적(품목별)'!E2353),",","")),"")</f>
        <v>622606</v>
      </c>
      <c r="I2349" s="18" t="n">
        <f aca="false">IFERROR(VALUE(SUBSTITUTE(TRIM('수출입 실적(품목별)'!F2353),",","")),"")</f>
        <v>202229.7</v>
      </c>
      <c r="J2349" s="19" t="n">
        <f aca="false">IFERROR(VALUE(SUBSTITUTE(TRIM('수출입 실적(품목별)'!G2353),",","")),"")</f>
        <v>802492</v>
      </c>
      <c r="K2349" s="19" t="n">
        <f aca="false">IFERROR(VALUE(SUBSTITUTE(TRIM('수출입 실적(품목별)'!H2353),",","")),"")</f>
        <v>-179885</v>
      </c>
    </row>
    <row r="2350" customFormat="false" ht="15" hidden="false" customHeight="true" outlineLevel="0" collapsed="false">
      <c r="A2350" s="11" t="str">
        <f aca="false">TRIM('수출입 실적(품목별)'!A2354)</f>
        <v>2026.01</v>
      </c>
      <c r="B2350" s="17" t="n">
        <f aca="false">IFERROR(VALUE(LEFT($A2350,4)),"")</f>
        <v>2026</v>
      </c>
      <c r="C2350" s="17" t="n">
        <f aca="false">IFERROR(VALUE(RIGHT($A2350,2)),"")</f>
        <v>1</v>
      </c>
      <c r="D2350" s="17" t="n">
        <f aca="false">IFERROR(ROUNDUP($C2350/3,0),"")</f>
        <v>1</v>
      </c>
      <c r="E2350" s="11" t="str">
        <f aca="false">TRIM('수출입 실적(품목별)'!B2354)</f>
        <v>39</v>
      </c>
      <c r="F2350" s="11" t="str">
        <f aca="false">TRIM('수출입 실적(품목별)'!C2354)</f>
        <v>플라스틱과 그 제품</v>
      </c>
      <c r="G2350" s="18" t="n">
        <f aca="false">IFERROR(VALUE(SUBSTITUTE(TRIM('수출입 실적(품목별)'!D2354),",","")),"")</f>
        <v>1487062.1</v>
      </c>
      <c r="H2350" s="19" t="n">
        <f aca="false">IFERROR(VALUE(SUBSTITUTE(TRIM('수출입 실적(품목별)'!E2354),",","")),"")</f>
        <v>2786655</v>
      </c>
      <c r="I2350" s="18" t="n">
        <f aca="false">IFERROR(VALUE(SUBSTITUTE(TRIM('수출입 실적(품목별)'!F2354),",","")),"")</f>
        <v>289461.7</v>
      </c>
      <c r="J2350" s="19" t="n">
        <f aca="false">IFERROR(VALUE(SUBSTITUTE(TRIM('수출입 실적(품목별)'!G2354),",","")),"")</f>
        <v>1080702</v>
      </c>
      <c r="K2350" s="19" t="n">
        <f aca="false">IFERROR(VALUE(SUBSTITUTE(TRIM('수출입 실적(품목별)'!H2354),",","")),"")</f>
        <v>1705954</v>
      </c>
    </row>
    <row r="2351" customFormat="false" ht="15" hidden="false" customHeight="true" outlineLevel="0" collapsed="false">
      <c r="A2351" s="11" t="str">
        <f aca="false">TRIM('수출입 실적(품목별)'!A2355)</f>
        <v>2026.01</v>
      </c>
      <c r="B2351" s="17" t="n">
        <f aca="false">IFERROR(VALUE(LEFT($A2351,4)),"")</f>
        <v>2026</v>
      </c>
      <c r="C2351" s="17" t="n">
        <f aca="false">IFERROR(VALUE(RIGHT($A2351,2)),"")</f>
        <v>1</v>
      </c>
      <c r="D2351" s="17" t="n">
        <f aca="false">IFERROR(ROUNDUP($C2351/3,0),"")</f>
        <v>1</v>
      </c>
      <c r="E2351" s="11" t="str">
        <f aca="false">TRIM('수출입 실적(품목별)'!B2355)</f>
        <v>40</v>
      </c>
      <c r="F2351" s="11" t="str">
        <f aca="false">TRIM('수출입 실적(품목별)'!C2355)</f>
        <v>고무와 그 제품</v>
      </c>
      <c r="G2351" s="18" t="n">
        <f aca="false">IFERROR(VALUE(SUBSTITUTE(TRIM('수출입 실적(품목별)'!D2355),",","")),"")</f>
        <v>257195.7</v>
      </c>
      <c r="H2351" s="19" t="n">
        <f aca="false">IFERROR(VALUE(SUBSTITUTE(TRIM('수출입 실적(품목별)'!E2355),",","")),"")</f>
        <v>621189</v>
      </c>
      <c r="I2351" s="18" t="n">
        <f aca="false">IFERROR(VALUE(SUBSTITUTE(TRIM('수출입 실적(품목별)'!F2355),",","")),"")</f>
        <v>82412.2</v>
      </c>
      <c r="J2351" s="19" t="n">
        <f aca="false">IFERROR(VALUE(SUBSTITUTE(TRIM('수출입 실적(품목별)'!G2355),",","")),"")</f>
        <v>254433</v>
      </c>
      <c r="K2351" s="19" t="n">
        <f aca="false">IFERROR(VALUE(SUBSTITUTE(TRIM('수출입 실적(품목별)'!H2355),",","")),"")</f>
        <v>366756</v>
      </c>
    </row>
    <row r="2352" customFormat="false" ht="15" hidden="false" customHeight="true" outlineLevel="0" collapsed="false">
      <c r="A2352" s="11" t="str">
        <f aca="false">TRIM('수출입 실적(품목별)'!A2356)</f>
        <v>2026.01</v>
      </c>
      <c r="B2352" s="17" t="n">
        <f aca="false">IFERROR(VALUE(LEFT($A2352,4)),"")</f>
        <v>2026</v>
      </c>
      <c r="C2352" s="17" t="n">
        <f aca="false">IFERROR(VALUE(RIGHT($A2352,2)),"")</f>
        <v>1</v>
      </c>
      <c r="D2352" s="17" t="n">
        <f aca="false">IFERROR(ROUNDUP($C2352/3,0),"")</f>
        <v>1</v>
      </c>
      <c r="E2352" s="11" t="str">
        <f aca="false">TRIM('수출입 실적(품목별)'!B2356)</f>
        <v>41</v>
      </c>
      <c r="F2352" s="11" t="str">
        <f aca="false">TRIM('수출입 실적(품목별)'!C2356)</f>
        <v>원피(모피는 제외한다)와 가죽</v>
      </c>
      <c r="G2352" s="18" t="n">
        <f aca="false">IFERROR(VALUE(SUBSTITUTE(TRIM('수출입 실적(품목별)'!D2356),",","")),"")</f>
        <v>2752.3</v>
      </c>
      <c r="H2352" s="19" t="n">
        <f aca="false">IFERROR(VALUE(SUBSTITUTE(TRIM('수출입 실적(품목별)'!E2356),",","")),"")</f>
        <v>21554</v>
      </c>
      <c r="I2352" s="18" t="n">
        <f aca="false">IFERROR(VALUE(SUBSTITUTE(TRIM('수출입 실적(품목별)'!F2356),",","")),"")</f>
        <v>5831.5</v>
      </c>
      <c r="J2352" s="19" t="n">
        <f aca="false">IFERROR(VALUE(SUBSTITUTE(TRIM('수출입 실적(품목별)'!G2356),",","")),"")</f>
        <v>17690</v>
      </c>
      <c r="K2352" s="19" t="n">
        <f aca="false">IFERROR(VALUE(SUBSTITUTE(TRIM('수출입 실적(품목별)'!H2356),",","")),"")</f>
        <v>3864</v>
      </c>
    </row>
    <row r="2353" customFormat="false" ht="15" hidden="false" customHeight="true" outlineLevel="0" collapsed="false">
      <c r="A2353" s="11" t="str">
        <f aca="false">TRIM('수출입 실적(품목별)'!A2357)</f>
        <v>2026.01</v>
      </c>
      <c r="B2353" s="17" t="n">
        <f aca="false">IFERROR(VALUE(LEFT($A2353,4)),"")</f>
        <v>2026</v>
      </c>
      <c r="C2353" s="17" t="n">
        <f aca="false">IFERROR(VALUE(RIGHT($A2353,2)),"")</f>
        <v>1</v>
      </c>
      <c r="D2353" s="17" t="n">
        <f aca="false">IFERROR(ROUNDUP($C2353/3,0),"")</f>
        <v>1</v>
      </c>
      <c r="E2353" s="11" t="str">
        <f aca="false">TRIM('수출입 실적(품목별)'!B2357)</f>
        <v>42</v>
      </c>
      <c r="F2353" s="11" t="str">
        <f aca="false">TRIM('수출입 실적(품목별)'!C2357)</f>
        <v>가죽제품, 마구, 여행용구ㆍ핸드백과 이와 유사한 용기, 동물 거트(gut)[누에의 거트(gut)는 제외한다]의 제품</v>
      </c>
      <c r="G2353" s="18" t="n">
        <f aca="false">IFERROR(VALUE(SUBSTITUTE(TRIM('수출입 실적(품목별)'!D2357),",","")),"")</f>
        <v>941.6</v>
      </c>
      <c r="H2353" s="19" t="n">
        <f aca="false">IFERROR(VALUE(SUBSTITUTE(TRIM('수출입 실적(품목별)'!E2357),",","")),"")</f>
        <v>49738</v>
      </c>
      <c r="I2353" s="18" t="n">
        <f aca="false">IFERROR(VALUE(SUBSTITUTE(TRIM('수출입 실적(품목별)'!F2357),",","")),"")</f>
        <v>11014.7</v>
      </c>
      <c r="J2353" s="19" t="n">
        <f aca="false">IFERROR(VALUE(SUBSTITUTE(TRIM('수출입 실적(품목별)'!G2357),",","")),"")</f>
        <v>339623</v>
      </c>
      <c r="K2353" s="19" t="n">
        <f aca="false">IFERROR(VALUE(SUBSTITUTE(TRIM('수출입 실적(품목별)'!H2357),",","")),"")</f>
        <v>-289885</v>
      </c>
    </row>
    <row r="2354" customFormat="false" ht="15" hidden="false" customHeight="true" outlineLevel="0" collapsed="false">
      <c r="A2354" s="11" t="str">
        <f aca="false">TRIM('수출입 실적(품목별)'!A2358)</f>
        <v>2026.01</v>
      </c>
      <c r="B2354" s="17" t="n">
        <f aca="false">IFERROR(VALUE(LEFT($A2354,4)),"")</f>
        <v>2026</v>
      </c>
      <c r="C2354" s="17" t="n">
        <f aca="false">IFERROR(VALUE(RIGHT($A2354,2)),"")</f>
        <v>1</v>
      </c>
      <c r="D2354" s="17" t="n">
        <f aca="false">IFERROR(ROUNDUP($C2354/3,0),"")</f>
        <v>1</v>
      </c>
      <c r="E2354" s="11" t="str">
        <f aca="false">TRIM('수출입 실적(품목별)'!B2358)</f>
        <v>43</v>
      </c>
      <c r="F2354" s="11" t="str">
        <f aca="false">TRIM('수출입 실적(품목별)'!C2358)</f>
        <v>모피ㆍ인조모피와 이들의 제품</v>
      </c>
      <c r="G2354" s="18" t="n">
        <f aca="false">IFERROR(VALUE(SUBSTITUTE(TRIM('수출입 실적(품목별)'!D2358),",","")),"")</f>
        <v>16.8</v>
      </c>
      <c r="H2354" s="19" t="n">
        <f aca="false">IFERROR(VALUE(SUBSTITUTE(TRIM('수출입 실적(품목별)'!E2358),",","")),"")</f>
        <v>469</v>
      </c>
      <c r="I2354" s="18" t="n">
        <f aca="false">IFERROR(VALUE(SUBSTITUTE(TRIM('수출입 실적(품목별)'!F2358),",","")),"")</f>
        <v>35.4</v>
      </c>
      <c r="J2354" s="19" t="n">
        <f aca="false">IFERROR(VALUE(SUBSTITUTE(TRIM('수출입 실적(품목별)'!G2358),",","")),"")</f>
        <v>4607</v>
      </c>
      <c r="K2354" s="19" t="n">
        <f aca="false">IFERROR(VALUE(SUBSTITUTE(TRIM('수출입 실적(품목별)'!H2358),",","")),"")</f>
        <v>-4138</v>
      </c>
    </row>
    <row r="2355" customFormat="false" ht="15" hidden="false" customHeight="true" outlineLevel="0" collapsed="false">
      <c r="A2355" s="11" t="str">
        <f aca="false">TRIM('수출입 실적(품목별)'!A2359)</f>
        <v>2026.01</v>
      </c>
      <c r="B2355" s="17" t="n">
        <f aca="false">IFERROR(VALUE(LEFT($A2355,4)),"")</f>
        <v>2026</v>
      </c>
      <c r="C2355" s="17" t="n">
        <f aca="false">IFERROR(VALUE(RIGHT($A2355,2)),"")</f>
        <v>1</v>
      </c>
      <c r="D2355" s="17" t="n">
        <f aca="false">IFERROR(ROUNDUP($C2355/3,0),"")</f>
        <v>1</v>
      </c>
      <c r="E2355" s="11" t="str">
        <f aca="false">TRIM('수출입 실적(품목별)'!B2359)</f>
        <v>44</v>
      </c>
      <c r="F2355" s="11" t="str">
        <f aca="false">TRIM('수출입 실적(품목별)'!C2359)</f>
        <v>목재와 그 제품, 목탄</v>
      </c>
      <c r="G2355" s="18" t="n">
        <f aca="false">IFERROR(VALUE(SUBSTITUTE(TRIM('수출입 실적(품목별)'!D2359),",","")),"")</f>
        <v>4570.4</v>
      </c>
      <c r="H2355" s="19" t="n">
        <f aca="false">IFERROR(VALUE(SUBSTITUTE(TRIM('수출입 실적(품목별)'!E2359),",","")),"")</f>
        <v>6948</v>
      </c>
      <c r="I2355" s="18" t="n">
        <f aca="false">IFERROR(VALUE(SUBSTITUTE(TRIM('수출입 실적(품목별)'!F2359),",","")),"")</f>
        <v>729407.4</v>
      </c>
      <c r="J2355" s="19" t="n">
        <f aca="false">IFERROR(VALUE(SUBSTITUTE(TRIM('수출입 실적(품목별)'!G2359),",","")),"")</f>
        <v>218058</v>
      </c>
      <c r="K2355" s="19" t="n">
        <f aca="false">IFERROR(VALUE(SUBSTITUTE(TRIM('수출입 실적(품목별)'!H2359),",","")),"")</f>
        <v>-211110</v>
      </c>
    </row>
    <row r="2356" customFormat="false" ht="15" hidden="false" customHeight="true" outlineLevel="0" collapsed="false">
      <c r="A2356" s="11" t="str">
        <f aca="false">TRIM('수출입 실적(품목별)'!A2360)</f>
        <v>2026.01</v>
      </c>
      <c r="B2356" s="17" t="n">
        <f aca="false">IFERROR(VALUE(LEFT($A2356,4)),"")</f>
        <v>2026</v>
      </c>
      <c r="C2356" s="17" t="n">
        <f aca="false">IFERROR(VALUE(RIGHT($A2356,2)),"")</f>
        <v>1</v>
      </c>
      <c r="D2356" s="17" t="n">
        <f aca="false">IFERROR(ROUNDUP($C2356/3,0),"")</f>
        <v>1</v>
      </c>
      <c r="E2356" s="11" t="str">
        <f aca="false">TRIM('수출입 실적(품목별)'!B2360)</f>
        <v>45</v>
      </c>
      <c r="F2356" s="11" t="str">
        <f aca="false">TRIM('수출입 실적(품목별)'!C2360)</f>
        <v>코르크(cork)와 그 제품</v>
      </c>
      <c r="G2356" s="18" t="n">
        <f aca="false">IFERROR(VALUE(SUBSTITUTE(TRIM('수출입 실적(품목별)'!D2360),",","")),"")</f>
        <v>0.6</v>
      </c>
      <c r="H2356" s="19" t="n">
        <f aca="false">IFERROR(VALUE(SUBSTITUTE(TRIM('수출입 실적(품목별)'!E2360),",","")),"")</f>
        <v>15</v>
      </c>
      <c r="I2356" s="18" t="n">
        <f aca="false">IFERROR(VALUE(SUBSTITUTE(TRIM('수출입 실적(품목별)'!F2360),",","")),"")</f>
        <v>39.6</v>
      </c>
      <c r="J2356" s="19" t="n">
        <f aca="false">IFERROR(VALUE(SUBSTITUTE(TRIM('수출입 실적(품목별)'!G2360),",","")),"")</f>
        <v>227</v>
      </c>
      <c r="K2356" s="19" t="n">
        <f aca="false">IFERROR(VALUE(SUBSTITUTE(TRIM('수출입 실적(품목별)'!H2360),",","")),"")</f>
        <v>-212</v>
      </c>
    </row>
    <row r="2357" customFormat="false" ht="15" hidden="false" customHeight="true" outlineLevel="0" collapsed="false">
      <c r="A2357" s="11" t="str">
        <f aca="false">TRIM('수출입 실적(품목별)'!A2361)</f>
        <v>2026.01</v>
      </c>
      <c r="B2357" s="17" t="n">
        <f aca="false">IFERROR(VALUE(LEFT($A2357,4)),"")</f>
        <v>2026</v>
      </c>
      <c r="C2357" s="17" t="n">
        <f aca="false">IFERROR(VALUE(RIGHT($A2357,2)),"")</f>
        <v>1</v>
      </c>
      <c r="D2357" s="17" t="n">
        <f aca="false">IFERROR(ROUNDUP($C2357/3,0),"")</f>
        <v>1</v>
      </c>
      <c r="E2357" s="11" t="str">
        <f aca="false">TRIM('수출입 실적(품목별)'!B2361)</f>
        <v>46</v>
      </c>
      <c r="F2357" s="11" t="str">
        <f aca="false">TRIM('수출입 실적(품목별)'!C2361)</f>
        <v>짚ㆍ에스파르토(esparto)나 그 밖의 조물 재료의 제품, 바구니 세공물(basketware)과 지조세공물(枝條細工物)</v>
      </c>
      <c r="G2357" s="18" t="n">
        <f aca="false">IFERROR(VALUE(SUBSTITUTE(TRIM('수출입 실적(품목별)'!D2361),",","")),"")</f>
        <v>2.1</v>
      </c>
      <c r="H2357" s="19" t="n">
        <f aca="false">IFERROR(VALUE(SUBSTITUTE(TRIM('수출입 실적(품목별)'!E2361),",","")),"")</f>
        <v>42</v>
      </c>
      <c r="I2357" s="18" t="n">
        <f aca="false">IFERROR(VALUE(SUBSTITUTE(TRIM('수출입 실적(품목별)'!F2361),",","")),"")</f>
        <v>424.2</v>
      </c>
      <c r="J2357" s="19" t="n">
        <f aca="false">IFERROR(VALUE(SUBSTITUTE(TRIM('수출입 실적(품목별)'!G2361),",","")),"")</f>
        <v>1759</v>
      </c>
      <c r="K2357" s="19" t="n">
        <f aca="false">IFERROR(VALUE(SUBSTITUTE(TRIM('수출입 실적(품목별)'!H2361),",","")),"")</f>
        <v>-1717</v>
      </c>
    </row>
    <row r="2358" customFormat="false" ht="15" hidden="false" customHeight="true" outlineLevel="0" collapsed="false">
      <c r="A2358" s="11" t="str">
        <f aca="false">TRIM('수출입 실적(품목별)'!A2362)</f>
        <v>2026.01</v>
      </c>
      <c r="B2358" s="17" t="n">
        <f aca="false">IFERROR(VALUE(LEFT($A2358,4)),"")</f>
        <v>2026</v>
      </c>
      <c r="C2358" s="17" t="n">
        <f aca="false">IFERROR(VALUE(RIGHT($A2358,2)),"")</f>
        <v>1</v>
      </c>
      <c r="D2358" s="17" t="n">
        <f aca="false">IFERROR(ROUNDUP($C2358/3,0),"")</f>
        <v>1</v>
      </c>
      <c r="E2358" s="11" t="str">
        <f aca="false">TRIM('수출입 실적(품목별)'!B2362)</f>
        <v>47</v>
      </c>
      <c r="F2358" s="11" t="str">
        <f aca="false">TRIM('수출입 실적(품목별)'!C2362)</f>
        <v>목재나 그 밖의 섬유질 셀룰로오스재료의 펄프, 회수한 종이ㆍ판지[웨이스트(waste)와 스크랩(scrap)]</v>
      </c>
      <c r="G2358" s="18" t="n">
        <f aca="false">IFERROR(VALUE(SUBSTITUTE(TRIM('수출입 실적(품목별)'!D2362),",","")),"")</f>
        <v>39265.9</v>
      </c>
      <c r="H2358" s="19" t="n">
        <f aca="false">IFERROR(VALUE(SUBSTITUTE(TRIM('수출입 실적(품목별)'!E2362),",","")),"")</f>
        <v>9575</v>
      </c>
      <c r="I2358" s="18" t="n">
        <f aca="false">IFERROR(VALUE(SUBSTITUTE(TRIM('수출입 실적(품목별)'!F2362),",","")),"")</f>
        <v>230910.3</v>
      </c>
      <c r="J2358" s="19" t="n">
        <f aca="false">IFERROR(VALUE(SUBSTITUTE(TRIM('수출입 실적(품목별)'!G2362),",","")),"")</f>
        <v>116111</v>
      </c>
      <c r="K2358" s="19" t="n">
        <f aca="false">IFERROR(VALUE(SUBSTITUTE(TRIM('수출입 실적(품목별)'!H2362),",","")),"")</f>
        <v>-106535</v>
      </c>
    </row>
    <row r="2359" customFormat="false" ht="15" hidden="false" customHeight="true" outlineLevel="0" collapsed="false">
      <c r="A2359" s="11" t="str">
        <f aca="false">TRIM('수출입 실적(품목별)'!A2363)</f>
        <v>2026.01</v>
      </c>
      <c r="B2359" s="17" t="n">
        <f aca="false">IFERROR(VALUE(LEFT($A2359,4)),"")</f>
        <v>2026</v>
      </c>
      <c r="C2359" s="17" t="n">
        <f aca="false">IFERROR(VALUE(RIGHT($A2359,2)),"")</f>
        <v>1</v>
      </c>
      <c r="D2359" s="17" t="n">
        <f aca="false">IFERROR(ROUNDUP($C2359/3,0),"")</f>
        <v>1</v>
      </c>
      <c r="E2359" s="11" t="str">
        <f aca="false">TRIM('수출입 실적(품목별)'!B2363)</f>
        <v>48</v>
      </c>
      <c r="F2359" s="11" t="str">
        <f aca="false">TRIM('수출입 실적(품목별)'!C2363)</f>
        <v>종이와 판지, 제지용 펄프ㆍ종이ㆍ판지의 제품</v>
      </c>
      <c r="G2359" s="18" t="n">
        <f aca="false">IFERROR(VALUE(SUBSTITUTE(TRIM('수출입 실적(품목별)'!D2363),",","")),"")</f>
        <v>230159</v>
      </c>
      <c r="H2359" s="19" t="n">
        <f aca="false">IFERROR(VALUE(SUBSTITUTE(TRIM('수출입 실적(품목별)'!E2363),",","")),"")</f>
        <v>221867</v>
      </c>
      <c r="I2359" s="18" t="n">
        <f aca="false">IFERROR(VALUE(SUBSTITUTE(TRIM('수출입 실적(품목별)'!F2363),",","")),"")</f>
        <v>131989.8</v>
      </c>
      <c r="J2359" s="19" t="n">
        <f aca="false">IFERROR(VALUE(SUBSTITUTE(TRIM('수출입 실적(품목별)'!G2363),",","")),"")</f>
        <v>196568</v>
      </c>
      <c r="K2359" s="19" t="n">
        <f aca="false">IFERROR(VALUE(SUBSTITUTE(TRIM('수출입 실적(품목별)'!H2363),",","")),"")</f>
        <v>25299</v>
      </c>
    </row>
    <row r="2360" customFormat="false" ht="15" hidden="false" customHeight="true" outlineLevel="0" collapsed="false">
      <c r="A2360" s="11" t="str">
        <f aca="false">TRIM('수출입 실적(품목별)'!A2364)</f>
        <v>2026.01</v>
      </c>
      <c r="B2360" s="17" t="n">
        <f aca="false">IFERROR(VALUE(LEFT($A2360,4)),"")</f>
        <v>2026</v>
      </c>
      <c r="C2360" s="17" t="n">
        <f aca="false">IFERROR(VALUE(RIGHT($A2360,2)),"")</f>
        <v>1</v>
      </c>
      <c r="D2360" s="17" t="n">
        <f aca="false">IFERROR(ROUNDUP($C2360/3,0),"")</f>
        <v>1</v>
      </c>
      <c r="E2360" s="11" t="str">
        <f aca="false">TRIM('수출입 실적(품목별)'!B2364)</f>
        <v>49</v>
      </c>
      <c r="F2360" s="11" t="str">
        <f aca="false">TRIM('수출입 실적(품목별)'!C2364)</f>
        <v>인쇄서적ㆍ신문ㆍ회화ㆍ그 밖의 인쇄물, 수제(手製)문서ㆍ타자문서ㆍ도면</v>
      </c>
      <c r="G2360" s="18" t="n">
        <f aca="false">IFERROR(VALUE(SUBSTITUTE(TRIM('수출입 실적(품목별)'!D2364),",","")),"")</f>
        <v>2734.5</v>
      </c>
      <c r="H2360" s="19" t="n">
        <f aca="false">IFERROR(VALUE(SUBSTITUTE(TRIM('수출입 실적(품목별)'!E2364),",","")),"")</f>
        <v>28473</v>
      </c>
      <c r="I2360" s="18" t="n">
        <f aca="false">IFERROR(VALUE(SUBSTITUTE(TRIM('수출입 실적(품목별)'!F2364),",","")),"")</f>
        <v>1287.3</v>
      </c>
      <c r="J2360" s="19" t="n">
        <f aca="false">IFERROR(VALUE(SUBSTITUTE(TRIM('수출입 실적(품목별)'!G2364),",","")),"")</f>
        <v>20897</v>
      </c>
      <c r="K2360" s="19" t="n">
        <f aca="false">IFERROR(VALUE(SUBSTITUTE(TRIM('수출입 실적(품목별)'!H2364),",","")),"")</f>
        <v>7576</v>
      </c>
    </row>
    <row r="2361" customFormat="false" ht="15" hidden="false" customHeight="true" outlineLevel="0" collapsed="false">
      <c r="A2361" s="11" t="str">
        <f aca="false">TRIM('수출입 실적(품목별)'!A2365)</f>
        <v>2026.01</v>
      </c>
      <c r="B2361" s="17" t="n">
        <f aca="false">IFERROR(VALUE(LEFT($A2361,4)),"")</f>
        <v>2026</v>
      </c>
      <c r="C2361" s="17" t="n">
        <f aca="false">IFERROR(VALUE(RIGHT($A2361,2)),"")</f>
        <v>1</v>
      </c>
      <c r="D2361" s="17" t="n">
        <f aca="false">IFERROR(ROUNDUP($C2361/3,0),"")</f>
        <v>1</v>
      </c>
      <c r="E2361" s="11" t="str">
        <f aca="false">TRIM('수출입 실적(품목별)'!B2365)</f>
        <v>50</v>
      </c>
      <c r="F2361" s="11" t="str">
        <f aca="false">TRIM('수출입 실적(품목별)'!C2365)</f>
        <v>견</v>
      </c>
      <c r="G2361" s="18" t="n">
        <f aca="false">IFERROR(VALUE(SUBSTITUTE(TRIM('수출입 실적(품목별)'!D2365),",","")),"")</f>
        <v>10.2</v>
      </c>
      <c r="H2361" s="19" t="n">
        <f aca="false">IFERROR(VALUE(SUBSTITUTE(TRIM('수출입 실적(품목별)'!E2365),",","")),"")</f>
        <v>1579</v>
      </c>
      <c r="I2361" s="18" t="n">
        <f aca="false">IFERROR(VALUE(SUBSTITUTE(TRIM('수출입 실적(품목별)'!F2365),",","")),"")</f>
        <v>22.6</v>
      </c>
      <c r="J2361" s="19" t="n">
        <f aca="false">IFERROR(VALUE(SUBSTITUTE(TRIM('수출입 실적(품목별)'!G2365),",","")),"")</f>
        <v>2137</v>
      </c>
      <c r="K2361" s="19" t="n">
        <f aca="false">IFERROR(VALUE(SUBSTITUTE(TRIM('수출입 실적(품목별)'!H2365),",","")),"")</f>
        <v>-558</v>
      </c>
    </row>
    <row r="2362" customFormat="false" ht="15" hidden="false" customHeight="true" outlineLevel="0" collapsed="false">
      <c r="A2362" s="11" t="str">
        <f aca="false">TRIM('수출입 실적(품목별)'!A2366)</f>
        <v>2026.01</v>
      </c>
      <c r="B2362" s="17" t="n">
        <f aca="false">IFERROR(VALUE(LEFT($A2362,4)),"")</f>
        <v>2026</v>
      </c>
      <c r="C2362" s="17" t="n">
        <f aca="false">IFERROR(VALUE(RIGHT($A2362,2)),"")</f>
        <v>1</v>
      </c>
      <c r="D2362" s="17" t="n">
        <f aca="false">IFERROR(ROUNDUP($C2362/3,0),"")</f>
        <v>1</v>
      </c>
      <c r="E2362" s="11" t="str">
        <f aca="false">TRIM('수출입 실적(품목별)'!B2366)</f>
        <v>51</v>
      </c>
      <c r="F2362" s="11" t="str">
        <f aca="false">TRIM('수출입 실적(품목별)'!C2366)</f>
        <v>양모ㆍ동물의 부드러운 털이나 거친 털ㆍ말의 털로 만든 실과 직물</v>
      </c>
      <c r="G2362" s="18" t="n">
        <f aca="false">IFERROR(VALUE(SUBSTITUTE(TRIM('수출입 실적(품목별)'!D2366),",","")),"")</f>
        <v>67.1</v>
      </c>
      <c r="H2362" s="19" t="n">
        <f aca="false">IFERROR(VALUE(SUBSTITUTE(TRIM('수출입 실적(품목별)'!E2366),",","")),"")</f>
        <v>1855</v>
      </c>
      <c r="I2362" s="18" t="n">
        <f aca="false">IFERROR(VALUE(SUBSTITUTE(TRIM('수출입 실적(품목별)'!F2366),",","")),"")</f>
        <v>548.7</v>
      </c>
      <c r="J2362" s="19" t="n">
        <f aca="false">IFERROR(VALUE(SUBSTITUTE(TRIM('수출입 실적(품목별)'!G2366),",","")),"")</f>
        <v>9912</v>
      </c>
      <c r="K2362" s="19" t="n">
        <f aca="false">IFERROR(VALUE(SUBSTITUTE(TRIM('수출입 실적(품목별)'!H2366),",","")),"")</f>
        <v>-8057</v>
      </c>
    </row>
    <row r="2363" customFormat="false" ht="15" hidden="false" customHeight="true" outlineLevel="0" collapsed="false">
      <c r="A2363" s="11" t="str">
        <f aca="false">TRIM('수출입 실적(품목별)'!A2367)</f>
        <v>2026.01</v>
      </c>
      <c r="B2363" s="17" t="n">
        <f aca="false">IFERROR(VALUE(LEFT($A2363,4)),"")</f>
        <v>2026</v>
      </c>
      <c r="C2363" s="17" t="n">
        <f aca="false">IFERROR(VALUE(RIGHT($A2363,2)),"")</f>
        <v>1</v>
      </c>
      <c r="D2363" s="17" t="n">
        <f aca="false">IFERROR(ROUNDUP($C2363/3,0),"")</f>
        <v>1</v>
      </c>
      <c r="E2363" s="11" t="str">
        <f aca="false">TRIM('수출입 실적(품목별)'!B2367)</f>
        <v>52</v>
      </c>
      <c r="F2363" s="11" t="str">
        <f aca="false">TRIM('수출입 실적(품목별)'!C2367)</f>
        <v>면</v>
      </c>
      <c r="G2363" s="18" t="n">
        <f aca="false">IFERROR(VALUE(SUBSTITUTE(TRIM('수출입 실적(품목별)'!D2367),",","")),"")</f>
        <v>2933.3</v>
      </c>
      <c r="H2363" s="19" t="n">
        <f aca="false">IFERROR(VALUE(SUBSTITUTE(TRIM('수출입 실적(품목별)'!E2367),",","")),"")</f>
        <v>21816</v>
      </c>
      <c r="I2363" s="18" t="n">
        <f aca="false">IFERROR(VALUE(SUBSTITUTE(TRIM('수출입 실적(품목별)'!F2367),",","")),"")</f>
        <v>17648.5</v>
      </c>
      <c r="J2363" s="19" t="n">
        <f aca="false">IFERROR(VALUE(SUBSTITUTE(TRIM('수출입 실적(품목별)'!G2367),",","")),"")</f>
        <v>53043</v>
      </c>
      <c r="K2363" s="19" t="n">
        <f aca="false">IFERROR(VALUE(SUBSTITUTE(TRIM('수출입 실적(품목별)'!H2367),",","")),"")</f>
        <v>-31227</v>
      </c>
    </row>
    <row r="2364" customFormat="false" ht="15" hidden="false" customHeight="true" outlineLevel="0" collapsed="false">
      <c r="A2364" s="11" t="str">
        <f aca="false">TRIM('수출입 실적(품목별)'!A2368)</f>
        <v>2026.01</v>
      </c>
      <c r="B2364" s="17" t="n">
        <f aca="false">IFERROR(VALUE(LEFT($A2364,4)),"")</f>
        <v>2026</v>
      </c>
      <c r="C2364" s="17" t="n">
        <f aca="false">IFERROR(VALUE(RIGHT($A2364,2)),"")</f>
        <v>1</v>
      </c>
      <c r="D2364" s="17" t="n">
        <f aca="false">IFERROR(ROUNDUP($C2364/3,0),"")</f>
        <v>1</v>
      </c>
      <c r="E2364" s="11" t="str">
        <f aca="false">TRIM('수출입 실적(품목별)'!B2368)</f>
        <v>53</v>
      </c>
      <c r="F2364" s="11" t="str">
        <f aca="false">TRIM('수출입 실적(품목별)'!C2368)</f>
        <v>그 밖의 식물성 방직용 섬유, 종이실(paper yarn)과 종이실로 만든 직물</v>
      </c>
      <c r="G2364" s="18" t="n">
        <f aca="false">IFERROR(VALUE(SUBSTITUTE(TRIM('수출입 실적(품목별)'!D2368),",","")),"")</f>
        <v>31.4</v>
      </c>
      <c r="H2364" s="19" t="n">
        <f aca="false">IFERROR(VALUE(SUBSTITUTE(TRIM('수출입 실적(품목별)'!E2368),",","")),"")</f>
        <v>828</v>
      </c>
      <c r="I2364" s="18" t="n">
        <f aca="false">IFERROR(VALUE(SUBSTITUTE(TRIM('수출입 실적(품목별)'!F2368),",","")),"")</f>
        <v>1089.6</v>
      </c>
      <c r="J2364" s="19" t="n">
        <f aca="false">IFERROR(VALUE(SUBSTITUTE(TRIM('수출입 실적(품목별)'!G2368),",","")),"")</f>
        <v>3870</v>
      </c>
      <c r="K2364" s="19" t="n">
        <f aca="false">IFERROR(VALUE(SUBSTITUTE(TRIM('수출입 실적(품목별)'!H2368),",","")),"")</f>
        <v>-3041</v>
      </c>
    </row>
    <row r="2365" customFormat="false" ht="15" hidden="false" customHeight="true" outlineLevel="0" collapsed="false">
      <c r="A2365" s="11" t="str">
        <f aca="false">TRIM('수출입 실적(품목별)'!A2369)</f>
        <v>2026.01</v>
      </c>
      <c r="B2365" s="17" t="n">
        <f aca="false">IFERROR(VALUE(LEFT($A2365,4)),"")</f>
        <v>2026</v>
      </c>
      <c r="C2365" s="17" t="n">
        <f aca="false">IFERROR(VALUE(RIGHT($A2365,2)),"")</f>
        <v>1</v>
      </c>
      <c r="D2365" s="17" t="n">
        <f aca="false">IFERROR(ROUNDUP($C2365/3,0),"")</f>
        <v>1</v>
      </c>
      <c r="E2365" s="11" t="str">
        <f aca="false">TRIM('수출입 실적(품목별)'!B2369)</f>
        <v>54</v>
      </c>
      <c r="F2365" s="11" t="str">
        <f aca="false">TRIM('수출입 실적(품목별)'!C2369)</f>
        <v>인조필라멘트, 인조방직용 섬유재료의 스트립(strip)과 이와 유사한 것</v>
      </c>
      <c r="G2365" s="18" t="n">
        <f aca="false">IFERROR(VALUE(SUBSTITUTE(TRIM('수출입 실적(품목별)'!D2369),",","")),"")</f>
        <v>21529.6</v>
      </c>
      <c r="H2365" s="19" t="n">
        <f aca="false">IFERROR(VALUE(SUBSTITUTE(TRIM('수출입 실적(품목별)'!E2369),",","")),"")</f>
        <v>140695</v>
      </c>
      <c r="I2365" s="18" t="n">
        <f aca="false">IFERROR(VALUE(SUBSTITUTE(TRIM('수출입 실적(품목별)'!F2369),",","")),"")</f>
        <v>39389</v>
      </c>
      <c r="J2365" s="19" t="n">
        <f aca="false">IFERROR(VALUE(SUBSTITUTE(TRIM('수출입 실적(품목별)'!G2369),",","")),"")</f>
        <v>82977</v>
      </c>
      <c r="K2365" s="19" t="n">
        <f aca="false">IFERROR(VALUE(SUBSTITUTE(TRIM('수출입 실적(품목별)'!H2369),",","")),"")</f>
        <v>57718</v>
      </c>
    </row>
    <row r="2366" customFormat="false" ht="15" hidden="false" customHeight="true" outlineLevel="0" collapsed="false">
      <c r="A2366" s="11" t="str">
        <f aca="false">TRIM('수출입 실적(품목별)'!A2370)</f>
        <v>2026.01</v>
      </c>
      <c r="B2366" s="17" t="n">
        <f aca="false">IFERROR(VALUE(LEFT($A2366,4)),"")</f>
        <v>2026</v>
      </c>
      <c r="C2366" s="17" t="n">
        <f aca="false">IFERROR(VALUE(RIGHT($A2366,2)),"")</f>
        <v>1</v>
      </c>
      <c r="D2366" s="17" t="n">
        <f aca="false">IFERROR(ROUNDUP($C2366/3,0),"")</f>
        <v>1</v>
      </c>
      <c r="E2366" s="11" t="str">
        <f aca="false">TRIM('수출입 실적(품목별)'!B2370)</f>
        <v>55</v>
      </c>
      <c r="F2366" s="11" t="str">
        <f aca="false">TRIM('수출입 실적(품목별)'!C2370)</f>
        <v>인조스테이플섬유</v>
      </c>
      <c r="G2366" s="18" t="n">
        <f aca="false">IFERROR(VALUE(SUBSTITUTE(TRIM('수출입 실적(품목별)'!D2370),",","")),"")</f>
        <v>53679.5</v>
      </c>
      <c r="H2366" s="19" t="n">
        <f aca="false">IFERROR(VALUE(SUBSTITUTE(TRIM('수출입 실적(품목별)'!E2370),",","")),"")</f>
        <v>98558</v>
      </c>
      <c r="I2366" s="18" t="n">
        <f aca="false">IFERROR(VALUE(SUBSTITUTE(TRIM('수출입 실적(품목별)'!F2370),",","")),"")</f>
        <v>12740.5</v>
      </c>
      <c r="J2366" s="19" t="n">
        <f aca="false">IFERROR(VALUE(SUBSTITUTE(TRIM('수출입 실적(품목별)'!G2370),",","")),"")</f>
        <v>44257</v>
      </c>
      <c r="K2366" s="19" t="n">
        <f aca="false">IFERROR(VALUE(SUBSTITUTE(TRIM('수출입 실적(품목별)'!H2370),",","")),"")</f>
        <v>54301</v>
      </c>
    </row>
    <row r="2367" customFormat="false" ht="15" hidden="false" customHeight="true" outlineLevel="0" collapsed="false">
      <c r="A2367" s="11" t="str">
        <f aca="false">TRIM('수출입 실적(품목별)'!A2371)</f>
        <v>2026.01</v>
      </c>
      <c r="B2367" s="17" t="n">
        <f aca="false">IFERROR(VALUE(LEFT($A2367,4)),"")</f>
        <v>2026</v>
      </c>
      <c r="C2367" s="17" t="n">
        <f aca="false">IFERROR(VALUE(RIGHT($A2367,2)),"")</f>
        <v>1</v>
      </c>
      <c r="D2367" s="17" t="n">
        <f aca="false">IFERROR(ROUNDUP($C2367/3,0),"")</f>
        <v>1</v>
      </c>
      <c r="E2367" s="11" t="str">
        <f aca="false">TRIM('수출입 실적(품목별)'!B2371)</f>
        <v>56</v>
      </c>
      <c r="F2367" s="11" t="str">
        <f aca="false">TRIM('수출입 실적(품목별)'!C2371)</f>
        <v>워딩(wadding)ㆍ펠트(felt)ㆍ부직포, 특수사, 끈ㆍ배의 밧줄(cordage)ㆍ로프ㆍ케이블과 이들의 제품</v>
      </c>
      <c r="G2367" s="18" t="n">
        <f aca="false">IFERROR(VALUE(SUBSTITUTE(TRIM('수출입 실적(품목별)'!D2371),",","")),"")</f>
        <v>9869.9</v>
      </c>
      <c r="H2367" s="19" t="n">
        <f aca="false">IFERROR(VALUE(SUBSTITUTE(TRIM('수출입 실적(품목별)'!E2371),",","")),"")</f>
        <v>57171</v>
      </c>
      <c r="I2367" s="18" t="n">
        <f aca="false">IFERROR(VALUE(SUBSTITUTE(TRIM('수출입 실적(품목별)'!F2371),",","")),"")</f>
        <v>18978.7</v>
      </c>
      <c r="J2367" s="19" t="n">
        <f aca="false">IFERROR(VALUE(SUBSTITUTE(TRIM('수출입 실적(품목별)'!G2371),",","")),"")</f>
        <v>55554</v>
      </c>
      <c r="K2367" s="19" t="n">
        <f aca="false">IFERROR(VALUE(SUBSTITUTE(TRIM('수출입 실적(품목별)'!H2371),",","")),"")</f>
        <v>1617</v>
      </c>
    </row>
    <row r="2368" customFormat="false" ht="15" hidden="false" customHeight="true" outlineLevel="0" collapsed="false">
      <c r="A2368" s="11" t="str">
        <f aca="false">TRIM('수출입 실적(품목별)'!A2372)</f>
        <v>2026.01</v>
      </c>
      <c r="B2368" s="17" t="n">
        <f aca="false">IFERROR(VALUE(LEFT($A2368,4)),"")</f>
        <v>2026</v>
      </c>
      <c r="C2368" s="17" t="n">
        <f aca="false">IFERROR(VALUE(RIGHT($A2368,2)),"")</f>
        <v>1</v>
      </c>
      <c r="D2368" s="17" t="n">
        <f aca="false">IFERROR(ROUNDUP($C2368/3,0),"")</f>
        <v>1</v>
      </c>
      <c r="E2368" s="11" t="str">
        <f aca="false">TRIM('수출입 실적(품목별)'!B2372)</f>
        <v>57</v>
      </c>
      <c r="F2368" s="11" t="str">
        <f aca="false">TRIM('수출입 실적(품목별)'!C2372)</f>
        <v>양탄자류와 그 밖의 방직용 섬유로 만든 바닥깔개</v>
      </c>
      <c r="G2368" s="18" t="n">
        <f aca="false">IFERROR(VALUE(SUBSTITUTE(TRIM('수출입 실적(품목별)'!D2372),",","")),"")</f>
        <v>413.7</v>
      </c>
      <c r="H2368" s="19" t="n">
        <f aca="false">IFERROR(VALUE(SUBSTITUTE(TRIM('수출입 실적(품목별)'!E2372),",","")),"")</f>
        <v>4585</v>
      </c>
      <c r="I2368" s="18" t="n">
        <f aca="false">IFERROR(VALUE(SUBSTITUTE(TRIM('수출입 실적(품목별)'!F2372),",","")),"")</f>
        <v>4994.3</v>
      </c>
      <c r="J2368" s="19" t="n">
        <f aca="false">IFERROR(VALUE(SUBSTITUTE(TRIM('수출입 실적(품목별)'!G2372),",","")),"")</f>
        <v>9678</v>
      </c>
      <c r="K2368" s="19" t="n">
        <f aca="false">IFERROR(VALUE(SUBSTITUTE(TRIM('수출입 실적(품목별)'!H2372),",","")),"")</f>
        <v>-5093</v>
      </c>
    </row>
    <row r="2369" customFormat="false" ht="15" hidden="false" customHeight="true" outlineLevel="0" collapsed="false">
      <c r="A2369" s="11" t="str">
        <f aca="false">TRIM('수출입 실적(품목별)'!A2373)</f>
        <v>2026.01</v>
      </c>
      <c r="B2369" s="17" t="n">
        <f aca="false">IFERROR(VALUE(LEFT($A2369,4)),"")</f>
        <v>2026</v>
      </c>
      <c r="C2369" s="17" t="n">
        <f aca="false">IFERROR(VALUE(RIGHT($A2369,2)),"")</f>
        <v>1</v>
      </c>
      <c r="D2369" s="17" t="n">
        <f aca="false">IFERROR(ROUNDUP($C2369/3,0),"")</f>
        <v>1</v>
      </c>
      <c r="E2369" s="11" t="str">
        <f aca="false">TRIM('수출입 실적(품목별)'!B2373)</f>
        <v>58</v>
      </c>
      <c r="F2369" s="11" t="str">
        <f aca="false">TRIM('수출입 실적(품목별)'!C2373)</f>
        <v>특수직물, 터프트(tuft)한 직물, 레이스, 태피스트리(tapestry), 트리밍(trimming), 자수천</v>
      </c>
      <c r="G2369" s="18" t="n">
        <f aca="false">IFERROR(VALUE(SUBSTITUTE(TRIM('수출입 실적(품목별)'!D2373),",","")),"")</f>
        <v>1214.4</v>
      </c>
      <c r="H2369" s="19" t="n">
        <f aca="false">IFERROR(VALUE(SUBSTITUTE(TRIM('수출입 실적(품목별)'!E2373),",","")),"")</f>
        <v>15260</v>
      </c>
      <c r="I2369" s="18" t="n">
        <f aca="false">IFERROR(VALUE(SUBSTITUTE(TRIM('수출입 실적(품목별)'!F2373),",","")),"")</f>
        <v>733.8</v>
      </c>
      <c r="J2369" s="19" t="n">
        <f aca="false">IFERROR(VALUE(SUBSTITUTE(TRIM('수출입 실적(품목별)'!G2373),",","")),"")</f>
        <v>6117</v>
      </c>
      <c r="K2369" s="19" t="n">
        <f aca="false">IFERROR(VALUE(SUBSTITUTE(TRIM('수출입 실적(품목별)'!H2373),",","")),"")</f>
        <v>9143</v>
      </c>
    </row>
    <row r="2370" customFormat="false" ht="15" hidden="false" customHeight="true" outlineLevel="0" collapsed="false">
      <c r="A2370" s="11" t="str">
        <f aca="false">TRIM('수출입 실적(품목별)'!A2374)</f>
        <v>2026.01</v>
      </c>
      <c r="B2370" s="17" t="n">
        <f aca="false">IFERROR(VALUE(LEFT($A2370,4)),"")</f>
        <v>2026</v>
      </c>
      <c r="C2370" s="17" t="n">
        <f aca="false">IFERROR(VALUE(RIGHT($A2370,2)),"")</f>
        <v>1</v>
      </c>
      <c r="D2370" s="17" t="n">
        <f aca="false">IFERROR(ROUNDUP($C2370/3,0),"")</f>
        <v>1</v>
      </c>
      <c r="E2370" s="11" t="str">
        <f aca="false">TRIM('수출입 실적(품목별)'!B2374)</f>
        <v>59</v>
      </c>
      <c r="F2370" s="11" t="str">
        <f aca="false">TRIM('수출입 실적(품목별)'!C2374)</f>
        <v>침투ㆍ도포ㆍ피복하거나 적층한 방직용 섬유의 직물, 공업용인 방직용 섬유제품</v>
      </c>
      <c r="G2370" s="18" t="n">
        <f aca="false">IFERROR(VALUE(SUBSTITUTE(TRIM('수출입 실적(품목별)'!D2374),",","")),"")</f>
        <v>8843.6</v>
      </c>
      <c r="H2370" s="19" t="n">
        <f aca="false">IFERROR(VALUE(SUBSTITUTE(TRIM('수출입 실적(품목별)'!E2374),",","")),"")</f>
        <v>94853</v>
      </c>
      <c r="I2370" s="18" t="n">
        <f aca="false">IFERROR(VALUE(SUBSTITUTE(TRIM('수출입 실적(품목별)'!F2374),",","")),"")</f>
        <v>5748.8</v>
      </c>
      <c r="J2370" s="19" t="n">
        <f aca="false">IFERROR(VALUE(SUBSTITUTE(TRIM('수출입 실적(품목별)'!G2374),",","")),"")</f>
        <v>34450</v>
      </c>
      <c r="K2370" s="19" t="n">
        <f aca="false">IFERROR(VALUE(SUBSTITUTE(TRIM('수출입 실적(품목별)'!H2374),",","")),"")</f>
        <v>60403</v>
      </c>
    </row>
    <row r="2371" customFormat="false" ht="15" hidden="false" customHeight="true" outlineLevel="0" collapsed="false">
      <c r="A2371" s="11" t="str">
        <f aca="false">TRIM('수출입 실적(품목별)'!A2375)</f>
        <v>2026.01</v>
      </c>
      <c r="B2371" s="17" t="n">
        <f aca="false">IFERROR(VALUE(LEFT($A2371,4)),"")</f>
        <v>2026</v>
      </c>
      <c r="C2371" s="17" t="n">
        <f aca="false">IFERROR(VALUE(RIGHT($A2371,2)),"")</f>
        <v>1</v>
      </c>
      <c r="D2371" s="17" t="n">
        <f aca="false">IFERROR(ROUNDUP($C2371/3,0),"")</f>
        <v>1</v>
      </c>
      <c r="E2371" s="11" t="str">
        <f aca="false">TRIM('수출입 실적(품목별)'!B2375)</f>
        <v>60</v>
      </c>
      <c r="F2371" s="11" t="str">
        <f aca="false">TRIM('수출입 실적(품목별)'!C2375)</f>
        <v>메리야스 편물과 뜨개질 편물</v>
      </c>
      <c r="G2371" s="18" t="n">
        <f aca="false">IFERROR(VALUE(SUBSTITUTE(TRIM('수출입 실적(품목별)'!D2375),",","")),"")</f>
        <v>15279.3</v>
      </c>
      <c r="H2371" s="19" t="n">
        <f aca="false">IFERROR(VALUE(SUBSTITUTE(TRIM('수출입 실적(품목별)'!E2375),",","")),"")</f>
        <v>113823</v>
      </c>
      <c r="I2371" s="18" t="n">
        <f aca="false">IFERROR(VALUE(SUBSTITUTE(TRIM('수출입 실적(품목별)'!F2375),",","")),"")</f>
        <v>2035</v>
      </c>
      <c r="J2371" s="19" t="n">
        <f aca="false">IFERROR(VALUE(SUBSTITUTE(TRIM('수출입 실적(품목별)'!G2375),",","")),"")</f>
        <v>9675</v>
      </c>
      <c r="K2371" s="19" t="n">
        <f aca="false">IFERROR(VALUE(SUBSTITUTE(TRIM('수출입 실적(품목별)'!H2375),",","")),"")</f>
        <v>104149</v>
      </c>
    </row>
    <row r="2372" customFormat="false" ht="15" hidden="false" customHeight="true" outlineLevel="0" collapsed="false">
      <c r="A2372" s="11" t="str">
        <f aca="false">TRIM('수출입 실적(품목별)'!A2376)</f>
        <v>2026.01</v>
      </c>
      <c r="B2372" s="17" t="n">
        <f aca="false">IFERROR(VALUE(LEFT($A2372,4)),"")</f>
        <v>2026</v>
      </c>
      <c r="C2372" s="17" t="n">
        <f aca="false">IFERROR(VALUE(RIGHT($A2372,2)),"")</f>
        <v>1</v>
      </c>
      <c r="D2372" s="17" t="n">
        <f aca="false">IFERROR(ROUNDUP($C2372/3,0),"")</f>
        <v>1</v>
      </c>
      <c r="E2372" s="11" t="str">
        <f aca="false">TRIM('수출입 실적(품목별)'!B2376)</f>
        <v>61</v>
      </c>
      <c r="F2372" s="11" t="str">
        <f aca="false">TRIM('수출입 실적(품목별)'!C2376)</f>
        <v>의류와 그 부속품(메리야스 편물이나 뜨개질 편물로 한정한다)</v>
      </c>
      <c r="G2372" s="18" t="n">
        <f aca="false">IFERROR(VALUE(SUBSTITUTE(TRIM('수출입 실적(품목별)'!D2376),",","")),"")</f>
        <v>2366.5</v>
      </c>
      <c r="H2372" s="19" t="n">
        <f aca="false">IFERROR(VALUE(SUBSTITUTE(TRIM('수출입 실적(품목별)'!E2376),",","")),"")</f>
        <v>62607</v>
      </c>
      <c r="I2372" s="18" t="n">
        <f aca="false">IFERROR(VALUE(SUBSTITUTE(TRIM('수출입 실적(품목별)'!F2376),",","")),"")</f>
        <v>22144.9</v>
      </c>
      <c r="J2372" s="19" t="n">
        <f aca="false">IFERROR(VALUE(SUBSTITUTE(TRIM('수출입 실적(품목별)'!G2376),",","")),"")</f>
        <v>426748</v>
      </c>
      <c r="K2372" s="19" t="n">
        <f aca="false">IFERROR(VALUE(SUBSTITUTE(TRIM('수출입 실적(품목별)'!H2376),",","")),"")</f>
        <v>-364142</v>
      </c>
    </row>
    <row r="2373" customFormat="false" ht="15" hidden="false" customHeight="true" outlineLevel="0" collapsed="false">
      <c r="A2373" s="11" t="str">
        <f aca="false">TRIM('수출입 실적(품목별)'!A2377)</f>
        <v>2026.01</v>
      </c>
      <c r="B2373" s="17" t="n">
        <f aca="false">IFERROR(VALUE(LEFT($A2373,4)),"")</f>
        <v>2026</v>
      </c>
      <c r="C2373" s="17" t="n">
        <f aca="false">IFERROR(VALUE(RIGHT($A2373,2)),"")</f>
        <v>1</v>
      </c>
      <c r="D2373" s="17" t="n">
        <f aca="false">IFERROR(ROUNDUP($C2373/3,0),"")</f>
        <v>1</v>
      </c>
      <c r="E2373" s="11" t="str">
        <f aca="false">TRIM('수출입 실적(품목별)'!B2377)</f>
        <v>62</v>
      </c>
      <c r="F2373" s="11" t="str">
        <f aca="false">TRIM('수출입 실적(품목별)'!C2377)</f>
        <v>의류와 그 부속품(메리야스 편물이나 뜨개질편물은 제외한다)</v>
      </c>
      <c r="G2373" s="18" t="n">
        <f aca="false">IFERROR(VALUE(SUBSTITUTE(TRIM('수출입 실적(품목별)'!D2377),",","")),"")</f>
        <v>2600.2</v>
      </c>
      <c r="H2373" s="19" t="n">
        <f aca="false">IFERROR(VALUE(SUBSTITUTE(TRIM('수출입 실적(품목별)'!E2377),",","")),"")</f>
        <v>70280</v>
      </c>
      <c r="I2373" s="18" t="n">
        <f aca="false">IFERROR(VALUE(SUBSTITUTE(TRIM('수출입 실적(품목별)'!F2377),",","")),"")</f>
        <v>19197.8</v>
      </c>
      <c r="J2373" s="19" t="n">
        <f aca="false">IFERROR(VALUE(SUBSTITUTE(TRIM('수출입 실적(품목별)'!G2377),",","")),"")</f>
        <v>578501</v>
      </c>
      <c r="K2373" s="19" t="n">
        <f aca="false">IFERROR(VALUE(SUBSTITUTE(TRIM('수출입 실적(품목별)'!H2377),",","")),"")</f>
        <v>-508221</v>
      </c>
    </row>
    <row r="2374" customFormat="false" ht="15" hidden="false" customHeight="true" outlineLevel="0" collapsed="false">
      <c r="A2374" s="11" t="str">
        <f aca="false">TRIM('수출입 실적(품목별)'!A2378)</f>
        <v>2026.01</v>
      </c>
      <c r="B2374" s="17" t="n">
        <f aca="false">IFERROR(VALUE(LEFT($A2374,4)),"")</f>
        <v>2026</v>
      </c>
      <c r="C2374" s="17" t="n">
        <f aca="false">IFERROR(VALUE(RIGHT($A2374,2)),"")</f>
        <v>1</v>
      </c>
      <c r="D2374" s="17" t="n">
        <f aca="false">IFERROR(ROUNDUP($C2374/3,0),"")</f>
        <v>1</v>
      </c>
      <c r="E2374" s="11" t="str">
        <f aca="false">TRIM('수출입 실적(품목별)'!B2378)</f>
        <v>63</v>
      </c>
      <c r="F2374" s="11" t="str">
        <f aca="false">TRIM('수출입 실적(품목별)'!C2378)</f>
        <v>제품으로 된 방직용 섬유의 그 밖의 물품, 세트, 사용하던 의류ㆍ방직용 섬유제품, 넝마</v>
      </c>
      <c r="G2374" s="18" t="n">
        <f aca="false">IFERROR(VALUE(SUBSTITUTE(TRIM('수출입 실적(품목별)'!D2378),",","")),"")</f>
        <v>23579.6</v>
      </c>
      <c r="H2374" s="19" t="n">
        <f aca="false">IFERROR(VALUE(SUBSTITUTE(TRIM('수출입 실적(품목별)'!E2378),",","")),"")</f>
        <v>46121</v>
      </c>
      <c r="I2374" s="18" t="n">
        <f aca="false">IFERROR(VALUE(SUBSTITUTE(TRIM('수출입 실적(품목별)'!F2378),",","")),"")</f>
        <v>24947.6</v>
      </c>
      <c r="J2374" s="19" t="n">
        <f aca="false">IFERROR(VALUE(SUBSTITUTE(TRIM('수출입 실적(품목별)'!G2378),",","")),"")</f>
        <v>107230</v>
      </c>
      <c r="K2374" s="19" t="n">
        <f aca="false">IFERROR(VALUE(SUBSTITUTE(TRIM('수출입 실적(품목별)'!H2378),",","")),"")</f>
        <v>-61109</v>
      </c>
    </row>
    <row r="2375" customFormat="false" ht="15" hidden="false" customHeight="true" outlineLevel="0" collapsed="false">
      <c r="A2375" s="11" t="str">
        <f aca="false">TRIM('수출입 실적(품목별)'!A2379)</f>
        <v>2026.01</v>
      </c>
      <c r="B2375" s="17" t="n">
        <f aca="false">IFERROR(VALUE(LEFT($A2375,4)),"")</f>
        <v>2026</v>
      </c>
      <c r="C2375" s="17" t="n">
        <f aca="false">IFERROR(VALUE(RIGHT($A2375,2)),"")</f>
        <v>1</v>
      </c>
      <c r="D2375" s="17" t="n">
        <f aca="false">IFERROR(ROUNDUP($C2375/3,0),"")</f>
        <v>1</v>
      </c>
      <c r="E2375" s="11" t="str">
        <f aca="false">TRIM('수출입 실적(품목별)'!B2379)</f>
        <v>64</v>
      </c>
      <c r="F2375" s="11" t="str">
        <f aca="false">TRIM('수출입 실적(품목별)'!C2379)</f>
        <v>신발류ㆍ각반과 이와 유사한 것, 이들의 부분품</v>
      </c>
      <c r="G2375" s="18" t="n">
        <f aca="false">IFERROR(VALUE(SUBSTITUTE(TRIM('수출입 실적(품목별)'!D2379),",","")),"")</f>
        <v>1271</v>
      </c>
      <c r="H2375" s="19" t="n">
        <f aca="false">IFERROR(VALUE(SUBSTITUTE(TRIM('수출입 실적(품목별)'!E2379),",","")),"")</f>
        <v>29027</v>
      </c>
      <c r="I2375" s="18" t="n">
        <f aca="false">IFERROR(VALUE(SUBSTITUTE(TRIM('수출입 실적(품목별)'!F2379),",","")),"")</f>
        <v>10790.8</v>
      </c>
      <c r="J2375" s="19" t="n">
        <f aca="false">IFERROR(VALUE(SUBSTITUTE(TRIM('수출입 실적(품목별)'!G2379),",","")),"")</f>
        <v>304454</v>
      </c>
      <c r="K2375" s="19" t="n">
        <f aca="false">IFERROR(VALUE(SUBSTITUTE(TRIM('수출입 실적(품목별)'!H2379),",","")),"")</f>
        <v>-275427</v>
      </c>
    </row>
    <row r="2376" customFormat="false" ht="15" hidden="false" customHeight="true" outlineLevel="0" collapsed="false">
      <c r="A2376" s="11" t="str">
        <f aca="false">TRIM('수출입 실적(품목별)'!A2380)</f>
        <v>2026.01</v>
      </c>
      <c r="B2376" s="17" t="n">
        <f aca="false">IFERROR(VALUE(LEFT($A2376,4)),"")</f>
        <v>2026</v>
      </c>
      <c r="C2376" s="17" t="n">
        <f aca="false">IFERROR(VALUE(RIGHT($A2376,2)),"")</f>
        <v>1</v>
      </c>
      <c r="D2376" s="17" t="n">
        <f aca="false">IFERROR(ROUNDUP($C2376/3,0),"")</f>
        <v>1</v>
      </c>
      <c r="E2376" s="11" t="str">
        <f aca="false">TRIM('수출입 실적(품목별)'!B2380)</f>
        <v>65</v>
      </c>
      <c r="F2376" s="11" t="str">
        <f aca="false">TRIM('수출입 실적(품목별)'!C2380)</f>
        <v>모자류와 그 부분품</v>
      </c>
      <c r="G2376" s="18" t="n">
        <f aca="false">IFERROR(VALUE(SUBSTITUTE(TRIM('수출입 실적(품목별)'!D2380),",","")),"")</f>
        <v>219.5</v>
      </c>
      <c r="H2376" s="19" t="n">
        <f aca="false">IFERROR(VALUE(SUBSTITUTE(TRIM('수출입 실적(품목별)'!E2380),",","")),"")</f>
        <v>9609</v>
      </c>
      <c r="I2376" s="18" t="n">
        <f aca="false">IFERROR(VALUE(SUBSTITUTE(TRIM('수출입 실적(품목별)'!F2380),",","")),"")</f>
        <v>798.2</v>
      </c>
      <c r="J2376" s="19" t="n">
        <f aca="false">IFERROR(VALUE(SUBSTITUTE(TRIM('수출입 실적(품목별)'!G2380),",","")),"")</f>
        <v>25172</v>
      </c>
      <c r="K2376" s="19" t="n">
        <f aca="false">IFERROR(VALUE(SUBSTITUTE(TRIM('수출입 실적(품목별)'!H2380),",","")),"")</f>
        <v>-15564</v>
      </c>
    </row>
    <row r="2377" customFormat="false" ht="15" hidden="false" customHeight="true" outlineLevel="0" collapsed="false">
      <c r="A2377" s="11" t="str">
        <f aca="false">TRIM('수출입 실적(품목별)'!A2381)</f>
        <v>2026.01</v>
      </c>
      <c r="B2377" s="17" t="n">
        <f aca="false">IFERROR(VALUE(LEFT($A2377,4)),"")</f>
        <v>2026</v>
      </c>
      <c r="C2377" s="17" t="n">
        <f aca="false">IFERROR(VALUE(RIGHT($A2377,2)),"")</f>
        <v>1</v>
      </c>
      <c r="D2377" s="17" t="n">
        <f aca="false">IFERROR(ROUNDUP($C2377/3,0),"")</f>
        <v>1</v>
      </c>
      <c r="E2377" s="11" t="str">
        <f aca="false">TRIM('수출입 실적(품목별)'!B2381)</f>
        <v>66</v>
      </c>
      <c r="F2377" s="11" t="str">
        <f aca="false">TRIM('수출입 실적(품목별)'!C2381)</f>
        <v>산류(傘類)ㆍ지팡이ㆍ시트스틱(seat-stick)ㆍ채찍ㆍ승마용 채찍과 이들의 부분품</v>
      </c>
      <c r="G2377" s="18" t="n">
        <f aca="false">IFERROR(VALUE(SUBSTITUTE(TRIM('수출입 실적(품목별)'!D2381),",","")),"")</f>
        <v>4</v>
      </c>
      <c r="H2377" s="19" t="n">
        <f aca="false">IFERROR(VALUE(SUBSTITUTE(TRIM('수출입 실적(품목별)'!E2381),",","")),"")</f>
        <v>136</v>
      </c>
      <c r="I2377" s="18" t="n">
        <f aca="false">IFERROR(VALUE(SUBSTITUTE(TRIM('수출입 실적(품목별)'!F2381),",","")),"")</f>
        <v>864.9</v>
      </c>
      <c r="J2377" s="19" t="n">
        <f aca="false">IFERROR(VALUE(SUBSTITUTE(TRIM('수출입 실적(품목별)'!G2381),",","")),"")</f>
        <v>6760</v>
      </c>
      <c r="K2377" s="19" t="n">
        <f aca="false">IFERROR(VALUE(SUBSTITUTE(TRIM('수출입 실적(품목별)'!H2381),",","")),"")</f>
        <v>-6625</v>
      </c>
    </row>
    <row r="2378" customFormat="false" ht="15" hidden="false" customHeight="true" outlineLevel="0" collapsed="false">
      <c r="A2378" s="11" t="str">
        <f aca="false">TRIM('수출입 실적(품목별)'!A2382)</f>
        <v>2026.01</v>
      </c>
      <c r="B2378" s="17" t="n">
        <f aca="false">IFERROR(VALUE(LEFT($A2378,4)),"")</f>
        <v>2026</v>
      </c>
      <c r="C2378" s="17" t="n">
        <f aca="false">IFERROR(VALUE(RIGHT($A2378,2)),"")</f>
        <v>1</v>
      </c>
      <c r="D2378" s="17" t="n">
        <f aca="false">IFERROR(ROUNDUP($C2378/3,0),"")</f>
        <v>1</v>
      </c>
      <c r="E2378" s="11" t="str">
        <f aca="false">TRIM('수출입 실적(품목별)'!B2382)</f>
        <v>67</v>
      </c>
      <c r="F2378" s="11" t="str">
        <f aca="false">TRIM('수출입 실적(품목별)'!C2382)</f>
        <v>조제 깃털ㆍ솜털과 그 제품, 조화, 사람 머리카락으로 된 제품</v>
      </c>
      <c r="G2378" s="18" t="n">
        <f aca="false">IFERROR(VALUE(SUBSTITUTE(TRIM('수출입 실적(품목별)'!D2382),",","")),"")</f>
        <v>20.3</v>
      </c>
      <c r="H2378" s="19" t="n">
        <f aca="false">IFERROR(VALUE(SUBSTITUTE(TRIM('수출입 실적(품목별)'!E2382),",","")),"")</f>
        <v>1443</v>
      </c>
      <c r="I2378" s="18" t="n">
        <f aca="false">IFERROR(VALUE(SUBSTITUTE(TRIM('수출입 실적(품목별)'!F2382),",","")),"")</f>
        <v>522.3</v>
      </c>
      <c r="J2378" s="19" t="n">
        <f aca="false">IFERROR(VALUE(SUBSTITUTE(TRIM('수출입 실적(품목별)'!G2382),",","")),"")</f>
        <v>8685</v>
      </c>
      <c r="K2378" s="19" t="n">
        <f aca="false">IFERROR(VALUE(SUBSTITUTE(TRIM('수출입 실적(품목별)'!H2382),",","")),"")</f>
        <v>-7242</v>
      </c>
    </row>
    <row r="2379" customFormat="false" ht="15" hidden="false" customHeight="true" outlineLevel="0" collapsed="false">
      <c r="A2379" s="11" t="str">
        <f aca="false">TRIM('수출입 실적(품목별)'!A2383)</f>
        <v>2026.01</v>
      </c>
      <c r="B2379" s="17" t="n">
        <f aca="false">IFERROR(VALUE(LEFT($A2379,4)),"")</f>
        <v>2026</v>
      </c>
      <c r="C2379" s="17" t="n">
        <f aca="false">IFERROR(VALUE(RIGHT($A2379,2)),"")</f>
        <v>1</v>
      </c>
      <c r="D2379" s="17" t="n">
        <f aca="false">IFERROR(ROUNDUP($C2379/3,0),"")</f>
        <v>1</v>
      </c>
      <c r="E2379" s="11" t="str">
        <f aca="false">TRIM('수출입 실적(품목별)'!B2383)</f>
        <v>68</v>
      </c>
      <c r="F2379" s="11" t="str">
        <f aca="false">TRIM('수출입 실적(품목별)'!C2383)</f>
        <v>돌ㆍ플라스터(plaster)ㆍ시멘트ㆍ석면ㆍ운모나 이와 유사한 재료의 제품</v>
      </c>
      <c r="G2379" s="18" t="n">
        <f aca="false">IFERROR(VALUE(SUBSTITUTE(TRIM('수출입 실적(품목별)'!D2383),",","")),"")</f>
        <v>10550.3</v>
      </c>
      <c r="H2379" s="19" t="n">
        <f aca="false">IFERROR(VALUE(SUBSTITUTE(TRIM('수출입 실적(품목별)'!E2383),",","")),"")</f>
        <v>79280</v>
      </c>
      <c r="I2379" s="18" t="n">
        <f aca="false">IFERROR(VALUE(SUBSTITUTE(TRIM('수출입 실적(품목별)'!F2383),",","")),"")</f>
        <v>160083.4</v>
      </c>
      <c r="J2379" s="19" t="n">
        <f aca="false">IFERROR(VALUE(SUBSTITUTE(TRIM('수출입 실적(품목별)'!G2383),",","")),"")</f>
        <v>102153</v>
      </c>
      <c r="K2379" s="19" t="n">
        <f aca="false">IFERROR(VALUE(SUBSTITUTE(TRIM('수출입 실적(품목별)'!H2383),",","")),"")</f>
        <v>-22873</v>
      </c>
    </row>
    <row r="2380" customFormat="false" ht="15" hidden="false" customHeight="true" outlineLevel="0" collapsed="false">
      <c r="A2380" s="11" t="str">
        <f aca="false">TRIM('수출입 실적(품목별)'!A2384)</f>
        <v>2026.01</v>
      </c>
      <c r="B2380" s="17" t="n">
        <f aca="false">IFERROR(VALUE(LEFT($A2380,4)),"")</f>
        <v>2026</v>
      </c>
      <c r="C2380" s="17" t="n">
        <f aca="false">IFERROR(VALUE(RIGHT($A2380,2)),"")</f>
        <v>1</v>
      </c>
      <c r="D2380" s="17" t="n">
        <f aca="false">IFERROR(ROUNDUP($C2380/3,0),"")</f>
        <v>1</v>
      </c>
      <c r="E2380" s="11" t="str">
        <f aca="false">TRIM('수출입 실적(품목별)'!B2384)</f>
        <v>69</v>
      </c>
      <c r="F2380" s="11" t="str">
        <f aca="false">TRIM('수출입 실적(품목별)'!C2384)</f>
        <v>도자제품</v>
      </c>
      <c r="G2380" s="18" t="n">
        <f aca="false">IFERROR(VALUE(SUBSTITUTE(TRIM('수출입 실적(품목별)'!D2384),",","")),"")</f>
        <v>2771.7</v>
      </c>
      <c r="H2380" s="19" t="n">
        <f aca="false">IFERROR(VALUE(SUBSTITUTE(TRIM('수출입 실적(품목별)'!E2384),",","")),"")</f>
        <v>34588</v>
      </c>
      <c r="I2380" s="18" t="n">
        <f aca="false">IFERROR(VALUE(SUBSTITUTE(TRIM('수출입 실적(품목별)'!F2384),",","")),"")</f>
        <v>129670.1</v>
      </c>
      <c r="J2380" s="19" t="n">
        <f aca="false">IFERROR(VALUE(SUBSTITUTE(TRIM('수출입 실적(품목별)'!G2384),",","")),"")</f>
        <v>140054</v>
      </c>
      <c r="K2380" s="19" t="n">
        <f aca="false">IFERROR(VALUE(SUBSTITUTE(TRIM('수출입 실적(품목별)'!H2384),",","")),"")</f>
        <v>-105465</v>
      </c>
    </row>
    <row r="2381" customFormat="false" ht="15" hidden="false" customHeight="true" outlineLevel="0" collapsed="false">
      <c r="A2381" s="11" t="str">
        <f aca="false">TRIM('수출입 실적(품목별)'!A2385)</f>
        <v>2026.01</v>
      </c>
      <c r="B2381" s="17" t="n">
        <f aca="false">IFERROR(VALUE(LEFT($A2381,4)),"")</f>
        <v>2026</v>
      </c>
      <c r="C2381" s="17" t="n">
        <f aca="false">IFERROR(VALUE(RIGHT($A2381,2)),"")</f>
        <v>1</v>
      </c>
      <c r="D2381" s="17" t="n">
        <f aca="false">IFERROR(ROUNDUP($C2381/3,0),"")</f>
        <v>1</v>
      </c>
      <c r="E2381" s="11" t="str">
        <f aca="false">TRIM('수출입 실적(품목별)'!B2385)</f>
        <v>70</v>
      </c>
      <c r="F2381" s="11" t="str">
        <f aca="false">TRIM('수출입 실적(품목별)'!C2385)</f>
        <v>유리와 유리제품</v>
      </c>
      <c r="G2381" s="18" t="n">
        <f aca="false">IFERROR(VALUE(SUBSTITUTE(TRIM('수출입 실적(품목별)'!D2385),",","")),"")</f>
        <v>25970.9</v>
      </c>
      <c r="H2381" s="19" t="n">
        <f aca="false">IFERROR(VALUE(SUBSTITUTE(TRIM('수출입 실적(품목별)'!E2385),",","")),"")</f>
        <v>141250</v>
      </c>
      <c r="I2381" s="18" t="n">
        <f aca="false">IFERROR(VALUE(SUBSTITUTE(TRIM('수출입 실적(품목별)'!F2385),",","")),"")</f>
        <v>76449.8</v>
      </c>
      <c r="J2381" s="19" t="n">
        <f aca="false">IFERROR(VALUE(SUBSTITUTE(TRIM('수출입 실적(품목별)'!G2385),",","")),"")</f>
        <v>227148</v>
      </c>
      <c r="K2381" s="19" t="n">
        <f aca="false">IFERROR(VALUE(SUBSTITUTE(TRIM('수출입 실적(품목별)'!H2385),",","")),"")</f>
        <v>-85898</v>
      </c>
    </row>
    <row r="2382" customFormat="false" ht="15" hidden="false" customHeight="true" outlineLevel="0" collapsed="false">
      <c r="A2382" s="11" t="str">
        <f aca="false">TRIM('수출입 실적(품목별)'!A2386)</f>
        <v>2026.01</v>
      </c>
      <c r="B2382" s="17" t="n">
        <f aca="false">IFERROR(VALUE(LEFT($A2382,4)),"")</f>
        <v>2026</v>
      </c>
      <c r="C2382" s="17" t="n">
        <f aca="false">IFERROR(VALUE(RIGHT($A2382,2)),"")</f>
        <v>1</v>
      </c>
      <c r="D2382" s="17" t="n">
        <f aca="false">IFERROR(ROUNDUP($C2382/3,0),"")</f>
        <v>1</v>
      </c>
      <c r="E2382" s="11" t="str">
        <f aca="false">TRIM('수출입 실적(품목별)'!B2386)</f>
        <v>71</v>
      </c>
      <c r="F2382" s="11" t="str">
        <f aca="false">TRIM('수출입 실적(품목별)'!C2386)</f>
        <v>천연진주ㆍ양식진주ㆍ귀석ㆍ반귀석ㆍ귀금속ㆍ귀금속을 입힌 금속과 이들의 제품, 모조 신변장식용품, 주화</v>
      </c>
      <c r="G2382" s="18" t="n">
        <f aca="false">IFERROR(VALUE(SUBSTITUTE(TRIM('수출입 실적(품목별)'!D2386),",","")),"")</f>
        <v>689.4</v>
      </c>
      <c r="H2382" s="19" t="n">
        <f aca="false">IFERROR(VALUE(SUBSTITUTE(TRIM('수출입 실적(품목별)'!E2386),",","")),"")</f>
        <v>902526</v>
      </c>
      <c r="I2382" s="18" t="n">
        <f aca="false">IFERROR(VALUE(SUBSTITUTE(TRIM('수출입 실적(품목별)'!F2386),",","")),"")</f>
        <v>1668.6</v>
      </c>
      <c r="J2382" s="19" t="n">
        <f aca="false">IFERROR(VALUE(SUBSTITUTE(TRIM('수출입 실적(품목별)'!G2386),",","")),"")</f>
        <v>1932630</v>
      </c>
      <c r="K2382" s="19" t="n">
        <f aca="false">IFERROR(VALUE(SUBSTITUTE(TRIM('수출입 실적(품목별)'!H2386),",","")),"")</f>
        <v>-1030105</v>
      </c>
    </row>
    <row r="2383" customFormat="false" ht="15" hidden="false" customHeight="true" outlineLevel="0" collapsed="false">
      <c r="A2383" s="11" t="str">
        <f aca="false">TRIM('수출입 실적(품목별)'!A2387)</f>
        <v>2026.01</v>
      </c>
      <c r="B2383" s="17" t="n">
        <f aca="false">IFERROR(VALUE(LEFT($A2383,4)),"")</f>
        <v>2026</v>
      </c>
      <c r="C2383" s="17" t="n">
        <f aca="false">IFERROR(VALUE(RIGHT($A2383,2)),"")</f>
        <v>1</v>
      </c>
      <c r="D2383" s="17" t="n">
        <f aca="false">IFERROR(ROUNDUP($C2383/3,0),"")</f>
        <v>1</v>
      </c>
      <c r="E2383" s="11" t="str">
        <f aca="false">TRIM('수출입 실적(품목별)'!B2387)</f>
        <v>72</v>
      </c>
      <c r="F2383" s="11" t="str">
        <f aca="false">TRIM('수출입 실적(품목별)'!C2387)</f>
        <v>철강</v>
      </c>
      <c r="G2383" s="18" t="n">
        <f aca="false">IFERROR(VALUE(SUBSTITUTE(TRIM('수출입 실적(품목별)'!D2387),",","")),"")</f>
        <v>2311686.5</v>
      </c>
      <c r="H2383" s="19" t="n">
        <f aca="false">IFERROR(VALUE(SUBSTITUTE(TRIM('수출입 실적(품목별)'!E2387),",","")),"")</f>
        <v>1924678</v>
      </c>
      <c r="I2383" s="18" t="n">
        <f aca="false">IFERROR(VALUE(SUBSTITUTE(TRIM('수출입 실적(품목별)'!F2387),",","")),"")</f>
        <v>1121969.2</v>
      </c>
      <c r="J2383" s="19" t="n">
        <f aca="false">IFERROR(VALUE(SUBSTITUTE(TRIM('수출입 실적(품목별)'!G2387),",","")),"")</f>
        <v>905759</v>
      </c>
      <c r="K2383" s="19" t="n">
        <f aca="false">IFERROR(VALUE(SUBSTITUTE(TRIM('수출입 실적(품목별)'!H2387),",","")),"")</f>
        <v>1018918</v>
      </c>
    </row>
    <row r="2384" customFormat="false" ht="15" hidden="false" customHeight="true" outlineLevel="0" collapsed="false">
      <c r="A2384" s="11" t="str">
        <f aca="false">TRIM('수출입 실적(품목별)'!A2388)</f>
        <v>2026.01</v>
      </c>
      <c r="B2384" s="17" t="n">
        <f aca="false">IFERROR(VALUE(LEFT($A2384,4)),"")</f>
        <v>2026</v>
      </c>
      <c r="C2384" s="17" t="n">
        <f aca="false">IFERROR(VALUE(RIGHT($A2384,2)),"")</f>
        <v>1</v>
      </c>
      <c r="D2384" s="17" t="n">
        <f aca="false">IFERROR(ROUNDUP($C2384/3,0),"")</f>
        <v>1</v>
      </c>
      <c r="E2384" s="11" t="str">
        <f aca="false">TRIM('수출입 실적(품목별)'!B2388)</f>
        <v>73</v>
      </c>
      <c r="F2384" s="11" t="str">
        <f aca="false">TRIM('수출입 실적(품목별)'!C2388)</f>
        <v>철강의 제품</v>
      </c>
      <c r="G2384" s="18" t="n">
        <f aca="false">IFERROR(VALUE(SUBSTITUTE(TRIM('수출입 실적(품목별)'!D2388),",","")),"")</f>
        <v>260354.8</v>
      </c>
      <c r="H2384" s="19" t="n">
        <f aca="false">IFERROR(VALUE(SUBSTITUTE(TRIM('수출입 실적(품목별)'!E2388),",","")),"")</f>
        <v>793885</v>
      </c>
      <c r="I2384" s="18" t="n">
        <f aca="false">IFERROR(VALUE(SUBSTITUTE(TRIM('수출입 실적(품목별)'!F2388),",","")),"")</f>
        <v>208494.7</v>
      </c>
      <c r="J2384" s="19" t="n">
        <f aca="false">IFERROR(VALUE(SUBSTITUTE(TRIM('수출입 실적(품목별)'!G2388),",","")),"")</f>
        <v>590553</v>
      </c>
      <c r="K2384" s="19" t="n">
        <f aca="false">IFERROR(VALUE(SUBSTITUTE(TRIM('수출입 실적(품목별)'!H2388),",","")),"")</f>
        <v>203332</v>
      </c>
    </row>
    <row r="2385" customFormat="false" ht="15" hidden="false" customHeight="true" outlineLevel="0" collapsed="false">
      <c r="A2385" s="11" t="str">
        <f aca="false">TRIM('수출입 실적(품목별)'!A2389)</f>
        <v>2026.01</v>
      </c>
      <c r="B2385" s="17" t="n">
        <f aca="false">IFERROR(VALUE(LEFT($A2385,4)),"")</f>
        <v>2026</v>
      </c>
      <c r="C2385" s="17" t="n">
        <f aca="false">IFERROR(VALUE(RIGHT($A2385,2)),"")</f>
        <v>1</v>
      </c>
      <c r="D2385" s="17" t="n">
        <f aca="false">IFERROR(ROUNDUP($C2385/3,0),"")</f>
        <v>1</v>
      </c>
      <c r="E2385" s="11" t="str">
        <f aca="false">TRIM('수출입 실적(품목별)'!B2389)</f>
        <v>74</v>
      </c>
      <c r="F2385" s="11" t="str">
        <f aca="false">TRIM('수출입 실적(품목별)'!C2389)</f>
        <v>구리와 그 제품</v>
      </c>
      <c r="G2385" s="18" t="n">
        <f aca="false">IFERROR(VALUE(SUBSTITUTE(TRIM('수출입 실적(품목별)'!D2389),",","")),"")</f>
        <v>50358.1</v>
      </c>
      <c r="H2385" s="19" t="n">
        <f aca="false">IFERROR(VALUE(SUBSTITUTE(TRIM('수출입 실적(품목별)'!E2389),",","")),"")</f>
        <v>622179</v>
      </c>
      <c r="I2385" s="18" t="n">
        <f aca="false">IFERROR(VALUE(SUBSTITUTE(TRIM('수출입 실적(품목별)'!F2389),",","")),"")</f>
        <v>79434.7</v>
      </c>
      <c r="J2385" s="19" t="n">
        <f aca="false">IFERROR(VALUE(SUBSTITUTE(TRIM('수출입 실적(품목별)'!G2389),",","")),"")</f>
        <v>920634</v>
      </c>
      <c r="K2385" s="19" t="n">
        <f aca="false">IFERROR(VALUE(SUBSTITUTE(TRIM('수출입 실적(품목별)'!H2389),",","")),"")</f>
        <v>-298454</v>
      </c>
    </row>
    <row r="2386" customFormat="false" ht="15" hidden="false" customHeight="true" outlineLevel="0" collapsed="false">
      <c r="A2386" s="11" t="str">
        <f aca="false">TRIM('수출입 실적(품목별)'!A2390)</f>
        <v>2026.01</v>
      </c>
      <c r="B2386" s="17" t="n">
        <f aca="false">IFERROR(VALUE(LEFT($A2386,4)),"")</f>
        <v>2026</v>
      </c>
      <c r="C2386" s="17" t="n">
        <f aca="false">IFERROR(VALUE(RIGHT($A2386,2)),"")</f>
        <v>1</v>
      </c>
      <c r="D2386" s="17" t="n">
        <f aca="false">IFERROR(ROUNDUP($C2386/3,0),"")</f>
        <v>1</v>
      </c>
      <c r="E2386" s="11" t="str">
        <f aca="false">TRIM('수출입 실적(품목별)'!B2390)</f>
        <v>75</v>
      </c>
      <c r="F2386" s="11" t="str">
        <f aca="false">TRIM('수출입 실적(품목별)'!C2390)</f>
        <v>니켈과 그 제품</v>
      </c>
      <c r="G2386" s="18" t="n">
        <f aca="false">IFERROR(VALUE(SUBSTITUTE(TRIM('수출입 실적(품목별)'!D2390),",","")),"")</f>
        <v>1371.5</v>
      </c>
      <c r="H2386" s="19" t="n">
        <f aca="false">IFERROR(VALUE(SUBSTITUTE(TRIM('수출입 실적(품목별)'!E2390),",","")),"")</f>
        <v>20954</v>
      </c>
      <c r="I2386" s="18" t="n">
        <f aca="false">IFERROR(VALUE(SUBSTITUTE(TRIM('수출입 실적(품목별)'!F2390),",","")),"")</f>
        <v>5295.9</v>
      </c>
      <c r="J2386" s="19" t="n">
        <f aca="false">IFERROR(VALUE(SUBSTITUTE(TRIM('수출입 실적(품목별)'!G2390),",","")),"")</f>
        <v>88668</v>
      </c>
      <c r="K2386" s="19" t="n">
        <f aca="false">IFERROR(VALUE(SUBSTITUTE(TRIM('수출입 실적(품목별)'!H2390),",","")),"")</f>
        <v>-67714</v>
      </c>
    </row>
    <row r="2387" customFormat="false" ht="15" hidden="false" customHeight="true" outlineLevel="0" collapsed="false">
      <c r="A2387" s="11" t="str">
        <f aca="false">TRIM('수출입 실적(품목별)'!A2391)</f>
        <v>2026.01</v>
      </c>
      <c r="B2387" s="17" t="n">
        <f aca="false">IFERROR(VALUE(LEFT($A2387,4)),"")</f>
        <v>2026</v>
      </c>
      <c r="C2387" s="17" t="n">
        <f aca="false">IFERROR(VALUE(RIGHT($A2387,2)),"")</f>
        <v>1</v>
      </c>
      <c r="D2387" s="17" t="n">
        <f aca="false">IFERROR(ROUNDUP($C2387/3,0),"")</f>
        <v>1</v>
      </c>
      <c r="E2387" s="11" t="str">
        <f aca="false">TRIM('수출입 실적(품목별)'!B2391)</f>
        <v>76</v>
      </c>
      <c r="F2387" s="11" t="str">
        <f aca="false">TRIM('수출입 실적(품목별)'!C2391)</f>
        <v>알루미늄과 그 제품</v>
      </c>
      <c r="G2387" s="18" t="n">
        <f aca="false">IFERROR(VALUE(SUBSTITUTE(TRIM('수출입 실적(품목별)'!D2391),",","")),"")</f>
        <v>123516.3</v>
      </c>
      <c r="H2387" s="19" t="n">
        <f aca="false">IFERROR(VALUE(SUBSTITUTE(TRIM('수출입 실적(품목별)'!E2391),",","")),"")</f>
        <v>505182</v>
      </c>
      <c r="I2387" s="18" t="n">
        <f aca="false">IFERROR(VALUE(SUBSTITUTE(TRIM('수출입 실적(품목별)'!F2391),",","")),"")</f>
        <v>264188.9</v>
      </c>
      <c r="J2387" s="19" t="n">
        <f aca="false">IFERROR(VALUE(SUBSTITUTE(TRIM('수출입 실적(품목별)'!G2391),",","")),"")</f>
        <v>867118</v>
      </c>
      <c r="K2387" s="19" t="n">
        <f aca="false">IFERROR(VALUE(SUBSTITUTE(TRIM('수출입 실적(품목별)'!H2391),",","")),"")</f>
        <v>-361936</v>
      </c>
    </row>
    <row r="2388" customFormat="false" ht="15" hidden="false" customHeight="true" outlineLevel="0" collapsed="false">
      <c r="A2388" s="11" t="str">
        <f aca="false">TRIM('수출입 실적(품목별)'!A2392)</f>
        <v>2026.01</v>
      </c>
      <c r="B2388" s="17" t="n">
        <f aca="false">IFERROR(VALUE(LEFT($A2388,4)),"")</f>
        <v>2026</v>
      </c>
      <c r="C2388" s="17" t="n">
        <f aca="false">IFERROR(VALUE(RIGHT($A2388,2)),"")</f>
        <v>1</v>
      </c>
      <c r="D2388" s="17" t="n">
        <f aca="false">IFERROR(ROUNDUP($C2388/3,0),"")</f>
        <v>1</v>
      </c>
      <c r="E2388" s="11" t="str">
        <f aca="false">TRIM('수출입 실적(품목별)'!B2392)</f>
        <v>78</v>
      </c>
      <c r="F2388" s="11" t="str">
        <f aca="false">TRIM('수출입 실적(품목별)'!C2392)</f>
        <v>납과 그 제품</v>
      </c>
      <c r="G2388" s="18" t="n">
        <f aca="false">IFERROR(VALUE(SUBSTITUTE(TRIM('수출입 실적(품목별)'!D2392),",","")),"")</f>
        <v>28231.5</v>
      </c>
      <c r="H2388" s="19" t="n">
        <f aca="false">IFERROR(VALUE(SUBSTITUTE(TRIM('수출입 실적(품목별)'!E2392),",","")),"")</f>
        <v>62706</v>
      </c>
      <c r="I2388" s="18" t="n">
        <f aca="false">IFERROR(VALUE(SUBSTITUTE(TRIM('수출입 실적(품목별)'!F2392),",","")),"")</f>
        <v>13109.2</v>
      </c>
      <c r="J2388" s="19" t="n">
        <f aca="false">IFERROR(VALUE(SUBSTITUTE(TRIM('수출입 실적(품목별)'!G2392),",","")),"")</f>
        <v>30860</v>
      </c>
      <c r="K2388" s="19" t="n">
        <f aca="false">IFERROR(VALUE(SUBSTITUTE(TRIM('수출입 실적(품목별)'!H2392),",","")),"")</f>
        <v>31846</v>
      </c>
    </row>
    <row r="2389" customFormat="false" ht="15" hidden="false" customHeight="true" outlineLevel="0" collapsed="false">
      <c r="A2389" s="11" t="str">
        <f aca="false">TRIM('수출입 실적(품목별)'!A2393)</f>
        <v>2026.01</v>
      </c>
      <c r="B2389" s="17" t="n">
        <f aca="false">IFERROR(VALUE(LEFT($A2389,4)),"")</f>
        <v>2026</v>
      </c>
      <c r="C2389" s="17" t="n">
        <f aca="false">IFERROR(VALUE(RIGHT($A2389,2)),"")</f>
        <v>1</v>
      </c>
      <c r="D2389" s="17" t="n">
        <f aca="false">IFERROR(ROUNDUP($C2389/3,0),"")</f>
        <v>1</v>
      </c>
      <c r="E2389" s="11" t="str">
        <f aca="false">TRIM('수출입 실적(품목별)'!B2393)</f>
        <v>79</v>
      </c>
      <c r="F2389" s="11" t="str">
        <f aca="false">TRIM('수출입 실적(품목별)'!C2393)</f>
        <v>아연과 그 제품</v>
      </c>
      <c r="G2389" s="18" t="n">
        <f aca="false">IFERROR(VALUE(SUBSTITUTE(TRIM('수출입 실적(품목별)'!D2393),",","")),"")</f>
        <v>44581.3</v>
      </c>
      <c r="H2389" s="19" t="n">
        <f aca="false">IFERROR(VALUE(SUBSTITUTE(TRIM('수출입 실적(품목별)'!E2393),",","")),"")</f>
        <v>148782</v>
      </c>
      <c r="I2389" s="18" t="n">
        <f aca="false">IFERROR(VALUE(SUBSTITUTE(TRIM('수출입 실적(품목별)'!F2393),",","")),"")</f>
        <v>2140.7</v>
      </c>
      <c r="J2389" s="19" t="n">
        <f aca="false">IFERROR(VALUE(SUBSTITUTE(TRIM('수출입 실적(품목별)'!G2393),",","")),"")</f>
        <v>11410</v>
      </c>
      <c r="K2389" s="19" t="n">
        <f aca="false">IFERROR(VALUE(SUBSTITUTE(TRIM('수출입 실적(품목별)'!H2393),",","")),"")</f>
        <v>137372</v>
      </c>
    </row>
    <row r="2390" customFormat="false" ht="15" hidden="false" customHeight="true" outlineLevel="0" collapsed="false">
      <c r="A2390" s="11" t="str">
        <f aca="false">TRIM('수출입 실적(품목별)'!A2394)</f>
        <v>2026.01</v>
      </c>
      <c r="B2390" s="17" t="n">
        <f aca="false">IFERROR(VALUE(LEFT($A2390,4)),"")</f>
        <v>2026</v>
      </c>
      <c r="C2390" s="17" t="n">
        <f aca="false">IFERROR(VALUE(RIGHT($A2390,2)),"")</f>
        <v>1</v>
      </c>
      <c r="D2390" s="17" t="n">
        <f aca="false">IFERROR(ROUNDUP($C2390/3,0),"")</f>
        <v>1</v>
      </c>
      <c r="E2390" s="11" t="str">
        <f aca="false">TRIM('수출입 실적(품목별)'!B2394)</f>
        <v>80</v>
      </c>
      <c r="F2390" s="11" t="str">
        <f aca="false">TRIM('수출입 실적(품목별)'!C2394)</f>
        <v>주석과 그 제품</v>
      </c>
      <c r="G2390" s="18" t="n">
        <f aca="false">IFERROR(VALUE(SUBSTITUTE(TRIM('수출입 실적(품목별)'!D2394),",","")),"")</f>
        <v>145.5</v>
      </c>
      <c r="H2390" s="19" t="n">
        <f aca="false">IFERROR(VALUE(SUBSTITUTE(TRIM('수출입 실적(품목별)'!E2394),",","")),"")</f>
        <v>8441</v>
      </c>
      <c r="I2390" s="18" t="n">
        <f aca="false">IFERROR(VALUE(SUBSTITUTE(TRIM('수출입 실적(품목별)'!F2394),",","")),"")</f>
        <v>1699.7</v>
      </c>
      <c r="J2390" s="19" t="n">
        <f aca="false">IFERROR(VALUE(SUBSTITUTE(TRIM('수출입 실적(품목별)'!G2394),",","")),"")</f>
        <v>70306</v>
      </c>
      <c r="K2390" s="19" t="n">
        <f aca="false">IFERROR(VALUE(SUBSTITUTE(TRIM('수출입 실적(품목별)'!H2394),",","")),"")</f>
        <v>-61866</v>
      </c>
    </row>
    <row r="2391" customFormat="false" ht="15" hidden="false" customHeight="true" outlineLevel="0" collapsed="false">
      <c r="A2391" s="11" t="str">
        <f aca="false">TRIM('수출입 실적(품목별)'!A2395)</f>
        <v>2026.01</v>
      </c>
      <c r="B2391" s="17" t="n">
        <f aca="false">IFERROR(VALUE(LEFT($A2391,4)),"")</f>
        <v>2026</v>
      </c>
      <c r="C2391" s="17" t="n">
        <f aca="false">IFERROR(VALUE(RIGHT($A2391,2)),"")</f>
        <v>1</v>
      </c>
      <c r="D2391" s="17" t="n">
        <f aca="false">IFERROR(ROUNDUP($C2391/3,0),"")</f>
        <v>1</v>
      </c>
      <c r="E2391" s="11" t="str">
        <f aca="false">TRIM('수출입 실적(품목별)'!B2395)</f>
        <v>81</v>
      </c>
      <c r="F2391" s="11" t="str">
        <f aca="false">TRIM('수출입 실적(품목별)'!C2395)</f>
        <v>그 밖의 비금속(卑金屬), 서멧(cermet), 이들의 제품</v>
      </c>
      <c r="G2391" s="18" t="n">
        <f aca="false">IFERROR(VALUE(SUBSTITUTE(TRIM('수출입 실적(품목별)'!D2395),",","")),"")</f>
        <v>3171.2</v>
      </c>
      <c r="H2391" s="19" t="n">
        <f aca="false">IFERROR(VALUE(SUBSTITUTE(TRIM('수출입 실적(품목별)'!E2395),",","")),"")</f>
        <v>47013</v>
      </c>
      <c r="I2391" s="18" t="n">
        <f aca="false">IFERROR(VALUE(SUBSTITUTE(TRIM('수출입 실적(품목별)'!F2395),",","")),"")</f>
        <v>16326.4</v>
      </c>
      <c r="J2391" s="19" t="n">
        <f aca="false">IFERROR(VALUE(SUBSTITUTE(TRIM('수출입 실적(품목별)'!G2395),",","")),"")</f>
        <v>118549</v>
      </c>
      <c r="K2391" s="19" t="n">
        <f aca="false">IFERROR(VALUE(SUBSTITUTE(TRIM('수출입 실적(품목별)'!H2395),",","")),"")</f>
        <v>-71535</v>
      </c>
    </row>
    <row r="2392" customFormat="false" ht="15" hidden="false" customHeight="true" outlineLevel="0" collapsed="false">
      <c r="A2392" s="11" t="str">
        <f aca="false">TRIM('수출입 실적(품목별)'!A2396)</f>
        <v>2026.01</v>
      </c>
      <c r="B2392" s="17" t="n">
        <f aca="false">IFERROR(VALUE(LEFT($A2392,4)),"")</f>
        <v>2026</v>
      </c>
      <c r="C2392" s="17" t="n">
        <f aca="false">IFERROR(VALUE(RIGHT($A2392,2)),"")</f>
        <v>1</v>
      </c>
      <c r="D2392" s="17" t="n">
        <f aca="false">IFERROR(ROUNDUP($C2392/3,0),"")</f>
        <v>1</v>
      </c>
      <c r="E2392" s="11" t="str">
        <f aca="false">TRIM('수출입 실적(품목별)'!B2396)</f>
        <v>82</v>
      </c>
      <c r="F2392" s="11" t="str">
        <f aca="false">TRIM('수출입 실적(품목별)'!C2396)</f>
        <v>비금속(卑金屬)으로 만든 공구ㆍ도구ㆍ칼붙이ㆍ스푼ㆍ포크, 이들의 부분품</v>
      </c>
      <c r="G2392" s="18" t="n">
        <f aca="false">IFERROR(VALUE(SUBSTITUTE(TRIM('수출입 실적(품목별)'!D2396),",","")),"")</f>
        <v>6265.6</v>
      </c>
      <c r="H2392" s="19" t="n">
        <f aca="false">IFERROR(VALUE(SUBSTITUTE(TRIM('수출입 실적(품목별)'!E2396),",","")),"")</f>
        <v>154821</v>
      </c>
      <c r="I2392" s="18" t="n">
        <f aca="false">IFERROR(VALUE(SUBSTITUTE(TRIM('수출입 실적(품목별)'!F2396),",","")),"")</f>
        <v>5467.6</v>
      </c>
      <c r="J2392" s="19" t="n">
        <f aca="false">IFERROR(VALUE(SUBSTITUTE(TRIM('수출입 실적(품목별)'!G2396),",","")),"")</f>
        <v>84243</v>
      </c>
      <c r="K2392" s="19" t="n">
        <f aca="false">IFERROR(VALUE(SUBSTITUTE(TRIM('수출입 실적(품목별)'!H2396),",","")),"")</f>
        <v>70579</v>
      </c>
    </row>
    <row r="2393" customFormat="false" ht="15" hidden="false" customHeight="true" outlineLevel="0" collapsed="false">
      <c r="A2393" s="11" t="str">
        <f aca="false">TRIM('수출입 실적(품목별)'!A2397)</f>
        <v>2026.01</v>
      </c>
      <c r="B2393" s="17" t="n">
        <f aca="false">IFERROR(VALUE(LEFT($A2393,4)),"")</f>
        <v>2026</v>
      </c>
      <c r="C2393" s="17" t="n">
        <f aca="false">IFERROR(VALUE(RIGHT($A2393,2)),"")</f>
        <v>1</v>
      </c>
      <c r="D2393" s="17" t="n">
        <f aca="false">IFERROR(ROUNDUP($C2393/3,0),"")</f>
        <v>1</v>
      </c>
      <c r="E2393" s="11" t="str">
        <f aca="false">TRIM('수출입 실적(품목별)'!B2397)</f>
        <v>83</v>
      </c>
      <c r="F2393" s="11" t="str">
        <f aca="false">TRIM('수출입 실적(품목별)'!C2397)</f>
        <v>비금속(卑金屬)으로 만든 각종 제품</v>
      </c>
      <c r="G2393" s="18" t="n">
        <f aca="false">IFERROR(VALUE(SUBSTITUTE(TRIM('수출입 실적(품목별)'!D2397),",","")),"")</f>
        <v>22140.2</v>
      </c>
      <c r="H2393" s="19" t="n">
        <f aca="false">IFERROR(VALUE(SUBSTITUTE(TRIM('수출입 실적(품목별)'!E2397),",","")),"")</f>
        <v>133177</v>
      </c>
      <c r="I2393" s="18" t="n">
        <f aca="false">IFERROR(VALUE(SUBSTITUTE(TRIM('수출입 실적(품목별)'!F2397),",","")),"")</f>
        <v>13283.2</v>
      </c>
      <c r="J2393" s="19" t="n">
        <f aca="false">IFERROR(VALUE(SUBSTITUTE(TRIM('수출입 실적(품목별)'!G2397),",","")),"")</f>
        <v>86499</v>
      </c>
      <c r="K2393" s="19" t="n">
        <f aca="false">IFERROR(VALUE(SUBSTITUTE(TRIM('수출입 실적(품목별)'!H2397),",","")),"")</f>
        <v>46677</v>
      </c>
    </row>
    <row r="2394" customFormat="false" ht="15" hidden="false" customHeight="true" outlineLevel="0" collapsed="false">
      <c r="A2394" s="11" t="str">
        <f aca="false">TRIM('수출입 실적(품목별)'!A2398)</f>
        <v>2026.01</v>
      </c>
      <c r="B2394" s="17" t="n">
        <f aca="false">IFERROR(VALUE(LEFT($A2394,4)),"")</f>
        <v>2026</v>
      </c>
      <c r="C2394" s="17" t="n">
        <f aca="false">IFERROR(VALUE(RIGHT($A2394,2)),"")</f>
        <v>1</v>
      </c>
      <c r="D2394" s="17" t="n">
        <f aca="false">IFERROR(ROUNDUP($C2394/3,0),"")</f>
        <v>1</v>
      </c>
      <c r="E2394" s="11" t="str">
        <f aca="false">TRIM('수출입 실적(품목별)'!B2398)</f>
        <v>84</v>
      </c>
      <c r="F2394" s="11" t="str">
        <f aca="false">TRIM('수출입 실적(품목별)'!C2398)</f>
        <v>원자로ㆍ보일러ㆍ기계류와 이들의 부분품</v>
      </c>
      <c r="G2394" s="18" t="n">
        <f aca="false">IFERROR(VALUE(SUBSTITUTE(TRIM('수출입 실적(품목별)'!D2398),",","")),"")</f>
        <v>364040.5</v>
      </c>
      <c r="H2394" s="19" t="n">
        <f aca="false">IFERROR(VALUE(SUBSTITUTE(TRIM('수출입 실적(품목별)'!E2398),",","")),"")</f>
        <v>8277088</v>
      </c>
      <c r="I2394" s="18" t="n">
        <f aca="false">IFERROR(VALUE(SUBSTITUTE(TRIM('수출입 실적(품목별)'!F2398),",","")),"")</f>
        <v>213195.1</v>
      </c>
      <c r="J2394" s="19" t="n">
        <f aca="false">IFERROR(VALUE(SUBSTITUTE(TRIM('수출입 실적(품목별)'!G2398),",","")),"")</f>
        <v>7088613</v>
      </c>
      <c r="K2394" s="19" t="n">
        <f aca="false">IFERROR(VALUE(SUBSTITUTE(TRIM('수출입 실적(품목별)'!H2398),",","")),"")</f>
        <v>1188476</v>
      </c>
    </row>
    <row r="2395" customFormat="false" ht="15" hidden="false" customHeight="true" outlineLevel="0" collapsed="false">
      <c r="A2395" s="11" t="str">
        <f aca="false">TRIM('수출입 실적(품목별)'!A2399)</f>
        <v>2026.01</v>
      </c>
      <c r="B2395" s="17" t="n">
        <f aca="false">IFERROR(VALUE(LEFT($A2395,4)),"")</f>
        <v>2026</v>
      </c>
      <c r="C2395" s="17" t="n">
        <f aca="false">IFERROR(VALUE(RIGHT($A2395,2)),"")</f>
        <v>1</v>
      </c>
      <c r="D2395" s="17" t="n">
        <f aca="false">IFERROR(ROUNDUP($C2395/3,0),"")</f>
        <v>1</v>
      </c>
      <c r="E2395" s="11" t="str">
        <f aca="false">TRIM('수출입 실적(품목별)'!B2399)</f>
        <v>85</v>
      </c>
      <c r="F2395" s="11" t="str">
        <f aca="false">TRIM('수출입 실적(품목별)'!C2399)</f>
        <v>전기기기와 그 부분품, 녹음기ㆍ음성 재생기ㆍ텔레비전의 영상과 음성의 기록기ㆍ재생기와 이들의 부분품ㆍ부속품</v>
      </c>
      <c r="G2395" s="18" t="n">
        <f aca="false">IFERROR(VALUE(SUBSTITUTE(TRIM('수출입 실적(품목별)'!D2399),",","")),"")</f>
        <v>214092.8</v>
      </c>
      <c r="H2395" s="19" t="n">
        <f aca="false">IFERROR(VALUE(SUBSTITUTE(TRIM('수출입 실적(품목별)'!E2399),",","")),"")</f>
        <v>25047980</v>
      </c>
      <c r="I2395" s="18" t="n">
        <f aca="false">IFERROR(VALUE(SUBSTITUTE(TRIM('수출입 실적(품목별)'!F2399),",","")),"")</f>
        <v>210192.6</v>
      </c>
      <c r="J2395" s="19" t="n">
        <f aca="false">IFERROR(VALUE(SUBSTITUTE(TRIM('수출입 실적(품목별)'!G2399),",","")),"")</f>
        <v>11827019</v>
      </c>
      <c r="K2395" s="19" t="n">
        <f aca="false">IFERROR(VALUE(SUBSTITUTE(TRIM('수출입 실적(품목별)'!H2399),",","")),"")</f>
        <v>13220961</v>
      </c>
    </row>
    <row r="2396" customFormat="false" ht="15" hidden="false" customHeight="true" outlineLevel="0" collapsed="false">
      <c r="A2396" s="11" t="str">
        <f aca="false">TRIM('수출입 실적(품목별)'!A2400)</f>
        <v>2026.01</v>
      </c>
      <c r="B2396" s="17" t="n">
        <f aca="false">IFERROR(VALUE(LEFT($A2396,4)),"")</f>
        <v>2026</v>
      </c>
      <c r="C2396" s="17" t="n">
        <f aca="false">IFERROR(VALUE(RIGHT($A2396,2)),"")</f>
        <v>1</v>
      </c>
      <c r="D2396" s="17" t="n">
        <f aca="false">IFERROR(ROUNDUP($C2396/3,0),"")</f>
        <v>1</v>
      </c>
      <c r="E2396" s="11" t="str">
        <f aca="false">TRIM('수출입 실적(품목별)'!B2400)</f>
        <v>86</v>
      </c>
      <c r="F2396" s="11" t="str">
        <f aca="false">TRIM('수출입 실적(품목별)'!C2400)</f>
        <v>철도용이나 궤도용 기관차ㆍ차량과 이들의 부분품, 철도용이나 궤도용 장비품과 그 부분품, 기계식(전기기계식을 포함한다) 각종 교통신호용 기기</v>
      </c>
      <c r="G2396" s="18" t="n">
        <f aca="false">IFERROR(VALUE(SUBSTITUTE(TRIM('수출입 실적(품목별)'!D2400),",","")),"")</f>
        <v>12138</v>
      </c>
      <c r="H2396" s="19" t="n">
        <f aca="false">IFERROR(VALUE(SUBSTITUTE(TRIM('수출입 실적(품목별)'!E2400),",","")),"")</f>
        <v>68608</v>
      </c>
      <c r="I2396" s="18" t="n">
        <f aca="false">IFERROR(VALUE(SUBSTITUTE(TRIM('수출입 실적(품목별)'!F2400),",","")),"")</f>
        <v>12776.3</v>
      </c>
      <c r="J2396" s="19" t="n">
        <f aca="false">IFERROR(VALUE(SUBSTITUTE(TRIM('수출입 실적(품목별)'!G2400),",","")),"")</f>
        <v>46345</v>
      </c>
      <c r="K2396" s="19" t="n">
        <f aca="false">IFERROR(VALUE(SUBSTITUTE(TRIM('수출입 실적(품목별)'!H2400),",","")),"")</f>
        <v>22263</v>
      </c>
    </row>
    <row r="2397" customFormat="false" ht="15" hidden="false" customHeight="true" outlineLevel="0" collapsed="false">
      <c r="A2397" s="11" t="str">
        <f aca="false">TRIM('수출입 실적(품목별)'!A2401)</f>
        <v>2026.01</v>
      </c>
      <c r="B2397" s="17" t="n">
        <f aca="false">IFERROR(VALUE(LEFT($A2397,4)),"")</f>
        <v>2026</v>
      </c>
      <c r="C2397" s="17" t="n">
        <f aca="false">IFERROR(VALUE(RIGHT($A2397,2)),"")</f>
        <v>1</v>
      </c>
      <c r="D2397" s="17" t="n">
        <f aca="false">IFERROR(ROUNDUP($C2397/3,0),"")</f>
        <v>1</v>
      </c>
      <c r="E2397" s="11" t="str">
        <f aca="false">TRIM('수출입 실적(품목별)'!B2401)</f>
        <v>87</v>
      </c>
      <c r="F2397" s="11" t="str">
        <f aca="false">TRIM('수출입 실적(품목별)'!C2401)</f>
        <v>철도용이나 궤도용 외의 차량과 그 부분품ㆍ부속품</v>
      </c>
      <c r="G2397" s="18" t="n">
        <f aca="false">IFERROR(VALUE(SUBSTITUTE(TRIM('수출입 실적(품목별)'!D2401),",","")),"")</f>
        <v>702471.6</v>
      </c>
      <c r="H2397" s="19" t="n">
        <f aca="false">IFERROR(VALUE(SUBSTITUTE(TRIM('수출입 실적(품목별)'!E2401),",","")),"")</f>
        <v>7562422</v>
      </c>
      <c r="I2397" s="18" t="n">
        <f aca="false">IFERROR(VALUE(SUBSTITUTE(TRIM('수출입 실적(품목별)'!F2401),",","")),"")</f>
        <v>96813.1</v>
      </c>
      <c r="J2397" s="19" t="n">
        <f aca="false">IFERROR(VALUE(SUBSTITUTE(TRIM('수출입 실적(품목별)'!G2401),",","")),"")</f>
        <v>1434233</v>
      </c>
      <c r="K2397" s="19" t="n">
        <f aca="false">IFERROR(VALUE(SUBSTITUTE(TRIM('수출입 실적(품목별)'!H2401),",","")),"")</f>
        <v>6128189</v>
      </c>
    </row>
    <row r="2398" customFormat="false" ht="15" hidden="false" customHeight="true" outlineLevel="0" collapsed="false">
      <c r="A2398" s="11" t="str">
        <f aca="false">TRIM('수출입 실적(품목별)'!A2402)</f>
        <v>2026.01</v>
      </c>
      <c r="B2398" s="17" t="n">
        <f aca="false">IFERROR(VALUE(LEFT($A2398,4)),"")</f>
        <v>2026</v>
      </c>
      <c r="C2398" s="17" t="n">
        <f aca="false">IFERROR(VALUE(RIGHT($A2398,2)),"")</f>
        <v>1</v>
      </c>
      <c r="D2398" s="17" t="n">
        <f aca="false">IFERROR(ROUNDUP($C2398/3,0),"")</f>
        <v>1</v>
      </c>
      <c r="E2398" s="11" t="str">
        <f aca="false">TRIM('수출입 실적(품목별)'!B2402)</f>
        <v>88</v>
      </c>
      <c r="F2398" s="11" t="str">
        <f aca="false">TRIM('수출입 실적(품목별)'!C2402)</f>
        <v>항공기와 우주선, 이들의 부분품</v>
      </c>
      <c r="G2398" s="18" t="n">
        <f aca="false">IFERROR(VALUE(SUBSTITUTE(TRIM('수출입 실적(품목별)'!D2402),",","")),"")</f>
        <v>709.4</v>
      </c>
      <c r="H2398" s="19" t="n">
        <f aca="false">IFERROR(VALUE(SUBSTITUTE(TRIM('수출입 실적(품목별)'!E2402),",","")),"")</f>
        <v>242084</v>
      </c>
      <c r="I2398" s="18" t="n">
        <f aca="false">IFERROR(VALUE(SUBSTITUTE(TRIM('수출입 실적(품목별)'!F2402),",","")),"")</f>
        <v>228.4</v>
      </c>
      <c r="J2398" s="19" t="n">
        <f aca="false">IFERROR(VALUE(SUBSTITUTE(TRIM('수출입 실적(품목별)'!G2402),",","")),"")</f>
        <v>184385</v>
      </c>
      <c r="K2398" s="19" t="n">
        <f aca="false">IFERROR(VALUE(SUBSTITUTE(TRIM('수출입 실적(품목별)'!H2402),",","")),"")</f>
        <v>57700</v>
      </c>
    </row>
    <row r="2399" customFormat="false" ht="15" hidden="false" customHeight="true" outlineLevel="0" collapsed="false">
      <c r="A2399" s="11" t="str">
        <f aca="false">TRIM('수출입 실적(품목별)'!A2403)</f>
        <v>2026.01</v>
      </c>
      <c r="B2399" s="17" t="n">
        <f aca="false">IFERROR(VALUE(LEFT($A2399,4)),"")</f>
        <v>2026</v>
      </c>
      <c r="C2399" s="17" t="n">
        <f aca="false">IFERROR(VALUE(RIGHT($A2399,2)),"")</f>
        <v>1</v>
      </c>
      <c r="D2399" s="17" t="n">
        <f aca="false">IFERROR(ROUNDUP($C2399/3,0),"")</f>
        <v>1</v>
      </c>
      <c r="E2399" s="11" t="str">
        <f aca="false">TRIM('수출입 실적(품목별)'!B2403)</f>
        <v>89</v>
      </c>
      <c r="F2399" s="11" t="str">
        <f aca="false">TRIM('수출입 실적(품목별)'!C2403)</f>
        <v>선박과 수상 구조물</v>
      </c>
      <c r="G2399" s="18" t="n">
        <f aca="false">IFERROR(VALUE(SUBSTITUTE(TRIM('수출입 실적(품목별)'!D2403),",","")),"")</f>
        <v>707967.9</v>
      </c>
      <c r="H2399" s="19" t="n">
        <f aca="false">IFERROR(VALUE(SUBSTITUTE(TRIM('수출입 실적(품목별)'!E2403),",","")),"")</f>
        <v>2314307</v>
      </c>
      <c r="I2399" s="18" t="n">
        <f aca="false">IFERROR(VALUE(SUBSTITUTE(TRIM('수출입 실적(품목별)'!F2403),",","")),"")</f>
        <v>187910</v>
      </c>
      <c r="J2399" s="19" t="n">
        <f aca="false">IFERROR(VALUE(SUBSTITUTE(TRIM('수출입 실적(품목별)'!G2403),",","")),"")</f>
        <v>333163</v>
      </c>
      <c r="K2399" s="19" t="n">
        <f aca="false">IFERROR(VALUE(SUBSTITUTE(TRIM('수출입 실적(품목별)'!H2403),",","")),"")</f>
        <v>1981144</v>
      </c>
    </row>
    <row r="2400" customFormat="false" ht="15" hidden="false" customHeight="true" outlineLevel="0" collapsed="false">
      <c r="A2400" s="11" t="str">
        <f aca="false">TRIM('수출입 실적(품목별)'!A2404)</f>
        <v>2026.01</v>
      </c>
      <c r="B2400" s="17" t="n">
        <f aca="false">IFERROR(VALUE(LEFT($A2400,4)),"")</f>
        <v>2026</v>
      </c>
      <c r="C2400" s="17" t="n">
        <f aca="false">IFERROR(VALUE(RIGHT($A2400,2)),"")</f>
        <v>1</v>
      </c>
      <c r="D2400" s="17" t="n">
        <f aca="false">IFERROR(ROUNDUP($C2400/3,0),"")</f>
        <v>1</v>
      </c>
      <c r="E2400" s="11" t="str">
        <f aca="false">TRIM('수출입 실적(품목별)'!B2404)</f>
        <v>90</v>
      </c>
      <c r="F2400" s="11" t="str">
        <f aca="false">TRIM('수출입 실적(품목별)'!C2404)</f>
        <v>광학기기ㆍ사진용 기기ㆍ영화용 기기ㆍ측정기기ㆍ검사기기ㆍ정밀기기ㆍ의료용 기기, 이들의 부분품과 부속품</v>
      </c>
      <c r="G2400" s="18" t="n">
        <f aca="false">IFERROR(VALUE(SUBSTITUTE(TRIM('수출입 실적(품목별)'!D2404),",","")),"")</f>
        <v>15648.4</v>
      </c>
      <c r="H2400" s="19" t="n">
        <f aca="false">IFERROR(VALUE(SUBSTITUTE(TRIM('수출입 실적(품목별)'!E2404),",","")),"")</f>
        <v>1351643</v>
      </c>
      <c r="I2400" s="18" t="n">
        <f aca="false">IFERROR(VALUE(SUBSTITUTE(TRIM('수출입 실적(품목별)'!F2404),",","")),"")</f>
        <v>15271.7</v>
      </c>
      <c r="J2400" s="19" t="n">
        <f aca="false">IFERROR(VALUE(SUBSTITUTE(TRIM('수출입 실적(품목별)'!G2404),",","")),"")</f>
        <v>2071077</v>
      </c>
      <c r="K2400" s="19" t="n">
        <f aca="false">IFERROR(VALUE(SUBSTITUTE(TRIM('수출입 실적(품목별)'!H2404),",","")),"")</f>
        <v>-719434</v>
      </c>
    </row>
    <row r="2401" customFormat="false" ht="15" hidden="false" customHeight="true" outlineLevel="0" collapsed="false">
      <c r="A2401" s="11" t="str">
        <f aca="false">TRIM('수출입 실적(품목별)'!A2405)</f>
        <v>2026.01</v>
      </c>
      <c r="B2401" s="17" t="n">
        <f aca="false">IFERROR(VALUE(LEFT($A2401,4)),"")</f>
        <v>2026</v>
      </c>
      <c r="C2401" s="17" t="n">
        <f aca="false">IFERROR(VALUE(RIGHT($A2401,2)),"")</f>
        <v>1</v>
      </c>
      <c r="D2401" s="17" t="n">
        <f aca="false">IFERROR(ROUNDUP($C2401/3,0),"")</f>
        <v>1</v>
      </c>
      <c r="E2401" s="11" t="str">
        <f aca="false">TRIM('수출입 실적(품목별)'!B2405)</f>
        <v>91</v>
      </c>
      <c r="F2401" s="11" t="str">
        <f aca="false">TRIM('수출입 실적(품목별)'!C2405)</f>
        <v>시계와 그 부분품</v>
      </c>
      <c r="G2401" s="18" t="n">
        <f aca="false">IFERROR(VALUE(SUBSTITUTE(TRIM('수출입 실적(품목별)'!D2405),",","")),"")</f>
        <v>22.9</v>
      </c>
      <c r="H2401" s="19" t="n">
        <f aca="false">IFERROR(VALUE(SUBSTITUTE(TRIM('수출입 실적(품목별)'!E2405),",","")),"")</f>
        <v>19372</v>
      </c>
      <c r="I2401" s="18" t="n">
        <f aca="false">IFERROR(VALUE(SUBSTITUTE(TRIM('수출입 실적(품목별)'!F2405),",","")),"")</f>
        <v>347.5</v>
      </c>
      <c r="J2401" s="19" t="n">
        <f aca="false">IFERROR(VALUE(SUBSTITUTE(TRIM('수출입 실적(품목별)'!G2405),",","")),"")</f>
        <v>88914</v>
      </c>
      <c r="K2401" s="19" t="n">
        <f aca="false">IFERROR(VALUE(SUBSTITUTE(TRIM('수출입 실적(품목별)'!H2405),",","")),"")</f>
        <v>-69542</v>
      </c>
    </row>
    <row r="2402" customFormat="false" ht="15" hidden="false" customHeight="true" outlineLevel="0" collapsed="false">
      <c r="A2402" s="11" t="str">
        <f aca="false">TRIM('수출입 실적(품목별)'!A2406)</f>
        <v>2026.01</v>
      </c>
      <c r="B2402" s="17" t="n">
        <f aca="false">IFERROR(VALUE(LEFT($A2402,4)),"")</f>
        <v>2026</v>
      </c>
      <c r="C2402" s="17" t="n">
        <f aca="false">IFERROR(VALUE(RIGHT($A2402,2)),"")</f>
        <v>1</v>
      </c>
      <c r="D2402" s="17" t="n">
        <f aca="false">IFERROR(ROUNDUP($C2402/3,0),"")</f>
        <v>1</v>
      </c>
      <c r="E2402" s="11" t="str">
        <f aca="false">TRIM('수출입 실적(품목별)'!B2406)</f>
        <v>92</v>
      </c>
      <c r="F2402" s="11" t="str">
        <f aca="false">TRIM('수출입 실적(품목별)'!C2406)</f>
        <v>악기와 그 부분품과 부속품</v>
      </c>
      <c r="G2402" s="18" t="n">
        <f aca="false">IFERROR(VALUE(SUBSTITUTE(TRIM('수출입 실적(품목별)'!D2406),",","")),"")</f>
        <v>335.1</v>
      </c>
      <c r="H2402" s="19" t="n">
        <f aca="false">IFERROR(VALUE(SUBSTITUTE(TRIM('수출입 실적(품목별)'!E2406),",","")),"")</f>
        <v>7952</v>
      </c>
      <c r="I2402" s="18" t="n">
        <f aca="false">IFERROR(VALUE(SUBSTITUTE(TRIM('수출입 실적(품목별)'!F2406),",","")),"")</f>
        <v>694.7</v>
      </c>
      <c r="J2402" s="19" t="n">
        <f aca="false">IFERROR(VALUE(SUBSTITUTE(TRIM('수출입 실적(품목별)'!G2406),",","")),"")</f>
        <v>14874</v>
      </c>
      <c r="K2402" s="19" t="n">
        <f aca="false">IFERROR(VALUE(SUBSTITUTE(TRIM('수출입 실적(품목별)'!H2406),",","")),"")</f>
        <v>-6922</v>
      </c>
    </row>
    <row r="2403" customFormat="false" ht="15" hidden="false" customHeight="true" outlineLevel="0" collapsed="false">
      <c r="A2403" s="11" t="str">
        <f aca="false">TRIM('수출입 실적(품목별)'!A2407)</f>
        <v>2026.01</v>
      </c>
      <c r="B2403" s="17" t="n">
        <f aca="false">IFERROR(VALUE(LEFT($A2403,4)),"")</f>
        <v>2026</v>
      </c>
      <c r="C2403" s="17" t="n">
        <f aca="false">IFERROR(VALUE(RIGHT($A2403,2)),"")</f>
        <v>1</v>
      </c>
      <c r="D2403" s="17" t="n">
        <f aca="false">IFERROR(ROUNDUP($C2403/3,0),"")</f>
        <v>1</v>
      </c>
      <c r="E2403" s="11" t="str">
        <f aca="false">TRIM('수출입 실적(품목별)'!B2407)</f>
        <v>93</v>
      </c>
      <c r="F2403" s="11" t="str">
        <f aca="false">TRIM('수출입 실적(품목별)'!C2407)</f>
        <v>무기ㆍ총포탄과 이들의 부분품과 부속품</v>
      </c>
      <c r="G2403" s="18" t="n">
        <f aca="false">IFERROR(VALUE(SUBSTITUTE(TRIM('수출입 실적(품목별)'!D2407),",","")),"")</f>
        <v>1284.6</v>
      </c>
      <c r="H2403" s="19" t="n">
        <f aca="false">IFERROR(VALUE(SUBSTITUTE(TRIM('수출입 실적(품목별)'!E2407),",","")),"")</f>
        <v>203744</v>
      </c>
      <c r="I2403" s="18" t="n">
        <f aca="false">IFERROR(VALUE(SUBSTITUTE(TRIM('수출입 실적(품목별)'!F2407),",","")),"")</f>
        <v>173.1</v>
      </c>
      <c r="J2403" s="19" t="n">
        <f aca="false">IFERROR(VALUE(SUBSTITUTE(TRIM('수출입 실적(품목별)'!G2407),",","")),"")</f>
        <v>28695</v>
      </c>
      <c r="K2403" s="19" t="n">
        <f aca="false">IFERROR(VALUE(SUBSTITUTE(TRIM('수출입 실적(품목별)'!H2407),",","")),"")</f>
        <v>175049</v>
      </c>
    </row>
    <row r="2404" customFormat="false" ht="15" hidden="false" customHeight="true" outlineLevel="0" collapsed="false">
      <c r="A2404" s="11" t="str">
        <f aca="false">TRIM('수출입 실적(품목별)'!A2408)</f>
        <v>2026.01</v>
      </c>
      <c r="B2404" s="17" t="n">
        <f aca="false">IFERROR(VALUE(LEFT($A2404,4)),"")</f>
        <v>2026</v>
      </c>
      <c r="C2404" s="17" t="n">
        <f aca="false">IFERROR(VALUE(RIGHT($A2404,2)),"")</f>
        <v>1</v>
      </c>
      <c r="D2404" s="17" t="n">
        <f aca="false">IFERROR(ROUNDUP($C2404/3,0),"")</f>
        <v>1</v>
      </c>
      <c r="E2404" s="11" t="str">
        <f aca="false">TRIM('수출입 실적(품목별)'!B2408)</f>
        <v>94</v>
      </c>
      <c r="F2404" s="11" t="str">
        <f aca="false">TRIM('수출입 실적(품목별)'!C2408)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404" s="18" t="n">
        <f aca="false">IFERROR(VALUE(SUBSTITUTE(TRIM('수출입 실적(품목별)'!D2408),",","")),"")</f>
        <v>14886.1</v>
      </c>
      <c r="H2404" s="19" t="n">
        <f aca="false">IFERROR(VALUE(SUBSTITUTE(TRIM('수출입 실적(품목별)'!E2408),",","")),"")</f>
        <v>105353</v>
      </c>
      <c r="I2404" s="18" t="n">
        <f aca="false">IFERROR(VALUE(SUBSTITUTE(TRIM('수출입 실적(품목별)'!F2408),",","")),"")</f>
        <v>90710.8</v>
      </c>
      <c r="J2404" s="19" t="n">
        <f aca="false">IFERROR(VALUE(SUBSTITUTE(TRIM('수출입 실적(품목별)'!G2408),",","")),"")</f>
        <v>353464</v>
      </c>
      <c r="K2404" s="19" t="n">
        <f aca="false">IFERROR(VALUE(SUBSTITUTE(TRIM('수출입 실적(품목별)'!H2408),",","")),"")</f>
        <v>-248111</v>
      </c>
    </row>
    <row r="2405" customFormat="false" ht="15" hidden="false" customHeight="true" outlineLevel="0" collapsed="false">
      <c r="A2405" s="11" t="str">
        <f aca="false">TRIM('수출입 실적(품목별)'!A2409)</f>
        <v>2026.01</v>
      </c>
      <c r="B2405" s="17" t="n">
        <f aca="false">IFERROR(VALUE(LEFT($A2405,4)),"")</f>
        <v>2026</v>
      </c>
      <c r="C2405" s="17" t="n">
        <f aca="false">IFERROR(VALUE(RIGHT($A2405,2)),"")</f>
        <v>1</v>
      </c>
      <c r="D2405" s="17" t="n">
        <f aca="false">IFERROR(ROUNDUP($C2405/3,0),"")</f>
        <v>1</v>
      </c>
      <c r="E2405" s="11" t="str">
        <f aca="false">TRIM('수출입 실적(품목별)'!B2409)</f>
        <v>95</v>
      </c>
      <c r="F2405" s="11" t="str">
        <f aca="false">TRIM('수출입 실적(품목별)'!C2409)</f>
        <v>완구ㆍ게임용구ㆍ운동용구와 이들의 부분품과 부속품</v>
      </c>
      <c r="G2405" s="18" t="n">
        <f aca="false">IFERROR(VALUE(SUBSTITUTE(TRIM('수출입 실적(품목별)'!D2409),",","")),"")</f>
        <v>2170.3</v>
      </c>
      <c r="H2405" s="19" t="n">
        <f aca="false">IFERROR(VALUE(SUBSTITUTE(TRIM('수출입 실적(품목별)'!E2409),",","")),"")</f>
        <v>54001</v>
      </c>
      <c r="I2405" s="18" t="n">
        <f aca="false">IFERROR(VALUE(SUBSTITUTE(TRIM('수출입 실적(품목별)'!F2409),",","")),"")</f>
        <v>15267.9</v>
      </c>
      <c r="J2405" s="19" t="n">
        <f aca="false">IFERROR(VALUE(SUBSTITUTE(TRIM('수출입 실적(품목별)'!G2409),",","")),"")</f>
        <v>219646</v>
      </c>
      <c r="K2405" s="19" t="n">
        <f aca="false">IFERROR(VALUE(SUBSTITUTE(TRIM('수출입 실적(품목별)'!H2409),",","")),"")</f>
        <v>-165645</v>
      </c>
    </row>
    <row r="2406" customFormat="false" ht="15" hidden="false" customHeight="true" outlineLevel="0" collapsed="false">
      <c r="A2406" s="11" t="str">
        <f aca="false">TRIM('수출입 실적(품목별)'!A2410)</f>
        <v>2026.01</v>
      </c>
      <c r="B2406" s="17" t="n">
        <f aca="false">IFERROR(VALUE(LEFT($A2406,4)),"")</f>
        <v>2026</v>
      </c>
      <c r="C2406" s="17" t="n">
        <f aca="false">IFERROR(VALUE(RIGHT($A2406,2)),"")</f>
        <v>1</v>
      </c>
      <c r="D2406" s="17" t="n">
        <f aca="false">IFERROR(ROUNDUP($C2406/3,0),"")</f>
        <v>1</v>
      </c>
      <c r="E2406" s="11" t="str">
        <f aca="false">TRIM('수출입 실적(품목별)'!B2410)</f>
        <v>96</v>
      </c>
      <c r="F2406" s="11" t="str">
        <f aca="false">TRIM('수출입 실적(품목별)'!C2410)</f>
        <v>잡품</v>
      </c>
      <c r="G2406" s="18" t="n">
        <f aca="false">IFERROR(VALUE(SUBSTITUTE(TRIM('수출입 실적(품목별)'!D2410),",","")),"")</f>
        <v>2199.9</v>
      </c>
      <c r="H2406" s="19" t="n">
        <f aca="false">IFERROR(VALUE(SUBSTITUTE(TRIM('수출입 실적(품목별)'!E2410),",","")),"")</f>
        <v>36846</v>
      </c>
      <c r="I2406" s="18" t="n">
        <f aca="false">IFERROR(VALUE(SUBSTITUTE(TRIM('수출입 실적(품목별)'!F2410),",","")),"")</f>
        <v>11967.3</v>
      </c>
      <c r="J2406" s="19" t="n">
        <f aca="false">IFERROR(VALUE(SUBSTITUTE(TRIM('수출입 실적(품목별)'!G2410),",","")),"")</f>
        <v>97801</v>
      </c>
      <c r="K2406" s="19" t="n">
        <f aca="false">IFERROR(VALUE(SUBSTITUTE(TRIM('수출입 실적(품목별)'!H2410),",","")),"")</f>
        <v>-60955</v>
      </c>
    </row>
    <row r="2407" customFormat="false" ht="15" hidden="false" customHeight="true" outlineLevel="0" collapsed="false">
      <c r="A2407" s="11" t="str">
        <f aca="false">TRIM('수출입 실적(품목별)'!A2411)</f>
        <v>2026.01</v>
      </c>
      <c r="B2407" s="17" t="n">
        <f aca="false">IFERROR(VALUE(LEFT($A2407,4)),"")</f>
        <v>2026</v>
      </c>
      <c r="C2407" s="17" t="n">
        <f aca="false">IFERROR(VALUE(RIGHT($A2407,2)),"")</f>
        <v>1</v>
      </c>
      <c r="D2407" s="17" t="n">
        <f aca="false">IFERROR(ROUNDUP($C2407/3,0),"")</f>
        <v>1</v>
      </c>
      <c r="E2407" s="11" t="str">
        <f aca="false">TRIM('수출입 실적(품목별)'!B2411)</f>
        <v>97</v>
      </c>
      <c r="F2407" s="11" t="str">
        <f aca="false">TRIM('수출입 실적(품목별)'!C2411)</f>
        <v>예술품ㆍ수집품ㆍ골동품</v>
      </c>
      <c r="G2407" s="18" t="n">
        <f aca="false">IFERROR(VALUE(SUBSTITUTE(TRIM('수출입 실적(품목별)'!D2411),",","")),"")</f>
        <v>10.9</v>
      </c>
      <c r="H2407" s="19" t="n">
        <f aca="false">IFERROR(VALUE(SUBSTITUTE(TRIM('수출입 실적(품목별)'!E2411),",","")),"")</f>
        <v>21931</v>
      </c>
      <c r="I2407" s="18" t="n">
        <f aca="false">IFERROR(VALUE(SUBSTITUTE(TRIM('수출입 실적(품목별)'!F2411),",","")),"")</f>
        <v>19.9</v>
      </c>
      <c r="J2407" s="19" t="n">
        <f aca="false">IFERROR(VALUE(SUBSTITUTE(TRIM('수출입 실적(품목별)'!G2411),",","")),"")</f>
        <v>21125</v>
      </c>
      <c r="K2407" s="19" t="n">
        <f aca="false">IFERROR(VALUE(SUBSTITUTE(TRIM('수출입 실적(품목별)'!H2411),",","")),"")</f>
        <v>807</v>
      </c>
    </row>
    <row r="2408" customFormat="false" ht="15" hidden="false" customHeight="true" outlineLevel="0" collapsed="false">
      <c r="A2408" s="11" t="str">
        <f aca="false">TRIM('수출입 실적(품목별)'!A2412)</f>
        <v>2026.02</v>
      </c>
      <c r="B2408" s="17" t="n">
        <f aca="false">IFERROR(VALUE(LEFT($A2408,4)),"")</f>
        <v>2026</v>
      </c>
      <c r="C2408" s="17" t="n">
        <f aca="false">IFERROR(VALUE(RIGHT($A2408,2)),"")</f>
        <v>2</v>
      </c>
      <c r="D2408" s="17" t="n">
        <f aca="false">IFERROR(ROUNDUP($C2408/3,0),"")</f>
        <v>1</v>
      </c>
      <c r="E2408" s="11" t="str">
        <f aca="false">TRIM('수출입 실적(품목별)'!B2412)</f>
        <v>01</v>
      </c>
      <c r="F2408" s="11" t="str">
        <f aca="false">TRIM('수출입 실적(품목별)'!C2412)</f>
        <v>살아 있는 동물</v>
      </c>
      <c r="G2408" s="18" t="n">
        <f aca="false">IFERROR(VALUE(SUBSTITUTE(TRIM('수출입 실적(품목별)'!D2412),",","")),"")</f>
        <v>1.1</v>
      </c>
      <c r="H2408" s="19" t="n">
        <f aca="false">IFERROR(VALUE(SUBSTITUTE(TRIM('수출입 실적(품목별)'!E2412),",","")),"")</f>
        <v>356</v>
      </c>
      <c r="I2408" s="18" t="n">
        <f aca="false">IFERROR(VALUE(SUBSTITUTE(TRIM('수출입 실적(품목별)'!F2412),",","")),"")</f>
        <v>47.7</v>
      </c>
      <c r="J2408" s="19" t="n">
        <f aca="false">IFERROR(VALUE(SUBSTITUTE(TRIM('수출입 실적(품목별)'!G2412),",","")),"")</f>
        <v>3042</v>
      </c>
      <c r="K2408" s="19" t="n">
        <f aca="false">IFERROR(VALUE(SUBSTITUTE(TRIM('수출입 실적(품목별)'!H2412),",","")),"")</f>
        <v>-2685</v>
      </c>
    </row>
    <row r="2409" customFormat="false" ht="15" hidden="false" customHeight="true" outlineLevel="0" collapsed="false">
      <c r="A2409" s="11" t="str">
        <f aca="false">TRIM('수출입 실적(품목별)'!A2413)</f>
        <v>2026.02</v>
      </c>
      <c r="B2409" s="17" t="n">
        <f aca="false">IFERROR(VALUE(LEFT($A2409,4)),"")</f>
        <v>2026</v>
      </c>
      <c r="C2409" s="17" t="n">
        <f aca="false">IFERROR(VALUE(RIGHT($A2409,2)),"")</f>
        <v>2</v>
      </c>
      <c r="D2409" s="17" t="n">
        <f aca="false">IFERROR(ROUNDUP($C2409/3,0),"")</f>
        <v>1</v>
      </c>
      <c r="E2409" s="11" t="str">
        <f aca="false">TRIM('수출입 실적(품목별)'!B2413)</f>
        <v>02</v>
      </c>
      <c r="F2409" s="11" t="str">
        <f aca="false">TRIM('수출입 실적(품목별)'!C2413)</f>
        <v>육과 식용 설육(屑肉)</v>
      </c>
      <c r="G2409" s="18" t="n">
        <f aca="false">IFERROR(VALUE(SUBSTITUTE(TRIM('수출입 실적(품목별)'!D2413),",","")),"")</f>
        <v>3876.8</v>
      </c>
      <c r="H2409" s="19" t="n">
        <f aca="false">IFERROR(VALUE(SUBSTITUTE(TRIM('수출입 실적(품목별)'!E2413),",","")),"")</f>
        <v>5508</v>
      </c>
      <c r="I2409" s="18" t="n">
        <f aca="false">IFERROR(VALUE(SUBSTITUTE(TRIM('수출입 실적(품목별)'!F2413),",","")),"")</f>
        <v>100487</v>
      </c>
      <c r="J2409" s="19" t="n">
        <f aca="false">IFERROR(VALUE(SUBSTITUTE(TRIM('수출입 실적(품목별)'!G2413),",","")),"")</f>
        <v>534967</v>
      </c>
      <c r="K2409" s="19" t="n">
        <f aca="false">IFERROR(VALUE(SUBSTITUTE(TRIM('수출입 실적(품목별)'!H2413),",","")),"")</f>
        <v>-529458</v>
      </c>
    </row>
    <row r="2410" customFormat="false" ht="15" hidden="false" customHeight="true" outlineLevel="0" collapsed="false">
      <c r="A2410" s="11" t="str">
        <f aca="false">TRIM('수출입 실적(품목별)'!A2414)</f>
        <v>2026.02</v>
      </c>
      <c r="B2410" s="17" t="n">
        <f aca="false">IFERROR(VALUE(LEFT($A2410,4)),"")</f>
        <v>2026</v>
      </c>
      <c r="C2410" s="17" t="n">
        <f aca="false">IFERROR(VALUE(RIGHT($A2410,2)),"")</f>
        <v>2</v>
      </c>
      <c r="D2410" s="17" t="n">
        <f aca="false">IFERROR(ROUNDUP($C2410/3,0),"")</f>
        <v>1</v>
      </c>
      <c r="E2410" s="11" t="str">
        <f aca="false">TRIM('수출입 실적(품목별)'!B2414)</f>
        <v>03</v>
      </c>
      <c r="F2410" s="11" t="str">
        <f aca="false">TRIM('수출입 실적(품목별)'!C2414)</f>
        <v>어류ㆍ갑각류ㆍ연체동물과 그 밖의 수생(水生) 무척추동물</v>
      </c>
      <c r="G2410" s="18" t="n">
        <f aca="false">IFERROR(VALUE(SUBSTITUTE(TRIM('수출입 실적(품목별)'!D2414),",","")),"")</f>
        <v>46753.6</v>
      </c>
      <c r="H2410" s="19" t="n">
        <f aca="false">IFERROR(VALUE(SUBSTITUTE(TRIM('수출입 실적(품목별)'!E2414),",","")),"")</f>
        <v>148644</v>
      </c>
      <c r="I2410" s="18" t="n">
        <f aca="false">IFERROR(VALUE(SUBSTITUTE(TRIM('수출입 실적(품목별)'!F2414),",","")),"")</f>
        <v>85842.9</v>
      </c>
      <c r="J2410" s="19" t="n">
        <f aca="false">IFERROR(VALUE(SUBSTITUTE(TRIM('수출입 실적(품목별)'!G2414),",","")),"")</f>
        <v>380469</v>
      </c>
      <c r="K2410" s="19" t="n">
        <f aca="false">IFERROR(VALUE(SUBSTITUTE(TRIM('수출입 실적(품목별)'!H2414),",","")),"")</f>
        <v>-231825</v>
      </c>
    </row>
    <row r="2411" customFormat="false" ht="15" hidden="false" customHeight="true" outlineLevel="0" collapsed="false">
      <c r="A2411" s="11" t="str">
        <f aca="false">TRIM('수출입 실적(품목별)'!A2415)</f>
        <v>2026.02</v>
      </c>
      <c r="B2411" s="17" t="n">
        <f aca="false">IFERROR(VALUE(LEFT($A2411,4)),"")</f>
        <v>2026</v>
      </c>
      <c r="C2411" s="17" t="n">
        <f aca="false">IFERROR(VALUE(RIGHT($A2411,2)),"")</f>
        <v>2</v>
      </c>
      <c r="D2411" s="17" t="n">
        <f aca="false">IFERROR(ROUNDUP($C2411/3,0),"")</f>
        <v>1</v>
      </c>
      <c r="E2411" s="11" t="str">
        <f aca="false">TRIM('수출입 실적(품목별)'!B2415)</f>
        <v>04</v>
      </c>
      <c r="F2411" s="11" t="str">
        <f aca="false">TRIM('수출입 실적(품목별)'!C2415)</f>
        <v>낙농품, 새의 알, 천연꿀, 다른 류로 분류되지 않은 식용인 동물성 생산품</v>
      </c>
      <c r="G2411" s="18" t="n">
        <f aca="false">IFERROR(VALUE(SUBSTITUTE(TRIM('수출입 실적(품목별)'!D2415),",","")),"")</f>
        <v>2326.8</v>
      </c>
      <c r="H2411" s="19" t="n">
        <f aca="false">IFERROR(VALUE(SUBSTITUTE(TRIM('수출입 실적(품목별)'!E2415),",","")),"")</f>
        <v>7023</v>
      </c>
      <c r="I2411" s="18" t="n">
        <f aca="false">IFERROR(VALUE(SUBSTITUTE(TRIM('수출입 실적(품목별)'!F2415),",","")),"")</f>
        <v>29952.5</v>
      </c>
      <c r="J2411" s="19" t="n">
        <f aca="false">IFERROR(VALUE(SUBSTITUTE(TRIM('수출입 실적(품목별)'!G2415),",","")),"")</f>
        <v>124895</v>
      </c>
      <c r="K2411" s="19" t="n">
        <f aca="false">IFERROR(VALUE(SUBSTITUTE(TRIM('수출입 실적(품목별)'!H2415),",","")),"")</f>
        <v>-117872</v>
      </c>
    </row>
    <row r="2412" customFormat="false" ht="15" hidden="false" customHeight="true" outlineLevel="0" collapsed="false">
      <c r="A2412" s="11" t="str">
        <f aca="false">TRIM('수출입 실적(품목별)'!A2416)</f>
        <v>2026.02</v>
      </c>
      <c r="B2412" s="17" t="n">
        <f aca="false">IFERROR(VALUE(LEFT($A2412,4)),"")</f>
        <v>2026</v>
      </c>
      <c r="C2412" s="17" t="n">
        <f aca="false">IFERROR(VALUE(RIGHT($A2412,2)),"")</f>
        <v>2</v>
      </c>
      <c r="D2412" s="17" t="n">
        <f aca="false">IFERROR(ROUNDUP($C2412/3,0),"")</f>
        <v>1</v>
      </c>
      <c r="E2412" s="11" t="str">
        <f aca="false">TRIM('수출입 실적(품목별)'!B2416)</f>
        <v>05</v>
      </c>
      <c r="F2412" s="11" t="str">
        <f aca="false">TRIM('수출입 실적(품목별)'!C2416)</f>
        <v>다른 류로 분류되지 않은 동물성 생산품</v>
      </c>
      <c r="G2412" s="18" t="n">
        <f aca="false">IFERROR(VALUE(SUBSTITUTE(TRIM('수출입 실적(품목별)'!D2416),",","")),"")</f>
        <v>874.7</v>
      </c>
      <c r="H2412" s="19" t="n">
        <f aca="false">IFERROR(VALUE(SUBSTITUTE(TRIM('수출입 실적(품목별)'!E2416),",","")),"")</f>
        <v>4009</v>
      </c>
      <c r="I2412" s="18" t="n">
        <f aca="false">IFERROR(VALUE(SUBSTITUTE(TRIM('수출입 실적(품목별)'!F2416),",","")),"")</f>
        <v>3503</v>
      </c>
      <c r="J2412" s="19" t="n">
        <f aca="false">IFERROR(VALUE(SUBSTITUTE(TRIM('수출입 실적(품목별)'!G2416),",","")),"")</f>
        <v>15156</v>
      </c>
      <c r="K2412" s="19" t="n">
        <f aca="false">IFERROR(VALUE(SUBSTITUTE(TRIM('수출입 실적(품목별)'!H2416),",","")),"")</f>
        <v>-11147</v>
      </c>
    </row>
    <row r="2413" customFormat="false" ht="15" hidden="false" customHeight="true" outlineLevel="0" collapsed="false">
      <c r="A2413" s="11" t="str">
        <f aca="false">TRIM('수출입 실적(품목별)'!A2417)</f>
        <v>2026.02</v>
      </c>
      <c r="B2413" s="17" t="n">
        <f aca="false">IFERROR(VALUE(LEFT($A2413,4)),"")</f>
        <v>2026</v>
      </c>
      <c r="C2413" s="17" t="n">
        <f aca="false">IFERROR(VALUE(RIGHT($A2413,2)),"")</f>
        <v>2</v>
      </c>
      <c r="D2413" s="17" t="n">
        <f aca="false">IFERROR(ROUNDUP($C2413/3,0),"")</f>
        <v>1</v>
      </c>
      <c r="E2413" s="11" t="str">
        <f aca="false">TRIM('수출입 실적(품목별)'!B2417)</f>
        <v>06</v>
      </c>
      <c r="F2413" s="11" t="str">
        <f aca="false">TRIM('수출입 실적(품목별)'!C2417)</f>
        <v>살아 있는 수목과 그 밖의 식물, 인경(鱗莖)ㆍ뿌리와 이와 유사한 물품, 절화(切花)와 장식용 잎</v>
      </c>
      <c r="G2413" s="18" t="n">
        <f aca="false">IFERROR(VALUE(SUBSTITUTE(TRIM('수출입 실적(품목별)'!D2417),",","")),"")</f>
        <v>38.8</v>
      </c>
      <c r="H2413" s="19" t="n">
        <f aca="false">IFERROR(VALUE(SUBSTITUTE(TRIM('수출입 실적(품목별)'!E2417),",","")),"")</f>
        <v>191</v>
      </c>
      <c r="I2413" s="18" t="n">
        <f aca="false">IFERROR(VALUE(SUBSTITUTE(TRIM('수출입 실적(품목별)'!F2417),",","")),"")</f>
        <v>5892</v>
      </c>
      <c r="J2413" s="19" t="n">
        <f aca="false">IFERROR(VALUE(SUBSTITUTE(TRIM('수출입 실적(품목별)'!G2417),",","")),"")</f>
        <v>13476</v>
      </c>
      <c r="K2413" s="19" t="n">
        <f aca="false">IFERROR(VALUE(SUBSTITUTE(TRIM('수출입 실적(품목별)'!H2417),",","")),"")</f>
        <v>-13286</v>
      </c>
    </row>
    <row r="2414" customFormat="false" ht="15" hidden="false" customHeight="true" outlineLevel="0" collapsed="false">
      <c r="A2414" s="11" t="str">
        <f aca="false">TRIM('수출입 실적(품목별)'!A2418)</f>
        <v>2026.02</v>
      </c>
      <c r="B2414" s="17" t="n">
        <f aca="false">IFERROR(VALUE(LEFT($A2414,4)),"")</f>
        <v>2026</v>
      </c>
      <c r="C2414" s="17" t="n">
        <f aca="false">IFERROR(VALUE(RIGHT($A2414,2)),"")</f>
        <v>2</v>
      </c>
      <c r="D2414" s="17" t="n">
        <f aca="false">IFERROR(ROUNDUP($C2414/3,0),"")</f>
        <v>1</v>
      </c>
      <c r="E2414" s="11" t="str">
        <f aca="false">TRIM('수출입 실적(품목별)'!B2418)</f>
        <v>07</v>
      </c>
      <c r="F2414" s="11" t="str">
        <f aca="false">TRIM('수출입 실적(품목별)'!C2418)</f>
        <v>식용의 채소ㆍ뿌리ㆍ괴경(塊莖)</v>
      </c>
      <c r="G2414" s="18" t="n">
        <f aca="false">IFERROR(VALUE(SUBSTITUTE(TRIM('수출입 실적(품목별)'!D2418),",","")),"")</f>
        <v>3117.2</v>
      </c>
      <c r="H2414" s="19" t="n">
        <f aca="false">IFERROR(VALUE(SUBSTITUTE(TRIM('수출입 실적(품목별)'!E2418),",","")),"")</f>
        <v>7600</v>
      </c>
      <c r="I2414" s="18" t="n">
        <f aca="false">IFERROR(VALUE(SUBSTITUTE(TRIM('수출입 실적(품목별)'!F2418),",","")),"")</f>
        <v>68650.2</v>
      </c>
      <c r="J2414" s="19" t="n">
        <f aca="false">IFERROR(VALUE(SUBSTITUTE(TRIM('수출입 실적(품목별)'!G2418),",","")),"")</f>
        <v>58137</v>
      </c>
      <c r="K2414" s="19" t="n">
        <f aca="false">IFERROR(VALUE(SUBSTITUTE(TRIM('수출입 실적(품목별)'!H2418),",","")),"")</f>
        <v>-50538</v>
      </c>
    </row>
    <row r="2415" customFormat="false" ht="15" hidden="false" customHeight="true" outlineLevel="0" collapsed="false">
      <c r="A2415" s="11" t="str">
        <f aca="false">TRIM('수출입 실적(품목별)'!A2419)</f>
        <v>2026.02</v>
      </c>
      <c r="B2415" s="17" t="n">
        <f aca="false">IFERROR(VALUE(LEFT($A2415,4)),"")</f>
        <v>2026</v>
      </c>
      <c r="C2415" s="17" t="n">
        <f aca="false">IFERROR(VALUE(RIGHT($A2415,2)),"")</f>
        <v>2</v>
      </c>
      <c r="D2415" s="17" t="n">
        <f aca="false">IFERROR(ROUNDUP($C2415/3,0),"")</f>
        <v>1</v>
      </c>
      <c r="E2415" s="11" t="str">
        <f aca="false">TRIM('수출입 실적(품목별)'!B2419)</f>
        <v>08</v>
      </c>
      <c r="F2415" s="11" t="str">
        <f aca="false">TRIM('수출입 실적(품목별)'!C2419)</f>
        <v>식용의 과실과 견과류, 감귤류ㆍ멜론의 껍질</v>
      </c>
      <c r="G2415" s="18" t="n">
        <f aca="false">IFERROR(VALUE(SUBSTITUTE(TRIM('수출입 실적(품목별)'!D2419),",","")),"")</f>
        <v>2121.4</v>
      </c>
      <c r="H2415" s="19" t="n">
        <f aca="false">IFERROR(VALUE(SUBSTITUTE(TRIM('수출입 실적(품목별)'!E2419),",","")),"")</f>
        <v>21242</v>
      </c>
      <c r="I2415" s="18" t="n">
        <f aca="false">IFERROR(VALUE(SUBSTITUTE(TRIM('수출입 실적(품목별)'!F2419),",","")),"")</f>
        <v>52571.7</v>
      </c>
      <c r="J2415" s="19" t="n">
        <f aca="false">IFERROR(VALUE(SUBSTITUTE(TRIM('수출입 실적(품목별)'!G2419),",","")),"")</f>
        <v>143173</v>
      </c>
      <c r="K2415" s="19" t="n">
        <f aca="false">IFERROR(VALUE(SUBSTITUTE(TRIM('수출입 실적(품목별)'!H2419),",","")),"")</f>
        <v>-121931</v>
      </c>
    </row>
    <row r="2416" customFormat="false" ht="15" hidden="false" customHeight="true" outlineLevel="0" collapsed="false">
      <c r="A2416" s="11" t="str">
        <f aca="false">TRIM('수출입 실적(품목별)'!A2420)</f>
        <v>2026.02</v>
      </c>
      <c r="B2416" s="17" t="n">
        <f aca="false">IFERROR(VALUE(LEFT($A2416,4)),"")</f>
        <v>2026</v>
      </c>
      <c r="C2416" s="17" t="n">
        <f aca="false">IFERROR(VALUE(RIGHT($A2416,2)),"")</f>
        <v>2</v>
      </c>
      <c r="D2416" s="17" t="n">
        <f aca="false">IFERROR(ROUNDUP($C2416/3,0),"")</f>
        <v>1</v>
      </c>
      <c r="E2416" s="11" t="str">
        <f aca="false">TRIM('수출입 실적(품목별)'!B2420)</f>
        <v>09</v>
      </c>
      <c r="F2416" s="11" t="str">
        <f aca="false">TRIM('수출입 실적(품목별)'!C2420)</f>
        <v>커피ㆍ차ㆍ마테(maté)ㆍ향신료</v>
      </c>
      <c r="G2416" s="18" t="n">
        <f aca="false">IFERROR(VALUE(SUBSTITUTE(TRIM('수출입 실적(품목별)'!D2420),",","")),"")</f>
        <v>338</v>
      </c>
      <c r="H2416" s="19" t="n">
        <f aca="false">IFERROR(VALUE(SUBSTITUTE(TRIM('수출입 실적(품목별)'!E2420),",","")),"")</f>
        <v>3374</v>
      </c>
      <c r="I2416" s="18" t="n">
        <f aca="false">IFERROR(VALUE(SUBSTITUTE(TRIM('수출입 실적(품목별)'!F2420),",","")),"")</f>
        <v>15687.3</v>
      </c>
      <c r="J2416" s="19" t="n">
        <f aca="false">IFERROR(VALUE(SUBSTITUTE(TRIM('수출입 실적(품목별)'!G2420),",","")),"")</f>
        <v>128398</v>
      </c>
      <c r="K2416" s="19" t="n">
        <f aca="false">IFERROR(VALUE(SUBSTITUTE(TRIM('수출입 실적(품목별)'!H2420),",","")),"")</f>
        <v>-125024</v>
      </c>
    </row>
    <row r="2417" customFormat="false" ht="15" hidden="false" customHeight="true" outlineLevel="0" collapsed="false">
      <c r="A2417" s="11" t="str">
        <f aca="false">TRIM('수출입 실적(품목별)'!A2421)</f>
        <v>2026.02</v>
      </c>
      <c r="B2417" s="17" t="n">
        <f aca="false">IFERROR(VALUE(LEFT($A2417,4)),"")</f>
        <v>2026</v>
      </c>
      <c r="C2417" s="17" t="n">
        <f aca="false">IFERROR(VALUE(RIGHT($A2417,2)),"")</f>
        <v>2</v>
      </c>
      <c r="D2417" s="17" t="n">
        <f aca="false">IFERROR(ROUNDUP($C2417/3,0),"")</f>
        <v>1</v>
      </c>
      <c r="E2417" s="11" t="str">
        <f aca="false">TRIM('수출입 실적(품목별)'!B2421)</f>
        <v>10</v>
      </c>
      <c r="F2417" s="11" t="str">
        <f aca="false">TRIM('수출입 실적(품목별)'!C2421)</f>
        <v>곡물</v>
      </c>
      <c r="G2417" s="18" t="n">
        <f aca="false">IFERROR(VALUE(SUBSTITUTE(TRIM('수출입 실적(품목별)'!D2421),",","")),"")</f>
        <v>864.3</v>
      </c>
      <c r="H2417" s="19" t="n">
        <f aca="false">IFERROR(VALUE(SUBSTITUTE(TRIM('수출입 실적(품목별)'!E2421),",","")),"")</f>
        <v>1272</v>
      </c>
      <c r="I2417" s="18" t="n">
        <f aca="false">IFERROR(VALUE(SUBSTITUTE(TRIM('수출입 실적(품목별)'!F2421),",","")),"")</f>
        <v>1220505.7</v>
      </c>
      <c r="J2417" s="19" t="n">
        <f aca="false">IFERROR(VALUE(SUBSTITUTE(TRIM('수출입 실적(품목별)'!G2421),",","")),"")</f>
        <v>325447</v>
      </c>
      <c r="K2417" s="19" t="n">
        <f aca="false">IFERROR(VALUE(SUBSTITUTE(TRIM('수출입 실적(품목별)'!H2421),",","")),"")</f>
        <v>-324176</v>
      </c>
    </row>
    <row r="2418" customFormat="false" ht="15" hidden="false" customHeight="true" outlineLevel="0" collapsed="false">
      <c r="A2418" s="11" t="str">
        <f aca="false">TRIM('수출입 실적(품목별)'!A2422)</f>
        <v>2026.02</v>
      </c>
      <c r="B2418" s="17" t="n">
        <f aca="false">IFERROR(VALUE(LEFT($A2418,4)),"")</f>
        <v>2026</v>
      </c>
      <c r="C2418" s="17" t="n">
        <f aca="false">IFERROR(VALUE(RIGHT($A2418,2)),"")</f>
        <v>2</v>
      </c>
      <c r="D2418" s="17" t="n">
        <f aca="false">IFERROR(ROUNDUP($C2418/3,0),"")</f>
        <v>1</v>
      </c>
      <c r="E2418" s="11" t="str">
        <f aca="false">TRIM('수출입 실적(품목별)'!B2422)</f>
        <v>11</v>
      </c>
      <c r="F2418" s="11" t="str">
        <f aca="false">TRIM('수출입 실적(품목별)'!C2422)</f>
        <v>제분공업의 생산품과 맥아, 전분, 이눌린(inulin), 밀의 글루텐(gluten)</v>
      </c>
      <c r="G2418" s="18" t="n">
        <f aca="false">IFERROR(VALUE(SUBSTITUTE(TRIM('수출입 실적(품목별)'!D2422),",","")),"")</f>
        <v>4452.9</v>
      </c>
      <c r="H2418" s="19" t="n">
        <f aca="false">IFERROR(VALUE(SUBSTITUTE(TRIM('수출입 실적(품목별)'!E2422),",","")),"")</f>
        <v>2930</v>
      </c>
      <c r="I2418" s="18" t="n">
        <f aca="false">IFERROR(VALUE(SUBSTITUTE(TRIM('수출입 실적(품목별)'!F2422),",","")),"")</f>
        <v>28193.1</v>
      </c>
      <c r="J2418" s="19" t="n">
        <f aca="false">IFERROR(VALUE(SUBSTITUTE(TRIM('수출입 실적(품목별)'!G2422),",","")),"")</f>
        <v>23957</v>
      </c>
      <c r="K2418" s="19" t="n">
        <f aca="false">IFERROR(VALUE(SUBSTITUTE(TRIM('수출입 실적(품목별)'!H2422),",","")),"")</f>
        <v>-21027</v>
      </c>
    </row>
    <row r="2419" customFormat="false" ht="15" hidden="false" customHeight="true" outlineLevel="0" collapsed="false">
      <c r="A2419" s="11" t="str">
        <f aca="false">TRIM('수출입 실적(품목별)'!A2423)</f>
        <v>2026.02</v>
      </c>
      <c r="B2419" s="17" t="n">
        <f aca="false">IFERROR(VALUE(LEFT($A2419,4)),"")</f>
        <v>2026</v>
      </c>
      <c r="C2419" s="17" t="n">
        <f aca="false">IFERROR(VALUE(RIGHT($A2419,2)),"")</f>
        <v>2</v>
      </c>
      <c r="D2419" s="17" t="n">
        <f aca="false">IFERROR(ROUNDUP($C2419/3,0),"")</f>
        <v>1</v>
      </c>
      <c r="E2419" s="11" t="str">
        <f aca="false">TRIM('수출입 실적(품목별)'!B2423)</f>
        <v>12</v>
      </c>
      <c r="F2419" s="11" t="str">
        <f aca="false">TRIM('수출입 실적(품목별)'!C2423)</f>
        <v>채유(採油)에 적합한 종자와 과실, 각종 종자와 과실, 공업용ㆍ의약용 식물, 짚과 사료용 식물</v>
      </c>
      <c r="G2419" s="18" t="n">
        <f aca="false">IFERROR(VALUE(SUBSTITUTE(TRIM('수출입 실적(품목별)'!D2423),",","")),"")</f>
        <v>1879.8</v>
      </c>
      <c r="H2419" s="19" t="n">
        <f aca="false">IFERROR(VALUE(SUBSTITUTE(TRIM('수출입 실적(품목별)'!E2423),",","")),"")</f>
        <v>43667</v>
      </c>
      <c r="I2419" s="18" t="n">
        <f aca="false">IFERROR(VALUE(SUBSTITUTE(TRIM('수출입 실적(품목별)'!F2423),",","")),"")</f>
        <v>284585.6</v>
      </c>
      <c r="J2419" s="19" t="n">
        <f aca="false">IFERROR(VALUE(SUBSTITUTE(TRIM('수출입 실적(품목별)'!G2423),",","")),"")</f>
        <v>157105</v>
      </c>
      <c r="K2419" s="19" t="n">
        <f aca="false">IFERROR(VALUE(SUBSTITUTE(TRIM('수출입 실적(품목별)'!H2423),",","")),"")</f>
        <v>-113438</v>
      </c>
    </row>
    <row r="2420" customFormat="false" ht="15" hidden="false" customHeight="true" outlineLevel="0" collapsed="false">
      <c r="A2420" s="11" t="str">
        <f aca="false">TRIM('수출입 실적(품목별)'!A2424)</f>
        <v>2026.02</v>
      </c>
      <c r="B2420" s="17" t="n">
        <f aca="false">IFERROR(VALUE(LEFT($A2420,4)),"")</f>
        <v>2026</v>
      </c>
      <c r="C2420" s="17" t="n">
        <f aca="false">IFERROR(VALUE(RIGHT($A2420,2)),"")</f>
        <v>2</v>
      </c>
      <c r="D2420" s="17" t="n">
        <f aca="false">IFERROR(ROUNDUP($C2420/3,0),"")</f>
        <v>1</v>
      </c>
      <c r="E2420" s="11" t="str">
        <f aca="false">TRIM('수출입 실적(품목별)'!B2424)</f>
        <v>13</v>
      </c>
      <c r="F2420" s="11" t="str">
        <f aca="false">TRIM('수출입 실적(품목별)'!C2424)</f>
        <v>락(lac), 검ㆍ수지ㆍ그 밖의 식물성 수액과 추출물(extract)</v>
      </c>
      <c r="G2420" s="18" t="n">
        <f aca="false">IFERROR(VALUE(SUBSTITUTE(TRIM('수출입 실적(품목별)'!D2424),",","")),"")</f>
        <v>229.4</v>
      </c>
      <c r="H2420" s="19" t="n">
        <f aca="false">IFERROR(VALUE(SUBSTITUTE(TRIM('수출입 실적(품목별)'!E2424),",","")),"")</f>
        <v>6002</v>
      </c>
      <c r="I2420" s="18" t="n">
        <f aca="false">IFERROR(VALUE(SUBSTITUTE(TRIM('수출입 실적(품목별)'!F2424),",","")),"")</f>
        <v>7716.3</v>
      </c>
      <c r="J2420" s="19" t="n">
        <f aca="false">IFERROR(VALUE(SUBSTITUTE(TRIM('수출입 실적(품목별)'!G2424),",","")),"")</f>
        <v>25386</v>
      </c>
      <c r="K2420" s="19" t="n">
        <f aca="false">IFERROR(VALUE(SUBSTITUTE(TRIM('수출입 실적(품목별)'!H2424),",","")),"")</f>
        <v>-19384</v>
      </c>
    </row>
    <row r="2421" customFormat="false" ht="15" hidden="false" customHeight="true" outlineLevel="0" collapsed="false">
      <c r="A2421" s="11" t="str">
        <f aca="false">TRIM('수출입 실적(품목별)'!A2425)</f>
        <v>2026.02</v>
      </c>
      <c r="B2421" s="17" t="n">
        <f aca="false">IFERROR(VALUE(LEFT($A2421,4)),"")</f>
        <v>2026</v>
      </c>
      <c r="C2421" s="17" t="n">
        <f aca="false">IFERROR(VALUE(RIGHT($A2421,2)),"")</f>
        <v>2</v>
      </c>
      <c r="D2421" s="17" t="n">
        <f aca="false">IFERROR(ROUNDUP($C2421/3,0),"")</f>
        <v>1</v>
      </c>
      <c r="E2421" s="11" t="str">
        <f aca="false">TRIM('수출입 실적(품목별)'!B2425)</f>
        <v>14</v>
      </c>
      <c r="F2421" s="11" t="str">
        <f aca="false">TRIM('수출입 실적(품목별)'!C2425)</f>
        <v>식물성 편조물(編組物)용 재료와 다른 류로 분류되지 않은 식물성 생산품</v>
      </c>
      <c r="G2421" s="18" t="n">
        <f aca="false">IFERROR(VALUE(SUBSTITUTE(TRIM('수출입 실적(품목별)'!D2425),",","")),"")</f>
        <v>11.6</v>
      </c>
      <c r="H2421" s="19" t="n">
        <f aca="false">IFERROR(VALUE(SUBSTITUTE(TRIM('수출입 실적(품목별)'!E2425),",","")),"")</f>
        <v>8</v>
      </c>
      <c r="I2421" s="18" t="n">
        <f aca="false">IFERROR(VALUE(SUBSTITUTE(TRIM('수출입 실적(품목별)'!F2425),",","")),"")</f>
        <v>49144.3</v>
      </c>
      <c r="J2421" s="19" t="n">
        <f aca="false">IFERROR(VALUE(SUBSTITUTE(TRIM('수출입 실적(품목별)'!G2425),",","")),"")</f>
        <v>9891</v>
      </c>
      <c r="K2421" s="19" t="n">
        <f aca="false">IFERROR(VALUE(SUBSTITUTE(TRIM('수출입 실적(품목별)'!H2425),",","")),"")</f>
        <v>-9883</v>
      </c>
    </row>
    <row r="2422" customFormat="false" ht="15" hidden="false" customHeight="true" outlineLevel="0" collapsed="false">
      <c r="A2422" s="11" t="str">
        <f aca="false">TRIM('수출입 실적(품목별)'!A2426)</f>
        <v>2026.02</v>
      </c>
      <c r="B2422" s="17" t="n">
        <f aca="false">IFERROR(VALUE(LEFT($A2422,4)),"")</f>
        <v>2026</v>
      </c>
      <c r="C2422" s="17" t="n">
        <f aca="false">IFERROR(VALUE(RIGHT($A2422,2)),"")</f>
        <v>2</v>
      </c>
      <c r="D2422" s="17" t="n">
        <f aca="false">IFERROR(ROUNDUP($C2422/3,0),"")</f>
        <v>1</v>
      </c>
      <c r="E2422" s="11" t="str">
        <f aca="false">TRIM('수출입 실적(품목별)'!B2426)</f>
        <v>15</v>
      </c>
      <c r="F2422" s="11" t="str">
        <f aca="false">TRIM('수출입 실적(품목별)'!C2426)</f>
        <v>동물성ㆍ식물성ㆍ미생물성 지방과 기름 및이들의 분해생산물, 조제한 식용 지방과 동물성ㆍ식물성 왁스</v>
      </c>
      <c r="G2422" s="18" t="n">
        <f aca="false">IFERROR(VALUE(SUBSTITUTE(TRIM('수출입 실적(품목별)'!D2426),",","")),"")</f>
        <v>10212.2</v>
      </c>
      <c r="H2422" s="19" t="n">
        <f aca="false">IFERROR(VALUE(SUBSTITUTE(TRIM('수출입 실적(품목별)'!E2426),",","")),"")</f>
        <v>13541</v>
      </c>
      <c r="I2422" s="18" t="n">
        <f aca="false">IFERROR(VALUE(SUBSTITUTE(TRIM('수출입 실적(품목별)'!F2426),",","")),"")</f>
        <v>117775.5</v>
      </c>
      <c r="J2422" s="19" t="n">
        <f aca="false">IFERROR(VALUE(SUBSTITUTE(TRIM('수출입 실적(품목별)'!G2426),",","")),"")</f>
        <v>174055</v>
      </c>
      <c r="K2422" s="19" t="n">
        <f aca="false">IFERROR(VALUE(SUBSTITUTE(TRIM('수출입 실적(품목별)'!H2426),",","")),"")</f>
        <v>-160514</v>
      </c>
    </row>
    <row r="2423" customFormat="false" ht="15" hidden="false" customHeight="true" outlineLevel="0" collapsed="false">
      <c r="A2423" s="11" t="str">
        <f aca="false">TRIM('수출입 실적(품목별)'!A2427)</f>
        <v>2026.02</v>
      </c>
      <c r="B2423" s="17" t="n">
        <f aca="false">IFERROR(VALUE(LEFT($A2423,4)),"")</f>
        <v>2026</v>
      </c>
      <c r="C2423" s="17" t="n">
        <f aca="false">IFERROR(VALUE(RIGHT($A2423,2)),"")</f>
        <v>2</v>
      </c>
      <c r="D2423" s="17" t="n">
        <f aca="false">IFERROR(ROUNDUP($C2423/3,0),"")</f>
        <v>1</v>
      </c>
      <c r="E2423" s="11" t="str">
        <f aca="false">TRIM('수출입 실적(품목별)'!B2427)</f>
        <v>16</v>
      </c>
      <c r="F2423" s="11" t="str">
        <f aca="false">TRIM('수출입 실적(품목별)'!C2427)</f>
        <v>육류ㆍ어류ㆍ갑각류ㆍ연체동물이나 그 밖의 수생(水生) 무척추동물 또는 곤충의 조제품</v>
      </c>
      <c r="G2423" s="18" t="n">
        <f aca="false">IFERROR(VALUE(SUBSTITUTE(TRIM('수출입 실적(품목별)'!D2427),",","")),"")</f>
        <v>3503.1</v>
      </c>
      <c r="H2423" s="19" t="n">
        <f aca="false">IFERROR(VALUE(SUBSTITUTE(TRIM('수출입 실적(품목별)'!E2427),",","")),"")</f>
        <v>19869</v>
      </c>
      <c r="I2423" s="18" t="n">
        <f aca="false">IFERROR(VALUE(SUBSTITUTE(TRIM('수출입 실적(품목별)'!F2427),",","")),"")</f>
        <v>13324.6</v>
      </c>
      <c r="J2423" s="19" t="n">
        <f aca="false">IFERROR(VALUE(SUBSTITUTE(TRIM('수출입 실적(품목별)'!G2427),",","")),"")</f>
        <v>73497</v>
      </c>
      <c r="K2423" s="19" t="n">
        <f aca="false">IFERROR(VALUE(SUBSTITUTE(TRIM('수출입 실적(품목별)'!H2427),",","")),"")</f>
        <v>-53628</v>
      </c>
    </row>
    <row r="2424" customFormat="false" ht="15" hidden="false" customHeight="true" outlineLevel="0" collapsed="false">
      <c r="A2424" s="11" t="str">
        <f aca="false">TRIM('수출입 실적(품목별)'!A2428)</f>
        <v>2026.02</v>
      </c>
      <c r="B2424" s="17" t="n">
        <f aca="false">IFERROR(VALUE(LEFT($A2424,4)),"")</f>
        <v>2026</v>
      </c>
      <c r="C2424" s="17" t="n">
        <f aca="false">IFERROR(VALUE(RIGHT($A2424,2)),"")</f>
        <v>2</v>
      </c>
      <c r="D2424" s="17" t="n">
        <f aca="false">IFERROR(ROUNDUP($C2424/3,0),"")</f>
        <v>1</v>
      </c>
      <c r="E2424" s="11" t="str">
        <f aca="false">TRIM('수출입 실적(품목별)'!B2428)</f>
        <v>17</v>
      </c>
      <c r="F2424" s="11" t="str">
        <f aca="false">TRIM('수출입 실적(품목별)'!C2428)</f>
        <v>당류(糖類)와 설탕과자</v>
      </c>
      <c r="G2424" s="18" t="n">
        <f aca="false">IFERROR(VALUE(SUBSTITUTE(TRIM('수출입 실적(품목별)'!D2428),",","")),"")</f>
        <v>15906.2</v>
      </c>
      <c r="H2424" s="19" t="n">
        <f aca="false">IFERROR(VALUE(SUBSTITUTE(TRIM('수출입 실적(품목별)'!E2428),",","")),"")</f>
        <v>16290</v>
      </c>
      <c r="I2424" s="18" t="n">
        <f aca="false">IFERROR(VALUE(SUBSTITUTE(TRIM('수출입 실적(품목별)'!F2428),",","")),"")</f>
        <v>167760.2</v>
      </c>
      <c r="J2424" s="19" t="n">
        <f aca="false">IFERROR(VALUE(SUBSTITUTE(TRIM('수출입 실적(품목별)'!G2428),",","")),"")</f>
        <v>100031</v>
      </c>
      <c r="K2424" s="19" t="n">
        <f aca="false">IFERROR(VALUE(SUBSTITUTE(TRIM('수출입 실적(품목별)'!H2428),",","")),"")</f>
        <v>-83741</v>
      </c>
    </row>
    <row r="2425" customFormat="false" ht="15" hidden="false" customHeight="true" outlineLevel="0" collapsed="false">
      <c r="A2425" s="11" t="str">
        <f aca="false">TRIM('수출입 실적(품목별)'!A2429)</f>
        <v>2026.02</v>
      </c>
      <c r="B2425" s="17" t="n">
        <f aca="false">IFERROR(VALUE(LEFT($A2425,4)),"")</f>
        <v>2026</v>
      </c>
      <c r="C2425" s="17" t="n">
        <f aca="false">IFERROR(VALUE(RIGHT($A2425,2)),"")</f>
        <v>2</v>
      </c>
      <c r="D2425" s="17" t="n">
        <f aca="false">IFERROR(ROUNDUP($C2425/3,0),"")</f>
        <v>1</v>
      </c>
      <c r="E2425" s="11" t="str">
        <f aca="false">TRIM('수출입 실적(품목별)'!B2429)</f>
        <v>18</v>
      </c>
      <c r="F2425" s="11" t="str">
        <f aca="false">TRIM('수출입 실적(품목별)'!C2429)</f>
        <v>코코아와 그 조제품</v>
      </c>
      <c r="G2425" s="18" t="n">
        <f aca="false">IFERROR(VALUE(SUBSTITUTE(TRIM('수출입 실적(품목별)'!D2429),",","")),"")</f>
        <v>1547.2</v>
      </c>
      <c r="H2425" s="19" t="n">
        <f aca="false">IFERROR(VALUE(SUBSTITUTE(TRIM('수출입 실적(품목별)'!E2429),",","")),"")</f>
        <v>5519</v>
      </c>
      <c r="I2425" s="18" t="n">
        <f aca="false">IFERROR(VALUE(SUBSTITUTE(TRIM('수출입 실적(품목별)'!F2429),",","")),"")</f>
        <v>4806</v>
      </c>
      <c r="J2425" s="19" t="n">
        <f aca="false">IFERROR(VALUE(SUBSTITUTE(TRIM('수출입 실적(품목별)'!G2429),",","")),"")</f>
        <v>48302</v>
      </c>
      <c r="K2425" s="19" t="n">
        <f aca="false">IFERROR(VALUE(SUBSTITUTE(TRIM('수출입 실적(품목별)'!H2429),",","")),"")</f>
        <v>-42783</v>
      </c>
    </row>
    <row r="2426" customFormat="false" ht="15" hidden="false" customHeight="true" outlineLevel="0" collapsed="false">
      <c r="A2426" s="11" t="str">
        <f aca="false">TRIM('수출입 실적(품목별)'!A2430)</f>
        <v>2026.02</v>
      </c>
      <c r="B2426" s="17" t="n">
        <f aca="false">IFERROR(VALUE(LEFT($A2426,4)),"")</f>
        <v>2026</v>
      </c>
      <c r="C2426" s="17" t="n">
        <f aca="false">IFERROR(VALUE(RIGHT($A2426,2)),"")</f>
        <v>2</v>
      </c>
      <c r="D2426" s="17" t="n">
        <f aca="false">IFERROR(ROUNDUP($C2426/3,0),"")</f>
        <v>1</v>
      </c>
      <c r="E2426" s="11" t="str">
        <f aca="false">TRIM('수출입 실적(품목별)'!B2430)</f>
        <v>19</v>
      </c>
      <c r="F2426" s="11" t="str">
        <f aca="false">TRIM('수출입 실적(품목별)'!C2430)</f>
        <v>곡물ㆍ고운 가루ㆍ전분ㆍ밀크의 조제품과 베이커리 제품</v>
      </c>
      <c r="G2426" s="18" t="n">
        <f aca="false">IFERROR(VALUE(SUBSTITUTE(TRIM('수출입 실적(품목별)'!D2430),",","")),"")</f>
        <v>56225</v>
      </c>
      <c r="H2426" s="19" t="n">
        <f aca="false">IFERROR(VALUE(SUBSTITUTE(TRIM('수출입 실적(품목별)'!E2430),",","")),"")</f>
        <v>229252</v>
      </c>
      <c r="I2426" s="18" t="n">
        <f aca="false">IFERROR(VALUE(SUBSTITUTE(TRIM('수출입 실적(품목별)'!F2430),",","")),"")</f>
        <v>29646.8</v>
      </c>
      <c r="J2426" s="19" t="n">
        <f aca="false">IFERROR(VALUE(SUBSTITUTE(TRIM('수출입 실적(품목별)'!G2430),",","")),"")</f>
        <v>98542</v>
      </c>
      <c r="K2426" s="19" t="n">
        <f aca="false">IFERROR(VALUE(SUBSTITUTE(TRIM('수출입 실적(품목별)'!H2430),",","")),"")</f>
        <v>130710</v>
      </c>
    </row>
    <row r="2427" customFormat="false" ht="15" hidden="false" customHeight="true" outlineLevel="0" collapsed="false">
      <c r="A2427" s="11" t="str">
        <f aca="false">TRIM('수출입 실적(품목별)'!A2431)</f>
        <v>2026.02</v>
      </c>
      <c r="B2427" s="17" t="n">
        <f aca="false">IFERROR(VALUE(LEFT($A2427,4)),"")</f>
        <v>2026</v>
      </c>
      <c r="C2427" s="17" t="n">
        <f aca="false">IFERROR(VALUE(RIGHT($A2427,2)),"")</f>
        <v>2</v>
      </c>
      <c r="D2427" s="17" t="n">
        <f aca="false">IFERROR(ROUNDUP($C2427/3,0),"")</f>
        <v>1</v>
      </c>
      <c r="E2427" s="11" t="str">
        <f aca="false">TRIM('수출입 실적(품목별)'!B2431)</f>
        <v>20</v>
      </c>
      <c r="F2427" s="11" t="str">
        <f aca="false">TRIM('수출입 실적(품목별)'!C2431)</f>
        <v>채소ㆍ과실ㆍ견과류나 식물의그 밖의 부분의 조제품</v>
      </c>
      <c r="G2427" s="18" t="n">
        <f aca="false">IFERROR(VALUE(SUBSTITUTE(TRIM('수출입 실적(품목별)'!D2431),",","")),"")</f>
        <v>8887.3</v>
      </c>
      <c r="H2427" s="19" t="n">
        <f aca="false">IFERROR(VALUE(SUBSTITUTE(TRIM('수출입 실적(품목별)'!E2431),",","")),"")</f>
        <v>80672</v>
      </c>
      <c r="I2427" s="18" t="n">
        <f aca="false">IFERROR(VALUE(SUBSTITUTE(TRIM('수출입 실적(품목별)'!F2431),",","")),"")</f>
        <v>86201.4</v>
      </c>
      <c r="J2427" s="19" t="n">
        <f aca="false">IFERROR(VALUE(SUBSTITUTE(TRIM('수출입 실적(품목별)'!G2431),",","")),"")</f>
        <v>138998</v>
      </c>
      <c r="K2427" s="19" t="n">
        <f aca="false">IFERROR(VALUE(SUBSTITUTE(TRIM('수출입 실적(품목별)'!H2431),",","")),"")</f>
        <v>-58326</v>
      </c>
    </row>
    <row r="2428" customFormat="false" ht="15" hidden="false" customHeight="true" outlineLevel="0" collapsed="false">
      <c r="A2428" s="11" t="str">
        <f aca="false">TRIM('수출입 실적(품목별)'!A2432)</f>
        <v>2026.02</v>
      </c>
      <c r="B2428" s="17" t="n">
        <f aca="false">IFERROR(VALUE(LEFT($A2428,4)),"")</f>
        <v>2026</v>
      </c>
      <c r="C2428" s="17" t="n">
        <f aca="false">IFERROR(VALUE(RIGHT($A2428,2)),"")</f>
        <v>2</v>
      </c>
      <c r="D2428" s="17" t="n">
        <f aca="false">IFERROR(ROUNDUP($C2428/3,0),"")</f>
        <v>1</v>
      </c>
      <c r="E2428" s="11" t="str">
        <f aca="false">TRIM('수출입 실적(품목별)'!B2432)</f>
        <v>21</v>
      </c>
      <c r="F2428" s="11" t="str">
        <f aca="false">TRIM('수출입 실적(품목별)'!C2432)</f>
        <v>각종 조제 식료품</v>
      </c>
      <c r="G2428" s="18" t="n">
        <f aca="false">IFERROR(VALUE(SUBSTITUTE(TRIM('수출입 실적(품목별)'!D2432),",","")),"")</f>
        <v>33430.1</v>
      </c>
      <c r="H2428" s="19" t="n">
        <f aca="false">IFERROR(VALUE(SUBSTITUTE(TRIM('수출입 실적(품목별)'!E2432),",","")),"")</f>
        <v>138808</v>
      </c>
      <c r="I2428" s="18" t="n">
        <f aca="false">IFERROR(VALUE(SUBSTITUTE(TRIM('수출입 실적(품목별)'!F2432),",","")),"")</f>
        <v>29968.7</v>
      </c>
      <c r="J2428" s="19" t="n">
        <f aca="false">IFERROR(VALUE(SUBSTITUTE(TRIM('수출입 실적(품목별)'!G2432),",","")),"")</f>
        <v>211010</v>
      </c>
      <c r="K2428" s="19" t="n">
        <f aca="false">IFERROR(VALUE(SUBSTITUTE(TRIM('수출입 실적(품목별)'!H2432),",","")),"")</f>
        <v>-72202</v>
      </c>
    </row>
    <row r="2429" customFormat="false" ht="15" hidden="false" customHeight="true" outlineLevel="0" collapsed="false">
      <c r="A2429" s="11" t="str">
        <f aca="false">TRIM('수출입 실적(품목별)'!A2433)</f>
        <v>2026.02</v>
      </c>
      <c r="B2429" s="17" t="n">
        <f aca="false">IFERROR(VALUE(LEFT($A2429,4)),"")</f>
        <v>2026</v>
      </c>
      <c r="C2429" s="17" t="n">
        <f aca="false">IFERROR(VALUE(RIGHT($A2429,2)),"")</f>
        <v>2</v>
      </c>
      <c r="D2429" s="17" t="n">
        <f aca="false">IFERROR(ROUNDUP($C2429/3,0),"")</f>
        <v>1</v>
      </c>
      <c r="E2429" s="11" t="str">
        <f aca="false">TRIM('수출입 실적(품목별)'!B2433)</f>
        <v>22</v>
      </c>
      <c r="F2429" s="11" t="str">
        <f aca="false">TRIM('수출입 실적(품목별)'!C2433)</f>
        <v>음료ㆍ주류ㆍ식초</v>
      </c>
      <c r="G2429" s="18" t="n">
        <f aca="false">IFERROR(VALUE(SUBSTITUTE(TRIM('수출입 실적(품목별)'!D2433),",","")),"")</f>
        <v>63218.3</v>
      </c>
      <c r="H2429" s="19" t="n">
        <f aca="false">IFERROR(VALUE(SUBSTITUTE(TRIM('수출입 실적(품목별)'!E2433),",","")),"")</f>
        <v>73144</v>
      </c>
      <c r="I2429" s="18" t="n">
        <f aca="false">IFERROR(VALUE(SUBSTITUTE(TRIM('수출입 실적(품목별)'!F2433),",","")),"")</f>
        <v>59962.1</v>
      </c>
      <c r="J2429" s="19" t="n">
        <f aca="false">IFERROR(VALUE(SUBSTITUTE(TRIM('수출입 실적(품목별)'!G2433),",","")),"")</f>
        <v>98227</v>
      </c>
      <c r="K2429" s="19" t="n">
        <f aca="false">IFERROR(VALUE(SUBSTITUTE(TRIM('수출입 실적(품목별)'!H2433),",","")),"")</f>
        <v>-25084</v>
      </c>
    </row>
    <row r="2430" customFormat="false" ht="15" hidden="false" customHeight="true" outlineLevel="0" collapsed="false">
      <c r="A2430" s="11" t="str">
        <f aca="false">TRIM('수출입 실적(품목별)'!A2434)</f>
        <v>2026.02</v>
      </c>
      <c r="B2430" s="17" t="n">
        <f aca="false">IFERROR(VALUE(LEFT($A2430,4)),"")</f>
        <v>2026</v>
      </c>
      <c r="C2430" s="17" t="n">
        <f aca="false">IFERROR(VALUE(RIGHT($A2430,2)),"")</f>
        <v>2</v>
      </c>
      <c r="D2430" s="17" t="n">
        <f aca="false">IFERROR(ROUNDUP($C2430/3,0),"")</f>
        <v>1</v>
      </c>
      <c r="E2430" s="11" t="str">
        <f aca="false">TRIM('수출입 실적(품목별)'!B2434)</f>
        <v>23</v>
      </c>
      <c r="F2430" s="11" t="str">
        <f aca="false">TRIM('수출입 실적(품목별)'!C2434)</f>
        <v>식품 공업에서 생기는 잔재물과 웨이스트(waste), 조제 사료</v>
      </c>
      <c r="G2430" s="18" t="n">
        <f aca="false">IFERROR(VALUE(SUBSTITUTE(TRIM('수출입 실적(품목별)'!D2434),",","")),"")</f>
        <v>27840.3</v>
      </c>
      <c r="H2430" s="19" t="n">
        <f aca="false">IFERROR(VALUE(SUBSTITUTE(TRIM('수출입 실적(품목별)'!E2434),",","")),"")</f>
        <v>27271</v>
      </c>
      <c r="I2430" s="18" t="n">
        <f aca="false">IFERROR(VALUE(SUBSTITUTE(TRIM('수출입 실적(품목별)'!F2434),",","")),"")</f>
        <v>520136.3</v>
      </c>
      <c r="J2430" s="19" t="n">
        <f aca="false">IFERROR(VALUE(SUBSTITUTE(TRIM('수출입 실적(품목별)'!G2434),",","")),"")</f>
        <v>168180</v>
      </c>
      <c r="K2430" s="19" t="n">
        <f aca="false">IFERROR(VALUE(SUBSTITUTE(TRIM('수출입 실적(품목별)'!H2434),",","")),"")</f>
        <v>-140909</v>
      </c>
    </row>
    <row r="2431" customFormat="false" ht="15" hidden="false" customHeight="true" outlineLevel="0" collapsed="false">
      <c r="A2431" s="11" t="str">
        <f aca="false">TRIM('수출입 실적(품목별)'!A2435)</f>
        <v>2026.02</v>
      </c>
      <c r="B2431" s="17" t="n">
        <f aca="false">IFERROR(VALUE(LEFT($A2431,4)),"")</f>
        <v>2026</v>
      </c>
      <c r="C2431" s="17" t="n">
        <f aca="false">IFERROR(VALUE(RIGHT($A2431,2)),"")</f>
        <v>2</v>
      </c>
      <c r="D2431" s="17" t="n">
        <f aca="false">IFERROR(ROUNDUP($C2431/3,0),"")</f>
        <v>1</v>
      </c>
      <c r="E2431" s="11" t="str">
        <f aca="false">TRIM('수출입 실적(품목별)'!B2435)</f>
        <v>24</v>
      </c>
      <c r="F2431" s="11" t="str">
        <f aca="false">TRIM('수출입 실적(품목별)'!C2435)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431" s="18" t="n">
        <f aca="false">IFERROR(VALUE(SUBSTITUTE(TRIM('수출입 실적(품목별)'!D2435),",","")),"")</f>
        <v>7196.6</v>
      </c>
      <c r="H2431" s="19" t="n">
        <f aca="false">IFERROR(VALUE(SUBSTITUTE(TRIM('수출입 실적(품목별)'!E2435),",","")),"")</f>
        <v>85098</v>
      </c>
      <c r="I2431" s="18" t="n">
        <f aca="false">IFERROR(VALUE(SUBSTITUTE(TRIM('수출입 실적(품목별)'!F2435),",","")),"")</f>
        <v>5613.8</v>
      </c>
      <c r="J2431" s="19" t="n">
        <f aca="false">IFERROR(VALUE(SUBSTITUTE(TRIM('수출입 실적(품목별)'!G2435),",","")),"")</f>
        <v>62721</v>
      </c>
      <c r="K2431" s="19" t="n">
        <f aca="false">IFERROR(VALUE(SUBSTITUTE(TRIM('수출입 실적(품목별)'!H2435),",","")),"")</f>
        <v>22377</v>
      </c>
    </row>
    <row r="2432" customFormat="false" ht="15" hidden="false" customHeight="true" outlineLevel="0" collapsed="false">
      <c r="A2432" s="11" t="str">
        <f aca="false">TRIM('수출입 실적(품목별)'!A2436)</f>
        <v>2026.02</v>
      </c>
      <c r="B2432" s="17" t="n">
        <f aca="false">IFERROR(VALUE(LEFT($A2432,4)),"")</f>
        <v>2026</v>
      </c>
      <c r="C2432" s="17" t="n">
        <f aca="false">IFERROR(VALUE(RIGHT($A2432,2)),"")</f>
        <v>2</v>
      </c>
      <c r="D2432" s="17" t="n">
        <f aca="false">IFERROR(ROUNDUP($C2432/3,0),"")</f>
        <v>1</v>
      </c>
      <c r="E2432" s="11" t="str">
        <f aca="false">TRIM('수출입 실적(품목별)'!B2436)</f>
        <v>25</v>
      </c>
      <c r="F2432" s="11" t="str">
        <f aca="false">TRIM('수출입 실적(품목별)'!C2436)</f>
        <v>소금, 황, 토석류(土石類), 석고ㆍ석회ㆍ시멘트</v>
      </c>
      <c r="G2432" s="18" t="n">
        <f aca="false">IFERROR(VALUE(SUBSTITUTE(TRIM('수출입 실적(품목별)'!D2436),",","")),"")</f>
        <v>414816.2</v>
      </c>
      <c r="H2432" s="19" t="n">
        <f aca="false">IFERROR(VALUE(SUBSTITUTE(TRIM('수출입 실적(품목별)'!E2436),",","")),"")</f>
        <v>70022</v>
      </c>
      <c r="I2432" s="18" t="n">
        <f aca="false">IFERROR(VALUE(SUBSTITUTE(TRIM('수출입 실적(품목별)'!F2436),",","")),"")</f>
        <v>801806.8</v>
      </c>
      <c r="J2432" s="19" t="n">
        <f aca="false">IFERROR(VALUE(SUBSTITUTE(TRIM('수출입 실적(품목별)'!G2436),",","")),"")</f>
        <v>59659</v>
      </c>
      <c r="K2432" s="19" t="n">
        <f aca="false">IFERROR(VALUE(SUBSTITUTE(TRIM('수출입 실적(품목별)'!H2436),",","")),"")</f>
        <v>10362</v>
      </c>
    </row>
    <row r="2433" customFormat="false" ht="15" hidden="false" customHeight="true" outlineLevel="0" collapsed="false">
      <c r="A2433" s="11" t="str">
        <f aca="false">TRIM('수출입 실적(품목별)'!A2437)</f>
        <v>2026.02</v>
      </c>
      <c r="B2433" s="17" t="n">
        <f aca="false">IFERROR(VALUE(LEFT($A2433,4)),"")</f>
        <v>2026</v>
      </c>
      <c r="C2433" s="17" t="n">
        <f aca="false">IFERROR(VALUE(RIGHT($A2433,2)),"")</f>
        <v>2</v>
      </c>
      <c r="D2433" s="17" t="n">
        <f aca="false">IFERROR(ROUNDUP($C2433/3,0),"")</f>
        <v>1</v>
      </c>
      <c r="E2433" s="11" t="str">
        <f aca="false">TRIM('수출입 실적(품목별)'!B2437)</f>
        <v>26</v>
      </c>
      <c r="F2433" s="11" t="str">
        <f aca="false">TRIM('수출입 실적(품목별)'!C2437)</f>
        <v>광(鑛)ㆍ슬래그(slag)ㆍ회(灰)</v>
      </c>
      <c r="G2433" s="18" t="n">
        <f aca="false">IFERROR(VALUE(SUBSTITUTE(TRIM('수출입 실적(품목별)'!D2437),",","")),"")</f>
        <v>177333</v>
      </c>
      <c r="H2433" s="19" t="n">
        <f aca="false">IFERROR(VALUE(SUBSTITUTE(TRIM('수출입 실적(품목별)'!E2437),",","")),"")</f>
        <v>50624</v>
      </c>
      <c r="I2433" s="18" t="n">
        <f aca="false">IFERROR(VALUE(SUBSTITUTE(TRIM('수출입 실적(품목별)'!F2437),",","")),"")</f>
        <v>5480019.5</v>
      </c>
      <c r="J2433" s="19" t="n">
        <f aca="false">IFERROR(VALUE(SUBSTITUTE(TRIM('수출입 실적(품목별)'!G2437),",","")),"")</f>
        <v>1685614</v>
      </c>
      <c r="K2433" s="19" t="n">
        <f aca="false">IFERROR(VALUE(SUBSTITUTE(TRIM('수출입 실적(품목별)'!H2437),",","")),"")</f>
        <v>-1634991</v>
      </c>
    </row>
    <row r="2434" customFormat="false" ht="15" hidden="false" customHeight="true" outlineLevel="0" collapsed="false">
      <c r="A2434" s="11" t="str">
        <f aca="false">TRIM('수출입 실적(품목별)'!A2438)</f>
        <v>2026.02</v>
      </c>
      <c r="B2434" s="17" t="n">
        <f aca="false">IFERROR(VALUE(LEFT($A2434,4)),"")</f>
        <v>2026</v>
      </c>
      <c r="C2434" s="17" t="n">
        <f aca="false">IFERROR(VALUE(RIGHT($A2434,2)),"")</f>
        <v>2</v>
      </c>
      <c r="D2434" s="17" t="n">
        <f aca="false">IFERROR(ROUNDUP($C2434/3,0),"")</f>
        <v>1</v>
      </c>
      <c r="E2434" s="11" t="str">
        <f aca="false">TRIM('수출입 실적(품목별)'!B2438)</f>
        <v>27</v>
      </c>
      <c r="F2434" s="11" t="str">
        <f aca="false">TRIM('수출입 실적(품목별)'!C2438)</f>
        <v>광물성 연료ㆍ광물유(鑛物油)와 이들의 증류물, 역청(瀝靑)물질, 광물성 왁스</v>
      </c>
      <c r="G2434" s="18" t="n">
        <f aca="false">IFERROR(VALUE(SUBSTITUTE(TRIM('수출입 실적(품목별)'!D2438),",","")),"")</f>
        <v>5803537.5</v>
      </c>
      <c r="H2434" s="19" t="n">
        <f aca="false">IFERROR(VALUE(SUBSTITUTE(TRIM('수출입 실적(품목별)'!E2438),",","")),"")</f>
        <v>4210226</v>
      </c>
      <c r="I2434" s="18" t="n">
        <f aca="false">IFERROR(VALUE(SUBSTITUTE(TRIM('수출입 실적(품목별)'!F2438),",","")),"")</f>
        <v>28648227.7</v>
      </c>
      <c r="J2434" s="19" t="n">
        <f aca="false">IFERROR(VALUE(SUBSTITUTE(TRIM('수출입 실적(품목별)'!G2438),",","")),"")</f>
        <v>10921257</v>
      </c>
      <c r="K2434" s="19" t="n">
        <f aca="false">IFERROR(VALUE(SUBSTITUTE(TRIM('수출입 실적(품목별)'!H2438),",","")),"")</f>
        <v>-6711031</v>
      </c>
    </row>
    <row r="2435" customFormat="false" ht="15" hidden="false" customHeight="true" outlineLevel="0" collapsed="false">
      <c r="A2435" s="11" t="str">
        <f aca="false">TRIM('수출입 실적(품목별)'!A2439)</f>
        <v>2026.02</v>
      </c>
      <c r="B2435" s="17" t="n">
        <f aca="false">IFERROR(VALUE(LEFT($A2435,4)),"")</f>
        <v>2026</v>
      </c>
      <c r="C2435" s="17" t="n">
        <f aca="false">IFERROR(VALUE(RIGHT($A2435,2)),"")</f>
        <v>2</v>
      </c>
      <c r="D2435" s="17" t="n">
        <f aca="false">IFERROR(ROUNDUP($C2435/3,0),"")</f>
        <v>1</v>
      </c>
      <c r="E2435" s="11" t="str">
        <f aca="false">TRIM('수출입 실적(품목별)'!B2439)</f>
        <v>28</v>
      </c>
      <c r="F2435" s="11" t="str">
        <f aca="false">TRIM('수출입 실적(품목별)'!C2439)</f>
        <v>무기화학품, 귀금속ㆍ희토류(稀土類)금속ㆍ방사성원소ㆍ동위원소의 유기화합물이나 무기화합물</v>
      </c>
      <c r="G2435" s="18" t="n">
        <f aca="false">IFERROR(VALUE(SUBSTITUTE(TRIM('수출입 실적(품목별)'!D2439),",","")),"")</f>
        <v>456702</v>
      </c>
      <c r="H2435" s="19" t="n">
        <f aca="false">IFERROR(VALUE(SUBSTITUTE(TRIM('수출입 실적(품목별)'!E2439),",","")),"")</f>
        <v>744648</v>
      </c>
      <c r="I2435" s="18" t="n">
        <f aca="false">IFERROR(VALUE(SUBSTITUTE(TRIM('수출입 실적(품목별)'!F2439),",","")),"")</f>
        <v>288592.2</v>
      </c>
      <c r="J2435" s="19" t="n">
        <f aca="false">IFERROR(VALUE(SUBSTITUTE(TRIM('수출입 실적(품목별)'!G2439),",","")),"")</f>
        <v>715446</v>
      </c>
      <c r="K2435" s="19" t="n">
        <f aca="false">IFERROR(VALUE(SUBSTITUTE(TRIM('수출입 실적(품목별)'!H2439),",","")),"")</f>
        <v>29203</v>
      </c>
    </row>
    <row r="2436" customFormat="false" ht="15" hidden="false" customHeight="true" outlineLevel="0" collapsed="false">
      <c r="A2436" s="11" t="str">
        <f aca="false">TRIM('수출입 실적(품목별)'!A2440)</f>
        <v>2026.02</v>
      </c>
      <c r="B2436" s="17" t="n">
        <f aca="false">IFERROR(VALUE(LEFT($A2436,4)),"")</f>
        <v>2026</v>
      </c>
      <c r="C2436" s="17" t="n">
        <f aca="false">IFERROR(VALUE(RIGHT($A2436,2)),"")</f>
        <v>2</v>
      </c>
      <c r="D2436" s="17" t="n">
        <f aca="false">IFERROR(ROUNDUP($C2436/3,0),"")</f>
        <v>1</v>
      </c>
      <c r="E2436" s="11" t="str">
        <f aca="false">TRIM('수출입 실적(품목별)'!B2440)</f>
        <v>29</v>
      </c>
      <c r="F2436" s="11" t="str">
        <f aca="false">TRIM('수출입 실적(품목별)'!C2440)</f>
        <v>유기화학품</v>
      </c>
      <c r="G2436" s="18" t="n">
        <f aca="false">IFERROR(VALUE(SUBSTITUTE(TRIM('수출입 실적(품목별)'!D2440),",","")),"")</f>
        <v>1544415.8</v>
      </c>
      <c r="H2436" s="19" t="n">
        <f aca="false">IFERROR(VALUE(SUBSTITUTE(TRIM('수출입 실적(품목별)'!E2440),",","")),"")</f>
        <v>1540886</v>
      </c>
      <c r="I2436" s="18" t="n">
        <f aca="false">IFERROR(VALUE(SUBSTITUTE(TRIM('수출입 실적(품목별)'!F2440),",","")),"")</f>
        <v>670721.3</v>
      </c>
      <c r="J2436" s="19" t="n">
        <f aca="false">IFERROR(VALUE(SUBSTITUTE(TRIM('수출입 실적(품목별)'!G2440),",","")),"")</f>
        <v>1029013</v>
      </c>
      <c r="K2436" s="19" t="n">
        <f aca="false">IFERROR(VALUE(SUBSTITUTE(TRIM('수출입 실적(품목별)'!H2440),",","")),"")</f>
        <v>511873</v>
      </c>
    </row>
    <row r="2437" customFormat="false" ht="15" hidden="false" customHeight="true" outlineLevel="0" collapsed="false">
      <c r="A2437" s="11" t="str">
        <f aca="false">TRIM('수출입 실적(품목별)'!A2441)</f>
        <v>2026.02</v>
      </c>
      <c r="B2437" s="17" t="n">
        <f aca="false">IFERROR(VALUE(LEFT($A2437,4)),"")</f>
        <v>2026</v>
      </c>
      <c r="C2437" s="17" t="n">
        <f aca="false">IFERROR(VALUE(RIGHT($A2437,2)),"")</f>
        <v>2</v>
      </c>
      <c r="D2437" s="17" t="n">
        <f aca="false">IFERROR(ROUNDUP($C2437/3,0),"")</f>
        <v>1</v>
      </c>
      <c r="E2437" s="11" t="str">
        <f aca="false">TRIM('수출입 실적(품목별)'!B2441)</f>
        <v>30</v>
      </c>
      <c r="F2437" s="11" t="str">
        <f aca="false">TRIM('수출입 실적(품목별)'!C2441)</f>
        <v>의료용품</v>
      </c>
      <c r="G2437" s="18" t="n">
        <f aca="false">IFERROR(VALUE(SUBSTITUTE(TRIM('수출입 실적(품목별)'!D2441),",","")),"")</f>
        <v>2067.5</v>
      </c>
      <c r="H2437" s="19" t="n">
        <f aca="false">IFERROR(VALUE(SUBSTITUTE(TRIM('수출입 실적(품목별)'!E2441),",","")),"")</f>
        <v>785584</v>
      </c>
      <c r="I2437" s="18" t="n">
        <f aca="false">IFERROR(VALUE(SUBSTITUTE(TRIM('수출입 실적(품목별)'!F2441),",","")),"")</f>
        <v>6751.4</v>
      </c>
      <c r="J2437" s="19" t="n">
        <f aca="false">IFERROR(VALUE(SUBSTITUTE(TRIM('수출입 실적(품목별)'!G2441),",","")),"")</f>
        <v>778740</v>
      </c>
      <c r="K2437" s="19" t="n">
        <f aca="false">IFERROR(VALUE(SUBSTITUTE(TRIM('수출입 실적(품목별)'!H2441),",","")),"")</f>
        <v>6844</v>
      </c>
    </row>
    <row r="2438" customFormat="false" ht="15" hidden="false" customHeight="true" outlineLevel="0" collapsed="false">
      <c r="A2438" s="11" t="str">
        <f aca="false">TRIM('수출입 실적(품목별)'!A2442)</f>
        <v>2026.02</v>
      </c>
      <c r="B2438" s="17" t="n">
        <f aca="false">IFERROR(VALUE(LEFT($A2438,4)),"")</f>
        <v>2026</v>
      </c>
      <c r="C2438" s="17" t="n">
        <f aca="false">IFERROR(VALUE(RIGHT($A2438,2)),"")</f>
        <v>2</v>
      </c>
      <c r="D2438" s="17" t="n">
        <f aca="false">IFERROR(ROUNDUP($C2438/3,0),"")</f>
        <v>1</v>
      </c>
      <c r="E2438" s="11" t="str">
        <f aca="false">TRIM('수출입 실적(품목별)'!B2442)</f>
        <v>31</v>
      </c>
      <c r="F2438" s="11" t="str">
        <f aca="false">TRIM('수출입 실적(품목별)'!C2442)</f>
        <v>비료</v>
      </c>
      <c r="G2438" s="18" t="n">
        <f aca="false">IFERROR(VALUE(SUBSTITUTE(TRIM('수출입 실적(품목별)'!D2442),",","")),"")</f>
        <v>87714</v>
      </c>
      <c r="H2438" s="19" t="n">
        <f aca="false">IFERROR(VALUE(SUBSTITUTE(TRIM('수출입 실적(품목별)'!E2442),",","")),"")</f>
        <v>34708</v>
      </c>
      <c r="I2438" s="18" t="n">
        <f aca="false">IFERROR(VALUE(SUBSTITUTE(TRIM('수출입 실적(품목별)'!F2442),",","")),"")</f>
        <v>154572</v>
      </c>
      <c r="J2438" s="19" t="n">
        <f aca="false">IFERROR(VALUE(SUBSTITUTE(TRIM('수출입 실적(품목별)'!G2442),",","")),"")</f>
        <v>67063</v>
      </c>
      <c r="K2438" s="19" t="n">
        <f aca="false">IFERROR(VALUE(SUBSTITUTE(TRIM('수출입 실적(품목별)'!H2442),",","")),"")</f>
        <v>-32355</v>
      </c>
    </row>
    <row r="2439" customFormat="false" ht="15" hidden="false" customHeight="true" outlineLevel="0" collapsed="false">
      <c r="A2439" s="11" t="str">
        <f aca="false">TRIM('수출입 실적(품목별)'!A2443)</f>
        <v>2026.02</v>
      </c>
      <c r="B2439" s="17" t="n">
        <f aca="false">IFERROR(VALUE(LEFT($A2439,4)),"")</f>
        <v>2026</v>
      </c>
      <c r="C2439" s="17" t="n">
        <f aca="false">IFERROR(VALUE(RIGHT($A2439,2)),"")</f>
        <v>2</v>
      </c>
      <c r="D2439" s="17" t="n">
        <f aca="false">IFERROR(ROUNDUP($C2439/3,0),"")</f>
        <v>1</v>
      </c>
      <c r="E2439" s="11" t="str">
        <f aca="false">TRIM('수출입 실적(품목별)'!B2443)</f>
        <v>32</v>
      </c>
      <c r="F2439" s="11" t="str">
        <f aca="false">TRIM('수출입 실적(품목별)'!C2443)</f>
        <v>유연용ㆍ염색용 추출물(extract), 탄닌과 이들의 유도체, 염료ㆍ안료와 그 밖의 착색제, 페인트ㆍ바니시(varnish), 퍼티(putty)와 그 밖의 매스틱(mastic), 잉크</v>
      </c>
      <c r="G2439" s="18" t="n">
        <f aca="false">IFERROR(VALUE(SUBSTITUTE(TRIM('수출입 실적(품목별)'!D2443),",","")),"")</f>
        <v>24651.9</v>
      </c>
      <c r="H2439" s="19" t="n">
        <f aca="false">IFERROR(VALUE(SUBSTITUTE(TRIM('수출입 실적(품목별)'!E2443),",","")),"")</f>
        <v>193435</v>
      </c>
      <c r="I2439" s="18" t="n">
        <f aca="false">IFERROR(VALUE(SUBSTITUTE(TRIM('수출입 실적(품목별)'!F2443),",","")),"")</f>
        <v>22161.7</v>
      </c>
      <c r="J2439" s="19" t="n">
        <f aca="false">IFERROR(VALUE(SUBSTITUTE(TRIM('수출입 실적(품목별)'!G2443),",","")),"")</f>
        <v>171852</v>
      </c>
      <c r="K2439" s="19" t="n">
        <f aca="false">IFERROR(VALUE(SUBSTITUTE(TRIM('수출입 실적(품목별)'!H2443),",","")),"")</f>
        <v>21583</v>
      </c>
    </row>
    <row r="2440" customFormat="false" ht="15" hidden="false" customHeight="true" outlineLevel="0" collapsed="false">
      <c r="A2440" s="11" t="str">
        <f aca="false">TRIM('수출입 실적(품목별)'!A2444)</f>
        <v>2026.02</v>
      </c>
      <c r="B2440" s="17" t="n">
        <f aca="false">IFERROR(VALUE(LEFT($A2440,4)),"")</f>
        <v>2026</v>
      </c>
      <c r="C2440" s="17" t="n">
        <f aca="false">IFERROR(VALUE(RIGHT($A2440,2)),"")</f>
        <v>2</v>
      </c>
      <c r="D2440" s="17" t="n">
        <f aca="false">IFERROR(ROUNDUP($C2440/3,0),"")</f>
        <v>1</v>
      </c>
      <c r="E2440" s="11" t="str">
        <f aca="false">TRIM('수출입 실적(품목별)'!B2444)</f>
        <v>33</v>
      </c>
      <c r="F2440" s="11" t="str">
        <f aca="false">TRIM('수출입 실적(품목별)'!C2444)</f>
        <v>정유(essential oil)와 레지노이드(resinoid), 조제향료와 화장품ㆍ화장용품</v>
      </c>
      <c r="G2440" s="18" t="n">
        <f aca="false">IFERROR(VALUE(SUBSTITUTE(TRIM('수출입 실적(품목별)'!D2444),",","")),"")</f>
        <v>38493.3</v>
      </c>
      <c r="H2440" s="19" t="n">
        <f aca="false">IFERROR(VALUE(SUBSTITUTE(TRIM('수출입 실적(품목별)'!E2444),",","")),"")</f>
        <v>883056</v>
      </c>
      <c r="I2440" s="18" t="n">
        <f aca="false">IFERROR(VALUE(SUBSTITUTE(TRIM('수출입 실적(품목별)'!F2444),",","")),"")</f>
        <v>10008.5</v>
      </c>
      <c r="J2440" s="19" t="n">
        <f aca="false">IFERROR(VALUE(SUBSTITUTE(TRIM('수출입 실적(품목별)'!G2444),",","")),"")</f>
        <v>163784</v>
      </c>
      <c r="K2440" s="19" t="n">
        <f aca="false">IFERROR(VALUE(SUBSTITUTE(TRIM('수출입 실적(품목별)'!H2444),",","")),"")</f>
        <v>719271</v>
      </c>
    </row>
    <row r="2441" customFormat="false" ht="15" hidden="false" customHeight="true" outlineLevel="0" collapsed="false">
      <c r="A2441" s="11" t="str">
        <f aca="false">TRIM('수출입 실적(품목별)'!A2445)</f>
        <v>2026.02</v>
      </c>
      <c r="B2441" s="17" t="n">
        <f aca="false">IFERROR(VALUE(LEFT($A2441,4)),"")</f>
        <v>2026</v>
      </c>
      <c r="C2441" s="17" t="n">
        <f aca="false">IFERROR(VALUE(RIGHT($A2441,2)),"")</f>
        <v>2</v>
      </c>
      <c r="D2441" s="17" t="n">
        <f aca="false">IFERROR(ROUNDUP($C2441/3,0),"")</f>
        <v>1</v>
      </c>
      <c r="E2441" s="11" t="str">
        <f aca="false">TRIM('수출입 실적(품목별)'!B2445)</f>
        <v>34</v>
      </c>
      <c r="F2441" s="11" t="str">
        <f aca="false">TRIM('수출입 실적(품목별)'!C2445)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441" s="18" t="n">
        <f aca="false">IFERROR(VALUE(SUBSTITUTE(TRIM('수출입 실적(품목별)'!D2445),",","")),"")</f>
        <v>43191.1</v>
      </c>
      <c r="H2441" s="19" t="n">
        <f aca="false">IFERROR(VALUE(SUBSTITUTE(TRIM('수출입 실적(품목별)'!E2445),",","")),"")</f>
        <v>144577</v>
      </c>
      <c r="I2441" s="18" t="n">
        <f aca="false">IFERROR(VALUE(SUBSTITUTE(TRIM('수출입 실적(품목별)'!F2445),",","")),"")</f>
        <v>23463.6</v>
      </c>
      <c r="J2441" s="19" t="n">
        <f aca="false">IFERROR(VALUE(SUBSTITUTE(TRIM('수출입 실적(품목별)'!G2445),",","")),"")</f>
        <v>87651</v>
      </c>
      <c r="K2441" s="19" t="n">
        <f aca="false">IFERROR(VALUE(SUBSTITUTE(TRIM('수출입 실적(품목별)'!H2445),",","")),"")</f>
        <v>56926</v>
      </c>
    </row>
    <row r="2442" customFormat="false" ht="15" hidden="false" customHeight="true" outlineLevel="0" collapsed="false">
      <c r="A2442" s="11" t="str">
        <f aca="false">TRIM('수출입 실적(품목별)'!A2446)</f>
        <v>2026.02</v>
      </c>
      <c r="B2442" s="17" t="n">
        <f aca="false">IFERROR(VALUE(LEFT($A2442,4)),"")</f>
        <v>2026</v>
      </c>
      <c r="C2442" s="17" t="n">
        <f aca="false">IFERROR(VALUE(RIGHT($A2442,2)),"")</f>
        <v>2</v>
      </c>
      <c r="D2442" s="17" t="n">
        <f aca="false">IFERROR(ROUNDUP($C2442/3,0),"")</f>
        <v>1</v>
      </c>
      <c r="E2442" s="11" t="str">
        <f aca="false">TRIM('수출입 실적(품목별)'!B2446)</f>
        <v>35</v>
      </c>
      <c r="F2442" s="11" t="str">
        <f aca="false">TRIM('수출입 실적(품목별)'!C2446)</f>
        <v>단백질계 물질, 변성전분, 글루(glue), 효소</v>
      </c>
      <c r="G2442" s="18" t="n">
        <f aca="false">IFERROR(VALUE(SUBSTITUTE(TRIM('수출입 실적(품목별)'!D2446),",","")),"")</f>
        <v>6652.2</v>
      </c>
      <c r="H2442" s="19" t="n">
        <f aca="false">IFERROR(VALUE(SUBSTITUTE(TRIM('수출입 실적(품목별)'!E2446),",","")),"")</f>
        <v>69125</v>
      </c>
      <c r="I2442" s="18" t="n">
        <f aca="false">IFERROR(VALUE(SUBSTITUTE(TRIM('수출입 실적(품목별)'!F2446),",","")),"")</f>
        <v>22618.6</v>
      </c>
      <c r="J2442" s="19" t="n">
        <f aca="false">IFERROR(VALUE(SUBSTITUTE(TRIM('수출입 실적(품목별)'!G2446),",","")),"")</f>
        <v>81608</v>
      </c>
      <c r="K2442" s="19" t="n">
        <f aca="false">IFERROR(VALUE(SUBSTITUTE(TRIM('수출입 실적(품목별)'!H2446),",","")),"")</f>
        <v>-12482</v>
      </c>
    </row>
    <row r="2443" customFormat="false" ht="15" hidden="false" customHeight="true" outlineLevel="0" collapsed="false">
      <c r="A2443" s="11" t="str">
        <f aca="false">TRIM('수출입 실적(품목별)'!A2447)</f>
        <v>2026.02</v>
      </c>
      <c r="B2443" s="17" t="n">
        <f aca="false">IFERROR(VALUE(LEFT($A2443,4)),"")</f>
        <v>2026</v>
      </c>
      <c r="C2443" s="17" t="n">
        <f aca="false">IFERROR(VALUE(RIGHT($A2443,2)),"")</f>
        <v>2</v>
      </c>
      <c r="D2443" s="17" t="n">
        <f aca="false">IFERROR(ROUNDUP($C2443/3,0),"")</f>
        <v>1</v>
      </c>
      <c r="E2443" s="11" t="str">
        <f aca="false">TRIM('수출입 실적(품목별)'!B2447)</f>
        <v>36</v>
      </c>
      <c r="F2443" s="11" t="str">
        <f aca="false">TRIM('수출입 실적(품목별)'!C2447)</f>
        <v>화약류, 화공품, 성냥, 발화성 합금, 특정 가연성 조제품</v>
      </c>
      <c r="G2443" s="18" t="n">
        <f aca="false">IFERROR(VALUE(SUBSTITUTE(TRIM('수출입 실적(품목별)'!D2447),",","")),"")</f>
        <v>330.3</v>
      </c>
      <c r="H2443" s="19" t="n">
        <f aca="false">IFERROR(VALUE(SUBSTITUTE(TRIM('수출입 실적(품목별)'!E2447),",","")),"")</f>
        <v>8750</v>
      </c>
      <c r="I2443" s="18" t="n">
        <f aca="false">IFERROR(VALUE(SUBSTITUTE(TRIM('수출입 실적(품목별)'!F2447),",","")),"")</f>
        <v>136.8</v>
      </c>
      <c r="J2443" s="19" t="n">
        <f aca="false">IFERROR(VALUE(SUBSTITUTE(TRIM('수출입 실적(품목별)'!G2447),",","")),"")</f>
        <v>7402</v>
      </c>
      <c r="K2443" s="19" t="n">
        <f aca="false">IFERROR(VALUE(SUBSTITUTE(TRIM('수출입 실적(품목별)'!H2447),",","")),"")</f>
        <v>1348</v>
      </c>
    </row>
    <row r="2444" customFormat="false" ht="15" hidden="false" customHeight="true" outlineLevel="0" collapsed="false">
      <c r="A2444" s="11" t="str">
        <f aca="false">TRIM('수출입 실적(품목별)'!A2448)</f>
        <v>2026.02</v>
      </c>
      <c r="B2444" s="17" t="n">
        <f aca="false">IFERROR(VALUE(LEFT($A2444,4)),"")</f>
        <v>2026</v>
      </c>
      <c r="C2444" s="17" t="n">
        <f aca="false">IFERROR(VALUE(RIGHT($A2444,2)),"")</f>
        <v>2</v>
      </c>
      <c r="D2444" s="17" t="n">
        <f aca="false">IFERROR(ROUNDUP($C2444/3,0),"")</f>
        <v>1</v>
      </c>
      <c r="E2444" s="11" t="str">
        <f aca="false">TRIM('수출입 실적(품목별)'!B2448)</f>
        <v>37</v>
      </c>
      <c r="F2444" s="11" t="str">
        <f aca="false">TRIM('수출입 실적(품목별)'!C2448)</f>
        <v>사진용이나 영화용 재료</v>
      </c>
      <c r="G2444" s="18" t="n">
        <f aca="false">IFERROR(VALUE(SUBSTITUTE(TRIM('수출입 실적(품목별)'!D2448),",","")),"")</f>
        <v>1450</v>
      </c>
      <c r="H2444" s="19" t="n">
        <f aca="false">IFERROR(VALUE(SUBSTITUTE(TRIM('수출입 실적(품목별)'!E2448),",","")),"")</f>
        <v>85327</v>
      </c>
      <c r="I2444" s="18" t="n">
        <f aca="false">IFERROR(VALUE(SUBSTITUTE(TRIM('수출입 실적(품목별)'!F2448),",","")),"")</f>
        <v>2999</v>
      </c>
      <c r="J2444" s="19" t="n">
        <f aca="false">IFERROR(VALUE(SUBSTITUTE(TRIM('수출입 실적(품목별)'!G2448),",","")),"")</f>
        <v>92849</v>
      </c>
      <c r="K2444" s="19" t="n">
        <f aca="false">IFERROR(VALUE(SUBSTITUTE(TRIM('수출입 실적(품목별)'!H2448),",","")),"")</f>
        <v>-7522</v>
      </c>
    </row>
    <row r="2445" customFormat="false" ht="15" hidden="false" customHeight="true" outlineLevel="0" collapsed="false">
      <c r="A2445" s="11" t="str">
        <f aca="false">TRIM('수출입 실적(품목별)'!A2449)</f>
        <v>2026.02</v>
      </c>
      <c r="B2445" s="17" t="n">
        <f aca="false">IFERROR(VALUE(LEFT($A2445,4)),"")</f>
        <v>2026</v>
      </c>
      <c r="C2445" s="17" t="n">
        <f aca="false">IFERROR(VALUE(RIGHT($A2445,2)),"")</f>
        <v>2</v>
      </c>
      <c r="D2445" s="17" t="n">
        <f aca="false">IFERROR(ROUNDUP($C2445/3,0),"")</f>
        <v>1</v>
      </c>
      <c r="E2445" s="11" t="str">
        <f aca="false">TRIM('수출입 실적(품목별)'!B2449)</f>
        <v>38</v>
      </c>
      <c r="F2445" s="11" t="str">
        <f aca="false">TRIM('수출입 실적(품목별)'!C2449)</f>
        <v>각종 화학공업 생산품</v>
      </c>
      <c r="G2445" s="18" t="n">
        <f aca="false">IFERROR(VALUE(SUBSTITUTE(TRIM('수출입 실적(품목별)'!D2449),",","")),"")</f>
        <v>99649.2</v>
      </c>
      <c r="H2445" s="19" t="n">
        <f aca="false">IFERROR(VALUE(SUBSTITUTE(TRIM('수출입 실적(품목별)'!E2449),",","")),"")</f>
        <v>578368</v>
      </c>
      <c r="I2445" s="18" t="n">
        <f aca="false">IFERROR(VALUE(SUBSTITUTE(TRIM('수출입 실적(품목별)'!F2449),",","")),"")</f>
        <v>174212</v>
      </c>
      <c r="J2445" s="19" t="n">
        <f aca="false">IFERROR(VALUE(SUBSTITUTE(TRIM('수출입 실적(품목별)'!G2449),",","")),"")</f>
        <v>843755</v>
      </c>
      <c r="K2445" s="19" t="n">
        <f aca="false">IFERROR(VALUE(SUBSTITUTE(TRIM('수출입 실적(품목별)'!H2449),",","")),"")</f>
        <v>-265387</v>
      </c>
    </row>
    <row r="2446" customFormat="false" ht="15" hidden="false" customHeight="true" outlineLevel="0" collapsed="false">
      <c r="A2446" s="11" t="str">
        <f aca="false">TRIM('수출입 실적(품목별)'!A2450)</f>
        <v>2026.02</v>
      </c>
      <c r="B2446" s="17" t="n">
        <f aca="false">IFERROR(VALUE(LEFT($A2446,4)),"")</f>
        <v>2026</v>
      </c>
      <c r="C2446" s="17" t="n">
        <f aca="false">IFERROR(VALUE(RIGHT($A2446,2)),"")</f>
        <v>2</v>
      </c>
      <c r="D2446" s="17" t="n">
        <f aca="false">IFERROR(ROUNDUP($C2446/3,0),"")</f>
        <v>1</v>
      </c>
      <c r="E2446" s="11" t="str">
        <f aca="false">TRIM('수출입 실적(품목별)'!B2450)</f>
        <v>39</v>
      </c>
      <c r="F2446" s="11" t="str">
        <f aca="false">TRIM('수출입 실적(품목별)'!C2450)</f>
        <v>플라스틱과 그 제품</v>
      </c>
      <c r="G2446" s="18" t="n">
        <f aca="false">IFERROR(VALUE(SUBSTITUTE(TRIM('수출입 실적(품목별)'!D2450),",","")),"")</f>
        <v>1431810.5</v>
      </c>
      <c r="H2446" s="19" t="n">
        <f aca="false">IFERROR(VALUE(SUBSTITUTE(TRIM('수출입 실적(품목별)'!E2450),",","")),"")</f>
        <v>2600571</v>
      </c>
      <c r="I2446" s="18" t="n">
        <f aca="false">IFERROR(VALUE(SUBSTITUTE(TRIM('수출입 실적(품목별)'!F2450),",","")),"")</f>
        <v>250568.7</v>
      </c>
      <c r="J2446" s="19" t="n">
        <f aca="false">IFERROR(VALUE(SUBSTITUTE(TRIM('수출입 실적(품목별)'!G2450),",","")),"")</f>
        <v>958189</v>
      </c>
      <c r="K2446" s="19" t="n">
        <f aca="false">IFERROR(VALUE(SUBSTITUTE(TRIM('수출입 실적(품목별)'!H2450),",","")),"")</f>
        <v>1642382</v>
      </c>
    </row>
    <row r="2447" customFormat="false" ht="15" hidden="false" customHeight="true" outlineLevel="0" collapsed="false">
      <c r="A2447" s="11" t="str">
        <f aca="false">TRIM('수출입 실적(품목별)'!A2451)</f>
        <v>2026.02</v>
      </c>
      <c r="B2447" s="17" t="n">
        <f aca="false">IFERROR(VALUE(LEFT($A2447,4)),"")</f>
        <v>2026</v>
      </c>
      <c r="C2447" s="17" t="n">
        <f aca="false">IFERROR(VALUE(RIGHT($A2447,2)),"")</f>
        <v>2</v>
      </c>
      <c r="D2447" s="17" t="n">
        <f aca="false">IFERROR(ROUNDUP($C2447/3,0),"")</f>
        <v>1</v>
      </c>
      <c r="E2447" s="11" t="str">
        <f aca="false">TRIM('수출입 실적(품목별)'!B2451)</f>
        <v>40</v>
      </c>
      <c r="F2447" s="11" t="str">
        <f aca="false">TRIM('수출입 실적(품목별)'!C2451)</f>
        <v>고무와 그 제품</v>
      </c>
      <c r="G2447" s="18" t="n">
        <f aca="false">IFERROR(VALUE(SUBSTITUTE(TRIM('수출입 실적(품목별)'!D2451),",","")),"")</f>
        <v>237482.1</v>
      </c>
      <c r="H2447" s="19" t="n">
        <f aca="false">IFERROR(VALUE(SUBSTITUTE(TRIM('수출입 실적(품목별)'!E2451),",","")),"")</f>
        <v>564932</v>
      </c>
      <c r="I2447" s="18" t="n">
        <f aca="false">IFERROR(VALUE(SUBSTITUTE(TRIM('수출입 실적(품목별)'!F2451),",","")),"")</f>
        <v>69444.4</v>
      </c>
      <c r="J2447" s="19" t="n">
        <f aca="false">IFERROR(VALUE(SUBSTITUTE(TRIM('수출입 실적(품목별)'!G2451),",","")),"")</f>
        <v>225673</v>
      </c>
      <c r="K2447" s="19" t="n">
        <f aca="false">IFERROR(VALUE(SUBSTITUTE(TRIM('수출입 실적(품목별)'!H2451),",","")),"")</f>
        <v>339259</v>
      </c>
    </row>
    <row r="2448" customFormat="false" ht="15" hidden="false" customHeight="true" outlineLevel="0" collapsed="false">
      <c r="A2448" s="11" t="str">
        <f aca="false">TRIM('수출입 실적(품목별)'!A2452)</f>
        <v>2026.02</v>
      </c>
      <c r="B2448" s="17" t="n">
        <f aca="false">IFERROR(VALUE(LEFT($A2448,4)),"")</f>
        <v>2026</v>
      </c>
      <c r="C2448" s="17" t="n">
        <f aca="false">IFERROR(VALUE(RIGHT($A2448,2)),"")</f>
        <v>2</v>
      </c>
      <c r="D2448" s="17" t="n">
        <f aca="false">IFERROR(ROUNDUP($C2448/3,0),"")</f>
        <v>1</v>
      </c>
      <c r="E2448" s="11" t="str">
        <f aca="false">TRIM('수출입 실적(품목별)'!B2452)</f>
        <v>41</v>
      </c>
      <c r="F2448" s="11" t="str">
        <f aca="false">TRIM('수출입 실적(품목별)'!C2452)</f>
        <v>원피(모피는 제외한다)와 가죽</v>
      </c>
      <c r="G2448" s="18" t="n">
        <f aca="false">IFERROR(VALUE(SUBSTITUTE(TRIM('수출입 실적(품목별)'!D2452),",","")),"")</f>
        <v>1635.9</v>
      </c>
      <c r="H2448" s="19" t="n">
        <f aca="false">IFERROR(VALUE(SUBSTITUTE(TRIM('수출입 실적(품목별)'!E2452),",","")),"")</f>
        <v>18117</v>
      </c>
      <c r="I2448" s="18" t="n">
        <f aca="false">IFERROR(VALUE(SUBSTITUTE(TRIM('수출입 실적(품목별)'!F2452),",","")),"")</f>
        <v>5366.5</v>
      </c>
      <c r="J2448" s="19" t="n">
        <f aca="false">IFERROR(VALUE(SUBSTITUTE(TRIM('수출입 실적(품목별)'!G2452),",","")),"")</f>
        <v>15554</v>
      </c>
      <c r="K2448" s="19" t="n">
        <f aca="false">IFERROR(VALUE(SUBSTITUTE(TRIM('수출입 실적(품목별)'!H2452),",","")),"")</f>
        <v>2563</v>
      </c>
    </row>
    <row r="2449" customFormat="false" ht="15" hidden="false" customHeight="true" outlineLevel="0" collapsed="false">
      <c r="A2449" s="11" t="str">
        <f aca="false">TRIM('수출입 실적(품목별)'!A2453)</f>
        <v>2026.02</v>
      </c>
      <c r="B2449" s="17" t="n">
        <f aca="false">IFERROR(VALUE(LEFT($A2449,4)),"")</f>
        <v>2026</v>
      </c>
      <c r="C2449" s="17" t="n">
        <f aca="false">IFERROR(VALUE(RIGHT($A2449,2)),"")</f>
        <v>2</v>
      </c>
      <c r="D2449" s="17" t="n">
        <f aca="false">IFERROR(ROUNDUP($C2449/3,0),"")</f>
        <v>1</v>
      </c>
      <c r="E2449" s="11" t="str">
        <f aca="false">TRIM('수출입 실적(품목별)'!B2453)</f>
        <v>42</v>
      </c>
      <c r="F2449" s="11" t="str">
        <f aca="false">TRIM('수출입 실적(품목별)'!C2453)</f>
        <v>가죽제품, 마구, 여행용구ㆍ핸드백과 이와 유사한 용기, 동물 거트(gut)[누에의 거트(gut)는 제외한다]의 제품</v>
      </c>
      <c r="G2449" s="18" t="n">
        <f aca="false">IFERROR(VALUE(SUBSTITUTE(TRIM('수출입 실적(품목별)'!D2453),",","")),"")</f>
        <v>634.3</v>
      </c>
      <c r="H2449" s="19" t="n">
        <f aca="false">IFERROR(VALUE(SUBSTITUTE(TRIM('수출입 실적(품목별)'!E2453),",","")),"")</f>
        <v>39053</v>
      </c>
      <c r="I2449" s="18" t="n">
        <f aca="false">IFERROR(VALUE(SUBSTITUTE(TRIM('수출입 실적(품목별)'!F2453),",","")),"")</f>
        <v>8251.4</v>
      </c>
      <c r="J2449" s="19" t="n">
        <f aca="false">IFERROR(VALUE(SUBSTITUTE(TRIM('수출입 실적(품목별)'!G2453),",","")),"")</f>
        <v>293159</v>
      </c>
      <c r="K2449" s="19" t="n">
        <f aca="false">IFERROR(VALUE(SUBSTITUTE(TRIM('수출입 실적(품목별)'!H2453),",","")),"")</f>
        <v>-254106</v>
      </c>
    </row>
    <row r="2450" customFormat="false" ht="15" hidden="false" customHeight="true" outlineLevel="0" collapsed="false">
      <c r="A2450" s="11" t="str">
        <f aca="false">TRIM('수출입 실적(품목별)'!A2454)</f>
        <v>2026.02</v>
      </c>
      <c r="B2450" s="17" t="n">
        <f aca="false">IFERROR(VALUE(LEFT($A2450,4)),"")</f>
        <v>2026</v>
      </c>
      <c r="C2450" s="17" t="n">
        <f aca="false">IFERROR(VALUE(RIGHT($A2450,2)),"")</f>
        <v>2</v>
      </c>
      <c r="D2450" s="17" t="n">
        <f aca="false">IFERROR(ROUNDUP($C2450/3,0),"")</f>
        <v>1</v>
      </c>
      <c r="E2450" s="11" t="str">
        <f aca="false">TRIM('수출입 실적(품목별)'!B2454)</f>
        <v>43</v>
      </c>
      <c r="F2450" s="11" t="str">
        <f aca="false">TRIM('수출입 실적(품목별)'!C2454)</f>
        <v>모피ㆍ인조모피와 이들의 제품</v>
      </c>
      <c r="G2450" s="18" t="n">
        <f aca="false">IFERROR(VALUE(SUBSTITUTE(TRIM('수출입 실적(품목별)'!D2454),",","")),"")</f>
        <v>0.4</v>
      </c>
      <c r="H2450" s="19" t="n">
        <f aca="false">IFERROR(VALUE(SUBSTITUTE(TRIM('수출입 실적(품목별)'!E2454),",","")),"")</f>
        <v>315</v>
      </c>
      <c r="I2450" s="18" t="n">
        <f aca="false">IFERROR(VALUE(SUBSTITUTE(TRIM('수출입 실적(품목별)'!F2454),",","")),"")</f>
        <v>15.7</v>
      </c>
      <c r="J2450" s="19" t="n">
        <f aca="false">IFERROR(VALUE(SUBSTITUTE(TRIM('수출입 실적(품목별)'!G2454),",","")),"")</f>
        <v>2713</v>
      </c>
      <c r="K2450" s="19" t="n">
        <f aca="false">IFERROR(VALUE(SUBSTITUTE(TRIM('수출입 실적(품목별)'!H2454),",","")),"")</f>
        <v>-2398</v>
      </c>
    </row>
    <row r="2451" customFormat="false" ht="15" hidden="false" customHeight="true" outlineLevel="0" collapsed="false">
      <c r="A2451" s="11" t="str">
        <f aca="false">TRIM('수출입 실적(품목별)'!A2455)</f>
        <v>2026.02</v>
      </c>
      <c r="B2451" s="17" t="n">
        <f aca="false">IFERROR(VALUE(LEFT($A2451,4)),"")</f>
        <v>2026</v>
      </c>
      <c r="C2451" s="17" t="n">
        <f aca="false">IFERROR(VALUE(RIGHT($A2451,2)),"")</f>
        <v>2</v>
      </c>
      <c r="D2451" s="17" t="n">
        <f aca="false">IFERROR(ROUNDUP($C2451/3,0),"")</f>
        <v>1</v>
      </c>
      <c r="E2451" s="11" t="str">
        <f aca="false">TRIM('수출입 실적(품목별)'!B2455)</f>
        <v>44</v>
      </c>
      <c r="F2451" s="11" t="str">
        <f aca="false">TRIM('수출입 실적(품목별)'!C2455)</f>
        <v>목재와 그 제품, 목탄</v>
      </c>
      <c r="G2451" s="18" t="n">
        <f aca="false">IFERROR(VALUE(SUBSTITUTE(TRIM('수출입 실적(품목별)'!D2455),",","")),"")</f>
        <v>4279.4</v>
      </c>
      <c r="H2451" s="19" t="n">
        <f aca="false">IFERROR(VALUE(SUBSTITUTE(TRIM('수출입 실적(품목별)'!E2455),",","")),"")</f>
        <v>5958</v>
      </c>
      <c r="I2451" s="18" t="n">
        <f aca="false">IFERROR(VALUE(SUBSTITUTE(TRIM('수출입 실적(품목별)'!F2455),",","")),"")</f>
        <v>568450.8</v>
      </c>
      <c r="J2451" s="19" t="n">
        <f aca="false">IFERROR(VALUE(SUBSTITUTE(TRIM('수출입 실적(품목별)'!G2455),",","")),"")</f>
        <v>183162</v>
      </c>
      <c r="K2451" s="19" t="n">
        <f aca="false">IFERROR(VALUE(SUBSTITUTE(TRIM('수출입 실적(품목별)'!H2455),",","")),"")</f>
        <v>-177204</v>
      </c>
    </row>
    <row r="2452" customFormat="false" ht="15" hidden="false" customHeight="true" outlineLevel="0" collapsed="false">
      <c r="A2452" s="11" t="str">
        <f aca="false">TRIM('수출입 실적(품목별)'!A2456)</f>
        <v>2026.02</v>
      </c>
      <c r="B2452" s="17" t="n">
        <f aca="false">IFERROR(VALUE(LEFT($A2452,4)),"")</f>
        <v>2026</v>
      </c>
      <c r="C2452" s="17" t="n">
        <f aca="false">IFERROR(VALUE(RIGHT($A2452,2)),"")</f>
        <v>2</v>
      </c>
      <c r="D2452" s="17" t="n">
        <f aca="false">IFERROR(ROUNDUP($C2452/3,0),"")</f>
        <v>1</v>
      </c>
      <c r="E2452" s="11" t="str">
        <f aca="false">TRIM('수출입 실적(품목별)'!B2456)</f>
        <v>45</v>
      </c>
      <c r="F2452" s="11" t="str">
        <f aca="false">TRIM('수출입 실적(품목별)'!C2456)</f>
        <v>코르크(cork)와 그 제품</v>
      </c>
      <c r="G2452" s="18" t="n">
        <f aca="false">IFERROR(VALUE(SUBSTITUTE(TRIM('수출입 실적(품목별)'!D2456),",","")),"")</f>
        <v>1.5</v>
      </c>
      <c r="H2452" s="19" t="n">
        <f aca="false">IFERROR(VALUE(SUBSTITUTE(TRIM('수출입 실적(품목별)'!E2456),",","")),"")</f>
        <v>35</v>
      </c>
      <c r="I2452" s="18" t="n">
        <f aca="false">IFERROR(VALUE(SUBSTITUTE(TRIM('수출입 실적(품목별)'!F2456),",","")),"")</f>
        <v>93.2</v>
      </c>
      <c r="J2452" s="19" t="n">
        <f aca="false">IFERROR(VALUE(SUBSTITUTE(TRIM('수출입 실적(품목별)'!G2456),",","")),"")</f>
        <v>412</v>
      </c>
      <c r="K2452" s="19" t="n">
        <f aca="false">IFERROR(VALUE(SUBSTITUTE(TRIM('수출입 실적(품목별)'!H2456),",","")),"")</f>
        <v>-377</v>
      </c>
    </row>
    <row r="2453" customFormat="false" ht="15" hidden="false" customHeight="true" outlineLevel="0" collapsed="false">
      <c r="A2453" s="11" t="str">
        <f aca="false">TRIM('수출입 실적(품목별)'!A2457)</f>
        <v>2026.02</v>
      </c>
      <c r="B2453" s="17" t="n">
        <f aca="false">IFERROR(VALUE(LEFT($A2453,4)),"")</f>
        <v>2026</v>
      </c>
      <c r="C2453" s="17" t="n">
        <f aca="false">IFERROR(VALUE(RIGHT($A2453,2)),"")</f>
        <v>2</v>
      </c>
      <c r="D2453" s="17" t="n">
        <f aca="false">IFERROR(ROUNDUP($C2453/3,0),"")</f>
        <v>1</v>
      </c>
      <c r="E2453" s="11" t="str">
        <f aca="false">TRIM('수출입 실적(품목별)'!B2457)</f>
        <v>46</v>
      </c>
      <c r="F2453" s="11" t="str">
        <f aca="false">TRIM('수출입 실적(품목별)'!C2457)</f>
        <v>짚ㆍ에스파르토(esparto)나 그 밖의 조물 재료의 제품, 바구니 세공물(basketware)과 지조세공물(枝條細工物)</v>
      </c>
      <c r="G2453" s="18" t="n">
        <f aca="false">IFERROR(VALUE(SUBSTITUTE(TRIM('수출입 실적(품목별)'!D2457),",","")),"")</f>
        <v>0.3</v>
      </c>
      <c r="H2453" s="19" t="n">
        <f aca="false">IFERROR(VALUE(SUBSTITUTE(TRIM('수출입 실적(품목별)'!E2457),",","")),"")</f>
        <v>21</v>
      </c>
      <c r="I2453" s="18" t="n">
        <f aca="false">IFERROR(VALUE(SUBSTITUTE(TRIM('수출입 실적(품목별)'!F2457),",","")),"")</f>
        <v>229.4</v>
      </c>
      <c r="J2453" s="19" t="n">
        <f aca="false">IFERROR(VALUE(SUBSTITUTE(TRIM('수출입 실적(품목별)'!G2457),",","")),"")</f>
        <v>1315</v>
      </c>
      <c r="K2453" s="19" t="n">
        <f aca="false">IFERROR(VALUE(SUBSTITUTE(TRIM('수출입 실적(품목별)'!H2457),",","")),"")</f>
        <v>-1294</v>
      </c>
    </row>
    <row r="2454" customFormat="false" ht="15" hidden="false" customHeight="true" outlineLevel="0" collapsed="false">
      <c r="A2454" s="11" t="str">
        <f aca="false">TRIM('수출입 실적(품목별)'!A2458)</f>
        <v>2026.02</v>
      </c>
      <c r="B2454" s="17" t="n">
        <f aca="false">IFERROR(VALUE(LEFT($A2454,4)),"")</f>
        <v>2026</v>
      </c>
      <c r="C2454" s="17" t="n">
        <f aca="false">IFERROR(VALUE(RIGHT($A2454,2)),"")</f>
        <v>2</v>
      </c>
      <c r="D2454" s="17" t="n">
        <f aca="false">IFERROR(ROUNDUP($C2454/3,0),"")</f>
        <v>1</v>
      </c>
      <c r="E2454" s="11" t="str">
        <f aca="false">TRIM('수출입 실적(품목별)'!B2458)</f>
        <v>47</v>
      </c>
      <c r="F2454" s="11" t="str">
        <f aca="false">TRIM('수출입 실적(품목별)'!C2458)</f>
        <v>목재나 그 밖의 섬유질 셀룰로오스재료의 펄프, 회수한 종이ㆍ판지[웨이스트(waste)와 스크랩(scrap)]</v>
      </c>
      <c r="G2454" s="18" t="n">
        <f aca="false">IFERROR(VALUE(SUBSTITUTE(TRIM('수출입 실적(품목별)'!D2458),",","")),"")</f>
        <v>40838.6</v>
      </c>
      <c r="H2454" s="19" t="n">
        <f aca="false">IFERROR(VALUE(SUBSTITUTE(TRIM('수출입 실적(품목별)'!E2458),",","")),"")</f>
        <v>8645</v>
      </c>
      <c r="I2454" s="18" t="n">
        <f aca="false">IFERROR(VALUE(SUBSTITUTE(TRIM('수출입 실적(품목별)'!F2458),",","")),"")</f>
        <v>209785.5</v>
      </c>
      <c r="J2454" s="19" t="n">
        <f aca="false">IFERROR(VALUE(SUBSTITUTE(TRIM('수출입 실적(품목별)'!G2458),",","")),"")</f>
        <v>107976</v>
      </c>
      <c r="K2454" s="19" t="n">
        <f aca="false">IFERROR(VALUE(SUBSTITUTE(TRIM('수출입 실적(품목별)'!H2458),",","")),"")</f>
        <v>-99330</v>
      </c>
    </row>
    <row r="2455" customFormat="false" ht="15" hidden="false" customHeight="true" outlineLevel="0" collapsed="false">
      <c r="A2455" s="11" t="str">
        <f aca="false">TRIM('수출입 실적(품목별)'!A2459)</f>
        <v>2026.02</v>
      </c>
      <c r="B2455" s="17" t="n">
        <f aca="false">IFERROR(VALUE(LEFT($A2455,4)),"")</f>
        <v>2026</v>
      </c>
      <c r="C2455" s="17" t="n">
        <f aca="false">IFERROR(VALUE(RIGHT($A2455,2)),"")</f>
        <v>2</v>
      </c>
      <c r="D2455" s="17" t="n">
        <f aca="false">IFERROR(ROUNDUP($C2455/3,0),"")</f>
        <v>1</v>
      </c>
      <c r="E2455" s="11" t="str">
        <f aca="false">TRIM('수출입 실적(품목별)'!B2459)</f>
        <v>48</v>
      </c>
      <c r="F2455" s="11" t="str">
        <f aca="false">TRIM('수출입 실적(품목별)'!C2459)</f>
        <v>종이와 판지, 제지용 펄프ㆍ종이ㆍ판지의 제품</v>
      </c>
      <c r="G2455" s="18" t="n">
        <f aca="false">IFERROR(VALUE(SUBSTITUTE(TRIM('수출입 실적(품목별)'!D2459),",","")),"")</f>
        <v>205758.7</v>
      </c>
      <c r="H2455" s="19" t="n">
        <f aca="false">IFERROR(VALUE(SUBSTITUTE(TRIM('수출입 실적(품목별)'!E2459),",","")),"")</f>
        <v>194053</v>
      </c>
      <c r="I2455" s="18" t="n">
        <f aca="false">IFERROR(VALUE(SUBSTITUTE(TRIM('수출입 실적(품목별)'!F2459),",","")),"")</f>
        <v>123088.8</v>
      </c>
      <c r="J2455" s="19" t="n">
        <f aca="false">IFERROR(VALUE(SUBSTITUTE(TRIM('수출입 실적(품목별)'!G2459),",","")),"")</f>
        <v>175938</v>
      </c>
      <c r="K2455" s="19" t="n">
        <f aca="false">IFERROR(VALUE(SUBSTITUTE(TRIM('수출입 실적(품목별)'!H2459),",","")),"")</f>
        <v>18116</v>
      </c>
    </row>
    <row r="2456" customFormat="false" ht="15" hidden="false" customHeight="true" outlineLevel="0" collapsed="false">
      <c r="A2456" s="11" t="str">
        <f aca="false">TRIM('수출입 실적(품목별)'!A2460)</f>
        <v>2026.02</v>
      </c>
      <c r="B2456" s="17" t="n">
        <f aca="false">IFERROR(VALUE(LEFT($A2456,4)),"")</f>
        <v>2026</v>
      </c>
      <c r="C2456" s="17" t="n">
        <f aca="false">IFERROR(VALUE(RIGHT($A2456,2)),"")</f>
        <v>2</v>
      </c>
      <c r="D2456" s="17" t="n">
        <f aca="false">IFERROR(ROUNDUP($C2456/3,0),"")</f>
        <v>1</v>
      </c>
      <c r="E2456" s="11" t="str">
        <f aca="false">TRIM('수출입 실적(품목별)'!B2460)</f>
        <v>49</v>
      </c>
      <c r="F2456" s="11" t="str">
        <f aca="false">TRIM('수출입 실적(품목별)'!C2460)</f>
        <v>인쇄서적ㆍ신문ㆍ회화ㆍ그 밖의 인쇄물, 수제(手製)문서ㆍ타자문서ㆍ도면</v>
      </c>
      <c r="G2456" s="18" t="n">
        <f aca="false">IFERROR(VALUE(SUBSTITUTE(TRIM('수출입 실적(품목별)'!D2460),",","")),"")</f>
        <v>2129.9</v>
      </c>
      <c r="H2456" s="19" t="n">
        <f aca="false">IFERROR(VALUE(SUBSTITUTE(TRIM('수출입 실적(품목별)'!E2460),",","")),"")</f>
        <v>19249</v>
      </c>
      <c r="I2456" s="18" t="n">
        <f aca="false">IFERROR(VALUE(SUBSTITUTE(TRIM('수출입 실적(품목별)'!F2460),",","")),"")</f>
        <v>1085</v>
      </c>
      <c r="J2456" s="19" t="n">
        <f aca="false">IFERROR(VALUE(SUBSTITUTE(TRIM('수출입 실적(품목별)'!G2460),",","")),"")</f>
        <v>22841</v>
      </c>
      <c r="K2456" s="19" t="n">
        <f aca="false">IFERROR(VALUE(SUBSTITUTE(TRIM('수출입 실적(품목별)'!H2460),",","")),"")</f>
        <v>-3592</v>
      </c>
    </row>
    <row r="2457" customFormat="false" ht="15" hidden="false" customHeight="true" outlineLevel="0" collapsed="false">
      <c r="A2457" s="11" t="str">
        <f aca="false">TRIM('수출입 실적(품목별)'!A2461)</f>
        <v>2026.02</v>
      </c>
      <c r="B2457" s="17" t="n">
        <f aca="false">IFERROR(VALUE(LEFT($A2457,4)),"")</f>
        <v>2026</v>
      </c>
      <c r="C2457" s="17" t="n">
        <f aca="false">IFERROR(VALUE(RIGHT($A2457,2)),"")</f>
        <v>2</v>
      </c>
      <c r="D2457" s="17" t="n">
        <f aca="false">IFERROR(ROUNDUP($C2457/3,0),"")</f>
        <v>1</v>
      </c>
      <c r="E2457" s="11" t="str">
        <f aca="false">TRIM('수출입 실적(품목별)'!B2461)</f>
        <v>50</v>
      </c>
      <c r="F2457" s="11" t="str">
        <f aca="false">TRIM('수출입 실적(품목별)'!C2461)</f>
        <v>견</v>
      </c>
      <c r="G2457" s="18" t="n">
        <f aca="false">IFERROR(VALUE(SUBSTITUTE(TRIM('수출입 실적(품목별)'!D2461),",","")),"")</f>
        <v>9.7</v>
      </c>
      <c r="H2457" s="19" t="n">
        <f aca="false">IFERROR(VALUE(SUBSTITUTE(TRIM('수출입 실적(품목별)'!E2461),",","")),"")</f>
        <v>1855</v>
      </c>
      <c r="I2457" s="18" t="n">
        <f aca="false">IFERROR(VALUE(SUBSTITUTE(TRIM('수출입 실적(품목별)'!F2461),",","")),"")</f>
        <v>18</v>
      </c>
      <c r="J2457" s="19" t="n">
        <f aca="false">IFERROR(VALUE(SUBSTITUTE(TRIM('수출입 실적(품목별)'!G2461),",","")),"")</f>
        <v>1675</v>
      </c>
      <c r="K2457" s="19" t="n">
        <f aca="false">IFERROR(VALUE(SUBSTITUTE(TRIM('수출입 실적(품목별)'!H2461),",","")),"")</f>
        <v>179</v>
      </c>
    </row>
    <row r="2458" customFormat="false" ht="15" hidden="false" customHeight="true" outlineLevel="0" collapsed="false">
      <c r="A2458" s="11" t="str">
        <f aca="false">TRIM('수출입 실적(품목별)'!A2462)</f>
        <v>2026.02</v>
      </c>
      <c r="B2458" s="17" t="n">
        <f aca="false">IFERROR(VALUE(LEFT($A2458,4)),"")</f>
        <v>2026</v>
      </c>
      <c r="C2458" s="17" t="n">
        <f aca="false">IFERROR(VALUE(RIGHT($A2458,2)),"")</f>
        <v>2</v>
      </c>
      <c r="D2458" s="17" t="n">
        <f aca="false">IFERROR(ROUNDUP($C2458/3,0),"")</f>
        <v>1</v>
      </c>
      <c r="E2458" s="11" t="str">
        <f aca="false">TRIM('수출입 실적(품목별)'!B2462)</f>
        <v>51</v>
      </c>
      <c r="F2458" s="11" t="str">
        <f aca="false">TRIM('수출입 실적(품목별)'!C2462)</f>
        <v>양모ㆍ동물의 부드러운 털이나 거친 털ㆍ말의 털로 만든 실과 직물</v>
      </c>
      <c r="G2458" s="18" t="n">
        <f aca="false">IFERROR(VALUE(SUBSTITUTE(TRIM('수출입 실적(품목별)'!D2462),",","")),"")</f>
        <v>33.2</v>
      </c>
      <c r="H2458" s="19" t="n">
        <f aca="false">IFERROR(VALUE(SUBSTITUTE(TRIM('수출입 실적(품목별)'!E2462),",","")),"")</f>
        <v>497</v>
      </c>
      <c r="I2458" s="18" t="n">
        <f aca="false">IFERROR(VALUE(SUBSTITUTE(TRIM('수출입 실적(품목별)'!F2462),",","")),"")</f>
        <v>603</v>
      </c>
      <c r="J2458" s="19" t="n">
        <f aca="false">IFERROR(VALUE(SUBSTITUTE(TRIM('수출입 실적(품목별)'!G2462),",","")),"")</f>
        <v>11999</v>
      </c>
      <c r="K2458" s="19" t="n">
        <f aca="false">IFERROR(VALUE(SUBSTITUTE(TRIM('수출입 실적(품목별)'!H2462),",","")),"")</f>
        <v>-11502</v>
      </c>
    </row>
    <row r="2459" customFormat="false" ht="15" hidden="false" customHeight="true" outlineLevel="0" collapsed="false">
      <c r="A2459" s="11" t="str">
        <f aca="false">TRIM('수출입 실적(품목별)'!A2463)</f>
        <v>2026.02</v>
      </c>
      <c r="B2459" s="17" t="n">
        <f aca="false">IFERROR(VALUE(LEFT($A2459,4)),"")</f>
        <v>2026</v>
      </c>
      <c r="C2459" s="17" t="n">
        <f aca="false">IFERROR(VALUE(RIGHT($A2459,2)),"")</f>
        <v>2</v>
      </c>
      <c r="D2459" s="17" t="n">
        <f aca="false">IFERROR(ROUNDUP($C2459/3,0),"")</f>
        <v>1</v>
      </c>
      <c r="E2459" s="11" t="str">
        <f aca="false">TRIM('수출입 실적(품목별)'!B2463)</f>
        <v>52</v>
      </c>
      <c r="F2459" s="11" t="str">
        <f aca="false">TRIM('수출입 실적(품목별)'!C2463)</f>
        <v>면</v>
      </c>
      <c r="G2459" s="18" t="n">
        <f aca="false">IFERROR(VALUE(SUBSTITUTE(TRIM('수출입 실적(품목별)'!D2463),",","")),"")</f>
        <v>2428.1</v>
      </c>
      <c r="H2459" s="19" t="n">
        <f aca="false">IFERROR(VALUE(SUBSTITUTE(TRIM('수출입 실적(품목별)'!E2463),",","")),"")</f>
        <v>18146</v>
      </c>
      <c r="I2459" s="18" t="n">
        <f aca="false">IFERROR(VALUE(SUBSTITUTE(TRIM('수출입 실적(품목별)'!F2463),",","")),"")</f>
        <v>16185.6</v>
      </c>
      <c r="J2459" s="19" t="n">
        <f aca="false">IFERROR(VALUE(SUBSTITUTE(TRIM('수출입 실적(품목별)'!G2463),",","")),"")</f>
        <v>48301</v>
      </c>
      <c r="K2459" s="19" t="n">
        <f aca="false">IFERROR(VALUE(SUBSTITUTE(TRIM('수출입 실적(품목별)'!H2463),",","")),"")</f>
        <v>-30155</v>
      </c>
    </row>
    <row r="2460" customFormat="false" ht="15" hidden="false" customHeight="true" outlineLevel="0" collapsed="false">
      <c r="A2460" s="11" t="str">
        <f aca="false">TRIM('수출입 실적(품목별)'!A2464)</f>
        <v>2026.02</v>
      </c>
      <c r="B2460" s="17" t="n">
        <f aca="false">IFERROR(VALUE(LEFT($A2460,4)),"")</f>
        <v>2026</v>
      </c>
      <c r="C2460" s="17" t="n">
        <f aca="false">IFERROR(VALUE(RIGHT($A2460,2)),"")</f>
        <v>2</v>
      </c>
      <c r="D2460" s="17" t="n">
        <f aca="false">IFERROR(ROUNDUP($C2460/3,0),"")</f>
        <v>1</v>
      </c>
      <c r="E2460" s="11" t="str">
        <f aca="false">TRIM('수출입 실적(품목별)'!B2464)</f>
        <v>53</v>
      </c>
      <c r="F2460" s="11" t="str">
        <f aca="false">TRIM('수출입 실적(품목별)'!C2464)</f>
        <v>그 밖의 식물성 방직용 섬유, 종이실(paper yarn)과 종이실로 만든 직물</v>
      </c>
      <c r="G2460" s="18" t="n">
        <f aca="false">IFERROR(VALUE(SUBSTITUTE(TRIM('수출입 실적(품목별)'!D2464),",","")),"")</f>
        <v>13.5</v>
      </c>
      <c r="H2460" s="19" t="n">
        <f aca="false">IFERROR(VALUE(SUBSTITUTE(TRIM('수출입 실적(품목별)'!E2464),",","")),"")</f>
        <v>291</v>
      </c>
      <c r="I2460" s="18" t="n">
        <f aca="false">IFERROR(VALUE(SUBSTITUTE(TRIM('수출입 실적(품목별)'!F2464),",","")),"")</f>
        <v>889.2</v>
      </c>
      <c r="J2460" s="19" t="n">
        <f aca="false">IFERROR(VALUE(SUBSTITUTE(TRIM('수출입 실적(품목별)'!G2464),",","")),"")</f>
        <v>4178</v>
      </c>
      <c r="K2460" s="19" t="n">
        <f aca="false">IFERROR(VALUE(SUBSTITUTE(TRIM('수출입 실적(품목별)'!H2464),",","")),"")</f>
        <v>-3887</v>
      </c>
    </row>
    <row r="2461" customFormat="false" ht="15" hidden="false" customHeight="true" outlineLevel="0" collapsed="false">
      <c r="A2461" s="11" t="str">
        <f aca="false">TRIM('수출입 실적(품목별)'!A2465)</f>
        <v>2026.02</v>
      </c>
      <c r="B2461" s="17" t="n">
        <f aca="false">IFERROR(VALUE(LEFT($A2461,4)),"")</f>
        <v>2026</v>
      </c>
      <c r="C2461" s="17" t="n">
        <f aca="false">IFERROR(VALUE(RIGHT($A2461,2)),"")</f>
        <v>2</v>
      </c>
      <c r="D2461" s="17" t="n">
        <f aca="false">IFERROR(ROUNDUP($C2461/3,0),"")</f>
        <v>1</v>
      </c>
      <c r="E2461" s="11" t="str">
        <f aca="false">TRIM('수출입 실적(품목별)'!B2465)</f>
        <v>54</v>
      </c>
      <c r="F2461" s="11" t="str">
        <f aca="false">TRIM('수출입 실적(품목별)'!C2465)</f>
        <v>인조필라멘트, 인조방직용 섬유재료의 스트립(strip)과 이와 유사한 것</v>
      </c>
      <c r="G2461" s="18" t="n">
        <f aca="false">IFERROR(VALUE(SUBSTITUTE(TRIM('수출입 실적(품목별)'!D2465),",","")),"")</f>
        <v>19036.6</v>
      </c>
      <c r="H2461" s="19" t="n">
        <f aca="false">IFERROR(VALUE(SUBSTITUTE(TRIM('수출입 실적(품목별)'!E2465),",","")),"")</f>
        <v>118958</v>
      </c>
      <c r="I2461" s="18" t="n">
        <f aca="false">IFERROR(VALUE(SUBSTITUTE(TRIM('수출입 실적(품목별)'!F2465),",","")),"")</f>
        <v>31845.4</v>
      </c>
      <c r="J2461" s="19" t="n">
        <f aca="false">IFERROR(VALUE(SUBSTITUTE(TRIM('수출입 실적(품목별)'!G2465),",","")),"")</f>
        <v>67248</v>
      </c>
      <c r="K2461" s="19" t="n">
        <f aca="false">IFERROR(VALUE(SUBSTITUTE(TRIM('수출입 실적(품목별)'!H2465),",","")),"")</f>
        <v>51710</v>
      </c>
    </row>
    <row r="2462" customFormat="false" ht="15" hidden="false" customHeight="true" outlineLevel="0" collapsed="false">
      <c r="A2462" s="11" t="str">
        <f aca="false">TRIM('수출입 실적(품목별)'!A2466)</f>
        <v>2026.02</v>
      </c>
      <c r="B2462" s="17" t="n">
        <f aca="false">IFERROR(VALUE(LEFT($A2462,4)),"")</f>
        <v>2026</v>
      </c>
      <c r="C2462" s="17" t="n">
        <f aca="false">IFERROR(VALUE(RIGHT($A2462,2)),"")</f>
        <v>2</v>
      </c>
      <c r="D2462" s="17" t="n">
        <f aca="false">IFERROR(ROUNDUP($C2462/3,0),"")</f>
        <v>1</v>
      </c>
      <c r="E2462" s="11" t="str">
        <f aca="false">TRIM('수출입 실적(품목별)'!B2466)</f>
        <v>55</v>
      </c>
      <c r="F2462" s="11" t="str">
        <f aca="false">TRIM('수출입 실적(품목별)'!C2466)</f>
        <v>인조스테이플섬유</v>
      </c>
      <c r="G2462" s="18" t="n">
        <f aca="false">IFERROR(VALUE(SUBSTITUTE(TRIM('수출입 실적(품목별)'!D2466),",","")),"")</f>
        <v>50784.9</v>
      </c>
      <c r="H2462" s="19" t="n">
        <f aca="false">IFERROR(VALUE(SUBSTITUTE(TRIM('수출입 실적(품목별)'!E2466),",","")),"")</f>
        <v>86717</v>
      </c>
      <c r="I2462" s="18" t="n">
        <f aca="false">IFERROR(VALUE(SUBSTITUTE(TRIM('수출입 실적(품목별)'!F2466),",","")),"")</f>
        <v>10509.6</v>
      </c>
      <c r="J2462" s="19" t="n">
        <f aca="false">IFERROR(VALUE(SUBSTITUTE(TRIM('수출입 실적(품목별)'!G2466),",","")),"")</f>
        <v>37026</v>
      </c>
      <c r="K2462" s="19" t="n">
        <f aca="false">IFERROR(VALUE(SUBSTITUTE(TRIM('수출입 실적(품목별)'!H2466),",","")),"")</f>
        <v>49691</v>
      </c>
    </row>
    <row r="2463" customFormat="false" ht="15" hidden="false" customHeight="true" outlineLevel="0" collapsed="false">
      <c r="A2463" s="11" t="str">
        <f aca="false">TRIM('수출입 실적(품목별)'!A2467)</f>
        <v>2026.02</v>
      </c>
      <c r="B2463" s="17" t="n">
        <f aca="false">IFERROR(VALUE(LEFT($A2463,4)),"")</f>
        <v>2026</v>
      </c>
      <c r="C2463" s="17" t="n">
        <f aca="false">IFERROR(VALUE(RIGHT($A2463,2)),"")</f>
        <v>2</v>
      </c>
      <c r="D2463" s="17" t="n">
        <f aca="false">IFERROR(ROUNDUP($C2463/3,0),"")</f>
        <v>1</v>
      </c>
      <c r="E2463" s="11" t="str">
        <f aca="false">TRIM('수출입 실적(품목별)'!B2467)</f>
        <v>56</v>
      </c>
      <c r="F2463" s="11" t="str">
        <f aca="false">TRIM('수출입 실적(품목별)'!C2467)</f>
        <v>워딩(wadding)ㆍ펠트(felt)ㆍ부직포, 특수사, 끈ㆍ배의 밧줄(cordage)ㆍ로프ㆍ케이블과 이들의 제품</v>
      </c>
      <c r="G2463" s="18" t="n">
        <f aca="false">IFERROR(VALUE(SUBSTITUTE(TRIM('수출입 실적(품목별)'!D2467),",","")),"")</f>
        <v>9241.8</v>
      </c>
      <c r="H2463" s="19" t="n">
        <f aca="false">IFERROR(VALUE(SUBSTITUTE(TRIM('수출입 실적(품목별)'!E2467),",","")),"")</f>
        <v>57146</v>
      </c>
      <c r="I2463" s="18" t="n">
        <f aca="false">IFERROR(VALUE(SUBSTITUTE(TRIM('수출입 실적(품목별)'!F2467),",","")),"")</f>
        <v>16320.5</v>
      </c>
      <c r="J2463" s="19" t="n">
        <f aca="false">IFERROR(VALUE(SUBSTITUTE(TRIM('수출입 실적(품목별)'!G2467),",","")),"")</f>
        <v>48762</v>
      </c>
      <c r="K2463" s="19" t="n">
        <f aca="false">IFERROR(VALUE(SUBSTITUTE(TRIM('수출입 실적(품목별)'!H2467),",","")),"")</f>
        <v>8385</v>
      </c>
    </row>
    <row r="2464" customFormat="false" ht="15" hidden="false" customHeight="true" outlineLevel="0" collapsed="false">
      <c r="A2464" s="11" t="str">
        <f aca="false">TRIM('수출입 실적(품목별)'!A2468)</f>
        <v>2026.02</v>
      </c>
      <c r="B2464" s="17" t="n">
        <f aca="false">IFERROR(VALUE(LEFT($A2464,4)),"")</f>
        <v>2026</v>
      </c>
      <c r="C2464" s="17" t="n">
        <f aca="false">IFERROR(VALUE(RIGHT($A2464,2)),"")</f>
        <v>2</v>
      </c>
      <c r="D2464" s="17" t="n">
        <f aca="false">IFERROR(ROUNDUP($C2464/3,0),"")</f>
        <v>1</v>
      </c>
      <c r="E2464" s="11" t="str">
        <f aca="false">TRIM('수출입 실적(품목별)'!B2468)</f>
        <v>57</v>
      </c>
      <c r="F2464" s="11" t="str">
        <f aca="false">TRIM('수출입 실적(품목별)'!C2468)</f>
        <v>양탄자류와 그 밖의 방직용 섬유로 만든 바닥깔개</v>
      </c>
      <c r="G2464" s="18" t="n">
        <f aca="false">IFERROR(VALUE(SUBSTITUTE(TRIM('수출입 실적(품목별)'!D2468),",","")),"")</f>
        <v>431.9</v>
      </c>
      <c r="H2464" s="19" t="n">
        <f aca="false">IFERROR(VALUE(SUBSTITUTE(TRIM('수출입 실적(품목별)'!E2468),",","")),"")</f>
        <v>4570</v>
      </c>
      <c r="I2464" s="18" t="n">
        <f aca="false">IFERROR(VALUE(SUBSTITUTE(TRIM('수출입 실적(품목별)'!F2468),",","")),"")</f>
        <v>4256.1</v>
      </c>
      <c r="J2464" s="19" t="n">
        <f aca="false">IFERROR(VALUE(SUBSTITUTE(TRIM('수출입 실적(품목별)'!G2468),",","")),"")</f>
        <v>7777</v>
      </c>
      <c r="K2464" s="19" t="n">
        <f aca="false">IFERROR(VALUE(SUBSTITUTE(TRIM('수출입 실적(품목별)'!H2468),",","")),"")</f>
        <v>-3207</v>
      </c>
    </row>
    <row r="2465" customFormat="false" ht="15" hidden="false" customHeight="true" outlineLevel="0" collapsed="false">
      <c r="A2465" s="11" t="str">
        <f aca="false">TRIM('수출입 실적(품목별)'!A2469)</f>
        <v>2026.02</v>
      </c>
      <c r="B2465" s="17" t="n">
        <f aca="false">IFERROR(VALUE(LEFT($A2465,4)),"")</f>
        <v>2026</v>
      </c>
      <c r="C2465" s="17" t="n">
        <f aca="false">IFERROR(VALUE(RIGHT($A2465,2)),"")</f>
        <v>2</v>
      </c>
      <c r="D2465" s="17" t="n">
        <f aca="false">IFERROR(ROUNDUP($C2465/3,0),"")</f>
        <v>1</v>
      </c>
      <c r="E2465" s="11" t="str">
        <f aca="false">TRIM('수출입 실적(품목별)'!B2469)</f>
        <v>58</v>
      </c>
      <c r="F2465" s="11" t="str">
        <f aca="false">TRIM('수출입 실적(품목별)'!C2469)</f>
        <v>특수직물, 터프트(tuft)한 직물, 레이스, 태피스트리(tapestry), 트리밍(trimming), 자수천</v>
      </c>
      <c r="G2465" s="18" t="n">
        <f aca="false">IFERROR(VALUE(SUBSTITUTE(TRIM('수출입 실적(품목별)'!D2469),",","")),"")</f>
        <v>1104.5</v>
      </c>
      <c r="H2465" s="19" t="n">
        <f aca="false">IFERROR(VALUE(SUBSTITUTE(TRIM('수출입 실적(품목별)'!E2469),",","")),"")</f>
        <v>12811</v>
      </c>
      <c r="I2465" s="18" t="n">
        <f aca="false">IFERROR(VALUE(SUBSTITUTE(TRIM('수출입 실적(품목별)'!F2469),",","")),"")</f>
        <v>624.1</v>
      </c>
      <c r="J2465" s="19" t="n">
        <f aca="false">IFERROR(VALUE(SUBSTITUTE(TRIM('수출입 실적(품목별)'!G2469),",","")),"")</f>
        <v>5314</v>
      </c>
      <c r="K2465" s="19" t="n">
        <f aca="false">IFERROR(VALUE(SUBSTITUTE(TRIM('수출입 실적(품목별)'!H2469),",","")),"")</f>
        <v>7497</v>
      </c>
    </row>
    <row r="2466" customFormat="false" ht="15" hidden="false" customHeight="true" outlineLevel="0" collapsed="false">
      <c r="A2466" s="11" t="str">
        <f aca="false">TRIM('수출입 실적(품목별)'!A2470)</f>
        <v>2026.02</v>
      </c>
      <c r="B2466" s="17" t="n">
        <f aca="false">IFERROR(VALUE(LEFT($A2466,4)),"")</f>
        <v>2026</v>
      </c>
      <c r="C2466" s="17" t="n">
        <f aca="false">IFERROR(VALUE(RIGHT($A2466,2)),"")</f>
        <v>2</v>
      </c>
      <c r="D2466" s="17" t="n">
        <f aca="false">IFERROR(ROUNDUP($C2466/3,0),"")</f>
        <v>1</v>
      </c>
      <c r="E2466" s="11" t="str">
        <f aca="false">TRIM('수출입 실적(품목별)'!B2470)</f>
        <v>59</v>
      </c>
      <c r="F2466" s="11" t="str">
        <f aca="false">TRIM('수출입 실적(품목별)'!C2470)</f>
        <v>침투ㆍ도포ㆍ피복하거나 적층한 방직용 섬유의 직물, 공업용인 방직용 섬유제품</v>
      </c>
      <c r="G2466" s="18" t="n">
        <f aca="false">IFERROR(VALUE(SUBSTITUTE(TRIM('수출입 실적(품목별)'!D2470),",","")),"")</f>
        <v>7763.6</v>
      </c>
      <c r="H2466" s="19" t="n">
        <f aca="false">IFERROR(VALUE(SUBSTITUTE(TRIM('수출입 실적(품목별)'!E2470),",","")),"")</f>
        <v>79652</v>
      </c>
      <c r="I2466" s="18" t="n">
        <f aca="false">IFERROR(VALUE(SUBSTITUTE(TRIM('수출입 실적(품목별)'!F2470),",","")),"")</f>
        <v>5059.5</v>
      </c>
      <c r="J2466" s="19" t="n">
        <f aca="false">IFERROR(VALUE(SUBSTITUTE(TRIM('수출입 실적(품목별)'!G2470),",","")),"")</f>
        <v>30260</v>
      </c>
      <c r="K2466" s="19" t="n">
        <f aca="false">IFERROR(VALUE(SUBSTITUTE(TRIM('수출입 실적(품목별)'!H2470),",","")),"")</f>
        <v>49392</v>
      </c>
    </row>
    <row r="2467" customFormat="false" ht="15" hidden="false" customHeight="true" outlineLevel="0" collapsed="false">
      <c r="A2467" s="11" t="str">
        <f aca="false">TRIM('수출입 실적(품목별)'!A2471)</f>
        <v>2026.02</v>
      </c>
      <c r="B2467" s="17" t="n">
        <f aca="false">IFERROR(VALUE(LEFT($A2467,4)),"")</f>
        <v>2026</v>
      </c>
      <c r="C2467" s="17" t="n">
        <f aca="false">IFERROR(VALUE(RIGHT($A2467,2)),"")</f>
        <v>2</v>
      </c>
      <c r="D2467" s="17" t="n">
        <f aca="false">IFERROR(ROUNDUP($C2467/3,0),"")</f>
        <v>1</v>
      </c>
      <c r="E2467" s="11" t="str">
        <f aca="false">TRIM('수출입 실적(품목별)'!B2471)</f>
        <v>60</v>
      </c>
      <c r="F2467" s="11" t="str">
        <f aca="false">TRIM('수출입 실적(품목별)'!C2471)</f>
        <v>메리야스 편물과 뜨개질 편물</v>
      </c>
      <c r="G2467" s="18" t="n">
        <f aca="false">IFERROR(VALUE(SUBSTITUTE(TRIM('수출입 실적(품목별)'!D2471),",","")),"")</f>
        <v>12883.3</v>
      </c>
      <c r="H2467" s="19" t="n">
        <f aca="false">IFERROR(VALUE(SUBSTITUTE(TRIM('수출입 실적(품목별)'!E2471),",","")),"")</f>
        <v>92030</v>
      </c>
      <c r="I2467" s="18" t="n">
        <f aca="false">IFERROR(VALUE(SUBSTITUTE(TRIM('수출입 실적(품목별)'!F2471),",","")),"")</f>
        <v>1479.1</v>
      </c>
      <c r="J2467" s="19" t="n">
        <f aca="false">IFERROR(VALUE(SUBSTITUTE(TRIM('수출입 실적(품목별)'!G2471),",","")),"")</f>
        <v>6914</v>
      </c>
      <c r="K2467" s="19" t="n">
        <f aca="false">IFERROR(VALUE(SUBSTITUTE(TRIM('수출입 실적(품목별)'!H2471),",","")),"")</f>
        <v>85116</v>
      </c>
    </row>
    <row r="2468" customFormat="false" ht="15" hidden="false" customHeight="true" outlineLevel="0" collapsed="false">
      <c r="A2468" s="11" t="str">
        <f aca="false">TRIM('수출입 실적(품목별)'!A2472)</f>
        <v>2026.02</v>
      </c>
      <c r="B2468" s="17" t="n">
        <f aca="false">IFERROR(VALUE(LEFT($A2468,4)),"")</f>
        <v>2026</v>
      </c>
      <c r="C2468" s="17" t="n">
        <f aca="false">IFERROR(VALUE(RIGHT($A2468,2)),"")</f>
        <v>2</v>
      </c>
      <c r="D2468" s="17" t="n">
        <f aca="false">IFERROR(ROUNDUP($C2468/3,0),"")</f>
        <v>1</v>
      </c>
      <c r="E2468" s="11" t="str">
        <f aca="false">TRIM('수출입 실적(품목별)'!B2472)</f>
        <v>61</v>
      </c>
      <c r="F2468" s="11" t="str">
        <f aca="false">TRIM('수출입 실적(품목별)'!C2472)</f>
        <v>의류와 그 부속품(메리야스 편물이나 뜨개질 편물로 한정한다)</v>
      </c>
      <c r="G2468" s="18" t="n">
        <f aca="false">IFERROR(VALUE(SUBSTITUTE(TRIM('수출입 실적(품목별)'!D2472),",","")),"")</f>
        <v>1863.2</v>
      </c>
      <c r="H2468" s="19" t="n">
        <f aca="false">IFERROR(VALUE(SUBSTITUTE(TRIM('수출입 실적(품목별)'!E2472),",","")),"")</f>
        <v>59917</v>
      </c>
      <c r="I2468" s="18" t="n">
        <f aca="false">IFERROR(VALUE(SUBSTITUTE(TRIM('수출입 실적(품목별)'!F2472),",","")),"")</f>
        <v>18824.3</v>
      </c>
      <c r="J2468" s="19" t="n">
        <f aca="false">IFERROR(VALUE(SUBSTITUTE(TRIM('수출입 실적(품목별)'!G2472),",","")),"")</f>
        <v>410546</v>
      </c>
      <c r="K2468" s="19" t="n">
        <f aca="false">IFERROR(VALUE(SUBSTITUTE(TRIM('수출입 실적(품목별)'!H2472),",","")),"")</f>
        <v>-350630</v>
      </c>
    </row>
    <row r="2469" customFormat="false" ht="15" hidden="false" customHeight="true" outlineLevel="0" collapsed="false">
      <c r="A2469" s="11" t="str">
        <f aca="false">TRIM('수출입 실적(품목별)'!A2473)</f>
        <v>2026.02</v>
      </c>
      <c r="B2469" s="17" t="n">
        <f aca="false">IFERROR(VALUE(LEFT($A2469,4)),"")</f>
        <v>2026</v>
      </c>
      <c r="C2469" s="17" t="n">
        <f aca="false">IFERROR(VALUE(RIGHT($A2469,2)),"")</f>
        <v>2</v>
      </c>
      <c r="D2469" s="17" t="n">
        <f aca="false">IFERROR(ROUNDUP($C2469/3,0),"")</f>
        <v>1</v>
      </c>
      <c r="E2469" s="11" t="str">
        <f aca="false">TRIM('수출입 실적(품목별)'!B2473)</f>
        <v>62</v>
      </c>
      <c r="F2469" s="11" t="str">
        <f aca="false">TRIM('수출입 실적(품목별)'!C2473)</f>
        <v>의류와 그 부속품(메리야스 편물이나 뜨개질편물은 제외한다)</v>
      </c>
      <c r="G2469" s="18" t="n">
        <f aca="false">IFERROR(VALUE(SUBSTITUTE(TRIM('수출입 실적(품목별)'!D2473),",","")),"")</f>
        <v>1821.2</v>
      </c>
      <c r="H2469" s="19" t="n">
        <f aca="false">IFERROR(VALUE(SUBSTITUTE(TRIM('수출입 실적(품목별)'!E2473),",","")),"")</f>
        <v>56809</v>
      </c>
      <c r="I2469" s="18" t="n">
        <f aca="false">IFERROR(VALUE(SUBSTITUTE(TRIM('수출입 실적(품목별)'!F2473),",","")),"")</f>
        <v>17523.8</v>
      </c>
      <c r="J2469" s="19" t="n">
        <f aca="false">IFERROR(VALUE(SUBSTITUTE(TRIM('수출입 실적(품목별)'!G2473),",","")),"")</f>
        <v>568496</v>
      </c>
      <c r="K2469" s="19" t="n">
        <f aca="false">IFERROR(VALUE(SUBSTITUTE(TRIM('수출입 실적(품목별)'!H2473),",","")),"")</f>
        <v>-511687</v>
      </c>
    </row>
    <row r="2470" customFormat="false" ht="15" hidden="false" customHeight="true" outlineLevel="0" collapsed="false">
      <c r="A2470" s="11" t="str">
        <f aca="false">TRIM('수출입 실적(품목별)'!A2474)</f>
        <v>2026.02</v>
      </c>
      <c r="B2470" s="17" t="n">
        <f aca="false">IFERROR(VALUE(LEFT($A2470,4)),"")</f>
        <v>2026</v>
      </c>
      <c r="C2470" s="17" t="n">
        <f aca="false">IFERROR(VALUE(RIGHT($A2470,2)),"")</f>
        <v>2</v>
      </c>
      <c r="D2470" s="17" t="n">
        <f aca="false">IFERROR(ROUNDUP($C2470/3,0),"")</f>
        <v>1</v>
      </c>
      <c r="E2470" s="11" t="str">
        <f aca="false">TRIM('수출입 실적(품목별)'!B2474)</f>
        <v>63</v>
      </c>
      <c r="F2470" s="11" t="str">
        <f aca="false">TRIM('수출입 실적(품목별)'!C2474)</f>
        <v>제품으로 된 방직용 섬유의 그 밖의 물품, 세트, 사용하던 의류ㆍ방직용 섬유제품, 넝마</v>
      </c>
      <c r="G2470" s="18" t="n">
        <f aca="false">IFERROR(VALUE(SUBSTITUTE(TRIM('수출입 실적(품목별)'!D2474),",","")),"")</f>
        <v>21634</v>
      </c>
      <c r="H2470" s="19" t="n">
        <f aca="false">IFERROR(VALUE(SUBSTITUTE(TRIM('수출입 실적(품목별)'!E2474),",","")),"")</f>
        <v>39850</v>
      </c>
      <c r="I2470" s="18" t="n">
        <f aca="false">IFERROR(VALUE(SUBSTITUTE(TRIM('수출입 실적(품목별)'!F2474),",","")),"")</f>
        <v>21444.8</v>
      </c>
      <c r="J2470" s="19" t="n">
        <f aca="false">IFERROR(VALUE(SUBSTITUTE(TRIM('수출입 실적(품목별)'!G2474),",","")),"")</f>
        <v>87762</v>
      </c>
      <c r="K2470" s="19" t="n">
        <f aca="false">IFERROR(VALUE(SUBSTITUTE(TRIM('수출입 실적(품목별)'!H2474),",","")),"")</f>
        <v>-47912</v>
      </c>
    </row>
    <row r="2471" customFormat="false" ht="15" hidden="false" customHeight="true" outlineLevel="0" collapsed="false">
      <c r="A2471" s="11" t="str">
        <f aca="false">TRIM('수출입 실적(품목별)'!A2475)</f>
        <v>2026.02</v>
      </c>
      <c r="B2471" s="17" t="n">
        <f aca="false">IFERROR(VALUE(LEFT($A2471,4)),"")</f>
        <v>2026</v>
      </c>
      <c r="C2471" s="17" t="n">
        <f aca="false">IFERROR(VALUE(RIGHT($A2471,2)),"")</f>
        <v>2</v>
      </c>
      <c r="D2471" s="17" t="n">
        <f aca="false">IFERROR(ROUNDUP($C2471/3,0),"")</f>
        <v>1</v>
      </c>
      <c r="E2471" s="11" t="str">
        <f aca="false">TRIM('수출입 실적(품목별)'!B2475)</f>
        <v>64</v>
      </c>
      <c r="F2471" s="11" t="str">
        <f aca="false">TRIM('수출입 실적(품목별)'!C2475)</f>
        <v>신발류ㆍ각반과 이와 유사한 것, 이들의 부분품</v>
      </c>
      <c r="G2471" s="18" t="n">
        <f aca="false">IFERROR(VALUE(SUBSTITUTE(TRIM('수출입 실적(품목별)'!D2475),",","")),"")</f>
        <v>1029.9</v>
      </c>
      <c r="H2471" s="19" t="n">
        <f aca="false">IFERROR(VALUE(SUBSTITUTE(TRIM('수출입 실적(품목별)'!E2475),",","")),"")</f>
        <v>27014</v>
      </c>
      <c r="I2471" s="18" t="n">
        <f aca="false">IFERROR(VALUE(SUBSTITUTE(TRIM('수출입 실적(품목별)'!F2475),",","")),"")</f>
        <v>10196.5</v>
      </c>
      <c r="J2471" s="19" t="n">
        <f aca="false">IFERROR(VALUE(SUBSTITUTE(TRIM('수출입 실적(품목별)'!G2475),",","")),"")</f>
        <v>291470</v>
      </c>
      <c r="K2471" s="19" t="n">
        <f aca="false">IFERROR(VALUE(SUBSTITUTE(TRIM('수출입 실적(품목별)'!H2475),",","")),"")</f>
        <v>-264456</v>
      </c>
    </row>
    <row r="2472" customFormat="false" ht="15" hidden="false" customHeight="true" outlineLevel="0" collapsed="false">
      <c r="A2472" s="11" t="str">
        <f aca="false">TRIM('수출입 실적(품목별)'!A2476)</f>
        <v>2026.02</v>
      </c>
      <c r="B2472" s="17" t="n">
        <f aca="false">IFERROR(VALUE(LEFT($A2472,4)),"")</f>
        <v>2026</v>
      </c>
      <c r="C2472" s="17" t="n">
        <f aca="false">IFERROR(VALUE(RIGHT($A2472,2)),"")</f>
        <v>2</v>
      </c>
      <c r="D2472" s="17" t="n">
        <f aca="false">IFERROR(ROUNDUP($C2472/3,0),"")</f>
        <v>1</v>
      </c>
      <c r="E2472" s="11" t="str">
        <f aca="false">TRIM('수출입 실적(품목별)'!B2476)</f>
        <v>65</v>
      </c>
      <c r="F2472" s="11" t="str">
        <f aca="false">TRIM('수출입 실적(품목별)'!C2476)</f>
        <v>모자류와 그 부분품</v>
      </c>
      <c r="G2472" s="18" t="n">
        <f aca="false">IFERROR(VALUE(SUBSTITUTE(TRIM('수출입 실적(품목별)'!D2476),",","")),"")</f>
        <v>171.5</v>
      </c>
      <c r="H2472" s="19" t="n">
        <f aca="false">IFERROR(VALUE(SUBSTITUTE(TRIM('수출입 실적(품목별)'!E2476),",","")),"")</f>
        <v>8864</v>
      </c>
      <c r="I2472" s="18" t="n">
        <f aca="false">IFERROR(VALUE(SUBSTITUTE(TRIM('수출입 실적(품목별)'!F2476),",","")),"")</f>
        <v>679.1</v>
      </c>
      <c r="J2472" s="19" t="n">
        <f aca="false">IFERROR(VALUE(SUBSTITUTE(TRIM('수출입 실적(품목별)'!G2476),",","")),"")</f>
        <v>23628</v>
      </c>
      <c r="K2472" s="19" t="n">
        <f aca="false">IFERROR(VALUE(SUBSTITUTE(TRIM('수출입 실적(품목별)'!H2476),",","")),"")</f>
        <v>-14764</v>
      </c>
    </row>
    <row r="2473" customFormat="false" ht="15" hidden="false" customHeight="true" outlineLevel="0" collapsed="false">
      <c r="A2473" s="11" t="str">
        <f aca="false">TRIM('수출입 실적(품목별)'!A2477)</f>
        <v>2026.02</v>
      </c>
      <c r="B2473" s="17" t="n">
        <f aca="false">IFERROR(VALUE(LEFT($A2473,4)),"")</f>
        <v>2026</v>
      </c>
      <c r="C2473" s="17" t="n">
        <f aca="false">IFERROR(VALUE(RIGHT($A2473,2)),"")</f>
        <v>2</v>
      </c>
      <c r="D2473" s="17" t="n">
        <f aca="false">IFERROR(ROUNDUP($C2473/3,0),"")</f>
        <v>1</v>
      </c>
      <c r="E2473" s="11" t="str">
        <f aca="false">TRIM('수출입 실적(품목별)'!B2477)</f>
        <v>66</v>
      </c>
      <c r="F2473" s="11" t="str">
        <f aca="false">TRIM('수출입 실적(품목별)'!C2477)</f>
        <v>산류(傘類)ㆍ지팡이ㆍ시트스틱(seat-stick)ㆍ채찍ㆍ승마용 채찍과 이들의 부분품</v>
      </c>
      <c r="G2473" s="18" t="n">
        <f aca="false">IFERROR(VALUE(SUBSTITUTE(TRIM('수출입 실적(품목별)'!D2477),",","")),"")</f>
        <v>4.5</v>
      </c>
      <c r="H2473" s="19" t="n">
        <f aca="false">IFERROR(VALUE(SUBSTITUTE(TRIM('수출입 실적(품목별)'!E2477),",","")),"")</f>
        <v>197</v>
      </c>
      <c r="I2473" s="18" t="n">
        <f aca="false">IFERROR(VALUE(SUBSTITUTE(TRIM('수출입 실적(품목별)'!F2477),",","")),"")</f>
        <v>1036.9</v>
      </c>
      <c r="J2473" s="19" t="n">
        <f aca="false">IFERROR(VALUE(SUBSTITUTE(TRIM('수출입 실적(품목별)'!G2477),",","")),"")</f>
        <v>8004</v>
      </c>
      <c r="K2473" s="19" t="n">
        <f aca="false">IFERROR(VALUE(SUBSTITUTE(TRIM('수출입 실적(품목별)'!H2477),",","")),"")</f>
        <v>-7808</v>
      </c>
    </row>
    <row r="2474" customFormat="false" ht="15" hidden="false" customHeight="true" outlineLevel="0" collapsed="false">
      <c r="A2474" s="11" t="str">
        <f aca="false">TRIM('수출입 실적(품목별)'!A2478)</f>
        <v>2026.02</v>
      </c>
      <c r="B2474" s="17" t="n">
        <f aca="false">IFERROR(VALUE(LEFT($A2474,4)),"")</f>
        <v>2026</v>
      </c>
      <c r="C2474" s="17" t="n">
        <f aca="false">IFERROR(VALUE(RIGHT($A2474,2)),"")</f>
        <v>2</v>
      </c>
      <c r="D2474" s="17" t="n">
        <f aca="false">IFERROR(ROUNDUP($C2474/3,0),"")</f>
        <v>1</v>
      </c>
      <c r="E2474" s="11" t="str">
        <f aca="false">TRIM('수출입 실적(품목별)'!B2478)</f>
        <v>67</v>
      </c>
      <c r="F2474" s="11" t="str">
        <f aca="false">TRIM('수출입 실적(품목별)'!C2478)</f>
        <v>조제 깃털ㆍ솜털과 그 제품, 조화, 사람 머리카락으로 된 제품</v>
      </c>
      <c r="G2474" s="18" t="n">
        <f aca="false">IFERROR(VALUE(SUBSTITUTE(TRIM('수출입 실적(품목별)'!D2478),",","")),"")</f>
        <v>11.6</v>
      </c>
      <c r="H2474" s="19" t="n">
        <f aca="false">IFERROR(VALUE(SUBSTITUTE(TRIM('수출입 실적(품목별)'!E2478),",","")),"")</f>
        <v>1472</v>
      </c>
      <c r="I2474" s="18" t="n">
        <f aca="false">IFERROR(VALUE(SUBSTITUTE(TRIM('수출입 실적(품목별)'!F2478),",","")),"")</f>
        <v>397.3</v>
      </c>
      <c r="J2474" s="19" t="n">
        <f aca="false">IFERROR(VALUE(SUBSTITUTE(TRIM('수출입 실적(품목별)'!G2478),",","")),"")</f>
        <v>6978</v>
      </c>
      <c r="K2474" s="19" t="n">
        <f aca="false">IFERROR(VALUE(SUBSTITUTE(TRIM('수출입 실적(품목별)'!H2478),",","")),"")</f>
        <v>-5506</v>
      </c>
    </row>
    <row r="2475" customFormat="false" ht="15" hidden="false" customHeight="true" outlineLevel="0" collapsed="false">
      <c r="A2475" s="11" t="str">
        <f aca="false">TRIM('수출입 실적(품목별)'!A2479)</f>
        <v>2026.02</v>
      </c>
      <c r="B2475" s="17" t="n">
        <f aca="false">IFERROR(VALUE(LEFT($A2475,4)),"")</f>
        <v>2026</v>
      </c>
      <c r="C2475" s="17" t="n">
        <f aca="false">IFERROR(VALUE(RIGHT($A2475,2)),"")</f>
        <v>2</v>
      </c>
      <c r="D2475" s="17" t="n">
        <f aca="false">IFERROR(ROUNDUP($C2475/3,0),"")</f>
        <v>1</v>
      </c>
      <c r="E2475" s="11" t="str">
        <f aca="false">TRIM('수출입 실적(품목별)'!B2479)</f>
        <v>68</v>
      </c>
      <c r="F2475" s="11" t="str">
        <f aca="false">TRIM('수출입 실적(품목별)'!C2479)</f>
        <v>돌ㆍ플라스터(plaster)ㆍ시멘트ㆍ석면ㆍ운모나 이와 유사한 재료의 제품</v>
      </c>
      <c r="G2475" s="18" t="n">
        <f aca="false">IFERROR(VALUE(SUBSTITUTE(TRIM('수출입 실적(품목별)'!D2479),",","")),"")</f>
        <v>8919.4</v>
      </c>
      <c r="H2475" s="19" t="n">
        <f aca="false">IFERROR(VALUE(SUBSTITUTE(TRIM('수출입 실적(품목별)'!E2479),",","")),"")</f>
        <v>73265</v>
      </c>
      <c r="I2475" s="18" t="n">
        <f aca="false">IFERROR(VALUE(SUBSTITUTE(TRIM('수출입 실적(품목별)'!F2479),",","")),"")</f>
        <v>120405.6</v>
      </c>
      <c r="J2475" s="19" t="n">
        <f aca="false">IFERROR(VALUE(SUBSTITUTE(TRIM('수출입 실적(품목별)'!G2479),",","")),"")</f>
        <v>89975</v>
      </c>
      <c r="K2475" s="19" t="n">
        <f aca="false">IFERROR(VALUE(SUBSTITUTE(TRIM('수출입 실적(품목별)'!H2479),",","")),"")</f>
        <v>-16710</v>
      </c>
    </row>
    <row r="2476" customFormat="false" ht="15" hidden="false" customHeight="true" outlineLevel="0" collapsed="false">
      <c r="A2476" s="11" t="str">
        <f aca="false">TRIM('수출입 실적(품목별)'!A2480)</f>
        <v>2026.02</v>
      </c>
      <c r="B2476" s="17" t="n">
        <f aca="false">IFERROR(VALUE(LEFT($A2476,4)),"")</f>
        <v>2026</v>
      </c>
      <c r="C2476" s="17" t="n">
        <f aca="false">IFERROR(VALUE(RIGHT($A2476,2)),"")</f>
        <v>2</v>
      </c>
      <c r="D2476" s="17" t="n">
        <f aca="false">IFERROR(ROUNDUP($C2476/3,0),"")</f>
        <v>1</v>
      </c>
      <c r="E2476" s="11" t="str">
        <f aca="false">TRIM('수출입 실적(품목별)'!B2480)</f>
        <v>69</v>
      </c>
      <c r="F2476" s="11" t="str">
        <f aca="false">TRIM('수출입 실적(품목별)'!C2480)</f>
        <v>도자제품</v>
      </c>
      <c r="G2476" s="18" t="n">
        <f aca="false">IFERROR(VALUE(SUBSTITUTE(TRIM('수출입 실적(품목별)'!D2480),",","")),"")</f>
        <v>1846.9</v>
      </c>
      <c r="H2476" s="19" t="n">
        <f aca="false">IFERROR(VALUE(SUBSTITUTE(TRIM('수출입 실적(품목별)'!E2480),",","")),"")</f>
        <v>25424</v>
      </c>
      <c r="I2476" s="18" t="n">
        <f aca="false">IFERROR(VALUE(SUBSTITUTE(TRIM('수출입 실적(품목별)'!F2480),",","")),"")</f>
        <v>115226.5</v>
      </c>
      <c r="J2476" s="19" t="n">
        <f aca="false">IFERROR(VALUE(SUBSTITUTE(TRIM('수출입 실적(품목별)'!G2480),",","")),"")</f>
        <v>110534</v>
      </c>
      <c r="K2476" s="19" t="n">
        <f aca="false">IFERROR(VALUE(SUBSTITUTE(TRIM('수출입 실적(품목별)'!H2480),",","")),"")</f>
        <v>-85110</v>
      </c>
    </row>
    <row r="2477" customFormat="false" ht="15" hidden="false" customHeight="true" outlineLevel="0" collapsed="false">
      <c r="A2477" s="11" t="str">
        <f aca="false">TRIM('수출입 실적(품목별)'!A2481)</f>
        <v>2026.02</v>
      </c>
      <c r="B2477" s="17" t="n">
        <f aca="false">IFERROR(VALUE(LEFT($A2477,4)),"")</f>
        <v>2026</v>
      </c>
      <c r="C2477" s="17" t="n">
        <f aca="false">IFERROR(VALUE(RIGHT($A2477,2)),"")</f>
        <v>2</v>
      </c>
      <c r="D2477" s="17" t="n">
        <f aca="false">IFERROR(ROUNDUP($C2477/3,0),"")</f>
        <v>1</v>
      </c>
      <c r="E2477" s="11" t="str">
        <f aca="false">TRIM('수출입 실적(품목별)'!B2481)</f>
        <v>70</v>
      </c>
      <c r="F2477" s="11" t="str">
        <f aca="false">TRIM('수출입 실적(품목별)'!C2481)</f>
        <v>유리와 유리제품</v>
      </c>
      <c r="G2477" s="18" t="n">
        <f aca="false">IFERROR(VALUE(SUBSTITUTE(TRIM('수출입 실적(품목별)'!D2481),",","")),"")</f>
        <v>25071.8</v>
      </c>
      <c r="H2477" s="19" t="n">
        <f aca="false">IFERROR(VALUE(SUBSTITUTE(TRIM('수출입 실적(품목별)'!E2481),",","")),"")</f>
        <v>127290</v>
      </c>
      <c r="I2477" s="18" t="n">
        <f aca="false">IFERROR(VALUE(SUBSTITUTE(TRIM('수출입 실적(품목별)'!F2481),",","")),"")</f>
        <v>69216.3</v>
      </c>
      <c r="J2477" s="19" t="n">
        <f aca="false">IFERROR(VALUE(SUBSTITUTE(TRIM('수출입 실적(품목별)'!G2481),",","")),"")</f>
        <v>216638</v>
      </c>
      <c r="K2477" s="19" t="n">
        <f aca="false">IFERROR(VALUE(SUBSTITUTE(TRIM('수출입 실적(품목별)'!H2481),",","")),"")</f>
        <v>-89348</v>
      </c>
    </row>
    <row r="2478" customFormat="false" ht="15" hidden="false" customHeight="true" outlineLevel="0" collapsed="false">
      <c r="A2478" s="11" t="str">
        <f aca="false">TRIM('수출입 실적(품목별)'!A2482)</f>
        <v>2026.02</v>
      </c>
      <c r="B2478" s="17" t="n">
        <f aca="false">IFERROR(VALUE(LEFT($A2478,4)),"")</f>
        <v>2026</v>
      </c>
      <c r="C2478" s="17" t="n">
        <f aca="false">IFERROR(VALUE(RIGHT($A2478,2)),"")</f>
        <v>2</v>
      </c>
      <c r="D2478" s="17" t="n">
        <f aca="false">IFERROR(ROUNDUP($C2478/3,0),"")</f>
        <v>1</v>
      </c>
      <c r="E2478" s="11" t="str">
        <f aca="false">TRIM('수출입 실적(품목별)'!B2482)</f>
        <v>71</v>
      </c>
      <c r="F2478" s="11" t="str">
        <f aca="false">TRIM('수출입 실적(품목별)'!C2482)</f>
        <v>천연진주ㆍ양식진주ㆍ귀석ㆍ반귀석ㆍ귀금속ㆍ귀금속을 입힌 금속과 이들의 제품, 모조 신변장식용품, 주화</v>
      </c>
      <c r="G2478" s="18" t="n">
        <f aca="false">IFERROR(VALUE(SUBSTITUTE(TRIM('수출입 실적(품목별)'!D2482),",","")),"")</f>
        <v>708.7</v>
      </c>
      <c r="H2478" s="19" t="n">
        <f aca="false">IFERROR(VALUE(SUBSTITUTE(TRIM('수출입 실적(품목별)'!E2482),",","")),"")</f>
        <v>1241165</v>
      </c>
      <c r="I2478" s="18" t="n">
        <f aca="false">IFERROR(VALUE(SUBSTITUTE(TRIM('수출입 실적(품목별)'!F2482),",","")),"")</f>
        <v>1503.7</v>
      </c>
      <c r="J2478" s="19" t="n">
        <f aca="false">IFERROR(VALUE(SUBSTITUTE(TRIM('수출입 실적(품목별)'!G2482),",","")),"")</f>
        <v>1985644</v>
      </c>
      <c r="K2478" s="19" t="n">
        <f aca="false">IFERROR(VALUE(SUBSTITUTE(TRIM('수출입 실적(품목별)'!H2482),",","")),"")</f>
        <v>-744479</v>
      </c>
    </row>
    <row r="2479" customFormat="false" ht="15" hidden="false" customHeight="true" outlineLevel="0" collapsed="false">
      <c r="A2479" s="11" t="str">
        <f aca="false">TRIM('수출입 실적(품목별)'!A2483)</f>
        <v>2026.02</v>
      </c>
      <c r="B2479" s="17" t="n">
        <f aca="false">IFERROR(VALUE(LEFT($A2479,4)),"")</f>
        <v>2026</v>
      </c>
      <c r="C2479" s="17" t="n">
        <f aca="false">IFERROR(VALUE(RIGHT($A2479,2)),"")</f>
        <v>2</v>
      </c>
      <c r="D2479" s="17" t="n">
        <f aca="false">IFERROR(ROUNDUP($C2479/3,0),"")</f>
        <v>1</v>
      </c>
      <c r="E2479" s="11" t="str">
        <f aca="false">TRIM('수출입 실적(품목별)'!B2483)</f>
        <v>72</v>
      </c>
      <c r="F2479" s="11" t="str">
        <f aca="false">TRIM('수출입 실적(품목별)'!C2483)</f>
        <v>철강</v>
      </c>
      <c r="G2479" s="18" t="n">
        <f aca="false">IFERROR(VALUE(SUBSTITUTE(TRIM('수출입 실적(품목별)'!D2483),",","")),"")</f>
        <v>2255421</v>
      </c>
      <c r="H2479" s="19" t="n">
        <f aca="false">IFERROR(VALUE(SUBSTITUTE(TRIM('수출입 실적(품목별)'!E2483),",","")),"")</f>
        <v>1877958</v>
      </c>
      <c r="I2479" s="18" t="n">
        <f aca="false">IFERROR(VALUE(SUBSTITUTE(TRIM('수출입 실적(품목별)'!F2483),",","")),"")</f>
        <v>1074920.8</v>
      </c>
      <c r="J2479" s="19" t="n">
        <f aca="false">IFERROR(VALUE(SUBSTITUTE(TRIM('수출입 실적(품목별)'!G2483),",","")),"")</f>
        <v>882174</v>
      </c>
      <c r="K2479" s="19" t="n">
        <f aca="false">IFERROR(VALUE(SUBSTITUTE(TRIM('수출입 실적(품목별)'!H2483),",","")),"")</f>
        <v>995784</v>
      </c>
    </row>
    <row r="2480" customFormat="false" ht="15" hidden="false" customHeight="true" outlineLevel="0" collapsed="false">
      <c r="A2480" s="11" t="str">
        <f aca="false">TRIM('수출입 실적(품목별)'!A2484)</f>
        <v>2026.02</v>
      </c>
      <c r="B2480" s="17" t="n">
        <f aca="false">IFERROR(VALUE(LEFT($A2480,4)),"")</f>
        <v>2026</v>
      </c>
      <c r="C2480" s="17" t="n">
        <f aca="false">IFERROR(VALUE(RIGHT($A2480,2)),"")</f>
        <v>2</v>
      </c>
      <c r="D2480" s="17" t="n">
        <f aca="false">IFERROR(ROUNDUP($C2480/3,0),"")</f>
        <v>1</v>
      </c>
      <c r="E2480" s="11" t="str">
        <f aca="false">TRIM('수출입 실적(품목별)'!B2484)</f>
        <v>73</v>
      </c>
      <c r="F2480" s="11" t="str">
        <f aca="false">TRIM('수출입 실적(품목별)'!C2484)</f>
        <v>철강의 제품</v>
      </c>
      <c r="G2480" s="18" t="n">
        <f aca="false">IFERROR(VALUE(SUBSTITUTE(TRIM('수출입 실적(품목별)'!D2484),",","")),"")</f>
        <v>221149.6</v>
      </c>
      <c r="H2480" s="19" t="n">
        <f aca="false">IFERROR(VALUE(SUBSTITUTE(TRIM('수출입 실적(품목별)'!E2484),",","")),"")</f>
        <v>568669</v>
      </c>
      <c r="I2480" s="18" t="n">
        <f aca="false">IFERROR(VALUE(SUBSTITUTE(TRIM('수출입 실적(품목별)'!F2484),",","")),"")</f>
        <v>196500.6</v>
      </c>
      <c r="J2480" s="19" t="n">
        <f aca="false">IFERROR(VALUE(SUBSTITUTE(TRIM('수출입 실적(품목별)'!G2484),",","")),"")</f>
        <v>574173</v>
      </c>
      <c r="K2480" s="19" t="n">
        <f aca="false">IFERROR(VALUE(SUBSTITUTE(TRIM('수출입 실적(품목별)'!H2484),",","")),"")</f>
        <v>-5504</v>
      </c>
    </row>
    <row r="2481" customFormat="false" ht="15" hidden="false" customHeight="true" outlineLevel="0" collapsed="false">
      <c r="A2481" s="11" t="str">
        <f aca="false">TRIM('수출입 실적(품목별)'!A2485)</f>
        <v>2026.02</v>
      </c>
      <c r="B2481" s="17" t="n">
        <f aca="false">IFERROR(VALUE(LEFT($A2481,4)),"")</f>
        <v>2026</v>
      </c>
      <c r="C2481" s="17" t="n">
        <f aca="false">IFERROR(VALUE(RIGHT($A2481,2)),"")</f>
        <v>2</v>
      </c>
      <c r="D2481" s="17" t="n">
        <f aca="false">IFERROR(ROUNDUP($C2481/3,0),"")</f>
        <v>1</v>
      </c>
      <c r="E2481" s="11" t="str">
        <f aca="false">TRIM('수출입 실적(품목별)'!B2485)</f>
        <v>74</v>
      </c>
      <c r="F2481" s="11" t="str">
        <f aca="false">TRIM('수출입 실적(품목별)'!C2485)</f>
        <v>구리와 그 제품</v>
      </c>
      <c r="G2481" s="18" t="n">
        <f aca="false">IFERROR(VALUE(SUBSTITUTE(TRIM('수출입 실적(품목별)'!D2485),",","")),"")</f>
        <v>40439.5</v>
      </c>
      <c r="H2481" s="19" t="n">
        <f aca="false">IFERROR(VALUE(SUBSTITUTE(TRIM('수출입 실적(품목별)'!E2485),",","")),"")</f>
        <v>517990</v>
      </c>
      <c r="I2481" s="18" t="n">
        <f aca="false">IFERROR(VALUE(SUBSTITUTE(TRIM('수출입 실적(품목별)'!F2485),",","")),"")</f>
        <v>63892.5</v>
      </c>
      <c r="J2481" s="19" t="n">
        <f aca="false">IFERROR(VALUE(SUBSTITUTE(TRIM('수출입 실적(품목별)'!G2485),",","")),"")</f>
        <v>793395</v>
      </c>
      <c r="K2481" s="19" t="n">
        <f aca="false">IFERROR(VALUE(SUBSTITUTE(TRIM('수출입 실적(품목별)'!H2485),",","")),"")</f>
        <v>-275405</v>
      </c>
    </row>
    <row r="2482" customFormat="false" ht="15" hidden="false" customHeight="true" outlineLevel="0" collapsed="false">
      <c r="A2482" s="11" t="str">
        <f aca="false">TRIM('수출입 실적(품목별)'!A2486)</f>
        <v>2026.02</v>
      </c>
      <c r="B2482" s="17" t="n">
        <f aca="false">IFERROR(VALUE(LEFT($A2482,4)),"")</f>
        <v>2026</v>
      </c>
      <c r="C2482" s="17" t="n">
        <f aca="false">IFERROR(VALUE(RIGHT($A2482,2)),"")</f>
        <v>2</v>
      </c>
      <c r="D2482" s="17" t="n">
        <f aca="false">IFERROR(ROUNDUP($C2482/3,0),"")</f>
        <v>1</v>
      </c>
      <c r="E2482" s="11" t="str">
        <f aca="false">TRIM('수출입 실적(품목별)'!B2486)</f>
        <v>75</v>
      </c>
      <c r="F2482" s="11" t="str">
        <f aca="false">TRIM('수출입 실적(품목별)'!C2486)</f>
        <v>니켈과 그 제품</v>
      </c>
      <c r="G2482" s="18" t="n">
        <f aca="false">IFERROR(VALUE(SUBSTITUTE(TRIM('수출입 실적(품목별)'!D2486),",","")),"")</f>
        <v>907.7</v>
      </c>
      <c r="H2482" s="19" t="n">
        <f aca="false">IFERROR(VALUE(SUBSTITUTE(TRIM('수출입 실적(품목별)'!E2486),",","")),"")</f>
        <v>22240</v>
      </c>
      <c r="I2482" s="18" t="n">
        <f aca="false">IFERROR(VALUE(SUBSTITUTE(TRIM('수출입 실적(품목별)'!F2486),",","")),"")</f>
        <v>3912.1</v>
      </c>
      <c r="J2482" s="19" t="n">
        <f aca="false">IFERROR(VALUE(SUBSTITUTE(TRIM('수출입 실적(품목별)'!G2486),",","")),"")</f>
        <v>86323</v>
      </c>
      <c r="K2482" s="19" t="n">
        <f aca="false">IFERROR(VALUE(SUBSTITUTE(TRIM('수출입 실적(품목별)'!H2486),",","")),"")</f>
        <v>-64083</v>
      </c>
    </row>
    <row r="2483" customFormat="false" ht="15" hidden="false" customHeight="true" outlineLevel="0" collapsed="false">
      <c r="A2483" s="11" t="str">
        <f aca="false">TRIM('수출입 실적(품목별)'!A2487)</f>
        <v>2026.02</v>
      </c>
      <c r="B2483" s="17" t="n">
        <f aca="false">IFERROR(VALUE(LEFT($A2483,4)),"")</f>
        <v>2026</v>
      </c>
      <c r="C2483" s="17" t="n">
        <f aca="false">IFERROR(VALUE(RIGHT($A2483,2)),"")</f>
        <v>2</v>
      </c>
      <c r="D2483" s="17" t="n">
        <f aca="false">IFERROR(ROUNDUP($C2483/3,0),"")</f>
        <v>1</v>
      </c>
      <c r="E2483" s="11" t="str">
        <f aca="false">TRIM('수출입 실적(품목별)'!B2487)</f>
        <v>76</v>
      </c>
      <c r="F2483" s="11" t="str">
        <f aca="false">TRIM('수출입 실적(품목별)'!C2487)</f>
        <v>알루미늄과 그 제품</v>
      </c>
      <c r="G2483" s="18" t="n">
        <f aca="false">IFERROR(VALUE(SUBSTITUTE(TRIM('수출입 실적(품목별)'!D2487),",","")),"")</f>
        <v>102371.7</v>
      </c>
      <c r="H2483" s="19" t="n">
        <f aca="false">IFERROR(VALUE(SUBSTITUTE(TRIM('수출입 실적(품목별)'!E2487),",","")),"")</f>
        <v>446510</v>
      </c>
      <c r="I2483" s="18" t="n">
        <f aca="false">IFERROR(VALUE(SUBSTITUTE(TRIM('수출입 실적(품목별)'!F2487),",","")),"")</f>
        <v>201248.3</v>
      </c>
      <c r="J2483" s="19" t="n">
        <f aca="false">IFERROR(VALUE(SUBSTITUTE(TRIM('수출입 실적(품목별)'!G2487),",","")),"")</f>
        <v>687598</v>
      </c>
      <c r="K2483" s="19" t="n">
        <f aca="false">IFERROR(VALUE(SUBSTITUTE(TRIM('수출입 실적(품목별)'!H2487),",","")),"")</f>
        <v>-241088</v>
      </c>
    </row>
    <row r="2484" customFormat="false" ht="15" hidden="false" customHeight="true" outlineLevel="0" collapsed="false">
      <c r="A2484" s="11" t="str">
        <f aca="false">TRIM('수출입 실적(품목별)'!A2488)</f>
        <v>2026.02</v>
      </c>
      <c r="B2484" s="17" t="n">
        <f aca="false">IFERROR(VALUE(LEFT($A2484,4)),"")</f>
        <v>2026</v>
      </c>
      <c r="C2484" s="17" t="n">
        <f aca="false">IFERROR(VALUE(RIGHT($A2484,2)),"")</f>
        <v>2</v>
      </c>
      <c r="D2484" s="17" t="n">
        <f aca="false">IFERROR(ROUNDUP($C2484/3,0),"")</f>
        <v>1</v>
      </c>
      <c r="E2484" s="11" t="str">
        <f aca="false">TRIM('수출입 실적(품목별)'!B2488)</f>
        <v>78</v>
      </c>
      <c r="F2484" s="11" t="str">
        <f aca="false">TRIM('수출입 실적(품목별)'!C2488)</f>
        <v>납과 그 제품</v>
      </c>
      <c r="G2484" s="18" t="n">
        <f aca="false">IFERROR(VALUE(SUBSTITUTE(TRIM('수출입 실적(품목별)'!D2488),",","")),"")</f>
        <v>29021.9</v>
      </c>
      <c r="H2484" s="19" t="n">
        <f aca="false">IFERROR(VALUE(SUBSTITUTE(TRIM('수출입 실적(품목별)'!E2488),",","")),"")</f>
        <v>64432</v>
      </c>
      <c r="I2484" s="18" t="n">
        <f aca="false">IFERROR(VALUE(SUBSTITUTE(TRIM('수출입 실적(품목별)'!F2488),",","")),"")</f>
        <v>11903.2</v>
      </c>
      <c r="J2484" s="19" t="n">
        <f aca="false">IFERROR(VALUE(SUBSTITUTE(TRIM('수출입 실적(품목별)'!G2488),",","")),"")</f>
        <v>27729</v>
      </c>
      <c r="K2484" s="19" t="n">
        <f aca="false">IFERROR(VALUE(SUBSTITUTE(TRIM('수출입 실적(품목별)'!H2488),",","")),"")</f>
        <v>36703</v>
      </c>
    </row>
    <row r="2485" customFormat="false" ht="15" hidden="false" customHeight="true" outlineLevel="0" collapsed="false">
      <c r="A2485" s="11" t="str">
        <f aca="false">TRIM('수출입 실적(품목별)'!A2489)</f>
        <v>2026.02</v>
      </c>
      <c r="B2485" s="17" t="n">
        <f aca="false">IFERROR(VALUE(LEFT($A2485,4)),"")</f>
        <v>2026</v>
      </c>
      <c r="C2485" s="17" t="n">
        <f aca="false">IFERROR(VALUE(RIGHT($A2485,2)),"")</f>
        <v>2</v>
      </c>
      <c r="D2485" s="17" t="n">
        <f aca="false">IFERROR(ROUNDUP($C2485/3,0),"")</f>
        <v>1</v>
      </c>
      <c r="E2485" s="11" t="str">
        <f aca="false">TRIM('수출입 실적(품목별)'!B2489)</f>
        <v>79</v>
      </c>
      <c r="F2485" s="11" t="str">
        <f aca="false">TRIM('수출입 실적(품목별)'!C2489)</f>
        <v>아연과 그 제품</v>
      </c>
      <c r="G2485" s="18" t="n">
        <f aca="false">IFERROR(VALUE(SUBSTITUTE(TRIM('수출입 실적(품목별)'!D2489),",","")),"")</f>
        <v>39340.5</v>
      </c>
      <c r="H2485" s="19" t="n">
        <f aca="false">IFERROR(VALUE(SUBSTITUTE(TRIM('수출입 실적(품목별)'!E2489),",","")),"")</f>
        <v>135003</v>
      </c>
      <c r="I2485" s="18" t="n">
        <f aca="false">IFERROR(VALUE(SUBSTITUTE(TRIM('수출입 실적(품목별)'!F2489),",","")),"")</f>
        <v>1169.8</v>
      </c>
      <c r="J2485" s="19" t="n">
        <f aca="false">IFERROR(VALUE(SUBSTITUTE(TRIM('수출입 실적(품목별)'!G2489),",","")),"")</f>
        <v>6039</v>
      </c>
      <c r="K2485" s="19" t="n">
        <f aca="false">IFERROR(VALUE(SUBSTITUTE(TRIM('수출입 실적(품목별)'!H2489),",","")),"")</f>
        <v>128964</v>
      </c>
    </row>
    <row r="2486" customFormat="false" ht="15" hidden="false" customHeight="true" outlineLevel="0" collapsed="false">
      <c r="A2486" s="11" t="str">
        <f aca="false">TRIM('수출입 실적(품목별)'!A2490)</f>
        <v>2026.02</v>
      </c>
      <c r="B2486" s="17" t="n">
        <f aca="false">IFERROR(VALUE(LEFT($A2486,4)),"")</f>
        <v>2026</v>
      </c>
      <c r="C2486" s="17" t="n">
        <f aca="false">IFERROR(VALUE(RIGHT($A2486,2)),"")</f>
        <v>2</v>
      </c>
      <c r="D2486" s="17" t="n">
        <f aca="false">IFERROR(ROUNDUP($C2486/3,0),"")</f>
        <v>1</v>
      </c>
      <c r="E2486" s="11" t="str">
        <f aca="false">TRIM('수출입 실적(품목별)'!B2490)</f>
        <v>80</v>
      </c>
      <c r="F2486" s="11" t="str">
        <f aca="false">TRIM('수출입 실적(품목별)'!C2490)</f>
        <v>주석과 그 제품</v>
      </c>
      <c r="G2486" s="18" t="n">
        <f aca="false">IFERROR(VALUE(SUBSTITUTE(TRIM('수출입 실적(품목별)'!D2490),",","")),"")</f>
        <v>113.9</v>
      </c>
      <c r="H2486" s="19" t="n">
        <f aca="false">IFERROR(VALUE(SUBSTITUTE(TRIM('수출입 실적(품목별)'!E2490),",","")),"")</f>
        <v>6607</v>
      </c>
      <c r="I2486" s="18" t="n">
        <f aca="false">IFERROR(VALUE(SUBSTITUTE(TRIM('수출입 실적(품목별)'!F2490),",","")),"")</f>
        <v>807.3</v>
      </c>
      <c r="J2486" s="19" t="n">
        <f aca="false">IFERROR(VALUE(SUBSTITUTE(TRIM('수출입 실적(품목별)'!G2490),",","")),"")</f>
        <v>38463</v>
      </c>
      <c r="K2486" s="19" t="n">
        <f aca="false">IFERROR(VALUE(SUBSTITUTE(TRIM('수출입 실적(품목별)'!H2490),",","")),"")</f>
        <v>-31856</v>
      </c>
    </row>
    <row r="2487" customFormat="false" ht="15" hidden="false" customHeight="true" outlineLevel="0" collapsed="false">
      <c r="A2487" s="11" t="str">
        <f aca="false">TRIM('수출입 실적(품목별)'!A2491)</f>
        <v>2026.02</v>
      </c>
      <c r="B2487" s="17" t="n">
        <f aca="false">IFERROR(VALUE(LEFT($A2487,4)),"")</f>
        <v>2026</v>
      </c>
      <c r="C2487" s="17" t="n">
        <f aca="false">IFERROR(VALUE(RIGHT($A2487,2)),"")</f>
        <v>2</v>
      </c>
      <c r="D2487" s="17" t="n">
        <f aca="false">IFERROR(ROUNDUP($C2487/3,0),"")</f>
        <v>1</v>
      </c>
      <c r="E2487" s="11" t="str">
        <f aca="false">TRIM('수출입 실적(품목별)'!B2491)</f>
        <v>81</v>
      </c>
      <c r="F2487" s="11" t="str">
        <f aca="false">TRIM('수출입 실적(품목별)'!C2491)</f>
        <v>그 밖의 비금속(卑金屬), 서멧(cermet), 이들의 제품</v>
      </c>
      <c r="G2487" s="18" t="n">
        <f aca="false">IFERROR(VALUE(SUBSTITUTE(TRIM('수출입 실적(품목별)'!D2491),",","")),"")</f>
        <v>2579</v>
      </c>
      <c r="H2487" s="19" t="n">
        <f aca="false">IFERROR(VALUE(SUBSTITUTE(TRIM('수출입 실적(품목별)'!E2491),",","")),"")</f>
        <v>34513</v>
      </c>
      <c r="I2487" s="18" t="n">
        <f aca="false">IFERROR(VALUE(SUBSTITUTE(TRIM('수출입 실적(품목별)'!F2491),",","")),"")</f>
        <v>17075.3</v>
      </c>
      <c r="J2487" s="19" t="n">
        <f aca="false">IFERROR(VALUE(SUBSTITUTE(TRIM('수출입 실적(품목별)'!G2491),",","")),"")</f>
        <v>127037</v>
      </c>
      <c r="K2487" s="19" t="n">
        <f aca="false">IFERROR(VALUE(SUBSTITUTE(TRIM('수출입 실적(품목별)'!H2491),",","")),"")</f>
        <v>-92524</v>
      </c>
    </row>
    <row r="2488" customFormat="false" ht="15" hidden="false" customHeight="true" outlineLevel="0" collapsed="false">
      <c r="A2488" s="11" t="str">
        <f aca="false">TRIM('수출입 실적(품목별)'!A2492)</f>
        <v>2026.02</v>
      </c>
      <c r="B2488" s="17" t="n">
        <f aca="false">IFERROR(VALUE(LEFT($A2488,4)),"")</f>
        <v>2026</v>
      </c>
      <c r="C2488" s="17" t="n">
        <f aca="false">IFERROR(VALUE(RIGHT($A2488,2)),"")</f>
        <v>2</v>
      </c>
      <c r="D2488" s="17" t="n">
        <f aca="false">IFERROR(ROUNDUP($C2488/3,0),"")</f>
        <v>1</v>
      </c>
      <c r="E2488" s="11" t="str">
        <f aca="false">TRIM('수출입 실적(품목별)'!B2492)</f>
        <v>82</v>
      </c>
      <c r="F2488" s="11" t="str">
        <f aca="false">TRIM('수출입 실적(품목별)'!C2492)</f>
        <v>비금속(卑金屬)으로 만든 공구ㆍ도구ㆍ칼붙이ㆍ스푼ㆍ포크, 이들의 부분품</v>
      </c>
      <c r="G2488" s="18" t="n">
        <f aca="false">IFERROR(VALUE(SUBSTITUTE(TRIM('수출입 실적(품목별)'!D2492),",","")),"")</f>
        <v>7925</v>
      </c>
      <c r="H2488" s="19" t="n">
        <f aca="false">IFERROR(VALUE(SUBSTITUTE(TRIM('수출입 실적(품목별)'!E2492),",","")),"")</f>
        <v>158308</v>
      </c>
      <c r="I2488" s="18" t="n">
        <f aca="false">IFERROR(VALUE(SUBSTITUTE(TRIM('수출입 실적(품목별)'!F2492),",","")),"")</f>
        <v>4909.1</v>
      </c>
      <c r="J2488" s="19" t="n">
        <f aca="false">IFERROR(VALUE(SUBSTITUTE(TRIM('수출입 실적(품목별)'!G2492),",","")),"")</f>
        <v>80532</v>
      </c>
      <c r="K2488" s="19" t="n">
        <f aca="false">IFERROR(VALUE(SUBSTITUTE(TRIM('수출입 실적(품목별)'!H2492),",","")),"")</f>
        <v>77775</v>
      </c>
    </row>
    <row r="2489" customFormat="false" ht="15" hidden="false" customHeight="true" outlineLevel="0" collapsed="false">
      <c r="A2489" s="11" t="str">
        <f aca="false">TRIM('수출입 실적(품목별)'!A2493)</f>
        <v>2026.02</v>
      </c>
      <c r="B2489" s="17" t="n">
        <f aca="false">IFERROR(VALUE(LEFT($A2489,4)),"")</f>
        <v>2026</v>
      </c>
      <c r="C2489" s="17" t="n">
        <f aca="false">IFERROR(VALUE(RIGHT($A2489,2)),"")</f>
        <v>2</v>
      </c>
      <c r="D2489" s="17" t="n">
        <f aca="false">IFERROR(ROUNDUP($C2489/3,0),"")</f>
        <v>1</v>
      </c>
      <c r="E2489" s="11" t="str">
        <f aca="false">TRIM('수출입 실적(품목별)'!B2493)</f>
        <v>83</v>
      </c>
      <c r="F2489" s="11" t="str">
        <f aca="false">TRIM('수출입 실적(품목별)'!C2493)</f>
        <v>비금속(卑金屬)으로 만든 각종 제품</v>
      </c>
      <c r="G2489" s="18" t="n">
        <f aca="false">IFERROR(VALUE(SUBSTITUTE(TRIM('수출입 실적(품목별)'!D2493),",","")),"")</f>
        <v>19919.2</v>
      </c>
      <c r="H2489" s="19" t="n">
        <f aca="false">IFERROR(VALUE(SUBSTITUTE(TRIM('수출입 실적(품목별)'!E2493),",","")),"")</f>
        <v>114339</v>
      </c>
      <c r="I2489" s="18" t="n">
        <f aca="false">IFERROR(VALUE(SUBSTITUTE(TRIM('수출입 실적(품목별)'!F2493),",","")),"")</f>
        <v>11486</v>
      </c>
      <c r="J2489" s="19" t="n">
        <f aca="false">IFERROR(VALUE(SUBSTITUTE(TRIM('수출입 실적(품목별)'!G2493),",","")),"")</f>
        <v>75682</v>
      </c>
      <c r="K2489" s="19" t="n">
        <f aca="false">IFERROR(VALUE(SUBSTITUTE(TRIM('수출입 실적(품목별)'!H2493),",","")),"")</f>
        <v>38658</v>
      </c>
    </row>
    <row r="2490" customFormat="false" ht="15" hidden="false" customHeight="true" outlineLevel="0" collapsed="false">
      <c r="A2490" s="11" t="str">
        <f aca="false">TRIM('수출입 실적(품목별)'!A2494)</f>
        <v>2026.02</v>
      </c>
      <c r="B2490" s="17" t="n">
        <f aca="false">IFERROR(VALUE(LEFT($A2490,4)),"")</f>
        <v>2026</v>
      </c>
      <c r="C2490" s="17" t="n">
        <f aca="false">IFERROR(VALUE(RIGHT($A2490,2)),"")</f>
        <v>2</v>
      </c>
      <c r="D2490" s="17" t="n">
        <f aca="false">IFERROR(ROUNDUP($C2490/3,0),"")</f>
        <v>1</v>
      </c>
      <c r="E2490" s="11" t="str">
        <f aca="false">TRIM('수출입 실적(품목별)'!B2494)</f>
        <v>84</v>
      </c>
      <c r="F2490" s="11" t="str">
        <f aca="false">TRIM('수출입 실적(품목별)'!C2494)</f>
        <v>원자로ㆍ보일러ㆍ기계류와 이들의 부분품</v>
      </c>
      <c r="G2490" s="18" t="n">
        <f aca="false">IFERROR(VALUE(SUBSTITUTE(TRIM('수출입 실적(품목별)'!D2494),",","")),"")</f>
        <v>318816.6</v>
      </c>
      <c r="H2490" s="19" t="n">
        <f aca="false">IFERROR(VALUE(SUBSTITUTE(TRIM('수출입 실적(품목별)'!E2494),",","")),"")</f>
        <v>9458905</v>
      </c>
      <c r="I2490" s="18" t="n">
        <f aca="false">IFERROR(VALUE(SUBSTITUTE(TRIM('수출입 실적(품목별)'!F2494),",","")),"")</f>
        <v>187580.8</v>
      </c>
      <c r="J2490" s="19" t="n">
        <f aca="false">IFERROR(VALUE(SUBSTITUTE(TRIM('수출입 실적(품목별)'!G2494),",","")),"")</f>
        <v>6971613</v>
      </c>
      <c r="K2490" s="19" t="n">
        <f aca="false">IFERROR(VALUE(SUBSTITUTE(TRIM('수출입 실적(품목별)'!H2494),",","")),"")</f>
        <v>2487292</v>
      </c>
    </row>
    <row r="2491" customFormat="false" ht="15" hidden="false" customHeight="true" outlineLevel="0" collapsed="false">
      <c r="A2491" s="11" t="str">
        <f aca="false">TRIM('수출입 실적(품목별)'!A2495)</f>
        <v>2026.02</v>
      </c>
      <c r="B2491" s="17" t="n">
        <f aca="false">IFERROR(VALUE(LEFT($A2491,4)),"")</f>
        <v>2026</v>
      </c>
      <c r="C2491" s="17" t="n">
        <f aca="false">IFERROR(VALUE(RIGHT($A2491,2)),"")</f>
        <v>2</v>
      </c>
      <c r="D2491" s="17" t="n">
        <f aca="false">IFERROR(ROUNDUP($C2491/3,0),"")</f>
        <v>1</v>
      </c>
      <c r="E2491" s="11" t="str">
        <f aca="false">TRIM('수출입 실적(품목별)'!B2495)</f>
        <v>85</v>
      </c>
      <c r="F2491" s="11" t="str">
        <f aca="false">TRIM('수출입 실적(품목별)'!C2495)</f>
        <v>전기기기와 그 부분품, 녹음기ㆍ음성 재생기ㆍ텔레비전의 영상과 음성의 기록기ㆍ재생기와 이들의 부분품ㆍ부속품</v>
      </c>
      <c r="G2491" s="18" t="n">
        <f aca="false">IFERROR(VALUE(SUBSTITUTE(TRIM('수출입 실적(품목별)'!D2495),",","")),"")</f>
        <v>193080.7</v>
      </c>
      <c r="H2491" s="19" t="n">
        <f aca="false">IFERROR(VALUE(SUBSTITUTE(TRIM('수출입 실적(품목별)'!E2495),",","")),"")</f>
        <v>28041015</v>
      </c>
      <c r="I2491" s="18" t="n">
        <f aca="false">IFERROR(VALUE(SUBSTITUTE(TRIM('수출입 실적(품목별)'!F2495),",","")),"")</f>
        <v>187722</v>
      </c>
      <c r="J2491" s="19" t="n">
        <f aca="false">IFERROR(VALUE(SUBSTITUTE(TRIM('수출입 실적(품목별)'!G2495),",","")),"")</f>
        <v>10846877</v>
      </c>
      <c r="K2491" s="19" t="n">
        <f aca="false">IFERROR(VALUE(SUBSTITUTE(TRIM('수출입 실적(품목별)'!H2495),",","")),"")</f>
        <v>17194137</v>
      </c>
    </row>
    <row r="2492" customFormat="false" ht="15" hidden="false" customHeight="true" outlineLevel="0" collapsed="false">
      <c r="A2492" s="11" t="str">
        <f aca="false">TRIM('수출입 실적(품목별)'!A2496)</f>
        <v>2026.02</v>
      </c>
      <c r="B2492" s="17" t="n">
        <f aca="false">IFERROR(VALUE(LEFT($A2492,4)),"")</f>
        <v>2026</v>
      </c>
      <c r="C2492" s="17" t="n">
        <f aca="false">IFERROR(VALUE(RIGHT($A2492,2)),"")</f>
        <v>2</v>
      </c>
      <c r="D2492" s="17" t="n">
        <f aca="false">IFERROR(ROUNDUP($C2492/3,0),"")</f>
        <v>1</v>
      </c>
      <c r="E2492" s="11" t="str">
        <f aca="false">TRIM('수출입 실적(품목별)'!B2496)</f>
        <v>86</v>
      </c>
      <c r="F2492" s="11" t="str">
        <f aca="false">TRIM('수출입 실적(품목별)'!C2496)</f>
        <v>철도용이나 궤도용 기관차ㆍ차량과 이들의 부분품, 철도용이나 궤도용 장비품과 그 부분품, 기계식(전기기계식을 포함한다) 각종 교통신호용 기기</v>
      </c>
      <c r="G2492" s="18" t="n">
        <f aca="false">IFERROR(VALUE(SUBSTITUTE(TRIM('수출입 실적(품목별)'!D2496),",","")),"")</f>
        <v>11542.3</v>
      </c>
      <c r="H2492" s="19" t="n">
        <f aca="false">IFERROR(VALUE(SUBSTITUTE(TRIM('수출입 실적(품목별)'!E2496),",","")),"")</f>
        <v>69020</v>
      </c>
      <c r="I2492" s="18" t="n">
        <f aca="false">IFERROR(VALUE(SUBSTITUTE(TRIM('수출입 실적(품목별)'!F2496),",","")),"")</f>
        <v>11617.4</v>
      </c>
      <c r="J2492" s="19" t="n">
        <f aca="false">IFERROR(VALUE(SUBSTITUTE(TRIM('수출입 실적(품목별)'!G2496),",","")),"")</f>
        <v>44310</v>
      </c>
      <c r="K2492" s="19" t="n">
        <f aca="false">IFERROR(VALUE(SUBSTITUTE(TRIM('수출입 실적(품목별)'!H2496),",","")),"")</f>
        <v>24710</v>
      </c>
    </row>
    <row r="2493" customFormat="false" ht="15" hidden="false" customHeight="true" outlineLevel="0" collapsed="false">
      <c r="A2493" s="11" t="str">
        <f aca="false">TRIM('수출입 실적(품목별)'!A2497)</f>
        <v>2026.02</v>
      </c>
      <c r="B2493" s="17" t="n">
        <f aca="false">IFERROR(VALUE(LEFT($A2493,4)),"")</f>
        <v>2026</v>
      </c>
      <c r="C2493" s="17" t="n">
        <f aca="false">IFERROR(VALUE(RIGHT($A2493,2)),"")</f>
        <v>2</v>
      </c>
      <c r="D2493" s="17" t="n">
        <f aca="false">IFERROR(ROUNDUP($C2493/3,0),"")</f>
        <v>1</v>
      </c>
      <c r="E2493" s="11" t="str">
        <f aca="false">TRIM('수출입 실적(품목별)'!B2497)</f>
        <v>87</v>
      </c>
      <c r="F2493" s="11" t="str">
        <f aca="false">TRIM('수출입 실적(품목별)'!C2497)</f>
        <v>철도용이나 궤도용 외의 차량과 그 부분품ㆍ부속품</v>
      </c>
      <c r="G2493" s="18" t="n">
        <f aca="false">IFERROR(VALUE(SUBSTITUTE(TRIM('수출입 실적(품목별)'!D2497),",","")),"")</f>
        <v>575030.3</v>
      </c>
      <c r="H2493" s="19" t="n">
        <f aca="false">IFERROR(VALUE(SUBSTITUTE(TRIM('수출입 실적(품목별)'!E2497),",","")),"")</f>
        <v>6152886</v>
      </c>
      <c r="I2493" s="18" t="n">
        <f aca="false">IFERROR(VALUE(SUBSTITUTE(TRIM('수출입 실적(품목별)'!F2497),",","")),"")</f>
        <v>109038.6</v>
      </c>
      <c r="J2493" s="19" t="n">
        <f aca="false">IFERROR(VALUE(SUBSTITUTE(TRIM('수출입 실적(품목별)'!G2497),",","")),"")</f>
        <v>1677903</v>
      </c>
      <c r="K2493" s="19" t="n">
        <f aca="false">IFERROR(VALUE(SUBSTITUTE(TRIM('수출입 실적(품목별)'!H2497),",","")),"")</f>
        <v>4474983</v>
      </c>
    </row>
    <row r="2494" customFormat="false" ht="15" hidden="false" customHeight="true" outlineLevel="0" collapsed="false">
      <c r="A2494" s="11" t="str">
        <f aca="false">TRIM('수출입 실적(품목별)'!A2498)</f>
        <v>2026.02</v>
      </c>
      <c r="B2494" s="17" t="n">
        <f aca="false">IFERROR(VALUE(LEFT($A2494,4)),"")</f>
        <v>2026</v>
      </c>
      <c r="C2494" s="17" t="n">
        <f aca="false">IFERROR(VALUE(RIGHT($A2494,2)),"")</f>
        <v>2</v>
      </c>
      <c r="D2494" s="17" t="n">
        <f aca="false">IFERROR(ROUNDUP($C2494/3,0),"")</f>
        <v>1</v>
      </c>
      <c r="E2494" s="11" t="str">
        <f aca="false">TRIM('수출입 실적(품목별)'!B2498)</f>
        <v>88</v>
      </c>
      <c r="F2494" s="11" t="str">
        <f aca="false">TRIM('수출입 실적(품목별)'!C2498)</f>
        <v>항공기와 우주선, 이들의 부분품</v>
      </c>
      <c r="G2494" s="18" t="n">
        <f aca="false">IFERROR(VALUE(SUBSTITUTE(TRIM('수출입 실적(품목별)'!D2498),",","")),"")</f>
        <v>761.2</v>
      </c>
      <c r="H2494" s="19" t="n">
        <f aca="false">IFERROR(VALUE(SUBSTITUTE(TRIM('수출입 실적(품목별)'!E2498),",","")),"")</f>
        <v>155861</v>
      </c>
      <c r="I2494" s="18" t="n">
        <f aca="false">IFERROR(VALUE(SUBSTITUTE(TRIM('수출입 실적(품목별)'!F2498),",","")),"")</f>
        <v>814.2</v>
      </c>
      <c r="J2494" s="19" t="n">
        <f aca="false">IFERROR(VALUE(SUBSTITUTE(TRIM('수출입 실적(품목별)'!G2498),",","")),"")</f>
        <v>260948</v>
      </c>
      <c r="K2494" s="19" t="n">
        <f aca="false">IFERROR(VALUE(SUBSTITUTE(TRIM('수출입 실적(품목별)'!H2498),",","")),"")</f>
        <v>-105088</v>
      </c>
    </row>
    <row r="2495" customFormat="false" ht="15" hidden="false" customHeight="true" outlineLevel="0" collapsed="false">
      <c r="A2495" s="11" t="str">
        <f aca="false">TRIM('수출입 실적(품목별)'!A2499)</f>
        <v>2026.02</v>
      </c>
      <c r="B2495" s="17" t="n">
        <f aca="false">IFERROR(VALUE(LEFT($A2495,4)),"")</f>
        <v>2026</v>
      </c>
      <c r="C2495" s="17" t="n">
        <f aca="false">IFERROR(VALUE(RIGHT($A2495,2)),"")</f>
        <v>2</v>
      </c>
      <c r="D2495" s="17" t="n">
        <f aca="false">IFERROR(ROUNDUP($C2495/3,0),"")</f>
        <v>1</v>
      </c>
      <c r="E2495" s="11" t="str">
        <f aca="false">TRIM('수출입 실적(품목별)'!B2499)</f>
        <v>89</v>
      </c>
      <c r="F2495" s="11" t="str">
        <f aca="false">TRIM('수출입 실적(품목별)'!C2499)</f>
        <v>선박과 수상 구조물</v>
      </c>
      <c r="G2495" s="18" t="n">
        <f aca="false">IFERROR(VALUE(SUBSTITUTE(TRIM('수출입 실적(품목별)'!D2499),",","")),"")</f>
        <v>631562.6</v>
      </c>
      <c r="H2495" s="19" t="n">
        <f aca="false">IFERROR(VALUE(SUBSTITUTE(TRIM('수출입 실적(품목별)'!E2499),",","")),"")</f>
        <v>2104220</v>
      </c>
      <c r="I2495" s="18" t="n">
        <f aca="false">IFERROR(VALUE(SUBSTITUTE(TRIM('수출입 실적(품목별)'!F2499),",","")),"")</f>
        <v>61600.1</v>
      </c>
      <c r="J2495" s="19" t="n">
        <f aca="false">IFERROR(VALUE(SUBSTITUTE(TRIM('수출입 실적(품목별)'!G2499),",","")),"")</f>
        <v>167797</v>
      </c>
      <c r="K2495" s="19" t="n">
        <f aca="false">IFERROR(VALUE(SUBSTITUTE(TRIM('수출입 실적(품목별)'!H2499),",","")),"")</f>
        <v>1936423</v>
      </c>
    </row>
    <row r="2496" customFormat="false" ht="15" hidden="false" customHeight="true" outlineLevel="0" collapsed="false">
      <c r="A2496" s="11" t="str">
        <f aca="false">TRIM('수출입 실적(품목별)'!A2500)</f>
        <v>2026.02</v>
      </c>
      <c r="B2496" s="17" t="n">
        <f aca="false">IFERROR(VALUE(LEFT($A2496,4)),"")</f>
        <v>2026</v>
      </c>
      <c r="C2496" s="17" t="n">
        <f aca="false">IFERROR(VALUE(RIGHT($A2496,2)),"")</f>
        <v>2</v>
      </c>
      <c r="D2496" s="17" t="n">
        <f aca="false">IFERROR(ROUNDUP($C2496/3,0),"")</f>
        <v>1</v>
      </c>
      <c r="E2496" s="11" t="str">
        <f aca="false">TRIM('수출입 실적(품목별)'!B2500)</f>
        <v>90</v>
      </c>
      <c r="F2496" s="11" t="str">
        <f aca="false">TRIM('수출입 실적(품목별)'!C2500)</f>
        <v>광학기기ㆍ사진용 기기ㆍ영화용 기기ㆍ측정기기ㆍ검사기기ㆍ정밀기기ㆍ의료용 기기, 이들의 부분품과 부속품</v>
      </c>
      <c r="G2496" s="18" t="n">
        <f aca="false">IFERROR(VALUE(SUBSTITUTE(TRIM('수출입 실적(품목별)'!D2500),",","")),"")</f>
        <v>13468.7</v>
      </c>
      <c r="H2496" s="19" t="n">
        <f aca="false">IFERROR(VALUE(SUBSTITUTE(TRIM('수출입 실적(품목별)'!E2500),",","")),"")</f>
        <v>1183434</v>
      </c>
      <c r="I2496" s="18" t="n">
        <f aca="false">IFERROR(VALUE(SUBSTITUTE(TRIM('수출입 실적(품목별)'!F2500),",","")),"")</f>
        <v>13949.5</v>
      </c>
      <c r="J2496" s="19" t="n">
        <f aca="false">IFERROR(VALUE(SUBSTITUTE(TRIM('수출입 실적(품목별)'!G2500),",","")),"")</f>
        <v>1960000</v>
      </c>
      <c r="K2496" s="19" t="n">
        <f aca="false">IFERROR(VALUE(SUBSTITUTE(TRIM('수출입 실적(품목별)'!H2500),",","")),"")</f>
        <v>-776566</v>
      </c>
    </row>
    <row r="2497" customFormat="false" ht="15" hidden="false" customHeight="true" outlineLevel="0" collapsed="false">
      <c r="A2497" s="11" t="str">
        <f aca="false">TRIM('수출입 실적(품목별)'!A2501)</f>
        <v>2026.02</v>
      </c>
      <c r="B2497" s="17" t="n">
        <f aca="false">IFERROR(VALUE(LEFT($A2497,4)),"")</f>
        <v>2026</v>
      </c>
      <c r="C2497" s="17" t="n">
        <f aca="false">IFERROR(VALUE(RIGHT($A2497,2)),"")</f>
        <v>2</v>
      </c>
      <c r="D2497" s="17" t="n">
        <f aca="false">IFERROR(ROUNDUP($C2497/3,0),"")</f>
        <v>1</v>
      </c>
      <c r="E2497" s="11" t="str">
        <f aca="false">TRIM('수출입 실적(품목별)'!B2501)</f>
        <v>91</v>
      </c>
      <c r="F2497" s="11" t="str">
        <f aca="false">TRIM('수출입 실적(품목별)'!C2501)</f>
        <v>시계와 그 부분품</v>
      </c>
      <c r="G2497" s="18" t="n">
        <f aca="false">IFERROR(VALUE(SUBSTITUTE(TRIM('수출입 실적(품목별)'!D2501),",","")),"")</f>
        <v>8.1</v>
      </c>
      <c r="H2497" s="19" t="n">
        <f aca="false">IFERROR(VALUE(SUBSTITUTE(TRIM('수출입 실적(품목별)'!E2501),",","")),"")</f>
        <v>17770</v>
      </c>
      <c r="I2497" s="18" t="n">
        <f aca="false">IFERROR(VALUE(SUBSTITUTE(TRIM('수출입 실적(품목별)'!F2501),",","")),"")</f>
        <v>270.8</v>
      </c>
      <c r="J2497" s="19" t="n">
        <f aca="false">IFERROR(VALUE(SUBSTITUTE(TRIM('수출입 실적(품목별)'!G2501),",","")),"")</f>
        <v>106381</v>
      </c>
      <c r="K2497" s="19" t="n">
        <f aca="false">IFERROR(VALUE(SUBSTITUTE(TRIM('수출입 실적(품목별)'!H2501),",","")),"")</f>
        <v>-88611</v>
      </c>
    </row>
    <row r="2498" customFormat="false" ht="15" hidden="false" customHeight="true" outlineLevel="0" collapsed="false">
      <c r="A2498" s="11" t="str">
        <f aca="false">TRIM('수출입 실적(품목별)'!A2502)</f>
        <v>2026.02</v>
      </c>
      <c r="B2498" s="17" t="n">
        <f aca="false">IFERROR(VALUE(LEFT($A2498,4)),"")</f>
        <v>2026</v>
      </c>
      <c r="C2498" s="17" t="n">
        <f aca="false">IFERROR(VALUE(RIGHT($A2498,2)),"")</f>
        <v>2</v>
      </c>
      <c r="D2498" s="17" t="n">
        <f aca="false">IFERROR(ROUNDUP($C2498/3,0),"")</f>
        <v>1</v>
      </c>
      <c r="E2498" s="11" t="str">
        <f aca="false">TRIM('수출입 실적(품목별)'!B2502)</f>
        <v>92</v>
      </c>
      <c r="F2498" s="11" t="str">
        <f aca="false">TRIM('수출입 실적(품목별)'!C2502)</f>
        <v>악기와 그 부분품과 부속품</v>
      </c>
      <c r="G2498" s="18" t="n">
        <f aca="false">IFERROR(VALUE(SUBSTITUTE(TRIM('수출입 실적(품목별)'!D2502),",","")),"")</f>
        <v>226.6</v>
      </c>
      <c r="H2498" s="19" t="n">
        <f aca="false">IFERROR(VALUE(SUBSTITUTE(TRIM('수출입 실적(품목별)'!E2502),",","")),"")</f>
        <v>5487</v>
      </c>
      <c r="I2498" s="18" t="n">
        <f aca="false">IFERROR(VALUE(SUBSTITUTE(TRIM('수출입 실적(품목별)'!F2502),",","")),"")</f>
        <v>651.6</v>
      </c>
      <c r="J2498" s="19" t="n">
        <f aca="false">IFERROR(VALUE(SUBSTITUTE(TRIM('수출입 실적(품목별)'!G2502),",","")),"")</f>
        <v>14550</v>
      </c>
      <c r="K2498" s="19" t="n">
        <f aca="false">IFERROR(VALUE(SUBSTITUTE(TRIM('수출입 실적(품목별)'!H2502),",","")),"")</f>
        <v>-9063</v>
      </c>
    </row>
    <row r="2499" customFormat="false" ht="15" hidden="false" customHeight="true" outlineLevel="0" collapsed="false">
      <c r="A2499" s="11" t="str">
        <f aca="false">TRIM('수출입 실적(품목별)'!A2503)</f>
        <v>2026.02</v>
      </c>
      <c r="B2499" s="17" t="n">
        <f aca="false">IFERROR(VALUE(LEFT($A2499,4)),"")</f>
        <v>2026</v>
      </c>
      <c r="C2499" s="17" t="n">
        <f aca="false">IFERROR(VALUE(RIGHT($A2499,2)),"")</f>
        <v>2</v>
      </c>
      <c r="D2499" s="17" t="n">
        <f aca="false">IFERROR(ROUNDUP($C2499/3,0),"")</f>
        <v>1</v>
      </c>
      <c r="E2499" s="11" t="str">
        <f aca="false">TRIM('수출입 실적(품목별)'!B2503)</f>
        <v>93</v>
      </c>
      <c r="F2499" s="11" t="str">
        <f aca="false">TRIM('수출입 실적(품목별)'!C2503)</f>
        <v>무기ㆍ총포탄과 이들의 부분품과 부속품</v>
      </c>
      <c r="G2499" s="18" t="n">
        <f aca="false">IFERROR(VALUE(SUBSTITUTE(TRIM('수출입 실적(품목별)'!D2503),",","")),"")</f>
        <v>2436.7</v>
      </c>
      <c r="H2499" s="19" t="n">
        <f aca="false">IFERROR(VALUE(SUBSTITUTE(TRIM('수출입 실적(품목별)'!E2503),",","")),"")</f>
        <v>357141</v>
      </c>
      <c r="I2499" s="18" t="n">
        <f aca="false">IFERROR(VALUE(SUBSTITUTE(TRIM('수출입 실적(품목별)'!F2503),",","")),"")</f>
        <v>71.4</v>
      </c>
      <c r="J2499" s="19" t="n">
        <f aca="false">IFERROR(VALUE(SUBSTITUTE(TRIM('수출입 실적(품목별)'!G2503),",","")),"")</f>
        <v>8899</v>
      </c>
      <c r="K2499" s="19" t="n">
        <f aca="false">IFERROR(VALUE(SUBSTITUTE(TRIM('수출입 실적(품목별)'!H2503),",","")),"")</f>
        <v>348242</v>
      </c>
    </row>
    <row r="2500" customFormat="false" ht="15" hidden="false" customHeight="true" outlineLevel="0" collapsed="false">
      <c r="A2500" s="11" t="str">
        <f aca="false">TRIM('수출입 실적(품목별)'!A2504)</f>
        <v>2026.02</v>
      </c>
      <c r="B2500" s="17" t="n">
        <f aca="false">IFERROR(VALUE(LEFT($A2500,4)),"")</f>
        <v>2026</v>
      </c>
      <c r="C2500" s="17" t="n">
        <f aca="false">IFERROR(VALUE(RIGHT($A2500,2)),"")</f>
        <v>2</v>
      </c>
      <c r="D2500" s="17" t="n">
        <f aca="false">IFERROR(ROUNDUP($C2500/3,0),"")</f>
        <v>1</v>
      </c>
      <c r="E2500" s="11" t="str">
        <f aca="false">TRIM('수출입 실적(품목별)'!B2504)</f>
        <v>94</v>
      </c>
      <c r="F2500" s="11" t="str">
        <f aca="false">TRIM('수출입 실적(품목별)'!C2504)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500" s="18" t="n">
        <f aca="false">IFERROR(VALUE(SUBSTITUTE(TRIM('수출입 실적(품목별)'!D2504),",","")),"")</f>
        <v>12811.4</v>
      </c>
      <c r="H2500" s="19" t="n">
        <f aca="false">IFERROR(VALUE(SUBSTITUTE(TRIM('수출입 실적(품목별)'!E2504),",","")),"")</f>
        <v>90190</v>
      </c>
      <c r="I2500" s="18" t="n">
        <f aca="false">IFERROR(VALUE(SUBSTITUTE(TRIM('수출입 실적(품목별)'!F2504),",","")),"")</f>
        <v>76387.5</v>
      </c>
      <c r="J2500" s="19" t="n">
        <f aca="false">IFERROR(VALUE(SUBSTITUTE(TRIM('수출입 실적(품목별)'!G2504),",","")),"")</f>
        <v>297548</v>
      </c>
      <c r="K2500" s="19" t="n">
        <f aca="false">IFERROR(VALUE(SUBSTITUTE(TRIM('수출입 실적(품목별)'!H2504),",","")),"")</f>
        <v>-207357</v>
      </c>
    </row>
    <row r="2501" customFormat="false" ht="15" hidden="false" customHeight="true" outlineLevel="0" collapsed="false">
      <c r="A2501" s="11" t="str">
        <f aca="false">TRIM('수출입 실적(품목별)'!A2505)</f>
        <v>2026.02</v>
      </c>
      <c r="B2501" s="17" t="n">
        <f aca="false">IFERROR(VALUE(LEFT($A2501,4)),"")</f>
        <v>2026</v>
      </c>
      <c r="C2501" s="17" t="n">
        <f aca="false">IFERROR(VALUE(RIGHT($A2501,2)),"")</f>
        <v>2</v>
      </c>
      <c r="D2501" s="17" t="n">
        <f aca="false">IFERROR(ROUNDUP($C2501/3,0),"")</f>
        <v>1</v>
      </c>
      <c r="E2501" s="11" t="str">
        <f aca="false">TRIM('수출입 실적(품목별)'!B2505)</f>
        <v>95</v>
      </c>
      <c r="F2501" s="11" t="str">
        <f aca="false">TRIM('수출입 실적(품목별)'!C2505)</f>
        <v>완구ㆍ게임용구ㆍ운동용구와 이들의 부분품과 부속품</v>
      </c>
      <c r="G2501" s="18" t="n">
        <f aca="false">IFERROR(VALUE(SUBSTITUTE(TRIM('수출입 실적(품목별)'!D2505),",","")),"")</f>
        <v>2334.8</v>
      </c>
      <c r="H2501" s="19" t="n">
        <f aca="false">IFERROR(VALUE(SUBSTITUTE(TRIM('수출입 실적(품목별)'!E2505),",","")),"")</f>
        <v>59169</v>
      </c>
      <c r="I2501" s="18" t="n">
        <f aca="false">IFERROR(VALUE(SUBSTITUTE(TRIM('수출입 실적(품목별)'!F2505),",","")),"")</f>
        <v>14361.5</v>
      </c>
      <c r="J2501" s="19" t="n">
        <f aca="false">IFERROR(VALUE(SUBSTITUTE(TRIM('수출입 실적(품목별)'!G2505),",","")),"")</f>
        <v>203387</v>
      </c>
      <c r="K2501" s="19" t="n">
        <f aca="false">IFERROR(VALUE(SUBSTITUTE(TRIM('수출입 실적(품목별)'!H2505),",","")),"")</f>
        <v>-144218</v>
      </c>
    </row>
    <row r="2502" customFormat="false" ht="15" hidden="false" customHeight="true" outlineLevel="0" collapsed="false">
      <c r="A2502" s="11" t="str">
        <f aca="false">TRIM('수출입 실적(품목별)'!A2506)</f>
        <v>2026.02</v>
      </c>
      <c r="B2502" s="17" t="n">
        <f aca="false">IFERROR(VALUE(LEFT($A2502,4)),"")</f>
        <v>2026</v>
      </c>
      <c r="C2502" s="17" t="n">
        <f aca="false">IFERROR(VALUE(RIGHT($A2502,2)),"")</f>
        <v>2</v>
      </c>
      <c r="D2502" s="17" t="n">
        <f aca="false">IFERROR(ROUNDUP($C2502/3,0),"")</f>
        <v>1</v>
      </c>
      <c r="E2502" s="11" t="str">
        <f aca="false">TRIM('수출입 실적(품목별)'!B2506)</f>
        <v>96</v>
      </c>
      <c r="F2502" s="11" t="str">
        <f aca="false">TRIM('수출입 실적(품목별)'!C2506)</f>
        <v>잡품</v>
      </c>
      <c r="G2502" s="18" t="n">
        <f aca="false">IFERROR(VALUE(SUBSTITUTE(TRIM('수출입 실적(품목별)'!D2506),",","")),"")</f>
        <v>1849</v>
      </c>
      <c r="H2502" s="19" t="n">
        <f aca="false">IFERROR(VALUE(SUBSTITUTE(TRIM('수출입 실적(품목별)'!E2506),",","")),"")</f>
        <v>31253</v>
      </c>
      <c r="I2502" s="18" t="n">
        <f aca="false">IFERROR(VALUE(SUBSTITUTE(TRIM('수출입 실적(품목별)'!F2506),",","")),"")</f>
        <v>10042</v>
      </c>
      <c r="J2502" s="19" t="n">
        <f aca="false">IFERROR(VALUE(SUBSTITUTE(TRIM('수출입 실적(품목별)'!G2506),",","")),"")</f>
        <v>83219</v>
      </c>
      <c r="K2502" s="19" t="n">
        <f aca="false">IFERROR(VALUE(SUBSTITUTE(TRIM('수출입 실적(품목별)'!H2506),",","")),"")</f>
        <v>-51966</v>
      </c>
    </row>
    <row r="2503" customFormat="false" ht="15" hidden="false" customHeight="true" outlineLevel="0" collapsed="false">
      <c r="A2503" s="11" t="str">
        <f aca="false">TRIM('수출입 실적(품목별)'!A2507)</f>
        <v>2026.02</v>
      </c>
      <c r="B2503" s="17" t="n">
        <f aca="false">IFERROR(VALUE(LEFT($A2503,4)),"")</f>
        <v>2026</v>
      </c>
      <c r="C2503" s="17" t="n">
        <f aca="false">IFERROR(VALUE(RIGHT($A2503,2)),"")</f>
        <v>2</v>
      </c>
      <c r="D2503" s="17" t="n">
        <f aca="false">IFERROR(ROUNDUP($C2503/3,0),"")</f>
        <v>1</v>
      </c>
      <c r="E2503" s="11" t="str">
        <f aca="false">TRIM('수출입 실적(품목별)'!B2507)</f>
        <v>97</v>
      </c>
      <c r="F2503" s="11" t="str">
        <f aca="false">TRIM('수출입 실적(품목별)'!C2507)</f>
        <v>예술품ㆍ수집품ㆍ골동품</v>
      </c>
      <c r="G2503" s="18" t="n">
        <f aca="false">IFERROR(VALUE(SUBSTITUTE(TRIM('수출입 실적(품목별)'!D2507),",","")),"")</f>
        <v>11.7</v>
      </c>
      <c r="H2503" s="19" t="n">
        <f aca="false">IFERROR(VALUE(SUBSTITUTE(TRIM('수출입 실적(품목별)'!E2507),",","")),"")</f>
        <v>16783</v>
      </c>
      <c r="I2503" s="18" t="n">
        <f aca="false">IFERROR(VALUE(SUBSTITUTE(TRIM('수출입 실적(품목별)'!F2507),",","")),"")</f>
        <v>39.9</v>
      </c>
      <c r="J2503" s="19" t="n">
        <f aca="false">IFERROR(VALUE(SUBSTITUTE(TRIM('수출입 실적(품목별)'!G2507),",","")),"")</f>
        <v>22861</v>
      </c>
      <c r="K2503" s="19" t="n">
        <f aca="false">IFERROR(VALUE(SUBSTITUTE(TRIM('수출입 실적(품목별)'!H2507),",","")),"")</f>
        <v>-6078</v>
      </c>
    </row>
    <row r="2504" customFormat="false" ht="15" hidden="false" customHeight="true" outlineLevel="0" collapsed="false">
      <c r="A2504" s="11" t="str">
        <f aca="false">TRIM('수출입 실적(품목별)'!A2508)</f>
        <v>2026.03</v>
      </c>
      <c r="B2504" s="17" t="n">
        <f aca="false">IFERROR(VALUE(LEFT($A2504,4)),"")</f>
        <v>2026</v>
      </c>
      <c r="C2504" s="17" t="n">
        <f aca="false">IFERROR(VALUE(RIGHT($A2504,2)),"")</f>
        <v>3</v>
      </c>
      <c r="D2504" s="17" t="n">
        <f aca="false">IFERROR(ROUNDUP($C2504/3,0),"")</f>
        <v>1</v>
      </c>
      <c r="E2504" s="11" t="str">
        <f aca="false">TRIM('수출입 실적(품목별)'!B2508)</f>
        <v>01</v>
      </c>
      <c r="F2504" s="11" t="str">
        <f aca="false">TRIM('수출입 실적(품목별)'!C2508)</f>
        <v>살아 있는 동물</v>
      </c>
      <c r="G2504" s="18" t="n">
        <f aca="false">IFERROR(VALUE(SUBSTITUTE(TRIM('수출입 실적(품목별)'!D2508),",","")),"")</f>
        <v>1.4</v>
      </c>
      <c r="H2504" s="19" t="n">
        <f aca="false">IFERROR(VALUE(SUBSTITUTE(TRIM('수출입 실적(품목별)'!E2508),",","")),"")</f>
        <v>616</v>
      </c>
      <c r="I2504" s="18" t="n">
        <f aca="false">IFERROR(VALUE(SUBSTITUTE(TRIM('수출입 실적(품목별)'!F2508),",","")),"")</f>
        <v>77.5</v>
      </c>
      <c r="J2504" s="19" t="n">
        <f aca="false">IFERROR(VALUE(SUBSTITUTE(TRIM('수출입 실적(품목별)'!G2508),",","")),"")</f>
        <v>8718</v>
      </c>
      <c r="K2504" s="19" t="n">
        <f aca="false">IFERROR(VALUE(SUBSTITUTE(TRIM('수출입 실적(품목별)'!H2508),",","")),"")</f>
        <v>-8102</v>
      </c>
    </row>
    <row r="2505" customFormat="false" ht="15" hidden="false" customHeight="true" outlineLevel="0" collapsed="false">
      <c r="A2505" s="11" t="str">
        <f aca="false">TRIM('수출입 실적(품목별)'!A2509)</f>
        <v>2026.03</v>
      </c>
      <c r="B2505" s="17" t="n">
        <f aca="false">IFERROR(VALUE(LEFT($A2505,4)),"")</f>
        <v>2026</v>
      </c>
      <c r="C2505" s="17" t="n">
        <f aca="false">IFERROR(VALUE(RIGHT($A2505,2)),"")</f>
        <v>3</v>
      </c>
      <c r="D2505" s="17" t="n">
        <f aca="false">IFERROR(ROUNDUP($C2505/3,0),"")</f>
        <v>1</v>
      </c>
      <c r="E2505" s="11" t="str">
        <f aca="false">TRIM('수출입 실적(품목별)'!B2509)</f>
        <v>02</v>
      </c>
      <c r="F2505" s="11" t="str">
        <f aca="false">TRIM('수출입 실적(품목별)'!C2509)</f>
        <v>육과 식용 설육(屑肉)</v>
      </c>
      <c r="G2505" s="18" t="n">
        <f aca="false">IFERROR(VALUE(SUBSTITUTE(TRIM('수출입 실적(품목별)'!D2509),",","")),"")</f>
        <v>6316.5</v>
      </c>
      <c r="H2505" s="19" t="n">
        <f aca="false">IFERROR(VALUE(SUBSTITUTE(TRIM('수출입 실적(품목별)'!E2509),",","")),"")</f>
        <v>8418</v>
      </c>
      <c r="I2505" s="18" t="n">
        <f aca="false">IFERROR(VALUE(SUBSTITUTE(TRIM('수출입 실적(품목별)'!F2509),",","")),"")</f>
        <v>139888.2</v>
      </c>
      <c r="J2505" s="19" t="n">
        <f aca="false">IFERROR(VALUE(SUBSTITUTE(TRIM('수출입 실적(품목별)'!G2509),",","")),"")</f>
        <v>725085</v>
      </c>
      <c r="K2505" s="19" t="n">
        <f aca="false">IFERROR(VALUE(SUBSTITUTE(TRIM('수출입 실적(품목별)'!H2509),",","")),"")</f>
        <v>-716667</v>
      </c>
    </row>
    <row r="2506" customFormat="false" ht="15" hidden="false" customHeight="true" outlineLevel="0" collapsed="false">
      <c r="A2506" s="11" t="str">
        <f aca="false">TRIM('수출입 실적(품목별)'!A2510)</f>
        <v>2026.03</v>
      </c>
      <c r="B2506" s="17" t="n">
        <f aca="false">IFERROR(VALUE(LEFT($A2506,4)),"")</f>
        <v>2026</v>
      </c>
      <c r="C2506" s="17" t="n">
        <f aca="false">IFERROR(VALUE(RIGHT($A2506,2)),"")</f>
        <v>3</v>
      </c>
      <c r="D2506" s="17" t="n">
        <f aca="false">IFERROR(ROUNDUP($C2506/3,0),"")</f>
        <v>1</v>
      </c>
      <c r="E2506" s="11" t="str">
        <f aca="false">TRIM('수출입 실적(품목별)'!B2510)</f>
        <v>03</v>
      </c>
      <c r="F2506" s="11" t="str">
        <f aca="false">TRIM('수출입 실적(품목별)'!C2510)</f>
        <v>어류ㆍ갑각류ㆍ연체동물과 그 밖의 수생(水生) 무척추동물</v>
      </c>
      <c r="G2506" s="18" t="n">
        <f aca="false">IFERROR(VALUE(SUBSTITUTE(TRIM('수출입 실적(품목별)'!D2510),",","")),"")</f>
        <v>58681.6</v>
      </c>
      <c r="H2506" s="19" t="n">
        <f aca="false">IFERROR(VALUE(SUBSTITUTE(TRIM('수출입 실적(품목별)'!E2510),",","")),"")</f>
        <v>197950</v>
      </c>
      <c r="I2506" s="18" t="n">
        <f aca="false">IFERROR(VALUE(SUBSTITUTE(TRIM('수출입 실적(품목별)'!F2510),",","")),"")</f>
        <v>108309.2</v>
      </c>
      <c r="J2506" s="19" t="n">
        <f aca="false">IFERROR(VALUE(SUBSTITUTE(TRIM('수출입 실적(품목별)'!G2510),",","")),"")</f>
        <v>443351</v>
      </c>
      <c r="K2506" s="19" t="n">
        <f aca="false">IFERROR(VALUE(SUBSTITUTE(TRIM('수출입 실적(품목별)'!H2510),",","")),"")</f>
        <v>-245401</v>
      </c>
    </row>
    <row r="2507" customFormat="false" ht="15" hidden="false" customHeight="true" outlineLevel="0" collapsed="false">
      <c r="A2507" s="11" t="str">
        <f aca="false">TRIM('수출입 실적(품목별)'!A2511)</f>
        <v>2026.03</v>
      </c>
      <c r="B2507" s="17" t="n">
        <f aca="false">IFERROR(VALUE(LEFT($A2507,4)),"")</f>
        <v>2026</v>
      </c>
      <c r="C2507" s="17" t="n">
        <f aca="false">IFERROR(VALUE(RIGHT($A2507,2)),"")</f>
        <v>3</v>
      </c>
      <c r="D2507" s="17" t="n">
        <f aca="false">IFERROR(ROUNDUP($C2507/3,0),"")</f>
        <v>1</v>
      </c>
      <c r="E2507" s="11" t="str">
        <f aca="false">TRIM('수출입 실적(품목별)'!B2511)</f>
        <v>04</v>
      </c>
      <c r="F2507" s="11" t="str">
        <f aca="false">TRIM('수출입 실적(품목별)'!C2511)</f>
        <v>낙농품, 새의 알, 천연꿀, 다른 류로 분류되지 않은 식용인 동물성 생산품</v>
      </c>
      <c r="G2507" s="18" t="n">
        <f aca="false">IFERROR(VALUE(SUBSTITUTE(TRIM('수출입 실적(품목별)'!D2511),",","")),"")</f>
        <v>2592.7</v>
      </c>
      <c r="H2507" s="19" t="n">
        <f aca="false">IFERROR(VALUE(SUBSTITUTE(TRIM('수출입 실적(품목별)'!E2511),",","")),"")</f>
        <v>7653</v>
      </c>
      <c r="I2507" s="18" t="n">
        <f aca="false">IFERROR(VALUE(SUBSTITUTE(TRIM('수출입 실적(품목별)'!F2511),",","")),"")</f>
        <v>35120.9</v>
      </c>
      <c r="J2507" s="19" t="n">
        <f aca="false">IFERROR(VALUE(SUBSTITUTE(TRIM('수출입 실적(품목별)'!G2511),",","")),"")</f>
        <v>147420</v>
      </c>
      <c r="K2507" s="19" t="n">
        <f aca="false">IFERROR(VALUE(SUBSTITUTE(TRIM('수출입 실적(품목별)'!H2511),",","")),"")</f>
        <v>-139766</v>
      </c>
    </row>
    <row r="2508" customFormat="false" ht="15" hidden="false" customHeight="true" outlineLevel="0" collapsed="false">
      <c r="A2508" s="11" t="str">
        <f aca="false">TRIM('수출입 실적(품목별)'!A2512)</f>
        <v>2026.03</v>
      </c>
      <c r="B2508" s="17" t="n">
        <f aca="false">IFERROR(VALUE(LEFT($A2508,4)),"")</f>
        <v>2026</v>
      </c>
      <c r="C2508" s="17" t="n">
        <f aca="false">IFERROR(VALUE(RIGHT($A2508,2)),"")</f>
        <v>3</v>
      </c>
      <c r="D2508" s="17" t="n">
        <f aca="false">IFERROR(ROUNDUP($C2508/3,0),"")</f>
        <v>1</v>
      </c>
      <c r="E2508" s="11" t="str">
        <f aca="false">TRIM('수출입 실적(품목별)'!B2512)</f>
        <v>05</v>
      </c>
      <c r="F2508" s="11" t="str">
        <f aca="false">TRIM('수출입 실적(품목별)'!C2512)</f>
        <v>다른 류로 분류되지 않은 동물성 생산품</v>
      </c>
      <c r="G2508" s="18" t="n">
        <f aca="false">IFERROR(VALUE(SUBSTITUTE(TRIM('수출입 실적(품목별)'!D2512),",","")),"")</f>
        <v>1159.2</v>
      </c>
      <c r="H2508" s="19" t="n">
        <f aca="false">IFERROR(VALUE(SUBSTITUTE(TRIM('수출입 실적(품목별)'!E2512),",","")),"")</f>
        <v>6311</v>
      </c>
      <c r="I2508" s="18" t="n">
        <f aca="false">IFERROR(VALUE(SUBSTITUTE(TRIM('수출입 실적(품목별)'!F2512),",","")),"")</f>
        <v>4074.4</v>
      </c>
      <c r="J2508" s="19" t="n">
        <f aca="false">IFERROR(VALUE(SUBSTITUTE(TRIM('수출입 실적(품목별)'!G2512),",","")),"")</f>
        <v>18160</v>
      </c>
      <c r="K2508" s="19" t="n">
        <f aca="false">IFERROR(VALUE(SUBSTITUTE(TRIM('수출입 실적(품목별)'!H2512),",","")),"")</f>
        <v>-11848</v>
      </c>
    </row>
    <row r="2509" customFormat="false" ht="15" hidden="false" customHeight="true" outlineLevel="0" collapsed="false">
      <c r="A2509" s="11" t="str">
        <f aca="false">TRIM('수출입 실적(품목별)'!A2513)</f>
        <v>2026.03</v>
      </c>
      <c r="B2509" s="17" t="n">
        <f aca="false">IFERROR(VALUE(LEFT($A2509,4)),"")</f>
        <v>2026</v>
      </c>
      <c r="C2509" s="17" t="n">
        <f aca="false">IFERROR(VALUE(RIGHT($A2509,2)),"")</f>
        <v>3</v>
      </c>
      <c r="D2509" s="17" t="n">
        <f aca="false">IFERROR(ROUNDUP($C2509/3,0),"")</f>
        <v>1</v>
      </c>
      <c r="E2509" s="11" t="str">
        <f aca="false">TRIM('수출입 실적(품목별)'!B2513)</f>
        <v>06</v>
      </c>
      <c r="F2509" s="11" t="str">
        <f aca="false">TRIM('수출입 실적(품목별)'!C2513)</f>
        <v>살아 있는 수목과 그 밖의 식물, 인경(鱗莖)ㆍ뿌리와 이와 유사한 물품, 절화(切花)와 장식용 잎</v>
      </c>
      <c r="G2509" s="18" t="n">
        <f aca="false">IFERROR(VALUE(SUBSTITUTE(TRIM('수출입 실적(품목별)'!D2513),",","")),"")</f>
        <v>177.1</v>
      </c>
      <c r="H2509" s="19" t="n">
        <f aca="false">IFERROR(VALUE(SUBSTITUTE(TRIM('수출입 실적(품목별)'!E2513),",","")),"")</f>
        <v>754</v>
      </c>
      <c r="I2509" s="18" t="n">
        <f aca="false">IFERROR(VALUE(SUBSTITUTE(TRIM('수출입 실적(품목별)'!F2513),",","")),"")</f>
        <v>8372.5</v>
      </c>
      <c r="J2509" s="19" t="n">
        <f aca="false">IFERROR(VALUE(SUBSTITUTE(TRIM('수출입 실적(품목별)'!G2513),",","")),"")</f>
        <v>16121</v>
      </c>
      <c r="K2509" s="19" t="n">
        <f aca="false">IFERROR(VALUE(SUBSTITUTE(TRIM('수출입 실적(품목별)'!H2513),",","")),"")</f>
        <v>-15368</v>
      </c>
    </row>
    <row r="2510" customFormat="false" ht="15" hidden="false" customHeight="true" outlineLevel="0" collapsed="false">
      <c r="A2510" s="11" t="str">
        <f aca="false">TRIM('수출입 실적(품목별)'!A2514)</f>
        <v>2026.03</v>
      </c>
      <c r="B2510" s="17" t="n">
        <f aca="false">IFERROR(VALUE(LEFT($A2510,4)),"")</f>
        <v>2026</v>
      </c>
      <c r="C2510" s="17" t="n">
        <f aca="false">IFERROR(VALUE(RIGHT($A2510,2)),"")</f>
        <v>3</v>
      </c>
      <c r="D2510" s="17" t="n">
        <f aca="false">IFERROR(ROUNDUP($C2510/3,0),"")</f>
        <v>1</v>
      </c>
      <c r="E2510" s="11" t="str">
        <f aca="false">TRIM('수출입 실적(품목별)'!B2514)</f>
        <v>07</v>
      </c>
      <c r="F2510" s="11" t="str">
        <f aca="false">TRIM('수출입 실적(품목별)'!C2514)</f>
        <v>식용의 채소ㆍ뿌리ㆍ괴경(塊莖)</v>
      </c>
      <c r="G2510" s="18" t="n">
        <f aca="false">IFERROR(VALUE(SUBSTITUTE(TRIM('수출입 실적(품목별)'!D2514),",","")),"")</f>
        <v>3962.5</v>
      </c>
      <c r="H2510" s="19" t="n">
        <f aca="false">IFERROR(VALUE(SUBSTITUTE(TRIM('수출입 실적(품목별)'!E2514),",","")),"")</f>
        <v>9466</v>
      </c>
      <c r="I2510" s="18" t="n">
        <f aca="false">IFERROR(VALUE(SUBSTITUTE(TRIM('수출입 실적(품목별)'!F2514),",","")),"")</f>
        <v>99630.9</v>
      </c>
      <c r="J2510" s="19" t="n">
        <f aca="false">IFERROR(VALUE(SUBSTITUTE(TRIM('수출입 실적(품목별)'!G2514),",","")),"")</f>
        <v>70772</v>
      </c>
      <c r="K2510" s="19" t="n">
        <f aca="false">IFERROR(VALUE(SUBSTITUTE(TRIM('수출입 실적(품목별)'!H2514),",","")),"")</f>
        <v>-61307</v>
      </c>
    </row>
    <row r="2511" customFormat="false" ht="15" hidden="false" customHeight="true" outlineLevel="0" collapsed="false">
      <c r="A2511" s="11" t="str">
        <f aca="false">TRIM('수출입 실적(품목별)'!A2515)</f>
        <v>2026.03</v>
      </c>
      <c r="B2511" s="17" t="n">
        <f aca="false">IFERROR(VALUE(LEFT($A2511,4)),"")</f>
        <v>2026</v>
      </c>
      <c r="C2511" s="17" t="n">
        <f aca="false">IFERROR(VALUE(RIGHT($A2511,2)),"")</f>
        <v>3</v>
      </c>
      <c r="D2511" s="17" t="n">
        <f aca="false">IFERROR(ROUNDUP($C2511/3,0),"")</f>
        <v>1</v>
      </c>
      <c r="E2511" s="11" t="str">
        <f aca="false">TRIM('수출입 실적(품목별)'!B2515)</f>
        <v>08</v>
      </c>
      <c r="F2511" s="11" t="str">
        <f aca="false">TRIM('수출입 실적(품목별)'!C2515)</f>
        <v>식용의 과실과 견과류, 감귤류ㆍ멜론의 껍질</v>
      </c>
      <c r="G2511" s="18" t="n">
        <f aca="false">IFERROR(VALUE(SUBSTITUTE(TRIM('수출입 실적(품목별)'!D2515),",","")),"")</f>
        <v>2155</v>
      </c>
      <c r="H2511" s="19" t="n">
        <f aca="false">IFERROR(VALUE(SUBSTITUTE(TRIM('수출입 실적(품목별)'!E2515),",","")),"")</f>
        <v>19244</v>
      </c>
      <c r="I2511" s="18" t="n">
        <f aca="false">IFERROR(VALUE(SUBSTITUTE(TRIM('수출입 실적(품목별)'!F2515),",","")),"")</f>
        <v>96952.9</v>
      </c>
      <c r="J2511" s="19" t="n">
        <f aca="false">IFERROR(VALUE(SUBSTITUTE(TRIM('수출입 실적(품목별)'!G2515),",","")),"")</f>
        <v>219895</v>
      </c>
      <c r="K2511" s="19" t="n">
        <f aca="false">IFERROR(VALUE(SUBSTITUTE(TRIM('수출입 실적(품목별)'!H2515),",","")),"")</f>
        <v>-200651</v>
      </c>
    </row>
    <row r="2512" customFormat="false" ht="15" hidden="false" customHeight="true" outlineLevel="0" collapsed="false">
      <c r="A2512" s="11" t="str">
        <f aca="false">TRIM('수출입 실적(품목별)'!A2516)</f>
        <v>2026.03</v>
      </c>
      <c r="B2512" s="17" t="n">
        <f aca="false">IFERROR(VALUE(LEFT($A2512,4)),"")</f>
        <v>2026</v>
      </c>
      <c r="C2512" s="17" t="n">
        <f aca="false">IFERROR(VALUE(RIGHT($A2512,2)),"")</f>
        <v>3</v>
      </c>
      <c r="D2512" s="17" t="n">
        <f aca="false">IFERROR(ROUNDUP($C2512/3,0),"")</f>
        <v>1</v>
      </c>
      <c r="E2512" s="11" t="str">
        <f aca="false">TRIM('수출입 실적(품목별)'!B2516)</f>
        <v>09</v>
      </c>
      <c r="F2512" s="11" t="str">
        <f aca="false">TRIM('수출입 실적(품목별)'!C2516)</f>
        <v>커피ㆍ차ㆍ마테(maté)ㆍ향신료</v>
      </c>
      <c r="G2512" s="18" t="n">
        <f aca="false">IFERROR(VALUE(SUBSTITUTE(TRIM('수출입 실적(품목별)'!D2516),",","")),"")</f>
        <v>514.5</v>
      </c>
      <c r="H2512" s="19" t="n">
        <f aca="false">IFERROR(VALUE(SUBSTITUTE(TRIM('수출입 실적(품목별)'!E2516),",","")),"")</f>
        <v>3919</v>
      </c>
      <c r="I2512" s="18" t="n">
        <f aca="false">IFERROR(VALUE(SUBSTITUTE(TRIM('수출입 실적(품목별)'!F2516),",","")),"")</f>
        <v>16993.5</v>
      </c>
      <c r="J2512" s="19" t="n">
        <f aca="false">IFERROR(VALUE(SUBSTITUTE(TRIM('수출입 실적(품목별)'!G2516),",","")),"")</f>
        <v>147883</v>
      </c>
      <c r="K2512" s="19" t="n">
        <f aca="false">IFERROR(VALUE(SUBSTITUTE(TRIM('수출입 실적(품목별)'!H2516),",","")),"")</f>
        <v>-143963</v>
      </c>
    </row>
    <row r="2513" customFormat="false" ht="15" hidden="false" customHeight="true" outlineLevel="0" collapsed="false">
      <c r="A2513" s="11" t="str">
        <f aca="false">TRIM('수출입 실적(품목별)'!A2517)</f>
        <v>2026.03</v>
      </c>
      <c r="B2513" s="17" t="n">
        <f aca="false">IFERROR(VALUE(LEFT($A2513,4)),"")</f>
        <v>2026</v>
      </c>
      <c r="C2513" s="17" t="n">
        <f aca="false">IFERROR(VALUE(RIGHT($A2513,2)),"")</f>
        <v>3</v>
      </c>
      <c r="D2513" s="17" t="n">
        <f aca="false">IFERROR(ROUNDUP($C2513/3,0),"")</f>
        <v>1</v>
      </c>
      <c r="E2513" s="11" t="str">
        <f aca="false">TRIM('수출입 실적(품목별)'!B2517)</f>
        <v>10</v>
      </c>
      <c r="F2513" s="11" t="str">
        <f aca="false">TRIM('수출입 실적(품목별)'!C2517)</f>
        <v>곡물</v>
      </c>
      <c r="G2513" s="18" t="n">
        <f aca="false">IFERROR(VALUE(SUBSTITUTE(TRIM('수출입 실적(품목별)'!D2517),",","")),"")</f>
        <v>1309.6</v>
      </c>
      <c r="H2513" s="19" t="n">
        <f aca="false">IFERROR(VALUE(SUBSTITUTE(TRIM('수출입 실적(품목별)'!E2517),",","")),"")</f>
        <v>1430</v>
      </c>
      <c r="I2513" s="18" t="n">
        <f aca="false">IFERROR(VALUE(SUBSTITUTE(TRIM('수출입 실적(품목별)'!F2517),",","")),"")</f>
        <v>1363725.7</v>
      </c>
      <c r="J2513" s="19" t="n">
        <f aca="false">IFERROR(VALUE(SUBSTITUTE(TRIM('수출입 실적(품목별)'!G2517),",","")),"")</f>
        <v>363563</v>
      </c>
      <c r="K2513" s="19" t="n">
        <f aca="false">IFERROR(VALUE(SUBSTITUTE(TRIM('수출입 실적(품목별)'!H2517),",","")),"")</f>
        <v>-362133</v>
      </c>
    </row>
    <row r="2514" customFormat="false" ht="15" hidden="false" customHeight="true" outlineLevel="0" collapsed="false">
      <c r="A2514" s="11" t="str">
        <f aca="false">TRIM('수출입 실적(품목별)'!A2518)</f>
        <v>2026.03</v>
      </c>
      <c r="B2514" s="17" t="n">
        <f aca="false">IFERROR(VALUE(LEFT($A2514,4)),"")</f>
        <v>2026</v>
      </c>
      <c r="C2514" s="17" t="n">
        <f aca="false">IFERROR(VALUE(RIGHT($A2514,2)),"")</f>
        <v>3</v>
      </c>
      <c r="D2514" s="17" t="n">
        <f aca="false">IFERROR(ROUNDUP($C2514/3,0),"")</f>
        <v>1</v>
      </c>
      <c r="E2514" s="11" t="str">
        <f aca="false">TRIM('수출입 실적(품목별)'!B2518)</f>
        <v>11</v>
      </c>
      <c r="F2514" s="11" t="str">
        <f aca="false">TRIM('수출입 실적(품목별)'!C2518)</f>
        <v>제분공업의 생산품과 맥아, 전분, 이눌린(inulin), 밀의 글루텐(gluten)</v>
      </c>
      <c r="G2514" s="18" t="n">
        <f aca="false">IFERROR(VALUE(SUBSTITUTE(TRIM('수출입 실적(품목별)'!D2518),",","")),"")</f>
        <v>4793.5</v>
      </c>
      <c r="H2514" s="19" t="n">
        <f aca="false">IFERROR(VALUE(SUBSTITUTE(TRIM('수출입 실적(품목별)'!E2518),",","")),"")</f>
        <v>3112</v>
      </c>
      <c r="I2514" s="18" t="n">
        <f aca="false">IFERROR(VALUE(SUBSTITUTE(TRIM('수출입 실적(품목별)'!F2518),",","")),"")</f>
        <v>29106.1</v>
      </c>
      <c r="J2514" s="19" t="n">
        <f aca="false">IFERROR(VALUE(SUBSTITUTE(TRIM('수출입 실적(품목별)'!G2518),",","")),"")</f>
        <v>25979</v>
      </c>
      <c r="K2514" s="19" t="n">
        <f aca="false">IFERROR(VALUE(SUBSTITUTE(TRIM('수출입 실적(품목별)'!H2518),",","")),"")</f>
        <v>-22867</v>
      </c>
    </row>
    <row r="2515" customFormat="false" ht="15" hidden="false" customHeight="true" outlineLevel="0" collapsed="false">
      <c r="A2515" s="11" t="str">
        <f aca="false">TRIM('수출입 실적(품목별)'!A2519)</f>
        <v>2026.03</v>
      </c>
      <c r="B2515" s="17" t="n">
        <f aca="false">IFERROR(VALUE(LEFT($A2515,4)),"")</f>
        <v>2026</v>
      </c>
      <c r="C2515" s="17" t="n">
        <f aca="false">IFERROR(VALUE(RIGHT($A2515,2)),"")</f>
        <v>3</v>
      </c>
      <c r="D2515" s="17" t="n">
        <f aca="false">IFERROR(ROUNDUP($C2515/3,0),"")</f>
        <v>1</v>
      </c>
      <c r="E2515" s="11" t="str">
        <f aca="false">TRIM('수출입 실적(품목별)'!B2519)</f>
        <v>12</v>
      </c>
      <c r="F2515" s="11" t="str">
        <f aca="false">TRIM('수출입 실적(품목별)'!C2519)</f>
        <v>채유(採油)에 적합한 종자와 과실, 각종 종자와 과실, 공업용ㆍ의약용 식물, 짚과 사료용 식물</v>
      </c>
      <c r="G2515" s="18" t="n">
        <f aca="false">IFERROR(VALUE(SUBSTITUTE(TRIM('수출입 실적(품목별)'!D2519),",","")),"")</f>
        <v>5602.9</v>
      </c>
      <c r="H2515" s="19" t="n">
        <f aca="false">IFERROR(VALUE(SUBSTITUTE(TRIM('수출입 실적(품목별)'!E2519),",","")),"")</f>
        <v>68663</v>
      </c>
      <c r="I2515" s="18" t="n">
        <f aca="false">IFERROR(VALUE(SUBSTITUTE(TRIM('수출입 실적(품목별)'!F2519),",","")),"")</f>
        <v>283131.1</v>
      </c>
      <c r="J2515" s="19" t="n">
        <f aca="false">IFERROR(VALUE(SUBSTITUTE(TRIM('수출입 실적(품목별)'!G2519),",","")),"")</f>
        <v>146703</v>
      </c>
      <c r="K2515" s="19" t="n">
        <f aca="false">IFERROR(VALUE(SUBSTITUTE(TRIM('수출입 실적(품목별)'!H2519),",","")),"")</f>
        <v>-78040</v>
      </c>
    </row>
    <row r="2516" customFormat="false" ht="15" hidden="false" customHeight="true" outlineLevel="0" collapsed="false">
      <c r="A2516" s="11" t="str">
        <f aca="false">TRIM('수출입 실적(품목별)'!A2520)</f>
        <v>2026.03</v>
      </c>
      <c r="B2516" s="17" t="n">
        <f aca="false">IFERROR(VALUE(LEFT($A2516,4)),"")</f>
        <v>2026</v>
      </c>
      <c r="C2516" s="17" t="n">
        <f aca="false">IFERROR(VALUE(RIGHT($A2516,2)),"")</f>
        <v>3</v>
      </c>
      <c r="D2516" s="17" t="n">
        <f aca="false">IFERROR(ROUNDUP($C2516/3,0),"")</f>
        <v>1</v>
      </c>
      <c r="E2516" s="11" t="str">
        <f aca="false">TRIM('수출입 실적(품목별)'!B2520)</f>
        <v>13</v>
      </c>
      <c r="F2516" s="11" t="str">
        <f aca="false">TRIM('수출입 실적(품목별)'!C2520)</f>
        <v>락(lac), 검ㆍ수지ㆍ그 밖의 식물성 수액과 추출물(extract)</v>
      </c>
      <c r="G2516" s="18" t="n">
        <f aca="false">IFERROR(VALUE(SUBSTITUTE(TRIM('수출입 실적(품목별)'!D2520),",","")),"")</f>
        <v>423.6</v>
      </c>
      <c r="H2516" s="19" t="n">
        <f aca="false">IFERROR(VALUE(SUBSTITUTE(TRIM('수출입 실적(품목별)'!E2520),",","")),"")</f>
        <v>8622</v>
      </c>
      <c r="I2516" s="18" t="n">
        <f aca="false">IFERROR(VALUE(SUBSTITUTE(TRIM('수출입 실적(품목별)'!F2520),",","")),"")</f>
        <v>4989.8</v>
      </c>
      <c r="J2516" s="19" t="n">
        <f aca="false">IFERROR(VALUE(SUBSTITUTE(TRIM('수출입 실적(품목별)'!G2520),",","")),"")</f>
        <v>24690</v>
      </c>
      <c r="K2516" s="19" t="n">
        <f aca="false">IFERROR(VALUE(SUBSTITUTE(TRIM('수출입 실적(품목별)'!H2520),",","")),"")</f>
        <v>-16068</v>
      </c>
    </row>
    <row r="2517" customFormat="false" ht="15" hidden="false" customHeight="true" outlineLevel="0" collapsed="false">
      <c r="A2517" s="11" t="str">
        <f aca="false">TRIM('수출입 실적(품목별)'!A2521)</f>
        <v>2026.03</v>
      </c>
      <c r="B2517" s="17" t="n">
        <f aca="false">IFERROR(VALUE(LEFT($A2517,4)),"")</f>
        <v>2026</v>
      </c>
      <c r="C2517" s="17" t="n">
        <f aca="false">IFERROR(VALUE(RIGHT($A2517,2)),"")</f>
        <v>3</v>
      </c>
      <c r="D2517" s="17" t="n">
        <f aca="false">IFERROR(ROUNDUP($C2517/3,0),"")</f>
        <v>1</v>
      </c>
      <c r="E2517" s="11" t="str">
        <f aca="false">TRIM('수출입 실적(품목별)'!B2521)</f>
        <v>14</v>
      </c>
      <c r="F2517" s="11" t="str">
        <f aca="false">TRIM('수출입 실적(품목별)'!C2521)</f>
        <v>식물성 편조물(編組物)용 재료와 다른 류로 분류되지 않은 식물성 생산품</v>
      </c>
      <c r="G2517" s="18" t="n">
        <f aca="false">IFERROR(VALUE(SUBSTITUTE(TRIM('수출입 실적(품목별)'!D2521),",","")),"")</f>
        <v>10.6</v>
      </c>
      <c r="H2517" s="19" t="n">
        <f aca="false">IFERROR(VALUE(SUBSTITUTE(TRIM('수출입 실적(품목별)'!E2521),",","")),"")</f>
        <v>60</v>
      </c>
      <c r="I2517" s="18" t="n">
        <f aca="false">IFERROR(VALUE(SUBSTITUTE(TRIM('수출입 실적(품목별)'!F2521),",","")),"")</f>
        <v>29903.1</v>
      </c>
      <c r="J2517" s="19" t="n">
        <f aca="false">IFERROR(VALUE(SUBSTITUTE(TRIM('수출입 실적(품목별)'!G2521),",","")),"")</f>
        <v>8981</v>
      </c>
      <c r="K2517" s="19" t="n">
        <f aca="false">IFERROR(VALUE(SUBSTITUTE(TRIM('수출입 실적(품목별)'!H2521),",","")),"")</f>
        <v>-8921</v>
      </c>
    </row>
    <row r="2518" customFormat="false" ht="15" hidden="false" customHeight="true" outlineLevel="0" collapsed="false">
      <c r="A2518" s="11" t="str">
        <f aca="false">TRIM('수출입 실적(품목별)'!A2522)</f>
        <v>2026.03</v>
      </c>
      <c r="B2518" s="17" t="n">
        <f aca="false">IFERROR(VALUE(LEFT($A2518,4)),"")</f>
        <v>2026</v>
      </c>
      <c r="C2518" s="17" t="n">
        <f aca="false">IFERROR(VALUE(RIGHT($A2518,2)),"")</f>
        <v>3</v>
      </c>
      <c r="D2518" s="17" t="n">
        <f aca="false">IFERROR(ROUNDUP($C2518/3,0),"")</f>
        <v>1</v>
      </c>
      <c r="E2518" s="11" t="str">
        <f aca="false">TRIM('수출입 실적(품목별)'!B2522)</f>
        <v>15</v>
      </c>
      <c r="F2518" s="11" t="str">
        <f aca="false">TRIM('수출입 실적(품목별)'!C2522)</f>
        <v>동물성ㆍ식물성ㆍ미생물성 지방과 기름 및이들의 분해생산물, 조제한 식용 지방과 동물성ㆍ식물성 왁스</v>
      </c>
      <c r="G2518" s="18" t="n">
        <f aca="false">IFERROR(VALUE(SUBSTITUTE(TRIM('수출입 실적(품목별)'!D2522),",","")),"")</f>
        <v>28371.6</v>
      </c>
      <c r="H2518" s="19" t="n">
        <f aca="false">IFERROR(VALUE(SUBSTITUTE(TRIM('수출입 실적(품목별)'!E2522),",","")),"")</f>
        <v>33218</v>
      </c>
      <c r="I2518" s="18" t="n">
        <f aca="false">IFERROR(VALUE(SUBSTITUTE(TRIM('수출입 실적(품목별)'!F2522),",","")),"")</f>
        <v>171004.8</v>
      </c>
      <c r="J2518" s="19" t="n">
        <f aca="false">IFERROR(VALUE(SUBSTITUTE(TRIM('수출입 실적(품목별)'!G2522),",","")),"")</f>
        <v>252109</v>
      </c>
      <c r="K2518" s="19" t="n">
        <f aca="false">IFERROR(VALUE(SUBSTITUTE(TRIM('수출입 실적(품목별)'!H2522),",","")),"")</f>
        <v>-218890</v>
      </c>
    </row>
    <row r="2519" customFormat="false" ht="15" hidden="false" customHeight="true" outlineLevel="0" collapsed="false">
      <c r="A2519" s="11" t="str">
        <f aca="false">TRIM('수출입 실적(품목별)'!A2523)</f>
        <v>2026.03</v>
      </c>
      <c r="B2519" s="17" t="n">
        <f aca="false">IFERROR(VALUE(LEFT($A2519,4)),"")</f>
        <v>2026</v>
      </c>
      <c r="C2519" s="17" t="n">
        <f aca="false">IFERROR(VALUE(RIGHT($A2519,2)),"")</f>
        <v>3</v>
      </c>
      <c r="D2519" s="17" t="n">
        <f aca="false">IFERROR(ROUNDUP($C2519/3,0),"")</f>
        <v>1</v>
      </c>
      <c r="E2519" s="11" t="str">
        <f aca="false">TRIM('수출입 실적(품목별)'!B2523)</f>
        <v>16</v>
      </c>
      <c r="F2519" s="11" t="str">
        <f aca="false">TRIM('수출입 실적(품목별)'!C2523)</f>
        <v>육류ㆍ어류ㆍ갑각류ㆍ연체동물이나 그 밖의 수생(水生) 무척추동물 또는 곤충의 조제품</v>
      </c>
      <c r="G2519" s="18" t="n">
        <f aca="false">IFERROR(VALUE(SUBSTITUTE(TRIM('수출입 실적(품목별)'!D2523),",","")),"")</f>
        <v>4686.9</v>
      </c>
      <c r="H2519" s="19" t="n">
        <f aca="false">IFERROR(VALUE(SUBSTITUTE(TRIM('수출입 실적(품목별)'!E2523),",","")),"")</f>
        <v>27253</v>
      </c>
      <c r="I2519" s="18" t="n">
        <f aca="false">IFERROR(VALUE(SUBSTITUTE(TRIM('수출입 실적(품목별)'!F2523),",","")),"")</f>
        <v>16089.3</v>
      </c>
      <c r="J2519" s="19" t="n">
        <f aca="false">IFERROR(VALUE(SUBSTITUTE(TRIM('수출입 실적(품목별)'!G2523),",","")),"")</f>
        <v>85302</v>
      </c>
      <c r="K2519" s="19" t="n">
        <f aca="false">IFERROR(VALUE(SUBSTITUTE(TRIM('수출입 실적(품목별)'!H2523),",","")),"")</f>
        <v>-58050</v>
      </c>
    </row>
    <row r="2520" customFormat="false" ht="15" hidden="false" customHeight="true" outlineLevel="0" collapsed="false">
      <c r="A2520" s="11" t="str">
        <f aca="false">TRIM('수출입 실적(품목별)'!A2524)</f>
        <v>2026.03</v>
      </c>
      <c r="B2520" s="17" t="n">
        <f aca="false">IFERROR(VALUE(LEFT($A2520,4)),"")</f>
        <v>2026</v>
      </c>
      <c r="C2520" s="17" t="n">
        <f aca="false">IFERROR(VALUE(RIGHT($A2520,2)),"")</f>
        <v>3</v>
      </c>
      <c r="D2520" s="17" t="n">
        <f aca="false">IFERROR(ROUNDUP($C2520/3,0),"")</f>
        <v>1</v>
      </c>
      <c r="E2520" s="11" t="str">
        <f aca="false">TRIM('수출입 실적(품목별)'!B2524)</f>
        <v>17</v>
      </c>
      <c r="F2520" s="11" t="str">
        <f aca="false">TRIM('수출입 실적(품목별)'!C2524)</f>
        <v>당류(糖類)와 설탕과자</v>
      </c>
      <c r="G2520" s="18" t="n">
        <f aca="false">IFERROR(VALUE(SUBSTITUTE(TRIM('수출입 실적(품목별)'!D2524),",","")),"")</f>
        <v>24531</v>
      </c>
      <c r="H2520" s="19" t="n">
        <f aca="false">IFERROR(VALUE(SUBSTITUTE(TRIM('수출입 실적(품목별)'!E2524),",","")),"")</f>
        <v>22399</v>
      </c>
      <c r="I2520" s="18" t="n">
        <f aca="false">IFERROR(VALUE(SUBSTITUTE(TRIM('수출입 실적(품목별)'!F2524),",","")),"")</f>
        <v>157368.8</v>
      </c>
      <c r="J2520" s="19" t="n">
        <f aca="false">IFERROR(VALUE(SUBSTITUTE(TRIM('수출입 실적(품목별)'!G2524),",","")),"")</f>
        <v>91121</v>
      </c>
      <c r="K2520" s="19" t="n">
        <f aca="false">IFERROR(VALUE(SUBSTITUTE(TRIM('수출입 실적(품목별)'!H2524),",","")),"")</f>
        <v>-68722</v>
      </c>
    </row>
    <row r="2521" customFormat="false" ht="15" hidden="false" customHeight="true" outlineLevel="0" collapsed="false">
      <c r="A2521" s="11" t="str">
        <f aca="false">TRIM('수출입 실적(품목별)'!A2525)</f>
        <v>2026.03</v>
      </c>
      <c r="B2521" s="17" t="n">
        <f aca="false">IFERROR(VALUE(LEFT($A2521,4)),"")</f>
        <v>2026</v>
      </c>
      <c r="C2521" s="17" t="n">
        <f aca="false">IFERROR(VALUE(RIGHT($A2521,2)),"")</f>
        <v>3</v>
      </c>
      <c r="D2521" s="17" t="n">
        <f aca="false">IFERROR(ROUNDUP($C2521/3,0),"")</f>
        <v>1</v>
      </c>
      <c r="E2521" s="11" t="str">
        <f aca="false">TRIM('수출입 실적(품목별)'!B2525)</f>
        <v>18</v>
      </c>
      <c r="F2521" s="11" t="str">
        <f aca="false">TRIM('수출입 실적(품목별)'!C2525)</f>
        <v>코코아와 그 조제품</v>
      </c>
      <c r="G2521" s="18" t="n">
        <f aca="false">IFERROR(VALUE(SUBSTITUTE(TRIM('수출입 실적(품목별)'!D2525),",","")),"")</f>
        <v>1476.3</v>
      </c>
      <c r="H2521" s="19" t="n">
        <f aca="false">IFERROR(VALUE(SUBSTITUTE(TRIM('수출입 실적(품목별)'!E2525),",","")),"")</f>
        <v>6840</v>
      </c>
      <c r="I2521" s="18" t="n">
        <f aca="false">IFERROR(VALUE(SUBSTITUTE(TRIM('수출입 실적(품목별)'!F2525),",","")),"")</f>
        <v>5956.1</v>
      </c>
      <c r="J2521" s="19" t="n">
        <f aca="false">IFERROR(VALUE(SUBSTITUTE(TRIM('수출입 실적(품목별)'!G2525),",","")),"")</f>
        <v>50433</v>
      </c>
      <c r="K2521" s="19" t="n">
        <f aca="false">IFERROR(VALUE(SUBSTITUTE(TRIM('수출입 실적(품목별)'!H2525),",","")),"")</f>
        <v>-43593</v>
      </c>
    </row>
    <row r="2522" customFormat="false" ht="15" hidden="false" customHeight="true" outlineLevel="0" collapsed="false">
      <c r="A2522" s="11" t="str">
        <f aca="false">TRIM('수출입 실적(품목별)'!A2526)</f>
        <v>2026.03</v>
      </c>
      <c r="B2522" s="17" t="n">
        <f aca="false">IFERROR(VALUE(LEFT($A2522,4)),"")</f>
        <v>2026</v>
      </c>
      <c r="C2522" s="17" t="n">
        <f aca="false">IFERROR(VALUE(RIGHT($A2522,2)),"")</f>
        <v>3</v>
      </c>
      <c r="D2522" s="17" t="n">
        <f aca="false">IFERROR(ROUNDUP($C2522/3,0),"")</f>
        <v>1</v>
      </c>
      <c r="E2522" s="11" t="str">
        <f aca="false">TRIM('수출입 실적(품목별)'!B2526)</f>
        <v>19</v>
      </c>
      <c r="F2522" s="11" t="str">
        <f aca="false">TRIM('수출입 실적(품목별)'!C2526)</f>
        <v>곡물ㆍ고운 가루ㆍ전분ㆍ밀크의 조제품과 베이커리 제품</v>
      </c>
      <c r="G2522" s="18" t="n">
        <f aca="false">IFERROR(VALUE(SUBSTITUTE(TRIM('수출입 실적(품목별)'!D2526),",","")),"")</f>
        <v>67627.1</v>
      </c>
      <c r="H2522" s="19" t="n">
        <f aca="false">IFERROR(VALUE(SUBSTITUTE(TRIM('수출입 실적(품목별)'!E2526),",","")),"")</f>
        <v>277613</v>
      </c>
      <c r="I2522" s="18" t="n">
        <f aca="false">IFERROR(VALUE(SUBSTITUTE(TRIM('수출입 실적(품목별)'!F2526),",","")),"")</f>
        <v>31632.5</v>
      </c>
      <c r="J2522" s="19" t="n">
        <f aca="false">IFERROR(VALUE(SUBSTITUTE(TRIM('수출입 실적(품목별)'!G2526),",","")),"")</f>
        <v>101175</v>
      </c>
      <c r="K2522" s="19" t="n">
        <f aca="false">IFERROR(VALUE(SUBSTITUTE(TRIM('수출입 실적(품목별)'!H2526),",","")),"")</f>
        <v>176438</v>
      </c>
    </row>
    <row r="2523" customFormat="false" ht="15" hidden="false" customHeight="true" outlineLevel="0" collapsed="false">
      <c r="A2523" s="11" t="str">
        <f aca="false">TRIM('수출입 실적(품목별)'!A2527)</f>
        <v>2026.03</v>
      </c>
      <c r="B2523" s="17" t="n">
        <f aca="false">IFERROR(VALUE(LEFT($A2523,4)),"")</f>
        <v>2026</v>
      </c>
      <c r="C2523" s="17" t="n">
        <f aca="false">IFERROR(VALUE(RIGHT($A2523,2)),"")</f>
        <v>3</v>
      </c>
      <c r="D2523" s="17" t="n">
        <f aca="false">IFERROR(ROUNDUP($C2523/3,0),"")</f>
        <v>1</v>
      </c>
      <c r="E2523" s="11" t="str">
        <f aca="false">TRIM('수출입 실적(품목별)'!B2527)</f>
        <v>20</v>
      </c>
      <c r="F2523" s="11" t="str">
        <f aca="false">TRIM('수출입 실적(품목별)'!C2527)</f>
        <v>채소ㆍ과실ㆍ견과류나 식물의그 밖의 부분의 조제품</v>
      </c>
      <c r="G2523" s="18" t="n">
        <f aca="false">IFERROR(VALUE(SUBSTITUTE(TRIM('수출입 실적(품목별)'!D2527),",","")),"")</f>
        <v>10010.1</v>
      </c>
      <c r="H2523" s="19" t="n">
        <f aca="false">IFERROR(VALUE(SUBSTITUTE(TRIM('수출입 실적(품목별)'!E2527),",","")),"")</f>
        <v>93090</v>
      </c>
      <c r="I2523" s="18" t="n">
        <f aca="false">IFERROR(VALUE(SUBSTITUTE(TRIM('수출입 실적(품목별)'!F2527),",","")),"")</f>
        <v>102185.9</v>
      </c>
      <c r="J2523" s="19" t="n">
        <f aca="false">IFERROR(VALUE(SUBSTITUTE(TRIM('수출입 실적(품목별)'!G2527),",","")),"")</f>
        <v>148077</v>
      </c>
      <c r="K2523" s="19" t="n">
        <f aca="false">IFERROR(VALUE(SUBSTITUTE(TRIM('수출입 실적(품목별)'!H2527),",","")),"")</f>
        <v>-54987</v>
      </c>
    </row>
    <row r="2524" customFormat="false" ht="15" hidden="false" customHeight="true" outlineLevel="0" collapsed="false">
      <c r="A2524" s="11" t="str">
        <f aca="false">TRIM('수출입 실적(품목별)'!A2528)</f>
        <v>2026.03</v>
      </c>
      <c r="B2524" s="17" t="n">
        <f aca="false">IFERROR(VALUE(LEFT($A2524,4)),"")</f>
        <v>2026</v>
      </c>
      <c r="C2524" s="17" t="n">
        <f aca="false">IFERROR(VALUE(RIGHT($A2524,2)),"")</f>
        <v>3</v>
      </c>
      <c r="D2524" s="17" t="n">
        <f aca="false">IFERROR(ROUNDUP($C2524/3,0),"")</f>
        <v>1</v>
      </c>
      <c r="E2524" s="11" t="str">
        <f aca="false">TRIM('수출입 실적(품목별)'!B2528)</f>
        <v>21</v>
      </c>
      <c r="F2524" s="11" t="str">
        <f aca="false">TRIM('수출입 실적(품목별)'!C2528)</f>
        <v>각종 조제 식료품</v>
      </c>
      <c r="G2524" s="18" t="n">
        <f aca="false">IFERROR(VALUE(SUBSTITUTE(TRIM('수출입 실적(품목별)'!D2528),",","")),"")</f>
        <v>39549.2</v>
      </c>
      <c r="H2524" s="19" t="n">
        <f aca="false">IFERROR(VALUE(SUBSTITUTE(TRIM('수출입 실적(품목별)'!E2528),",","")),"")</f>
        <v>167432</v>
      </c>
      <c r="I2524" s="18" t="n">
        <f aca="false">IFERROR(VALUE(SUBSTITUTE(TRIM('수출입 실적(품목별)'!F2528),",","")),"")</f>
        <v>35880.8</v>
      </c>
      <c r="J2524" s="19" t="n">
        <f aca="false">IFERROR(VALUE(SUBSTITUTE(TRIM('수출입 실적(품목별)'!G2528),",","")),"")</f>
        <v>250699</v>
      </c>
      <c r="K2524" s="19" t="n">
        <f aca="false">IFERROR(VALUE(SUBSTITUTE(TRIM('수출입 실적(품목별)'!H2528),",","")),"")</f>
        <v>-83267</v>
      </c>
    </row>
    <row r="2525" customFormat="false" ht="15" hidden="false" customHeight="true" outlineLevel="0" collapsed="false">
      <c r="A2525" s="11" t="str">
        <f aca="false">TRIM('수출입 실적(품목별)'!A2529)</f>
        <v>2026.03</v>
      </c>
      <c r="B2525" s="17" t="n">
        <f aca="false">IFERROR(VALUE(LEFT($A2525,4)),"")</f>
        <v>2026</v>
      </c>
      <c r="C2525" s="17" t="n">
        <f aca="false">IFERROR(VALUE(RIGHT($A2525,2)),"")</f>
        <v>3</v>
      </c>
      <c r="D2525" s="17" t="n">
        <f aca="false">IFERROR(ROUNDUP($C2525/3,0),"")</f>
        <v>1</v>
      </c>
      <c r="E2525" s="11" t="str">
        <f aca="false">TRIM('수출입 실적(품목별)'!B2529)</f>
        <v>22</v>
      </c>
      <c r="F2525" s="11" t="str">
        <f aca="false">TRIM('수출입 실적(품목별)'!C2529)</f>
        <v>음료ㆍ주류ㆍ식초</v>
      </c>
      <c r="G2525" s="18" t="n">
        <f aca="false">IFERROR(VALUE(SUBSTITUTE(TRIM('수출입 실적(품목별)'!D2529),",","")),"")</f>
        <v>92989.8</v>
      </c>
      <c r="H2525" s="19" t="n">
        <f aca="false">IFERROR(VALUE(SUBSTITUTE(TRIM('수출입 실적(품목별)'!E2529),",","")),"")</f>
        <v>111206</v>
      </c>
      <c r="I2525" s="18" t="n">
        <f aca="false">IFERROR(VALUE(SUBSTITUTE(TRIM('수출입 실적(품목별)'!F2529),",","")),"")</f>
        <v>79217.2</v>
      </c>
      <c r="J2525" s="19" t="n">
        <f aca="false">IFERROR(VALUE(SUBSTITUTE(TRIM('수출입 실적(품목별)'!G2529),",","")),"")</f>
        <v>130444</v>
      </c>
      <c r="K2525" s="19" t="n">
        <f aca="false">IFERROR(VALUE(SUBSTITUTE(TRIM('수출입 실적(품목별)'!H2529),",","")),"")</f>
        <v>-19238</v>
      </c>
    </row>
    <row r="2526" customFormat="false" ht="15" hidden="false" customHeight="true" outlineLevel="0" collapsed="false">
      <c r="A2526" s="11" t="str">
        <f aca="false">TRIM('수출입 실적(품목별)'!A2530)</f>
        <v>2026.03</v>
      </c>
      <c r="B2526" s="17" t="n">
        <f aca="false">IFERROR(VALUE(LEFT($A2526,4)),"")</f>
        <v>2026</v>
      </c>
      <c r="C2526" s="17" t="n">
        <f aca="false">IFERROR(VALUE(RIGHT($A2526,2)),"")</f>
        <v>3</v>
      </c>
      <c r="D2526" s="17" t="n">
        <f aca="false">IFERROR(ROUNDUP($C2526/3,0),"")</f>
        <v>1</v>
      </c>
      <c r="E2526" s="11" t="str">
        <f aca="false">TRIM('수출입 실적(품목별)'!B2530)</f>
        <v>23</v>
      </c>
      <c r="F2526" s="11" t="str">
        <f aca="false">TRIM('수출입 실적(품목별)'!C2530)</f>
        <v>식품 공업에서 생기는 잔재물과 웨이스트(waste), 조제 사료</v>
      </c>
      <c r="G2526" s="18" t="n">
        <f aca="false">IFERROR(VALUE(SUBSTITUTE(TRIM('수출입 실적(품목별)'!D2530),",","")),"")</f>
        <v>33588.3</v>
      </c>
      <c r="H2526" s="19" t="n">
        <f aca="false">IFERROR(VALUE(SUBSTITUTE(TRIM('수출입 실적(품목별)'!E2530),",","")),"")</f>
        <v>33746</v>
      </c>
      <c r="I2526" s="18" t="n">
        <f aca="false">IFERROR(VALUE(SUBSTITUTE(TRIM('수출입 실적(품목별)'!F2530),",","")),"")</f>
        <v>642809.6</v>
      </c>
      <c r="J2526" s="19" t="n">
        <f aca="false">IFERROR(VALUE(SUBSTITUTE(TRIM('수출입 실적(품목별)'!G2530),",","")),"")</f>
        <v>207399</v>
      </c>
      <c r="K2526" s="19" t="n">
        <f aca="false">IFERROR(VALUE(SUBSTITUTE(TRIM('수출입 실적(품목별)'!H2530),",","")),"")</f>
        <v>-173653</v>
      </c>
    </row>
    <row r="2527" customFormat="false" ht="15" hidden="false" customHeight="true" outlineLevel="0" collapsed="false">
      <c r="A2527" s="11" t="str">
        <f aca="false">TRIM('수출입 실적(품목별)'!A2531)</f>
        <v>2026.03</v>
      </c>
      <c r="B2527" s="17" t="n">
        <f aca="false">IFERROR(VALUE(LEFT($A2527,4)),"")</f>
        <v>2026</v>
      </c>
      <c r="C2527" s="17" t="n">
        <f aca="false">IFERROR(VALUE(RIGHT($A2527,2)),"")</f>
        <v>3</v>
      </c>
      <c r="D2527" s="17" t="n">
        <f aca="false">IFERROR(ROUNDUP($C2527/3,0),"")</f>
        <v>1</v>
      </c>
      <c r="E2527" s="11" t="str">
        <f aca="false">TRIM('수출입 실적(품목별)'!B2531)</f>
        <v>24</v>
      </c>
      <c r="F2527" s="11" t="str">
        <f aca="false">TRIM('수출입 실적(품목별)'!C2531)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527" s="18" t="n">
        <f aca="false">IFERROR(VALUE(SUBSTITUTE(TRIM('수출입 실적(품목별)'!D2531),",","")),"")</f>
        <v>7281.9</v>
      </c>
      <c r="H2527" s="19" t="n">
        <f aca="false">IFERROR(VALUE(SUBSTITUTE(TRIM('수출입 실적(품목별)'!E2531),",","")),"")</f>
        <v>78757</v>
      </c>
      <c r="I2527" s="18" t="n">
        <f aca="false">IFERROR(VALUE(SUBSTITUTE(TRIM('수출입 실적(품목별)'!F2531),",","")),"")</f>
        <v>4727.7</v>
      </c>
      <c r="J2527" s="19" t="n">
        <f aca="false">IFERROR(VALUE(SUBSTITUTE(TRIM('수출입 실적(품목별)'!G2531),",","")),"")</f>
        <v>71375</v>
      </c>
      <c r="K2527" s="19" t="n">
        <f aca="false">IFERROR(VALUE(SUBSTITUTE(TRIM('수출입 실적(품목별)'!H2531),",","")),"")</f>
        <v>7382</v>
      </c>
    </row>
    <row r="2528" customFormat="false" ht="15" hidden="false" customHeight="true" outlineLevel="0" collapsed="false">
      <c r="A2528" s="11" t="str">
        <f aca="false">TRIM('수출입 실적(품목별)'!A2532)</f>
        <v>2026.03</v>
      </c>
      <c r="B2528" s="17" t="n">
        <f aca="false">IFERROR(VALUE(LEFT($A2528,4)),"")</f>
        <v>2026</v>
      </c>
      <c r="C2528" s="17" t="n">
        <f aca="false">IFERROR(VALUE(RIGHT($A2528,2)),"")</f>
        <v>3</v>
      </c>
      <c r="D2528" s="17" t="n">
        <f aca="false">IFERROR(ROUNDUP($C2528/3,0),"")</f>
        <v>1</v>
      </c>
      <c r="E2528" s="11" t="str">
        <f aca="false">TRIM('수출입 실적(품목별)'!B2532)</f>
        <v>25</v>
      </c>
      <c r="F2528" s="11" t="str">
        <f aca="false">TRIM('수출입 실적(품목별)'!C2532)</f>
        <v>소금, 황, 토석류(土石類), 석고ㆍ석회ㆍ시멘트</v>
      </c>
      <c r="G2528" s="18" t="n">
        <f aca="false">IFERROR(VALUE(SUBSTITUTE(TRIM('수출입 실적(품목별)'!D2532),",","")),"")</f>
        <v>435102.1</v>
      </c>
      <c r="H2528" s="19" t="n">
        <f aca="false">IFERROR(VALUE(SUBSTITUTE(TRIM('수출입 실적(품목별)'!E2532),",","")),"")</f>
        <v>73899</v>
      </c>
      <c r="I2528" s="18" t="n">
        <f aca="false">IFERROR(VALUE(SUBSTITUTE(TRIM('수출입 실적(품목별)'!F2532),",","")),"")</f>
        <v>831430.6</v>
      </c>
      <c r="J2528" s="19" t="n">
        <f aca="false">IFERROR(VALUE(SUBSTITUTE(TRIM('수출입 실적(품목별)'!G2532),",","")),"")</f>
        <v>66438</v>
      </c>
      <c r="K2528" s="19" t="n">
        <f aca="false">IFERROR(VALUE(SUBSTITUTE(TRIM('수출입 실적(품목별)'!H2532),",","")),"")</f>
        <v>7461</v>
      </c>
    </row>
    <row r="2529" customFormat="false" ht="15" hidden="false" customHeight="true" outlineLevel="0" collapsed="false">
      <c r="A2529" s="11" t="str">
        <f aca="false">TRIM('수출입 실적(품목별)'!A2533)</f>
        <v>2026.03</v>
      </c>
      <c r="B2529" s="17" t="n">
        <f aca="false">IFERROR(VALUE(LEFT($A2529,4)),"")</f>
        <v>2026</v>
      </c>
      <c r="C2529" s="17" t="n">
        <f aca="false">IFERROR(VALUE(RIGHT($A2529,2)),"")</f>
        <v>3</v>
      </c>
      <c r="D2529" s="17" t="n">
        <f aca="false">IFERROR(ROUNDUP($C2529/3,0),"")</f>
        <v>1</v>
      </c>
      <c r="E2529" s="11" t="str">
        <f aca="false">TRIM('수출입 실적(품목별)'!B2533)</f>
        <v>26</v>
      </c>
      <c r="F2529" s="11" t="str">
        <f aca="false">TRIM('수출입 실적(품목별)'!C2533)</f>
        <v>광(鑛)ㆍ슬래그(slag)ㆍ회(灰)</v>
      </c>
      <c r="G2529" s="18" t="n">
        <f aca="false">IFERROR(VALUE(SUBSTITUTE(TRIM('수출입 실적(품목별)'!D2533),",","")),"")</f>
        <v>183768.4</v>
      </c>
      <c r="H2529" s="19" t="n">
        <f aca="false">IFERROR(VALUE(SUBSTITUTE(TRIM('수출입 실적(품목별)'!E2533),",","")),"")</f>
        <v>55525</v>
      </c>
      <c r="I2529" s="18" t="n">
        <f aca="false">IFERROR(VALUE(SUBSTITUTE(TRIM('수출입 실적(품목별)'!F2533),",","")),"")</f>
        <v>6463697.6</v>
      </c>
      <c r="J2529" s="19" t="n">
        <f aca="false">IFERROR(VALUE(SUBSTITUTE(TRIM('수출입 실적(품목별)'!G2533),",","")),"")</f>
        <v>2202575</v>
      </c>
      <c r="K2529" s="19" t="n">
        <f aca="false">IFERROR(VALUE(SUBSTITUTE(TRIM('수출입 실적(품목별)'!H2533),",","")),"")</f>
        <v>-2147050</v>
      </c>
    </row>
    <row r="2530" customFormat="false" ht="15" hidden="false" customHeight="true" outlineLevel="0" collapsed="false">
      <c r="A2530" s="11" t="str">
        <f aca="false">TRIM('수출입 실적(품목별)'!A2534)</f>
        <v>2026.03</v>
      </c>
      <c r="B2530" s="17" t="n">
        <f aca="false">IFERROR(VALUE(LEFT($A2530,4)),"")</f>
        <v>2026</v>
      </c>
      <c r="C2530" s="17" t="n">
        <f aca="false">IFERROR(VALUE(RIGHT($A2530,2)),"")</f>
        <v>3</v>
      </c>
      <c r="D2530" s="17" t="n">
        <f aca="false">IFERROR(ROUNDUP($C2530/3,0),"")</f>
        <v>1</v>
      </c>
      <c r="E2530" s="11" t="str">
        <f aca="false">TRIM('수출입 실적(품목별)'!B2534)</f>
        <v>27</v>
      </c>
      <c r="F2530" s="11" t="str">
        <f aca="false">TRIM('수출입 실적(품목별)'!C2534)</f>
        <v>광물성 연료ㆍ광물유(鑛物油)와 이들의 증류물, 역청(瀝靑)물질, 광물성 왁스</v>
      </c>
      <c r="G2530" s="18" t="n">
        <f aca="false">IFERROR(VALUE(SUBSTITUTE(TRIM('수출입 실적(품목별)'!D2534),",","")),"")</f>
        <v>5305009.4</v>
      </c>
      <c r="H2530" s="19" t="n">
        <f aca="false">IFERROR(VALUE(SUBSTITUTE(TRIM('수출입 실적(품목별)'!E2534),",","")),"")</f>
        <v>6411300</v>
      </c>
      <c r="I2530" s="18" t="n">
        <f aca="false">IFERROR(VALUE(SUBSTITUTE(TRIM('수출입 실적(품목별)'!F2534),",","")),"")</f>
        <v>26753141.9</v>
      </c>
      <c r="J2530" s="19" t="n">
        <f aca="false">IFERROR(VALUE(SUBSTITUTE(TRIM('수출입 실적(품목별)'!G2534),",","")),"")</f>
        <v>11633305</v>
      </c>
      <c r="K2530" s="19" t="n">
        <f aca="false">IFERROR(VALUE(SUBSTITUTE(TRIM('수출입 실적(품목별)'!H2534),",","")),"")</f>
        <v>-5222006</v>
      </c>
    </row>
    <row r="2531" customFormat="false" ht="15" hidden="false" customHeight="true" outlineLevel="0" collapsed="false">
      <c r="A2531" s="11" t="str">
        <f aca="false">TRIM('수출입 실적(품목별)'!A2535)</f>
        <v>2026.03</v>
      </c>
      <c r="B2531" s="17" t="n">
        <f aca="false">IFERROR(VALUE(LEFT($A2531,4)),"")</f>
        <v>2026</v>
      </c>
      <c r="C2531" s="17" t="n">
        <f aca="false">IFERROR(VALUE(RIGHT($A2531,2)),"")</f>
        <v>3</v>
      </c>
      <c r="D2531" s="17" t="n">
        <f aca="false">IFERROR(ROUNDUP($C2531/3,0),"")</f>
        <v>1</v>
      </c>
      <c r="E2531" s="11" t="str">
        <f aca="false">TRIM('수출입 실적(품목별)'!B2535)</f>
        <v>28</v>
      </c>
      <c r="F2531" s="11" t="str">
        <f aca="false">TRIM('수출입 실적(품목별)'!C2535)</f>
        <v>무기화학품, 귀금속ㆍ희토류(稀土類)금속ㆍ방사성원소ㆍ동위원소의 유기화합물이나 무기화합물</v>
      </c>
      <c r="G2531" s="18" t="n">
        <f aca="false">IFERROR(VALUE(SUBSTITUTE(TRIM('수출입 실적(품목별)'!D2535),",","")),"")</f>
        <v>490650.1</v>
      </c>
      <c r="H2531" s="19" t="n">
        <f aca="false">IFERROR(VALUE(SUBSTITUTE(TRIM('수출입 실적(품목별)'!E2535),",","")),"")</f>
        <v>882477</v>
      </c>
      <c r="I2531" s="18" t="n">
        <f aca="false">IFERROR(VALUE(SUBSTITUTE(TRIM('수출입 실적(품목별)'!F2535),",","")),"")</f>
        <v>403819.7</v>
      </c>
      <c r="J2531" s="19" t="n">
        <f aca="false">IFERROR(VALUE(SUBSTITUTE(TRIM('수출입 실적(품목별)'!G2535),",","")),"")</f>
        <v>1352974</v>
      </c>
      <c r="K2531" s="19" t="n">
        <f aca="false">IFERROR(VALUE(SUBSTITUTE(TRIM('수출입 실적(품목별)'!H2535),",","")),"")</f>
        <v>-470497</v>
      </c>
    </row>
    <row r="2532" customFormat="false" ht="15" hidden="false" customHeight="true" outlineLevel="0" collapsed="false">
      <c r="A2532" s="11" t="str">
        <f aca="false">TRIM('수출입 실적(품목별)'!A2536)</f>
        <v>2026.03</v>
      </c>
      <c r="B2532" s="17" t="n">
        <f aca="false">IFERROR(VALUE(LEFT($A2532,4)),"")</f>
        <v>2026</v>
      </c>
      <c r="C2532" s="17" t="n">
        <f aca="false">IFERROR(VALUE(RIGHT($A2532,2)),"")</f>
        <v>3</v>
      </c>
      <c r="D2532" s="17" t="n">
        <f aca="false">IFERROR(ROUNDUP($C2532/3,0),"")</f>
        <v>1</v>
      </c>
      <c r="E2532" s="11" t="str">
        <f aca="false">TRIM('수출입 실적(품목별)'!B2536)</f>
        <v>29</v>
      </c>
      <c r="F2532" s="11" t="str">
        <f aca="false">TRIM('수출입 실적(품목별)'!C2536)</f>
        <v>유기화학품</v>
      </c>
      <c r="G2532" s="18" t="n">
        <f aca="false">IFERROR(VALUE(SUBSTITUTE(TRIM('수출입 실적(품목별)'!D2536),",","")),"")</f>
        <v>1703627.7</v>
      </c>
      <c r="H2532" s="19" t="n">
        <f aca="false">IFERROR(VALUE(SUBSTITUTE(TRIM('수출입 실적(품목별)'!E2536),",","")),"")</f>
        <v>2013831</v>
      </c>
      <c r="I2532" s="18" t="n">
        <f aca="false">IFERROR(VALUE(SUBSTITUTE(TRIM('수출입 실적(품목별)'!F2536),",","")),"")</f>
        <v>691063.7</v>
      </c>
      <c r="J2532" s="19" t="n">
        <f aca="false">IFERROR(VALUE(SUBSTITUTE(TRIM('수출입 실적(품목별)'!G2536),",","")),"")</f>
        <v>1295222</v>
      </c>
      <c r="K2532" s="19" t="n">
        <f aca="false">IFERROR(VALUE(SUBSTITUTE(TRIM('수출입 실적(품목별)'!H2536),",","")),"")</f>
        <v>718609</v>
      </c>
    </row>
    <row r="2533" customFormat="false" ht="15" hidden="false" customHeight="true" outlineLevel="0" collapsed="false">
      <c r="A2533" s="11" t="str">
        <f aca="false">TRIM('수출입 실적(품목별)'!A2537)</f>
        <v>2026.03</v>
      </c>
      <c r="B2533" s="17" t="n">
        <f aca="false">IFERROR(VALUE(LEFT($A2533,4)),"")</f>
        <v>2026</v>
      </c>
      <c r="C2533" s="17" t="n">
        <f aca="false">IFERROR(VALUE(RIGHT($A2533,2)),"")</f>
        <v>3</v>
      </c>
      <c r="D2533" s="17" t="n">
        <f aca="false">IFERROR(ROUNDUP($C2533/3,0),"")</f>
        <v>1</v>
      </c>
      <c r="E2533" s="11" t="str">
        <f aca="false">TRIM('수출입 실적(품목별)'!B2537)</f>
        <v>30</v>
      </c>
      <c r="F2533" s="11" t="str">
        <f aca="false">TRIM('수출입 실적(품목별)'!C2537)</f>
        <v>의료용품</v>
      </c>
      <c r="G2533" s="18" t="n">
        <f aca="false">IFERROR(VALUE(SUBSTITUTE(TRIM('수출입 실적(품목별)'!D2537),",","")),"")</f>
        <v>2910.1</v>
      </c>
      <c r="H2533" s="19" t="n">
        <f aca="false">IFERROR(VALUE(SUBSTITUTE(TRIM('수출입 실적(품목별)'!E2537),",","")),"")</f>
        <v>786424</v>
      </c>
      <c r="I2533" s="18" t="n">
        <f aca="false">IFERROR(VALUE(SUBSTITUTE(TRIM('수출입 실적(품목별)'!F2537),",","")),"")</f>
        <v>7429.8</v>
      </c>
      <c r="J2533" s="19" t="n">
        <f aca="false">IFERROR(VALUE(SUBSTITUTE(TRIM('수출입 실적(품목별)'!G2537),",","")),"")</f>
        <v>992976</v>
      </c>
      <c r="K2533" s="19" t="n">
        <f aca="false">IFERROR(VALUE(SUBSTITUTE(TRIM('수출입 실적(품목별)'!H2537),",","")),"")</f>
        <v>-206552</v>
      </c>
    </row>
    <row r="2534" customFormat="false" ht="15" hidden="false" customHeight="true" outlineLevel="0" collapsed="false">
      <c r="A2534" s="11" t="str">
        <f aca="false">TRIM('수출입 실적(품목별)'!A2538)</f>
        <v>2026.03</v>
      </c>
      <c r="B2534" s="17" t="n">
        <f aca="false">IFERROR(VALUE(LEFT($A2534,4)),"")</f>
        <v>2026</v>
      </c>
      <c r="C2534" s="17" t="n">
        <f aca="false">IFERROR(VALUE(RIGHT($A2534,2)),"")</f>
        <v>3</v>
      </c>
      <c r="D2534" s="17" t="n">
        <f aca="false">IFERROR(ROUNDUP($C2534/3,0),"")</f>
        <v>1</v>
      </c>
      <c r="E2534" s="11" t="str">
        <f aca="false">TRIM('수출입 실적(품목별)'!B2538)</f>
        <v>31</v>
      </c>
      <c r="F2534" s="11" t="str">
        <f aca="false">TRIM('수출입 실적(품목별)'!C2538)</f>
        <v>비료</v>
      </c>
      <c r="G2534" s="18" t="n">
        <f aca="false">IFERROR(VALUE(SUBSTITUTE(TRIM('수출입 실적(품목별)'!D2538),",","")),"")</f>
        <v>110942.4</v>
      </c>
      <c r="H2534" s="19" t="n">
        <f aca="false">IFERROR(VALUE(SUBSTITUTE(TRIM('수출입 실적(품목별)'!E2538),",","")),"")</f>
        <v>47836</v>
      </c>
      <c r="I2534" s="18" t="n">
        <f aca="false">IFERROR(VALUE(SUBSTITUTE(TRIM('수출입 실적(품목별)'!F2538),",","")),"")</f>
        <v>162337.5</v>
      </c>
      <c r="J2534" s="19" t="n">
        <f aca="false">IFERROR(VALUE(SUBSTITUTE(TRIM('수출입 실적(품목별)'!G2538),",","")),"")</f>
        <v>70641</v>
      </c>
      <c r="K2534" s="19" t="n">
        <f aca="false">IFERROR(VALUE(SUBSTITUTE(TRIM('수출입 실적(품목별)'!H2538),",","")),"")</f>
        <v>-22804</v>
      </c>
    </row>
    <row r="2535" customFormat="false" ht="15" hidden="false" customHeight="true" outlineLevel="0" collapsed="false">
      <c r="A2535" s="11" t="str">
        <f aca="false">TRIM('수출입 실적(품목별)'!A2539)</f>
        <v>2026.03</v>
      </c>
      <c r="B2535" s="17" t="n">
        <f aca="false">IFERROR(VALUE(LEFT($A2535,4)),"")</f>
        <v>2026</v>
      </c>
      <c r="C2535" s="17" t="n">
        <f aca="false">IFERROR(VALUE(RIGHT($A2535,2)),"")</f>
        <v>3</v>
      </c>
      <c r="D2535" s="17" t="n">
        <f aca="false">IFERROR(ROUNDUP($C2535/3,0),"")</f>
        <v>1</v>
      </c>
      <c r="E2535" s="11" t="str">
        <f aca="false">TRIM('수출입 실적(품목별)'!B2539)</f>
        <v>32</v>
      </c>
      <c r="F2535" s="11" t="str">
        <f aca="false">TRIM('수출입 실적(품목별)'!C2539)</f>
        <v>유연용ㆍ염색용 추출물(extract), 탄닌과 이들의 유도체, 염료ㆍ안료와 그 밖의 착색제, 페인트ㆍ바니시(varnish), 퍼티(putty)와 그 밖의 매스틱(mastic), 잉크</v>
      </c>
      <c r="G2535" s="18" t="n">
        <f aca="false">IFERROR(VALUE(SUBSTITUTE(TRIM('수출입 실적(품목별)'!D2539),",","")),"")</f>
        <v>34423.5</v>
      </c>
      <c r="H2535" s="19" t="n">
        <f aca="false">IFERROR(VALUE(SUBSTITUTE(TRIM('수출입 실적(품목별)'!E2539),",","")),"")</f>
        <v>247193</v>
      </c>
      <c r="I2535" s="18" t="n">
        <f aca="false">IFERROR(VALUE(SUBSTITUTE(TRIM('수출입 실적(품목별)'!F2539),",","")),"")</f>
        <v>25698</v>
      </c>
      <c r="J2535" s="19" t="n">
        <f aca="false">IFERROR(VALUE(SUBSTITUTE(TRIM('수출입 실적(품목별)'!G2539),",","")),"")</f>
        <v>215242</v>
      </c>
      <c r="K2535" s="19" t="n">
        <f aca="false">IFERROR(VALUE(SUBSTITUTE(TRIM('수출입 실적(품목별)'!H2539),",","")),"")</f>
        <v>31952</v>
      </c>
    </row>
    <row r="2536" customFormat="false" ht="15" hidden="false" customHeight="true" outlineLevel="0" collapsed="false">
      <c r="A2536" s="11" t="str">
        <f aca="false">TRIM('수출입 실적(품목별)'!A2540)</f>
        <v>2026.03</v>
      </c>
      <c r="B2536" s="17" t="n">
        <f aca="false">IFERROR(VALUE(LEFT($A2536,4)),"")</f>
        <v>2026</v>
      </c>
      <c r="C2536" s="17" t="n">
        <f aca="false">IFERROR(VALUE(RIGHT($A2536,2)),"")</f>
        <v>3</v>
      </c>
      <c r="D2536" s="17" t="n">
        <f aca="false">IFERROR(ROUNDUP($C2536/3,0),"")</f>
        <v>1</v>
      </c>
      <c r="E2536" s="11" t="str">
        <f aca="false">TRIM('수출입 실적(품목별)'!B2540)</f>
        <v>33</v>
      </c>
      <c r="F2536" s="11" t="str">
        <f aca="false">TRIM('수출입 실적(품목별)'!C2540)</f>
        <v>정유(essential oil)와 레지노이드(resinoid), 조제향료와 화장품ㆍ화장용품</v>
      </c>
      <c r="G2536" s="18" t="n">
        <f aca="false">IFERROR(VALUE(SUBSTITUTE(TRIM('수출입 실적(품목별)'!D2540),",","")),"")</f>
        <v>48307.1</v>
      </c>
      <c r="H2536" s="19" t="n">
        <f aca="false">IFERROR(VALUE(SUBSTITUTE(TRIM('수출입 실적(품목별)'!E2540),",","")),"")</f>
        <v>1143361</v>
      </c>
      <c r="I2536" s="18" t="n">
        <f aca="false">IFERROR(VALUE(SUBSTITUTE(TRIM('수출입 실적(품목별)'!F2540),",","")),"")</f>
        <v>9788.6</v>
      </c>
      <c r="J2536" s="19" t="n">
        <f aca="false">IFERROR(VALUE(SUBSTITUTE(TRIM('수출입 실적(품목별)'!G2540),",","")),"")</f>
        <v>198719</v>
      </c>
      <c r="K2536" s="19" t="n">
        <f aca="false">IFERROR(VALUE(SUBSTITUTE(TRIM('수출입 실적(품목별)'!H2540),",","")),"")</f>
        <v>944642</v>
      </c>
    </row>
    <row r="2537" customFormat="false" ht="15" hidden="false" customHeight="true" outlineLevel="0" collapsed="false">
      <c r="A2537" s="11" t="str">
        <f aca="false">TRIM('수출입 실적(품목별)'!A2541)</f>
        <v>2026.03</v>
      </c>
      <c r="B2537" s="17" t="n">
        <f aca="false">IFERROR(VALUE(LEFT($A2537,4)),"")</f>
        <v>2026</v>
      </c>
      <c r="C2537" s="17" t="n">
        <f aca="false">IFERROR(VALUE(RIGHT($A2537,2)),"")</f>
        <v>3</v>
      </c>
      <c r="D2537" s="17" t="n">
        <f aca="false">IFERROR(ROUNDUP($C2537/3,0),"")</f>
        <v>1</v>
      </c>
      <c r="E2537" s="11" t="str">
        <f aca="false">TRIM('수출입 실적(품목별)'!B2541)</f>
        <v>34</v>
      </c>
      <c r="F2537" s="11" t="str">
        <f aca="false">TRIM('수출입 실적(품목별)'!C2541)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537" s="18" t="n">
        <f aca="false">IFERROR(VALUE(SUBSTITUTE(TRIM('수출입 실적(품목별)'!D2541),",","")),"")</f>
        <v>48945.1</v>
      </c>
      <c r="H2537" s="19" t="n">
        <f aca="false">IFERROR(VALUE(SUBSTITUTE(TRIM('수출입 실적(품목별)'!E2541),",","")),"")</f>
        <v>168853</v>
      </c>
      <c r="I2537" s="18" t="n">
        <f aca="false">IFERROR(VALUE(SUBSTITUTE(TRIM('수출입 실적(품목별)'!F2541),",","")),"")</f>
        <v>28083.9</v>
      </c>
      <c r="J2537" s="19" t="n">
        <f aca="false">IFERROR(VALUE(SUBSTITUTE(TRIM('수출입 실적(품목별)'!G2541),",","")),"")</f>
        <v>97008</v>
      </c>
      <c r="K2537" s="19" t="n">
        <f aca="false">IFERROR(VALUE(SUBSTITUTE(TRIM('수출입 실적(품목별)'!H2541),",","")),"")</f>
        <v>71845</v>
      </c>
    </row>
    <row r="2538" customFormat="false" ht="15" hidden="false" customHeight="true" outlineLevel="0" collapsed="false">
      <c r="A2538" s="11" t="str">
        <f aca="false">TRIM('수출입 실적(품목별)'!A2542)</f>
        <v>2026.03</v>
      </c>
      <c r="B2538" s="17" t="n">
        <f aca="false">IFERROR(VALUE(LEFT($A2538,4)),"")</f>
        <v>2026</v>
      </c>
      <c r="C2538" s="17" t="n">
        <f aca="false">IFERROR(VALUE(RIGHT($A2538,2)),"")</f>
        <v>3</v>
      </c>
      <c r="D2538" s="17" t="n">
        <f aca="false">IFERROR(ROUNDUP($C2538/3,0),"")</f>
        <v>1</v>
      </c>
      <c r="E2538" s="11" t="str">
        <f aca="false">TRIM('수출입 실적(품목별)'!B2542)</f>
        <v>35</v>
      </c>
      <c r="F2538" s="11" t="str">
        <f aca="false">TRIM('수출입 실적(품목별)'!C2542)</f>
        <v>단백질계 물질, 변성전분, 글루(glue), 효소</v>
      </c>
      <c r="G2538" s="18" t="n">
        <f aca="false">IFERROR(VALUE(SUBSTITUTE(TRIM('수출입 실적(품목별)'!D2542),",","")),"")</f>
        <v>7228.7</v>
      </c>
      <c r="H2538" s="19" t="n">
        <f aca="false">IFERROR(VALUE(SUBSTITUTE(TRIM('수출입 실적(품목별)'!E2542),",","")),"")</f>
        <v>82425</v>
      </c>
      <c r="I2538" s="18" t="n">
        <f aca="false">IFERROR(VALUE(SUBSTITUTE(TRIM('수출입 실적(품목별)'!F2542),",","")),"")</f>
        <v>21599.5</v>
      </c>
      <c r="J2538" s="19" t="n">
        <f aca="false">IFERROR(VALUE(SUBSTITUTE(TRIM('수출입 실적(품목별)'!G2542),",","")),"")</f>
        <v>97410</v>
      </c>
      <c r="K2538" s="19" t="n">
        <f aca="false">IFERROR(VALUE(SUBSTITUTE(TRIM('수출입 실적(품목별)'!H2542),",","")),"")</f>
        <v>-14985</v>
      </c>
    </row>
    <row r="2539" customFormat="false" ht="15" hidden="false" customHeight="true" outlineLevel="0" collapsed="false">
      <c r="A2539" s="11" t="str">
        <f aca="false">TRIM('수출입 실적(품목별)'!A2543)</f>
        <v>2026.03</v>
      </c>
      <c r="B2539" s="17" t="n">
        <f aca="false">IFERROR(VALUE(LEFT($A2539,4)),"")</f>
        <v>2026</v>
      </c>
      <c r="C2539" s="17" t="n">
        <f aca="false">IFERROR(VALUE(RIGHT($A2539,2)),"")</f>
        <v>3</v>
      </c>
      <c r="D2539" s="17" t="n">
        <f aca="false">IFERROR(ROUNDUP($C2539/3,0),"")</f>
        <v>1</v>
      </c>
      <c r="E2539" s="11" t="str">
        <f aca="false">TRIM('수출입 실적(품목별)'!B2543)</f>
        <v>36</v>
      </c>
      <c r="F2539" s="11" t="str">
        <f aca="false">TRIM('수출입 실적(품목별)'!C2543)</f>
        <v>화약류, 화공품, 성냥, 발화성 합금, 특정 가연성 조제품</v>
      </c>
      <c r="G2539" s="18" t="n">
        <f aca="false">IFERROR(VALUE(SUBSTITUTE(TRIM('수출입 실적(품목별)'!D2543),",","")),"")</f>
        <v>378.6</v>
      </c>
      <c r="H2539" s="19" t="n">
        <f aca="false">IFERROR(VALUE(SUBSTITUTE(TRIM('수출입 실적(품목별)'!E2543),",","")),"")</f>
        <v>8349</v>
      </c>
      <c r="I2539" s="18" t="n">
        <f aca="false">IFERROR(VALUE(SUBSTITUTE(TRIM('수출입 실적(품목별)'!F2543),",","")),"")</f>
        <v>172.1</v>
      </c>
      <c r="J2539" s="19" t="n">
        <f aca="false">IFERROR(VALUE(SUBSTITUTE(TRIM('수출입 실적(품목별)'!G2543),",","")),"")</f>
        <v>8914</v>
      </c>
      <c r="K2539" s="19" t="n">
        <f aca="false">IFERROR(VALUE(SUBSTITUTE(TRIM('수출입 실적(품목별)'!H2543),",","")),"")</f>
        <v>-564</v>
      </c>
    </row>
    <row r="2540" customFormat="false" ht="15" hidden="false" customHeight="true" outlineLevel="0" collapsed="false">
      <c r="A2540" s="11" t="str">
        <f aca="false">TRIM('수출입 실적(품목별)'!A2544)</f>
        <v>2026.03</v>
      </c>
      <c r="B2540" s="17" t="n">
        <f aca="false">IFERROR(VALUE(LEFT($A2540,4)),"")</f>
        <v>2026</v>
      </c>
      <c r="C2540" s="17" t="n">
        <f aca="false">IFERROR(VALUE(RIGHT($A2540,2)),"")</f>
        <v>3</v>
      </c>
      <c r="D2540" s="17" t="n">
        <f aca="false">IFERROR(ROUNDUP($C2540/3,0),"")</f>
        <v>1</v>
      </c>
      <c r="E2540" s="11" t="str">
        <f aca="false">TRIM('수출입 실적(품목별)'!B2544)</f>
        <v>37</v>
      </c>
      <c r="F2540" s="11" t="str">
        <f aca="false">TRIM('수출입 실적(품목별)'!C2544)</f>
        <v>사진용이나 영화용 재료</v>
      </c>
      <c r="G2540" s="18" t="n">
        <f aca="false">IFERROR(VALUE(SUBSTITUTE(TRIM('수출입 실적(품목별)'!D2544),",","")),"")</f>
        <v>1640</v>
      </c>
      <c r="H2540" s="19" t="n">
        <f aca="false">IFERROR(VALUE(SUBSTITUTE(TRIM('수출입 실적(품목별)'!E2544),",","")),"")</f>
        <v>93640</v>
      </c>
      <c r="I2540" s="18" t="n">
        <f aca="false">IFERROR(VALUE(SUBSTITUTE(TRIM('수출입 실적(품목별)'!F2544),",","")),"")</f>
        <v>3140.8</v>
      </c>
      <c r="J2540" s="19" t="n">
        <f aca="false">IFERROR(VALUE(SUBSTITUTE(TRIM('수출입 실적(품목별)'!G2544),",","")),"")</f>
        <v>107803</v>
      </c>
      <c r="K2540" s="19" t="n">
        <f aca="false">IFERROR(VALUE(SUBSTITUTE(TRIM('수출입 실적(품목별)'!H2544),",","")),"")</f>
        <v>-14162</v>
      </c>
    </row>
    <row r="2541" customFormat="false" ht="15" hidden="false" customHeight="true" outlineLevel="0" collapsed="false">
      <c r="A2541" s="11" t="str">
        <f aca="false">TRIM('수출입 실적(품목별)'!A2545)</f>
        <v>2026.03</v>
      </c>
      <c r="B2541" s="17" t="n">
        <f aca="false">IFERROR(VALUE(LEFT($A2541,4)),"")</f>
        <v>2026</v>
      </c>
      <c r="C2541" s="17" t="n">
        <f aca="false">IFERROR(VALUE(RIGHT($A2541,2)),"")</f>
        <v>3</v>
      </c>
      <c r="D2541" s="17" t="n">
        <f aca="false">IFERROR(ROUNDUP($C2541/3,0),"")</f>
        <v>1</v>
      </c>
      <c r="E2541" s="11" t="str">
        <f aca="false">TRIM('수출입 실적(품목별)'!B2545)</f>
        <v>38</v>
      </c>
      <c r="F2541" s="11" t="str">
        <f aca="false">TRIM('수출입 실적(품목별)'!C2545)</f>
        <v>각종 화학공업 생산품</v>
      </c>
      <c r="G2541" s="18" t="n">
        <f aca="false">IFERROR(VALUE(SUBSTITUTE(TRIM('수출입 실적(품목별)'!D2545),",","")),"")</f>
        <v>147069.6</v>
      </c>
      <c r="H2541" s="19" t="n">
        <f aca="false">IFERROR(VALUE(SUBSTITUTE(TRIM('수출입 실적(품목별)'!E2545),",","")),"")</f>
        <v>747205</v>
      </c>
      <c r="I2541" s="18" t="n">
        <f aca="false">IFERROR(VALUE(SUBSTITUTE(TRIM('수출입 실적(품목별)'!F2545),",","")),"")</f>
        <v>254254.5</v>
      </c>
      <c r="J2541" s="19" t="n">
        <f aca="false">IFERROR(VALUE(SUBSTITUTE(TRIM('수출입 실적(품목별)'!G2545),",","")),"")</f>
        <v>968908</v>
      </c>
      <c r="K2541" s="19" t="n">
        <f aca="false">IFERROR(VALUE(SUBSTITUTE(TRIM('수출입 실적(품목별)'!H2545),",","")),"")</f>
        <v>-221703</v>
      </c>
    </row>
    <row r="2542" customFormat="false" ht="15" hidden="false" customHeight="true" outlineLevel="0" collapsed="false">
      <c r="A2542" s="11" t="str">
        <f aca="false">TRIM('수출입 실적(품목별)'!A2546)</f>
        <v>2026.03</v>
      </c>
      <c r="B2542" s="17" t="n">
        <f aca="false">IFERROR(VALUE(LEFT($A2542,4)),"")</f>
        <v>2026</v>
      </c>
      <c r="C2542" s="17" t="n">
        <f aca="false">IFERROR(VALUE(RIGHT($A2542,2)),"")</f>
        <v>3</v>
      </c>
      <c r="D2542" s="17" t="n">
        <f aca="false">IFERROR(ROUNDUP($C2542/3,0),"")</f>
        <v>1</v>
      </c>
      <c r="E2542" s="11" t="str">
        <f aca="false">TRIM('수출입 실적(품목별)'!B2546)</f>
        <v>39</v>
      </c>
      <c r="F2542" s="11" t="str">
        <f aca="false">TRIM('수출입 실적(품목별)'!C2546)</f>
        <v>플라스틱과 그 제품</v>
      </c>
      <c r="G2542" s="18" t="n">
        <f aca="false">IFERROR(VALUE(SUBSTITUTE(TRIM('수출입 실적(품목별)'!D2546),",","")),"")</f>
        <v>1435769.2</v>
      </c>
      <c r="H2542" s="19" t="n">
        <f aca="false">IFERROR(VALUE(SUBSTITUTE(TRIM('수출입 실적(품목별)'!E2546),",","")),"")</f>
        <v>2896890</v>
      </c>
      <c r="I2542" s="18" t="n">
        <f aca="false">IFERROR(VALUE(SUBSTITUTE(TRIM('수출입 실적(품목별)'!F2546),",","")),"")</f>
        <v>310173.6</v>
      </c>
      <c r="J2542" s="19" t="n">
        <f aca="false">IFERROR(VALUE(SUBSTITUTE(TRIM('수출입 실적(품목별)'!G2546),",","")),"")</f>
        <v>1189880</v>
      </c>
      <c r="K2542" s="19" t="n">
        <f aca="false">IFERROR(VALUE(SUBSTITUTE(TRIM('수출입 실적(품목별)'!H2546),",","")),"")</f>
        <v>1707010</v>
      </c>
    </row>
    <row r="2543" customFormat="false" ht="15" hidden="false" customHeight="true" outlineLevel="0" collapsed="false">
      <c r="A2543" s="11" t="str">
        <f aca="false">TRIM('수출입 실적(품목별)'!A2547)</f>
        <v>2026.03</v>
      </c>
      <c r="B2543" s="17" t="n">
        <f aca="false">IFERROR(VALUE(LEFT($A2543,4)),"")</f>
        <v>2026</v>
      </c>
      <c r="C2543" s="17" t="n">
        <f aca="false">IFERROR(VALUE(RIGHT($A2543,2)),"")</f>
        <v>3</v>
      </c>
      <c r="D2543" s="17" t="n">
        <f aca="false">IFERROR(ROUNDUP($C2543/3,0),"")</f>
        <v>1</v>
      </c>
      <c r="E2543" s="11" t="str">
        <f aca="false">TRIM('수출입 실적(품목별)'!B2547)</f>
        <v>40</v>
      </c>
      <c r="F2543" s="11" t="str">
        <f aca="false">TRIM('수출입 실적(품목별)'!C2547)</f>
        <v>고무와 그 제품</v>
      </c>
      <c r="G2543" s="18" t="n">
        <f aca="false">IFERROR(VALUE(SUBSTITUTE(TRIM('수출입 실적(품목별)'!D2547),",","")),"")</f>
        <v>250066.3</v>
      </c>
      <c r="H2543" s="19" t="n">
        <f aca="false">IFERROR(VALUE(SUBSTITUTE(TRIM('수출입 실적(품목별)'!E2547),",","")),"")</f>
        <v>652373</v>
      </c>
      <c r="I2543" s="18" t="n">
        <f aca="false">IFERROR(VALUE(SUBSTITUTE(TRIM('수출입 실적(품목별)'!F2547),",","")),"")</f>
        <v>87409.3</v>
      </c>
      <c r="J2543" s="19" t="n">
        <f aca="false">IFERROR(VALUE(SUBSTITUTE(TRIM('수출입 실적(품목별)'!G2547),",","")),"")</f>
        <v>275483</v>
      </c>
      <c r="K2543" s="19" t="n">
        <f aca="false">IFERROR(VALUE(SUBSTITUTE(TRIM('수출입 실적(품목별)'!H2547),",","")),"")</f>
        <v>376890</v>
      </c>
    </row>
    <row r="2544" customFormat="false" ht="15" hidden="false" customHeight="true" outlineLevel="0" collapsed="false">
      <c r="A2544" s="11" t="str">
        <f aca="false">TRIM('수출입 실적(품목별)'!A2548)</f>
        <v>2026.03</v>
      </c>
      <c r="B2544" s="17" t="n">
        <f aca="false">IFERROR(VALUE(LEFT($A2544,4)),"")</f>
        <v>2026</v>
      </c>
      <c r="C2544" s="17" t="n">
        <f aca="false">IFERROR(VALUE(RIGHT($A2544,2)),"")</f>
        <v>3</v>
      </c>
      <c r="D2544" s="17" t="n">
        <f aca="false">IFERROR(ROUNDUP($C2544/3,0),"")</f>
        <v>1</v>
      </c>
      <c r="E2544" s="11" t="str">
        <f aca="false">TRIM('수출입 실적(품목별)'!B2548)</f>
        <v>41</v>
      </c>
      <c r="F2544" s="11" t="str">
        <f aca="false">TRIM('수출입 실적(품목별)'!C2548)</f>
        <v>원피(모피는 제외한다)와 가죽</v>
      </c>
      <c r="G2544" s="18" t="n">
        <f aca="false">IFERROR(VALUE(SUBSTITUTE(TRIM('수출입 실적(품목별)'!D2548),",","")),"")</f>
        <v>2763.5</v>
      </c>
      <c r="H2544" s="19" t="n">
        <f aca="false">IFERROR(VALUE(SUBSTITUTE(TRIM('수출입 실적(품목별)'!E2548),",","")),"")</f>
        <v>25840</v>
      </c>
      <c r="I2544" s="18" t="n">
        <f aca="false">IFERROR(VALUE(SUBSTITUTE(TRIM('수출입 실적(품목별)'!F2548),",","")),"")</f>
        <v>7934.5</v>
      </c>
      <c r="J2544" s="19" t="n">
        <f aca="false">IFERROR(VALUE(SUBSTITUTE(TRIM('수출입 실적(품목별)'!G2548),",","")),"")</f>
        <v>22295</v>
      </c>
      <c r="K2544" s="19" t="n">
        <f aca="false">IFERROR(VALUE(SUBSTITUTE(TRIM('수출입 실적(품목별)'!H2548),",","")),"")</f>
        <v>3545</v>
      </c>
    </row>
    <row r="2545" customFormat="false" ht="15" hidden="false" customHeight="true" outlineLevel="0" collapsed="false">
      <c r="A2545" s="11" t="str">
        <f aca="false">TRIM('수출입 실적(품목별)'!A2549)</f>
        <v>2026.03</v>
      </c>
      <c r="B2545" s="17" t="n">
        <f aca="false">IFERROR(VALUE(LEFT($A2545,4)),"")</f>
        <v>2026</v>
      </c>
      <c r="C2545" s="17" t="n">
        <f aca="false">IFERROR(VALUE(RIGHT($A2545,2)),"")</f>
        <v>3</v>
      </c>
      <c r="D2545" s="17" t="n">
        <f aca="false">IFERROR(ROUNDUP($C2545/3,0),"")</f>
        <v>1</v>
      </c>
      <c r="E2545" s="11" t="str">
        <f aca="false">TRIM('수출입 실적(품목별)'!B2549)</f>
        <v>42</v>
      </c>
      <c r="F2545" s="11" t="str">
        <f aca="false">TRIM('수출입 실적(품목별)'!C2549)</f>
        <v>가죽제품, 마구, 여행용구ㆍ핸드백과 이와 유사한 용기, 동물 거트(gut)[누에의 거트(gut)는 제외한다]의 제품</v>
      </c>
      <c r="G2545" s="18" t="n">
        <f aca="false">IFERROR(VALUE(SUBSTITUTE(TRIM('수출입 실적(품목별)'!D2549),",","")),"")</f>
        <v>936.3</v>
      </c>
      <c r="H2545" s="19" t="n">
        <f aca="false">IFERROR(VALUE(SUBSTITUTE(TRIM('수출입 실적(품목별)'!E2549),",","")),"")</f>
        <v>53379</v>
      </c>
      <c r="I2545" s="18" t="n">
        <f aca="false">IFERROR(VALUE(SUBSTITUTE(TRIM('수출입 실적(품목별)'!F2549),",","")),"")</f>
        <v>7516.9</v>
      </c>
      <c r="J2545" s="19" t="n">
        <f aca="false">IFERROR(VALUE(SUBSTITUTE(TRIM('수출입 실적(품목별)'!G2549),",","")),"")</f>
        <v>307444</v>
      </c>
      <c r="K2545" s="19" t="n">
        <f aca="false">IFERROR(VALUE(SUBSTITUTE(TRIM('수출입 실적(품목별)'!H2549),",","")),"")</f>
        <v>-254065</v>
      </c>
    </row>
    <row r="2546" customFormat="false" ht="15" hidden="false" customHeight="true" outlineLevel="0" collapsed="false">
      <c r="A2546" s="11" t="str">
        <f aca="false">TRIM('수출입 실적(품목별)'!A2550)</f>
        <v>2026.03</v>
      </c>
      <c r="B2546" s="17" t="n">
        <f aca="false">IFERROR(VALUE(LEFT($A2546,4)),"")</f>
        <v>2026</v>
      </c>
      <c r="C2546" s="17" t="n">
        <f aca="false">IFERROR(VALUE(RIGHT($A2546,2)),"")</f>
        <v>3</v>
      </c>
      <c r="D2546" s="17" t="n">
        <f aca="false">IFERROR(ROUNDUP($C2546/3,0),"")</f>
        <v>1</v>
      </c>
      <c r="E2546" s="11" t="str">
        <f aca="false">TRIM('수출입 실적(품목별)'!B2550)</f>
        <v>43</v>
      </c>
      <c r="F2546" s="11" t="str">
        <f aca="false">TRIM('수출입 실적(품목별)'!C2550)</f>
        <v>모피ㆍ인조모피와 이들의 제품</v>
      </c>
      <c r="G2546" s="18" t="n">
        <f aca="false">IFERROR(VALUE(SUBSTITUTE(TRIM('수출입 실적(품목별)'!D2550),",","")),"")</f>
        <v>13.8</v>
      </c>
      <c r="H2546" s="19" t="n">
        <f aca="false">IFERROR(VALUE(SUBSTITUTE(TRIM('수출입 실적(품목별)'!E2550),",","")),"")</f>
        <v>354</v>
      </c>
      <c r="I2546" s="18" t="n">
        <f aca="false">IFERROR(VALUE(SUBSTITUTE(TRIM('수출입 실적(품목별)'!F2550),",","")),"")</f>
        <v>15.3</v>
      </c>
      <c r="J2546" s="19" t="n">
        <f aca="false">IFERROR(VALUE(SUBSTITUTE(TRIM('수출입 실적(품목별)'!G2550),",","")),"")</f>
        <v>3404</v>
      </c>
      <c r="K2546" s="19" t="n">
        <f aca="false">IFERROR(VALUE(SUBSTITUTE(TRIM('수출입 실적(품목별)'!H2550),",","")),"")</f>
        <v>-3050</v>
      </c>
    </row>
    <row r="2547" customFormat="false" ht="15" hidden="false" customHeight="true" outlineLevel="0" collapsed="false">
      <c r="A2547" s="11" t="str">
        <f aca="false">TRIM('수출입 실적(품목별)'!A2551)</f>
        <v>2026.03</v>
      </c>
      <c r="B2547" s="17" t="n">
        <f aca="false">IFERROR(VALUE(LEFT($A2547,4)),"")</f>
        <v>2026</v>
      </c>
      <c r="C2547" s="17" t="n">
        <f aca="false">IFERROR(VALUE(RIGHT($A2547,2)),"")</f>
        <v>3</v>
      </c>
      <c r="D2547" s="17" t="n">
        <f aca="false">IFERROR(ROUNDUP($C2547/3,0),"")</f>
        <v>1</v>
      </c>
      <c r="E2547" s="11" t="str">
        <f aca="false">TRIM('수출입 실적(품목별)'!B2551)</f>
        <v>44</v>
      </c>
      <c r="F2547" s="11" t="str">
        <f aca="false">TRIM('수출입 실적(품목별)'!C2551)</f>
        <v>목재와 그 제품, 목탄</v>
      </c>
      <c r="G2547" s="18" t="n">
        <f aca="false">IFERROR(VALUE(SUBSTITUTE(TRIM('수출입 실적(품목별)'!D2551),",","")),"")</f>
        <v>5073.1</v>
      </c>
      <c r="H2547" s="19" t="n">
        <f aca="false">IFERROR(VALUE(SUBSTITUTE(TRIM('수출입 실적(품목별)'!E2551),",","")),"")</f>
        <v>7994</v>
      </c>
      <c r="I2547" s="18" t="n">
        <f aca="false">IFERROR(VALUE(SUBSTITUTE(TRIM('수출입 실적(품목별)'!F2551),",","")),"")</f>
        <v>713517.7</v>
      </c>
      <c r="J2547" s="19" t="n">
        <f aca="false">IFERROR(VALUE(SUBSTITUTE(TRIM('수출입 실적(품목별)'!G2551),",","")),"")</f>
        <v>204560</v>
      </c>
      <c r="K2547" s="19" t="n">
        <f aca="false">IFERROR(VALUE(SUBSTITUTE(TRIM('수출입 실적(품목별)'!H2551),",","")),"")</f>
        <v>-196566</v>
      </c>
    </row>
    <row r="2548" customFormat="false" ht="15" hidden="false" customHeight="true" outlineLevel="0" collapsed="false">
      <c r="A2548" s="11" t="str">
        <f aca="false">TRIM('수출입 실적(품목별)'!A2552)</f>
        <v>2026.03</v>
      </c>
      <c r="B2548" s="17" t="n">
        <f aca="false">IFERROR(VALUE(LEFT($A2548,4)),"")</f>
        <v>2026</v>
      </c>
      <c r="C2548" s="17" t="n">
        <f aca="false">IFERROR(VALUE(RIGHT($A2548,2)),"")</f>
        <v>3</v>
      </c>
      <c r="D2548" s="17" t="n">
        <f aca="false">IFERROR(ROUNDUP($C2548/3,0),"")</f>
        <v>1</v>
      </c>
      <c r="E2548" s="11" t="str">
        <f aca="false">TRIM('수출입 실적(품목별)'!B2552)</f>
        <v>45</v>
      </c>
      <c r="F2548" s="11" t="str">
        <f aca="false">TRIM('수출입 실적(품목별)'!C2552)</f>
        <v>코르크(cork)와 그 제품</v>
      </c>
      <c r="G2548" s="18" t="n">
        <f aca="false">IFERROR(VALUE(SUBSTITUTE(TRIM('수출입 실적(품목별)'!D2552),",","")),"")</f>
        <v>2.2</v>
      </c>
      <c r="H2548" s="19" t="n">
        <f aca="false">IFERROR(VALUE(SUBSTITUTE(TRIM('수출입 실적(품목별)'!E2552),",","")),"")</f>
        <v>37</v>
      </c>
      <c r="I2548" s="18" t="n">
        <f aca="false">IFERROR(VALUE(SUBSTITUTE(TRIM('수출입 실적(품목별)'!F2552),",","")),"")</f>
        <v>101.2</v>
      </c>
      <c r="J2548" s="19" t="n">
        <f aca="false">IFERROR(VALUE(SUBSTITUTE(TRIM('수출입 실적(품목별)'!G2552),",","")),"")</f>
        <v>470</v>
      </c>
      <c r="K2548" s="19" t="n">
        <f aca="false">IFERROR(VALUE(SUBSTITUTE(TRIM('수출입 실적(품목별)'!H2552),",","")),"")</f>
        <v>-433</v>
      </c>
    </row>
    <row r="2549" customFormat="false" ht="15" hidden="false" customHeight="true" outlineLevel="0" collapsed="false">
      <c r="A2549" s="11" t="str">
        <f aca="false">TRIM('수출입 실적(품목별)'!A2553)</f>
        <v>2026.03</v>
      </c>
      <c r="B2549" s="17" t="n">
        <f aca="false">IFERROR(VALUE(LEFT($A2549,4)),"")</f>
        <v>2026</v>
      </c>
      <c r="C2549" s="17" t="n">
        <f aca="false">IFERROR(VALUE(RIGHT($A2549,2)),"")</f>
        <v>3</v>
      </c>
      <c r="D2549" s="17" t="n">
        <f aca="false">IFERROR(ROUNDUP($C2549/3,0),"")</f>
        <v>1</v>
      </c>
      <c r="E2549" s="11" t="str">
        <f aca="false">TRIM('수출입 실적(품목별)'!B2553)</f>
        <v>46</v>
      </c>
      <c r="F2549" s="11" t="str">
        <f aca="false">TRIM('수출입 실적(품목별)'!C2553)</f>
        <v>짚ㆍ에스파르토(esparto)나 그 밖의 조물 재료의 제품, 바구니 세공물(basketware)과 지조세공물(枝條細工物)</v>
      </c>
      <c r="G2549" s="18" t="n">
        <f aca="false">IFERROR(VALUE(SUBSTITUTE(TRIM('수출입 실적(품목별)'!D2553),",","")),"")</f>
        <v>2.5</v>
      </c>
      <c r="H2549" s="19" t="n">
        <f aca="false">IFERROR(VALUE(SUBSTITUTE(TRIM('수출입 실적(품목별)'!E2553),",","")),"")</f>
        <v>82</v>
      </c>
      <c r="I2549" s="18" t="n">
        <f aca="false">IFERROR(VALUE(SUBSTITUTE(TRIM('수출입 실적(품목별)'!F2553),",","")),"")</f>
        <v>321.9</v>
      </c>
      <c r="J2549" s="19" t="n">
        <f aca="false">IFERROR(VALUE(SUBSTITUTE(TRIM('수출입 실적(품목별)'!G2553),",","")),"")</f>
        <v>2289</v>
      </c>
      <c r="K2549" s="19" t="n">
        <f aca="false">IFERROR(VALUE(SUBSTITUTE(TRIM('수출입 실적(품목별)'!H2553),",","")),"")</f>
        <v>-2206</v>
      </c>
    </row>
    <row r="2550" customFormat="false" ht="15" hidden="false" customHeight="true" outlineLevel="0" collapsed="false">
      <c r="A2550" s="11" t="str">
        <f aca="false">TRIM('수출입 실적(품목별)'!A2554)</f>
        <v>2026.03</v>
      </c>
      <c r="B2550" s="17" t="n">
        <f aca="false">IFERROR(VALUE(LEFT($A2550,4)),"")</f>
        <v>2026</v>
      </c>
      <c r="C2550" s="17" t="n">
        <f aca="false">IFERROR(VALUE(RIGHT($A2550,2)),"")</f>
        <v>3</v>
      </c>
      <c r="D2550" s="17" t="n">
        <f aca="false">IFERROR(ROUNDUP($C2550/3,0),"")</f>
        <v>1</v>
      </c>
      <c r="E2550" s="11" t="str">
        <f aca="false">TRIM('수출입 실적(품목별)'!B2554)</f>
        <v>47</v>
      </c>
      <c r="F2550" s="11" t="str">
        <f aca="false">TRIM('수출입 실적(품목별)'!C2554)</f>
        <v>목재나 그 밖의 섬유질 셀룰로오스재료의 펄프, 회수한 종이ㆍ판지[웨이스트(waste)와 스크랩(scrap)]</v>
      </c>
      <c r="G2550" s="18" t="n">
        <f aca="false">IFERROR(VALUE(SUBSTITUTE(TRIM('수출입 실적(품목별)'!D2554),",","")),"")</f>
        <v>59753.1</v>
      </c>
      <c r="H2550" s="19" t="n">
        <f aca="false">IFERROR(VALUE(SUBSTITUTE(TRIM('수출입 실적(품목별)'!E2554),",","")),"")</f>
        <v>11801</v>
      </c>
      <c r="I2550" s="18" t="n">
        <f aca="false">IFERROR(VALUE(SUBSTITUTE(TRIM('수출입 실적(품목별)'!F2554),",","")),"")</f>
        <v>234716.4</v>
      </c>
      <c r="J2550" s="19" t="n">
        <f aca="false">IFERROR(VALUE(SUBSTITUTE(TRIM('수출입 실적(품목별)'!G2554),",","")),"")</f>
        <v>116905</v>
      </c>
      <c r="K2550" s="19" t="n">
        <f aca="false">IFERROR(VALUE(SUBSTITUTE(TRIM('수출입 실적(품목별)'!H2554),",","")),"")</f>
        <v>-105103</v>
      </c>
    </row>
    <row r="2551" customFormat="false" ht="15" hidden="false" customHeight="true" outlineLevel="0" collapsed="false">
      <c r="A2551" s="11" t="str">
        <f aca="false">TRIM('수출입 실적(품목별)'!A2555)</f>
        <v>2026.03</v>
      </c>
      <c r="B2551" s="17" t="n">
        <f aca="false">IFERROR(VALUE(LEFT($A2551,4)),"")</f>
        <v>2026</v>
      </c>
      <c r="C2551" s="17" t="n">
        <f aca="false">IFERROR(VALUE(RIGHT($A2551,2)),"")</f>
        <v>3</v>
      </c>
      <c r="D2551" s="17" t="n">
        <f aca="false">IFERROR(ROUNDUP($C2551/3,0),"")</f>
        <v>1</v>
      </c>
      <c r="E2551" s="11" t="str">
        <f aca="false">TRIM('수출입 실적(품목별)'!B2555)</f>
        <v>48</v>
      </c>
      <c r="F2551" s="11" t="str">
        <f aca="false">TRIM('수출입 실적(품목별)'!C2555)</f>
        <v>종이와 판지, 제지용 펄프ㆍ종이ㆍ판지의 제품</v>
      </c>
      <c r="G2551" s="18" t="n">
        <f aca="false">IFERROR(VALUE(SUBSTITUTE(TRIM('수출입 실적(품목별)'!D2555),",","")),"")</f>
        <v>249097.4</v>
      </c>
      <c r="H2551" s="19" t="n">
        <f aca="false">IFERROR(VALUE(SUBSTITUTE(TRIM('수출입 실적(품목별)'!E2555),",","")),"")</f>
        <v>239957</v>
      </c>
      <c r="I2551" s="18" t="n">
        <f aca="false">IFERROR(VALUE(SUBSTITUTE(TRIM('수출입 실적(품목별)'!F2555),",","")),"")</f>
        <v>131945</v>
      </c>
      <c r="J2551" s="19" t="n">
        <f aca="false">IFERROR(VALUE(SUBSTITUTE(TRIM('수출입 실적(품목별)'!G2555),",","")),"")</f>
        <v>190202</v>
      </c>
      <c r="K2551" s="19" t="n">
        <f aca="false">IFERROR(VALUE(SUBSTITUTE(TRIM('수출입 실적(품목별)'!H2555),",","")),"")</f>
        <v>49755</v>
      </c>
    </row>
    <row r="2552" customFormat="false" ht="15" hidden="false" customHeight="true" outlineLevel="0" collapsed="false">
      <c r="A2552" s="11" t="str">
        <f aca="false">TRIM('수출입 실적(품목별)'!A2556)</f>
        <v>2026.03</v>
      </c>
      <c r="B2552" s="17" t="n">
        <f aca="false">IFERROR(VALUE(LEFT($A2552,4)),"")</f>
        <v>2026</v>
      </c>
      <c r="C2552" s="17" t="n">
        <f aca="false">IFERROR(VALUE(RIGHT($A2552,2)),"")</f>
        <v>3</v>
      </c>
      <c r="D2552" s="17" t="n">
        <f aca="false">IFERROR(ROUNDUP($C2552/3,0),"")</f>
        <v>1</v>
      </c>
      <c r="E2552" s="11" t="str">
        <f aca="false">TRIM('수출입 실적(품목별)'!B2556)</f>
        <v>49</v>
      </c>
      <c r="F2552" s="11" t="str">
        <f aca="false">TRIM('수출입 실적(품목별)'!C2556)</f>
        <v>인쇄서적ㆍ신문ㆍ회화ㆍ그 밖의 인쇄물, 수제(手製)문서ㆍ타자문서ㆍ도면</v>
      </c>
      <c r="G2552" s="18" t="n">
        <f aca="false">IFERROR(VALUE(SUBSTITUTE(TRIM('수출입 실적(품목별)'!D2556),",","")),"")</f>
        <v>3033.1</v>
      </c>
      <c r="H2552" s="19" t="n">
        <f aca="false">IFERROR(VALUE(SUBSTITUTE(TRIM('수출입 실적(품목별)'!E2556),",","")),"")</f>
        <v>23073</v>
      </c>
      <c r="I2552" s="18" t="n">
        <f aca="false">IFERROR(VALUE(SUBSTITUTE(TRIM('수출입 실적(품목별)'!F2556),",","")),"")</f>
        <v>1080.3</v>
      </c>
      <c r="J2552" s="19" t="n">
        <f aca="false">IFERROR(VALUE(SUBSTITUTE(TRIM('수출입 실적(품목별)'!G2556),",","")),"")</f>
        <v>21938</v>
      </c>
      <c r="K2552" s="19" t="n">
        <f aca="false">IFERROR(VALUE(SUBSTITUTE(TRIM('수출입 실적(품목별)'!H2556),",","")),"")</f>
        <v>1135</v>
      </c>
    </row>
    <row r="2553" customFormat="false" ht="15" hidden="false" customHeight="true" outlineLevel="0" collapsed="false">
      <c r="A2553" s="11" t="str">
        <f aca="false">TRIM('수출입 실적(품목별)'!A2557)</f>
        <v>2026.03</v>
      </c>
      <c r="B2553" s="17" t="n">
        <f aca="false">IFERROR(VALUE(LEFT($A2553,4)),"")</f>
        <v>2026</v>
      </c>
      <c r="C2553" s="17" t="n">
        <f aca="false">IFERROR(VALUE(RIGHT($A2553,2)),"")</f>
        <v>3</v>
      </c>
      <c r="D2553" s="17" t="n">
        <f aca="false">IFERROR(ROUNDUP($C2553/3,0),"")</f>
        <v>1</v>
      </c>
      <c r="E2553" s="11" t="str">
        <f aca="false">TRIM('수출입 실적(품목별)'!B2557)</f>
        <v>50</v>
      </c>
      <c r="F2553" s="11" t="str">
        <f aca="false">TRIM('수출입 실적(품목별)'!C2557)</f>
        <v>견</v>
      </c>
      <c r="G2553" s="18" t="n">
        <f aca="false">IFERROR(VALUE(SUBSTITUTE(TRIM('수출입 실적(품목별)'!D2557),",","")),"")</f>
        <v>8</v>
      </c>
      <c r="H2553" s="19" t="n">
        <f aca="false">IFERROR(VALUE(SUBSTITUTE(TRIM('수출입 실적(품목별)'!E2557),",","")),"")</f>
        <v>1185</v>
      </c>
      <c r="I2553" s="18" t="n">
        <f aca="false">IFERROR(VALUE(SUBSTITUTE(TRIM('수출입 실적(품목별)'!F2557),",","")),"")</f>
        <v>25.3</v>
      </c>
      <c r="J2553" s="19" t="n">
        <f aca="false">IFERROR(VALUE(SUBSTITUTE(TRIM('수출입 실적(품목별)'!G2557),",","")),"")</f>
        <v>2292</v>
      </c>
      <c r="K2553" s="19" t="n">
        <f aca="false">IFERROR(VALUE(SUBSTITUTE(TRIM('수출입 실적(품목별)'!H2557),",","")),"")</f>
        <v>-1106</v>
      </c>
    </row>
    <row r="2554" customFormat="false" ht="15" hidden="false" customHeight="true" outlineLevel="0" collapsed="false">
      <c r="A2554" s="11" t="str">
        <f aca="false">TRIM('수출입 실적(품목별)'!A2558)</f>
        <v>2026.03</v>
      </c>
      <c r="B2554" s="17" t="n">
        <f aca="false">IFERROR(VALUE(LEFT($A2554,4)),"")</f>
        <v>2026</v>
      </c>
      <c r="C2554" s="17" t="n">
        <f aca="false">IFERROR(VALUE(RIGHT($A2554,2)),"")</f>
        <v>3</v>
      </c>
      <c r="D2554" s="17" t="n">
        <f aca="false">IFERROR(ROUNDUP($C2554/3,0),"")</f>
        <v>1</v>
      </c>
      <c r="E2554" s="11" t="str">
        <f aca="false">TRIM('수출입 실적(품목별)'!B2558)</f>
        <v>51</v>
      </c>
      <c r="F2554" s="11" t="str">
        <f aca="false">TRIM('수출입 실적(품목별)'!C2558)</f>
        <v>양모ㆍ동물의 부드러운 털이나 거친 털ㆍ말의 털로 만든 실과 직물</v>
      </c>
      <c r="G2554" s="18" t="n">
        <f aca="false">IFERROR(VALUE(SUBSTITUTE(TRIM('수출입 실적(품목별)'!D2558),",","")),"")</f>
        <v>108.4</v>
      </c>
      <c r="H2554" s="19" t="n">
        <f aca="false">IFERROR(VALUE(SUBSTITUTE(TRIM('수출입 실적(품목별)'!E2558),",","")),"")</f>
        <v>2503</v>
      </c>
      <c r="I2554" s="18" t="n">
        <f aca="false">IFERROR(VALUE(SUBSTITUTE(TRIM('수출입 실적(품목별)'!F2558),",","")),"")</f>
        <v>743.4</v>
      </c>
      <c r="J2554" s="19" t="n">
        <f aca="false">IFERROR(VALUE(SUBSTITUTE(TRIM('수출입 실적(품목별)'!G2558),",","")),"")</f>
        <v>18892</v>
      </c>
      <c r="K2554" s="19" t="n">
        <f aca="false">IFERROR(VALUE(SUBSTITUTE(TRIM('수출입 실적(품목별)'!H2558),",","")),"")</f>
        <v>-16389</v>
      </c>
    </row>
    <row r="2555" customFormat="false" ht="15" hidden="false" customHeight="true" outlineLevel="0" collapsed="false">
      <c r="A2555" s="11" t="str">
        <f aca="false">TRIM('수출입 실적(품목별)'!A2559)</f>
        <v>2026.03</v>
      </c>
      <c r="B2555" s="17" t="n">
        <f aca="false">IFERROR(VALUE(LEFT($A2555,4)),"")</f>
        <v>2026</v>
      </c>
      <c r="C2555" s="17" t="n">
        <f aca="false">IFERROR(VALUE(RIGHT($A2555,2)),"")</f>
        <v>3</v>
      </c>
      <c r="D2555" s="17" t="n">
        <f aca="false">IFERROR(ROUNDUP($C2555/3,0),"")</f>
        <v>1</v>
      </c>
      <c r="E2555" s="11" t="str">
        <f aca="false">TRIM('수출입 실적(품목별)'!B2559)</f>
        <v>52</v>
      </c>
      <c r="F2555" s="11" t="str">
        <f aca="false">TRIM('수출입 실적(품목별)'!C2559)</f>
        <v>면</v>
      </c>
      <c r="G2555" s="18" t="n">
        <f aca="false">IFERROR(VALUE(SUBSTITUTE(TRIM('수출입 실적(품목별)'!D2559),",","")),"")</f>
        <v>3288.6</v>
      </c>
      <c r="H2555" s="19" t="n">
        <f aca="false">IFERROR(VALUE(SUBSTITUTE(TRIM('수출입 실적(품목별)'!E2559),",","")),"")</f>
        <v>25662</v>
      </c>
      <c r="I2555" s="18" t="n">
        <f aca="false">IFERROR(VALUE(SUBSTITUTE(TRIM('수출입 실적(품목별)'!F2559),",","")),"")</f>
        <v>19396.2</v>
      </c>
      <c r="J2555" s="19" t="n">
        <f aca="false">IFERROR(VALUE(SUBSTITUTE(TRIM('수출입 실적(품목별)'!G2559),",","")),"")</f>
        <v>59043</v>
      </c>
      <c r="K2555" s="19" t="n">
        <f aca="false">IFERROR(VALUE(SUBSTITUTE(TRIM('수출입 실적(품목별)'!H2559),",","")),"")</f>
        <v>-33381</v>
      </c>
    </row>
    <row r="2556" customFormat="false" ht="15" hidden="false" customHeight="true" outlineLevel="0" collapsed="false">
      <c r="A2556" s="11" t="str">
        <f aca="false">TRIM('수출입 실적(품목별)'!A2560)</f>
        <v>2026.03</v>
      </c>
      <c r="B2556" s="17" t="n">
        <f aca="false">IFERROR(VALUE(LEFT($A2556,4)),"")</f>
        <v>2026</v>
      </c>
      <c r="C2556" s="17" t="n">
        <f aca="false">IFERROR(VALUE(RIGHT($A2556,2)),"")</f>
        <v>3</v>
      </c>
      <c r="D2556" s="17" t="n">
        <f aca="false">IFERROR(ROUNDUP($C2556/3,0),"")</f>
        <v>1</v>
      </c>
      <c r="E2556" s="11" t="str">
        <f aca="false">TRIM('수출입 실적(품목별)'!B2560)</f>
        <v>53</v>
      </c>
      <c r="F2556" s="11" t="str">
        <f aca="false">TRIM('수출입 실적(품목별)'!C2560)</f>
        <v>그 밖의 식물성 방직용 섬유, 종이실(paper yarn)과 종이실로 만든 직물</v>
      </c>
      <c r="G2556" s="18" t="n">
        <f aca="false">IFERROR(VALUE(SUBSTITUTE(TRIM('수출입 실적(품목별)'!D2560),",","")),"")</f>
        <v>36.9</v>
      </c>
      <c r="H2556" s="19" t="n">
        <f aca="false">IFERROR(VALUE(SUBSTITUTE(TRIM('수출입 실적(품목별)'!E2560),",","")),"")</f>
        <v>490</v>
      </c>
      <c r="I2556" s="18" t="n">
        <f aca="false">IFERROR(VALUE(SUBSTITUTE(TRIM('수출입 실적(품목별)'!F2560),",","")),"")</f>
        <v>716.5</v>
      </c>
      <c r="J2556" s="19" t="n">
        <f aca="false">IFERROR(VALUE(SUBSTITUTE(TRIM('수출입 실적(품목별)'!G2560),",","")),"")</f>
        <v>2982</v>
      </c>
      <c r="K2556" s="19" t="n">
        <f aca="false">IFERROR(VALUE(SUBSTITUTE(TRIM('수출입 실적(품목별)'!H2560),",","")),"")</f>
        <v>-2492</v>
      </c>
    </row>
    <row r="2557" customFormat="false" ht="15" hidden="false" customHeight="true" outlineLevel="0" collapsed="false">
      <c r="A2557" s="11" t="str">
        <f aca="false">TRIM('수출입 실적(품목별)'!A2561)</f>
        <v>2026.03</v>
      </c>
      <c r="B2557" s="17" t="n">
        <f aca="false">IFERROR(VALUE(LEFT($A2557,4)),"")</f>
        <v>2026</v>
      </c>
      <c r="C2557" s="17" t="n">
        <f aca="false">IFERROR(VALUE(RIGHT($A2557,2)),"")</f>
        <v>3</v>
      </c>
      <c r="D2557" s="17" t="n">
        <f aca="false">IFERROR(ROUNDUP($C2557/3,0),"")</f>
        <v>1</v>
      </c>
      <c r="E2557" s="11" t="str">
        <f aca="false">TRIM('수출입 실적(품목별)'!B2561)</f>
        <v>54</v>
      </c>
      <c r="F2557" s="11" t="str">
        <f aca="false">TRIM('수출입 실적(품목별)'!C2561)</f>
        <v>인조필라멘트, 인조방직용 섬유재료의 스트립(strip)과 이와 유사한 것</v>
      </c>
      <c r="G2557" s="18" t="n">
        <f aca="false">IFERROR(VALUE(SUBSTITUTE(TRIM('수출입 실적(품목별)'!D2561),",","")),"")</f>
        <v>22312.1</v>
      </c>
      <c r="H2557" s="19" t="n">
        <f aca="false">IFERROR(VALUE(SUBSTITUTE(TRIM('수출입 실적(품목별)'!E2561),",","")),"")</f>
        <v>144090</v>
      </c>
      <c r="I2557" s="18" t="n">
        <f aca="false">IFERROR(VALUE(SUBSTITUTE(TRIM('수출입 실적(품목별)'!F2561),",","")),"")</f>
        <v>39794.3</v>
      </c>
      <c r="J2557" s="19" t="n">
        <f aca="false">IFERROR(VALUE(SUBSTITUTE(TRIM('수출입 실적(품목별)'!G2561),",","")),"")</f>
        <v>84585</v>
      </c>
      <c r="K2557" s="19" t="n">
        <f aca="false">IFERROR(VALUE(SUBSTITUTE(TRIM('수출입 실적(품목별)'!H2561),",","")),"")</f>
        <v>59505</v>
      </c>
    </row>
    <row r="2558" customFormat="false" ht="15" hidden="false" customHeight="true" outlineLevel="0" collapsed="false">
      <c r="A2558" s="11" t="str">
        <f aca="false">TRIM('수출입 실적(품목별)'!A2562)</f>
        <v>2026.03</v>
      </c>
      <c r="B2558" s="17" t="n">
        <f aca="false">IFERROR(VALUE(LEFT($A2558,4)),"")</f>
        <v>2026</v>
      </c>
      <c r="C2558" s="17" t="n">
        <f aca="false">IFERROR(VALUE(RIGHT($A2558,2)),"")</f>
        <v>3</v>
      </c>
      <c r="D2558" s="17" t="n">
        <f aca="false">IFERROR(ROUNDUP($C2558/3,0),"")</f>
        <v>1</v>
      </c>
      <c r="E2558" s="11" t="str">
        <f aca="false">TRIM('수출입 실적(품목별)'!B2562)</f>
        <v>55</v>
      </c>
      <c r="F2558" s="11" t="str">
        <f aca="false">TRIM('수출입 실적(품목별)'!C2562)</f>
        <v>인조스테이플섬유</v>
      </c>
      <c r="G2558" s="18" t="n">
        <f aca="false">IFERROR(VALUE(SUBSTITUTE(TRIM('수출입 실적(품목별)'!D2562),",","")),"")</f>
        <v>62388.9</v>
      </c>
      <c r="H2558" s="19" t="n">
        <f aca="false">IFERROR(VALUE(SUBSTITUTE(TRIM('수출입 실적(품목별)'!E2562),",","")),"")</f>
        <v>102566</v>
      </c>
      <c r="I2558" s="18" t="n">
        <f aca="false">IFERROR(VALUE(SUBSTITUTE(TRIM('수출입 실적(품목별)'!F2562),",","")),"")</f>
        <v>11853.6</v>
      </c>
      <c r="J2558" s="19" t="n">
        <f aca="false">IFERROR(VALUE(SUBSTITUTE(TRIM('수출입 실적(품목별)'!G2562),",","")),"")</f>
        <v>48024</v>
      </c>
      <c r="K2558" s="19" t="n">
        <f aca="false">IFERROR(VALUE(SUBSTITUTE(TRIM('수출입 실적(품목별)'!H2562),",","")),"")</f>
        <v>54541</v>
      </c>
    </row>
    <row r="2559" customFormat="false" ht="15" hidden="false" customHeight="true" outlineLevel="0" collapsed="false">
      <c r="A2559" s="11" t="str">
        <f aca="false">TRIM('수출입 실적(품목별)'!A2563)</f>
        <v>2026.03</v>
      </c>
      <c r="B2559" s="17" t="n">
        <f aca="false">IFERROR(VALUE(LEFT($A2559,4)),"")</f>
        <v>2026</v>
      </c>
      <c r="C2559" s="17" t="n">
        <f aca="false">IFERROR(VALUE(RIGHT($A2559,2)),"")</f>
        <v>3</v>
      </c>
      <c r="D2559" s="17" t="n">
        <f aca="false">IFERROR(ROUNDUP($C2559/3,0),"")</f>
        <v>1</v>
      </c>
      <c r="E2559" s="11" t="str">
        <f aca="false">TRIM('수출입 실적(품목별)'!B2563)</f>
        <v>56</v>
      </c>
      <c r="F2559" s="11" t="str">
        <f aca="false">TRIM('수출입 실적(품목별)'!C2563)</f>
        <v>워딩(wadding)ㆍ펠트(felt)ㆍ부직포, 특수사, 끈ㆍ배의 밧줄(cordage)ㆍ로프ㆍ케이블과 이들의 제품</v>
      </c>
      <c r="G2559" s="18" t="n">
        <f aca="false">IFERROR(VALUE(SUBSTITUTE(TRIM('수출입 실적(품목별)'!D2563),",","")),"")</f>
        <v>10670.4</v>
      </c>
      <c r="H2559" s="19" t="n">
        <f aca="false">IFERROR(VALUE(SUBSTITUTE(TRIM('수출입 실적(품목별)'!E2563),",","")),"")</f>
        <v>63848</v>
      </c>
      <c r="I2559" s="18" t="n">
        <f aca="false">IFERROR(VALUE(SUBSTITUTE(TRIM('수출입 실적(품목별)'!F2563),",","")),"")</f>
        <v>19128.6</v>
      </c>
      <c r="J2559" s="19" t="n">
        <f aca="false">IFERROR(VALUE(SUBSTITUTE(TRIM('수출입 실적(품목별)'!G2563),",","")),"")</f>
        <v>57226</v>
      </c>
      <c r="K2559" s="19" t="n">
        <f aca="false">IFERROR(VALUE(SUBSTITUTE(TRIM('수출입 실적(품목별)'!H2563),",","")),"")</f>
        <v>6621</v>
      </c>
    </row>
    <row r="2560" customFormat="false" ht="15" hidden="false" customHeight="true" outlineLevel="0" collapsed="false">
      <c r="A2560" s="11" t="str">
        <f aca="false">TRIM('수출입 실적(품목별)'!A2564)</f>
        <v>2026.03</v>
      </c>
      <c r="B2560" s="17" t="n">
        <f aca="false">IFERROR(VALUE(LEFT($A2560,4)),"")</f>
        <v>2026</v>
      </c>
      <c r="C2560" s="17" t="n">
        <f aca="false">IFERROR(VALUE(RIGHT($A2560,2)),"")</f>
        <v>3</v>
      </c>
      <c r="D2560" s="17" t="n">
        <f aca="false">IFERROR(ROUNDUP($C2560/3,0),"")</f>
        <v>1</v>
      </c>
      <c r="E2560" s="11" t="str">
        <f aca="false">TRIM('수출입 실적(품목별)'!B2564)</f>
        <v>57</v>
      </c>
      <c r="F2560" s="11" t="str">
        <f aca="false">TRIM('수출입 실적(품목별)'!C2564)</f>
        <v>양탄자류와 그 밖의 방직용 섬유로 만든 바닥깔개</v>
      </c>
      <c r="G2560" s="18" t="n">
        <f aca="false">IFERROR(VALUE(SUBSTITUTE(TRIM('수출입 실적(품목별)'!D2564),",","")),"")</f>
        <v>665.1</v>
      </c>
      <c r="H2560" s="19" t="n">
        <f aca="false">IFERROR(VALUE(SUBSTITUTE(TRIM('수출입 실적(품목별)'!E2564),",","")),"")</f>
        <v>7169</v>
      </c>
      <c r="I2560" s="18" t="n">
        <f aca="false">IFERROR(VALUE(SUBSTITUTE(TRIM('수출입 실적(품목별)'!F2564),",","")),"")</f>
        <v>6181.7</v>
      </c>
      <c r="J2560" s="19" t="n">
        <f aca="false">IFERROR(VALUE(SUBSTITUTE(TRIM('수출입 실적(품목별)'!G2564),",","")),"")</f>
        <v>9213</v>
      </c>
      <c r="K2560" s="19" t="n">
        <f aca="false">IFERROR(VALUE(SUBSTITUTE(TRIM('수출입 실적(품목별)'!H2564),",","")),"")</f>
        <v>-2044</v>
      </c>
    </row>
    <row r="2561" customFormat="false" ht="15" hidden="false" customHeight="true" outlineLevel="0" collapsed="false">
      <c r="A2561" s="11" t="str">
        <f aca="false">TRIM('수출입 실적(품목별)'!A2565)</f>
        <v>2026.03</v>
      </c>
      <c r="B2561" s="17" t="n">
        <f aca="false">IFERROR(VALUE(LEFT($A2561,4)),"")</f>
        <v>2026</v>
      </c>
      <c r="C2561" s="17" t="n">
        <f aca="false">IFERROR(VALUE(RIGHT($A2561,2)),"")</f>
        <v>3</v>
      </c>
      <c r="D2561" s="17" t="n">
        <f aca="false">IFERROR(ROUNDUP($C2561/3,0),"")</f>
        <v>1</v>
      </c>
      <c r="E2561" s="11" t="str">
        <f aca="false">TRIM('수출입 실적(품목별)'!B2565)</f>
        <v>58</v>
      </c>
      <c r="F2561" s="11" t="str">
        <f aca="false">TRIM('수출입 실적(품목별)'!C2565)</f>
        <v>특수직물, 터프트(tuft)한 직물, 레이스, 태피스트리(tapestry), 트리밍(trimming), 자수천</v>
      </c>
      <c r="G2561" s="18" t="n">
        <f aca="false">IFERROR(VALUE(SUBSTITUTE(TRIM('수출입 실적(품목별)'!D2565),",","")),"")</f>
        <v>1282.4</v>
      </c>
      <c r="H2561" s="19" t="n">
        <f aca="false">IFERROR(VALUE(SUBSTITUTE(TRIM('수출입 실적(품목별)'!E2565),",","")),"")</f>
        <v>14841</v>
      </c>
      <c r="I2561" s="18" t="n">
        <f aca="false">IFERROR(VALUE(SUBSTITUTE(TRIM('수출입 실적(품목별)'!F2565),",","")),"")</f>
        <v>633.7</v>
      </c>
      <c r="J2561" s="19" t="n">
        <f aca="false">IFERROR(VALUE(SUBSTITUTE(TRIM('수출입 실적(품목별)'!G2565),",","")),"")</f>
        <v>5481</v>
      </c>
      <c r="K2561" s="19" t="n">
        <f aca="false">IFERROR(VALUE(SUBSTITUTE(TRIM('수출입 실적(품목별)'!H2565),",","")),"")</f>
        <v>9360</v>
      </c>
    </row>
    <row r="2562" customFormat="false" ht="15" hidden="false" customHeight="true" outlineLevel="0" collapsed="false">
      <c r="A2562" s="11" t="str">
        <f aca="false">TRIM('수출입 실적(품목별)'!A2566)</f>
        <v>2026.03</v>
      </c>
      <c r="B2562" s="17" t="n">
        <f aca="false">IFERROR(VALUE(LEFT($A2562,4)),"")</f>
        <v>2026</v>
      </c>
      <c r="C2562" s="17" t="n">
        <f aca="false">IFERROR(VALUE(RIGHT($A2562,2)),"")</f>
        <v>3</v>
      </c>
      <c r="D2562" s="17" t="n">
        <f aca="false">IFERROR(ROUNDUP($C2562/3,0),"")</f>
        <v>1</v>
      </c>
      <c r="E2562" s="11" t="str">
        <f aca="false">TRIM('수출입 실적(품목별)'!B2566)</f>
        <v>59</v>
      </c>
      <c r="F2562" s="11" t="str">
        <f aca="false">TRIM('수출입 실적(품목별)'!C2566)</f>
        <v>침투ㆍ도포ㆍ피복하거나 적층한 방직용 섬유의 직물, 공업용인 방직용 섬유제품</v>
      </c>
      <c r="G2562" s="18" t="n">
        <f aca="false">IFERROR(VALUE(SUBSTITUTE(TRIM('수출입 실적(품목별)'!D2566),",","")),"")</f>
        <v>9745.9</v>
      </c>
      <c r="H2562" s="19" t="n">
        <f aca="false">IFERROR(VALUE(SUBSTITUTE(TRIM('수출입 실적(품목별)'!E2566),",","")),"")</f>
        <v>98346</v>
      </c>
      <c r="I2562" s="18" t="n">
        <f aca="false">IFERROR(VALUE(SUBSTITUTE(TRIM('수출입 실적(품목별)'!F2566),",","")),"")</f>
        <v>5908.5</v>
      </c>
      <c r="J2562" s="19" t="n">
        <f aca="false">IFERROR(VALUE(SUBSTITUTE(TRIM('수출입 실적(품목별)'!G2566),",","")),"")</f>
        <v>35076</v>
      </c>
      <c r="K2562" s="19" t="n">
        <f aca="false">IFERROR(VALUE(SUBSTITUTE(TRIM('수출입 실적(품목별)'!H2566),",","")),"")</f>
        <v>63270</v>
      </c>
    </row>
    <row r="2563" customFormat="false" ht="15" hidden="false" customHeight="true" outlineLevel="0" collapsed="false">
      <c r="A2563" s="11" t="str">
        <f aca="false">TRIM('수출입 실적(품목별)'!A2567)</f>
        <v>2026.03</v>
      </c>
      <c r="B2563" s="17" t="n">
        <f aca="false">IFERROR(VALUE(LEFT($A2563,4)),"")</f>
        <v>2026</v>
      </c>
      <c r="C2563" s="17" t="n">
        <f aca="false">IFERROR(VALUE(RIGHT($A2563,2)),"")</f>
        <v>3</v>
      </c>
      <c r="D2563" s="17" t="n">
        <f aca="false">IFERROR(ROUNDUP($C2563/3,0),"")</f>
        <v>1</v>
      </c>
      <c r="E2563" s="11" t="str">
        <f aca="false">TRIM('수출입 실적(품목별)'!B2567)</f>
        <v>60</v>
      </c>
      <c r="F2563" s="11" t="str">
        <f aca="false">TRIM('수출입 실적(품목별)'!C2567)</f>
        <v>메리야스 편물과 뜨개질 편물</v>
      </c>
      <c r="G2563" s="18" t="n">
        <f aca="false">IFERROR(VALUE(SUBSTITUTE(TRIM('수출입 실적(품목별)'!D2567),",","")),"")</f>
        <v>16166.1</v>
      </c>
      <c r="H2563" s="19" t="n">
        <f aca="false">IFERROR(VALUE(SUBSTITUTE(TRIM('수출입 실적(품목별)'!E2567),",","")),"")</f>
        <v>121473</v>
      </c>
      <c r="I2563" s="18" t="n">
        <f aca="false">IFERROR(VALUE(SUBSTITUTE(TRIM('수출입 실적(품목별)'!F2567),",","")),"")</f>
        <v>1499.4</v>
      </c>
      <c r="J2563" s="19" t="n">
        <f aca="false">IFERROR(VALUE(SUBSTITUTE(TRIM('수출입 실적(품목별)'!G2567),",","")),"")</f>
        <v>7958</v>
      </c>
      <c r="K2563" s="19" t="n">
        <f aca="false">IFERROR(VALUE(SUBSTITUTE(TRIM('수출입 실적(품목별)'!H2567),",","")),"")</f>
        <v>113515</v>
      </c>
    </row>
    <row r="2564" customFormat="false" ht="15" hidden="false" customHeight="true" outlineLevel="0" collapsed="false">
      <c r="A2564" s="11" t="str">
        <f aca="false">TRIM('수출입 실적(품목별)'!A2568)</f>
        <v>2026.03</v>
      </c>
      <c r="B2564" s="17" t="n">
        <f aca="false">IFERROR(VALUE(LEFT($A2564,4)),"")</f>
        <v>2026</v>
      </c>
      <c r="C2564" s="17" t="n">
        <f aca="false">IFERROR(VALUE(RIGHT($A2564,2)),"")</f>
        <v>3</v>
      </c>
      <c r="D2564" s="17" t="n">
        <f aca="false">IFERROR(ROUNDUP($C2564/3,0),"")</f>
        <v>1</v>
      </c>
      <c r="E2564" s="11" t="str">
        <f aca="false">TRIM('수출입 실적(품목별)'!B2568)</f>
        <v>61</v>
      </c>
      <c r="F2564" s="11" t="str">
        <f aca="false">TRIM('수출입 실적(품목별)'!C2568)</f>
        <v>의류와 그 부속품(메리야스 편물이나 뜨개질 편물로 한정한다)</v>
      </c>
      <c r="G2564" s="18" t="n">
        <f aca="false">IFERROR(VALUE(SUBSTITUTE(TRIM('수출입 실적(품목별)'!D2568),",","")),"")</f>
        <v>2515</v>
      </c>
      <c r="H2564" s="19" t="n">
        <f aca="false">IFERROR(VALUE(SUBSTITUTE(TRIM('수출입 실적(품목별)'!E2568),",","")),"")</f>
        <v>79589</v>
      </c>
      <c r="I2564" s="18" t="n">
        <f aca="false">IFERROR(VALUE(SUBSTITUTE(TRIM('수출입 실적(품목별)'!F2568),",","")),"")</f>
        <v>22325.7</v>
      </c>
      <c r="J2564" s="19" t="n">
        <f aca="false">IFERROR(VALUE(SUBSTITUTE(TRIM('수출입 실적(품목별)'!G2568),",","")),"")</f>
        <v>464940</v>
      </c>
      <c r="K2564" s="19" t="n">
        <f aca="false">IFERROR(VALUE(SUBSTITUTE(TRIM('수출입 실적(품목별)'!H2568),",","")),"")</f>
        <v>-385351</v>
      </c>
    </row>
    <row r="2565" customFormat="false" ht="15" hidden="false" customHeight="true" outlineLevel="0" collapsed="false">
      <c r="A2565" s="11" t="str">
        <f aca="false">TRIM('수출입 실적(품목별)'!A2569)</f>
        <v>2026.03</v>
      </c>
      <c r="B2565" s="17" t="n">
        <f aca="false">IFERROR(VALUE(LEFT($A2565,4)),"")</f>
        <v>2026</v>
      </c>
      <c r="C2565" s="17" t="n">
        <f aca="false">IFERROR(VALUE(RIGHT($A2565,2)),"")</f>
        <v>3</v>
      </c>
      <c r="D2565" s="17" t="n">
        <f aca="false">IFERROR(ROUNDUP($C2565/3,0),"")</f>
        <v>1</v>
      </c>
      <c r="E2565" s="11" t="str">
        <f aca="false">TRIM('수출입 실적(품목별)'!B2569)</f>
        <v>62</v>
      </c>
      <c r="F2565" s="11" t="str">
        <f aca="false">TRIM('수출입 실적(품목별)'!C2569)</f>
        <v>의류와 그 부속품(메리야스 편물이나 뜨개질편물은 제외한다)</v>
      </c>
      <c r="G2565" s="18" t="n">
        <f aca="false">IFERROR(VALUE(SUBSTITUTE(TRIM('수출입 실적(품목별)'!D2569),",","")),"")</f>
        <v>2630.9</v>
      </c>
      <c r="H2565" s="19" t="n">
        <f aca="false">IFERROR(VALUE(SUBSTITUTE(TRIM('수출입 실적(품목별)'!E2569),",","")),"")</f>
        <v>85445</v>
      </c>
      <c r="I2565" s="18" t="n">
        <f aca="false">IFERROR(VALUE(SUBSTITUTE(TRIM('수출입 실적(품목별)'!F2569),",","")),"")</f>
        <v>19910.3</v>
      </c>
      <c r="J2565" s="19" t="n">
        <f aca="false">IFERROR(VALUE(SUBSTITUTE(TRIM('수출입 실적(품목별)'!G2569),",","")),"")</f>
        <v>571988</v>
      </c>
      <c r="K2565" s="19" t="n">
        <f aca="false">IFERROR(VALUE(SUBSTITUTE(TRIM('수출입 실적(품목별)'!H2569),",","")),"")</f>
        <v>-486544</v>
      </c>
    </row>
    <row r="2566" customFormat="false" ht="15" hidden="false" customHeight="true" outlineLevel="0" collapsed="false">
      <c r="A2566" s="11" t="str">
        <f aca="false">TRIM('수출입 실적(품목별)'!A2570)</f>
        <v>2026.03</v>
      </c>
      <c r="B2566" s="17" t="n">
        <f aca="false">IFERROR(VALUE(LEFT($A2566,4)),"")</f>
        <v>2026</v>
      </c>
      <c r="C2566" s="17" t="n">
        <f aca="false">IFERROR(VALUE(RIGHT($A2566,2)),"")</f>
        <v>3</v>
      </c>
      <c r="D2566" s="17" t="n">
        <f aca="false">IFERROR(ROUNDUP($C2566/3,0),"")</f>
        <v>1</v>
      </c>
      <c r="E2566" s="11" t="str">
        <f aca="false">TRIM('수출입 실적(품목별)'!B2570)</f>
        <v>63</v>
      </c>
      <c r="F2566" s="11" t="str">
        <f aca="false">TRIM('수출입 실적(품목별)'!C2570)</f>
        <v>제품으로 된 방직용 섬유의 그 밖의 물품, 세트, 사용하던 의류ㆍ방직용 섬유제품, 넝마</v>
      </c>
      <c r="G2566" s="18" t="n">
        <f aca="false">IFERROR(VALUE(SUBSTITUTE(TRIM('수출입 실적(품목별)'!D2570),",","")),"")</f>
        <v>25716.2</v>
      </c>
      <c r="H2566" s="19" t="n">
        <f aca="false">IFERROR(VALUE(SUBSTITUTE(TRIM('수출입 실적(품목별)'!E2570),",","")),"")</f>
        <v>48525</v>
      </c>
      <c r="I2566" s="18" t="n">
        <f aca="false">IFERROR(VALUE(SUBSTITUTE(TRIM('수출입 실적(품목별)'!F2570),",","")),"")</f>
        <v>22945.2</v>
      </c>
      <c r="J2566" s="19" t="n">
        <f aca="false">IFERROR(VALUE(SUBSTITUTE(TRIM('수출입 실적(품목별)'!G2570),",","")),"")</f>
        <v>94174</v>
      </c>
      <c r="K2566" s="19" t="n">
        <f aca="false">IFERROR(VALUE(SUBSTITUTE(TRIM('수출입 실적(품목별)'!H2570),",","")),"")</f>
        <v>-45649</v>
      </c>
    </row>
    <row r="2567" customFormat="false" ht="15" hidden="false" customHeight="true" outlineLevel="0" collapsed="false">
      <c r="A2567" s="11" t="str">
        <f aca="false">TRIM('수출입 실적(품목별)'!A2571)</f>
        <v>2026.03</v>
      </c>
      <c r="B2567" s="17" t="n">
        <f aca="false">IFERROR(VALUE(LEFT($A2567,4)),"")</f>
        <v>2026</v>
      </c>
      <c r="C2567" s="17" t="n">
        <f aca="false">IFERROR(VALUE(RIGHT($A2567,2)),"")</f>
        <v>3</v>
      </c>
      <c r="D2567" s="17" t="n">
        <f aca="false">IFERROR(ROUNDUP($C2567/3,0),"")</f>
        <v>1</v>
      </c>
      <c r="E2567" s="11" t="str">
        <f aca="false">TRIM('수출입 실적(품목별)'!B2571)</f>
        <v>64</v>
      </c>
      <c r="F2567" s="11" t="str">
        <f aca="false">TRIM('수출입 실적(품목별)'!C2571)</f>
        <v>신발류ㆍ각반과 이와 유사한 것, 이들의 부분품</v>
      </c>
      <c r="G2567" s="18" t="n">
        <f aca="false">IFERROR(VALUE(SUBSTITUTE(TRIM('수출입 실적(품목별)'!D2571),",","")),"")</f>
        <v>1405.2</v>
      </c>
      <c r="H2567" s="19" t="n">
        <f aca="false">IFERROR(VALUE(SUBSTITUTE(TRIM('수출입 실적(품목별)'!E2571),",","")),"")</f>
        <v>38534</v>
      </c>
      <c r="I2567" s="18" t="n">
        <f aca="false">IFERROR(VALUE(SUBSTITUTE(TRIM('수출입 실적(품목별)'!F2571),",","")),"")</f>
        <v>9813.5</v>
      </c>
      <c r="J2567" s="19" t="n">
        <f aca="false">IFERROR(VALUE(SUBSTITUTE(TRIM('수출입 실적(품목별)'!G2571),",","")),"")</f>
        <v>282512</v>
      </c>
      <c r="K2567" s="19" t="n">
        <f aca="false">IFERROR(VALUE(SUBSTITUTE(TRIM('수출입 실적(품목별)'!H2571),",","")),"")</f>
        <v>-243979</v>
      </c>
    </row>
    <row r="2568" customFormat="false" ht="15" hidden="false" customHeight="true" outlineLevel="0" collapsed="false">
      <c r="A2568" s="11" t="str">
        <f aca="false">TRIM('수출입 실적(품목별)'!A2572)</f>
        <v>2026.03</v>
      </c>
      <c r="B2568" s="17" t="n">
        <f aca="false">IFERROR(VALUE(LEFT($A2568,4)),"")</f>
        <v>2026</v>
      </c>
      <c r="C2568" s="17" t="n">
        <f aca="false">IFERROR(VALUE(RIGHT($A2568,2)),"")</f>
        <v>3</v>
      </c>
      <c r="D2568" s="17" t="n">
        <f aca="false">IFERROR(ROUNDUP($C2568/3,0),"")</f>
        <v>1</v>
      </c>
      <c r="E2568" s="11" t="str">
        <f aca="false">TRIM('수출입 실적(품목별)'!B2572)</f>
        <v>65</v>
      </c>
      <c r="F2568" s="11" t="str">
        <f aca="false">TRIM('수출입 실적(품목별)'!C2572)</f>
        <v>모자류와 그 부분품</v>
      </c>
      <c r="G2568" s="18" t="n">
        <f aca="false">IFERROR(VALUE(SUBSTITUTE(TRIM('수출입 실적(품목별)'!D2572),",","")),"")</f>
        <v>268.4</v>
      </c>
      <c r="H2568" s="19" t="n">
        <f aca="false">IFERROR(VALUE(SUBSTITUTE(TRIM('수출입 실적(품목별)'!E2572),",","")),"")</f>
        <v>10193</v>
      </c>
      <c r="I2568" s="18" t="n">
        <f aca="false">IFERROR(VALUE(SUBSTITUTE(TRIM('수출입 실적(품목별)'!F2572),",","")),"")</f>
        <v>843.4</v>
      </c>
      <c r="J2568" s="19" t="n">
        <f aca="false">IFERROR(VALUE(SUBSTITUTE(TRIM('수출입 실적(품목별)'!G2572),",","")),"")</f>
        <v>25860</v>
      </c>
      <c r="K2568" s="19" t="n">
        <f aca="false">IFERROR(VALUE(SUBSTITUTE(TRIM('수출입 실적(품목별)'!H2572),",","")),"")</f>
        <v>-15667</v>
      </c>
    </row>
    <row r="2569" customFormat="false" ht="15" hidden="false" customHeight="true" outlineLevel="0" collapsed="false">
      <c r="A2569" s="11" t="str">
        <f aca="false">TRIM('수출입 실적(품목별)'!A2573)</f>
        <v>2026.03</v>
      </c>
      <c r="B2569" s="17" t="n">
        <f aca="false">IFERROR(VALUE(LEFT($A2569,4)),"")</f>
        <v>2026</v>
      </c>
      <c r="C2569" s="17" t="n">
        <f aca="false">IFERROR(VALUE(RIGHT($A2569,2)),"")</f>
        <v>3</v>
      </c>
      <c r="D2569" s="17" t="n">
        <f aca="false">IFERROR(ROUNDUP($C2569/3,0),"")</f>
        <v>1</v>
      </c>
      <c r="E2569" s="11" t="str">
        <f aca="false">TRIM('수출입 실적(품목별)'!B2573)</f>
        <v>66</v>
      </c>
      <c r="F2569" s="11" t="str">
        <f aca="false">TRIM('수출입 실적(품목별)'!C2573)</f>
        <v>산류(傘類)ㆍ지팡이ㆍ시트스틱(seat-stick)ㆍ채찍ㆍ승마용 채찍과 이들의 부분품</v>
      </c>
      <c r="G2569" s="18" t="n">
        <f aca="false">IFERROR(VALUE(SUBSTITUTE(TRIM('수출입 실적(품목별)'!D2573),",","")),"")</f>
        <v>7.6</v>
      </c>
      <c r="H2569" s="19" t="n">
        <f aca="false">IFERROR(VALUE(SUBSTITUTE(TRIM('수출입 실적(품목별)'!E2573),",","")),"")</f>
        <v>307</v>
      </c>
      <c r="I2569" s="18" t="n">
        <f aca="false">IFERROR(VALUE(SUBSTITUTE(TRIM('수출입 실적(품목별)'!F2573),",","")),"")</f>
        <v>1195.4</v>
      </c>
      <c r="J2569" s="19" t="n">
        <f aca="false">IFERROR(VALUE(SUBSTITUTE(TRIM('수출입 실적(품목별)'!G2573),",","")),"")</f>
        <v>8803</v>
      </c>
      <c r="K2569" s="19" t="n">
        <f aca="false">IFERROR(VALUE(SUBSTITUTE(TRIM('수출입 실적(품목별)'!H2573),",","")),"")</f>
        <v>-8496</v>
      </c>
    </row>
    <row r="2570" customFormat="false" ht="15" hidden="false" customHeight="true" outlineLevel="0" collapsed="false">
      <c r="A2570" s="11" t="str">
        <f aca="false">TRIM('수출입 실적(품목별)'!A2574)</f>
        <v>2026.03</v>
      </c>
      <c r="B2570" s="17" t="n">
        <f aca="false">IFERROR(VALUE(LEFT($A2570,4)),"")</f>
        <v>2026</v>
      </c>
      <c r="C2570" s="17" t="n">
        <f aca="false">IFERROR(VALUE(RIGHT($A2570,2)),"")</f>
        <v>3</v>
      </c>
      <c r="D2570" s="17" t="n">
        <f aca="false">IFERROR(ROUNDUP($C2570/3,0),"")</f>
        <v>1</v>
      </c>
      <c r="E2570" s="11" t="str">
        <f aca="false">TRIM('수출입 실적(품목별)'!B2574)</f>
        <v>67</v>
      </c>
      <c r="F2570" s="11" t="str">
        <f aca="false">TRIM('수출입 실적(품목별)'!C2574)</f>
        <v>조제 깃털ㆍ솜털과 그 제품, 조화, 사람 머리카락으로 된 제품</v>
      </c>
      <c r="G2570" s="18" t="n">
        <f aca="false">IFERROR(VALUE(SUBSTITUTE(TRIM('수출입 실적(품목별)'!D2574),",","")),"")</f>
        <v>27.1</v>
      </c>
      <c r="H2570" s="19" t="n">
        <f aca="false">IFERROR(VALUE(SUBSTITUTE(TRIM('수출입 실적(품목별)'!E2574),",","")),"")</f>
        <v>1795</v>
      </c>
      <c r="I2570" s="18" t="n">
        <f aca="false">IFERROR(VALUE(SUBSTITUTE(TRIM('수출입 실적(품목별)'!F2574),",","")),"")</f>
        <v>411.7</v>
      </c>
      <c r="J2570" s="19" t="n">
        <f aca="false">IFERROR(VALUE(SUBSTITUTE(TRIM('수출입 실적(품목별)'!G2574),",","")),"")</f>
        <v>8940</v>
      </c>
      <c r="K2570" s="19" t="n">
        <f aca="false">IFERROR(VALUE(SUBSTITUTE(TRIM('수출입 실적(품목별)'!H2574),",","")),"")</f>
        <v>-7145</v>
      </c>
    </row>
    <row r="2571" customFormat="false" ht="15" hidden="false" customHeight="true" outlineLevel="0" collapsed="false">
      <c r="A2571" s="11" t="str">
        <f aca="false">TRIM('수출입 실적(품목별)'!A2575)</f>
        <v>2026.03</v>
      </c>
      <c r="B2571" s="17" t="n">
        <f aca="false">IFERROR(VALUE(LEFT($A2571,4)),"")</f>
        <v>2026</v>
      </c>
      <c r="C2571" s="17" t="n">
        <f aca="false">IFERROR(VALUE(RIGHT($A2571,2)),"")</f>
        <v>3</v>
      </c>
      <c r="D2571" s="17" t="n">
        <f aca="false">IFERROR(ROUNDUP($C2571/3,0),"")</f>
        <v>1</v>
      </c>
      <c r="E2571" s="11" t="str">
        <f aca="false">TRIM('수출입 실적(품목별)'!B2575)</f>
        <v>68</v>
      </c>
      <c r="F2571" s="11" t="str">
        <f aca="false">TRIM('수출입 실적(품목별)'!C2575)</f>
        <v>돌ㆍ플라스터(plaster)ㆍ시멘트ㆍ석면ㆍ운모나 이와 유사한 재료의 제품</v>
      </c>
      <c r="G2571" s="18" t="n">
        <f aca="false">IFERROR(VALUE(SUBSTITUTE(TRIM('수출입 실적(품목별)'!D2575),",","")),"")</f>
        <v>12103.7</v>
      </c>
      <c r="H2571" s="19" t="n">
        <f aca="false">IFERROR(VALUE(SUBSTITUTE(TRIM('수출입 실적(품목별)'!E2575),",","")),"")</f>
        <v>85164</v>
      </c>
      <c r="I2571" s="18" t="n">
        <f aca="false">IFERROR(VALUE(SUBSTITUTE(TRIM('수출입 실적(품목별)'!F2575),",","")),"")</f>
        <v>131236.6</v>
      </c>
      <c r="J2571" s="19" t="n">
        <f aca="false">IFERROR(VALUE(SUBSTITUTE(TRIM('수출입 실적(품목별)'!G2575),",","")),"")</f>
        <v>95897</v>
      </c>
      <c r="K2571" s="19" t="n">
        <f aca="false">IFERROR(VALUE(SUBSTITUTE(TRIM('수출입 실적(품목별)'!H2575),",","")),"")</f>
        <v>-10732</v>
      </c>
    </row>
    <row r="2572" customFormat="false" ht="15" hidden="false" customHeight="true" outlineLevel="0" collapsed="false">
      <c r="A2572" s="11" t="str">
        <f aca="false">TRIM('수출입 실적(품목별)'!A2576)</f>
        <v>2026.03</v>
      </c>
      <c r="B2572" s="17" t="n">
        <f aca="false">IFERROR(VALUE(LEFT($A2572,4)),"")</f>
        <v>2026</v>
      </c>
      <c r="C2572" s="17" t="n">
        <f aca="false">IFERROR(VALUE(RIGHT($A2572,2)),"")</f>
        <v>3</v>
      </c>
      <c r="D2572" s="17" t="n">
        <f aca="false">IFERROR(ROUNDUP($C2572/3,0),"")</f>
        <v>1</v>
      </c>
      <c r="E2572" s="11" t="str">
        <f aca="false">TRIM('수출입 실적(품목별)'!B2576)</f>
        <v>69</v>
      </c>
      <c r="F2572" s="11" t="str">
        <f aca="false">TRIM('수출입 실적(품목별)'!C2576)</f>
        <v>도자제품</v>
      </c>
      <c r="G2572" s="18" t="n">
        <f aca="false">IFERROR(VALUE(SUBSTITUTE(TRIM('수출입 실적(품목별)'!D2576),",","")),"")</f>
        <v>2687.2</v>
      </c>
      <c r="H2572" s="19" t="n">
        <f aca="false">IFERROR(VALUE(SUBSTITUTE(TRIM('수출입 실적(품목별)'!E2576),",","")),"")</f>
        <v>34527</v>
      </c>
      <c r="I2572" s="18" t="n">
        <f aca="false">IFERROR(VALUE(SUBSTITUTE(TRIM('수출입 실적(품목별)'!F2576),",","")),"")</f>
        <v>128373.5</v>
      </c>
      <c r="J2572" s="19" t="n">
        <f aca="false">IFERROR(VALUE(SUBSTITUTE(TRIM('수출입 실적(품목별)'!G2576),",","")),"")</f>
        <v>120255</v>
      </c>
      <c r="K2572" s="19" t="n">
        <f aca="false">IFERROR(VALUE(SUBSTITUTE(TRIM('수출입 실적(품목별)'!H2576),",","")),"")</f>
        <v>-85728</v>
      </c>
    </row>
    <row r="2573" customFormat="false" ht="15" hidden="false" customHeight="true" outlineLevel="0" collapsed="false">
      <c r="A2573" s="11" t="str">
        <f aca="false">TRIM('수출입 실적(품목별)'!A2577)</f>
        <v>2026.03</v>
      </c>
      <c r="B2573" s="17" t="n">
        <f aca="false">IFERROR(VALUE(LEFT($A2573,4)),"")</f>
        <v>2026</v>
      </c>
      <c r="C2573" s="17" t="n">
        <f aca="false">IFERROR(VALUE(RIGHT($A2573,2)),"")</f>
        <v>3</v>
      </c>
      <c r="D2573" s="17" t="n">
        <f aca="false">IFERROR(ROUNDUP($C2573/3,0),"")</f>
        <v>1</v>
      </c>
      <c r="E2573" s="11" t="str">
        <f aca="false">TRIM('수출입 실적(품목별)'!B2577)</f>
        <v>70</v>
      </c>
      <c r="F2573" s="11" t="str">
        <f aca="false">TRIM('수출입 실적(품목별)'!C2577)</f>
        <v>유리와 유리제품</v>
      </c>
      <c r="G2573" s="18" t="n">
        <f aca="false">IFERROR(VALUE(SUBSTITUTE(TRIM('수출입 실적(품목별)'!D2577),",","")),"")</f>
        <v>28493.2</v>
      </c>
      <c r="H2573" s="19" t="n">
        <f aca="false">IFERROR(VALUE(SUBSTITUTE(TRIM('수출입 실적(품목별)'!E2577),",","")),"")</f>
        <v>146264</v>
      </c>
      <c r="I2573" s="18" t="n">
        <f aca="false">IFERROR(VALUE(SUBSTITUTE(TRIM('수출입 실적(품목별)'!F2577),",","")),"")</f>
        <v>86913.4</v>
      </c>
      <c r="J2573" s="19" t="n">
        <f aca="false">IFERROR(VALUE(SUBSTITUTE(TRIM('수출입 실적(품목별)'!G2577),",","")),"")</f>
        <v>261083</v>
      </c>
      <c r="K2573" s="19" t="n">
        <f aca="false">IFERROR(VALUE(SUBSTITUTE(TRIM('수출입 실적(품목별)'!H2577),",","")),"")</f>
        <v>-114818</v>
      </c>
    </row>
    <row r="2574" customFormat="false" ht="15" hidden="false" customHeight="true" outlineLevel="0" collapsed="false">
      <c r="A2574" s="11" t="str">
        <f aca="false">TRIM('수출입 실적(품목별)'!A2578)</f>
        <v>2026.03</v>
      </c>
      <c r="B2574" s="17" t="n">
        <f aca="false">IFERROR(VALUE(LEFT($A2574,4)),"")</f>
        <v>2026</v>
      </c>
      <c r="C2574" s="17" t="n">
        <f aca="false">IFERROR(VALUE(RIGHT($A2574,2)),"")</f>
        <v>3</v>
      </c>
      <c r="D2574" s="17" t="n">
        <f aca="false">IFERROR(ROUNDUP($C2574/3,0),"")</f>
        <v>1</v>
      </c>
      <c r="E2574" s="11" t="str">
        <f aca="false">TRIM('수출입 실적(품목별)'!B2578)</f>
        <v>71</v>
      </c>
      <c r="F2574" s="11" t="str">
        <f aca="false">TRIM('수출입 실적(품목별)'!C2578)</f>
        <v>천연진주ㆍ양식진주ㆍ귀석ㆍ반귀석ㆍ귀금속ㆍ귀금속을 입힌 금속과 이들의 제품, 모조 신변장식용품, 주화</v>
      </c>
      <c r="G2574" s="18" t="n">
        <f aca="false">IFERROR(VALUE(SUBSTITUTE(TRIM('수출입 실적(품목별)'!D2578),",","")),"")</f>
        <v>754.7</v>
      </c>
      <c r="H2574" s="19" t="n">
        <f aca="false">IFERROR(VALUE(SUBSTITUTE(TRIM('수출입 실적(품목별)'!E2578),",","")),"")</f>
        <v>1856347</v>
      </c>
      <c r="I2574" s="18" t="n">
        <f aca="false">IFERROR(VALUE(SUBSTITUTE(TRIM('수출입 실적(품목별)'!F2578),",","")),"")</f>
        <v>1793.9</v>
      </c>
      <c r="J2574" s="19" t="n">
        <f aca="false">IFERROR(VALUE(SUBSTITUTE(TRIM('수출입 실적(품목별)'!G2578),",","")),"")</f>
        <v>1328718</v>
      </c>
      <c r="K2574" s="19" t="n">
        <f aca="false">IFERROR(VALUE(SUBSTITUTE(TRIM('수출입 실적(품목별)'!H2578),",","")),"")</f>
        <v>527629</v>
      </c>
    </row>
    <row r="2575" customFormat="false" ht="15" hidden="false" customHeight="true" outlineLevel="0" collapsed="false">
      <c r="A2575" s="11" t="str">
        <f aca="false">TRIM('수출입 실적(품목별)'!A2579)</f>
        <v>2026.03</v>
      </c>
      <c r="B2575" s="17" t="n">
        <f aca="false">IFERROR(VALUE(LEFT($A2575,4)),"")</f>
        <v>2026</v>
      </c>
      <c r="C2575" s="17" t="n">
        <f aca="false">IFERROR(VALUE(RIGHT($A2575,2)),"")</f>
        <v>3</v>
      </c>
      <c r="D2575" s="17" t="n">
        <f aca="false">IFERROR(ROUNDUP($C2575/3,0),"")</f>
        <v>1</v>
      </c>
      <c r="E2575" s="11" t="str">
        <f aca="false">TRIM('수출입 실적(품목별)'!B2579)</f>
        <v>72</v>
      </c>
      <c r="F2575" s="11" t="str">
        <f aca="false">TRIM('수출입 실적(품목별)'!C2579)</f>
        <v>철강</v>
      </c>
      <c r="G2575" s="18" t="n">
        <f aca="false">IFERROR(VALUE(SUBSTITUTE(TRIM('수출입 실적(품목별)'!D2579),",","")),"")</f>
        <v>2238274.8</v>
      </c>
      <c r="H2575" s="19" t="n">
        <f aca="false">IFERROR(VALUE(SUBSTITUTE(TRIM('수출입 실적(품목별)'!E2579),",","")),"")</f>
        <v>1922047</v>
      </c>
      <c r="I2575" s="18" t="n">
        <f aca="false">IFERROR(VALUE(SUBSTITUTE(TRIM('수출입 실적(품목별)'!F2579),",","")),"")</f>
        <v>1328612.7</v>
      </c>
      <c r="J2575" s="19" t="n">
        <f aca="false">IFERROR(VALUE(SUBSTITUTE(TRIM('수출입 실적(품목별)'!G2579),",","")),"")</f>
        <v>1030824</v>
      </c>
      <c r="K2575" s="19" t="n">
        <f aca="false">IFERROR(VALUE(SUBSTITUTE(TRIM('수출입 실적(품목별)'!H2579),",","")),"")</f>
        <v>891224</v>
      </c>
    </row>
    <row r="2576" customFormat="false" ht="15" hidden="false" customHeight="true" outlineLevel="0" collapsed="false">
      <c r="A2576" s="11" t="str">
        <f aca="false">TRIM('수출입 실적(품목별)'!A2580)</f>
        <v>2026.03</v>
      </c>
      <c r="B2576" s="17" t="n">
        <f aca="false">IFERROR(VALUE(LEFT($A2576,4)),"")</f>
        <v>2026</v>
      </c>
      <c r="C2576" s="17" t="n">
        <f aca="false">IFERROR(VALUE(RIGHT($A2576,2)),"")</f>
        <v>3</v>
      </c>
      <c r="D2576" s="17" t="n">
        <f aca="false">IFERROR(ROUNDUP($C2576/3,0),"")</f>
        <v>1</v>
      </c>
      <c r="E2576" s="11" t="str">
        <f aca="false">TRIM('수출입 실적(품목별)'!B2580)</f>
        <v>73</v>
      </c>
      <c r="F2576" s="11" t="str">
        <f aca="false">TRIM('수출입 실적(품목별)'!C2580)</f>
        <v>철강의 제품</v>
      </c>
      <c r="G2576" s="18" t="n">
        <f aca="false">IFERROR(VALUE(SUBSTITUTE(TRIM('수출입 실적(품목별)'!D2580),",","")),"")</f>
        <v>278766</v>
      </c>
      <c r="H2576" s="19" t="n">
        <f aca="false">IFERROR(VALUE(SUBSTITUTE(TRIM('수출입 실적(품목별)'!E2580),",","")),"")</f>
        <v>690605</v>
      </c>
      <c r="I2576" s="18" t="n">
        <f aca="false">IFERROR(VALUE(SUBSTITUTE(TRIM('수출입 실적(품목별)'!F2580),",","")),"")</f>
        <v>221110.1</v>
      </c>
      <c r="J2576" s="19" t="n">
        <f aca="false">IFERROR(VALUE(SUBSTITUTE(TRIM('수출입 실적(품목별)'!G2580),",","")),"")</f>
        <v>627533</v>
      </c>
      <c r="K2576" s="19" t="n">
        <f aca="false">IFERROR(VALUE(SUBSTITUTE(TRIM('수출입 실적(품목별)'!H2580),",","")),"")</f>
        <v>63072</v>
      </c>
    </row>
    <row r="2577" customFormat="false" ht="15" hidden="false" customHeight="true" outlineLevel="0" collapsed="false">
      <c r="A2577" s="11" t="str">
        <f aca="false">TRIM('수출입 실적(품목별)'!A2581)</f>
        <v>2026.03</v>
      </c>
      <c r="B2577" s="17" t="n">
        <f aca="false">IFERROR(VALUE(LEFT($A2577,4)),"")</f>
        <v>2026</v>
      </c>
      <c r="C2577" s="17" t="n">
        <f aca="false">IFERROR(VALUE(RIGHT($A2577,2)),"")</f>
        <v>3</v>
      </c>
      <c r="D2577" s="17" t="n">
        <f aca="false">IFERROR(ROUNDUP($C2577/3,0),"")</f>
        <v>1</v>
      </c>
      <c r="E2577" s="11" t="str">
        <f aca="false">TRIM('수출입 실적(품목별)'!B2581)</f>
        <v>74</v>
      </c>
      <c r="F2577" s="11" t="str">
        <f aca="false">TRIM('수출입 실적(품목별)'!C2581)</f>
        <v>구리와 그 제품</v>
      </c>
      <c r="G2577" s="18" t="n">
        <f aca="false">IFERROR(VALUE(SUBSTITUTE(TRIM('수출입 실적(품목별)'!D2581),",","")),"")</f>
        <v>47904.7</v>
      </c>
      <c r="H2577" s="19" t="n">
        <f aca="false">IFERROR(VALUE(SUBSTITUTE(TRIM('수출입 실적(품목별)'!E2581),",","")),"")</f>
        <v>604564</v>
      </c>
      <c r="I2577" s="18" t="n">
        <f aca="false">IFERROR(VALUE(SUBSTITUTE(TRIM('수출입 실적(품목별)'!F2581),",","")),"")</f>
        <v>86103.1</v>
      </c>
      <c r="J2577" s="19" t="n">
        <f aca="false">IFERROR(VALUE(SUBSTITUTE(TRIM('수출입 실적(품목별)'!G2581),",","")),"")</f>
        <v>1106430</v>
      </c>
      <c r="K2577" s="19" t="n">
        <f aca="false">IFERROR(VALUE(SUBSTITUTE(TRIM('수출입 실적(품목별)'!H2581),",","")),"")</f>
        <v>-501866</v>
      </c>
    </row>
    <row r="2578" customFormat="false" ht="15" hidden="false" customHeight="true" outlineLevel="0" collapsed="false">
      <c r="A2578" s="11" t="str">
        <f aca="false">TRIM('수출입 실적(품목별)'!A2582)</f>
        <v>2026.03</v>
      </c>
      <c r="B2578" s="17" t="n">
        <f aca="false">IFERROR(VALUE(LEFT($A2578,4)),"")</f>
        <v>2026</v>
      </c>
      <c r="C2578" s="17" t="n">
        <f aca="false">IFERROR(VALUE(RIGHT($A2578,2)),"")</f>
        <v>3</v>
      </c>
      <c r="D2578" s="17" t="n">
        <f aca="false">IFERROR(ROUNDUP($C2578/3,0),"")</f>
        <v>1</v>
      </c>
      <c r="E2578" s="11" t="str">
        <f aca="false">TRIM('수출입 실적(품목별)'!B2582)</f>
        <v>75</v>
      </c>
      <c r="F2578" s="11" t="str">
        <f aca="false">TRIM('수출입 실적(품목별)'!C2582)</f>
        <v>니켈과 그 제품</v>
      </c>
      <c r="G2578" s="18" t="n">
        <f aca="false">IFERROR(VALUE(SUBSTITUTE(TRIM('수출입 실적(품목별)'!D2582),",","")),"")</f>
        <v>1286.7</v>
      </c>
      <c r="H2578" s="19" t="n">
        <f aca="false">IFERROR(VALUE(SUBSTITUTE(TRIM('수출입 실적(품목별)'!E2582),",","")),"")</f>
        <v>20881</v>
      </c>
      <c r="I2578" s="18" t="n">
        <f aca="false">IFERROR(VALUE(SUBSTITUTE(TRIM('수출입 실적(품목별)'!F2582),",","")),"")</f>
        <v>16890.1</v>
      </c>
      <c r="J2578" s="19" t="n">
        <f aca="false">IFERROR(VALUE(SUBSTITUTE(TRIM('수출입 실적(품목별)'!G2582),",","")),"")</f>
        <v>149084</v>
      </c>
      <c r="K2578" s="19" t="n">
        <f aca="false">IFERROR(VALUE(SUBSTITUTE(TRIM('수출입 실적(품목별)'!H2582),",","")),"")</f>
        <v>-128204</v>
      </c>
    </row>
    <row r="2579" customFormat="false" ht="15" hidden="false" customHeight="true" outlineLevel="0" collapsed="false">
      <c r="A2579" s="11" t="str">
        <f aca="false">TRIM('수출입 실적(품목별)'!A2583)</f>
        <v>2026.03</v>
      </c>
      <c r="B2579" s="17" t="n">
        <f aca="false">IFERROR(VALUE(LEFT($A2579,4)),"")</f>
        <v>2026</v>
      </c>
      <c r="C2579" s="17" t="n">
        <f aca="false">IFERROR(VALUE(RIGHT($A2579,2)),"")</f>
        <v>3</v>
      </c>
      <c r="D2579" s="17" t="n">
        <f aca="false">IFERROR(ROUNDUP($C2579/3,0),"")</f>
        <v>1</v>
      </c>
      <c r="E2579" s="11" t="str">
        <f aca="false">TRIM('수출입 실적(품목별)'!B2583)</f>
        <v>76</v>
      </c>
      <c r="F2579" s="11" t="str">
        <f aca="false">TRIM('수출입 실적(품목별)'!C2583)</f>
        <v>알루미늄과 그 제품</v>
      </c>
      <c r="G2579" s="18" t="n">
        <f aca="false">IFERROR(VALUE(SUBSTITUTE(TRIM('수출입 실적(품목별)'!D2583),",","")),"")</f>
        <v>124136.6</v>
      </c>
      <c r="H2579" s="19" t="n">
        <f aca="false">IFERROR(VALUE(SUBSTITUTE(TRIM('수출입 실적(품목별)'!E2583),",","")),"")</f>
        <v>559081</v>
      </c>
      <c r="I2579" s="18" t="n">
        <f aca="false">IFERROR(VALUE(SUBSTITUTE(TRIM('수출입 실적(품목별)'!F2583),",","")),"")</f>
        <v>244794.5</v>
      </c>
      <c r="J2579" s="19" t="n">
        <f aca="false">IFERROR(VALUE(SUBSTITUTE(TRIM('수출입 실적(품목별)'!G2583),",","")),"")</f>
        <v>871415</v>
      </c>
      <c r="K2579" s="19" t="n">
        <f aca="false">IFERROR(VALUE(SUBSTITUTE(TRIM('수출입 실적(품목별)'!H2583),",","")),"")</f>
        <v>-312334</v>
      </c>
    </row>
    <row r="2580" customFormat="false" ht="15" hidden="false" customHeight="true" outlineLevel="0" collapsed="false">
      <c r="A2580" s="11" t="str">
        <f aca="false">TRIM('수출입 실적(품목별)'!A2584)</f>
        <v>2026.03</v>
      </c>
      <c r="B2580" s="17" t="n">
        <f aca="false">IFERROR(VALUE(LEFT($A2580,4)),"")</f>
        <v>2026</v>
      </c>
      <c r="C2580" s="17" t="n">
        <f aca="false">IFERROR(VALUE(RIGHT($A2580,2)),"")</f>
        <v>3</v>
      </c>
      <c r="D2580" s="17" t="n">
        <f aca="false">IFERROR(ROUNDUP($C2580/3,0),"")</f>
        <v>1</v>
      </c>
      <c r="E2580" s="11" t="str">
        <f aca="false">TRIM('수출입 실적(품목별)'!B2584)</f>
        <v>78</v>
      </c>
      <c r="F2580" s="11" t="str">
        <f aca="false">TRIM('수출입 실적(품목별)'!C2584)</f>
        <v>납과 그 제품</v>
      </c>
      <c r="G2580" s="18" t="n">
        <f aca="false">IFERROR(VALUE(SUBSTITUTE(TRIM('수출입 실적(품목별)'!D2584),",","")),"")</f>
        <v>39422.7</v>
      </c>
      <c r="H2580" s="19" t="n">
        <f aca="false">IFERROR(VALUE(SUBSTITUTE(TRIM('수출입 실적(품목별)'!E2584),",","")),"")</f>
        <v>84944</v>
      </c>
      <c r="I2580" s="18" t="n">
        <f aca="false">IFERROR(VALUE(SUBSTITUTE(TRIM('수출입 실적(품목별)'!F2584),",","")),"")</f>
        <v>16069.2</v>
      </c>
      <c r="J2580" s="19" t="n">
        <f aca="false">IFERROR(VALUE(SUBSTITUTE(TRIM('수출입 실적(품목별)'!G2584),",","")),"")</f>
        <v>36141</v>
      </c>
      <c r="K2580" s="19" t="n">
        <f aca="false">IFERROR(VALUE(SUBSTITUTE(TRIM('수출입 실적(품목별)'!H2584),",","")),"")</f>
        <v>48803</v>
      </c>
    </row>
    <row r="2581" customFormat="false" ht="15" hidden="false" customHeight="true" outlineLevel="0" collapsed="false">
      <c r="A2581" s="11" t="str">
        <f aca="false">TRIM('수출입 실적(품목별)'!A2585)</f>
        <v>2026.03</v>
      </c>
      <c r="B2581" s="17" t="n">
        <f aca="false">IFERROR(VALUE(LEFT($A2581,4)),"")</f>
        <v>2026</v>
      </c>
      <c r="C2581" s="17" t="n">
        <f aca="false">IFERROR(VALUE(RIGHT($A2581,2)),"")</f>
        <v>3</v>
      </c>
      <c r="D2581" s="17" t="n">
        <f aca="false">IFERROR(ROUNDUP($C2581/3,0),"")</f>
        <v>1</v>
      </c>
      <c r="E2581" s="11" t="str">
        <f aca="false">TRIM('수출입 실적(품목별)'!B2585)</f>
        <v>79</v>
      </c>
      <c r="F2581" s="11" t="str">
        <f aca="false">TRIM('수출입 실적(품목별)'!C2585)</f>
        <v>아연과 그 제품</v>
      </c>
      <c r="G2581" s="18" t="n">
        <f aca="false">IFERROR(VALUE(SUBSTITUTE(TRIM('수출입 실적(품목별)'!D2585),",","")),"")</f>
        <v>43781.5</v>
      </c>
      <c r="H2581" s="19" t="n">
        <f aca="false">IFERROR(VALUE(SUBSTITUTE(TRIM('수출입 실적(품목별)'!E2585),",","")),"")</f>
        <v>151809</v>
      </c>
      <c r="I2581" s="18" t="n">
        <f aca="false">IFERROR(VALUE(SUBSTITUTE(TRIM('수출입 실적(품목별)'!F2585),",","")),"")</f>
        <v>1730.2</v>
      </c>
      <c r="J2581" s="19" t="n">
        <f aca="false">IFERROR(VALUE(SUBSTITUTE(TRIM('수출입 실적(품목별)'!G2585),",","")),"")</f>
        <v>9697</v>
      </c>
      <c r="K2581" s="19" t="n">
        <f aca="false">IFERROR(VALUE(SUBSTITUTE(TRIM('수출입 실적(품목별)'!H2585),",","")),"")</f>
        <v>142113</v>
      </c>
    </row>
    <row r="2582" customFormat="false" ht="15" hidden="false" customHeight="true" outlineLevel="0" collapsed="false">
      <c r="A2582" s="11" t="str">
        <f aca="false">TRIM('수출입 실적(품목별)'!A2586)</f>
        <v>2026.03</v>
      </c>
      <c r="B2582" s="17" t="n">
        <f aca="false">IFERROR(VALUE(LEFT($A2582,4)),"")</f>
        <v>2026</v>
      </c>
      <c r="C2582" s="17" t="n">
        <f aca="false">IFERROR(VALUE(RIGHT($A2582,2)),"")</f>
        <v>3</v>
      </c>
      <c r="D2582" s="17" t="n">
        <f aca="false">IFERROR(ROUNDUP($C2582/3,0),"")</f>
        <v>1</v>
      </c>
      <c r="E2582" s="11" t="str">
        <f aca="false">TRIM('수출입 실적(품목별)'!B2586)</f>
        <v>80</v>
      </c>
      <c r="F2582" s="11" t="str">
        <f aca="false">TRIM('수출입 실적(품목별)'!C2586)</f>
        <v>주석과 그 제품</v>
      </c>
      <c r="G2582" s="18" t="n">
        <f aca="false">IFERROR(VALUE(SUBSTITUTE(TRIM('수출입 실적(품목별)'!D2586),",","")),"")</f>
        <v>114.2</v>
      </c>
      <c r="H2582" s="19" t="n">
        <f aca="false">IFERROR(VALUE(SUBSTITUTE(TRIM('수출입 실적(품목별)'!E2586),",","")),"")</f>
        <v>8640</v>
      </c>
      <c r="I2582" s="18" t="n">
        <f aca="false">IFERROR(VALUE(SUBSTITUTE(TRIM('수출입 실적(품목별)'!F2586),",","")),"")</f>
        <v>1261.7</v>
      </c>
      <c r="J2582" s="19" t="n">
        <f aca="false">IFERROR(VALUE(SUBSTITUTE(TRIM('수출입 실적(품목별)'!G2586),",","")),"")</f>
        <v>61444</v>
      </c>
      <c r="K2582" s="19" t="n">
        <f aca="false">IFERROR(VALUE(SUBSTITUTE(TRIM('수출입 실적(품목별)'!H2586),",","")),"")</f>
        <v>-52804</v>
      </c>
    </row>
    <row r="2583" customFormat="false" ht="15" hidden="false" customHeight="true" outlineLevel="0" collapsed="false">
      <c r="A2583" s="11" t="str">
        <f aca="false">TRIM('수출입 실적(품목별)'!A2587)</f>
        <v>2026.03</v>
      </c>
      <c r="B2583" s="17" t="n">
        <f aca="false">IFERROR(VALUE(LEFT($A2583,4)),"")</f>
        <v>2026</v>
      </c>
      <c r="C2583" s="17" t="n">
        <f aca="false">IFERROR(VALUE(RIGHT($A2583,2)),"")</f>
        <v>3</v>
      </c>
      <c r="D2583" s="17" t="n">
        <f aca="false">IFERROR(ROUNDUP($C2583/3,0),"")</f>
        <v>1</v>
      </c>
      <c r="E2583" s="11" t="str">
        <f aca="false">TRIM('수출입 실적(품목별)'!B2587)</f>
        <v>81</v>
      </c>
      <c r="F2583" s="11" t="str">
        <f aca="false">TRIM('수출입 실적(품목별)'!C2587)</f>
        <v>그 밖의 비금속(卑金屬), 서멧(cermet), 이들의 제품</v>
      </c>
      <c r="G2583" s="18" t="n">
        <f aca="false">IFERROR(VALUE(SUBSTITUTE(TRIM('수출입 실적(품목별)'!D2587),",","")),"")</f>
        <v>3378.2</v>
      </c>
      <c r="H2583" s="19" t="n">
        <f aca="false">IFERROR(VALUE(SUBSTITUTE(TRIM('수출입 실적(품목별)'!E2587),",","")),"")</f>
        <v>54961</v>
      </c>
      <c r="I2583" s="18" t="n">
        <f aca="false">IFERROR(VALUE(SUBSTITUTE(TRIM('수출입 실적(품목별)'!F2587),",","")),"")</f>
        <v>13953</v>
      </c>
      <c r="J2583" s="19" t="n">
        <f aca="false">IFERROR(VALUE(SUBSTITUTE(TRIM('수출입 실적(품목별)'!G2587),",","")),"")</f>
        <v>142785</v>
      </c>
      <c r="K2583" s="19" t="n">
        <f aca="false">IFERROR(VALUE(SUBSTITUTE(TRIM('수출입 실적(품목별)'!H2587),",","")),"")</f>
        <v>-87824</v>
      </c>
    </row>
    <row r="2584" customFormat="false" ht="15" hidden="false" customHeight="true" outlineLevel="0" collapsed="false">
      <c r="A2584" s="11" t="str">
        <f aca="false">TRIM('수출입 실적(품목별)'!A2588)</f>
        <v>2026.03</v>
      </c>
      <c r="B2584" s="17" t="n">
        <f aca="false">IFERROR(VALUE(LEFT($A2584,4)),"")</f>
        <v>2026</v>
      </c>
      <c r="C2584" s="17" t="n">
        <f aca="false">IFERROR(VALUE(RIGHT($A2584,2)),"")</f>
        <v>3</v>
      </c>
      <c r="D2584" s="17" t="n">
        <f aca="false">IFERROR(ROUNDUP($C2584/3,0),"")</f>
        <v>1</v>
      </c>
      <c r="E2584" s="11" t="str">
        <f aca="false">TRIM('수출입 실적(품목별)'!B2588)</f>
        <v>82</v>
      </c>
      <c r="F2584" s="11" t="str">
        <f aca="false">TRIM('수출입 실적(품목별)'!C2588)</f>
        <v>비금속(卑金屬)으로 만든 공구ㆍ도구ㆍ칼붙이ㆍ스푼ㆍ포크, 이들의 부분품</v>
      </c>
      <c r="G2584" s="18" t="n">
        <f aca="false">IFERROR(VALUE(SUBSTITUTE(TRIM('수출입 실적(품목별)'!D2588),",","")),"")</f>
        <v>9854</v>
      </c>
      <c r="H2584" s="19" t="n">
        <f aca="false">IFERROR(VALUE(SUBSTITUTE(TRIM('수출입 실적(품목별)'!E2588),",","")),"")</f>
        <v>185029</v>
      </c>
      <c r="I2584" s="18" t="n">
        <f aca="false">IFERROR(VALUE(SUBSTITUTE(TRIM('수출입 실적(품목별)'!F2588),",","")),"")</f>
        <v>4332.2</v>
      </c>
      <c r="J2584" s="19" t="n">
        <f aca="false">IFERROR(VALUE(SUBSTITUTE(TRIM('수출입 실적(품목별)'!G2588),",","")),"")</f>
        <v>88247</v>
      </c>
      <c r="K2584" s="19" t="n">
        <f aca="false">IFERROR(VALUE(SUBSTITUTE(TRIM('수출입 실적(품목별)'!H2588),",","")),"")</f>
        <v>96782</v>
      </c>
    </row>
    <row r="2585" customFormat="false" ht="15" hidden="false" customHeight="true" outlineLevel="0" collapsed="false">
      <c r="A2585" s="11" t="str">
        <f aca="false">TRIM('수출입 실적(품목별)'!A2589)</f>
        <v>2026.03</v>
      </c>
      <c r="B2585" s="17" t="n">
        <f aca="false">IFERROR(VALUE(LEFT($A2585,4)),"")</f>
        <v>2026</v>
      </c>
      <c r="C2585" s="17" t="n">
        <f aca="false">IFERROR(VALUE(RIGHT($A2585,2)),"")</f>
        <v>3</v>
      </c>
      <c r="D2585" s="17" t="n">
        <f aca="false">IFERROR(ROUNDUP($C2585/3,0),"")</f>
        <v>1</v>
      </c>
      <c r="E2585" s="11" t="str">
        <f aca="false">TRIM('수출입 실적(품목별)'!B2589)</f>
        <v>83</v>
      </c>
      <c r="F2585" s="11" t="str">
        <f aca="false">TRIM('수출입 실적(품목별)'!C2589)</f>
        <v>비금속(卑金屬)으로 만든 각종 제품</v>
      </c>
      <c r="G2585" s="18" t="n">
        <f aca="false">IFERROR(VALUE(SUBSTITUTE(TRIM('수출입 실적(품목별)'!D2589),",","")),"")</f>
        <v>23918.2</v>
      </c>
      <c r="H2585" s="19" t="n">
        <f aca="false">IFERROR(VALUE(SUBSTITUTE(TRIM('수출입 실적(품목별)'!E2589),",","")),"")</f>
        <v>141321</v>
      </c>
      <c r="I2585" s="18" t="n">
        <f aca="false">IFERROR(VALUE(SUBSTITUTE(TRIM('수출입 실적(품목별)'!F2589),",","")),"")</f>
        <v>8732.5</v>
      </c>
      <c r="J2585" s="19" t="n">
        <f aca="false">IFERROR(VALUE(SUBSTITUTE(TRIM('수출입 실적(품목별)'!G2589),",","")),"")</f>
        <v>72981</v>
      </c>
      <c r="K2585" s="19" t="n">
        <f aca="false">IFERROR(VALUE(SUBSTITUTE(TRIM('수출입 실적(품목별)'!H2589),",","")),"")</f>
        <v>68341</v>
      </c>
    </row>
    <row r="2586" customFormat="false" ht="15" hidden="false" customHeight="true" outlineLevel="0" collapsed="false">
      <c r="A2586" s="11" t="str">
        <f aca="false">TRIM('수출입 실적(품목별)'!A2590)</f>
        <v>2026.03</v>
      </c>
      <c r="B2586" s="17" t="n">
        <f aca="false">IFERROR(VALUE(LEFT($A2586,4)),"")</f>
        <v>2026</v>
      </c>
      <c r="C2586" s="17" t="n">
        <f aca="false">IFERROR(VALUE(RIGHT($A2586,2)),"")</f>
        <v>3</v>
      </c>
      <c r="D2586" s="17" t="n">
        <f aca="false">IFERROR(ROUNDUP($C2586/3,0),"")</f>
        <v>1</v>
      </c>
      <c r="E2586" s="11" t="str">
        <f aca="false">TRIM('수출입 실적(품목별)'!B2590)</f>
        <v>84</v>
      </c>
      <c r="F2586" s="11" t="str">
        <f aca="false">TRIM('수출입 실적(품목별)'!C2590)</f>
        <v>원자로ㆍ보일러ㆍ기계류와 이들의 부분품</v>
      </c>
      <c r="G2586" s="18" t="n">
        <f aca="false">IFERROR(VALUE(SUBSTITUTE(TRIM('수출입 실적(품목별)'!D2590),",","")),"")</f>
        <v>373339.4</v>
      </c>
      <c r="H2586" s="19" t="n">
        <f aca="false">IFERROR(VALUE(SUBSTITUTE(TRIM('수출입 실적(품목별)'!E2590),",","")),"")</f>
        <v>12701168</v>
      </c>
      <c r="I2586" s="18" t="n">
        <f aca="false">IFERROR(VALUE(SUBSTITUTE(TRIM('수출입 실적(품목별)'!F2590),",","")),"")</f>
        <v>215817.2</v>
      </c>
      <c r="J2586" s="19" t="n">
        <f aca="false">IFERROR(VALUE(SUBSTITUTE(TRIM('수출입 실적(품목별)'!G2590),",","")),"")</f>
        <v>8245466</v>
      </c>
      <c r="K2586" s="19" t="n">
        <f aca="false">IFERROR(VALUE(SUBSTITUTE(TRIM('수출입 실적(품목별)'!H2590),",","")),"")</f>
        <v>4455702</v>
      </c>
    </row>
    <row r="2587" customFormat="false" ht="15" hidden="false" customHeight="true" outlineLevel="0" collapsed="false">
      <c r="A2587" s="11" t="str">
        <f aca="false">TRIM('수출입 실적(품목별)'!A2591)</f>
        <v>2026.03</v>
      </c>
      <c r="B2587" s="17" t="n">
        <f aca="false">IFERROR(VALUE(LEFT($A2587,4)),"")</f>
        <v>2026</v>
      </c>
      <c r="C2587" s="17" t="n">
        <f aca="false">IFERROR(VALUE(RIGHT($A2587,2)),"")</f>
        <v>3</v>
      </c>
      <c r="D2587" s="17" t="n">
        <f aca="false">IFERROR(ROUNDUP($C2587/3,0),"")</f>
        <v>1</v>
      </c>
      <c r="E2587" s="11" t="str">
        <f aca="false">TRIM('수출입 실적(품목별)'!B2591)</f>
        <v>85</v>
      </c>
      <c r="F2587" s="11" t="str">
        <f aca="false">TRIM('수출입 실적(품목별)'!C2591)</f>
        <v>전기기기와 그 부분품, 녹음기ㆍ음성 재생기ㆍ텔레비전의 영상과 음성의 기록기ㆍ재생기와 이들의 부분품ㆍ부속품</v>
      </c>
      <c r="G2587" s="18" t="n">
        <f aca="false">IFERROR(VALUE(SUBSTITUTE(TRIM('수출입 실적(품목별)'!D2591),",","")),"")</f>
        <v>236970.8</v>
      </c>
      <c r="H2587" s="19" t="n">
        <f aca="false">IFERROR(VALUE(SUBSTITUTE(TRIM('수출입 실적(품목별)'!E2591),",","")),"")</f>
        <v>35645727</v>
      </c>
      <c r="I2587" s="18" t="n">
        <f aca="false">IFERROR(VALUE(SUBSTITUTE(TRIM('수출입 실적(품목별)'!F2591),",","")),"")</f>
        <v>230644.8</v>
      </c>
      <c r="J2587" s="19" t="n">
        <f aca="false">IFERROR(VALUE(SUBSTITUTE(TRIM('수출입 실적(품목별)'!G2591),",","")),"")</f>
        <v>13343987</v>
      </c>
      <c r="K2587" s="19" t="n">
        <f aca="false">IFERROR(VALUE(SUBSTITUTE(TRIM('수출입 실적(품목별)'!H2591),",","")),"")</f>
        <v>22301740</v>
      </c>
    </row>
    <row r="2588" customFormat="false" ht="15" hidden="false" customHeight="true" outlineLevel="0" collapsed="false">
      <c r="A2588" s="11" t="str">
        <f aca="false">TRIM('수출입 실적(품목별)'!A2592)</f>
        <v>2026.03</v>
      </c>
      <c r="B2588" s="17" t="n">
        <f aca="false">IFERROR(VALUE(LEFT($A2588,4)),"")</f>
        <v>2026</v>
      </c>
      <c r="C2588" s="17" t="n">
        <f aca="false">IFERROR(VALUE(RIGHT($A2588,2)),"")</f>
        <v>3</v>
      </c>
      <c r="D2588" s="17" t="n">
        <f aca="false">IFERROR(ROUNDUP($C2588/3,0),"")</f>
        <v>1</v>
      </c>
      <c r="E2588" s="11" t="str">
        <f aca="false">TRIM('수출입 실적(품목별)'!B2592)</f>
        <v>86</v>
      </c>
      <c r="F2588" s="11" t="str">
        <f aca="false">TRIM('수출입 실적(품목별)'!C2592)</f>
        <v>철도용이나 궤도용 기관차ㆍ차량과 이들의 부분품, 철도용이나 궤도용 장비품과 그 부분품, 기계식(전기기계식을 포함한다) 각종 교통신호용 기기</v>
      </c>
      <c r="G2588" s="18" t="n">
        <f aca="false">IFERROR(VALUE(SUBSTITUTE(TRIM('수출입 실적(품목별)'!D2592),",","")),"")</f>
        <v>13586.6</v>
      </c>
      <c r="H2588" s="19" t="n">
        <f aca="false">IFERROR(VALUE(SUBSTITUTE(TRIM('수출입 실적(품목별)'!E2592),",","")),"")</f>
        <v>51766</v>
      </c>
      <c r="I2588" s="18" t="n">
        <f aca="false">IFERROR(VALUE(SUBSTITUTE(TRIM('수출입 실적(품목별)'!F2592),",","")),"")</f>
        <v>14881.1</v>
      </c>
      <c r="J2588" s="19" t="n">
        <f aca="false">IFERROR(VALUE(SUBSTITUTE(TRIM('수출입 실적(품목별)'!G2592),",","")),"")</f>
        <v>46155</v>
      </c>
      <c r="K2588" s="19" t="n">
        <f aca="false">IFERROR(VALUE(SUBSTITUTE(TRIM('수출입 실적(품목별)'!H2592),",","")),"")</f>
        <v>5611</v>
      </c>
    </row>
    <row r="2589" customFormat="false" ht="15" hidden="false" customHeight="true" outlineLevel="0" collapsed="false">
      <c r="A2589" s="11" t="str">
        <f aca="false">TRIM('수출입 실적(품목별)'!A2593)</f>
        <v>2026.03</v>
      </c>
      <c r="B2589" s="17" t="n">
        <f aca="false">IFERROR(VALUE(LEFT($A2589,4)),"")</f>
        <v>2026</v>
      </c>
      <c r="C2589" s="17" t="n">
        <f aca="false">IFERROR(VALUE(RIGHT($A2589,2)),"")</f>
        <v>3</v>
      </c>
      <c r="D2589" s="17" t="n">
        <f aca="false">IFERROR(ROUNDUP($C2589/3,0),"")</f>
        <v>1</v>
      </c>
      <c r="E2589" s="11" t="str">
        <f aca="false">TRIM('수출입 실적(품목별)'!B2593)</f>
        <v>87</v>
      </c>
      <c r="F2589" s="11" t="str">
        <f aca="false">TRIM('수출입 실적(품목별)'!C2593)</f>
        <v>철도용이나 궤도용 외의 차량과 그 부분품ㆍ부속품</v>
      </c>
      <c r="G2589" s="18" t="n">
        <f aca="false">IFERROR(VALUE(SUBSTITUTE(TRIM('수출입 실적(품목별)'!D2593),",","")),"")</f>
        <v>745716.3</v>
      </c>
      <c r="H2589" s="19" t="n">
        <f aca="false">IFERROR(VALUE(SUBSTITUTE(TRIM('수출입 실적(품목별)'!E2593),",","")),"")</f>
        <v>8020422</v>
      </c>
      <c r="I2589" s="18" t="n">
        <f aca="false">IFERROR(VALUE(SUBSTITUTE(TRIM('수출입 실적(품목별)'!F2593),",","")),"")</f>
        <v>116214</v>
      </c>
      <c r="J2589" s="19" t="n">
        <f aca="false">IFERROR(VALUE(SUBSTITUTE(TRIM('수출입 실적(품목별)'!G2593),",","")),"")</f>
        <v>1718388</v>
      </c>
      <c r="K2589" s="19" t="n">
        <f aca="false">IFERROR(VALUE(SUBSTITUTE(TRIM('수출입 실적(품목별)'!H2593),",","")),"")</f>
        <v>6302034</v>
      </c>
    </row>
    <row r="2590" customFormat="false" ht="15" hidden="false" customHeight="true" outlineLevel="0" collapsed="false">
      <c r="A2590" s="11" t="str">
        <f aca="false">TRIM('수출입 실적(품목별)'!A2594)</f>
        <v>2026.03</v>
      </c>
      <c r="B2590" s="17" t="n">
        <f aca="false">IFERROR(VALUE(LEFT($A2590,4)),"")</f>
        <v>2026</v>
      </c>
      <c r="C2590" s="17" t="n">
        <f aca="false">IFERROR(VALUE(RIGHT($A2590,2)),"")</f>
        <v>3</v>
      </c>
      <c r="D2590" s="17" t="n">
        <f aca="false">IFERROR(ROUNDUP($C2590/3,0),"")</f>
        <v>1</v>
      </c>
      <c r="E2590" s="11" t="str">
        <f aca="false">TRIM('수출입 실적(품목별)'!B2594)</f>
        <v>88</v>
      </c>
      <c r="F2590" s="11" t="str">
        <f aca="false">TRIM('수출입 실적(품목별)'!C2594)</f>
        <v>항공기와 우주선, 이들의 부분품</v>
      </c>
      <c r="G2590" s="18" t="n">
        <f aca="false">IFERROR(VALUE(SUBSTITUTE(TRIM('수출입 실적(품목별)'!D2594),",","")),"")</f>
        <v>748.2</v>
      </c>
      <c r="H2590" s="19" t="n">
        <f aca="false">IFERROR(VALUE(SUBSTITUTE(TRIM('수출입 실적(품목별)'!E2594),",","")),"")</f>
        <v>155860</v>
      </c>
      <c r="I2590" s="18" t="n">
        <f aca="false">IFERROR(VALUE(SUBSTITUTE(TRIM('수출입 실적(품목별)'!F2594),",","")),"")</f>
        <v>1292.5</v>
      </c>
      <c r="J2590" s="19" t="n">
        <f aca="false">IFERROR(VALUE(SUBSTITUTE(TRIM('수출입 실적(품목별)'!G2594),",","")),"")</f>
        <v>750979</v>
      </c>
      <c r="K2590" s="19" t="n">
        <f aca="false">IFERROR(VALUE(SUBSTITUTE(TRIM('수출입 실적(품목별)'!H2594),",","")),"")</f>
        <v>-595119</v>
      </c>
    </row>
    <row r="2591" customFormat="false" ht="15" hidden="false" customHeight="true" outlineLevel="0" collapsed="false">
      <c r="A2591" s="11" t="str">
        <f aca="false">TRIM('수출입 실적(품목별)'!A2595)</f>
        <v>2026.03</v>
      </c>
      <c r="B2591" s="17" t="n">
        <f aca="false">IFERROR(VALUE(LEFT($A2591,4)),"")</f>
        <v>2026</v>
      </c>
      <c r="C2591" s="17" t="n">
        <f aca="false">IFERROR(VALUE(RIGHT($A2591,2)),"")</f>
        <v>3</v>
      </c>
      <c r="D2591" s="17" t="n">
        <f aca="false">IFERROR(ROUNDUP($C2591/3,0),"")</f>
        <v>1</v>
      </c>
      <c r="E2591" s="11" t="str">
        <f aca="false">TRIM('수출입 실적(품목별)'!B2595)</f>
        <v>89</v>
      </c>
      <c r="F2591" s="11" t="str">
        <f aca="false">TRIM('수출입 실적(품목별)'!C2595)</f>
        <v>선박과 수상 구조물</v>
      </c>
      <c r="G2591" s="18" t="n">
        <f aca="false">IFERROR(VALUE(SUBSTITUTE(TRIM('수출입 실적(품목별)'!D2595),",","")),"")</f>
        <v>798442</v>
      </c>
      <c r="H2591" s="19" t="n">
        <f aca="false">IFERROR(VALUE(SUBSTITUTE(TRIM('수출입 실적(품목별)'!E2595),",","")),"")</f>
        <v>3353562</v>
      </c>
      <c r="I2591" s="18" t="n">
        <f aca="false">IFERROR(VALUE(SUBSTITUTE(TRIM('수출입 실적(품목별)'!F2595),",","")),"")</f>
        <v>162344.4</v>
      </c>
      <c r="J2591" s="19" t="n">
        <f aca="false">IFERROR(VALUE(SUBSTITUTE(TRIM('수출입 실적(품목별)'!G2595),",","")),"")</f>
        <v>169817</v>
      </c>
      <c r="K2591" s="19" t="n">
        <f aca="false">IFERROR(VALUE(SUBSTITUTE(TRIM('수출입 실적(품목별)'!H2595),",","")),"")</f>
        <v>3183745</v>
      </c>
    </row>
    <row r="2592" customFormat="false" ht="15" hidden="false" customHeight="true" outlineLevel="0" collapsed="false">
      <c r="A2592" s="11" t="str">
        <f aca="false">TRIM('수출입 실적(품목별)'!A2596)</f>
        <v>2026.03</v>
      </c>
      <c r="B2592" s="17" t="n">
        <f aca="false">IFERROR(VALUE(LEFT($A2592,4)),"")</f>
        <v>2026</v>
      </c>
      <c r="C2592" s="17" t="n">
        <f aca="false">IFERROR(VALUE(RIGHT($A2592,2)),"")</f>
        <v>3</v>
      </c>
      <c r="D2592" s="17" t="n">
        <f aca="false">IFERROR(ROUNDUP($C2592/3,0),"")</f>
        <v>1</v>
      </c>
      <c r="E2592" s="11" t="str">
        <f aca="false">TRIM('수출입 실적(품목별)'!B2596)</f>
        <v>90</v>
      </c>
      <c r="F2592" s="11" t="str">
        <f aca="false">TRIM('수출입 실적(품목별)'!C2596)</f>
        <v>광학기기ㆍ사진용 기기ㆍ영화용 기기ㆍ측정기기ㆍ검사기기ㆍ정밀기기ㆍ의료용 기기, 이들의 부분품과 부속품</v>
      </c>
      <c r="G2592" s="18" t="n">
        <f aca="false">IFERROR(VALUE(SUBSTITUTE(TRIM('수출입 실적(품목별)'!D2596),",","")),"")</f>
        <v>14925.2</v>
      </c>
      <c r="H2592" s="19" t="n">
        <f aca="false">IFERROR(VALUE(SUBSTITUTE(TRIM('수출입 실적(품목별)'!E2596),",","")),"")</f>
        <v>1506813</v>
      </c>
      <c r="I2592" s="18" t="n">
        <f aca="false">IFERROR(VALUE(SUBSTITUTE(TRIM('수출입 실적(품목별)'!F2596),",","")),"")</f>
        <v>15800</v>
      </c>
      <c r="J2592" s="19" t="n">
        <f aca="false">IFERROR(VALUE(SUBSTITUTE(TRIM('수출입 실적(품목별)'!G2596),",","")),"")</f>
        <v>2461950</v>
      </c>
      <c r="K2592" s="19" t="n">
        <f aca="false">IFERROR(VALUE(SUBSTITUTE(TRIM('수출입 실적(품목별)'!H2596),",","")),"")</f>
        <v>-955137</v>
      </c>
    </row>
    <row r="2593" customFormat="false" ht="15" hidden="false" customHeight="true" outlineLevel="0" collapsed="false">
      <c r="A2593" s="11" t="str">
        <f aca="false">TRIM('수출입 실적(품목별)'!A2597)</f>
        <v>2026.03</v>
      </c>
      <c r="B2593" s="17" t="n">
        <f aca="false">IFERROR(VALUE(LEFT($A2593,4)),"")</f>
        <v>2026</v>
      </c>
      <c r="C2593" s="17" t="n">
        <f aca="false">IFERROR(VALUE(RIGHT($A2593,2)),"")</f>
        <v>3</v>
      </c>
      <c r="D2593" s="17" t="n">
        <f aca="false">IFERROR(ROUNDUP($C2593/3,0),"")</f>
        <v>1</v>
      </c>
      <c r="E2593" s="11" t="str">
        <f aca="false">TRIM('수출입 실적(품목별)'!B2597)</f>
        <v>91</v>
      </c>
      <c r="F2593" s="11" t="str">
        <f aca="false">TRIM('수출입 실적(품목별)'!C2597)</f>
        <v>시계와 그 부분품</v>
      </c>
      <c r="G2593" s="18" t="n">
        <f aca="false">IFERROR(VALUE(SUBSTITUTE(TRIM('수출입 실적(품목별)'!D2597),",","")),"")</f>
        <v>18.9</v>
      </c>
      <c r="H2593" s="19" t="n">
        <f aca="false">IFERROR(VALUE(SUBSTITUTE(TRIM('수출입 실적(품목별)'!E2597),",","")),"")</f>
        <v>18854</v>
      </c>
      <c r="I2593" s="18" t="n">
        <f aca="false">IFERROR(VALUE(SUBSTITUTE(TRIM('수출입 실적(품목별)'!F2597),",","")),"")</f>
        <v>218.3</v>
      </c>
      <c r="J2593" s="19" t="n">
        <f aca="false">IFERROR(VALUE(SUBSTITUTE(TRIM('수출입 실적(품목별)'!G2597),",","")),"")</f>
        <v>101619</v>
      </c>
      <c r="K2593" s="19" t="n">
        <f aca="false">IFERROR(VALUE(SUBSTITUTE(TRIM('수출입 실적(품목별)'!H2597),",","")),"")</f>
        <v>-82764</v>
      </c>
    </row>
    <row r="2594" customFormat="false" ht="15" hidden="false" customHeight="true" outlineLevel="0" collapsed="false">
      <c r="A2594" s="11" t="str">
        <f aca="false">TRIM('수출입 실적(품목별)'!A2598)</f>
        <v>2026.03</v>
      </c>
      <c r="B2594" s="17" t="n">
        <f aca="false">IFERROR(VALUE(LEFT($A2594,4)),"")</f>
        <v>2026</v>
      </c>
      <c r="C2594" s="17" t="n">
        <f aca="false">IFERROR(VALUE(RIGHT($A2594,2)),"")</f>
        <v>3</v>
      </c>
      <c r="D2594" s="17" t="n">
        <f aca="false">IFERROR(ROUNDUP($C2594/3,0),"")</f>
        <v>1</v>
      </c>
      <c r="E2594" s="11" t="str">
        <f aca="false">TRIM('수출입 실적(품목별)'!B2598)</f>
        <v>92</v>
      </c>
      <c r="F2594" s="11" t="str">
        <f aca="false">TRIM('수출입 실적(품목별)'!C2598)</f>
        <v>악기와 그 부분품과 부속품</v>
      </c>
      <c r="G2594" s="18" t="n">
        <f aca="false">IFERROR(VALUE(SUBSTITUTE(TRIM('수출입 실적(품목별)'!D2598),",","")),"")</f>
        <v>425</v>
      </c>
      <c r="H2594" s="19" t="n">
        <f aca="false">IFERROR(VALUE(SUBSTITUTE(TRIM('수출입 실적(품목별)'!E2598),",","")),"")</f>
        <v>8657</v>
      </c>
      <c r="I2594" s="18" t="n">
        <f aca="false">IFERROR(VALUE(SUBSTITUTE(TRIM('수출입 실적(품목별)'!F2598),",","")),"")</f>
        <v>567.8</v>
      </c>
      <c r="J2594" s="19" t="n">
        <f aca="false">IFERROR(VALUE(SUBSTITUTE(TRIM('수출입 실적(품목별)'!G2598),",","")),"")</f>
        <v>15389</v>
      </c>
      <c r="K2594" s="19" t="n">
        <f aca="false">IFERROR(VALUE(SUBSTITUTE(TRIM('수출입 실적(품목별)'!H2598),",","")),"")</f>
        <v>-6732</v>
      </c>
    </row>
    <row r="2595" customFormat="false" ht="15" hidden="false" customHeight="true" outlineLevel="0" collapsed="false">
      <c r="A2595" s="11" t="str">
        <f aca="false">TRIM('수출입 실적(품목별)'!A2599)</f>
        <v>2026.03</v>
      </c>
      <c r="B2595" s="17" t="n">
        <f aca="false">IFERROR(VALUE(LEFT($A2595,4)),"")</f>
        <v>2026</v>
      </c>
      <c r="C2595" s="17" t="n">
        <f aca="false">IFERROR(VALUE(RIGHT($A2595,2)),"")</f>
        <v>3</v>
      </c>
      <c r="D2595" s="17" t="n">
        <f aca="false">IFERROR(ROUNDUP($C2595/3,0),"")</f>
        <v>1</v>
      </c>
      <c r="E2595" s="11" t="str">
        <f aca="false">TRIM('수출입 실적(품목별)'!B2599)</f>
        <v>93</v>
      </c>
      <c r="F2595" s="11" t="str">
        <f aca="false">TRIM('수출입 실적(품목별)'!C2599)</f>
        <v>무기ㆍ총포탄과 이들의 부분품과 부속품</v>
      </c>
      <c r="G2595" s="18" t="n">
        <f aca="false">IFERROR(VALUE(SUBSTITUTE(TRIM('수출입 실적(품목별)'!D2599),",","")),"")</f>
        <v>2005.4</v>
      </c>
      <c r="H2595" s="19" t="n">
        <f aca="false">IFERROR(VALUE(SUBSTITUTE(TRIM('수출입 실적(품목별)'!E2599),",","")),"")</f>
        <v>332188</v>
      </c>
      <c r="I2595" s="18" t="n">
        <f aca="false">IFERROR(VALUE(SUBSTITUTE(TRIM('수출입 실적(품목별)'!F2599),",","")),"")</f>
        <v>94.2</v>
      </c>
      <c r="J2595" s="19" t="n">
        <f aca="false">IFERROR(VALUE(SUBSTITUTE(TRIM('수출입 실적(품목별)'!G2599),",","")),"")</f>
        <v>55255</v>
      </c>
      <c r="K2595" s="19" t="n">
        <f aca="false">IFERROR(VALUE(SUBSTITUTE(TRIM('수출입 실적(품목별)'!H2599),",","")),"")</f>
        <v>276932</v>
      </c>
    </row>
    <row r="2596" customFormat="false" ht="15" hidden="false" customHeight="true" outlineLevel="0" collapsed="false">
      <c r="A2596" s="11" t="str">
        <f aca="false">TRIM('수출입 실적(품목별)'!A2600)</f>
        <v>2026.03</v>
      </c>
      <c r="B2596" s="17" t="n">
        <f aca="false">IFERROR(VALUE(LEFT($A2596,4)),"")</f>
        <v>2026</v>
      </c>
      <c r="C2596" s="17" t="n">
        <f aca="false">IFERROR(VALUE(RIGHT($A2596,2)),"")</f>
        <v>3</v>
      </c>
      <c r="D2596" s="17" t="n">
        <f aca="false">IFERROR(ROUNDUP($C2596/3,0),"")</f>
        <v>1</v>
      </c>
      <c r="E2596" s="11" t="str">
        <f aca="false">TRIM('수출입 실적(품목별)'!B2600)</f>
        <v>94</v>
      </c>
      <c r="F2596" s="11" t="str">
        <f aca="false">TRIM('수출입 실적(품목별)'!C2600)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596" s="18" t="n">
        <f aca="false">IFERROR(VALUE(SUBSTITUTE(TRIM('수출입 실적(품목별)'!D2600),",","")),"")</f>
        <v>16528.6</v>
      </c>
      <c r="H2596" s="19" t="n">
        <f aca="false">IFERROR(VALUE(SUBSTITUTE(TRIM('수출입 실적(품목별)'!E2600),",","")),"")</f>
        <v>109957</v>
      </c>
      <c r="I2596" s="18" t="n">
        <f aca="false">IFERROR(VALUE(SUBSTITUTE(TRIM('수출입 실적(품목별)'!F2600),",","")),"")</f>
        <v>67777.6</v>
      </c>
      <c r="J2596" s="19" t="n">
        <f aca="false">IFERROR(VALUE(SUBSTITUTE(TRIM('수출입 실적(품목별)'!G2600),",","")),"")</f>
        <v>289272</v>
      </c>
      <c r="K2596" s="19" t="n">
        <f aca="false">IFERROR(VALUE(SUBSTITUTE(TRIM('수출입 실적(품목별)'!H2600),",","")),"")</f>
        <v>-179315</v>
      </c>
    </row>
    <row r="2597" customFormat="false" ht="15" hidden="false" customHeight="true" outlineLevel="0" collapsed="false">
      <c r="A2597" s="11" t="str">
        <f aca="false">TRIM('수출입 실적(품목별)'!A2601)</f>
        <v>2026.03</v>
      </c>
      <c r="B2597" s="17" t="n">
        <f aca="false">IFERROR(VALUE(LEFT($A2597,4)),"")</f>
        <v>2026</v>
      </c>
      <c r="C2597" s="17" t="n">
        <f aca="false">IFERROR(VALUE(RIGHT($A2597,2)),"")</f>
        <v>3</v>
      </c>
      <c r="D2597" s="17" t="n">
        <f aca="false">IFERROR(ROUNDUP($C2597/3,0),"")</f>
        <v>1</v>
      </c>
      <c r="E2597" s="11" t="str">
        <f aca="false">TRIM('수출입 실적(품목별)'!B2601)</f>
        <v>95</v>
      </c>
      <c r="F2597" s="11" t="str">
        <f aca="false">TRIM('수출입 실적(품목별)'!C2601)</f>
        <v>완구ㆍ게임용구ㆍ운동용구와 이들의 부분품과 부속품</v>
      </c>
      <c r="G2597" s="18" t="n">
        <f aca="false">IFERROR(VALUE(SUBSTITUTE(TRIM('수출입 실적(품목별)'!D2601),",","")),"")</f>
        <v>2777.8</v>
      </c>
      <c r="H2597" s="19" t="n">
        <f aca="false">IFERROR(VALUE(SUBSTITUTE(TRIM('수출입 실적(품목별)'!E2601),",","")),"")</f>
        <v>66804</v>
      </c>
      <c r="I2597" s="18" t="n">
        <f aca="false">IFERROR(VALUE(SUBSTITUTE(TRIM('수출입 실적(품목별)'!F2601),",","")),"")</f>
        <v>12533.3</v>
      </c>
      <c r="J2597" s="19" t="n">
        <f aca="false">IFERROR(VALUE(SUBSTITUTE(TRIM('수출입 실적(품목별)'!G2601),",","")),"")</f>
        <v>204360</v>
      </c>
      <c r="K2597" s="19" t="n">
        <f aca="false">IFERROR(VALUE(SUBSTITUTE(TRIM('수출입 실적(품목별)'!H2601),",","")),"")</f>
        <v>-137556</v>
      </c>
    </row>
    <row r="2598" customFormat="false" ht="15" hidden="false" customHeight="true" outlineLevel="0" collapsed="false">
      <c r="A2598" s="11" t="str">
        <f aca="false">TRIM('수출입 실적(품목별)'!A2602)</f>
        <v>2026.03</v>
      </c>
      <c r="B2598" s="17" t="n">
        <f aca="false">IFERROR(VALUE(LEFT($A2598,4)),"")</f>
        <v>2026</v>
      </c>
      <c r="C2598" s="17" t="n">
        <f aca="false">IFERROR(VALUE(RIGHT($A2598,2)),"")</f>
        <v>3</v>
      </c>
      <c r="D2598" s="17" t="n">
        <f aca="false">IFERROR(ROUNDUP($C2598/3,0),"")</f>
        <v>1</v>
      </c>
      <c r="E2598" s="11" t="str">
        <f aca="false">TRIM('수출입 실적(품목별)'!B2602)</f>
        <v>96</v>
      </c>
      <c r="F2598" s="11" t="str">
        <f aca="false">TRIM('수출입 실적(품목별)'!C2602)</f>
        <v>잡품</v>
      </c>
      <c r="G2598" s="18" t="n">
        <f aca="false">IFERROR(VALUE(SUBSTITUTE(TRIM('수출입 실적(품목별)'!D2602),",","")),"")</f>
        <v>2263.4</v>
      </c>
      <c r="H2598" s="19" t="n">
        <f aca="false">IFERROR(VALUE(SUBSTITUTE(TRIM('수출입 실적(품목별)'!E2602),",","")),"")</f>
        <v>38684</v>
      </c>
      <c r="I2598" s="18" t="n">
        <f aca="false">IFERROR(VALUE(SUBSTITUTE(TRIM('수출입 실적(품목별)'!F2602),",","")),"")</f>
        <v>10793.3</v>
      </c>
      <c r="J2598" s="19" t="n">
        <f aca="false">IFERROR(VALUE(SUBSTITUTE(TRIM('수출입 실적(품목별)'!G2602),",","")),"")</f>
        <v>93701</v>
      </c>
      <c r="K2598" s="19" t="n">
        <f aca="false">IFERROR(VALUE(SUBSTITUTE(TRIM('수출입 실적(품목별)'!H2602),",","")),"")</f>
        <v>-55017</v>
      </c>
    </row>
    <row r="2599" customFormat="false" ht="15" hidden="false" customHeight="true" outlineLevel="0" collapsed="false">
      <c r="A2599" s="11" t="str">
        <f aca="false">TRIM('수출입 실적(품목별)'!A2603)</f>
        <v>2026.03</v>
      </c>
      <c r="B2599" s="17" t="n">
        <f aca="false">IFERROR(VALUE(LEFT($A2599,4)),"")</f>
        <v>2026</v>
      </c>
      <c r="C2599" s="17" t="n">
        <f aca="false">IFERROR(VALUE(RIGHT($A2599,2)),"")</f>
        <v>3</v>
      </c>
      <c r="D2599" s="17" t="n">
        <f aca="false">IFERROR(ROUNDUP($C2599/3,0),"")</f>
        <v>1</v>
      </c>
      <c r="E2599" s="11" t="str">
        <f aca="false">TRIM('수출입 실적(품목별)'!B2603)</f>
        <v>97</v>
      </c>
      <c r="F2599" s="11" t="str">
        <f aca="false">TRIM('수출입 실적(품목별)'!C2603)</f>
        <v>예술품ㆍ수집품ㆍ골동품</v>
      </c>
      <c r="G2599" s="18" t="n">
        <f aca="false">IFERROR(VALUE(SUBSTITUTE(TRIM('수출입 실적(품목별)'!D2603),",","")),"")</f>
        <v>7.3</v>
      </c>
      <c r="H2599" s="19" t="n">
        <f aca="false">IFERROR(VALUE(SUBSTITUTE(TRIM('수출입 실적(품목별)'!E2603),",","")),"")</f>
        <v>35026</v>
      </c>
      <c r="I2599" s="18" t="n">
        <f aca="false">IFERROR(VALUE(SUBSTITUTE(TRIM('수출입 실적(품목별)'!F2603),",","")),"")</f>
        <v>28.4</v>
      </c>
      <c r="J2599" s="19" t="n">
        <f aca="false">IFERROR(VALUE(SUBSTITUTE(TRIM('수출입 실적(품목별)'!G2603),",","")),"")</f>
        <v>51607</v>
      </c>
      <c r="K2599" s="19" t="n">
        <f aca="false">IFERROR(VALUE(SUBSTITUTE(TRIM('수출입 실적(품목별)'!H2603),",","")),"")</f>
        <v>-16581</v>
      </c>
    </row>
    <row r="2600" customFormat="false" ht="15" hidden="false" customHeight="true" outlineLevel="0" collapsed="false">
      <c r="A2600" s="11" t="str">
        <f aca="false">TRIM('수출입 실적(품목별)'!A2604)</f>
        <v>2026.03</v>
      </c>
      <c r="B2600" s="17" t="n">
        <f aca="false">IFERROR(VALUE(LEFT($A2600,4)),"")</f>
        <v>2026</v>
      </c>
      <c r="C2600" s="17" t="n">
        <f aca="false">IFERROR(VALUE(RIGHT($A2600,2)),"")</f>
        <v>3</v>
      </c>
      <c r="D2600" s="17" t="n">
        <f aca="false">IFERROR(ROUNDUP($C2600/3,0),"")</f>
        <v>1</v>
      </c>
      <c r="E2600" s="11" t="str">
        <f aca="false">TRIM('수출입 실적(품목별)'!B2604)</f>
        <v>99</v>
      </c>
      <c r="F2600" s="11" t="str">
        <f aca="false">TRIM('수출입 실적(품목별)'!C2604)</f>
        <v>일시적 입법 ; 설치된 간이 수정에 따른 입법을 트레이드한다 ; 추가적 수입제한농업인 것의 제 22 부에 따른 확립된 것 조정 행위, 수정된 것처럼</v>
      </c>
      <c r="G2600" s="18" t="n">
        <f aca="false">IFERROR(VALUE(SUBSTITUTE(TRIM('수출입 실적(품목별)'!D2604),",","")),"")</f>
        <v>0</v>
      </c>
      <c r="H2600" s="19" t="n">
        <f aca="false">IFERROR(VALUE(SUBSTITUTE(TRIM('수출입 실적(품목별)'!E2604),",","")),"")</f>
        <v>0</v>
      </c>
      <c r="I2600" s="18" t="n">
        <f aca="false">IFERROR(VALUE(SUBSTITUTE(TRIM('수출입 실적(품목별)'!F2604),",","")),"")</f>
        <v>0.1</v>
      </c>
      <c r="J2600" s="19" t="n">
        <f aca="false">IFERROR(VALUE(SUBSTITUTE(TRIM('수출입 실적(품목별)'!G2604),",","")),"")</f>
        <v>0</v>
      </c>
      <c r="K2600" s="19" t="n">
        <f aca="false">IFERROR(VALUE(SUBSTITUTE(TRIM('수출입 실적(품목별)'!H2604),",","")),"")</f>
        <v>0</v>
      </c>
    </row>
    <row r="2601" customFormat="false" ht="15" hidden="false" customHeight="true" outlineLevel="0" collapsed="false">
      <c r="A2601" s="11" t="str">
        <f aca="false">TRIM('수출입 실적(품목별)'!A2605)</f>
        <v>2026.04</v>
      </c>
      <c r="B2601" s="17" t="n">
        <f aca="false">IFERROR(VALUE(LEFT($A2601,4)),"")</f>
        <v>2026</v>
      </c>
      <c r="C2601" s="17" t="n">
        <f aca="false">IFERROR(VALUE(RIGHT($A2601,2)),"")</f>
        <v>4</v>
      </c>
      <c r="D2601" s="17" t="n">
        <f aca="false">IFERROR(ROUNDUP($C2601/3,0),"")</f>
        <v>2</v>
      </c>
      <c r="E2601" s="11" t="str">
        <f aca="false">TRIM('수출입 실적(품목별)'!B2605)</f>
        <v>01</v>
      </c>
      <c r="F2601" s="11" t="str">
        <f aca="false">TRIM('수출입 실적(품목별)'!C2605)</f>
        <v>살아 있는 동물</v>
      </c>
      <c r="G2601" s="18" t="n">
        <f aca="false">IFERROR(VALUE(SUBSTITUTE(TRIM('수출입 실적(품목별)'!D2605),",","")),"")</f>
        <v>1.3</v>
      </c>
      <c r="H2601" s="19" t="n">
        <f aca="false">IFERROR(VALUE(SUBSTITUTE(TRIM('수출입 실적(품목별)'!E2605),",","")),"")</f>
        <v>623</v>
      </c>
      <c r="I2601" s="18" t="n">
        <f aca="false">IFERROR(VALUE(SUBSTITUTE(TRIM('수출입 실적(품목별)'!F2605),",","")),"")</f>
        <v>80.6</v>
      </c>
      <c r="J2601" s="19" t="n">
        <f aca="false">IFERROR(VALUE(SUBSTITUTE(TRIM('수출입 실적(품목별)'!G2605),",","")),"")</f>
        <v>6448</v>
      </c>
      <c r="K2601" s="19" t="n">
        <f aca="false">IFERROR(VALUE(SUBSTITUTE(TRIM('수출입 실적(품목별)'!H2605),",","")),"")</f>
        <v>-5825</v>
      </c>
    </row>
    <row r="2602" customFormat="false" ht="15" hidden="false" customHeight="true" outlineLevel="0" collapsed="false">
      <c r="A2602" s="11" t="str">
        <f aca="false">TRIM('수출입 실적(품목별)'!A2606)</f>
        <v>2026.04</v>
      </c>
      <c r="B2602" s="17" t="n">
        <f aca="false">IFERROR(VALUE(LEFT($A2602,4)),"")</f>
        <v>2026</v>
      </c>
      <c r="C2602" s="17" t="n">
        <f aca="false">IFERROR(VALUE(RIGHT($A2602,2)),"")</f>
        <v>4</v>
      </c>
      <c r="D2602" s="17" t="n">
        <f aca="false">IFERROR(ROUNDUP($C2602/3,0),"")</f>
        <v>2</v>
      </c>
      <c r="E2602" s="11" t="str">
        <f aca="false">TRIM('수출입 실적(품목별)'!B2606)</f>
        <v>02</v>
      </c>
      <c r="F2602" s="11" t="str">
        <f aca="false">TRIM('수출입 실적(품목별)'!C2606)</f>
        <v>육과 식용 설육(屑肉)</v>
      </c>
      <c r="G2602" s="18" t="n">
        <f aca="false">IFERROR(VALUE(SUBSTITUTE(TRIM('수출입 실적(품목별)'!D2606),",","")),"")</f>
        <v>4226.8</v>
      </c>
      <c r="H2602" s="19" t="n">
        <f aca="false">IFERROR(VALUE(SUBSTITUTE(TRIM('수출입 실적(품목별)'!E2606),",","")),"")</f>
        <v>6683</v>
      </c>
      <c r="I2602" s="18" t="n">
        <f aca="false">IFERROR(VALUE(SUBSTITUTE(TRIM('수출입 실적(품목별)'!F2606),",","")),"")</f>
        <v>128289.8</v>
      </c>
      <c r="J2602" s="19" t="n">
        <f aca="false">IFERROR(VALUE(SUBSTITUTE(TRIM('수출입 실적(품목별)'!G2606),",","")),"")</f>
        <v>663455</v>
      </c>
      <c r="K2602" s="19" t="n">
        <f aca="false">IFERROR(VALUE(SUBSTITUTE(TRIM('수출입 실적(품목별)'!H2606),",","")),"")</f>
        <v>-656773</v>
      </c>
    </row>
    <row r="2603" customFormat="false" ht="15" hidden="false" customHeight="true" outlineLevel="0" collapsed="false">
      <c r="A2603" s="11" t="str">
        <f aca="false">TRIM('수출입 실적(품목별)'!A2607)</f>
        <v>2026.04</v>
      </c>
      <c r="B2603" s="17" t="n">
        <f aca="false">IFERROR(VALUE(LEFT($A2603,4)),"")</f>
        <v>2026</v>
      </c>
      <c r="C2603" s="17" t="n">
        <f aca="false">IFERROR(VALUE(RIGHT($A2603,2)),"")</f>
        <v>4</v>
      </c>
      <c r="D2603" s="17" t="n">
        <f aca="false">IFERROR(ROUNDUP($C2603/3,0),"")</f>
        <v>2</v>
      </c>
      <c r="E2603" s="11" t="str">
        <f aca="false">TRIM('수출입 실적(품목별)'!B2607)</f>
        <v>03</v>
      </c>
      <c r="F2603" s="11" t="str">
        <f aca="false">TRIM('수출입 실적(품목별)'!C2607)</f>
        <v>어류ㆍ갑각류ㆍ연체동물과 그 밖의 수생(水生) 무척추동물</v>
      </c>
      <c r="G2603" s="18" t="n">
        <f aca="false">IFERROR(VALUE(SUBSTITUTE(TRIM('수출입 실적(품목별)'!D2607),",","")),"")</f>
        <v>65016.4</v>
      </c>
      <c r="H2603" s="19" t="n">
        <f aca="false">IFERROR(VALUE(SUBSTITUTE(TRIM('수출입 실적(품목별)'!E2607),",","")),"")</f>
        <v>206676</v>
      </c>
      <c r="I2603" s="18" t="n">
        <f aca="false">IFERROR(VALUE(SUBSTITUTE(TRIM('수출입 실적(품목별)'!F2607),",","")),"")</f>
        <v>103322.5</v>
      </c>
      <c r="J2603" s="19" t="n">
        <f aca="false">IFERROR(VALUE(SUBSTITUTE(TRIM('수출입 실적(품목별)'!G2607),",","")),"")</f>
        <v>463010</v>
      </c>
      <c r="K2603" s="19" t="n">
        <f aca="false">IFERROR(VALUE(SUBSTITUTE(TRIM('수출입 실적(품목별)'!H2607),",","")),"")</f>
        <v>-256334</v>
      </c>
    </row>
    <row r="2604" customFormat="false" ht="15" hidden="false" customHeight="true" outlineLevel="0" collapsed="false">
      <c r="A2604" s="11" t="str">
        <f aca="false">TRIM('수출입 실적(품목별)'!A2608)</f>
        <v>2026.04</v>
      </c>
      <c r="B2604" s="17" t="n">
        <f aca="false">IFERROR(VALUE(LEFT($A2604,4)),"")</f>
        <v>2026</v>
      </c>
      <c r="C2604" s="17" t="n">
        <f aca="false">IFERROR(VALUE(RIGHT($A2604,2)),"")</f>
        <v>4</v>
      </c>
      <c r="D2604" s="17" t="n">
        <f aca="false">IFERROR(ROUNDUP($C2604/3,0),"")</f>
        <v>2</v>
      </c>
      <c r="E2604" s="11" t="str">
        <f aca="false">TRIM('수출입 실적(품목별)'!B2608)</f>
        <v>04</v>
      </c>
      <c r="F2604" s="11" t="str">
        <f aca="false">TRIM('수출입 실적(품목별)'!C2608)</f>
        <v>낙농품, 새의 알, 천연꿀, 다른 류로 분류되지 않은 식용인 동물성 생산품</v>
      </c>
      <c r="G2604" s="18" t="n">
        <f aca="false">IFERROR(VALUE(SUBSTITUTE(TRIM('수출입 실적(품목별)'!D2608),",","")),"")</f>
        <v>2390.9</v>
      </c>
      <c r="H2604" s="19" t="n">
        <f aca="false">IFERROR(VALUE(SUBSTITUTE(TRIM('수출입 실적(품목별)'!E2608),",","")),"")</f>
        <v>6183</v>
      </c>
      <c r="I2604" s="18" t="n">
        <f aca="false">IFERROR(VALUE(SUBSTITUTE(TRIM('수출입 실적(품목별)'!F2608),",","")),"")</f>
        <v>39823.7</v>
      </c>
      <c r="J2604" s="19" t="n">
        <f aca="false">IFERROR(VALUE(SUBSTITUTE(TRIM('수출입 실적(품목별)'!G2608),",","")),"")</f>
        <v>157580</v>
      </c>
      <c r="K2604" s="19" t="n">
        <f aca="false">IFERROR(VALUE(SUBSTITUTE(TRIM('수출입 실적(품목별)'!H2608),",","")),"")</f>
        <v>-151398</v>
      </c>
    </row>
    <row r="2605" customFormat="false" ht="15" hidden="false" customHeight="true" outlineLevel="0" collapsed="false">
      <c r="A2605" s="11" t="str">
        <f aca="false">TRIM('수출입 실적(품목별)'!A2609)</f>
        <v>2026.04</v>
      </c>
      <c r="B2605" s="17" t="n">
        <f aca="false">IFERROR(VALUE(LEFT($A2605,4)),"")</f>
        <v>2026</v>
      </c>
      <c r="C2605" s="17" t="n">
        <f aca="false">IFERROR(VALUE(RIGHT($A2605,2)),"")</f>
        <v>4</v>
      </c>
      <c r="D2605" s="17" t="n">
        <f aca="false">IFERROR(ROUNDUP($C2605/3,0),"")</f>
        <v>2</v>
      </c>
      <c r="E2605" s="11" t="str">
        <f aca="false">TRIM('수출입 실적(품목별)'!B2609)</f>
        <v>05</v>
      </c>
      <c r="F2605" s="11" t="str">
        <f aca="false">TRIM('수출입 실적(품목별)'!C2609)</f>
        <v>다른 류로 분류되지 않은 동물성 생산품</v>
      </c>
      <c r="G2605" s="18" t="n">
        <f aca="false">IFERROR(VALUE(SUBSTITUTE(TRIM('수출입 실적(품목별)'!D2609),",","")),"")</f>
        <v>2052.5</v>
      </c>
      <c r="H2605" s="19" t="n">
        <f aca="false">IFERROR(VALUE(SUBSTITUTE(TRIM('수출입 실적(품목별)'!E2609),",","")),"")</f>
        <v>8870</v>
      </c>
      <c r="I2605" s="18" t="n">
        <f aca="false">IFERROR(VALUE(SUBSTITUTE(TRIM('수출입 실적(품목별)'!F2609),",","")),"")</f>
        <v>4212.4</v>
      </c>
      <c r="J2605" s="19" t="n">
        <f aca="false">IFERROR(VALUE(SUBSTITUTE(TRIM('수출입 실적(품목별)'!G2609),",","")),"")</f>
        <v>22754</v>
      </c>
      <c r="K2605" s="19" t="n">
        <f aca="false">IFERROR(VALUE(SUBSTITUTE(TRIM('수출입 실적(품목별)'!H2609),",","")),"")</f>
        <v>-13884</v>
      </c>
    </row>
    <row r="2606" customFormat="false" ht="15" hidden="false" customHeight="true" outlineLevel="0" collapsed="false">
      <c r="A2606" s="11" t="str">
        <f aca="false">TRIM('수출입 실적(품목별)'!A2610)</f>
        <v>2026.04</v>
      </c>
      <c r="B2606" s="17" t="n">
        <f aca="false">IFERROR(VALUE(LEFT($A2606,4)),"")</f>
        <v>2026</v>
      </c>
      <c r="C2606" s="17" t="n">
        <f aca="false">IFERROR(VALUE(RIGHT($A2606,2)),"")</f>
        <v>4</v>
      </c>
      <c r="D2606" s="17" t="n">
        <f aca="false">IFERROR(ROUNDUP($C2606/3,0),"")</f>
        <v>2</v>
      </c>
      <c r="E2606" s="11" t="str">
        <f aca="false">TRIM('수출입 실적(품목별)'!B2610)</f>
        <v>06</v>
      </c>
      <c r="F2606" s="11" t="str">
        <f aca="false">TRIM('수출입 실적(품목별)'!C2610)</f>
        <v>살아 있는 수목과 그 밖의 식물, 인경(鱗莖)ㆍ뿌리와 이와 유사한 물품, 절화(切花)와 장식용 잎</v>
      </c>
      <c r="G2606" s="18" t="n">
        <f aca="false">IFERROR(VALUE(SUBSTITUTE(TRIM('수출입 실적(품목별)'!D2610),",","")),"")</f>
        <v>102.4</v>
      </c>
      <c r="H2606" s="19" t="n">
        <f aca="false">IFERROR(VALUE(SUBSTITUTE(TRIM('수출입 실적(품목별)'!E2610),",","")),"")</f>
        <v>474</v>
      </c>
      <c r="I2606" s="18" t="n">
        <f aca="false">IFERROR(VALUE(SUBSTITUTE(TRIM('수출입 실적(품목별)'!F2610),",","")),"")</f>
        <v>8377.1</v>
      </c>
      <c r="J2606" s="19" t="n">
        <f aca="false">IFERROR(VALUE(SUBSTITUTE(TRIM('수출입 실적(품목별)'!G2610),",","")),"")</f>
        <v>20456</v>
      </c>
      <c r="K2606" s="19" t="n">
        <f aca="false">IFERROR(VALUE(SUBSTITUTE(TRIM('수출입 실적(품목별)'!H2610),",","")),"")</f>
        <v>-19982</v>
      </c>
    </row>
    <row r="2607" customFormat="false" ht="15" hidden="false" customHeight="true" outlineLevel="0" collapsed="false">
      <c r="A2607" s="11" t="str">
        <f aca="false">TRIM('수출입 실적(품목별)'!A2611)</f>
        <v>2026.04</v>
      </c>
      <c r="B2607" s="17" t="n">
        <f aca="false">IFERROR(VALUE(LEFT($A2607,4)),"")</f>
        <v>2026</v>
      </c>
      <c r="C2607" s="17" t="n">
        <f aca="false">IFERROR(VALUE(RIGHT($A2607,2)),"")</f>
        <v>4</v>
      </c>
      <c r="D2607" s="17" t="n">
        <f aca="false">IFERROR(ROUNDUP($C2607/3,0),"")</f>
        <v>2</v>
      </c>
      <c r="E2607" s="11" t="str">
        <f aca="false">TRIM('수출입 실적(품목별)'!B2611)</f>
        <v>07</v>
      </c>
      <c r="F2607" s="11" t="str">
        <f aca="false">TRIM('수출입 실적(품목별)'!C2611)</f>
        <v>식용의 채소ㆍ뿌리ㆍ괴경(塊莖)</v>
      </c>
      <c r="G2607" s="18" t="n">
        <f aca="false">IFERROR(VALUE(SUBSTITUTE(TRIM('수출입 실적(품목별)'!D2611),",","")),"")</f>
        <v>3995.4</v>
      </c>
      <c r="H2607" s="19" t="n">
        <f aca="false">IFERROR(VALUE(SUBSTITUTE(TRIM('수출입 실적(품목별)'!E2611),",","")),"")</f>
        <v>9455</v>
      </c>
      <c r="I2607" s="18" t="n">
        <f aca="false">IFERROR(VALUE(SUBSTITUTE(TRIM('수출입 실적(품목별)'!F2611),",","")),"")</f>
        <v>87673.4</v>
      </c>
      <c r="J2607" s="19" t="n">
        <f aca="false">IFERROR(VALUE(SUBSTITUTE(TRIM('수출입 실적(품목별)'!G2611),",","")),"")</f>
        <v>65724</v>
      </c>
      <c r="K2607" s="19" t="n">
        <f aca="false">IFERROR(VALUE(SUBSTITUTE(TRIM('수출입 실적(품목별)'!H2611),",","")),"")</f>
        <v>-56269</v>
      </c>
    </row>
    <row r="2608" customFormat="false" ht="15" hidden="false" customHeight="true" outlineLevel="0" collapsed="false">
      <c r="A2608" s="11" t="str">
        <f aca="false">TRIM('수출입 실적(품목별)'!A2612)</f>
        <v>2026.04</v>
      </c>
      <c r="B2608" s="17" t="n">
        <f aca="false">IFERROR(VALUE(LEFT($A2608,4)),"")</f>
        <v>2026</v>
      </c>
      <c r="C2608" s="17" t="n">
        <f aca="false">IFERROR(VALUE(RIGHT($A2608,2)),"")</f>
        <v>4</v>
      </c>
      <c r="D2608" s="17" t="n">
        <f aca="false">IFERROR(ROUNDUP($C2608/3,0),"")</f>
        <v>2</v>
      </c>
      <c r="E2608" s="11" t="str">
        <f aca="false">TRIM('수출입 실적(품목별)'!B2612)</f>
        <v>08</v>
      </c>
      <c r="F2608" s="11" t="str">
        <f aca="false">TRIM('수출입 실적(품목별)'!C2612)</f>
        <v>식용의 과실과 견과류, 감귤류ㆍ멜론의 껍질</v>
      </c>
      <c r="G2608" s="18" t="n">
        <f aca="false">IFERROR(VALUE(SUBSTITUTE(TRIM('수출입 실적(품목별)'!D2612),",","")),"")</f>
        <v>1408.2</v>
      </c>
      <c r="H2608" s="19" t="n">
        <f aca="false">IFERROR(VALUE(SUBSTITUTE(TRIM('수출입 실적(품목별)'!E2612),",","")),"")</f>
        <v>13264</v>
      </c>
      <c r="I2608" s="18" t="n">
        <f aca="false">IFERROR(VALUE(SUBSTITUTE(TRIM('수출입 실적(품목별)'!F2612),",","")),"")</f>
        <v>100001.3</v>
      </c>
      <c r="J2608" s="19" t="n">
        <f aca="false">IFERROR(VALUE(SUBSTITUTE(TRIM('수출입 실적(품목별)'!G2612),",","")),"")</f>
        <v>230723</v>
      </c>
      <c r="K2608" s="19" t="n">
        <f aca="false">IFERROR(VALUE(SUBSTITUTE(TRIM('수출입 실적(품목별)'!H2612),",","")),"")</f>
        <v>-217459</v>
      </c>
    </row>
    <row r="2609" customFormat="false" ht="15" hidden="false" customHeight="true" outlineLevel="0" collapsed="false">
      <c r="A2609" s="11" t="str">
        <f aca="false">TRIM('수출입 실적(품목별)'!A2613)</f>
        <v>2026.04</v>
      </c>
      <c r="B2609" s="17" t="n">
        <f aca="false">IFERROR(VALUE(LEFT($A2609,4)),"")</f>
        <v>2026</v>
      </c>
      <c r="C2609" s="17" t="n">
        <f aca="false">IFERROR(VALUE(RIGHT($A2609,2)),"")</f>
        <v>4</v>
      </c>
      <c r="D2609" s="17" t="n">
        <f aca="false">IFERROR(ROUNDUP($C2609/3,0),"")</f>
        <v>2</v>
      </c>
      <c r="E2609" s="11" t="str">
        <f aca="false">TRIM('수출입 실적(품목별)'!B2613)</f>
        <v>09</v>
      </c>
      <c r="F2609" s="11" t="str">
        <f aca="false">TRIM('수출입 실적(품목별)'!C2613)</f>
        <v>커피ㆍ차ㆍ마테(maté)ㆍ향신료</v>
      </c>
      <c r="G2609" s="18" t="n">
        <f aca="false">IFERROR(VALUE(SUBSTITUTE(TRIM('수출입 실적(품목별)'!D2613),",","")),"")</f>
        <v>464</v>
      </c>
      <c r="H2609" s="19" t="n">
        <f aca="false">IFERROR(VALUE(SUBSTITUTE(TRIM('수출입 실적(품목별)'!E2613),",","")),"")</f>
        <v>3934</v>
      </c>
      <c r="I2609" s="18" t="n">
        <f aca="false">IFERROR(VALUE(SUBSTITUTE(TRIM('수출입 실적(품목별)'!F2613),",","")),"")</f>
        <v>20301.3</v>
      </c>
      <c r="J2609" s="19" t="n">
        <f aca="false">IFERROR(VALUE(SUBSTITUTE(TRIM('수출입 실적(품목별)'!G2613),",","")),"")</f>
        <v>153166</v>
      </c>
      <c r="K2609" s="19" t="n">
        <f aca="false">IFERROR(VALUE(SUBSTITUTE(TRIM('수출입 실적(품목별)'!H2613),",","")),"")</f>
        <v>-149232</v>
      </c>
    </row>
    <row r="2610" customFormat="false" ht="15" hidden="false" customHeight="true" outlineLevel="0" collapsed="false">
      <c r="A2610" s="11" t="str">
        <f aca="false">TRIM('수출입 실적(품목별)'!A2614)</f>
        <v>2026.04</v>
      </c>
      <c r="B2610" s="17" t="n">
        <f aca="false">IFERROR(VALUE(LEFT($A2610,4)),"")</f>
        <v>2026</v>
      </c>
      <c r="C2610" s="17" t="n">
        <f aca="false">IFERROR(VALUE(RIGHT($A2610,2)),"")</f>
        <v>4</v>
      </c>
      <c r="D2610" s="17" t="n">
        <f aca="false">IFERROR(ROUNDUP($C2610/3,0),"")</f>
        <v>2</v>
      </c>
      <c r="E2610" s="11" t="str">
        <f aca="false">TRIM('수출입 실적(품목별)'!B2614)</f>
        <v>10</v>
      </c>
      <c r="F2610" s="11" t="str">
        <f aca="false">TRIM('수출입 실적(품목별)'!C2614)</f>
        <v>곡물</v>
      </c>
      <c r="G2610" s="18" t="n">
        <f aca="false">IFERROR(VALUE(SUBSTITUTE(TRIM('수출입 실적(품목별)'!D2614),",","")),"")</f>
        <v>954.4</v>
      </c>
      <c r="H2610" s="19" t="n">
        <f aca="false">IFERROR(VALUE(SUBSTITUTE(TRIM('수출입 실적(품목별)'!E2614),",","")),"")</f>
        <v>1380</v>
      </c>
      <c r="I2610" s="18" t="n">
        <f aca="false">IFERROR(VALUE(SUBSTITUTE(TRIM('수출입 실적(품목별)'!F2614),",","")),"")</f>
        <v>1455857.9</v>
      </c>
      <c r="J2610" s="19" t="n">
        <f aca="false">IFERROR(VALUE(SUBSTITUTE(TRIM('수출입 실적(품목별)'!G2614),",","")),"")</f>
        <v>388686</v>
      </c>
      <c r="K2610" s="19" t="n">
        <f aca="false">IFERROR(VALUE(SUBSTITUTE(TRIM('수출입 실적(품목별)'!H2614),",","")),"")</f>
        <v>-387306</v>
      </c>
    </row>
    <row r="2611" customFormat="false" ht="15" hidden="false" customHeight="true" outlineLevel="0" collapsed="false">
      <c r="A2611" s="11" t="str">
        <f aca="false">TRIM('수출입 실적(품목별)'!A2615)</f>
        <v>2026.04</v>
      </c>
      <c r="B2611" s="17" t="n">
        <f aca="false">IFERROR(VALUE(LEFT($A2611,4)),"")</f>
        <v>2026</v>
      </c>
      <c r="C2611" s="17" t="n">
        <f aca="false">IFERROR(VALUE(RIGHT($A2611,2)),"")</f>
        <v>4</v>
      </c>
      <c r="D2611" s="17" t="n">
        <f aca="false">IFERROR(ROUNDUP($C2611/3,0),"")</f>
        <v>2</v>
      </c>
      <c r="E2611" s="11" t="str">
        <f aca="false">TRIM('수출입 실적(품목별)'!B2615)</f>
        <v>11</v>
      </c>
      <c r="F2611" s="11" t="str">
        <f aca="false">TRIM('수출입 실적(품목별)'!C2615)</f>
        <v>제분공업의 생산품과 맥아, 전분, 이눌린(inulin), 밀의 글루텐(gluten)</v>
      </c>
      <c r="G2611" s="18" t="n">
        <f aca="false">IFERROR(VALUE(SUBSTITUTE(TRIM('수출입 실적(품목별)'!D2615),",","")),"")</f>
        <v>5857</v>
      </c>
      <c r="H2611" s="19" t="n">
        <f aca="false">IFERROR(VALUE(SUBSTITUTE(TRIM('수출입 실적(품목별)'!E2615),",","")),"")</f>
        <v>3832</v>
      </c>
      <c r="I2611" s="18" t="n">
        <f aca="false">IFERROR(VALUE(SUBSTITUTE(TRIM('수출입 실적(품목별)'!F2615),",","")),"")</f>
        <v>32943.6</v>
      </c>
      <c r="J2611" s="19" t="n">
        <f aca="false">IFERROR(VALUE(SUBSTITUTE(TRIM('수출입 실적(품목별)'!G2615),",","")),"")</f>
        <v>27885</v>
      </c>
      <c r="K2611" s="19" t="n">
        <f aca="false">IFERROR(VALUE(SUBSTITUTE(TRIM('수출입 실적(품목별)'!H2615),",","")),"")</f>
        <v>-24053</v>
      </c>
    </row>
    <row r="2612" customFormat="false" ht="15" hidden="false" customHeight="true" outlineLevel="0" collapsed="false">
      <c r="A2612" s="11" t="str">
        <f aca="false">TRIM('수출입 실적(품목별)'!A2616)</f>
        <v>2026.04</v>
      </c>
      <c r="B2612" s="17" t="n">
        <f aca="false">IFERROR(VALUE(LEFT($A2612,4)),"")</f>
        <v>2026</v>
      </c>
      <c r="C2612" s="17" t="n">
        <f aca="false">IFERROR(VALUE(RIGHT($A2612,2)),"")</f>
        <v>4</v>
      </c>
      <c r="D2612" s="17" t="n">
        <f aca="false">IFERROR(ROUNDUP($C2612/3,0),"")</f>
        <v>2</v>
      </c>
      <c r="E2612" s="11" t="str">
        <f aca="false">TRIM('수출입 실적(품목별)'!B2616)</f>
        <v>12</v>
      </c>
      <c r="F2612" s="11" t="str">
        <f aca="false">TRIM('수출입 실적(품목별)'!C2616)</f>
        <v>채유(採油)에 적합한 종자와 과실, 각종 종자와 과실, 공업용ㆍ의약용 식물, 짚과 사료용 식물</v>
      </c>
      <c r="G2612" s="18" t="n">
        <f aca="false">IFERROR(VALUE(SUBSTITUTE(TRIM('수출입 실적(품목별)'!D2616),",","")),"")</f>
        <v>4710.7</v>
      </c>
      <c r="H2612" s="19" t="n">
        <f aca="false">IFERROR(VALUE(SUBSTITUTE(TRIM('수출입 실적(품목별)'!E2616),",","")),"")</f>
        <v>63480</v>
      </c>
      <c r="I2612" s="18" t="n">
        <f aca="false">IFERROR(VALUE(SUBSTITUTE(TRIM('수출입 실적(품목별)'!F2616),",","")),"")</f>
        <v>350770.1</v>
      </c>
      <c r="J2612" s="19" t="n">
        <f aca="false">IFERROR(VALUE(SUBSTITUTE(TRIM('수출입 실적(품목별)'!G2616),",","")),"")</f>
        <v>180091</v>
      </c>
      <c r="K2612" s="19" t="n">
        <f aca="false">IFERROR(VALUE(SUBSTITUTE(TRIM('수출입 실적(품목별)'!H2616),",","")),"")</f>
        <v>-116611</v>
      </c>
    </row>
    <row r="2613" customFormat="false" ht="15" hidden="false" customHeight="true" outlineLevel="0" collapsed="false">
      <c r="A2613" s="11" t="str">
        <f aca="false">TRIM('수출입 실적(품목별)'!A2617)</f>
        <v>2026.04</v>
      </c>
      <c r="B2613" s="17" t="n">
        <f aca="false">IFERROR(VALUE(LEFT($A2613,4)),"")</f>
        <v>2026</v>
      </c>
      <c r="C2613" s="17" t="n">
        <f aca="false">IFERROR(VALUE(RIGHT($A2613,2)),"")</f>
        <v>4</v>
      </c>
      <c r="D2613" s="17" t="n">
        <f aca="false">IFERROR(ROUNDUP($C2613/3,0),"")</f>
        <v>2</v>
      </c>
      <c r="E2613" s="11" t="str">
        <f aca="false">TRIM('수출입 실적(품목별)'!B2617)</f>
        <v>13</v>
      </c>
      <c r="F2613" s="11" t="str">
        <f aca="false">TRIM('수출입 실적(품목별)'!C2617)</f>
        <v>락(lac), 검ㆍ수지ㆍ그 밖의 식물성 수액과 추출물(extract)</v>
      </c>
      <c r="G2613" s="18" t="n">
        <f aca="false">IFERROR(VALUE(SUBSTITUTE(TRIM('수출입 실적(품목별)'!D2617),",","")),"")</f>
        <v>386.8</v>
      </c>
      <c r="H2613" s="19" t="n">
        <f aca="false">IFERROR(VALUE(SUBSTITUTE(TRIM('수출입 실적(품목별)'!E2617),",","")),"")</f>
        <v>7845</v>
      </c>
      <c r="I2613" s="18" t="n">
        <f aca="false">IFERROR(VALUE(SUBSTITUTE(TRIM('수출입 실적(품목별)'!F2617),",","")),"")</f>
        <v>8841</v>
      </c>
      <c r="J2613" s="19" t="n">
        <f aca="false">IFERROR(VALUE(SUBSTITUTE(TRIM('수출입 실적(품목별)'!G2617),",","")),"")</f>
        <v>28150</v>
      </c>
      <c r="K2613" s="19" t="n">
        <f aca="false">IFERROR(VALUE(SUBSTITUTE(TRIM('수출입 실적(품목별)'!H2617),",","")),"")</f>
        <v>-20305</v>
      </c>
    </row>
    <row r="2614" customFormat="false" ht="15" hidden="false" customHeight="true" outlineLevel="0" collapsed="false">
      <c r="A2614" s="11" t="str">
        <f aca="false">TRIM('수출입 실적(품목별)'!A2618)</f>
        <v>2026.04</v>
      </c>
      <c r="B2614" s="17" t="n">
        <f aca="false">IFERROR(VALUE(LEFT($A2614,4)),"")</f>
        <v>2026</v>
      </c>
      <c r="C2614" s="17" t="n">
        <f aca="false">IFERROR(VALUE(RIGHT($A2614,2)),"")</f>
        <v>4</v>
      </c>
      <c r="D2614" s="17" t="n">
        <f aca="false">IFERROR(ROUNDUP($C2614/3,0),"")</f>
        <v>2</v>
      </c>
      <c r="E2614" s="11" t="str">
        <f aca="false">TRIM('수출입 실적(품목별)'!B2618)</f>
        <v>14</v>
      </c>
      <c r="F2614" s="11" t="str">
        <f aca="false">TRIM('수출입 실적(품목별)'!C2618)</f>
        <v>식물성 편조물(編組物)용 재료와 다른 류로 분류되지 않은 식물성 생산품</v>
      </c>
      <c r="G2614" s="18" t="n">
        <f aca="false">IFERROR(VALUE(SUBSTITUTE(TRIM('수출입 실적(품목별)'!D2618),",","")),"")</f>
        <v>21.4</v>
      </c>
      <c r="H2614" s="19" t="n">
        <f aca="false">IFERROR(VALUE(SUBSTITUTE(TRIM('수출입 실적(품목별)'!E2618),",","")),"")</f>
        <v>58</v>
      </c>
      <c r="I2614" s="18" t="n">
        <f aca="false">IFERROR(VALUE(SUBSTITUTE(TRIM('수출입 실적(품목별)'!F2618),",","")),"")</f>
        <v>51716.3</v>
      </c>
      <c r="J2614" s="19" t="n">
        <f aca="false">IFERROR(VALUE(SUBSTITUTE(TRIM('수출입 실적(품목별)'!G2618),",","")),"")</f>
        <v>11088</v>
      </c>
      <c r="K2614" s="19" t="n">
        <f aca="false">IFERROR(VALUE(SUBSTITUTE(TRIM('수출입 실적(품목별)'!H2618),",","")),"")</f>
        <v>-11031</v>
      </c>
    </row>
    <row r="2615" customFormat="false" ht="15" hidden="false" customHeight="true" outlineLevel="0" collapsed="false">
      <c r="A2615" s="11" t="str">
        <f aca="false">TRIM('수출입 실적(품목별)'!A2619)</f>
        <v>2026.04</v>
      </c>
      <c r="B2615" s="17" t="n">
        <f aca="false">IFERROR(VALUE(LEFT($A2615,4)),"")</f>
        <v>2026</v>
      </c>
      <c r="C2615" s="17" t="n">
        <f aca="false">IFERROR(VALUE(RIGHT($A2615,2)),"")</f>
        <v>4</v>
      </c>
      <c r="D2615" s="17" t="n">
        <f aca="false">IFERROR(ROUNDUP($C2615/3,0),"")</f>
        <v>2</v>
      </c>
      <c r="E2615" s="11" t="str">
        <f aca="false">TRIM('수출입 실적(품목별)'!B2619)</f>
        <v>15</v>
      </c>
      <c r="F2615" s="11" t="str">
        <f aca="false">TRIM('수출입 실적(품목별)'!C2619)</f>
        <v>동물성ㆍ식물성ㆍ미생물성 지방과 기름 및이들의 분해생산물, 조제한 식용 지방과 동물성ㆍ식물성 왁스</v>
      </c>
      <c r="G2615" s="18" t="n">
        <f aca="false">IFERROR(VALUE(SUBSTITUTE(TRIM('수출입 실적(품목별)'!D2619),",","")),"")</f>
        <v>16415.3</v>
      </c>
      <c r="H2615" s="19" t="n">
        <f aca="false">IFERROR(VALUE(SUBSTITUTE(TRIM('수출입 실적(품목별)'!E2619),",","")),"")</f>
        <v>21090</v>
      </c>
      <c r="I2615" s="18" t="n">
        <f aca="false">IFERROR(VALUE(SUBSTITUTE(TRIM('수출입 실적(품목별)'!F2619),",","")),"")</f>
        <v>177055.5</v>
      </c>
      <c r="J2615" s="19" t="n">
        <f aca="false">IFERROR(VALUE(SUBSTITUTE(TRIM('수출입 실적(품목별)'!G2619),",","")),"")</f>
        <v>266246</v>
      </c>
      <c r="K2615" s="19" t="n">
        <f aca="false">IFERROR(VALUE(SUBSTITUTE(TRIM('수출입 실적(품목별)'!H2619),",","")),"")</f>
        <v>-245156</v>
      </c>
    </row>
    <row r="2616" customFormat="false" ht="15" hidden="false" customHeight="true" outlineLevel="0" collapsed="false">
      <c r="A2616" s="11" t="str">
        <f aca="false">TRIM('수출입 실적(품목별)'!A2620)</f>
        <v>2026.04</v>
      </c>
      <c r="B2616" s="17" t="n">
        <f aca="false">IFERROR(VALUE(LEFT($A2616,4)),"")</f>
        <v>2026</v>
      </c>
      <c r="C2616" s="17" t="n">
        <f aca="false">IFERROR(VALUE(RIGHT($A2616,2)),"")</f>
        <v>4</v>
      </c>
      <c r="D2616" s="17" t="n">
        <f aca="false">IFERROR(ROUNDUP($C2616/3,0),"")</f>
        <v>2</v>
      </c>
      <c r="E2616" s="11" t="str">
        <f aca="false">TRIM('수출입 실적(품목별)'!B2620)</f>
        <v>16</v>
      </c>
      <c r="F2616" s="11" t="str">
        <f aca="false">TRIM('수출입 실적(품목별)'!C2620)</f>
        <v>육류ㆍ어류ㆍ갑각류ㆍ연체동물이나 그 밖의 수생(水生) 무척추동물 또는 곤충의 조제품</v>
      </c>
      <c r="G2616" s="18" t="n">
        <f aca="false">IFERROR(VALUE(SUBSTITUTE(TRIM('수출입 실적(품목별)'!D2620),",","")),"")</f>
        <v>4996.2</v>
      </c>
      <c r="H2616" s="19" t="n">
        <f aca="false">IFERROR(VALUE(SUBSTITUTE(TRIM('수출입 실적(품목별)'!E2620),",","")),"")</f>
        <v>31816</v>
      </c>
      <c r="I2616" s="18" t="n">
        <f aca="false">IFERROR(VALUE(SUBSTITUTE(TRIM('수출입 실적(품목별)'!F2620),",","")),"")</f>
        <v>17037.4</v>
      </c>
      <c r="J2616" s="19" t="n">
        <f aca="false">IFERROR(VALUE(SUBSTITUTE(TRIM('수출입 실적(품목별)'!G2620),",","")),"")</f>
        <v>92223</v>
      </c>
      <c r="K2616" s="19" t="n">
        <f aca="false">IFERROR(VALUE(SUBSTITUTE(TRIM('수출입 실적(품목별)'!H2620),",","")),"")</f>
        <v>-60407</v>
      </c>
    </row>
    <row r="2617" customFormat="false" ht="15" hidden="false" customHeight="true" outlineLevel="0" collapsed="false">
      <c r="A2617" s="11" t="str">
        <f aca="false">TRIM('수출입 실적(품목별)'!A2621)</f>
        <v>2026.04</v>
      </c>
      <c r="B2617" s="17" t="n">
        <f aca="false">IFERROR(VALUE(LEFT($A2617,4)),"")</f>
        <v>2026</v>
      </c>
      <c r="C2617" s="17" t="n">
        <f aca="false">IFERROR(VALUE(RIGHT($A2617,2)),"")</f>
        <v>4</v>
      </c>
      <c r="D2617" s="17" t="n">
        <f aca="false">IFERROR(ROUNDUP($C2617/3,0),"")</f>
        <v>2</v>
      </c>
      <c r="E2617" s="11" t="str">
        <f aca="false">TRIM('수출입 실적(품목별)'!B2621)</f>
        <v>17</v>
      </c>
      <c r="F2617" s="11" t="str">
        <f aca="false">TRIM('수출입 실적(품목별)'!C2621)</f>
        <v>당류(糖類)와 설탕과자</v>
      </c>
      <c r="G2617" s="18" t="n">
        <f aca="false">IFERROR(VALUE(SUBSTITUTE(TRIM('수출입 실적(품목별)'!D2621),",","")),"")</f>
        <v>26465.5</v>
      </c>
      <c r="H2617" s="19" t="n">
        <f aca="false">IFERROR(VALUE(SUBSTITUTE(TRIM('수출입 실적(품목별)'!E2621),",","")),"")</f>
        <v>23892</v>
      </c>
      <c r="I2617" s="18" t="n">
        <f aca="false">IFERROR(VALUE(SUBSTITUTE(TRIM('수출입 실적(품목별)'!F2621),",","")),"")</f>
        <v>203761.4</v>
      </c>
      <c r="J2617" s="19" t="n">
        <f aca="false">IFERROR(VALUE(SUBSTITUTE(TRIM('수출입 실적(품목별)'!G2621),",","")),"")</f>
        <v>107064</v>
      </c>
      <c r="K2617" s="19" t="n">
        <f aca="false">IFERROR(VALUE(SUBSTITUTE(TRIM('수출입 실적(품목별)'!H2621),",","")),"")</f>
        <v>-83172</v>
      </c>
    </row>
    <row r="2618" customFormat="false" ht="15" hidden="false" customHeight="true" outlineLevel="0" collapsed="false">
      <c r="A2618" s="11" t="str">
        <f aca="false">TRIM('수출입 실적(품목별)'!A2622)</f>
        <v>2026.04</v>
      </c>
      <c r="B2618" s="17" t="n">
        <f aca="false">IFERROR(VALUE(LEFT($A2618,4)),"")</f>
        <v>2026</v>
      </c>
      <c r="C2618" s="17" t="n">
        <f aca="false">IFERROR(VALUE(RIGHT($A2618,2)),"")</f>
        <v>4</v>
      </c>
      <c r="D2618" s="17" t="n">
        <f aca="false">IFERROR(ROUNDUP($C2618/3,0),"")</f>
        <v>2</v>
      </c>
      <c r="E2618" s="11" t="str">
        <f aca="false">TRIM('수출입 실적(품목별)'!B2622)</f>
        <v>18</v>
      </c>
      <c r="F2618" s="11" t="str">
        <f aca="false">TRIM('수출입 실적(품목별)'!C2622)</f>
        <v>코코아와 그 조제품</v>
      </c>
      <c r="G2618" s="18" t="n">
        <f aca="false">IFERROR(VALUE(SUBSTITUTE(TRIM('수출입 실적(품목별)'!D2622),",","")),"")</f>
        <v>1565.5</v>
      </c>
      <c r="H2618" s="19" t="n">
        <f aca="false">IFERROR(VALUE(SUBSTITUTE(TRIM('수출입 실적(품목별)'!E2622),",","")),"")</f>
        <v>6428</v>
      </c>
      <c r="I2618" s="18" t="n">
        <f aca="false">IFERROR(VALUE(SUBSTITUTE(TRIM('수출입 실적(품목별)'!F2622),",","")),"")</f>
        <v>4427.3</v>
      </c>
      <c r="J2618" s="19" t="n">
        <f aca="false">IFERROR(VALUE(SUBSTITUTE(TRIM('수출입 실적(품목별)'!G2622),",","")),"")</f>
        <v>35645</v>
      </c>
      <c r="K2618" s="19" t="n">
        <f aca="false">IFERROR(VALUE(SUBSTITUTE(TRIM('수출입 실적(품목별)'!H2622),",","")),"")</f>
        <v>-29217</v>
      </c>
    </row>
    <row r="2619" customFormat="false" ht="15" hidden="false" customHeight="true" outlineLevel="0" collapsed="false">
      <c r="A2619" s="11" t="str">
        <f aca="false">TRIM('수출입 실적(품목별)'!A2623)</f>
        <v>2026.04</v>
      </c>
      <c r="B2619" s="17" t="n">
        <f aca="false">IFERROR(VALUE(LEFT($A2619,4)),"")</f>
        <v>2026</v>
      </c>
      <c r="C2619" s="17" t="n">
        <f aca="false">IFERROR(VALUE(RIGHT($A2619,2)),"")</f>
        <v>4</v>
      </c>
      <c r="D2619" s="17" t="n">
        <f aca="false">IFERROR(ROUNDUP($C2619/3,0),"")</f>
        <v>2</v>
      </c>
      <c r="E2619" s="11" t="str">
        <f aca="false">TRIM('수출입 실적(품목별)'!B2623)</f>
        <v>19</v>
      </c>
      <c r="F2619" s="11" t="str">
        <f aca="false">TRIM('수출입 실적(품목별)'!C2623)</f>
        <v>곡물ㆍ고운 가루ㆍ전분ㆍ밀크의 조제품과 베이커리 제품</v>
      </c>
      <c r="G2619" s="18" t="n">
        <f aca="false">IFERROR(VALUE(SUBSTITUTE(TRIM('수출입 실적(품목별)'!D2623),",","")),"")</f>
        <v>74192.8</v>
      </c>
      <c r="H2619" s="19" t="n">
        <f aca="false">IFERROR(VALUE(SUBSTITUTE(TRIM('수출입 실적(품목별)'!E2623),",","")),"")</f>
        <v>299401</v>
      </c>
      <c r="I2619" s="18" t="n">
        <f aca="false">IFERROR(VALUE(SUBSTITUTE(TRIM('수출입 실적(품목별)'!F2623),",","")),"")</f>
        <v>30730.9</v>
      </c>
      <c r="J2619" s="19" t="n">
        <f aca="false">IFERROR(VALUE(SUBSTITUTE(TRIM('수출입 실적(품목별)'!G2623),",","")),"")</f>
        <v>98222</v>
      </c>
      <c r="K2619" s="19" t="n">
        <f aca="false">IFERROR(VALUE(SUBSTITUTE(TRIM('수출입 실적(품목별)'!H2623),",","")),"")</f>
        <v>201179</v>
      </c>
    </row>
    <row r="2620" customFormat="false" ht="15" hidden="false" customHeight="true" outlineLevel="0" collapsed="false">
      <c r="A2620" s="11" t="str">
        <f aca="false">TRIM('수출입 실적(품목별)'!A2624)</f>
        <v>2026.04</v>
      </c>
      <c r="B2620" s="17" t="n">
        <f aca="false">IFERROR(VALUE(LEFT($A2620,4)),"")</f>
        <v>2026</v>
      </c>
      <c r="C2620" s="17" t="n">
        <f aca="false">IFERROR(VALUE(RIGHT($A2620,2)),"")</f>
        <v>4</v>
      </c>
      <c r="D2620" s="17" t="n">
        <f aca="false">IFERROR(ROUNDUP($C2620/3,0),"")</f>
        <v>2</v>
      </c>
      <c r="E2620" s="11" t="str">
        <f aca="false">TRIM('수출입 실적(품목별)'!B2624)</f>
        <v>20</v>
      </c>
      <c r="F2620" s="11" t="str">
        <f aca="false">TRIM('수출입 실적(품목별)'!C2624)</f>
        <v>채소ㆍ과실ㆍ견과류나 식물의그 밖의 부분의 조제품</v>
      </c>
      <c r="G2620" s="18" t="n">
        <f aca="false">IFERROR(VALUE(SUBSTITUTE(TRIM('수출입 실적(품목별)'!D2624),",","")),"")</f>
        <v>10544.4</v>
      </c>
      <c r="H2620" s="19" t="n">
        <f aca="false">IFERROR(VALUE(SUBSTITUTE(TRIM('수출입 실적(품목별)'!E2624),",","")),"")</f>
        <v>94485</v>
      </c>
      <c r="I2620" s="18" t="n">
        <f aca="false">IFERROR(VALUE(SUBSTITUTE(TRIM('수출입 실적(품목별)'!F2624),",","")),"")</f>
        <v>98871.5</v>
      </c>
      <c r="J2620" s="19" t="n">
        <f aca="false">IFERROR(VALUE(SUBSTITUTE(TRIM('수출입 실적(품목별)'!G2624),",","")),"")</f>
        <v>139046</v>
      </c>
      <c r="K2620" s="19" t="n">
        <f aca="false">IFERROR(VALUE(SUBSTITUTE(TRIM('수출입 실적(품목별)'!H2624),",","")),"")</f>
        <v>-44561</v>
      </c>
    </row>
    <row r="2621" customFormat="false" ht="15" hidden="false" customHeight="true" outlineLevel="0" collapsed="false">
      <c r="A2621" s="11" t="str">
        <f aca="false">TRIM('수출입 실적(품목별)'!A2625)</f>
        <v>2026.04</v>
      </c>
      <c r="B2621" s="17" t="n">
        <f aca="false">IFERROR(VALUE(LEFT($A2621,4)),"")</f>
        <v>2026</v>
      </c>
      <c r="C2621" s="17" t="n">
        <f aca="false">IFERROR(VALUE(RIGHT($A2621,2)),"")</f>
        <v>4</v>
      </c>
      <c r="D2621" s="17" t="n">
        <f aca="false">IFERROR(ROUNDUP($C2621/3,0),"")</f>
        <v>2</v>
      </c>
      <c r="E2621" s="11" t="str">
        <f aca="false">TRIM('수출입 실적(품목별)'!B2625)</f>
        <v>21</v>
      </c>
      <c r="F2621" s="11" t="str">
        <f aca="false">TRIM('수출입 실적(품목별)'!C2625)</f>
        <v>각종 조제 식료품</v>
      </c>
      <c r="G2621" s="18" t="n">
        <f aca="false">IFERROR(VALUE(SUBSTITUTE(TRIM('수출입 실적(품목별)'!D2625),",","")),"")</f>
        <v>41465.4</v>
      </c>
      <c r="H2621" s="19" t="n">
        <f aca="false">IFERROR(VALUE(SUBSTITUTE(TRIM('수출입 실적(품목별)'!E2625),",","")),"")</f>
        <v>176069</v>
      </c>
      <c r="I2621" s="18" t="n">
        <f aca="false">IFERROR(VALUE(SUBSTITUTE(TRIM('수출입 실적(품목별)'!F2625),",","")),"")</f>
        <v>35233.5</v>
      </c>
      <c r="J2621" s="19" t="n">
        <f aca="false">IFERROR(VALUE(SUBSTITUTE(TRIM('수출입 실적(품목별)'!G2625),",","")),"")</f>
        <v>247345</v>
      </c>
      <c r="K2621" s="19" t="n">
        <f aca="false">IFERROR(VALUE(SUBSTITUTE(TRIM('수출입 실적(품목별)'!H2625),",","")),"")</f>
        <v>-71276</v>
      </c>
    </row>
    <row r="2622" customFormat="false" ht="15" hidden="false" customHeight="true" outlineLevel="0" collapsed="false">
      <c r="A2622" s="11" t="str">
        <f aca="false">TRIM('수출입 실적(품목별)'!A2626)</f>
        <v>2026.04</v>
      </c>
      <c r="B2622" s="17" t="n">
        <f aca="false">IFERROR(VALUE(LEFT($A2622,4)),"")</f>
        <v>2026</v>
      </c>
      <c r="C2622" s="17" t="n">
        <f aca="false">IFERROR(VALUE(RIGHT($A2622,2)),"")</f>
        <v>4</v>
      </c>
      <c r="D2622" s="17" t="n">
        <f aca="false">IFERROR(ROUNDUP($C2622/3,0),"")</f>
        <v>2</v>
      </c>
      <c r="E2622" s="11" t="str">
        <f aca="false">TRIM('수출입 실적(품목별)'!B2626)</f>
        <v>22</v>
      </c>
      <c r="F2622" s="11" t="str">
        <f aca="false">TRIM('수출입 실적(품목별)'!C2626)</f>
        <v>음료ㆍ주류ㆍ식초</v>
      </c>
      <c r="G2622" s="18" t="n">
        <f aca="false">IFERROR(VALUE(SUBSTITUTE(TRIM('수출입 실적(품목별)'!D2626),",","")),"")</f>
        <v>97374.6</v>
      </c>
      <c r="H2622" s="19" t="n">
        <f aca="false">IFERROR(VALUE(SUBSTITUTE(TRIM('수출입 실적(품목별)'!E2626),",","")),"")</f>
        <v>109922</v>
      </c>
      <c r="I2622" s="18" t="n">
        <f aca="false">IFERROR(VALUE(SUBSTITUTE(TRIM('수출입 실적(품목별)'!F2626),",","")),"")</f>
        <v>88393</v>
      </c>
      <c r="J2622" s="19" t="n">
        <f aca="false">IFERROR(VALUE(SUBSTITUTE(TRIM('수출입 실적(품목별)'!G2626),",","")),"")</f>
        <v>127147</v>
      </c>
      <c r="K2622" s="19" t="n">
        <f aca="false">IFERROR(VALUE(SUBSTITUTE(TRIM('수출입 실적(품목별)'!H2626),",","")),"")</f>
        <v>-17225</v>
      </c>
    </row>
    <row r="2623" customFormat="false" ht="15" hidden="false" customHeight="true" outlineLevel="0" collapsed="false">
      <c r="A2623" s="11" t="str">
        <f aca="false">TRIM('수출입 실적(품목별)'!A2627)</f>
        <v>2026.04</v>
      </c>
      <c r="B2623" s="17" t="n">
        <f aca="false">IFERROR(VALUE(LEFT($A2623,4)),"")</f>
        <v>2026</v>
      </c>
      <c r="C2623" s="17" t="n">
        <f aca="false">IFERROR(VALUE(RIGHT($A2623,2)),"")</f>
        <v>4</v>
      </c>
      <c r="D2623" s="17" t="n">
        <f aca="false">IFERROR(ROUNDUP($C2623/3,0),"")</f>
        <v>2</v>
      </c>
      <c r="E2623" s="11" t="str">
        <f aca="false">TRIM('수출입 실적(품목별)'!B2627)</f>
        <v>23</v>
      </c>
      <c r="F2623" s="11" t="str">
        <f aca="false">TRIM('수출입 실적(품목별)'!C2627)</f>
        <v>식품 공업에서 생기는 잔재물과 웨이스트(waste), 조제 사료</v>
      </c>
      <c r="G2623" s="18" t="n">
        <f aca="false">IFERROR(VALUE(SUBSTITUTE(TRIM('수출입 실적(품목별)'!D2627),",","")),"")</f>
        <v>30628.2</v>
      </c>
      <c r="H2623" s="19" t="n">
        <f aca="false">IFERROR(VALUE(SUBSTITUTE(TRIM('수출입 실적(품목별)'!E2627),",","")),"")</f>
        <v>33134</v>
      </c>
      <c r="I2623" s="18" t="n">
        <f aca="false">IFERROR(VALUE(SUBSTITUTE(TRIM('수출입 실적(품목별)'!F2627),",","")),"")</f>
        <v>548323.5</v>
      </c>
      <c r="J2623" s="19" t="n">
        <f aca="false">IFERROR(VALUE(SUBSTITUTE(TRIM('수출입 실적(품목별)'!G2627),",","")),"")</f>
        <v>190173</v>
      </c>
      <c r="K2623" s="19" t="n">
        <f aca="false">IFERROR(VALUE(SUBSTITUTE(TRIM('수출입 실적(품목별)'!H2627),",","")),"")</f>
        <v>-157039</v>
      </c>
    </row>
    <row r="2624" customFormat="false" ht="15" hidden="false" customHeight="true" outlineLevel="0" collapsed="false">
      <c r="A2624" s="11" t="str">
        <f aca="false">TRIM('수출입 실적(품목별)'!A2628)</f>
        <v>2026.04</v>
      </c>
      <c r="B2624" s="17" t="n">
        <f aca="false">IFERROR(VALUE(LEFT($A2624,4)),"")</f>
        <v>2026</v>
      </c>
      <c r="C2624" s="17" t="n">
        <f aca="false">IFERROR(VALUE(RIGHT($A2624,2)),"")</f>
        <v>4</v>
      </c>
      <c r="D2624" s="17" t="n">
        <f aca="false">IFERROR(ROUNDUP($C2624/3,0),"")</f>
        <v>2</v>
      </c>
      <c r="E2624" s="11" t="str">
        <f aca="false">TRIM('수출입 실적(품목별)'!B2628)</f>
        <v>24</v>
      </c>
      <c r="F2624" s="11" t="str">
        <f aca="false">TRIM('수출입 실적(품목별)'!C2628)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624" s="18" t="n">
        <f aca="false">IFERROR(VALUE(SUBSTITUTE(TRIM('수출입 실적(품목별)'!D2628),",","")),"")</f>
        <v>8635.3</v>
      </c>
      <c r="H2624" s="19" t="n">
        <f aca="false">IFERROR(VALUE(SUBSTITUTE(TRIM('수출입 실적(품목별)'!E2628),",","")),"")</f>
        <v>96431</v>
      </c>
      <c r="I2624" s="18" t="n">
        <f aca="false">IFERROR(VALUE(SUBSTITUTE(TRIM('수출입 실적(품목별)'!F2628),",","")),"")</f>
        <v>6001</v>
      </c>
      <c r="J2624" s="19" t="n">
        <f aca="false">IFERROR(VALUE(SUBSTITUTE(TRIM('수출입 실적(품목별)'!G2628),",","")),"")</f>
        <v>50629</v>
      </c>
      <c r="K2624" s="19" t="n">
        <f aca="false">IFERROR(VALUE(SUBSTITUTE(TRIM('수출입 실적(품목별)'!H2628),",","")),"")</f>
        <v>45801</v>
      </c>
    </row>
    <row r="2625" customFormat="false" ht="15" hidden="false" customHeight="true" outlineLevel="0" collapsed="false">
      <c r="A2625" s="11" t="str">
        <f aca="false">TRIM('수출입 실적(품목별)'!A2629)</f>
        <v>2026.04</v>
      </c>
      <c r="B2625" s="17" t="n">
        <f aca="false">IFERROR(VALUE(LEFT($A2625,4)),"")</f>
        <v>2026</v>
      </c>
      <c r="C2625" s="17" t="n">
        <f aca="false">IFERROR(VALUE(RIGHT($A2625,2)),"")</f>
        <v>4</v>
      </c>
      <c r="D2625" s="17" t="n">
        <f aca="false">IFERROR(ROUNDUP($C2625/3,0),"")</f>
        <v>2</v>
      </c>
      <c r="E2625" s="11" t="str">
        <f aca="false">TRIM('수출입 실적(품목별)'!B2629)</f>
        <v>25</v>
      </c>
      <c r="F2625" s="11" t="str">
        <f aca="false">TRIM('수출입 실적(품목별)'!C2629)</f>
        <v>소금, 황, 토석류(土石類), 석고ㆍ석회ㆍ시멘트</v>
      </c>
      <c r="G2625" s="18" t="n">
        <f aca="false">IFERROR(VALUE(SUBSTITUTE(TRIM('수출입 실적(품목별)'!D2629),",","")),"")</f>
        <v>445006.1</v>
      </c>
      <c r="H2625" s="19" t="n">
        <f aca="false">IFERROR(VALUE(SUBSTITUTE(TRIM('수출입 실적(품목별)'!E2629),",","")),"")</f>
        <v>55633</v>
      </c>
      <c r="I2625" s="18" t="n">
        <f aca="false">IFERROR(VALUE(SUBSTITUTE(TRIM('수출입 실적(품목별)'!F2629),",","")),"")</f>
        <v>795750.3</v>
      </c>
      <c r="J2625" s="19" t="n">
        <f aca="false">IFERROR(VALUE(SUBSTITUTE(TRIM('수출입 실적(품목별)'!G2629),",","")),"")</f>
        <v>67319</v>
      </c>
      <c r="K2625" s="19" t="n">
        <f aca="false">IFERROR(VALUE(SUBSTITUTE(TRIM('수출입 실적(품목별)'!H2629),",","")),"")</f>
        <v>-11686</v>
      </c>
    </row>
    <row r="2626" customFormat="false" ht="15" hidden="false" customHeight="true" outlineLevel="0" collapsed="false">
      <c r="A2626" s="11" t="str">
        <f aca="false">TRIM('수출입 실적(품목별)'!A2630)</f>
        <v>2026.04</v>
      </c>
      <c r="B2626" s="17" t="n">
        <f aca="false">IFERROR(VALUE(LEFT($A2626,4)),"")</f>
        <v>2026</v>
      </c>
      <c r="C2626" s="17" t="n">
        <f aca="false">IFERROR(VALUE(RIGHT($A2626,2)),"")</f>
        <v>4</v>
      </c>
      <c r="D2626" s="17" t="n">
        <f aca="false">IFERROR(ROUNDUP($C2626/3,0),"")</f>
        <v>2</v>
      </c>
      <c r="E2626" s="11" t="str">
        <f aca="false">TRIM('수출입 실적(품목별)'!B2630)</f>
        <v>26</v>
      </c>
      <c r="F2626" s="11" t="str">
        <f aca="false">TRIM('수출입 실적(품목별)'!C2630)</f>
        <v>광(鑛)ㆍ슬래그(slag)ㆍ회(灰)</v>
      </c>
      <c r="G2626" s="18" t="n">
        <f aca="false">IFERROR(VALUE(SUBSTITUTE(TRIM('수출입 실적(품목별)'!D2630),",","")),"")</f>
        <v>211732.4</v>
      </c>
      <c r="H2626" s="19" t="n">
        <f aca="false">IFERROR(VALUE(SUBSTITUTE(TRIM('수출입 실적(품목별)'!E2630),",","")),"")</f>
        <v>24203</v>
      </c>
      <c r="I2626" s="18" t="n">
        <f aca="false">IFERROR(VALUE(SUBSTITUTE(TRIM('수출입 실적(품목별)'!F2630),",","")),"")</f>
        <v>7000322.3</v>
      </c>
      <c r="J2626" s="19" t="n">
        <f aca="false">IFERROR(VALUE(SUBSTITUTE(TRIM('수출입 실적(품목별)'!G2630),",","")),"")</f>
        <v>2356634</v>
      </c>
      <c r="K2626" s="19" t="n">
        <f aca="false">IFERROR(VALUE(SUBSTITUTE(TRIM('수출입 실적(품목별)'!H2630),",","")),"")</f>
        <v>-2332431</v>
      </c>
    </row>
    <row r="2627" customFormat="false" ht="15" hidden="false" customHeight="true" outlineLevel="0" collapsed="false">
      <c r="A2627" s="11" t="str">
        <f aca="false">TRIM('수출입 실적(품목별)'!A2631)</f>
        <v>2026.04</v>
      </c>
      <c r="B2627" s="17" t="n">
        <f aca="false">IFERROR(VALUE(LEFT($A2627,4)),"")</f>
        <v>2026</v>
      </c>
      <c r="C2627" s="17" t="n">
        <f aca="false">IFERROR(VALUE(RIGHT($A2627,2)),"")</f>
        <v>4</v>
      </c>
      <c r="D2627" s="17" t="n">
        <f aca="false">IFERROR(ROUNDUP($C2627/3,0),"")</f>
        <v>2</v>
      </c>
      <c r="E2627" s="11" t="str">
        <f aca="false">TRIM('수출입 실적(품목별)'!B2631)</f>
        <v>27</v>
      </c>
      <c r="F2627" s="11" t="str">
        <f aca="false">TRIM('수출입 실적(품목별)'!C2631)</f>
        <v>광물성 연료ㆍ광물유(鑛物油)와 이들의 증류물, 역청(瀝靑)물질, 광물성 왁스</v>
      </c>
      <c r="G2627" s="18" t="n">
        <f aca="false">IFERROR(VALUE(SUBSTITUTE(TRIM('수출입 실적(품목별)'!D2631),",","")),"")</f>
        <v>3698312.6</v>
      </c>
      <c r="H2627" s="19" t="n">
        <f aca="false">IFERROR(VALUE(SUBSTITUTE(TRIM('수출입 실적(품목별)'!E2631),",","")),"")</f>
        <v>5156235</v>
      </c>
      <c r="I2627" s="18" t="n">
        <f aca="false">IFERROR(VALUE(SUBSTITUTE(TRIM('수출입 실적(품목별)'!F2631),",","")),"")</f>
        <v>23632078.2</v>
      </c>
      <c r="J2627" s="19" t="n">
        <f aca="false">IFERROR(VALUE(SUBSTITUTE(TRIM('수출입 실적(품목별)'!G2631),",","")),"")</f>
        <v>12604506</v>
      </c>
      <c r="K2627" s="19" t="n">
        <f aca="false">IFERROR(VALUE(SUBSTITUTE(TRIM('수출입 실적(품목별)'!H2631),",","")),"")</f>
        <v>-7448271</v>
      </c>
    </row>
    <row r="2628" customFormat="false" ht="15" hidden="false" customHeight="true" outlineLevel="0" collapsed="false">
      <c r="A2628" s="11" t="str">
        <f aca="false">TRIM('수출입 실적(품목별)'!A2632)</f>
        <v>2026.04</v>
      </c>
      <c r="B2628" s="17" t="n">
        <f aca="false">IFERROR(VALUE(LEFT($A2628,4)),"")</f>
        <v>2026</v>
      </c>
      <c r="C2628" s="17" t="n">
        <f aca="false">IFERROR(VALUE(RIGHT($A2628,2)),"")</f>
        <v>4</v>
      </c>
      <c r="D2628" s="17" t="n">
        <f aca="false">IFERROR(ROUNDUP($C2628/3,0),"")</f>
        <v>2</v>
      </c>
      <c r="E2628" s="11" t="str">
        <f aca="false">TRIM('수출입 실적(품목별)'!B2632)</f>
        <v>28</v>
      </c>
      <c r="F2628" s="11" t="str">
        <f aca="false">TRIM('수출입 실적(품목별)'!C2632)</f>
        <v>무기화학품, 귀금속ㆍ희토류(稀土類)금속ㆍ방사성원소ㆍ동위원소의 유기화합물이나 무기화합물</v>
      </c>
      <c r="G2628" s="18" t="n">
        <f aca="false">IFERROR(VALUE(SUBSTITUTE(TRIM('수출입 실적(품목별)'!D2632),",","")),"")</f>
        <v>543438.7</v>
      </c>
      <c r="H2628" s="19" t="n">
        <f aca="false">IFERROR(VALUE(SUBSTITUTE(TRIM('수출입 실적(품목별)'!E2632),",","")),"")</f>
        <v>993803</v>
      </c>
      <c r="I2628" s="18" t="n">
        <f aca="false">IFERROR(VALUE(SUBSTITUTE(TRIM('수출입 실적(품목별)'!F2632),",","")),"")</f>
        <v>368637.8</v>
      </c>
      <c r="J2628" s="19" t="n">
        <f aca="false">IFERROR(VALUE(SUBSTITUTE(TRIM('수출입 실적(품목별)'!G2632),",","")),"")</f>
        <v>1140899</v>
      </c>
      <c r="K2628" s="19" t="n">
        <f aca="false">IFERROR(VALUE(SUBSTITUTE(TRIM('수출입 실적(품목별)'!H2632),",","")),"")</f>
        <v>-147095</v>
      </c>
    </row>
    <row r="2629" customFormat="false" ht="15" hidden="false" customHeight="true" outlineLevel="0" collapsed="false">
      <c r="A2629" s="11" t="str">
        <f aca="false">TRIM('수출입 실적(품목별)'!A2633)</f>
        <v>2026.04</v>
      </c>
      <c r="B2629" s="17" t="n">
        <f aca="false">IFERROR(VALUE(LEFT($A2629,4)),"")</f>
        <v>2026</v>
      </c>
      <c r="C2629" s="17" t="n">
        <f aca="false">IFERROR(VALUE(RIGHT($A2629,2)),"")</f>
        <v>4</v>
      </c>
      <c r="D2629" s="17" t="n">
        <f aca="false">IFERROR(ROUNDUP($C2629/3,0),"")</f>
        <v>2</v>
      </c>
      <c r="E2629" s="11" t="str">
        <f aca="false">TRIM('수출입 실적(품목별)'!B2633)</f>
        <v>29</v>
      </c>
      <c r="F2629" s="11" t="str">
        <f aca="false">TRIM('수출입 실적(품목별)'!C2633)</f>
        <v>유기화학품</v>
      </c>
      <c r="G2629" s="18" t="n">
        <f aca="false">IFERROR(VALUE(SUBSTITUTE(TRIM('수출입 실적(품목별)'!D2633),",","")),"")</f>
        <v>1192049.3</v>
      </c>
      <c r="H2629" s="19" t="n">
        <f aca="false">IFERROR(VALUE(SUBSTITUTE(TRIM('수출입 실적(품목별)'!E2633),",","")),"")</f>
        <v>1704029</v>
      </c>
      <c r="I2629" s="18" t="n">
        <f aca="false">IFERROR(VALUE(SUBSTITUTE(TRIM('수출입 실적(품목별)'!F2633),",","")),"")</f>
        <v>823785</v>
      </c>
      <c r="J2629" s="19" t="n">
        <f aca="false">IFERROR(VALUE(SUBSTITUTE(TRIM('수출입 실적(품목별)'!G2633),",","")),"")</f>
        <v>1555054</v>
      </c>
      <c r="K2629" s="19" t="n">
        <f aca="false">IFERROR(VALUE(SUBSTITUTE(TRIM('수출입 실적(품목별)'!H2633),",","")),"")</f>
        <v>148974</v>
      </c>
    </row>
    <row r="2630" customFormat="false" ht="15" hidden="false" customHeight="true" outlineLevel="0" collapsed="false">
      <c r="A2630" s="11" t="str">
        <f aca="false">TRIM('수출입 실적(품목별)'!A2634)</f>
        <v>2026.04</v>
      </c>
      <c r="B2630" s="17" t="n">
        <f aca="false">IFERROR(VALUE(LEFT($A2630,4)),"")</f>
        <v>2026</v>
      </c>
      <c r="C2630" s="17" t="n">
        <f aca="false">IFERROR(VALUE(RIGHT($A2630,2)),"")</f>
        <v>4</v>
      </c>
      <c r="D2630" s="17" t="n">
        <f aca="false">IFERROR(ROUNDUP($C2630/3,0),"")</f>
        <v>2</v>
      </c>
      <c r="E2630" s="11" t="str">
        <f aca="false">TRIM('수출입 실적(품목별)'!B2634)</f>
        <v>30</v>
      </c>
      <c r="F2630" s="11" t="str">
        <f aca="false">TRIM('수출입 실적(품목별)'!C2634)</f>
        <v>의료용품</v>
      </c>
      <c r="G2630" s="18" t="n">
        <f aca="false">IFERROR(VALUE(SUBSTITUTE(TRIM('수출입 실적(품목별)'!D2634),",","")),"")</f>
        <v>3024</v>
      </c>
      <c r="H2630" s="19" t="n">
        <f aca="false">IFERROR(VALUE(SUBSTITUTE(TRIM('수출입 실적(품목별)'!E2634),",","")),"")</f>
        <v>953970</v>
      </c>
      <c r="I2630" s="18" t="n">
        <f aca="false">IFERROR(VALUE(SUBSTITUTE(TRIM('수출입 실적(품목별)'!F2634),",","")),"")</f>
        <v>8811</v>
      </c>
      <c r="J2630" s="19" t="n">
        <f aca="false">IFERROR(VALUE(SUBSTITUTE(TRIM('수출입 실적(품목별)'!G2634),",","")),"")</f>
        <v>1036433</v>
      </c>
      <c r="K2630" s="19" t="n">
        <f aca="false">IFERROR(VALUE(SUBSTITUTE(TRIM('수출입 실적(품목별)'!H2634),",","")),"")</f>
        <v>-82463</v>
      </c>
    </row>
    <row r="2631" customFormat="false" ht="15" hidden="false" customHeight="true" outlineLevel="0" collapsed="false">
      <c r="A2631" s="11" t="str">
        <f aca="false">TRIM('수출입 실적(품목별)'!A2635)</f>
        <v>2026.04</v>
      </c>
      <c r="B2631" s="17" t="n">
        <f aca="false">IFERROR(VALUE(LEFT($A2631,4)),"")</f>
        <v>2026</v>
      </c>
      <c r="C2631" s="17" t="n">
        <f aca="false">IFERROR(VALUE(RIGHT($A2631,2)),"")</f>
        <v>4</v>
      </c>
      <c r="D2631" s="17" t="n">
        <f aca="false">IFERROR(ROUNDUP($C2631/3,0),"")</f>
        <v>2</v>
      </c>
      <c r="E2631" s="11" t="str">
        <f aca="false">TRIM('수출입 실적(품목별)'!B2635)</f>
        <v>31</v>
      </c>
      <c r="F2631" s="11" t="str">
        <f aca="false">TRIM('수출입 실적(품목별)'!C2635)</f>
        <v>비료</v>
      </c>
      <c r="G2631" s="18" t="n">
        <f aca="false">IFERROR(VALUE(SUBSTITUTE(TRIM('수출입 실적(품목별)'!D2635),",","")),"")</f>
        <v>108221.1</v>
      </c>
      <c r="H2631" s="19" t="n">
        <f aca="false">IFERROR(VALUE(SUBSTITUTE(TRIM('수출입 실적(품목별)'!E2635),",","")),"")</f>
        <v>45788</v>
      </c>
      <c r="I2631" s="18" t="n">
        <f aca="false">IFERROR(VALUE(SUBSTITUTE(TRIM('수출입 실적(품목별)'!F2635),",","")),"")</f>
        <v>208059.8</v>
      </c>
      <c r="J2631" s="19" t="n">
        <f aca="false">IFERROR(VALUE(SUBSTITUTE(TRIM('수출입 실적(품목별)'!G2635),",","")),"")</f>
        <v>114050</v>
      </c>
      <c r="K2631" s="19" t="n">
        <f aca="false">IFERROR(VALUE(SUBSTITUTE(TRIM('수출입 실적(품목별)'!H2635),",","")),"")</f>
        <v>-68262</v>
      </c>
    </row>
    <row r="2632" customFormat="false" ht="15" hidden="false" customHeight="true" outlineLevel="0" collapsed="false">
      <c r="A2632" s="11" t="str">
        <f aca="false">TRIM('수출입 실적(품목별)'!A2636)</f>
        <v>2026.04</v>
      </c>
      <c r="B2632" s="17" t="n">
        <f aca="false">IFERROR(VALUE(LEFT($A2632,4)),"")</f>
        <v>2026</v>
      </c>
      <c r="C2632" s="17" t="n">
        <f aca="false">IFERROR(VALUE(RIGHT($A2632,2)),"")</f>
        <v>4</v>
      </c>
      <c r="D2632" s="17" t="n">
        <f aca="false">IFERROR(ROUNDUP($C2632/3,0),"")</f>
        <v>2</v>
      </c>
      <c r="E2632" s="11" t="str">
        <f aca="false">TRIM('수출입 실적(품목별)'!B2636)</f>
        <v>32</v>
      </c>
      <c r="F2632" s="11" t="str">
        <f aca="false">TRIM('수출입 실적(품목별)'!C2636)</f>
        <v>유연용ㆍ염색용 추출물(extract), 탄닌과 이들의 유도체, 염료ㆍ안료와 그 밖의 착색제, 페인트ㆍ바니시(varnish), 퍼티(putty)와 그 밖의 매스틱(mastic), 잉크</v>
      </c>
      <c r="G2632" s="18" t="n">
        <f aca="false">IFERROR(VALUE(SUBSTITUTE(TRIM('수출입 실적(품목별)'!D2636),",","")),"")</f>
        <v>36570</v>
      </c>
      <c r="H2632" s="19" t="n">
        <f aca="false">IFERROR(VALUE(SUBSTITUTE(TRIM('수출입 실적(품목별)'!E2636),",","")),"")</f>
        <v>267249</v>
      </c>
      <c r="I2632" s="18" t="n">
        <f aca="false">IFERROR(VALUE(SUBSTITUTE(TRIM('수출입 실적(품목별)'!F2636),",","")),"")</f>
        <v>30070.3</v>
      </c>
      <c r="J2632" s="19" t="n">
        <f aca="false">IFERROR(VALUE(SUBSTITUTE(TRIM('수출입 실적(품목별)'!G2636),",","")),"")</f>
        <v>233376</v>
      </c>
      <c r="K2632" s="19" t="n">
        <f aca="false">IFERROR(VALUE(SUBSTITUTE(TRIM('수출입 실적(품목별)'!H2636),",","")),"")</f>
        <v>33873</v>
      </c>
    </row>
    <row r="2633" customFormat="false" ht="15" hidden="false" customHeight="true" outlineLevel="0" collapsed="false">
      <c r="A2633" s="11" t="str">
        <f aca="false">TRIM('수출입 실적(품목별)'!A2637)</f>
        <v>2026.04</v>
      </c>
      <c r="B2633" s="17" t="n">
        <f aca="false">IFERROR(VALUE(LEFT($A2633,4)),"")</f>
        <v>2026</v>
      </c>
      <c r="C2633" s="17" t="n">
        <f aca="false">IFERROR(VALUE(RIGHT($A2633,2)),"")</f>
        <v>4</v>
      </c>
      <c r="D2633" s="17" t="n">
        <f aca="false">IFERROR(ROUNDUP($C2633/3,0),"")</f>
        <v>2</v>
      </c>
      <c r="E2633" s="11" t="str">
        <f aca="false">TRIM('수출입 실적(품목별)'!B2637)</f>
        <v>33</v>
      </c>
      <c r="F2633" s="11" t="str">
        <f aca="false">TRIM('수출입 실적(품목별)'!C2637)</f>
        <v>정유(essential oil)와 레지노이드(resinoid), 조제향료와 화장품ㆍ화장용품</v>
      </c>
      <c r="G2633" s="18" t="n">
        <f aca="false">IFERROR(VALUE(SUBSTITUTE(TRIM('수출입 실적(품목별)'!D2637),",","")),"")</f>
        <v>55887.3</v>
      </c>
      <c r="H2633" s="19" t="n">
        <f aca="false">IFERROR(VALUE(SUBSTITUTE(TRIM('수출입 실적(품목별)'!E2637),",","")),"")</f>
        <v>1307969</v>
      </c>
      <c r="I2633" s="18" t="n">
        <f aca="false">IFERROR(VALUE(SUBSTITUTE(TRIM('수출입 실적(품목별)'!F2637),",","")),"")</f>
        <v>10956.5</v>
      </c>
      <c r="J2633" s="19" t="n">
        <f aca="false">IFERROR(VALUE(SUBSTITUTE(TRIM('수출입 실적(품목별)'!G2637),",","")),"")</f>
        <v>194712</v>
      </c>
      <c r="K2633" s="19" t="n">
        <f aca="false">IFERROR(VALUE(SUBSTITUTE(TRIM('수출입 실적(품목별)'!H2637),",","")),"")</f>
        <v>1113257</v>
      </c>
    </row>
    <row r="2634" customFormat="false" ht="15" hidden="false" customHeight="true" outlineLevel="0" collapsed="false">
      <c r="A2634" s="11" t="str">
        <f aca="false">TRIM('수출입 실적(품목별)'!A2638)</f>
        <v>2026.04</v>
      </c>
      <c r="B2634" s="17" t="n">
        <f aca="false">IFERROR(VALUE(LEFT($A2634,4)),"")</f>
        <v>2026</v>
      </c>
      <c r="C2634" s="17" t="n">
        <f aca="false">IFERROR(VALUE(RIGHT($A2634,2)),"")</f>
        <v>4</v>
      </c>
      <c r="D2634" s="17" t="n">
        <f aca="false">IFERROR(ROUNDUP($C2634/3,0),"")</f>
        <v>2</v>
      </c>
      <c r="E2634" s="11" t="str">
        <f aca="false">TRIM('수출입 실적(품목별)'!B2638)</f>
        <v>34</v>
      </c>
      <c r="F2634" s="11" t="str">
        <f aca="false">TRIM('수출입 실적(품목별)'!C2638)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634" s="18" t="n">
        <f aca="false">IFERROR(VALUE(SUBSTITUTE(TRIM('수출입 실적(품목별)'!D2638),",","")),"")</f>
        <v>49999.5</v>
      </c>
      <c r="H2634" s="19" t="n">
        <f aca="false">IFERROR(VALUE(SUBSTITUTE(TRIM('수출입 실적(품목별)'!E2638),",","")),"")</f>
        <v>184124</v>
      </c>
      <c r="I2634" s="18" t="n">
        <f aca="false">IFERROR(VALUE(SUBSTITUTE(TRIM('수출입 실적(품목별)'!F2638),",","")),"")</f>
        <v>30008.2</v>
      </c>
      <c r="J2634" s="19" t="n">
        <f aca="false">IFERROR(VALUE(SUBSTITUTE(TRIM('수출입 실적(품목별)'!G2638),",","")),"")</f>
        <v>114784</v>
      </c>
      <c r="K2634" s="19" t="n">
        <f aca="false">IFERROR(VALUE(SUBSTITUTE(TRIM('수출입 실적(품목별)'!H2638),",","")),"")</f>
        <v>69340</v>
      </c>
    </row>
    <row r="2635" customFormat="false" ht="15" hidden="false" customHeight="true" outlineLevel="0" collapsed="false">
      <c r="A2635" s="11" t="str">
        <f aca="false">TRIM('수출입 실적(품목별)'!A2639)</f>
        <v>2026.04</v>
      </c>
      <c r="B2635" s="17" t="n">
        <f aca="false">IFERROR(VALUE(LEFT($A2635,4)),"")</f>
        <v>2026</v>
      </c>
      <c r="C2635" s="17" t="n">
        <f aca="false">IFERROR(VALUE(RIGHT($A2635,2)),"")</f>
        <v>4</v>
      </c>
      <c r="D2635" s="17" t="n">
        <f aca="false">IFERROR(ROUNDUP($C2635/3,0),"")</f>
        <v>2</v>
      </c>
      <c r="E2635" s="11" t="str">
        <f aca="false">TRIM('수출입 실적(품목별)'!B2639)</f>
        <v>35</v>
      </c>
      <c r="F2635" s="11" t="str">
        <f aca="false">TRIM('수출입 실적(품목별)'!C2639)</f>
        <v>단백질계 물질, 변성전분, 글루(glue), 효소</v>
      </c>
      <c r="G2635" s="18" t="n">
        <f aca="false">IFERROR(VALUE(SUBSTITUTE(TRIM('수출입 실적(품목별)'!D2639),",","")),"")</f>
        <v>8321.6</v>
      </c>
      <c r="H2635" s="19" t="n">
        <f aca="false">IFERROR(VALUE(SUBSTITUTE(TRIM('수출입 실적(품목별)'!E2639),",","")),"")</f>
        <v>103454</v>
      </c>
      <c r="I2635" s="18" t="n">
        <f aca="false">IFERROR(VALUE(SUBSTITUTE(TRIM('수출입 실적(품목별)'!F2639),",","")),"")</f>
        <v>19999.8</v>
      </c>
      <c r="J2635" s="19" t="n">
        <f aca="false">IFERROR(VALUE(SUBSTITUTE(TRIM('수출입 실적(품목별)'!G2639),",","")),"")</f>
        <v>94187</v>
      </c>
      <c r="K2635" s="19" t="n">
        <f aca="false">IFERROR(VALUE(SUBSTITUTE(TRIM('수출입 실적(품목별)'!H2639),",","")),"")</f>
        <v>9267</v>
      </c>
    </row>
    <row r="2636" customFormat="false" ht="15" hidden="false" customHeight="true" outlineLevel="0" collapsed="false">
      <c r="A2636" s="11" t="str">
        <f aca="false">TRIM('수출입 실적(품목별)'!A2640)</f>
        <v>2026.04</v>
      </c>
      <c r="B2636" s="17" t="n">
        <f aca="false">IFERROR(VALUE(LEFT($A2636,4)),"")</f>
        <v>2026</v>
      </c>
      <c r="C2636" s="17" t="n">
        <f aca="false">IFERROR(VALUE(RIGHT($A2636,2)),"")</f>
        <v>4</v>
      </c>
      <c r="D2636" s="17" t="n">
        <f aca="false">IFERROR(ROUNDUP($C2636/3,0),"")</f>
        <v>2</v>
      </c>
      <c r="E2636" s="11" t="str">
        <f aca="false">TRIM('수출입 실적(품목별)'!B2640)</f>
        <v>36</v>
      </c>
      <c r="F2636" s="11" t="str">
        <f aca="false">TRIM('수출입 실적(품목별)'!C2640)</f>
        <v>화약류, 화공품, 성냥, 발화성 합금, 특정 가연성 조제품</v>
      </c>
      <c r="G2636" s="18" t="n">
        <f aca="false">IFERROR(VALUE(SUBSTITUTE(TRIM('수출입 실적(품목별)'!D2640),",","")),"")</f>
        <v>169.9</v>
      </c>
      <c r="H2636" s="19" t="n">
        <f aca="false">IFERROR(VALUE(SUBSTITUTE(TRIM('수출입 실적(품목별)'!E2640),",","")),"")</f>
        <v>4281</v>
      </c>
      <c r="I2636" s="18" t="n">
        <f aca="false">IFERROR(VALUE(SUBSTITUTE(TRIM('수출입 실적(품목별)'!F2640),",","")),"")</f>
        <v>141.6</v>
      </c>
      <c r="J2636" s="19" t="n">
        <f aca="false">IFERROR(VALUE(SUBSTITUTE(TRIM('수출입 실적(품목별)'!G2640),",","")),"")</f>
        <v>8537</v>
      </c>
      <c r="K2636" s="19" t="n">
        <f aca="false">IFERROR(VALUE(SUBSTITUTE(TRIM('수출입 실적(품목별)'!H2640),",","")),"")</f>
        <v>-4257</v>
      </c>
    </row>
    <row r="2637" customFormat="false" ht="15" hidden="false" customHeight="true" outlineLevel="0" collapsed="false">
      <c r="A2637" s="11" t="str">
        <f aca="false">TRIM('수출입 실적(품목별)'!A2641)</f>
        <v>2026.04</v>
      </c>
      <c r="B2637" s="17" t="n">
        <f aca="false">IFERROR(VALUE(LEFT($A2637,4)),"")</f>
        <v>2026</v>
      </c>
      <c r="C2637" s="17" t="n">
        <f aca="false">IFERROR(VALUE(RIGHT($A2637,2)),"")</f>
        <v>4</v>
      </c>
      <c r="D2637" s="17" t="n">
        <f aca="false">IFERROR(ROUNDUP($C2637/3,0),"")</f>
        <v>2</v>
      </c>
      <c r="E2637" s="11" t="str">
        <f aca="false">TRIM('수출입 실적(품목별)'!B2641)</f>
        <v>37</v>
      </c>
      <c r="F2637" s="11" t="str">
        <f aca="false">TRIM('수출입 실적(품목별)'!C2641)</f>
        <v>사진용이나 영화용 재료</v>
      </c>
      <c r="G2637" s="18" t="n">
        <f aca="false">IFERROR(VALUE(SUBSTITUTE(TRIM('수출입 실적(품목별)'!D2641),",","")),"")</f>
        <v>1970.6</v>
      </c>
      <c r="H2637" s="19" t="n">
        <f aca="false">IFERROR(VALUE(SUBSTITUTE(TRIM('수출입 실적(품목별)'!E2641),",","")),"")</f>
        <v>93733</v>
      </c>
      <c r="I2637" s="18" t="n">
        <f aca="false">IFERROR(VALUE(SUBSTITUTE(TRIM('수출입 실적(품목별)'!F2641),",","")),"")</f>
        <v>3244.8</v>
      </c>
      <c r="J2637" s="19" t="n">
        <f aca="false">IFERROR(VALUE(SUBSTITUTE(TRIM('수출입 실적(품목별)'!G2641),",","")),"")</f>
        <v>108106</v>
      </c>
      <c r="K2637" s="19" t="n">
        <f aca="false">IFERROR(VALUE(SUBSTITUTE(TRIM('수출입 실적(품목별)'!H2641),",","")),"")</f>
        <v>-14373</v>
      </c>
    </row>
    <row r="2638" customFormat="false" ht="15" hidden="false" customHeight="true" outlineLevel="0" collapsed="false">
      <c r="A2638" s="11" t="str">
        <f aca="false">TRIM('수출입 실적(품목별)'!A2642)</f>
        <v>2026.04</v>
      </c>
      <c r="B2638" s="17" t="n">
        <f aca="false">IFERROR(VALUE(LEFT($A2638,4)),"")</f>
        <v>2026</v>
      </c>
      <c r="C2638" s="17" t="n">
        <f aca="false">IFERROR(VALUE(RIGHT($A2638,2)),"")</f>
        <v>4</v>
      </c>
      <c r="D2638" s="17" t="n">
        <f aca="false">IFERROR(ROUNDUP($C2638/3,0),"")</f>
        <v>2</v>
      </c>
      <c r="E2638" s="11" t="str">
        <f aca="false">TRIM('수출입 실적(품목별)'!B2642)</f>
        <v>38</v>
      </c>
      <c r="F2638" s="11" t="str">
        <f aca="false">TRIM('수출입 실적(품목별)'!C2642)</f>
        <v>각종 화학공업 생산품</v>
      </c>
      <c r="G2638" s="18" t="n">
        <f aca="false">IFERROR(VALUE(SUBSTITUTE(TRIM('수출입 실적(품목별)'!D2642),",","")),"")</f>
        <v>100546.6</v>
      </c>
      <c r="H2638" s="19" t="n">
        <f aca="false">IFERROR(VALUE(SUBSTITUTE(TRIM('수출입 실적(품목별)'!E2642),",","")),"")</f>
        <v>660634</v>
      </c>
      <c r="I2638" s="18" t="n">
        <f aca="false">IFERROR(VALUE(SUBSTITUTE(TRIM('수출입 실적(품목별)'!F2642),",","")),"")</f>
        <v>235565.4</v>
      </c>
      <c r="J2638" s="19" t="n">
        <f aca="false">IFERROR(VALUE(SUBSTITUTE(TRIM('수출입 실적(품목별)'!G2642),",","")),"")</f>
        <v>905235</v>
      </c>
      <c r="K2638" s="19" t="n">
        <f aca="false">IFERROR(VALUE(SUBSTITUTE(TRIM('수출입 실적(품목별)'!H2642),",","")),"")</f>
        <v>-244601</v>
      </c>
    </row>
    <row r="2639" customFormat="false" ht="15" hidden="false" customHeight="true" outlineLevel="0" collapsed="false">
      <c r="A2639" s="11" t="str">
        <f aca="false">TRIM('수출입 실적(품목별)'!A2643)</f>
        <v>2026.04</v>
      </c>
      <c r="B2639" s="17" t="n">
        <f aca="false">IFERROR(VALUE(LEFT($A2639,4)),"")</f>
        <v>2026</v>
      </c>
      <c r="C2639" s="17" t="n">
        <f aca="false">IFERROR(VALUE(RIGHT($A2639,2)),"")</f>
        <v>4</v>
      </c>
      <c r="D2639" s="17" t="n">
        <f aca="false">IFERROR(ROUNDUP($C2639/3,0),"")</f>
        <v>2</v>
      </c>
      <c r="E2639" s="11" t="str">
        <f aca="false">TRIM('수출입 실적(품목별)'!B2643)</f>
        <v>39</v>
      </c>
      <c r="F2639" s="11" t="str">
        <f aca="false">TRIM('수출입 실적(품목별)'!C2643)</f>
        <v>플라스틱과 그 제품</v>
      </c>
      <c r="G2639" s="18" t="n">
        <f aca="false">IFERROR(VALUE(SUBSTITUTE(TRIM('수출입 실적(품목별)'!D2643),",","")),"")</f>
        <v>1384483</v>
      </c>
      <c r="H2639" s="19" t="n">
        <f aca="false">IFERROR(VALUE(SUBSTITUTE(TRIM('수출입 실적(품목별)'!E2643),",","")),"")</f>
        <v>3340102</v>
      </c>
      <c r="I2639" s="18" t="n">
        <f aca="false">IFERROR(VALUE(SUBSTITUTE(TRIM('수출입 실적(품목별)'!F2643),",","")),"")</f>
        <v>359480.3</v>
      </c>
      <c r="J2639" s="19" t="n">
        <f aca="false">IFERROR(VALUE(SUBSTITUTE(TRIM('수출입 실적(품목별)'!G2643),",","")),"")</f>
        <v>1321294</v>
      </c>
      <c r="K2639" s="19" t="n">
        <f aca="false">IFERROR(VALUE(SUBSTITUTE(TRIM('수출입 실적(품목별)'!H2643),",","")),"")</f>
        <v>2018808</v>
      </c>
    </row>
    <row r="2640" customFormat="false" ht="15" hidden="false" customHeight="true" outlineLevel="0" collapsed="false">
      <c r="A2640" s="11" t="str">
        <f aca="false">TRIM('수출입 실적(품목별)'!A2644)</f>
        <v>2026.04</v>
      </c>
      <c r="B2640" s="17" t="n">
        <f aca="false">IFERROR(VALUE(LEFT($A2640,4)),"")</f>
        <v>2026</v>
      </c>
      <c r="C2640" s="17" t="n">
        <f aca="false">IFERROR(VALUE(RIGHT($A2640,2)),"")</f>
        <v>4</v>
      </c>
      <c r="D2640" s="17" t="n">
        <f aca="false">IFERROR(ROUNDUP($C2640/3,0),"")</f>
        <v>2</v>
      </c>
      <c r="E2640" s="11" t="str">
        <f aca="false">TRIM('수출입 실적(품목별)'!B2644)</f>
        <v>40</v>
      </c>
      <c r="F2640" s="11" t="str">
        <f aca="false">TRIM('수출입 실적(품목별)'!C2644)</f>
        <v>고무와 그 제품</v>
      </c>
      <c r="G2640" s="18" t="n">
        <f aca="false">IFERROR(VALUE(SUBSTITUTE(TRIM('수출입 실적(품목별)'!D2644),",","")),"")</f>
        <v>234208.6</v>
      </c>
      <c r="H2640" s="19" t="n">
        <f aca="false">IFERROR(VALUE(SUBSTITUTE(TRIM('수출입 실적(품목별)'!E2644),",","")),"")</f>
        <v>749190</v>
      </c>
      <c r="I2640" s="18" t="n">
        <f aca="false">IFERROR(VALUE(SUBSTITUTE(TRIM('수출입 실적(품목별)'!F2644),",","")),"")</f>
        <v>91477.8</v>
      </c>
      <c r="J2640" s="19" t="n">
        <f aca="false">IFERROR(VALUE(SUBSTITUTE(TRIM('수출입 실적(품목별)'!G2644),",","")),"")</f>
        <v>290486</v>
      </c>
      <c r="K2640" s="19" t="n">
        <f aca="false">IFERROR(VALUE(SUBSTITUTE(TRIM('수출입 실적(품목별)'!H2644),",","")),"")</f>
        <v>458703</v>
      </c>
    </row>
    <row r="2641" customFormat="false" ht="15" hidden="false" customHeight="true" outlineLevel="0" collapsed="false">
      <c r="A2641" s="11" t="str">
        <f aca="false">TRIM('수출입 실적(품목별)'!A2645)</f>
        <v>2026.04</v>
      </c>
      <c r="B2641" s="17" t="n">
        <f aca="false">IFERROR(VALUE(LEFT($A2641,4)),"")</f>
        <v>2026</v>
      </c>
      <c r="C2641" s="17" t="n">
        <f aca="false">IFERROR(VALUE(RIGHT($A2641,2)),"")</f>
        <v>4</v>
      </c>
      <c r="D2641" s="17" t="n">
        <f aca="false">IFERROR(ROUNDUP($C2641/3,0),"")</f>
        <v>2</v>
      </c>
      <c r="E2641" s="11" t="str">
        <f aca="false">TRIM('수출입 실적(품목별)'!B2645)</f>
        <v>41</v>
      </c>
      <c r="F2641" s="11" t="str">
        <f aca="false">TRIM('수출입 실적(품목별)'!C2645)</f>
        <v>원피(모피는 제외한다)와 가죽</v>
      </c>
      <c r="G2641" s="18" t="n">
        <f aca="false">IFERROR(VALUE(SUBSTITUTE(TRIM('수출입 실적(품목별)'!D2645),",","")),"")</f>
        <v>3073.4</v>
      </c>
      <c r="H2641" s="19" t="n">
        <f aca="false">IFERROR(VALUE(SUBSTITUTE(TRIM('수출입 실적(품목별)'!E2645),",","")),"")</f>
        <v>27214</v>
      </c>
      <c r="I2641" s="18" t="n">
        <f aca="false">IFERROR(VALUE(SUBSTITUTE(TRIM('수출입 실적(품목별)'!F2645),",","")),"")</f>
        <v>6506.9</v>
      </c>
      <c r="J2641" s="19" t="n">
        <f aca="false">IFERROR(VALUE(SUBSTITUTE(TRIM('수출입 실적(품목별)'!G2645),",","")),"")</f>
        <v>19606</v>
      </c>
      <c r="K2641" s="19" t="n">
        <f aca="false">IFERROR(VALUE(SUBSTITUTE(TRIM('수출입 실적(품목별)'!H2645),",","")),"")</f>
        <v>7608</v>
      </c>
    </row>
    <row r="2642" customFormat="false" ht="15" hidden="false" customHeight="true" outlineLevel="0" collapsed="false">
      <c r="A2642" s="11" t="str">
        <f aca="false">TRIM('수출입 실적(품목별)'!A2646)</f>
        <v>2026.04</v>
      </c>
      <c r="B2642" s="17" t="n">
        <f aca="false">IFERROR(VALUE(LEFT($A2642,4)),"")</f>
        <v>2026</v>
      </c>
      <c r="C2642" s="17" t="n">
        <f aca="false">IFERROR(VALUE(RIGHT($A2642,2)),"")</f>
        <v>4</v>
      </c>
      <c r="D2642" s="17" t="n">
        <f aca="false">IFERROR(ROUNDUP($C2642/3,0),"")</f>
        <v>2</v>
      </c>
      <c r="E2642" s="11" t="str">
        <f aca="false">TRIM('수출입 실적(품목별)'!B2646)</f>
        <v>42</v>
      </c>
      <c r="F2642" s="11" t="str">
        <f aca="false">TRIM('수출입 실적(품목별)'!C2646)</f>
        <v>가죽제품, 마구, 여행용구ㆍ핸드백과 이와 유사한 용기, 동물 거트(gut)[누에의 거트(gut)는 제외한다]의 제품</v>
      </c>
      <c r="G2642" s="18" t="n">
        <f aca="false">IFERROR(VALUE(SUBSTITUTE(TRIM('수출입 실적(품목별)'!D2646),",","")),"")</f>
        <v>1114.7</v>
      </c>
      <c r="H2642" s="19" t="n">
        <f aca="false">IFERROR(VALUE(SUBSTITUTE(TRIM('수출입 실적(품목별)'!E2646),",","")),"")</f>
        <v>61897</v>
      </c>
      <c r="I2642" s="18" t="n">
        <f aca="false">IFERROR(VALUE(SUBSTITUTE(TRIM('수출입 실적(품목별)'!F2646),",","")),"")</f>
        <v>10555.2</v>
      </c>
      <c r="J2642" s="19" t="n">
        <f aca="false">IFERROR(VALUE(SUBSTITUTE(TRIM('수출입 실적(품목별)'!G2646),",","")),"")</f>
        <v>351054</v>
      </c>
      <c r="K2642" s="19" t="n">
        <f aca="false">IFERROR(VALUE(SUBSTITUTE(TRIM('수출입 실적(품목별)'!H2646),",","")),"")</f>
        <v>-289156</v>
      </c>
    </row>
    <row r="2643" customFormat="false" ht="15" hidden="false" customHeight="true" outlineLevel="0" collapsed="false">
      <c r="A2643" s="11" t="str">
        <f aca="false">TRIM('수출입 실적(품목별)'!A2647)</f>
        <v>2026.04</v>
      </c>
      <c r="B2643" s="17" t="n">
        <f aca="false">IFERROR(VALUE(LEFT($A2643,4)),"")</f>
        <v>2026</v>
      </c>
      <c r="C2643" s="17" t="n">
        <f aca="false">IFERROR(VALUE(RIGHT($A2643,2)),"")</f>
        <v>4</v>
      </c>
      <c r="D2643" s="17" t="n">
        <f aca="false">IFERROR(ROUNDUP($C2643/3,0),"")</f>
        <v>2</v>
      </c>
      <c r="E2643" s="11" t="str">
        <f aca="false">TRIM('수출입 실적(품목별)'!B2647)</f>
        <v>43</v>
      </c>
      <c r="F2643" s="11" t="str">
        <f aca="false">TRIM('수출입 실적(품목별)'!C2647)</f>
        <v>모피ㆍ인조모피와 이들의 제품</v>
      </c>
      <c r="G2643" s="18" t="n">
        <f aca="false">IFERROR(VALUE(SUBSTITUTE(TRIM('수출입 실적(품목별)'!D2647),",","")),"")</f>
        <v>6</v>
      </c>
      <c r="H2643" s="19" t="n">
        <f aca="false">IFERROR(VALUE(SUBSTITUTE(TRIM('수출입 실적(품목별)'!E2647),",","")),"")</f>
        <v>617</v>
      </c>
      <c r="I2643" s="18" t="n">
        <f aca="false">IFERROR(VALUE(SUBSTITUTE(TRIM('수출입 실적(품목별)'!F2647),",","")),"")</f>
        <v>32.8</v>
      </c>
      <c r="J2643" s="19" t="n">
        <f aca="false">IFERROR(VALUE(SUBSTITUTE(TRIM('수출입 실적(품목별)'!G2647),",","")),"")</f>
        <v>10183</v>
      </c>
      <c r="K2643" s="19" t="n">
        <f aca="false">IFERROR(VALUE(SUBSTITUTE(TRIM('수출입 실적(품목별)'!H2647),",","")),"")</f>
        <v>-9566</v>
      </c>
    </row>
    <row r="2644" customFormat="false" ht="15" hidden="false" customHeight="true" outlineLevel="0" collapsed="false">
      <c r="A2644" s="11" t="str">
        <f aca="false">TRIM('수출입 실적(품목별)'!A2648)</f>
        <v>2026.04</v>
      </c>
      <c r="B2644" s="17" t="n">
        <f aca="false">IFERROR(VALUE(LEFT($A2644,4)),"")</f>
        <v>2026</v>
      </c>
      <c r="C2644" s="17" t="n">
        <f aca="false">IFERROR(VALUE(RIGHT($A2644,2)),"")</f>
        <v>4</v>
      </c>
      <c r="D2644" s="17" t="n">
        <f aca="false">IFERROR(ROUNDUP($C2644/3,0),"")</f>
        <v>2</v>
      </c>
      <c r="E2644" s="11" t="str">
        <f aca="false">TRIM('수출입 실적(품목별)'!B2648)</f>
        <v>44</v>
      </c>
      <c r="F2644" s="11" t="str">
        <f aca="false">TRIM('수출입 실적(품목별)'!C2648)</f>
        <v>목재와 그 제품, 목탄</v>
      </c>
      <c r="G2644" s="18" t="n">
        <f aca="false">IFERROR(VALUE(SUBSTITUTE(TRIM('수출입 실적(품목별)'!D2648),",","")),"")</f>
        <v>4580.9</v>
      </c>
      <c r="H2644" s="19" t="n">
        <f aca="false">IFERROR(VALUE(SUBSTITUTE(TRIM('수출입 실적(품목별)'!E2648),",","")),"")</f>
        <v>7879</v>
      </c>
      <c r="I2644" s="18" t="n">
        <f aca="false">IFERROR(VALUE(SUBSTITUTE(TRIM('수출입 실적(품목별)'!F2648),",","")),"")</f>
        <v>772592.9</v>
      </c>
      <c r="J2644" s="19" t="n">
        <f aca="false">IFERROR(VALUE(SUBSTITUTE(TRIM('수출입 실적(품목별)'!G2648),",","")),"")</f>
        <v>224931</v>
      </c>
      <c r="K2644" s="19" t="n">
        <f aca="false">IFERROR(VALUE(SUBSTITUTE(TRIM('수출입 실적(품목별)'!H2648),",","")),"")</f>
        <v>-217052</v>
      </c>
    </row>
    <row r="2645" customFormat="false" ht="15" hidden="false" customHeight="true" outlineLevel="0" collapsed="false">
      <c r="A2645" s="11" t="str">
        <f aca="false">TRIM('수출입 실적(품목별)'!A2649)</f>
        <v>2026.04</v>
      </c>
      <c r="B2645" s="17" t="n">
        <f aca="false">IFERROR(VALUE(LEFT($A2645,4)),"")</f>
        <v>2026</v>
      </c>
      <c r="C2645" s="17" t="n">
        <f aca="false">IFERROR(VALUE(RIGHT($A2645,2)),"")</f>
        <v>4</v>
      </c>
      <c r="D2645" s="17" t="n">
        <f aca="false">IFERROR(ROUNDUP($C2645/3,0),"")</f>
        <v>2</v>
      </c>
      <c r="E2645" s="11" t="str">
        <f aca="false">TRIM('수출입 실적(품목별)'!B2649)</f>
        <v>45</v>
      </c>
      <c r="F2645" s="11" t="str">
        <f aca="false">TRIM('수출입 실적(품목별)'!C2649)</f>
        <v>코르크(cork)와 그 제품</v>
      </c>
      <c r="G2645" s="18" t="n">
        <f aca="false">IFERROR(VALUE(SUBSTITUTE(TRIM('수출입 실적(품목별)'!D2649),",","")),"")</f>
        <v>1.2</v>
      </c>
      <c r="H2645" s="19" t="n">
        <f aca="false">IFERROR(VALUE(SUBSTITUTE(TRIM('수출입 실적(품목별)'!E2649),",","")),"")</f>
        <v>42</v>
      </c>
      <c r="I2645" s="18" t="n">
        <f aca="false">IFERROR(VALUE(SUBSTITUTE(TRIM('수출입 실적(품목별)'!F2649),",","")),"")</f>
        <v>105.6</v>
      </c>
      <c r="J2645" s="19" t="n">
        <f aca="false">IFERROR(VALUE(SUBSTITUTE(TRIM('수출입 실적(품목별)'!G2649),",","")),"")</f>
        <v>489</v>
      </c>
      <c r="K2645" s="19" t="n">
        <f aca="false">IFERROR(VALUE(SUBSTITUTE(TRIM('수출입 실적(품목별)'!H2649),",","")),"")</f>
        <v>-447</v>
      </c>
    </row>
    <row r="2646" customFormat="false" ht="15" hidden="false" customHeight="true" outlineLevel="0" collapsed="false">
      <c r="A2646" s="11" t="str">
        <f aca="false">TRIM('수출입 실적(품목별)'!A2650)</f>
        <v>2026.04</v>
      </c>
      <c r="B2646" s="17" t="n">
        <f aca="false">IFERROR(VALUE(LEFT($A2646,4)),"")</f>
        <v>2026</v>
      </c>
      <c r="C2646" s="17" t="n">
        <f aca="false">IFERROR(VALUE(RIGHT($A2646,2)),"")</f>
        <v>4</v>
      </c>
      <c r="D2646" s="17" t="n">
        <f aca="false">IFERROR(ROUNDUP($C2646/3,0),"")</f>
        <v>2</v>
      </c>
      <c r="E2646" s="11" t="str">
        <f aca="false">TRIM('수출입 실적(품목별)'!B2650)</f>
        <v>46</v>
      </c>
      <c r="F2646" s="11" t="str">
        <f aca="false">TRIM('수출입 실적(품목별)'!C2650)</f>
        <v>짚ㆍ에스파르토(esparto)나 그 밖의 조물 재료의 제품, 바구니 세공물(basketware)과 지조세공물(枝條細工物)</v>
      </c>
      <c r="G2646" s="18" t="n">
        <f aca="false">IFERROR(VALUE(SUBSTITUTE(TRIM('수출입 실적(품목별)'!D2650),",","")),"")</f>
        <v>3.1</v>
      </c>
      <c r="H2646" s="19" t="n">
        <f aca="false">IFERROR(VALUE(SUBSTITUTE(TRIM('수출입 실적(품목별)'!E2650),",","")),"")</f>
        <v>80</v>
      </c>
      <c r="I2646" s="18" t="n">
        <f aca="false">IFERROR(VALUE(SUBSTITUTE(TRIM('수출입 실적(품목별)'!F2650),",","")),"")</f>
        <v>803.9</v>
      </c>
      <c r="J2646" s="19" t="n">
        <f aca="false">IFERROR(VALUE(SUBSTITUTE(TRIM('수출입 실적(품목별)'!G2650),",","")),"")</f>
        <v>3918</v>
      </c>
      <c r="K2646" s="19" t="n">
        <f aca="false">IFERROR(VALUE(SUBSTITUTE(TRIM('수출입 실적(품목별)'!H2650),",","")),"")</f>
        <v>-3838</v>
      </c>
    </row>
    <row r="2647" customFormat="false" ht="15" hidden="false" customHeight="true" outlineLevel="0" collapsed="false">
      <c r="A2647" s="11" t="str">
        <f aca="false">TRIM('수출입 실적(품목별)'!A2651)</f>
        <v>2026.04</v>
      </c>
      <c r="B2647" s="17" t="n">
        <f aca="false">IFERROR(VALUE(LEFT($A2647,4)),"")</f>
        <v>2026</v>
      </c>
      <c r="C2647" s="17" t="n">
        <f aca="false">IFERROR(VALUE(RIGHT($A2647,2)),"")</f>
        <v>4</v>
      </c>
      <c r="D2647" s="17" t="n">
        <f aca="false">IFERROR(ROUNDUP($C2647/3,0),"")</f>
        <v>2</v>
      </c>
      <c r="E2647" s="11" t="str">
        <f aca="false">TRIM('수출입 실적(품목별)'!B2651)</f>
        <v>47</v>
      </c>
      <c r="F2647" s="11" t="str">
        <f aca="false">TRIM('수출입 실적(품목별)'!C2651)</f>
        <v>목재나 그 밖의 섬유질 셀룰로오스재료의 펄프, 회수한 종이ㆍ판지[웨이스트(waste)와 스크랩(scrap)]</v>
      </c>
      <c r="G2647" s="18" t="n">
        <f aca="false">IFERROR(VALUE(SUBSTITUTE(TRIM('수출입 실적(품목별)'!D2651),",","")),"")</f>
        <v>58349.1</v>
      </c>
      <c r="H2647" s="19" t="n">
        <f aca="false">IFERROR(VALUE(SUBSTITUTE(TRIM('수출입 실적(품목별)'!E2651),",","")),"")</f>
        <v>11257</v>
      </c>
      <c r="I2647" s="18" t="n">
        <f aca="false">IFERROR(VALUE(SUBSTITUTE(TRIM('수출입 실적(품목별)'!F2651),",","")),"")</f>
        <v>194173.5</v>
      </c>
      <c r="J2647" s="19" t="n">
        <f aca="false">IFERROR(VALUE(SUBSTITUTE(TRIM('수출입 실적(품목별)'!G2651),",","")),"")</f>
        <v>97665</v>
      </c>
      <c r="K2647" s="19" t="n">
        <f aca="false">IFERROR(VALUE(SUBSTITUTE(TRIM('수출입 실적(품목별)'!H2651),",","")),"")</f>
        <v>-86408</v>
      </c>
    </row>
    <row r="2648" customFormat="false" ht="15" hidden="false" customHeight="true" outlineLevel="0" collapsed="false">
      <c r="A2648" s="11" t="str">
        <f aca="false">TRIM('수출입 실적(품목별)'!A2652)</f>
        <v>2026.04</v>
      </c>
      <c r="B2648" s="17" t="n">
        <f aca="false">IFERROR(VALUE(LEFT($A2648,4)),"")</f>
        <v>2026</v>
      </c>
      <c r="C2648" s="17" t="n">
        <f aca="false">IFERROR(VALUE(RIGHT($A2648,2)),"")</f>
        <v>4</v>
      </c>
      <c r="D2648" s="17" t="n">
        <f aca="false">IFERROR(ROUNDUP($C2648/3,0),"")</f>
        <v>2</v>
      </c>
      <c r="E2648" s="11" t="str">
        <f aca="false">TRIM('수출입 실적(품목별)'!B2652)</f>
        <v>48</v>
      </c>
      <c r="F2648" s="11" t="str">
        <f aca="false">TRIM('수출입 실적(품목별)'!C2652)</f>
        <v>종이와 판지, 제지용 펄프ㆍ종이ㆍ판지의 제품</v>
      </c>
      <c r="G2648" s="18" t="n">
        <f aca="false">IFERROR(VALUE(SUBSTITUTE(TRIM('수출입 실적(품목별)'!D2652),",","")),"")</f>
        <v>257288.5</v>
      </c>
      <c r="H2648" s="19" t="n">
        <f aca="false">IFERROR(VALUE(SUBSTITUTE(TRIM('수출입 실적(품목별)'!E2652),",","")),"")</f>
        <v>250624</v>
      </c>
      <c r="I2648" s="18" t="n">
        <f aca="false">IFERROR(VALUE(SUBSTITUTE(TRIM('수출입 실적(품목별)'!F2652),",","")),"")</f>
        <v>146533.4</v>
      </c>
      <c r="J2648" s="19" t="n">
        <f aca="false">IFERROR(VALUE(SUBSTITUTE(TRIM('수출입 실적(품목별)'!G2652),",","")),"")</f>
        <v>204181</v>
      </c>
      <c r="K2648" s="19" t="n">
        <f aca="false">IFERROR(VALUE(SUBSTITUTE(TRIM('수출입 실적(품목별)'!H2652),",","")),"")</f>
        <v>46443</v>
      </c>
    </row>
    <row r="2649" customFormat="false" ht="15" hidden="false" customHeight="true" outlineLevel="0" collapsed="false">
      <c r="A2649" s="11" t="str">
        <f aca="false">TRIM('수출입 실적(품목별)'!A2653)</f>
        <v>2026.04</v>
      </c>
      <c r="B2649" s="17" t="n">
        <f aca="false">IFERROR(VALUE(LEFT($A2649,4)),"")</f>
        <v>2026</v>
      </c>
      <c r="C2649" s="17" t="n">
        <f aca="false">IFERROR(VALUE(RIGHT($A2649,2)),"")</f>
        <v>4</v>
      </c>
      <c r="D2649" s="17" t="n">
        <f aca="false">IFERROR(ROUNDUP($C2649/3,0),"")</f>
        <v>2</v>
      </c>
      <c r="E2649" s="11" t="str">
        <f aca="false">TRIM('수출입 실적(품목별)'!B2653)</f>
        <v>49</v>
      </c>
      <c r="F2649" s="11" t="str">
        <f aca="false">TRIM('수출입 실적(품목별)'!C2653)</f>
        <v>인쇄서적ㆍ신문ㆍ회화ㆍ그 밖의 인쇄물, 수제(手製)문서ㆍ타자문서ㆍ도면</v>
      </c>
      <c r="G2649" s="18" t="n">
        <f aca="false">IFERROR(VALUE(SUBSTITUTE(TRIM('수출입 실적(품목별)'!D2653),",","")),"")</f>
        <v>4705.3</v>
      </c>
      <c r="H2649" s="19" t="n">
        <f aca="false">IFERROR(VALUE(SUBSTITUTE(TRIM('수출입 실적(품목별)'!E2653),",","")),"")</f>
        <v>33604</v>
      </c>
      <c r="I2649" s="18" t="n">
        <f aca="false">IFERROR(VALUE(SUBSTITUTE(TRIM('수출입 실적(품목별)'!F2653),",","")),"")</f>
        <v>1459.5</v>
      </c>
      <c r="J2649" s="19" t="n">
        <f aca="false">IFERROR(VALUE(SUBSTITUTE(TRIM('수출입 실적(품목별)'!G2653),",","")),"")</f>
        <v>21246</v>
      </c>
      <c r="K2649" s="19" t="n">
        <f aca="false">IFERROR(VALUE(SUBSTITUTE(TRIM('수출입 실적(품목별)'!H2653),",","")),"")</f>
        <v>12358</v>
      </c>
    </row>
    <row r="2650" customFormat="false" ht="15" hidden="false" customHeight="true" outlineLevel="0" collapsed="false">
      <c r="A2650" s="11" t="str">
        <f aca="false">TRIM('수출입 실적(품목별)'!A2654)</f>
        <v>2026.04</v>
      </c>
      <c r="B2650" s="17" t="n">
        <f aca="false">IFERROR(VALUE(LEFT($A2650,4)),"")</f>
        <v>2026</v>
      </c>
      <c r="C2650" s="17" t="n">
        <f aca="false">IFERROR(VALUE(RIGHT($A2650,2)),"")</f>
        <v>4</v>
      </c>
      <c r="D2650" s="17" t="n">
        <f aca="false">IFERROR(ROUNDUP($C2650/3,0),"")</f>
        <v>2</v>
      </c>
      <c r="E2650" s="11" t="str">
        <f aca="false">TRIM('수출입 실적(품목별)'!B2654)</f>
        <v>50</v>
      </c>
      <c r="F2650" s="11" t="str">
        <f aca="false">TRIM('수출입 실적(품목별)'!C2654)</f>
        <v>견</v>
      </c>
      <c r="G2650" s="18" t="n">
        <f aca="false">IFERROR(VALUE(SUBSTITUTE(TRIM('수출입 실적(품목별)'!D2654),",","")),"")</f>
        <v>12</v>
      </c>
      <c r="H2650" s="19" t="n">
        <f aca="false">IFERROR(VALUE(SUBSTITUTE(TRIM('수출입 실적(품목별)'!E2654),",","")),"")</f>
        <v>1900</v>
      </c>
      <c r="I2650" s="18" t="n">
        <f aca="false">IFERROR(VALUE(SUBSTITUTE(TRIM('수출입 실적(품목별)'!F2654),",","")),"")</f>
        <v>30</v>
      </c>
      <c r="J2650" s="19" t="n">
        <f aca="false">IFERROR(VALUE(SUBSTITUTE(TRIM('수출입 실적(품목별)'!G2654),",","")),"")</f>
        <v>2770</v>
      </c>
      <c r="K2650" s="19" t="n">
        <f aca="false">IFERROR(VALUE(SUBSTITUTE(TRIM('수출입 실적(품목별)'!H2654),",","")),"")</f>
        <v>-871</v>
      </c>
    </row>
    <row r="2651" customFormat="false" ht="15" hidden="false" customHeight="true" outlineLevel="0" collapsed="false">
      <c r="A2651" s="11" t="str">
        <f aca="false">TRIM('수출입 실적(품목별)'!A2655)</f>
        <v>2026.04</v>
      </c>
      <c r="B2651" s="17" t="n">
        <f aca="false">IFERROR(VALUE(LEFT($A2651,4)),"")</f>
        <v>2026</v>
      </c>
      <c r="C2651" s="17" t="n">
        <f aca="false">IFERROR(VALUE(RIGHT($A2651,2)),"")</f>
        <v>4</v>
      </c>
      <c r="D2651" s="17" t="n">
        <f aca="false">IFERROR(ROUNDUP($C2651/3,0),"")</f>
        <v>2</v>
      </c>
      <c r="E2651" s="11" t="str">
        <f aca="false">TRIM('수출입 실적(품목별)'!B2655)</f>
        <v>51</v>
      </c>
      <c r="F2651" s="11" t="str">
        <f aca="false">TRIM('수출입 실적(품목별)'!C2655)</f>
        <v>양모ㆍ동물의 부드러운 털이나 거친 털ㆍ말의 털로 만든 실과 직물</v>
      </c>
      <c r="G2651" s="18" t="n">
        <f aca="false">IFERROR(VALUE(SUBSTITUTE(TRIM('수출입 실적(품목별)'!D2655),",","")),"")</f>
        <v>243.5</v>
      </c>
      <c r="H2651" s="19" t="n">
        <f aca="false">IFERROR(VALUE(SUBSTITUTE(TRIM('수출입 실적(품목별)'!E2655),",","")),"")</f>
        <v>5311</v>
      </c>
      <c r="I2651" s="18" t="n">
        <f aca="false">IFERROR(VALUE(SUBSTITUTE(TRIM('수출입 실적(품목별)'!F2655),",","")),"")</f>
        <v>1253.3</v>
      </c>
      <c r="J2651" s="19" t="n">
        <f aca="false">IFERROR(VALUE(SUBSTITUTE(TRIM('수출입 실적(품목별)'!G2655),",","")),"")</f>
        <v>24667</v>
      </c>
      <c r="K2651" s="19" t="n">
        <f aca="false">IFERROR(VALUE(SUBSTITUTE(TRIM('수출입 실적(품목별)'!H2655),",","")),"")</f>
        <v>-19356</v>
      </c>
    </row>
    <row r="2652" customFormat="false" ht="15" hidden="false" customHeight="true" outlineLevel="0" collapsed="false">
      <c r="A2652" s="11" t="str">
        <f aca="false">TRIM('수출입 실적(품목별)'!A2656)</f>
        <v>2026.04</v>
      </c>
      <c r="B2652" s="17" t="n">
        <f aca="false">IFERROR(VALUE(LEFT($A2652,4)),"")</f>
        <v>2026</v>
      </c>
      <c r="C2652" s="17" t="n">
        <f aca="false">IFERROR(VALUE(RIGHT($A2652,2)),"")</f>
        <v>4</v>
      </c>
      <c r="D2652" s="17" t="n">
        <f aca="false">IFERROR(ROUNDUP($C2652/3,0),"")</f>
        <v>2</v>
      </c>
      <c r="E2652" s="11" t="str">
        <f aca="false">TRIM('수출입 실적(품목별)'!B2656)</f>
        <v>52</v>
      </c>
      <c r="F2652" s="11" t="str">
        <f aca="false">TRIM('수출입 실적(품목별)'!C2656)</f>
        <v>면</v>
      </c>
      <c r="G2652" s="18" t="n">
        <f aca="false">IFERROR(VALUE(SUBSTITUTE(TRIM('수출입 실적(품목별)'!D2656),",","")),"")</f>
        <v>3566.8</v>
      </c>
      <c r="H2652" s="19" t="n">
        <f aca="false">IFERROR(VALUE(SUBSTITUTE(TRIM('수출입 실적(품목별)'!E2656),",","")),"")</f>
        <v>26469</v>
      </c>
      <c r="I2652" s="18" t="n">
        <f aca="false">IFERROR(VALUE(SUBSTITUTE(TRIM('수출입 실적(품목별)'!F2656),",","")),"")</f>
        <v>18392.7</v>
      </c>
      <c r="J2652" s="19" t="n">
        <f aca="false">IFERROR(VALUE(SUBSTITUTE(TRIM('수출입 실적(품목별)'!G2656),",","")),"")</f>
        <v>60571</v>
      </c>
      <c r="K2652" s="19" t="n">
        <f aca="false">IFERROR(VALUE(SUBSTITUTE(TRIM('수출입 실적(품목별)'!H2656),",","")),"")</f>
        <v>-34102</v>
      </c>
    </row>
    <row r="2653" customFormat="false" ht="15" hidden="false" customHeight="true" outlineLevel="0" collapsed="false">
      <c r="A2653" s="11" t="str">
        <f aca="false">TRIM('수출입 실적(품목별)'!A2657)</f>
        <v>2026.04</v>
      </c>
      <c r="B2653" s="17" t="n">
        <f aca="false">IFERROR(VALUE(LEFT($A2653,4)),"")</f>
        <v>2026</v>
      </c>
      <c r="C2653" s="17" t="n">
        <f aca="false">IFERROR(VALUE(RIGHT($A2653,2)),"")</f>
        <v>4</v>
      </c>
      <c r="D2653" s="17" t="n">
        <f aca="false">IFERROR(ROUNDUP($C2653/3,0),"")</f>
        <v>2</v>
      </c>
      <c r="E2653" s="11" t="str">
        <f aca="false">TRIM('수출입 실적(품목별)'!B2657)</f>
        <v>53</v>
      </c>
      <c r="F2653" s="11" t="str">
        <f aca="false">TRIM('수출입 실적(품목별)'!C2657)</f>
        <v>그 밖의 식물성 방직용 섬유, 종이실(paper yarn)과 종이실로 만든 직물</v>
      </c>
      <c r="G2653" s="18" t="n">
        <f aca="false">IFERROR(VALUE(SUBSTITUTE(TRIM('수출입 실적(품목별)'!D2657),",","")),"")</f>
        <v>14.8</v>
      </c>
      <c r="H2653" s="19" t="n">
        <f aca="false">IFERROR(VALUE(SUBSTITUTE(TRIM('수출입 실적(품목별)'!E2657),",","")),"")</f>
        <v>315</v>
      </c>
      <c r="I2653" s="18" t="n">
        <f aca="false">IFERROR(VALUE(SUBSTITUTE(TRIM('수출입 실적(품목별)'!F2657),",","")),"")</f>
        <v>1227.6</v>
      </c>
      <c r="J2653" s="19" t="n">
        <f aca="false">IFERROR(VALUE(SUBSTITUTE(TRIM('수출입 실적(품목별)'!G2657),",","")),"")</f>
        <v>4892</v>
      </c>
      <c r="K2653" s="19" t="n">
        <f aca="false">IFERROR(VALUE(SUBSTITUTE(TRIM('수출입 실적(품목별)'!H2657),",","")),"")</f>
        <v>-4577</v>
      </c>
    </row>
    <row r="2654" customFormat="false" ht="15" hidden="false" customHeight="true" outlineLevel="0" collapsed="false">
      <c r="A2654" s="11" t="str">
        <f aca="false">TRIM('수출입 실적(품목별)'!A2658)</f>
        <v>2026.04</v>
      </c>
      <c r="B2654" s="17" t="n">
        <f aca="false">IFERROR(VALUE(LEFT($A2654,4)),"")</f>
        <v>2026</v>
      </c>
      <c r="C2654" s="17" t="n">
        <f aca="false">IFERROR(VALUE(RIGHT($A2654,2)),"")</f>
        <v>4</v>
      </c>
      <c r="D2654" s="17" t="n">
        <f aca="false">IFERROR(ROUNDUP($C2654/3,0),"")</f>
        <v>2</v>
      </c>
      <c r="E2654" s="11" t="str">
        <f aca="false">TRIM('수출입 실적(품목별)'!B2658)</f>
        <v>54</v>
      </c>
      <c r="F2654" s="11" t="str">
        <f aca="false">TRIM('수출입 실적(품목별)'!C2658)</f>
        <v>인조필라멘트, 인조방직용 섬유재료의 스트립(strip)과 이와 유사한 것</v>
      </c>
      <c r="G2654" s="18" t="n">
        <f aca="false">IFERROR(VALUE(SUBSTITUTE(TRIM('수출입 실적(품목별)'!D2658),",","")),"")</f>
        <v>22842.1</v>
      </c>
      <c r="H2654" s="19" t="n">
        <f aca="false">IFERROR(VALUE(SUBSTITUTE(TRIM('수출입 실적(품목별)'!E2658),",","")),"")</f>
        <v>159399</v>
      </c>
      <c r="I2654" s="18" t="n">
        <f aca="false">IFERROR(VALUE(SUBSTITUTE(TRIM('수출입 실적(품목별)'!F2658),",","")),"")</f>
        <v>39315.5</v>
      </c>
      <c r="J2654" s="19" t="n">
        <f aca="false">IFERROR(VALUE(SUBSTITUTE(TRIM('수출입 실적(품목별)'!G2658),",","")),"")</f>
        <v>90595</v>
      </c>
      <c r="K2654" s="19" t="n">
        <f aca="false">IFERROR(VALUE(SUBSTITUTE(TRIM('수출입 실적(품목별)'!H2658),",","")),"")</f>
        <v>68804</v>
      </c>
    </row>
    <row r="2655" customFormat="false" ht="15" hidden="false" customHeight="true" outlineLevel="0" collapsed="false">
      <c r="A2655" s="11" t="str">
        <f aca="false">TRIM('수출입 실적(품목별)'!A2659)</f>
        <v>2026.04</v>
      </c>
      <c r="B2655" s="17" t="n">
        <f aca="false">IFERROR(VALUE(LEFT($A2655,4)),"")</f>
        <v>2026</v>
      </c>
      <c r="C2655" s="17" t="n">
        <f aca="false">IFERROR(VALUE(RIGHT($A2655,2)),"")</f>
        <v>4</v>
      </c>
      <c r="D2655" s="17" t="n">
        <f aca="false">IFERROR(ROUNDUP($C2655/3,0),"")</f>
        <v>2</v>
      </c>
      <c r="E2655" s="11" t="str">
        <f aca="false">TRIM('수출입 실적(품목별)'!B2659)</f>
        <v>55</v>
      </c>
      <c r="F2655" s="11" t="str">
        <f aca="false">TRIM('수출입 실적(품목별)'!C2659)</f>
        <v>인조스테이플섬유</v>
      </c>
      <c r="G2655" s="18" t="n">
        <f aca="false">IFERROR(VALUE(SUBSTITUTE(TRIM('수출입 실적(품목별)'!D2659),",","")),"")</f>
        <v>57185.2</v>
      </c>
      <c r="H2655" s="19" t="n">
        <f aca="false">IFERROR(VALUE(SUBSTITUTE(TRIM('수출입 실적(품목별)'!E2659),",","")),"")</f>
        <v>106727</v>
      </c>
      <c r="I2655" s="18" t="n">
        <f aca="false">IFERROR(VALUE(SUBSTITUTE(TRIM('수출입 실적(품목별)'!F2659),",","")),"")</f>
        <v>13301.2</v>
      </c>
      <c r="J2655" s="19" t="n">
        <f aca="false">IFERROR(VALUE(SUBSTITUTE(TRIM('수출입 실적(품목별)'!G2659),",","")),"")</f>
        <v>48117</v>
      </c>
      <c r="K2655" s="19" t="n">
        <f aca="false">IFERROR(VALUE(SUBSTITUTE(TRIM('수출입 실적(품목별)'!H2659),",","")),"")</f>
        <v>58610</v>
      </c>
    </row>
    <row r="2656" customFormat="false" ht="15" hidden="false" customHeight="true" outlineLevel="0" collapsed="false">
      <c r="A2656" s="11" t="str">
        <f aca="false">TRIM('수출입 실적(품목별)'!A2660)</f>
        <v>2026.04</v>
      </c>
      <c r="B2656" s="17" t="n">
        <f aca="false">IFERROR(VALUE(LEFT($A2656,4)),"")</f>
        <v>2026</v>
      </c>
      <c r="C2656" s="17" t="n">
        <f aca="false">IFERROR(VALUE(RIGHT($A2656,2)),"")</f>
        <v>4</v>
      </c>
      <c r="D2656" s="17" t="n">
        <f aca="false">IFERROR(ROUNDUP($C2656/3,0),"")</f>
        <v>2</v>
      </c>
      <c r="E2656" s="11" t="str">
        <f aca="false">TRIM('수출입 실적(품목별)'!B2660)</f>
        <v>56</v>
      </c>
      <c r="F2656" s="11" t="str">
        <f aca="false">TRIM('수출입 실적(품목별)'!C2660)</f>
        <v>워딩(wadding)ㆍ펠트(felt)ㆍ부직포, 특수사, 끈ㆍ배의 밧줄(cordage)ㆍ로프ㆍ케이블과 이들의 제품</v>
      </c>
      <c r="G2656" s="18" t="n">
        <f aca="false">IFERROR(VALUE(SUBSTITUTE(TRIM('수출입 실적(품목별)'!D2660),",","")),"")</f>
        <v>11149</v>
      </c>
      <c r="H2656" s="19" t="n">
        <f aca="false">IFERROR(VALUE(SUBSTITUTE(TRIM('수출입 실적(품목별)'!E2660),",","")),"")</f>
        <v>68417</v>
      </c>
      <c r="I2656" s="18" t="n">
        <f aca="false">IFERROR(VALUE(SUBSTITUTE(TRIM('수출입 실적(품목별)'!F2660),",","")),"")</f>
        <v>22817.7</v>
      </c>
      <c r="J2656" s="19" t="n">
        <f aca="false">IFERROR(VALUE(SUBSTITUTE(TRIM('수출입 실적(품목별)'!G2660),",","")),"")</f>
        <v>66880</v>
      </c>
      <c r="K2656" s="19" t="n">
        <f aca="false">IFERROR(VALUE(SUBSTITUTE(TRIM('수출입 실적(품목별)'!H2660),",","")),"")</f>
        <v>1537</v>
      </c>
    </row>
    <row r="2657" customFormat="false" ht="15" hidden="false" customHeight="true" outlineLevel="0" collapsed="false">
      <c r="A2657" s="11" t="str">
        <f aca="false">TRIM('수출입 실적(품목별)'!A2661)</f>
        <v>2026.04</v>
      </c>
      <c r="B2657" s="17" t="n">
        <f aca="false">IFERROR(VALUE(LEFT($A2657,4)),"")</f>
        <v>2026</v>
      </c>
      <c r="C2657" s="17" t="n">
        <f aca="false">IFERROR(VALUE(RIGHT($A2657,2)),"")</f>
        <v>4</v>
      </c>
      <c r="D2657" s="17" t="n">
        <f aca="false">IFERROR(ROUNDUP($C2657/3,0),"")</f>
        <v>2</v>
      </c>
      <c r="E2657" s="11" t="str">
        <f aca="false">TRIM('수출입 실적(품목별)'!B2661)</f>
        <v>57</v>
      </c>
      <c r="F2657" s="11" t="str">
        <f aca="false">TRIM('수출입 실적(품목별)'!C2661)</f>
        <v>양탄자류와 그 밖의 방직용 섬유로 만든 바닥깔개</v>
      </c>
      <c r="G2657" s="18" t="n">
        <f aca="false">IFERROR(VALUE(SUBSTITUTE(TRIM('수출입 실적(품목별)'!D2661),",","")),"")</f>
        <v>576.2</v>
      </c>
      <c r="H2657" s="19" t="n">
        <f aca="false">IFERROR(VALUE(SUBSTITUTE(TRIM('수출입 실적(품목별)'!E2661),",","")),"")</f>
        <v>5237</v>
      </c>
      <c r="I2657" s="18" t="n">
        <f aca="false">IFERROR(VALUE(SUBSTITUTE(TRIM('수출입 실적(품목별)'!F2661),",","")),"")</f>
        <v>6755.1</v>
      </c>
      <c r="J2657" s="19" t="n">
        <f aca="false">IFERROR(VALUE(SUBSTITUTE(TRIM('수출입 실적(품목별)'!G2661),",","")),"")</f>
        <v>10863</v>
      </c>
      <c r="K2657" s="19" t="n">
        <f aca="false">IFERROR(VALUE(SUBSTITUTE(TRIM('수출입 실적(품목별)'!H2661),",","")),"")</f>
        <v>-5626</v>
      </c>
    </row>
    <row r="2658" customFormat="false" ht="15" hidden="false" customHeight="true" outlineLevel="0" collapsed="false">
      <c r="A2658" s="11" t="str">
        <f aca="false">TRIM('수출입 실적(품목별)'!A2662)</f>
        <v>2026.04</v>
      </c>
      <c r="B2658" s="17" t="n">
        <f aca="false">IFERROR(VALUE(LEFT($A2658,4)),"")</f>
        <v>2026</v>
      </c>
      <c r="C2658" s="17" t="n">
        <f aca="false">IFERROR(VALUE(RIGHT($A2658,2)),"")</f>
        <v>4</v>
      </c>
      <c r="D2658" s="17" t="n">
        <f aca="false">IFERROR(ROUNDUP($C2658/3,0),"")</f>
        <v>2</v>
      </c>
      <c r="E2658" s="11" t="str">
        <f aca="false">TRIM('수출입 실적(품목별)'!B2662)</f>
        <v>58</v>
      </c>
      <c r="F2658" s="11" t="str">
        <f aca="false">TRIM('수출입 실적(품목별)'!C2662)</f>
        <v>특수직물, 터프트(tuft)한 직물, 레이스, 태피스트리(tapestry), 트리밍(trimming), 자수천</v>
      </c>
      <c r="G2658" s="18" t="n">
        <f aca="false">IFERROR(VALUE(SUBSTITUTE(TRIM('수출입 실적(품목별)'!D2662),",","")),"")</f>
        <v>1453</v>
      </c>
      <c r="H2658" s="19" t="n">
        <f aca="false">IFERROR(VALUE(SUBSTITUTE(TRIM('수출입 실적(품목별)'!E2662),",","")),"")</f>
        <v>17881</v>
      </c>
      <c r="I2658" s="18" t="n">
        <f aca="false">IFERROR(VALUE(SUBSTITUTE(TRIM('수출입 실적(품목별)'!F2662),",","")),"")</f>
        <v>938.6</v>
      </c>
      <c r="J2658" s="19" t="n">
        <f aca="false">IFERROR(VALUE(SUBSTITUTE(TRIM('수출입 실적(품목별)'!G2662),",","")),"")</f>
        <v>7242</v>
      </c>
      <c r="K2658" s="19" t="n">
        <f aca="false">IFERROR(VALUE(SUBSTITUTE(TRIM('수출입 실적(품목별)'!H2662),",","")),"")</f>
        <v>10639</v>
      </c>
    </row>
    <row r="2659" customFormat="false" ht="15" hidden="false" customHeight="true" outlineLevel="0" collapsed="false">
      <c r="A2659" s="11" t="str">
        <f aca="false">TRIM('수출입 실적(품목별)'!A2663)</f>
        <v>2026.04</v>
      </c>
      <c r="B2659" s="17" t="n">
        <f aca="false">IFERROR(VALUE(LEFT($A2659,4)),"")</f>
        <v>2026</v>
      </c>
      <c r="C2659" s="17" t="n">
        <f aca="false">IFERROR(VALUE(RIGHT($A2659,2)),"")</f>
        <v>4</v>
      </c>
      <c r="D2659" s="17" t="n">
        <f aca="false">IFERROR(ROUNDUP($C2659/3,0),"")</f>
        <v>2</v>
      </c>
      <c r="E2659" s="11" t="str">
        <f aca="false">TRIM('수출입 실적(품목별)'!B2663)</f>
        <v>59</v>
      </c>
      <c r="F2659" s="11" t="str">
        <f aca="false">TRIM('수출입 실적(품목별)'!C2663)</f>
        <v>침투ㆍ도포ㆍ피복하거나 적층한 방직용 섬유의 직물, 공업용인 방직용 섬유제품</v>
      </c>
      <c r="G2659" s="18" t="n">
        <f aca="false">IFERROR(VALUE(SUBSTITUTE(TRIM('수출입 실적(품목별)'!D2663),",","")),"")</f>
        <v>10292.8</v>
      </c>
      <c r="H2659" s="19" t="n">
        <f aca="false">IFERROR(VALUE(SUBSTITUTE(TRIM('수출입 실적(품목별)'!E2663),",","")),"")</f>
        <v>109692</v>
      </c>
      <c r="I2659" s="18" t="n">
        <f aca="false">IFERROR(VALUE(SUBSTITUTE(TRIM('수출입 실적(품목별)'!F2663),",","")),"")</f>
        <v>6708.2</v>
      </c>
      <c r="J2659" s="19" t="n">
        <f aca="false">IFERROR(VALUE(SUBSTITUTE(TRIM('수출입 실적(품목별)'!G2663),",","")),"")</f>
        <v>41172</v>
      </c>
      <c r="K2659" s="19" t="n">
        <f aca="false">IFERROR(VALUE(SUBSTITUTE(TRIM('수출입 실적(품목별)'!H2663),",","")),"")</f>
        <v>68520</v>
      </c>
    </row>
    <row r="2660" customFormat="false" ht="15" hidden="false" customHeight="true" outlineLevel="0" collapsed="false">
      <c r="A2660" s="11" t="str">
        <f aca="false">TRIM('수출입 실적(품목별)'!A2664)</f>
        <v>2026.04</v>
      </c>
      <c r="B2660" s="17" t="n">
        <f aca="false">IFERROR(VALUE(LEFT($A2660,4)),"")</f>
        <v>2026</v>
      </c>
      <c r="C2660" s="17" t="n">
        <f aca="false">IFERROR(VALUE(RIGHT($A2660,2)),"")</f>
        <v>4</v>
      </c>
      <c r="D2660" s="17" t="n">
        <f aca="false">IFERROR(ROUNDUP($C2660/3,0),"")</f>
        <v>2</v>
      </c>
      <c r="E2660" s="11" t="str">
        <f aca="false">TRIM('수출입 실적(품목별)'!B2664)</f>
        <v>60</v>
      </c>
      <c r="F2660" s="11" t="str">
        <f aca="false">TRIM('수출입 실적(품목별)'!C2664)</f>
        <v>메리야스 편물과 뜨개질 편물</v>
      </c>
      <c r="G2660" s="18" t="n">
        <f aca="false">IFERROR(VALUE(SUBSTITUTE(TRIM('수출입 실적(품목별)'!D2664),",","")),"")</f>
        <v>18338.2</v>
      </c>
      <c r="H2660" s="19" t="n">
        <f aca="false">IFERROR(VALUE(SUBSTITUTE(TRIM('수출입 실적(품목별)'!E2664),",","")),"")</f>
        <v>138630</v>
      </c>
      <c r="I2660" s="18" t="n">
        <f aca="false">IFERROR(VALUE(SUBSTITUTE(TRIM('수출입 실적(품목별)'!F2664),",","")),"")</f>
        <v>2090.9</v>
      </c>
      <c r="J2660" s="19" t="n">
        <f aca="false">IFERROR(VALUE(SUBSTITUTE(TRIM('수출입 실적(품목별)'!G2664),",","")),"")</f>
        <v>10416</v>
      </c>
      <c r="K2660" s="19" t="n">
        <f aca="false">IFERROR(VALUE(SUBSTITUTE(TRIM('수출입 실적(품목별)'!H2664),",","")),"")</f>
        <v>128213</v>
      </c>
    </row>
    <row r="2661" customFormat="false" ht="15" hidden="false" customHeight="true" outlineLevel="0" collapsed="false">
      <c r="A2661" s="11" t="str">
        <f aca="false">TRIM('수출입 실적(품목별)'!A2665)</f>
        <v>2026.04</v>
      </c>
      <c r="B2661" s="17" t="n">
        <f aca="false">IFERROR(VALUE(LEFT($A2661,4)),"")</f>
        <v>2026</v>
      </c>
      <c r="C2661" s="17" t="n">
        <f aca="false">IFERROR(VALUE(RIGHT($A2661,2)),"")</f>
        <v>4</v>
      </c>
      <c r="D2661" s="17" t="n">
        <f aca="false">IFERROR(ROUNDUP($C2661/3,0),"")</f>
        <v>2</v>
      </c>
      <c r="E2661" s="11" t="str">
        <f aca="false">TRIM('수출입 실적(품목별)'!B2665)</f>
        <v>61</v>
      </c>
      <c r="F2661" s="11" t="str">
        <f aca="false">TRIM('수출입 실적(품목별)'!C2665)</f>
        <v>의류와 그 부속품(메리야스 편물이나 뜨개질 편물로 한정한다)</v>
      </c>
      <c r="G2661" s="18" t="n">
        <f aca="false">IFERROR(VALUE(SUBSTITUTE(TRIM('수출입 실적(품목별)'!D2665),",","")),"")</f>
        <v>2645.2</v>
      </c>
      <c r="H2661" s="19" t="n">
        <f aca="false">IFERROR(VALUE(SUBSTITUTE(TRIM('수출입 실적(품목별)'!E2665),",","")),"")</f>
        <v>104281</v>
      </c>
      <c r="I2661" s="18" t="n">
        <f aca="false">IFERROR(VALUE(SUBSTITUTE(TRIM('수출입 실적(품목별)'!F2665),",","")),"")</f>
        <v>23643.6</v>
      </c>
      <c r="J2661" s="19" t="n">
        <f aca="false">IFERROR(VALUE(SUBSTITUTE(TRIM('수출입 실적(품목별)'!G2665),",","")),"")</f>
        <v>459122</v>
      </c>
      <c r="K2661" s="19" t="n">
        <f aca="false">IFERROR(VALUE(SUBSTITUTE(TRIM('수출입 실적(품목별)'!H2665),",","")),"")</f>
        <v>-354841</v>
      </c>
    </row>
    <row r="2662" customFormat="false" ht="15" hidden="false" customHeight="true" outlineLevel="0" collapsed="false">
      <c r="A2662" s="11" t="str">
        <f aca="false">TRIM('수출입 실적(품목별)'!A2666)</f>
        <v>2026.04</v>
      </c>
      <c r="B2662" s="17" t="n">
        <f aca="false">IFERROR(VALUE(LEFT($A2662,4)),"")</f>
        <v>2026</v>
      </c>
      <c r="C2662" s="17" t="n">
        <f aca="false">IFERROR(VALUE(RIGHT($A2662,2)),"")</f>
        <v>4</v>
      </c>
      <c r="D2662" s="17" t="n">
        <f aca="false">IFERROR(ROUNDUP($C2662/3,0),"")</f>
        <v>2</v>
      </c>
      <c r="E2662" s="11" t="str">
        <f aca="false">TRIM('수출입 실적(품목별)'!B2666)</f>
        <v>62</v>
      </c>
      <c r="F2662" s="11" t="str">
        <f aca="false">TRIM('수출입 실적(품목별)'!C2666)</f>
        <v>의류와 그 부속품(메리야스 편물이나 뜨개질편물은 제외한다)</v>
      </c>
      <c r="G2662" s="18" t="n">
        <f aca="false">IFERROR(VALUE(SUBSTITUTE(TRIM('수출입 실적(품목별)'!D2666),",","")),"")</f>
        <v>3204.2</v>
      </c>
      <c r="H2662" s="19" t="n">
        <f aca="false">IFERROR(VALUE(SUBSTITUTE(TRIM('수출입 실적(품목별)'!E2666),",","")),"")</f>
        <v>95643</v>
      </c>
      <c r="I2662" s="18" t="n">
        <f aca="false">IFERROR(VALUE(SUBSTITUTE(TRIM('수출입 실적(품목별)'!F2666),",","")),"")</f>
        <v>21537.6</v>
      </c>
      <c r="J2662" s="19" t="n">
        <f aca="false">IFERROR(VALUE(SUBSTITUTE(TRIM('수출입 실적(품목별)'!G2666),",","")),"")</f>
        <v>571499</v>
      </c>
      <c r="K2662" s="19" t="n">
        <f aca="false">IFERROR(VALUE(SUBSTITUTE(TRIM('수출입 실적(품목별)'!H2666),",","")),"")</f>
        <v>-475855</v>
      </c>
    </row>
    <row r="2663" customFormat="false" ht="15" hidden="false" customHeight="true" outlineLevel="0" collapsed="false">
      <c r="A2663" s="11" t="str">
        <f aca="false">TRIM('수출입 실적(품목별)'!A2667)</f>
        <v>2026.04</v>
      </c>
      <c r="B2663" s="17" t="n">
        <f aca="false">IFERROR(VALUE(LEFT($A2663,4)),"")</f>
        <v>2026</v>
      </c>
      <c r="C2663" s="17" t="n">
        <f aca="false">IFERROR(VALUE(RIGHT($A2663,2)),"")</f>
        <v>4</v>
      </c>
      <c r="D2663" s="17" t="n">
        <f aca="false">IFERROR(ROUNDUP($C2663/3,0),"")</f>
        <v>2</v>
      </c>
      <c r="E2663" s="11" t="str">
        <f aca="false">TRIM('수출입 실적(품목별)'!B2667)</f>
        <v>63</v>
      </c>
      <c r="F2663" s="11" t="str">
        <f aca="false">TRIM('수출입 실적(품목별)'!C2667)</f>
        <v>제품으로 된 방직용 섬유의 그 밖의 물품, 세트, 사용하던 의류ㆍ방직용 섬유제품, 넝마</v>
      </c>
      <c r="G2663" s="18" t="n">
        <f aca="false">IFERROR(VALUE(SUBSTITUTE(TRIM('수출입 실적(품목별)'!D2667),",","")),"")</f>
        <v>29839</v>
      </c>
      <c r="H2663" s="19" t="n">
        <f aca="false">IFERROR(VALUE(SUBSTITUTE(TRIM('수출입 실적(품목별)'!E2667),",","")),"")</f>
        <v>56202</v>
      </c>
      <c r="I2663" s="18" t="n">
        <f aca="false">IFERROR(VALUE(SUBSTITUTE(TRIM('수출입 실적(품목별)'!F2667),",","")),"")</f>
        <v>28423.5</v>
      </c>
      <c r="J2663" s="19" t="n">
        <f aca="false">IFERROR(VALUE(SUBSTITUTE(TRIM('수출입 실적(품목별)'!G2667),",","")),"")</f>
        <v>121768</v>
      </c>
      <c r="K2663" s="19" t="n">
        <f aca="false">IFERROR(VALUE(SUBSTITUTE(TRIM('수출입 실적(품목별)'!H2667),",","")),"")</f>
        <v>-65565</v>
      </c>
    </row>
    <row r="2664" customFormat="false" ht="15" hidden="false" customHeight="true" outlineLevel="0" collapsed="false">
      <c r="A2664" s="11" t="str">
        <f aca="false">TRIM('수출입 실적(품목별)'!A2668)</f>
        <v>2026.04</v>
      </c>
      <c r="B2664" s="17" t="n">
        <f aca="false">IFERROR(VALUE(LEFT($A2664,4)),"")</f>
        <v>2026</v>
      </c>
      <c r="C2664" s="17" t="n">
        <f aca="false">IFERROR(VALUE(RIGHT($A2664,2)),"")</f>
        <v>4</v>
      </c>
      <c r="D2664" s="17" t="n">
        <f aca="false">IFERROR(ROUNDUP($C2664/3,0),"")</f>
        <v>2</v>
      </c>
      <c r="E2664" s="11" t="str">
        <f aca="false">TRIM('수출입 실적(품목별)'!B2668)</f>
        <v>64</v>
      </c>
      <c r="F2664" s="11" t="str">
        <f aca="false">TRIM('수출입 실적(품목별)'!C2668)</f>
        <v>신발류ㆍ각반과 이와 유사한 것, 이들의 부분품</v>
      </c>
      <c r="G2664" s="18" t="n">
        <f aca="false">IFERROR(VALUE(SUBSTITUTE(TRIM('수출입 실적(품목별)'!D2668),",","")),"")</f>
        <v>1464.1</v>
      </c>
      <c r="H2664" s="19" t="n">
        <f aca="false">IFERROR(VALUE(SUBSTITUTE(TRIM('수출입 실적(품목별)'!E2668),",","")),"")</f>
        <v>42783</v>
      </c>
      <c r="I2664" s="18" t="n">
        <f aca="false">IFERROR(VALUE(SUBSTITUTE(TRIM('수출입 실적(품목별)'!F2668),",","")),"")</f>
        <v>11767.5</v>
      </c>
      <c r="J2664" s="19" t="n">
        <f aca="false">IFERROR(VALUE(SUBSTITUTE(TRIM('수출입 실적(품목별)'!G2668),",","")),"")</f>
        <v>270804</v>
      </c>
      <c r="K2664" s="19" t="n">
        <f aca="false">IFERROR(VALUE(SUBSTITUTE(TRIM('수출입 실적(품목별)'!H2668),",","")),"")</f>
        <v>-228020</v>
      </c>
    </row>
    <row r="2665" customFormat="false" ht="15" hidden="false" customHeight="true" outlineLevel="0" collapsed="false">
      <c r="A2665" s="11" t="str">
        <f aca="false">TRIM('수출입 실적(품목별)'!A2669)</f>
        <v>2026.04</v>
      </c>
      <c r="B2665" s="17" t="n">
        <f aca="false">IFERROR(VALUE(LEFT($A2665,4)),"")</f>
        <v>2026</v>
      </c>
      <c r="C2665" s="17" t="n">
        <f aca="false">IFERROR(VALUE(RIGHT($A2665,2)),"")</f>
        <v>4</v>
      </c>
      <c r="D2665" s="17" t="n">
        <f aca="false">IFERROR(ROUNDUP($C2665/3,0),"")</f>
        <v>2</v>
      </c>
      <c r="E2665" s="11" t="str">
        <f aca="false">TRIM('수출입 실적(품목별)'!B2669)</f>
        <v>65</v>
      </c>
      <c r="F2665" s="11" t="str">
        <f aca="false">TRIM('수출입 실적(품목별)'!C2669)</f>
        <v>모자류와 그 부분품</v>
      </c>
      <c r="G2665" s="18" t="n">
        <f aca="false">IFERROR(VALUE(SUBSTITUTE(TRIM('수출입 실적(품목별)'!D2669),",","")),"")</f>
        <v>311</v>
      </c>
      <c r="H2665" s="19" t="n">
        <f aca="false">IFERROR(VALUE(SUBSTITUTE(TRIM('수출입 실적(품목별)'!E2669),",","")),"")</f>
        <v>12375</v>
      </c>
      <c r="I2665" s="18" t="n">
        <f aca="false">IFERROR(VALUE(SUBSTITUTE(TRIM('수출입 실적(품목별)'!F2669),",","")),"")</f>
        <v>1169.8</v>
      </c>
      <c r="J2665" s="19" t="n">
        <f aca="false">IFERROR(VALUE(SUBSTITUTE(TRIM('수출입 실적(품목별)'!G2669),",","")),"")</f>
        <v>29689</v>
      </c>
      <c r="K2665" s="19" t="n">
        <f aca="false">IFERROR(VALUE(SUBSTITUTE(TRIM('수출입 실적(품목별)'!H2669),",","")),"")</f>
        <v>-17314</v>
      </c>
    </row>
    <row r="2666" customFormat="false" ht="15" hidden="false" customHeight="true" outlineLevel="0" collapsed="false">
      <c r="A2666" s="11" t="str">
        <f aca="false">TRIM('수출입 실적(품목별)'!A2670)</f>
        <v>2026.04</v>
      </c>
      <c r="B2666" s="17" t="n">
        <f aca="false">IFERROR(VALUE(LEFT($A2666,4)),"")</f>
        <v>2026</v>
      </c>
      <c r="C2666" s="17" t="n">
        <f aca="false">IFERROR(VALUE(RIGHT($A2666,2)),"")</f>
        <v>4</v>
      </c>
      <c r="D2666" s="17" t="n">
        <f aca="false">IFERROR(ROUNDUP($C2666/3,0),"")</f>
        <v>2</v>
      </c>
      <c r="E2666" s="11" t="str">
        <f aca="false">TRIM('수출입 실적(품목별)'!B2670)</f>
        <v>66</v>
      </c>
      <c r="F2666" s="11" t="str">
        <f aca="false">TRIM('수출입 실적(품목별)'!C2670)</f>
        <v>산류(傘類)ㆍ지팡이ㆍ시트스틱(seat-stick)ㆍ채찍ㆍ승마용 채찍과 이들의 부분품</v>
      </c>
      <c r="G2666" s="18" t="n">
        <f aca="false">IFERROR(VALUE(SUBSTITUTE(TRIM('수출입 실적(품목별)'!D2670),",","")),"")</f>
        <v>6.2</v>
      </c>
      <c r="H2666" s="19" t="n">
        <f aca="false">IFERROR(VALUE(SUBSTITUTE(TRIM('수출입 실적(품목별)'!E2670),",","")),"")</f>
        <v>125</v>
      </c>
      <c r="I2666" s="18" t="n">
        <f aca="false">IFERROR(VALUE(SUBSTITUTE(TRIM('수출입 실적(품목별)'!F2670),",","")),"")</f>
        <v>2234.4</v>
      </c>
      <c r="J2666" s="19" t="n">
        <f aca="false">IFERROR(VALUE(SUBSTITUTE(TRIM('수출입 실적(품목별)'!G2670),",","")),"")</f>
        <v>16616</v>
      </c>
      <c r="K2666" s="19" t="n">
        <f aca="false">IFERROR(VALUE(SUBSTITUTE(TRIM('수출입 실적(품목별)'!H2670),",","")),"")</f>
        <v>-16491</v>
      </c>
    </row>
    <row r="2667" customFormat="false" ht="15" hidden="false" customHeight="true" outlineLevel="0" collapsed="false">
      <c r="A2667" s="11" t="str">
        <f aca="false">TRIM('수출입 실적(품목별)'!A2671)</f>
        <v>2026.04</v>
      </c>
      <c r="B2667" s="17" t="n">
        <f aca="false">IFERROR(VALUE(LEFT($A2667,4)),"")</f>
        <v>2026</v>
      </c>
      <c r="C2667" s="17" t="n">
        <f aca="false">IFERROR(VALUE(RIGHT($A2667,2)),"")</f>
        <v>4</v>
      </c>
      <c r="D2667" s="17" t="n">
        <f aca="false">IFERROR(ROUNDUP($C2667/3,0),"")</f>
        <v>2</v>
      </c>
      <c r="E2667" s="11" t="str">
        <f aca="false">TRIM('수출입 실적(품목별)'!B2671)</f>
        <v>67</v>
      </c>
      <c r="F2667" s="11" t="str">
        <f aca="false">TRIM('수출입 실적(품목별)'!C2671)</f>
        <v>조제 깃털ㆍ솜털과 그 제품, 조화, 사람 머리카락으로 된 제품</v>
      </c>
      <c r="G2667" s="18" t="n">
        <f aca="false">IFERROR(VALUE(SUBSTITUTE(TRIM('수출입 실적(품목별)'!D2671),",","")),"")</f>
        <v>18.9</v>
      </c>
      <c r="H2667" s="19" t="n">
        <f aca="false">IFERROR(VALUE(SUBSTITUTE(TRIM('수출입 실적(품목별)'!E2671),",","")),"")</f>
        <v>1551</v>
      </c>
      <c r="I2667" s="18" t="n">
        <f aca="false">IFERROR(VALUE(SUBSTITUTE(TRIM('수출입 실적(품목별)'!F2671),",","")),"")</f>
        <v>648.7</v>
      </c>
      <c r="J2667" s="19" t="n">
        <f aca="false">IFERROR(VALUE(SUBSTITUTE(TRIM('수출입 실적(품목별)'!G2671),",","")),"")</f>
        <v>8382</v>
      </c>
      <c r="K2667" s="19" t="n">
        <f aca="false">IFERROR(VALUE(SUBSTITUTE(TRIM('수출입 실적(품목별)'!H2671),",","")),"")</f>
        <v>-6831</v>
      </c>
    </row>
    <row r="2668" customFormat="false" ht="15" hidden="false" customHeight="true" outlineLevel="0" collapsed="false">
      <c r="A2668" s="11" t="str">
        <f aca="false">TRIM('수출입 실적(품목별)'!A2672)</f>
        <v>2026.04</v>
      </c>
      <c r="B2668" s="17" t="n">
        <f aca="false">IFERROR(VALUE(LEFT($A2668,4)),"")</f>
        <v>2026</v>
      </c>
      <c r="C2668" s="17" t="n">
        <f aca="false">IFERROR(VALUE(RIGHT($A2668,2)),"")</f>
        <v>4</v>
      </c>
      <c r="D2668" s="17" t="n">
        <f aca="false">IFERROR(ROUNDUP($C2668/3,0),"")</f>
        <v>2</v>
      </c>
      <c r="E2668" s="11" t="str">
        <f aca="false">TRIM('수출입 실적(품목별)'!B2672)</f>
        <v>68</v>
      </c>
      <c r="F2668" s="11" t="str">
        <f aca="false">TRIM('수출입 실적(품목별)'!C2672)</f>
        <v>돌ㆍ플라스터(plaster)ㆍ시멘트ㆍ석면ㆍ운모나 이와 유사한 재료의 제품</v>
      </c>
      <c r="G2668" s="18" t="n">
        <f aca="false">IFERROR(VALUE(SUBSTITUTE(TRIM('수출입 실적(품목별)'!D2672),",","")),"")</f>
        <v>11575.5</v>
      </c>
      <c r="H2668" s="19" t="n">
        <f aca="false">IFERROR(VALUE(SUBSTITUTE(TRIM('수출입 실적(품목별)'!E2672),",","")),"")</f>
        <v>98163</v>
      </c>
      <c r="I2668" s="18" t="n">
        <f aca="false">IFERROR(VALUE(SUBSTITUTE(TRIM('수출입 실적(품목별)'!F2672),",","")),"")</f>
        <v>202002.6</v>
      </c>
      <c r="J2668" s="19" t="n">
        <f aca="false">IFERROR(VALUE(SUBSTITUTE(TRIM('수출입 실적(품목별)'!G2672),",","")),"")</f>
        <v>111316</v>
      </c>
      <c r="K2668" s="19" t="n">
        <f aca="false">IFERROR(VALUE(SUBSTITUTE(TRIM('수출입 실적(품목별)'!H2672),",","")),"")</f>
        <v>-13152</v>
      </c>
    </row>
    <row r="2669" customFormat="false" ht="15" hidden="false" customHeight="true" outlineLevel="0" collapsed="false">
      <c r="A2669" s="11" t="str">
        <f aca="false">TRIM('수출입 실적(품목별)'!A2673)</f>
        <v>2026.04</v>
      </c>
      <c r="B2669" s="17" t="n">
        <f aca="false">IFERROR(VALUE(LEFT($A2669,4)),"")</f>
        <v>2026</v>
      </c>
      <c r="C2669" s="17" t="n">
        <f aca="false">IFERROR(VALUE(RIGHT($A2669,2)),"")</f>
        <v>4</v>
      </c>
      <c r="D2669" s="17" t="n">
        <f aca="false">IFERROR(ROUNDUP($C2669/3,0),"")</f>
        <v>2</v>
      </c>
      <c r="E2669" s="11" t="str">
        <f aca="false">TRIM('수출입 실적(품목별)'!B2673)</f>
        <v>69</v>
      </c>
      <c r="F2669" s="11" t="str">
        <f aca="false">TRIM('수출입 실적(품목별)'!C2673)</f>
        <v>도자제품</v>
      </c>
      <c r="G2669" s="18" t="n">
        <f aca="false">IFERROR(VALUE(SUBSTITUTE(TRIM('수출입 실적(품목별)'!D2673),",","")),"")</f>
        <v>2499.9</v>
      </c>
      <c r="H2669" s="19" t="n">
        <f aca="false">IFERROR(VALUE(SUBSTITUTE(TRIM('수출입 실적(품목별)'!E2673),",","")),"")</f>
        <v>31938</v>
      </c>
      <c r="I2669" s="18" t="n">
        <f aca="false">IFERROR(VALUE(SUBSTITUTE(TRIM('수출입 실적(품목별)'!F2673),",","")),"")</f>
        <v>113417.7</v>
      </c>
      <c r="J2669" s="19" t="n">
        <f aca="false">IFERROR(VALUE(SUBSTITUTE(TRIM('수출입 실적(품목별)'!G2673),",","")),"")</f>
        <v>122189</v>
      </c>
      <c r="K2669" s="19" t="n">
        <f aca="false">IFERROR(VALUE(SUBSTITUTE(TRIM('수출입 실적(품목별)'!H2673),",","")),"")</f>
        <v>-90251</v>
      </c>
    </row>
    <row r="2670" customFormat="false" ht="15" hidden="false" customHeight="true" outlineLevel="0" collapsed="false">
      <c r="A2670" s="11" t="str">
        <f aca="false">TRIM('수출입 실적(품목별)'!A2674)</f>
        <v>2026.04</v>
      </c>
      <c r="B2670" s="17" t="n">
        <f aca="false">IFERROR(VALUE(LEFT($A2670,4)),"")</f>
        <v>2026</v>
      </c>
      <c r="C2670" s="17" t="n">
        <f aca="false">IFERROR(VALUE(RIGHT($A2670,2)),"")</f>
        <v>4</v>
      </c>
      <c r="D2670" s="17" t="n">
        <f aca="false">IFERROR(ROUNDUP($C2670/3,0),"")</f>
        <v>2</v>
      </c>
      <c r="E2670" s="11" t="str">
        <f aca="false">TRIM('수출입 실적(품목별)'!B2674)</f>
        <v>70</v>
      </c>
      <c r="F2670" s="11" t="str">
        <f aca="false">TRIM('수출입 실적(품목별)'!C2674)</f>
        <v>유리와 유리제품</v>
      </c>
      <c r="G2670" s="18" t="n">
        <f aca="false">IFERROR(VALUE(SUBSTITUTE(TRIM('수출입 실적(품목별)'!D2674),",","")),"")</f>
        <v>29744.5</v>
      </c>
      <c r="H2670" s="19" t="n">
        <f aca="false">IFERROR(VALUE(SUBSTITUTE(TRIM('수출입 실적(품목별)'!E2674),",","")),"")</f>
        <v>152309</v>
      </c>
      <c r="I2670" s="18" t="n">
        <f aca="false">IFERROR(VALUE(SUBSTITUTE(TRIM('수출입 실적(품목별)'!F2674),",","")),"")</f>
        <v>76103.3</v>
      </c>
      <c r="J2670" s="19" t="n">
        <f aca="false">IFERROR(VALUE(SUBSTITUTE(TRIM('수출입 실적(품목별)'!G2674),",","")),"")</f>
        <v>276754</v>
      </c>
      <c r="K2670" s="19" t="n">
        <f aca="false">IFERROR(VALUE(SUBSTITUTE(TRIM('수출입 실적(품목별)'!H2674),",","")),"")</f>
        <v>-124444</v>
      </c>
    </row>
    <row r="2671" customFormat="false" ht="15" hidden="false" customHeight="true" outlineLevel="0" collapsed="false">
      <c r="A2671" s="11" t="str">
        <f aca="false">TRIM('수출입 실적(품목별)'!A2675)</f>
        <v>2026.04</v>
      </c>
      <c r="B2671" s="17" t="n">
        <f aca="false">IFERROR(VALUE(LEFT($A2671,4)),"")</f>
        <v>2026</v>
      </c>
      <c r="C2671" s="17" t="n">
        <f aca="false">IFERROR(VALUE(RIGHT($A2671,2)),"")</f>
        <v>4</v>
      </c>
      <c r="D2671" s="17" t="n">
        <f aca="false">IFERROR(ROUNDUP($C2671/3,0),"")</f>
        <v>2</v>
      </c>
      <c r="E2671" s="11" t="str">
        <f aca="false">TRIM('수출입 실적(품목별)'!B2675)</f>
        <v>71</v>
      </c>
      <c r="F2671" s="11" t="str">
        <f aca="false">TRIM('수출입 실적(품목별)'!C2675)</f>
        <v>천연진주ㆍ양식진주ㆍ귀석ㆍ반귀석ㆍ귀금속ㆍ귀금속을 입힌 금속과 이들의 제품, 모조 신변장식용품, 주화</v>
      </c>
      <c r="G2671" s="18" t="n">
        <f aca="false">IFERROR(VALUE(SUBSTITUTE(TRIM('수출입 실적(품목별)'!D2675),",","")),"")</f>
        <v>901.6</v>
      </c>
      <c r="H2671" s="19" t="n">
        <f aca="false">IFERROR(VALUE(SUBSTITUTE(TRIM('수출입 실적(품목별)'!E2675),",","")),"")</f>
        <v>1442449</v>
      </c>
      <c r="I2671" s="18" t="n">
        <f aca="false">IFERROR(VALUE(SUBSTITUTE(TRIM('수출입 실적(품목별)'!F2675),",","")),"")</f>
        <v>1455.3</v>
      </c>
      <c r="J2671" s="19" t="n">
        <f aca="false">IFERROR(VALUE(SUBSTITUTE(TRIM('수출입 실적(품목별)'!G2675),",","")),"")</f>
        <v>1097774</v>
      </c>
      <c r="K2671" s="19" t="n">
        <f aca="false">IFERROR(VALUE(SUBSTITUTE(TRIM('수출입 실적(품목별)'!H2675),",","")),"")</f>
        <v>344674</v>
      </c>
    </row>
    <row r="2672" customFormat="false" ht="15" hidden="false" customHeight="true" outlineLevel="0" collapsed="false">
      <c r="A2672" s="11" t="str">
        <f aca="false">TRIM('수출입 실적(품목별)'!A2676)</f>
        <v>2026.04</v>
      </c>
      <c r="B2672" s="17" t="n">
        <f aca="false">IFERROR(VALUE(LEFT($A2672,4)),"")</f>
        <v>2026</v>
      </c>
      <c r="C2672" s="17" t="n">
        <f aca="false">IFERROR(VALUE(RIGHT($A2672,2)),"")</f>
        <v>4</v>
      </c>
      <c r="D2672" s="17" t="n">
        <f aca="false">IFERROR(ROUNDUP($C2672/3,0),"")</f>
        <v>2</v>
      </c>
      <c r="E2672" s="11" t="str">
        <f aca="false">TRIM('수출입 실적(품목별)'!B2676)</f>
        <v>72</v>
      </c>
      <c r="F2672" s="11" t="str">
        <f aca="false">TRIM('수출입 실적(품목별)'!C2676)</f>
        <v>철강</v>
      </c>
      <c r="G2672" s="18" t="n">
        <f aca="false">IFERROR(VALUE(SUBSTITUTE(TRIM('수출입 실적(품목별)'!D2676),",","")),"")</f>
        <v>2235551.4</v>
      </c>
      <c r="H2672" s="19" t="n">
        <f aca="false">IFERROR(VALUE(SUBSTITUTE(TRIM('수출입 실적(품목별)'!E2676),",","")),"")</f>
        <v>1939452</v>
      </c>
      <c r="I2672" s="18" t="n">
        <f aca="false">IFERROR(VALUE(SUBSTITUTE(TRIM('수출입 실적(품목별)'!F2676),",","")),"")</f>
        <v>1245894.5</v>
      </c>
      <c r="J2672" s="19" t="n">
        <f aca="false">IFERROR(VALUE(SUBSTITUTE(TRIM('수출입 실적(품목별)'!G2676),",","")),"")</f>
        <v>1012095</v>
      </c>
      <c r="K2672" s="19" t="n">
        <f aca="false">IFERROR(VALUE(SUBSTITUTE(TRIM('수출입 실적(품목별)'!H2676),",","")),"")</f>
        <v>927357</v>
      </c>
    </row>
    <row r="2673" customFormat="false" ht="15" hidden="false" customHeight="true" outlineLevel="0" collapsed="false">
      <c r="A2673" s="11" t="str">
        <f aca="false">TRIM('수출입 실적(품목별)'!A2677)</f>
        <v>2026.04</v>
      </c>
      <c r="B2673" s="17" t="n">
        <f aca="false">IFERROR(VALUE(LEFT($A2673,4)),"")</f>
        <v>2026</v>
      </c>
      <c r="C2673" s="17" t="n">
        <f aca="false">IFERROR(VALUE(RIGHT($A2673,2)),"")</f>
        <v>4</v>
      </c>
      <c r="D2673" s="17" t="n">
        <f aca="false">IFERROR(ROUNDUP($C2673/3,0),"")</f>
        <v>2</v>
      </c>
      <c r="E2673" s="11" t="str">
        <f aca="false">TRIM('수출입 실적(품목별)'!B2677)</f>
        <v>73</v>
      </c>
      <c r="F2673" s="11" t="str">
        <f aca="false">TRIM('수출입 실적(품목별)'!C2677)</f>
        <v>철강의 제품</v>
      </c>
      <c r="G2673" s="18" t="n">
        <f aca="false">IFERROR(VALUE(SUBSTITUTE(TRIM('수출입 실적(품목별)'!D2677),",","")),"")</f>
        <v>312051.5</v>
      </c>
      <c r="H2673" s="19" t="n">
        <f aca="false">IFERROR(VALUE(SUBSTITUTE(TRIM('수출입 실적(품목별)'!E2677),",","")),"")</f>
        <v>760286</v>
      </c>
      <c r="I2673" s="18" t="n">
        <f aca="false">IFERROR(VALUE(SUBSTITUTE(TRIM('수출입 실적(품목별)'!F2677),",","")),"")</f>
        <v>253321.3</v>
      </c>
      <c r="J2673" s="19" t="n">
        <f aca="false">IFERROR(VALUE(SUBSTITUTE(TRIM('수출입 실적(품목별)'!G2677),",","")),"")</f>
        <v>676149</v>
      </c>
      <c r="K2673" s="19" t="n">
        <f aca="false">IFERROR(VALUE(SUBSTITUTE(TRIM('수출입 실적(품목별)'!H2677),",","")),"")</f>
        <v>84137</v>
      </c>
    </row>
    <row r="2674" customFormat="false" ht="15" hidden="false" customHeight="true" outlineLevel="0" collapsed="false">
      <c r="A2674" s="11" t="str">
        <f aca="false">TRIM('수출입 실적(품목별)'!A2678)</f>
        <v>2026.04</v>
      </c>
      <c r="B2674" s="17" t="n">
        <f aca="false">IFERROR(VALUE(LEFT($A2674,4)),"")</f>
        <v>2026</v>
      </c>
      <c r="C2674" s="17" t="n">
        <f aca="false">IFERROR(VALUE(RIGHT($A2674,2)),"")</f>
        <v>4</v>
      </c>
      <c r="D2674" s="17" t="n">
        <f aca="false">IFERROR(ROUNDUP($C2674/3,0),"")</f>
        <v>2</v>
      </c>
      <c r="E2674" s="11" t="str">
        <f aca="false">TRIM('수출입 실적(품목별)'!B2678)</f>
        <v>74</v>
      </c>
      <c r="F2674" s="11" t="str">
        <f aca="false">TRIM('수출입 실적(품목별)'!C2678)</f>
        <v>구리와 그 제품</v>
      </c>
      <c r="G2674" s="18" t="n">
        <f aca="false">IFERROR(VALUE(SUBSTITUTE(TRIM('수출입 실적(품목별)'!D2678),",","")),"")</f>
        <v>71582.8</v>
      </c>
      <c r="H2674" s="19" t="n">
        <f aca="false">IFERROR(VALUE(SUBSTITUTE(TRIM('수출입 실적(품목별)'!E2678),",","")),"")</f>
        <v>901904</v>
      </c>
      <c r="I2674" s="18" t="n">
        <f aca="false">IFERROR(VALUE(SUBSTITUTE(TRIM('수출입 실적(품목별)'!F2678),",","")),"")</f>
        <v>75505</v>
      </c>
      <c r="J2674" s="19" t="n">
        <f aca="false">IFERROR(VALUE(SUBSTITUTE(TRIM('수출입 실적(품목별)'!G2678),",","")),"")</f>
        <v>995592</v>
      </c>
      <c r="K2674" s="19" t="n">
        <f aca="false">IFERROR(VALUE(SUBSTITUTE(TRIM('수출입 실적(품목별)'!H2678),",","")),"")</f>
        <v>-93688</v>
      </c>
    </row>
    <row r="2675" customFormat="false" ht="15" hidden="false" customHeight="true" outlineLevel="0" collapsed="false">
      <c r="A2675" s="11" t="str">
        <f aca="false">TRIM('수출입 실적(품목별)'!A2679)</f>
        <v>2026.04</v>
      </c>
      <c r="B2675" s="17" t="n">
        <f aca="false">IFERROR(VALUE(LEFT($A2675,4)),"")</f>
        <v>2026</v>
      </c>
      <c r="C2675" s="17" t="n">
        <f aca="false">IFERROR(VALUE(RIGHT($A2675,2)),"")</f>
        <v>4</v>
      </c>
      <c r="D2675" s="17" t="n">
        <f aca="false">IFERROR(ROUNDUP($C2675/3,0),"")</f>
        <v>2</v>
      </c>
      <c r="E2675" s="11" t="str">
        <f aca="false">TRIM('수출입 실적(품목별)'!B2679)</f>
        <v>75</v>
      </c>
      <c r="F2675" s="11" t="str">
        <f aca="false">TRIM('수출입 실적(품목별)'!C2679)</f>
        <v>니켈과 그 제품</v>
      </c>
      <c r="G2675" s="18" t="n">
        <f aca="false">IFERROR(VALUE(SUBSTITUTE(TRIM('수출입 실적(품목별)'!D2679),",","")),"")</f>
        <v>1343.7</v>
      </c>
      <c r="H2675" s="19" t="n">
        <f aca="false">IFERROR(VALUE(SUBSTITUTE(TRIM('수출입 실적(품목별)'!E2679),",","")),"")</f>
        <v>31929</v>
      </c>
      <c r="I2675" s="18" t="n">
        <f aca="false">IFERROR(VALUE(SUBSTITUTE(TRIM('수출입 실적(품목별)'!F2679),",","")),"")</f>
        <v>10082.4</v>
      </c>
      <c r="J2675" s="19" t="n">
        <f aca="false">IFERROR(VALUE(SUBSTITUTE(TRIM('수출입 실적(품목별)'!G2679),",","")),"")</f>
        <v>145366</v>
      </c>
      <c r="K2675" s="19" t="n">
        <f aca="false">IFERROR(VALUE(SUBSTITUTE(TRIM('수출입 실적(품목별)'!H2679),",","")),"")</f>
        <v>-113437</v>
      </c>
    </row>
    <row r="2676" customFormat="false" ht="15" hidden="false" customHeight="true" outlineLevel="0" collapsed="false">
      <c r="A2676" s="11" t="str">
        <f aca="false">TRIM('수출입 실적(품목별)'!A2680)</f>
        <v>2026.04</v>
      </c>
      <c r="B2676" s="17" t="n">
        <f aca="false">IFERROR(VALUE(LEFT($A2676,4)),"")</f>
        <v>2026</v>
      </c>
      <c r="C2676" s="17" t="n">
        <f aca="false">IFERROR(VALUE(RIGHT($A2676,2)),"")</f>
        <v>4</v>
      </c>
      <c r="D2676" s="17" t="n">
        <f aca="false">IFERROR(ROUNDUP($C2676/3,0),"")</f>
        <v>2</v>
      </c>
      <c r="E2676" s="11" t="str">
        <f aca="false">TRIM('수출입 실적(품목별)'!B2680)</f>
        <v>76</v>
      </c>
      <c r="F2676" s="11" t="str">
        <f aca="false">TRIM('수출입 실적(품목별)'!C2680)</f>
        <v>알루미늄과 그 제품</v>
      </c>
      <c r="G2676" s="18" t="n">
        <f aca="false">IFERROR(VALUE(SUBSTITUTE(TRIM('수출입 실적(품목별)'!D2680),",","")),"")</f>
        <v>128860</v>
      </c>
      <c r="H2676" s="19" t="n">
        <f aca="false">IFERROR(VALUE(SUBSTITUTE(TRIM('수출입 실적(품목별)'!E2680),",","")),"")</f>
        <v>608741</v>
      </c>
      <c r="I2676" s="18" t="n">
        <f aca="false">IFERROR(VALUE(SUBSTITUTE(TRIM('수출입 실적(품목별)'!F2680),",","")),"")</f>
        <v>261165.8</v>
      </c>
      <c r="J2676" s="19" t="n">
        <f aca="false">IFERROR(VALUE(SUBSTITUTE(TRIM('수출입 실적(품목별)'!G2680),",","")),"")</f>
        <v>982723</v>
      </c>
      <c r="K2676" s="19" t="n">
        <f aca="false">IFERROR(VALUE(SUBSTITUTE(TRIM('수출입 실적(품목별)'!H2680),",","")),"")</f>
        <v>-373982</v>
      </c>
    </row>
    <row r="2677" customFormat="false" ht="15" hidden="false" customHeight="true" outlineLevel="0" collapsed="false">
      <c r="A2677" s="11" t="str">
        <f aca="false">TRIM('수출입 실적(품목별)'!A2681)</f>
        <v>2026.04</v>
      </c>
      <c r="B2677" s="17" t="n">
        <f aca="false">IFERROR(VALUE(LEFT($A2677,4)),"")</f>
        <v>2026</v>
      </c>
      <c r="C2677" s="17" t="n">
        <f aca="false">IFERROR(VALUE(RIGHT($A2677,2)),"")</f>
        <v>4</v>
      </c>
      <c r="D2677" s="17" t="n">
        <f aca="false">IFERROR(ROUNDUP($C2677/3,0),"")</f>
        <v>2</v>
      </c>
      <c r="E2677" s="11" t="str">
        <f aca="false">TRIM('수출입 실적(품목별)'!B2681)</f>
        <v>78</v>
      </c>
      <c r="F2677" s="11" t="str">
        <f aca="false">TRIM('수출입 실적(품목별)'!C2681)</f>
        <v>납과 그 제품</v>
      </c>
      <c r="G2677" s="18" t="n">
        <f aca="false">IFERROR(VALUE(SUBSTITUTE(TRIM('수출입 실적(품목별)'!D2681),",","")),"")</f>
        <v>38361.9</v>
      </c>
      <c r="H2677" s="19" t="n">
        <f aca="false">IFERROR(VALUE(SUBSTITUTE(TRIM('수출입 실적(품목별)'!E2681),",","")),"")</f>
        <v>84579</v>
      </c>
      <c r="I2677" s="18" t="n">
        <f aca="false">IFERROR(VALUE(SUBSTITUTE(TRIM('수출입 실적(품목별)'!F2681),",","")),"")</f>
        <v>15607.7</v>
      </c>
      <c r="J2677" s="19" t="n">
        <f aca="false">IFERROR(VALUE(SUBSTITUTE(TRIM('수출입 실적(품목별)'!G2681),",","")),"")</f>
        <v>42979</v>
      </c>
      <c r="K2677" s="19" t="n">
        <f aca="false">IFERROR(VALUE(SUBSTITUTE(TRIM('수출입 실적(품목별)'!H2681),",","")),"")</f>
        <v>41601</v>
      </c>
    </row>
    <row r="2678" customFormat="false" ht="15" hidden="false" customHeight="true" outlineLevel="0" collapsed="false">
      <c r="A2678" s="11" t="str">
        <f aca="false">TRIM('수출입 실적(품목별)'!A2682)</f>
        <v>2026.04</v>
      </c>
      <c r="B2678" s="17" t="n">
        <f aca="false">IFERROR(VALUE(LEFT($A2678,4)),"")</f>
        <v>2026</v>
      </c>
      <c r="C2678" s="17" t="n">
        <f aca="false">IFERROR(VALUE(RIGHT($A2678,2)),"")</f>
        <v>4</v>
      </c>
      <c r="D2678" s="17" t="n">
        <f aca="false">IFERROR(ROUNDUP($C2678/3,0),"")</f>
        <v>2</v>
      </c>
      <c r="E2678" s="11" t="str">
        <f aca="false">TRIM('수출입 실적(품목별)'!B2682)</f>
        <v>79</v>
      </c>
      <c r="F2678" s="11" t="str">
        <f aca="false">TRIM('수출입 실적(품목별)'!C2682)</f>
        <v>아연과 그 제품</v>
      </c>
      <c r="G2678" s="18" t="n">
        <f aca="false">IFERROR(VALUE(SUBSTITUTE(TRIM('수출입 실적(품목별)'!D2682),",","")),"")</f>
        <v>46041.9</v>
      </c>
      <c r="H2678" s="19" t="n">
        <f aca="false">IFERROR(VALUE(SUBSTITUTE(TRIM('수출입 실적(품목별)'!E2682),",","")),"")</f>
        <v>161427</v>
      </c>
      <c r="I2678" s="18" t="n">
        <f aca="false">IFERROR(VALUE(SUBSTITUTE(TRIM('수출입 실적(품목별)'!F2682),",","")),"")</f>
        <v>1023.3</v>
      </c>
      <c r="J2678" s="19" t="n">
        <f aca="false">IFERROR(VALUE(SUBSTITUTE(TRIM('수출입 실적(품목별)'!G2682),",","")),"")</f>
        <v>6578</v>
      </c>
      <c r="K2678" s="19" t="n">
        <f aca="false">IFERROR(VALUE(SUBSTITUTE(TRIM('수출입 실적(품목별)'!H2682),",","")),"")</f>
        <v>154849</v>
      </c>
    </row>
    <row r="2679" customFormat="false" ht="15" hidden="false" customHeight="true" outlineLevel="0" collapsed="false">
      <c r="A2679" s="11" t="str">
        <f aca="false">TRIM('수출입 실적(품목별)'!A2683)</f>
        <v>2026.04</v>
      </c>
      <c r="B2679" s="17" t="n">
        <f aca="false">IFERROR(VALUE(LEFT($A2679,4)),"")</f>
        <v>2026</v>
      </c>
      <c r="C2679" s="17" t="n">
        <f aca="false">IFERROR(VALUE(RIGHT($A2679,2)),"")</f>
        <v>4</v>
      </c>
      <c r="D2679" s="17" t="n">
        <f aca="false">IFERROR(ROUNDUP($C2679/3,0),"")</f>
        <v>2</v>
      </c>
      <c r="E2679" s="11" t="str">
        <f aca="false">TRIM('수출입 실적(품목별)'!B2683)</f>
        <v>80</v>
      </c>
      <c r="F2679" s="11" t="str">
        <f aca="false">TRIM('수출입 실적(품목별)'!C2683)</f>
        <v>주석과 그 제품</v>
      </c>
      <c r="G2679" s="18" t="n">
        <f aca="false">IFERROR(VALUE(SUBSTITUTE(TRIM('수출입 실적(품목별)'!D2683),",","")),"")</f>
        <v>205.8</v>
      </c>
      <c r="H2679" s="19" t="n">
        <f aca="false">IFERROR(VALUE(SUBSTITUTE(TRIM('수출입 실적(품목별)'!E2683),",","")),"")</f>
        <v>13453</v>
      </c>
      <c r="I2679" s="18" t="n">
        <f aca="false">IFERROR(VALUE(SUBSTITUTE(TRIM('수출입 실적(품목별)'!F2683),",","")),"")</f>
        <v>1149.1</v>
      </c>
      <c r="J2679" s="19" t="n">
        <f aca="false">IFERROR(VALUE(SUBSTITUTE(TRIM('수출입 실적(품목별)'!G2683),",","")),"")</f>
        <v>56108</v>
      </c>
      <c r="K2679" s="19" t="n">
        <f aca="false">IFERROR(VALUE(SUBSTITUTE(TRIM('수출입 실적(품목별)'!H2683),",","")),"")</f>
        <v>-42655</v>
      </c>
    </row>
    <row r="2680" customFormat="false" ht="15" hidden="false" customHeight="true" outlineLevel="0" collapsed="false">
      <c r="A2680" s="11" t="str">
        <f aca="false">TRIM('수출입 실적(품목별)'!A2684)</f>
        <v>2026.04</v>
      </c>
      <c r="B2680" s="17" t="n">
        <f aca="false">IFERROR(VALUE(LEFT($A2680,4)),"")</f>
        <v>2026</v>
      </c>
      <c r="C2680" s="17" t="n">
        <f aca="false">IFERROR(VALUE(RIGHT($A2680,2)),"")</f>
        <v>4</v>
      </c>
      <c r="D2680" s="17" t="n">
        <f aca="false">IFERROR(ROUNDUP($C2680/3,0),"")</f>
        <v>2</v>
      </c>
      <c r="E2680" s="11" t="str">
        <f aca="false">TRIM('수출입 실적(품목별)'!B2684)</f>
        <v>81</v>
      </c>
      <c r="F2680" s="11" t="str">
        <f aca="false">TRIM('수출입 실적(품목별)'!C2684)</f>
        <v>그 밖의 비금속(卑金屬), 서멧(cermet), 이들의 제품</v>
      </c>
      <c r="G2680" s="18" t="n">
        <f aca="false">IFERROR(VALUE(SUBSTITUTE(TRIM('수출입 실적(품목별)'!D2684),",","")),"")</f>
        <v>3512.1</v>
      </c>
      <c r="H2680" s="19" t="n">
        <f aca="false">IFERROR(VALUE(SUBSTITUTE(TRIM('수출입 실적(품목별)'!E2684),",","")),"")</f>
        <v>58448</v>
      </c>
      <c r="I2680" s="18" t="n">
        <f aca="false">IFERROR(VALUE(SUBSTITUTE(TRIM('수출입 실적(품목별)'!F2684),",","")),"")</f>
        <v>16318.1</v>
      </c>
      <c r="J2680" s="19" t="n">
        <f aca="false">IFERROR(VALUE(SUBSTITUTE(TRIM('수출입 실적(품목별)'!G2684),",","")),"")</f>
        <v>208671</v>
      </c>
      <c r="K2680" s="19" t="n">
        <f aca="false">IFERROR(VALUE(SUBSTITUTE(TRIM('수출입 실적(품목별)'!H2684),",","")),"")</f>
        <v>-150223</v>
      </c>
    </row>
    <row r="2681" customFormat="false" ht="15" hidden="false" customHeight="true" outlineLevel="0" collapsed="false">
      <c r="A2681" s="11" t="str">
        <f aca="false">TRIM('수출입 실적(품목별)'!A2685)</f>
        <v>2026.04</v>
      </c>
      <c r="B2681" s="17" t="n">
        <f aca="false">IFERROR(VALUE(LEFT($A2681,4)),"")</f>
        <v>2026</v>
      </c>
      <c r="C2681" s="17" t="n">
        <f aca="false">IFERROR(VALUE(RIGHT($A2681,2)),"")</f>
        <v>4</v>
      </c>
      <c r="D2681" s="17" t="n">
        <f aca="false">IFERROR(ROUNDUP($C2681/3,0),"")</f>
        <v>2</v>
      </c>
      <c r="E2681" s="11" t="str">
        <f aca="false">TRIM('수출입 실적(품목별)'!B2685)</f>
        <v>82</v>
      </c>
      <c r="F2681" s="11" t="str">
        <f aca="false">TRIM('수출입 실적(품목별)'!C2685)</f>
        <v>비금속(卑金屬)으로 만든 공구ㆍ도구ㆍ칼붙이ㆍ스푼ㆍ포크, 이들의 부분품</v>
      </c>
      <c r="G2681" s="18" t="n">
        <f aca="false">IFERROR(VALUE(SUBSTITUTE(TRIM('수출입 실적(품목별)'!D2685),",","")),"")</f>
        <v>9977.8</v>
      </c>
      <c r="H2681" s="19" t="n">
        <f aca="false">IFERROR(VALUE(SUBSTITUTE(TRIM('수출입 실적(품목별)'!E2685),",","")),"")</f>
        <v>206740</v>
      </c>
      <c r="I2681" s="18" t="n">
        <f aca="false">IFERROR(VALUE(SUBSTITUTE(TRIM('수출입 실적(품목별)'!F2685),",","")),"")</f>
        <v>5498.3</v>
      </c>
      <c r="J2681" s="19" t="n">
        <f aca="false">IFERROR(VALUE(SUBSTITUTE(TRIM('수출입 실적(품목별)'!G2685),",","")),"")</f>
        <v>100402</v>
      </c>
      <c r="K2681" s="19" t="n">
        <f aca="false">IFERROR(VALUE(SUBSTITUTE(TRIM('수출입 실적(품목별)'!H2685),",","")),"")</f>
        <v>106338</v>
      </c>
    </row>
    <row r="2682" customFormat="false" ht="15" hidden="false" customHeight="true" outlineLevel="0" collapsed="false">
      <c r="A2682" s="11" t="str">
        <f aca="false">TRIM('수출입 실적(품목별)'!A2686)</f>
        <v>2026.04</v>
      </c>
      <c r="B2682" s="17" t="n">
        <f aca="false">IFERROR(VALUE(LEFT($A2682,4)),"")</f>
        <v>2026</v>
      </c>
      <c r="C2682" s="17" t="n">
        <f aca="false">IFERROR(VALUE(RIGHT($A2682,2)),"")</f>
        <v>4</v>
      </c>
      <c r="D2682" s="17" t="n">
        <f aca="false">IFERROR(ROUNDUP($C2682/3,0),"")</f>
        <v>2</v>
      </c>
      <c r="E2682" s="11" t="str">
        <f aca="false">TRIM('수출입 실적(품목별)'!B2686)</f>
        <v>83</v>
      </c>
      <c r="F2682" s="11" t="str">
        <f aca="false">TRIM('수출입 실적(품목별)'!C2686)</f>
        <v>비금속(卑金屬)으로 만든 각종 제품</v>
      </c>
      <c r="G2682" s="18" t="n">
        <f aca="false">IFERROR(VALUE(SUBSTITUTE(TRIM('수출입 실적(품목별)'!D2686),",","")),"")</f>
        <v>26038</v>
      </c>
      <c r="H2682" s="19" t="n">
        <f aca="false">IFERROR(VALUE(SUBSTITUTE(TRIM('수출입 실적(품목별)'!E2686),",","")),"")</f>
        <v>151810</v>
      </c>
      <c r="I2682" s="18" t="n">
        <f aca="false">IFERROR(VALUE(SUBSTITUTE(TRIM('수출입 실적(품목별)'!F2686),",","")),"")</f>
        <v>12870.1</v>
      </c>
      <c r="J2682" s="19" t="n">
        <f aca="false">IFERROR(VALUE(SUBSTITUTE(TRIM('수출입 실적(품목별)'!G2686),",","")),"")</f>
        <v>86533</v>
      </c>
      <c r="K2682" s="19" t="n">
        <f aca="false">IFERROR(VALUE(SUBSTITUTE(TRIM('수출입 실적(품목별)'!H2686),",","")),"")</f>
        <v>65277</v>
      </c>
    </row>
    <row r="2683" customFormat="false" ht="15" hidden="false" customHeight="true" outlineLevel="0" collapsed="false">
      <c r="A2683" s="11" t="str">
        <f aca="false">TRIM('수출입 실적(품목별)'!A2687)</f>
        <v>2026.04</v>
      </c>
      <c r="B2683" s="17" t="n">
        <f aca="false">IFERROR(VALUE(LEFT($A2683,4)),"")</f>
        <v>2026</v>
      </c>
      <c r="C2683" s="17" t="n">
        <f aca="false">IFERROR(VALUE(RIGHT($A2683,2)),"")</f>
        <v>4</v>
      </c>
      <c r="D2683" s="17" t="n">
        <f aca="false">IFERROR(ROUNDUP($C2683/3,0),"")</f>
        <v>2</v>
      </c>
      <c r="E2683" s="11" t="str">
        <f aca="false">TRIM('수출입 실적(품목별)'!B2687)</f>
        <v>84</v>
      </c>
      <c r="F2683" s="11" t="str">
        <f aca="false">TRIM('수출입 실적(품목별)'!C2687)</f>
        <v>원자로ㆍ보일러ㆍ기계류와 이들의 부분품</v>
      </c>
      <c r="G2683" s="18" t="n">
        <f aca="false">IFERROR(VALUE(SUBSTITUTE(TRIM('수출입 실적(품목별)'!D2687),",","")),"")</f>
        <v>400903.8</v>
      </c>
      <c r="H2683" s="19" t="n">
        <f aca="false">IFERROR(VALUE(SUBSTITUTE(TRIM('수출입 실적(품목별)'!E2687),",","")),"")</f>
        <v>11623503</v>
      </c>
      <c r="I2683" s="18" t="n">
        <f aca="false">IFERROR(VALUE(SUBSTITUTE(TRIM('수출입 실적(품목별)'!F2687),",","")),"")</f>
        <v>246858.1</v>
      </c>
      <c r="J2683" s="19" t="n">
        <f aca="false">IFERROR(VALUE(SUBSTITUTE(TRIM('수출입 실적(품목별)'!G2687),",","")),"")</f>
        <v>7863346</v>
      </c>
      <c r="K2683" s="19" t="n">
        <f aca="false">IFERROR(VALUE(SUBSTITUTE(TRIM('수출입 실적(품목별)'!H2687),",","")),"")</f>
        <v>3760157</v>
      </c>
    </row>
    <row r="2684" customFormat="false" ht="15" hidden="false" customHeight="true" outlineLevel="0" collapsed="false">
      <c r="A2684" s="11" t="str">
        <f aca="false">TRIM('수출입 실적(품목별)'!A2688)</f>
        <v>2026.04</v>
      </c>
      <c r="B2684" s="17" t="n">
        <f aca="false">IFERROR(VALUE(LEFT($A2684,4)),"")</f>
        <v>2026</v>
      </c>
      <c r="C2684" s="17" t="n">
        <f aca="false">IFERROR(VALUE(RIGHT($A2684,2)),"")</f>
        <v>4</v>
      </c>
      <c r="D2684" s="17" t="n">
        <f aca="false">IFERROR(ROUNDUP($C2684/3,0),"")</f>
        <v>2</v>
      </c>
      <c r="E2684" s="11" t="str">
        <f aca="false">TRIM('수출입 실적(품목별)'!B2688)</f>
        <v>85</v>
      </c>
      <c r="F2684" s="11" t="str">
        <f aca="false">TRIM('수출입 실적(품목별)'!C2688)</f>
        <v>전기기기와 그 부분품, 녹음기ㆍ음성 재생기ㆍ텔레비전의 영상과 음성의 기록기ㆍ재생기와 이들의 부분품ㆍ부속품</v>
      </c>
      <c r="G2684" s="18" t="n">
        <f aca="false">IFERROR(VALUE(SUBSTITUTE(TRIM('수출입 실적(품목별)'!D2688),",","")),"")</f>
        <v>235443.4</v>
      </c>
      <c r="H2684" s="19" t="n">
        <f aca="false">IFERROR(VALUE(SUBSTITUTE(TRIM('수출입 실적(품목별)'!E2688),",","")),"")</f>
        <v>36211589</v>
      </c>
      <c r="I2684" s="18" t="n">
        <f aca="false">IFERROR(VALUE(SUBSTITUTE(TRIM('수출입 실적(품목별)'!F2688),",","")),"")</f>
        <v>230092.1</v>
      </c>
      <c r="J2684" s="19" t="n">
        <f aca="false">IFERROR(VALUE(SUBSTITUTE(TRIM('수출입 실적(품목별)'!G2688),",","")),"")</f>
        <v>13508240</v>
      </c>
      <c r="K2684" s="19" t="n">
        <f aca="false">IFERROR(VALUE(SUBSTITUTE(TRIM('수출입 실적(품목별)'!H2688),",","")),"")</f>
        <v>22703349</v>
      </c>
    </row>
    <row r="2685" customFormat="false" ht="15" hidden="false" customHeight="true" outlineLevel="0" collapsed="false">
      <c r="A2685" s="11" t="str">
        <f aca="false">TRIM('수출입 실적(품목별)'!A2689)</f>
        <v>2026.04</v>
      </c>
      <c r="B2685" s="17" t="n">
        <f aca="false">IFERROR(VALUE(LEFT($A2685,4)),"")</f>
        <v>2026</v>
      </c>
      <c r="C2685" s="17" t="n">
        <f aca="false">IFERROR(VALUE(RIGHT($A2685,2)),"")</f>
        <v>4</v>
      </c>
      <c r="D2685" s="17" t="n">
        <f aca="false">IFERROR(ROUNDUP($C2685/3,0),"")</f>
        <v>2</v>
      </c>
      <c r="E2685" s="11" t="str">
        <f aca="false">TRIM('수출입 실적(품목별)'!B2689)</f>
        <v>86</v>
      </c>
      <c r="F2685" s="11" t="str">
        <f aca="false">TRIM('수출입 실적(품목별)'!C2689)</f>
        <v>철도용이나 궤도용 기관차ㆍ차량과 이들의 부분품, 철도용이나 궤도용 장비품과 그 부분품, 기계식(전기기계식을 포함한다) 각종 교통신호용 기기</v>
      </c>
      <c r="G2685" s="18" t="n">
        <f aca="false">IFERROR(VALUE(SUBSTITUTE(TRIM('수출입 실적(품목별)'!D2689),",","")),"")</f>
        <v>13580.8</v>
      </c>
      <c r="H2685" s="19" t="n">
        <f aca="false">IFERROR(VALUE(SUBSTITUTE(TRIM('수출입 실적(품목별)'!E2689),",","")),"")</f>
        <v>73726</v>
      </c>
      <c r="I2685" s="18" t="n">
        <f aca="false">IFERROR(VALUE(SUBSTITUTE(TRIM('수출입 실적(품목별)'!F2689),",","")),"")</f>
        <v>14898.4</v>
      </c>
      <c r="J2685" s="19" t="n">
        <f aca="false">IFERROR(VALUE(SUBSTITUTE(TRIM('수출입 실적(품목별)'!G2689),",","")),"")</f>
        <v>44852</v>
      </c>
      <c r="K2685" s="19" t="n">
        <f aca="false">IFERROR(VALUE(SUBSTITUTE(TRIM('수출입 실적(품목별)'!H2689),",","")),"")</f>
        <v>28874</v>
      </c>
    </row>
    <row r="2686" customFormat="false" ht="15" hidden="false" customHeight="true" outlineLevel="0" collapsed="false">
      <c r="A2686" s="11" t="str">
        <f aca="false">TRIM('수출입 실적(품목별)'!A2690)</f>
        <v>2026.04</v>
      </c>
      <c r="B2686" s="17" t="n">
        <f aca="false">IFERROR(VALUE(LEFT($A2686,4)),"")</f>
        <v>2026</v>
      </c>
      <c r="C2686" s="17" t="n">
        <f aca="false">IFERROR(VALUE(RIGHT($A2686,2)),"")</f>
        <v>4</v>
      </c>
      <c r="D2686" s="17" t="n">
        <f aca="false">IFERROR(ROUNDUP($C2686/3,0),"")</f>
        <v>2</v>
      </c>
      <c r="E2686" s="11" t="str">
        <f aca="false">TRIM('수출입 실적(품목별)'!B2690)</f>
        <v>87</v>
      </c>
      <c r="F2686" s="11" t="str">
        <f aca="false">TRIM('수출입 실적(품목별)'!C2690)</f>
        <v>철도용이나 궤도용 외의 차량과 그 부분품ㆍ부속품</v>
      </c>
      <c r="G2686" s="18" t="n">
        <f aca="false">IFERROR(VALUE(SUBSTITUTE(TRIM('수출입 실적(품목별)'!D2690),",","")),"")</f>
        <v>754435.6</v>
      </c>
      <c r="H2686" s="19" t="n">
        <f aca="false">IFERROR(VALUE(SUBSTITUTE(TRIM('수출입 실적(품목별)'!E2690),",","")),"")</f>
        <v>7859533</v>
      </c>
      <c r="I2686" s="18" t="n">
        <f aca="false">IFERROR(VALUE(SUBSTITUTE(TRIM('수출입 실적(품목별)'!F2690),",","")),"")</f>
        <v>131934.9</v>
      </c>
      <c r="J2686" s="19" t="n">
        <f aca="false">IFERROR(VALUE(SUBSTITUTE(TRIM('수출입 실적(품목별)'!G2690),",","")),"")</f>
        <v>1917789</v>
      </c>
      <c r="K2686" s="19" t="n">
        <f aca="false">IFERROR(VALUE(SUBSTITUTE(TRIM('수출입 실적(품목별)'!H2690),",","")),"")</f>
        <v>5941744</v>
      </c>
    </row>
    <row r="2687" customFormat="false" ht="15" hidden="false" customHeight="true" outlineLevel="0" collapsed="false">
      <c r="A2687" s="11" t="str">
        <f aca="false">TRIM('수출입 실적(품목별)'!A2691)</f>
        <v>2026.04</v>
      </c>
      <c r="B2687" s="17" t="n">
        <f aca="false">IFERROR(VALUE(LEFT($A2687,4)),"")</f>
        <v>2026</v>
      </c>
      <c r="C2687" s="17" t="n">
        <f aca="false">IFERROR(VALUE(RIGHT($A2687,2)),"")</f>
        <v>4</v>
      </c>
      <c r="D2687" s="17" t="n">
        <f aca="false">IFERROR(ROUNDUP($C2687/3,0),"")</f>
        <v>2</v>
      </c>
      <c r="E2687" s="11" t="str">
        <f aca="false">TRIM('수출입 실적(품목별)'!B2691)</f>
        <v>88</v>
      </c>
      <c r="F2687" s="11" t="str">
        <f aca="false">TRIM('수출입 실적(품목별)'!C2691)</f>
        <v>항공기와 우주선, 이들의 부분품</v>
      </c>
      <c r="G2687" s="18" t="n">
        <f aca="false">IFERROR(VALUE(SUBSTITUTE(TRIM('수출입 실적(품목별)'!D2691),",","")),"")</f>
        <v>1123.8</v>
      </c>
      <c r="H2687" s="19" t="n">
        <f aca="false">IFERROR(VALUE(SUBSTITUTE(TRIM('수출입 실적(품목별)'!E2691),",","")),"")</f>
        <v>311729</v>
      </c>
      <c r="I2687" s="18" t="n">
        <f aca="false">IFERROR(VALUE(SUBSTITUTE(TRIM('수출입 실적(품목별)'!F2691),",","")),"")</f>
        <v>1186.9</v>
      </c>
      <c r="J2687" s="19" t="n">
        <f aca="false">IFERROR(VALUE(SUBSTITUTE(TRIM('수출입 실적(품목별)'!G2691),",","")),"")</f>
        <v>570740</v>
      </c>
      <c r="K2687" s="19" t="n">
        <f aca="false">IFERROR(VALUE(SUBSTITUTE(TRIM('수출입 실적(품목별)'!H2691),",","")),"")</f>
        <v>-259010</v>
      </c>
    </row>
    <row r="2688" customFormat="false" ht="15" hidden="false" customHeight="true" outlineLevel="0" collapsed="false">
      <c r="A2688" s="11" t="str">
        <f aca="false">TRIM('수출입 실적(품목별)'!A2692)</f>
        <v>2026.04</v>
      </c>
      <c r="B2688" s="17" t="n">
        <f aca="false">IFERROR(VALUE(LEFT($A2688,4)),"")</f>
        <v>2026</v>
      </c>
      <c r="C2688" s="17" t="n">
        <f aca="false">IFERROR(VALUE(RIGHT($A2688,2)),"")</f>
        <v>4</v>
      </c>
      <c r="D2688" s="17" t="n">
        <f aca="false">IFERROR(ROUNDUP($C2688/3,0),"")</f>
        <v>2</v>
      </c>
      <c r="E2688" s="11" t="str">
        <f aca="false">TRIM('수출입 실적(품목별)'!B2692)</f>
        <v>89</v>
      </c>
      <c r="F2688" s="11" t="str">
        <f aca="false">TRIM('수출입 실적(품목별)'!C2692)</f>
        <v>선박과 수상 구조물</v>
      </c>
      <c r="G2688" s="18" t="n">
        <f aca="false">IFERROR(VALUE(SUBSTITUTE(TRIM('수출입 실적(품목별)'!D2692),",","")),"")</f>
        <v>1052174.2</v>
      </c>
      <c r="H2688" s="19" t="n">
        <f aca="false">IFERROR(VALUE(SUBSTITUTE(TRIM('수출입 실적(품목별)'!E2692),",","")),"")</f>
        <v>2723853</v>
      </c>
      <c r="I2688" s="18" t="n">
        <f aca="false">IFERROR(VALUE(SUBSTITUTE(TRIM('수출입 실적(품목별)'!F2692),",","")),"")</f>
        <v>304129</v>
      </c>
      <c r="J2688" s="19" t="n">
        <f aca="false">IFERROR(VALUE(SUBSTITUTE(TRIM('수출입 실적(품목별)'!G2692),",","")),"")</f>
        <v>210334</v>
      </c>
      <c r="K2688" s="19" t="n">
        <f aca="false">IFERROR(VALUE(SUBSTITUTE(TRIM('수출입 실적(품목별)'!H2692),",","")),"")</f>
        <v>2513519</v>
      </c>
    </row>
    <row r="2689" customFormat="false" ht="15" hidden="false" customHeight="true" outlineLevel="0" collapsed="false">
      <c r="A2689" s="11" t="str">
        <f aca="false">TRIM('수출입 실적(품목별)'!A2693)</f>
        <v>2026.04</v>
      </c>
      <c r="B2689" s="17" t="n">
        <f aca="false">IFERROR(VALUE(LEFT($A2689,4)),"")</f>
        <v>2026</v>
      </c>
      <c r="C2689" s="17" t="n">
        <f aca="false">IFERROR(VALUE(RIGHT($A2689,2)),"")</f>
        <v>4</v>
      </c>
      <c r="D2689" s="17" t="n">
        <f aca="false">IFERROR(ROUNDUP($C2689/3,0),"")</f>
        <v>2</v>
      </c>
      <c r="E2689" s="11" t="str">
        <f aca="false">TRIM('수출입 실적(품목별)'!B2693)</f>
        <v>90</v>
      </c>
      <c r="F2689" s="11" t="str">
        <f aca="false">TRIM('수출입 실적(품목별)'!C2693)</f>
        <v>광학기기ㆍ사진용 기기ㆍ영화용 기기ㆍ측정기기ㆍ검사기기ㆍ정밀기기ㆍ의료용 기기, 이들의 부분품과 부속품</v>
      </c>
      <c r="G2689" s="18" t="n">
        <f aca="false">IFERROR(VALUE(SUBSTITUTE(TRIM('수출입 실적(품목별)'!D2693),",","")),"")</f>
        <v>15908.9</v>
      </c>
      <c r="H2689" s="19" t="n">
        <f aca="false">IFERROR(VALUE(SUBSTITUTE(TRIM('수출입 실적(품목별)'!E2693),",","")),"")</f>
        <v>1504353</v>
      </c>
      <c r="I2689" s="18" t="n">
        <f aca="false">IFERROR(VALUE(SUBSTITUTE(TRIM('수출입 실적(품목별)'!F2693),",","")),"")</f>
        <v>18260.2</v>
      </c>
      <c r="J2689" s="19" t="n">
        <f aca="false">IFERROR(VALUE(SUBSTITUTE(TRIM('수출입 실적(품목별)'!G2693),",","")),"")</f>
        <v>2475210</v>
      </c>
      <c r="K2689" s="19" t="n">
        <f aca="false">IFERROR(VALUE(SUBSTITUTE(TRIM('수출입 실적(품목별)'!H2693),",","")),"")</f>
        <v>-970857</v>
      </c>
    </row>
    <row r="2690" customFormat="false" ht="15" hidden="false" customHeight="true" outlineLevel="0" collapsed="false">
      <c r="A2690" s="11" t="str">
        <f aca="false">TRIM('수출입 실적(품목별)'!A2694)</f>
        <v>2026.04</v>
      </c>
      <c r="B2690" s="17" t="n">
        <f aca="false">IFERROR(VALUE(LEFT($A2690,4)),"")</f>
        <v>2026</v>
      </c>
      <c r="C2690" s="17" t="n">
        <f aca="false">IFERROR(VALUE(RIGHT($A2690,2)),"")</f>
        <v>4</v>
      </c>
      <c r="D2690" s="17" t="n">
        <f aca="false">IFERROR(ROUNDUP($C2690/3,0),"")</f>
        <v>2</v>
      </c>
      <c r="E2690" s="11" t="str">
        <f aca="false">TRIM('수출입 실적(품목별)'!B2694)</f>
        <v>91</v>
      </c>
      <c r="F2690" s="11" t="str">
        <f aca="false">TRIM('수출입 실적(품목별)'!C2694)</f>
        <v>시계와 그 부분품</v>
      </c>
      <c r="G2690" s="18" t="n">
        <f aca="false">IFERROR(VALUE(SUBSTITUTE(TRIM('수출입 실적(품목별)'!D2694),",","")),"")</f>
        <v>17</v>
      </c>
      <c r="H2690" s="19" t="n">
        <f aca="false">IFERROR(VALUE(SUBSTITUTE(TRIM('수출입 실적(품목별)'!E2694),",","")),"")</f>
        <v>18559</v>
      </c>
      <c r="I2690" s="18" t="n">
        <f aca="false">IFERROR(VALUE(SUBSTITUTE(TRIM('수출입 실적(품목별)'!F2694),",","")),"")</f>
        <v>301.5</v>
      </c>
      <c r="J2690" s="19" t="n">
        <f aca="false">IFERROR(VALUE(SUBSTITUTE(TRIM('수출입 실적(품목별)'!G2694),",","")),"")</f>
        <v>91117</v>
      </c>
      <c r="K2690" s="19" t="n">
        <f aca="false">IFERROR(VALUE(SUBSTITUTE(TRIM('수출입 실적(품목별)'!H2694),",","")),"")</f>
        <v>-72558</v>
      </c>
    </row>
    <row r="2691" customFormat="false" ht="15" hidden="false" customHeight="true" outlineLevel="0" collapsed="false">
      <c r="A2691" s="11" t="str">
        <f aca="false">TRIM('수출입 실적(품목별)'!A2695)</f>
        <v>2026.04</v>
      </c>
      <c r="B2691" s="17" t="n">
        <f aca="false">IFERROR(VALUE(LEFT($A2691,4)),"")</f>
        <v>2026</v>
      </c>
      <c r="C2691" s="17" t="n">
        <f aca="false">IFERROR(VALUE(RIGHT($A2691,2)),"")</f>
        <v>4</v>
      </c>
      <c r="D2691" s="17" t="n">
        <f aca="false">IFERROR(ROUNDUP($C2691/3,0),"")</f>
        <v>2</v>
      </c>
      <c r="E2691" s="11" t="str">
        <f aca="false">TRIM('수출입 실적(품목별)'!B2695)</f>
        <v>92</v>
      </c>
      <c r="F2691" s="11" t="str">
        <f aca="false">TRIM('수출입 실적(품목별)'!C2695)</f>
        <v>악기와 그 부분품과 부속품</v>
      </c>
      <c r="G2691" s="18" t="n">
        <f aca="false">IFERROR(VALUE(SUBSTITUTE(TRIM('수출입 실적(품목별)'!D2695),",","")),"")</f>
        <v>392.8</v>
      </c>
      <c r="H2691" s="19" t="n">
        <f aca="false">IFERROR(VALUE(SUBSTITUTE(TRIM('수출입 실적(품목별)'!E2695),",","")),"")</f>
        <v>9315</v>
      </c>
      <c r="I2691" s="18" t="n">
        <f aca="false">IFERROR(VALUE(SUBSTITUTE(TRIM('수출입 실적(품목별)'!F2695),",","")),"")</f>
        <v>663.6</v>
      </c>
      <c r="J2691" s="19" t="n">
        <f aca="false">IFERROR(VALUE(SUBSTITUTE(TRIM('수출입 실적(품목별)'!G2695),",","")),"")</f>
        <v>13474</v>
      </c>
      <c r="K2691" s="19" t="n">
        <f aca="false">IFERROR(VALUE(SUBSTITUTE(TRIM('수출입 실적(품목별)'!H2695),",","")),"")</f>
        <v>-4159</v>
      </c>
    </row>
    <row r="2692" customFormat="false" ht="15" hidden="false" customHeight="true" outlineLevel="0" collapsed="false">
      <c r="A2692" s="11" t="str">
        <f aca="false">TRIM('수출입 실적(품목별)'!A2696)</f>
        <v>2026.04</v>
      </c>
      <c r="B2692" s="17" t="n">
        <f aca="false">IFERROR(VALUE(LEFT($A2692,4)),"")</f>
        <v>2026</v>
      </c>
      <c r="C2692" s="17" t="n">
        <f aca="false">IFERROR(VALUE(RIGHT($A2692,2)),"")</f>
        <v>4</v>
      </c>
      <c r="D2692" s="17" t="n">
        <f aca="false">IFERROR(ROUNDUP($C2692/3,0),"")</f>
        <v>2</v>
      </c>
      <c r="E2692" s="11" t="str">
        <f aca="false">TRIM('수출입 실적(품목별)'!B2696)</f>
        <v>93</v>
      </c>
      <c r="F2692" s="11" t="str">
        <f aca="false">TRIM('수출입 실적(품목별)'!C2696)</f>
        <v>무기ㆍ총포탄과 이들의 부분품과 부속품</v>
      </c>
      <c r="G2692" s="18" t="n">
        <f aca="false">IFERROR(VALUE(SUBSTITUTE(TRIM('수출입 실적(품목별)'!D2696),",","")),"")</f>
        <v>2358.7</v>
      </c>
      <c r="H2692" s="19" t="n">
        <f aca="false">IFERROR(VALUE(SUBSTITUTE(TRIM('수출입 실적(품목별)'!E2696),",","")),"")</f>
        <v>285361</v>
      </c>
      <c r="I2692" s="18" t="n">
        <f aca="false">IFERROR(VALUE(SUBSTITUTE(TRIM('수출입 실적(품목별)'!F2696),",","")),"")</f>
        <v>155.1</v>
      </c>
      <c r="J2692" s="19" t="n">
        <f aca="false">IFERROR(VALUE(SUBSTITUTE(TRIM('수출입 실적(품목별)'!G2696),",","")),"")</f>
        <v>27536</v>
      </c>
      <c r="K2692" s="19" t="n">
        <f aca="false">IFERROR(VALUE(SUBSTITUTE(TRIM('수출입 실적(품목별)'!H2696),",","")),"")</f>
        <v>257824</v>
      </c>
    </row>
    <row r="2693" customFormat="false" ht="15" hidden="false" customHeight="true" outlineLevel="0" collapsed="false">
      <c r="A2693" s="11" t="str">
        <f aca="false">TRIM('수출입 실적(품목별)'!A2697)</f>
        <v>2026.04</v>
      </c>
      <c r="B2693" s="17" t="n">
        <f aca="false">IFERROR(VALUE(LEFT($A2693,4)),"")</f>
        <v>2026</v>
      </c>
      <c r="C2693" s="17" t="n">
        <f aca="false">IFERROR(VALUE(RIGHT($A2693,2)),"")</f>
        <v>4</v>
      </c>
      <c r="D2693" s="17" t="n">
        <f aca="false">IFERROR(ROUNDUP($C2693/3,0),"")</f>
        <v>2</v>
      </c>
      <c r="E2693" s="11" t="str">
        <f aca="false">TRIM('수출입 실적(품목별)'!B2697)</f>
        <v>94</v>
      </c>
      <c r="F2693" s="11" t="str">
        <f aca="false">TRIM('수출입 실적(품목별)'!C2697)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693" s="18" t="n">
        <f aca="false">IFERROR(VALUE(SUBSTITUTE(TRIM('수출입 실적(품목별)'!D2697),",","")),"")</f>
        <v>17585.5</v>
      </c>
      <c r="H2693" s="19" t="n">
        <f aca="false">IFERROR(VALUE(SUBSTITUTE(TRIM('수출입 실적(품목별)'!E2697),",","")),"")</f>
        <v>118515</v>
      </c>
      <c r="I2693" s="18" t="n">
        <f aca="false">IFERROR(VALUE(SUBSTITUTE(TRIM('수출입 실적(품목별)'!F2697),",","")),"")</f>
        <v>87683.2</v>
      </c>
      <c r="J2693" s="19" t="n">
        <f aca="false">IFERROR(VALUE(SUBSTITUTE(TRIM('수출입 실적(품목별)'!G2697),",","")),"")</f>
        <v>356444</v>
      </c>
      <c r="K2693" s="19" t="n">
        <f aca="false">IFERROR(VALUE(SUBSTITUTE(TRIM('수출입 실적(품목별)'!H2697),",","")),"")</f>
        <v>-237929</v>
      </c>
    </row>
    <row r="2694" customFormat="false" ht="15" hidden="false" customHeight="true" outlineLevel="0" collapsed="false">
      <c r="A2694" s="11" t="str">
        <f aca="false">TRIM('수출입 실적(품목별)'!A2698)</f>
        <v>2026.04</v>
      </c>
      <c r="B2694" s="17" t="n">
        <f aca="false">IFERROR(VALUE(LEFT($A2694,4)),"")</f>
        <v>2026</v>
      </c>
      <c r="C2694" s="17" t="n">
        <f aca="false">IFERROR(VALUE(RIGHT($A2694,2)),"")</f>
        <v>4</v>
      </c>
      <c r="D2694" s="17" t="n">
        <f aca="false">IFERROR(ROUNDUP($C2694/3,0),"")</f>
        <v>2</v>
      </c>
      <c r="E2694" s="11" t="str">
        <f aca="false">TRIM('수출입 실적(품목별)'!B2698)</f>
        <v>95</v>
      </c>
      <c r="F2694" s="11" t="str">
        <f aca="false">TRIM('수출입 실적(품목별)'!C2698)</f>
        <v>완구ㆍ게임용구ㆍ운동용구와 이들의 부분품과 부속품</v>
      </c>
      <c r="G2694" s="18" t="n">
        <f aca="false">IFERROR(VALUE(SUBSTITUTE(TRIM('수출입 실적(품목별)'!D2698),",","")),"")</f>
        <v>2732.7</v>
      </c>
      <c r="H2694" s="19" t="n">
        <f aca="false">IFERROR(VALUE(SUBSTITUTE(TRIM('수출입 실적(품목별)'!E2698),",","")),"")</f>
        <v>63444</v>
      </c>
      <c r="I2694" s="18" t="n">
        <f aca="false">IFERROR(VALUE(SUBSTITUTE(TRIM('수출입 실적(품목별)'!F2698),",","")),"")</f>
        <v>19197.5</v>
      </c>
      <c r="J2694" s="19" t="n">
        <f aca="false">IFERROR(VALUE(SUBSTITUTE(TRIM('수출입 실적(품목별)'!G2698),",","")),"")</f>
        <v>258194</v>
      </c>
      <c r="K2694" s="19" t="n">
        <f aca="false">IFERROR(VALUE(SUBSTITUTE(TRIM('수출입 실적(품목별)'!H2698),",","")),"")</f>
        <v>-194750</v>
      </c>
    </row>
    <row r="2695" customFormat="false" ht="15" hidden="false" customHeight="true" outlineLevel="0" collapsed="false">
      <c r="A2695" s="11" t="str">
        <f aca="false">TRIM('수출입 실적(품목별)'!A2699)</f>
        <v>2026.04</v>
      </c>
      <c r="B2695" s="17" t="n">
        <f aca="false">IFERROR(VALUE(LEFT($A2695,4)),"")</f>
        <v>2026</v>
      </c>
      <c r="C2695" s="17" t="n">
        <f aca="false">IFERROR(VALUE(RIGHT($A2695,2)),"")</f>
        <v>4</v>
      </c>
      <c r="D2695" s="17" t="n">
        <f aca="false">IFERROR(ROUNDUP($C2695/3,0),"")</f>
        <v>2</v>
      </c>
      <c r="E2695" s="11" t="str">
        <f aca="false">TRIM('수출입 실적(품목별)'!B2699)</f>
        <v>96</v>
      </c>
      <c r="F2695" s="11" t="str">
        <f aca="false">TRIM('수출입 실적(품목별)'!C2699)</f>
        <v>잡품</v>
      </c>
      <c r="G2695" s="18" t="n">
        <f aca="false">IFERROR(VALUE(SUBSTITUTE(TRIM('수출입 실적(품목별)'!D2699),",","")),"")</f>
        <v>2468.6</v>
      </c>
      <c r="H2695" s="19" t="n">
        <f aca="false">IFERROR(VALUE(SUBSTITUTE(TRIM('수출입 실적(품목별)'!E2699),",","")),"")</f>
        <v>43001</v>
      </c>
      <c r="I2695" s="18" t="n">
        <f aca="false">IFERROR(VALUE(SUBSTITUTE(TRIM('수출입 실적(품목별)'!F2699),",","")),"")</f>
        <v>13017.3</v>
      </c>
      <c r="J2695" s="19" t="n">
        <f aca="false">IFERROR(VALUE(SUBSTITUTE(TRIM('수출입 실적(품목별)'!G2699),",","")),"")</f>
        <v>109145</v>
      </c>
      <c r="K2695" s="19" t="n">
        <f aca="false">IFERROR(VALUE(SUBSTITUTE(TRIM('수출입 실적(품목별)'!H2699),",","")),"")</f>
        <v>-66145</v>
      </c>
    </row>
    <row r="2696" customFormat="false" ht="15" hidden="false" customHeight="true" outlineLevel="0" collapsed="false">
      <c r="A2696" s="11" t="str">
        <f aca="false">TRIM('수출입 실적(품목별)'!A2700)</f>
        <v>2026.04</v>
      </c>
      <c r="B2696" s="17" t="n">
        <f aca="false">IFERROR(VALUE(LEFT($A2696,4)),"")</f>
        <v>2026</v>
      </c>
      <c r="C2696" s="17" t="n">
        <f aca="false">IFERROR(VALUE(RIGHT($A2696,2)),"")</f>
        <v>4</v>
      </c>
      <c r="D2696" s="17" t="n">
        <f aca="false">IFERROR(ROUNDUP($C2696/3,0),"")</f>
        <v>2</v>
      </c>
      <c r="E2696" s="11" t="str">
        <f aca="false">TRIM('수출입 실적(품목별)'!B2700)</f>
        <v>97</v>
      </c>
      <c r="F2696" s="11" t="str">
        <f aca="false">TRIM('수출입 실적(품목별)'!C2700)</f>
        <v>예술품ㆍ수집품ㆍ골동품</v>
      </c>
      <c r="G2696" s="18" t="n">
        <f aca="false">IFERROR(VALUE(SUBSTITUTE(TRIM('수출입 실적(품목별)'!D2700),",","")),"")</f>
        <v>7.7</v>
      </c>
      <c r="H2696" s="19" t="n">
        <f aca="false">IFERROR(VALUE(SUBSTITUTE(TRIM('수출입 실적(품목별)'!E2700),",","")),"")</f>
        <v>13734</v>
      </c>
      <c r="I2696" s="18" t="n">
        <f aca="false">IFERROR(VALUE(SUBSTITUTE(TRIM('수출입 실적(품목별)'!F2700),",","")),"")</f>
        <v>44.8</v>
      </c>
      <c r="J2696" s="19" t="n">
        <f aca="false">IFERROR(VALUE(SUBSTITUTE(TRIM('수출입 실적(품목별)'!G2700),",","")),"")</f>
        <v>24153</v>
      </c>
      <c r="K2696" s="19" t="n">
        <f aca="false">IFERROR(VALUE(SUBSTITUTE(TRIM('수출입 실적(품목별)'!H2700),",","")),"")</f>
        <v>-10419</v>
      </c>
    </row>
    <row r="2697" customFormat="false" ht="15" hidden="false" customHeight="true" outlineLevel="0" collapsed="false">
      <c r="A2697" s="11" t="str">
        <f aca="false">TRIM('수출입 실적(품목별)'!A2701)</f>
        <v>2026.05</v>
      </c>
      <c r="B2697" s="17" t="n">
        <f aca="false">IFERROR(VALUE(LEFT($A2697,4)),"")</f>
        <v>2026</v>
      </c>
      <c r="C2697" s="17" t="n">
        <f aca="false">IFERROR(VALUE(RIGHT($A2697,2)),"")</f>
        <v>5</v>
      </c>
      <c r="D2697" s="17" t="n">
        <f aca="false">IFERROR(ROUNDUP($C2697/3,0),"")</f>
        <v>2</v>
      </c>
      <c r="E2697" s="11" t="str">
        <f aca="false">TRIM('수출입 실적(품목별)'!B2701)</f>
        <v>01</v>
      </c>
      <c r="F2697" s="11" t="str">
        <f aca="false">TRIM('수출입 실적(품목별)'!C2701)</f>
        <v>살아 있는 동물</v>
      </c>
      <c r="G2697" s="18" t="n">
        <f aca="false">IFERROR(VALUE(SUBSTITUTE(TRIM('수출입 실적(품목별)'!D2701),",","")),"")</f>
        <v>5.2</v>
      </c>
      <c r="H2697" s="19" t="n">
        <f aca="false">IFERROR(VALUE(SUBSTITUTE(TRIM('수출입 실적(품목별)'!E2701),",","")),"")</f>
        <v>816</v>
      </c>
      <c r="I2697" s="18" t="n">
        <f aca="false">IFERROR(VALUE(SUBSTITUTE(TRIM('수출입 실적(품목별)'!F2701),",","")),"")</f>
        <v>92.1</v>
      </c>
      <c r="J2697" s="19" t="n">
        <f aca="false">IFERROR(VALUE(SUBSTITUTE(TRIM('수출입 실적(품목별)'!G2701),",","")),"")</f>
        <v>4476</v>
      </c>
      <c r="K2697" s="19" t="n">
        <f aca="false">IFERROR(VALUE(SUBSTITUTE(TRIM('수출입 실적(품목별)'!H2701),",","")),"")</f>
        <v>-3660</v>
      </c>
    </row>
    <row r="2698" customFormat="false" ht="15" hidden="false" customHeight="true" outlineLevel="0" collapsed="false">
      <c r="A2698" s="11" t="str">
        <f aca="false">TRIM('수출입 실적(품목별)'!A2702)</f>
        <v>2026.05</v>
      </c>
      <c r="B2698" s="17" t="n">
        <f aca="false">IFERROR(VALUE(LEFT($A2698,4)),"")</f>
        <v>2026</v>
      </c>
      <c r="C2698" s="17" t="n">
        <f aca="false">IFERROR(VALUE(RIGHT($A2698,2)),"")</f>
        <v>5</v>
      </c>
      <c r="D2698" s="17" t="n">
        <f aca="false">IFERROR(ROUNDUP($C2698/3,0),"")</f>
        <v>2</v>
      </c>
      <c r="E2698" s="11" t="str">
        <f aca="false">TRIM('수출입 실적(품목별)'!B2702)</f>
        <v>02</v>
      </c>
      <c r="F2698" s="11" t="str">
        <f aca="false">TRIM('수출입 실적(품목별)'!C2702)</f>
        <v>육과 식용 설육(屑肉)</v>
      </c>
      <c r="G2698" s="18" t="n">
        <f aca="false">IFERROR(VALUE(SUBSTITUTE(TRIM('수출입 실적(품목별)'!D2702),",","")),"")</f>
        <v>2862.8</v>
      </c>
      <c r="H2698" s="19" t="n">
        <f aca="false">IFERROR(VALUE(SUBSTITUTE(TRIM('수출입 실적(품목별)'!E2702),",","")),"")</f>
        <v>4836</v>
      </c>
      <c r="I2698" s="18" t="n">
        <f aca="false">IFERROR(VALUE(SUBSTITUTE(TRIM('수출입 실적(품목별)'!F2702),",","")),"")</f>
        <v>116129.3</v>
      </c>
      <c r="J2698" s="19" t="n">
        <f aca="false">IFERROR(VALUE(SUBSTITUTE(TRIM('수출입 실적(품목별)'!G2702),",","")),"")</f>
        <v>630354</v>
      </c>
      <c r="K2698" s="19" t="n">
        <f aca="false">IFERROR(VALUE(SUBSTITUTE(TRIM('수출입 실적(품목별)'!H2702),",","")),"")</f>
        <v>-625518</v>
      </c>
    </row>
    <row r="2699" customFormat="false" ht="15" hidden="false" customHeight="true" outlineLevel="0" collapsed="false">
      <c r="A2699" s="11" t="str">
        <f aca="false">TRIM('수출입 실적(품목별)'!A2703)</f>
        <v>2026.05</v>
      </c>
      <c r="B2699" s="17" t="n">
        <f aca="false">IFERROR(VALUE(LEFT($A2699,4)),"")</f>
        <v>2026</v>
      </c>
      <c r="C2699" s="17" t="n">
        <f aca="false">IFERROR(VALUE(RIGHT($A2699,2)),"")</f>
        <v>5</v>
      </c>
      <c r="D2699" s="17" t="n">
        <f aca="false">IFERROR(ROUNDUP($C2699/3,0),"")</f>
        <v>2</v>
      </c>
      <c r="E2699" s="11" t="str">
        <f aca="false">TRIM('수출입 실적(품목별)'!B2703)</f>
        <v>03</v>
      </c>
      <c r="F2699" s="11" t="str">
        <f aca="false">TRIM('수출입 실적(품목별)'!C2703)</f>
        <v>어류ㆍ갑각류ㆍ연체동물과 그 밖의 수생(水生) 무척추동물</v>
      </c>
      <c r="G2699" s="18" t="n">
        <f aca="false">IFERROR(VALUE(SUBSTITUTE(TRIM('수출입 실적(품목별)'!D2703),",","")),"")</f>
        <v>58930</v>
      </c>
      <c r="H2699" s="19" t="n">
        <f aca="false">IFERROR(VALUE(SUBSTITUTE(TRIM('수출입 실적(품목별)'!E2703),",","")),"")</f>
        <v>200487</v>
      </c>
      <c r="I2699" s="18" t="n">
        <f aca="false">IFERROR(VALUE(SUBSTITUTE(TRIM('수출입 실적(품목별)'!F2703),",","")),"")</f>
        <v>102360</v>
      </c>
      <c r="J2699" s="19" t="n">
        <f aca="false">IFERROR(VALUE(SUBSTITUTE(TRIM('수출입 실적(품목별)'!G2703),",","")),"")</f>
        <v>430053</v>
      </c>
      <c r="K2699" s="19" t="n">
        <f aca="false">IFERROR(VALUE(SUBSTITUTE(TRIM('수출입 실적(품목별)'!H2703),",","")),"")</f>
        <v>-229566</v>
      </c>
    </row>
    <row r="2700" customFormat="false" ht="15" hidden="false" customHeight="true" outlineLevel="0" collapsed="false">
      <c r="A2700" s="11" t="str">
        <f aca="false">TRIM('수출입 실적(품목별)'!A2704)</f>
        <v>2026.05</v>
      </c>
      <c r="B2700" s="17" t="n">
        <f aca="false">IFERROR(VALUE(LEFT($A2700,4)),"")</f>
        <v>2026</v>
      </c>
      <c r="C2700" s="17" t="n">
        <f aca="false">IFERROR(VALUE(RIGHT($A2700,2)),"")</f>
        <v>5</v>
      </c>
      <c r="D2700" s="17" t="n">
        <f aca="false">IFERROR(ROUNDUP($C2700/3,0),"")</f>
        <v>2</v>
      </c>
      <c r="E2700" s="11" t="str">
        <f aca="false">TRIM('수출입 실적(품목별)'!B2704)</f>
        <v>04</v>
      </c>
      <c r="F2700" s="11" t="str">
        <f aca="false">TRIM('수출입 실적(품목별)'!C2704)</f>
        <v>낙농품, 새의 알, 천연꿀, 다른 류로 분류되지 않은 식용인 동물성 생산품</v>
      </c>
      <c r="G2700" s="18" t="n">
        <f aca="false">IFERROR(VALUE(SUBSTITUTE(TRIM('수출입 실적(품목별)'!D2704),",","")),"")</f>
        <v>2065.1</v>
      </c>
      <c r="H2700" s="19" t="n">
        <f aca="false">IFERROR(VALUE(SUBSTITUTE(TRIM('수출입 실적(품목별)'!E2704),",","")),"")</f>
        <v>5541</v>
      </c>
      <c r="I2700" s="18" t="n">
        <f aca="false">IFERROR(VALUE(SUBSTITUTE(TRIM('수출입 실적(품목별)'!F2704),",","")),"")</f>
        <v>34711.5</v>
      </c>
      <c r="J2700" s="19" t="n">
        <f aca="false">IFERROR(VALUE(SUBSTITUTE(TRIM('수출입 실적(품목별)'!G2704),",","")),"")</f>
        <v>133278</v>
      </c>
      <c r="K2700" s="19" t="n">
        <f aca="false">IFERROR(VALUE(SUBSTITUTE(TRIM('수출입 실적(품목별)'!H2704),",","")),"")</f>
        <v>-127738</v>
      </c>
    </row>
    <row r="2701" customFormat="false" ht="15" hidden="false" customHeight="true" outlineLevel="0" collapsed="false">
      <c r="A2701" s="11" t="str">
        <f aca="false">TRIM('수출입 실적(품목별)'!A2705)</f>
        <v>2026.05</v>
      </c>
      <c r="B2701" s="17" t="n">
        <f aca="false">IFERROR(VALUE(LEFT($A2701,4)),"")</f>
        <v>2026</v>
      </c>
      <c r="C2701" s="17" t="n">
        <f aca="false">IFERROR(VALUE(RIGHT($A2701,2)),"")</f>
        <v>5</v>
      </c>
      <c r="D2701" s="17" t="n">
        <f aca="false">IFERROR(ROUNDUP($C2701/3,0),"")</f>
        <v>2</v>
      </c>
      <c r="E2701" s="11" t="str">
        <f aca="false">TRIM('수출입 실적(품목별)'!B2705)</f>
        <v>05</v>
      </c>
      <c r="F2701" s="11" t="str">
        <f aca="false">TRIM('수출입 실적(품목별)'!C2705)</f>
        <v>다른 류로 분류되지 않은 동물성 생산품</v>
      </c>
      <c r="G2701" s="18" t="n">
        <f aca="false">IFERROR(VALUE(SUBSTITUTE(TRIM('수출입 실적(품목별)'!D2705),",","")),"")</f>
        <v>2034.3</v>
      </c>
      <c r="H2701" s="19" t="n">
        <f aca="false">IFERROR(VALUE(SUBSTITUTE(TRIM('수출입 실적(품목별)'!E2705),",","")),"")</f>
        <v>9110</v>
      </c>
      <c r="I2701" s="18" t="n">
        <f aca="false">IFERROR(VALUE(SUBSTITUTE(TRIM('수출입 실적(품목별)'!F2705),",","")),"")</f>
        <v>3698</v>
      </c>
      <c r="J2701" s="19" t="n">
        <f aca="false">IFERROR(VALUE(SUBSTITUTE(TRIM('수출입 실적(품목별)'!G2705),",","")),"")</f>
        <v>15553</v>
      </c>
      <c r="K2701" s="19" t="n">
        <f aca="false">IFERROR(VALUE(SUBSTITUTE(TRIM('수출입 실적(품목별)'!H2705),",","")),"")</f>
        <v>-6442</v>
      </c>
    </row>
    <row r="2702" customFormat="false" ht="15" hidden="false" customHeight="true" outlineLevel="0" collapsed="false">
      <c r="A2702" s="11" t="str">
        <f aca="false">TRIM('수출입 실적(품목별)'!A2706)</f>
        <v>2026.05</v>
      </c>
      <c r="B2702" s="17" t="n">
        <f aca="false">IFERROR(VALUE(LEFT($A2702,4)),"")</f>
        <v>2026</v>
      </c>
      <c r="C2702" s="17" t="n">
        <f aca="false">IFERROR(VALUE(RIGHT($A2702,2)),"")</f>
        <v>5</v>
      </c>
      <c r="D2702" s="17" t="n">
        <f aca="false">IFERROR(ROUNDUP($C2702/3,0),"")</f>
        <v>2</v>
      </c>
      <c r="E2702" s="11" t="str">
        <f aca="false">TRIM('수출입 실적(품목별)'!B2706)</f>
        <v>06</v>
      </c>
      <c r="F2702" s="11" t="str">
        <f aca="false">TRIM('수출입 실적(품목별)'!C2706)</f>
        <v>살아 있는 수목과 그 밖의 식물, 인경(鱗莖)ㆍ뿌리와 이와 유사한 물품, 절화(切花)와 장식용 잎</v>
      </c>
      <c r="G2702" s="18" t="n">
        <f aca="false">IFERROR(VALUE(SUBSTITUTE(TRIM('수출입 실적(품목별)'!D2706),",","")),"")</f>
        <v>67.3</v>
      </c>
      <c r="H2702" s="19" t="n">
        <f aca="false">IFERROR(VALUE(SUBSTITUTE(TRIM('수출입 실적(품목별)'!E2706),",","")),"")</f>
        <v>355</v>
      </c>
      <c r="I2702" s="18" t="n">
        <f aca="false">IFERROR(VALUE(SUBSTITUTE(TRIM('수출입 실적(품목별)'!F2706),",","")),"")</f>
        <v>6430.5</v>
      </c>
      <c r="J2702" s="19" t="n">
        <f aca="false">IFERROR(VALUE(SUBSTITUTE(TRIM('수출입 실적(품목별)'!G2706),",","")),"")</f>
        <v>12172</v>
      </c>
      <c r="K2702" s="19" t="n">
        <f aca="false">IFERROR(VALUE(SUBSTITUTE(TRIM('수출입 실적(품목별)'!H2706),",","")),"")</f>
        <v>-11817</v>
      </c>
    </row>
    <row r="2703" customFormat="false" ht="15" hidden="false" customHeight="true" outlineLevel="0" collapsed="false">
      <c r="A2703" s="11" t="str">
        <f aca="false">TRIM('수출입 실적(품목별)'!A2707)</f>
        <v>2026.05</v>
      </c>
      <c r="B2703" s="17" t="n">
        <f aca="false">IFERROR(VALUE(LEFT($A2703,4)),"")</f>
        <v>2026</v>
      </c>
      <c r="C2703" s="17" t="n">
        <f aca="false">IFERROR(VALUE(RIGHT($A2703,2)),"")</f>
        <v>5</v>
      </c>
      <c r="D2703" s="17" t="n">
        <f aca="false">IFERROR(ROUNDUP($C2703/3,0),"")</f>
        <v>2</v>
      </c>
      <c r="E2703" s="11" t="str">
        <f aca="false">TRIM('수출입 실적(품목별)'!B2707)</f>
        <v>07</v>
      </c>
      <c r="F2703" s="11" t="str">
        <f aca="false">TRIM('수출입 실적(품목별)'!C2707)</f>
        <v>식용의 채소ㆍ뿌리ㆍ괴경(塊莖)</v>
      </c>
      <c r="G2703" s="18" t="n">
        <f aca="false">IFERROR(VALUE(SUBSTITUTE(TRIM('수출입 실적(품목별)'!D2707),",","")),"")</f>
        <v>4773.9</v>
      </c>
      <c r="H2703" s="19" t="n">
        <f aca="false">IFERROR(VALUE(SUBSTITUTE(TRIM('수출입 실적(품목별)'!E2707),",","")),"")</f>
        <v>9549</v>
      </c>
      <c r="I2703" s="18" t="n">
        <f aca="false">IFERROR(VALUE(SUBSTITUTE(TRIM('수출입 실적(품목별)'!F2707),",","")),"")</f>
        <v>60791.5</v>
      </c>
      <c r="J2703" s="19" t="n">
        <f aca="false">IFERROR(VALUE(SUBSTITUTE(TRIM('수출입 실적(품목별)'!G2707),",","")),"")</f>
        <v>52018</v>
      </c>
      <c r="K2703" s="19" t="n">
        <f aca="false">IFERROR(VALUE(SUBSTITUTE(TRIM('수출입 실적(품목별)'!H2707),",","")),"")</f>
        <v>-42469</v>
      </c>
    </row>
    <row r="2704" customFormat="false" ht="15" hidden="false" customHeight="true" outlineLevel="0" collapsed="false">
      <c r="A2704" s="11" t="str">
        <f aca="false">TRIM('수출입 실적(품목별)'!A2708)</f>
        <v>2026.05</v>
      </c>
      <c r="B2704" s="17" t="n">
        <f aca="false">IFERROR(VALUE(LEFT($A2704,4)),"")</f>
        <v>2026</v>
      </c>
      <c r="C2704" s="17" t="n">
        <f aca="false">IFERROR(VALUE(RIGHT($A2704,2)),"")</f>
        <v>5</v>
      </c>
      <c r="D2704" s="17" t="n">
        <f aca="false">IFERROR(ROUNDUP($C2704/3,0),"")</f>
        <v>2</v>
      </c>
      <c r="E2704" s="11" t="str">
        <f aca="false">TRIM('수출입 실적(품목별)'!B2708)</f>
        <v>08</v>
      </c>
      <c r="F2704" s="11" t="str">
        <f aca="false">TRIM('수출입 실적(품목별)'!C2708)</f>
        <v>식용의 과실과 견과류, 감귤류ㆍ멜론의 껍질</v>
      </c>
      <c r="G2704" s="18" t="n">
        <f aca="false">IFERROR(VALUE(SUBSTITUTE(TRIM('수출입 실적(품목별)'!D2708),",","")),"")</f>
        <v>780.4</v>
      </c>
      <c r="H2704" s="19" t="n">
        <f aca="false">IFERROR(VALUE(SUBSTITUTE(TRIM('수출입 실적(품목별)'!E2708),",","")),"")</f>
        <v>5460</v>
      </c>
      <c r="I2704" s="18" t="n">
        <f aca="false">IFERROR(VALUE(SUBSTITUTE(TRIM('수출입 실적(품목별)'!F2708),",","")),"")</f>
        <v>74678.5</v>
      </c>
      <c r="J2704" s="19" t="n">
        <f aca="false">IFERROR(VALUE(SUBSTITUTE(TRIM('수출입 실적(품목별)'!G2708),",","")),"")</f>
        <v>180524</v>
      </c>
      <c r="K2704" s="19" t="n">
        <f aca="false">IFERROR(VALUE(SUBSTITUTE(TRIM('수출입 실적(품목별)'!H2708),",","")),"")</f>
        <v>-175064</v>
      </c>
    </row>
    <row r="2705" customFormat="false" ht="15" hidden="false" customHeight="true" outlineLevel="0" collapsed="false">
      <c r="A2705" s="11" t="str">
        <f aca="false">TRIM('수출입 실적(품목별)'!A2709)</f>
        <v>2026.05</v>
      </c>
      <c r="B2705" s="17" t="n">
        <f aca="false">IFERROR(VALUE(LEFT($A2705,4)),"")</f>
        <v>2026</v>
      </c>
      <c r="C2705" s="17" t="n">
        <f aca="false">IFERROR(VALUE(RIGHT($A2705,2)),"")</f>
        <v>5</v>
      </c>
      <c r="D2705" s="17" t="n">
        <f aca="false">IFERROR(ROUNDUP($C2705/3,0),"")</f>
        <v>2</v>
      </c>
      <c r="E2705" s="11" t="str">
        <f aca="false">TRIM('수출입 실적(품목별)'!B2709)</f>
        <v>09</v>
      </c>
      <c r="F2705" s="11" t="str">
        <f aca="false">TRIM('수출입 실적(품목별)'!C2709)</f>
        <v>커피ㆍ차ㆍ마테(maté)ㆍ향신료</v>
      </c>
      <c r="G2705" s="18" t="n">
        <f aca="false">IFERROR(VALUE(SUBSTITUTE(TRIM('수출입 실적(품목별)'!D2709),",","")),"")</f>
        <v>383.9</v>
      </c>
      <c r="H2705" s="19" t="n">
        <f aca="false">IFERROR(VALUE(SUBSTITUTE(TRIM('수출입 실적(품목별)'!E2709),",","")),"")</f>
        <v>2820</v>
      </c>
      <c r="I2705" s="18" t="n">
        <f aca="false">IFERROR(VALUE(SUBSTITUTE(TRIM('수출입 실적(품목별)'!F2709),",","")),"")</f>
        <v>15981.7</v>
      </c>
      <c r="J2705" s="19" t="n">
        <f aca="false">IFERROR(VALUE(SUBSTITUTE(TRIM('수출입 실적(품목별)'!G2709),",","")),"")</f>
        <v>133838</v>
      </c>
      <c r="K2705" s="19" t="n">
        <f aca="false">IFERROR(VALUE(SUBSTITUTE(TRIM('수출입 실적(품목별)'!H2709),",","")),"")</f>
        <v>-131019</v>
      </c>
    </row>
    <row r="2706" customFormat="false" ht="15" hidden="false" customHeight="true" outlineLevel="0" collapsed="false">
      <c r="A2706" s="11" t="str">
        <f aca="false">TRIM('수출입 실적(품목별)'!A2710)</f>
        <v>2026.05</v>
      </c>
      <c r="B2706" s="17" t="n">
        <f aca="false">IFERROR(VALUE(LEFT($A2706,4)),"")</f>
        <v>2026</v>
      </c>
      <c r="C2706" s="17" t="n">
        <f aca="false">IFERROR(VALUE(RIGHT($A2706,2)),"")</f>
        <v>5</v>
      </c>
      <c r="D2706" s="17" t="n">
        <f aca="false">IFERROR(ROUNDUP($C2706/3,0),"")</f>
        <v>2</v>
      </c>
      <c r="E2706" s="11" t="str">
        <f aca="false">TRIM('수출입 실적(품목별)'!B2710)</f>
        <v>10</v>
      </c>
      <c r="F2706" s="11" t="str">
        <f aca="false">TRIM('수출입 실적(품목별)'!C2710)</f>
        <v>곡물</v>
      </c>
      <c r="G2706" s="18" t="n">
        <f aca="false">IFERROR(VALUE(SUBSTITUTE(TRIM('수출입 실적(품목별)'!D2710),",","")),"")</f>
        <v>49445.4</v>
      </c>
      <c r="H2706" s="19" t="n">
        <f aca="false">IFERROR(VALUE(SUBSTITUTE(TRIM('수출입 실적(품목별)'!E2710),",","")),"")</f>
        <v>17308</v>
      </c>
      <c r="I2706" s="18" t="n">
        <f aca="false">IFERROR(VALUE(SUBSTITUTE(TRIM('수출입 실적(품목별)'!F2710),",","")),"")</f>
        <v>1323281.7</v>
      </c>
      <c r="J2706" s="19" t="n">
        <f aca="false">IFERROR(VALUE(SUBSTITUTE(TRIM('수출입 실적(품목별)'!G2710),",","")),"")</f>
        <v>362838</v>
      </c>
      <c r="K2706" s="19" t="n">
        <f aca="false">IFERROR(VALUE(SUBSTITUTE(TRIM('수출입 실적(품목별)'!H2710),",","")),"")</f>
        <v>-345529</v>
      </c>
    </row>
    <row r="2707" customFormat="false" ht="15" hidden="false" customHeight="true" outlineLevel="0" collapsed="false">
      <c r="A2707" s="11" t="str">
        <f aca="false">TRIM('수출입 실적(품목별)'!A2711)</f>
        <v>2026.05</v>
      </c>
      <c r="B2707" s="17" t="n">
        <f aca="false">IFERROR(VALUE(LEFT($A2707,4)),"")</f>
        <v>2026</v>
      </c>
      <c r="C2707" s="17" t="n">
        <f aca="false">IFERROR(VALUE(RIGHT($A2707,2)),"")</f>
        <v>5</v>
      </c>
      <c r="D2707" s="17" t="n">
        <f aca="false">IFERROR(ROUNDUP($C2707/3,0),"")</f>
        <v>2</v>
      </c>
      <c r="E2707" s="11" t="str">
        <f aca="false">TRIM('수출입 실적(품목별)'!B2711)</f>
        <v>11</v>
      </c>
      <c r="F2707" s="11" t="str">
        <f aca="false">TRIM('수출입 실적(품목별)'!C2711)</f>
        <v>제분공업의 생산품과 맥아, 전분, 이눌린(inulin), 밀의 글루텐(gluten)</v>
      </c>
      <c r="G2707" s="18" t="n">
        <f aca="false">IFERROR(VALUE(SUBSTITUTE(TRIM('수출입 실적(품목별)'!D2711),",","")),"")</f>
        <v>5637.7</v>
      </c>
      <c r="H2707" s="19" t="n">
        <f aca="false">IFERROR(VALUE(SUBSTITUTE(TRIM('수출입 실적(품목별)'!E2711),",","")),"")</f>
        <v>3756</v>
      </c>
      <c r="I2707" s="18" t="n">
        <f aca="false">IFERROR(VALUE(SUBSTITUTE(TRIM('수출입 실적(품목별)'!F2711),",","")),"")</f>
        <v>27171.2</v>
      </c>
      <c r="J2707" s="19" t="n">
        <f aca="false">IFERROR(VALUE(SUBSTITUTE(TRIM('수출입 실적(품목별)'!G2711),",","")),"")</f>
        <v>22176</v>
      </c>
      <c r="K2707" s="19" t="n">
        <f aca="false">IFERROR(VALUE(SUBSTITUTE(TRIM('수출입 실적(품목별)'!H2711),",","")),"")</f>
        <v>-18420</v>
      </c>
    </row>
    <row r="2708" customFormat="false" ht="15" hidden="false" customHeight="true" outlineLevel="0" collapsed="false">
      <c r="A2708" s="11" t="str">
        <f aca="false">TRIM('수출입 실적(품목별)'!A2712)</f>
        <v>2026.05</v>
      </c>
      <c r="B2708" s="17" t="n">
        <f aca="false">IFERROR(VALUE(LEFT($A2708,4)),"")</f>
        <v>2026</v>
      </c>
      <c r="C2708" s="17" t="n">
        <f aca="false">IFERROR(VALUE(RIGHT($A2708,2)),"")</f>
        <v>5</v>
      </c>
      <c r="D2708" s="17" t="n">
        <f aca="false">IFERROR(ROUNDUP($C2708/3,0),"")</f>
        <v>2</v>
      </c>
      <c r="E2708" s="11" t="str">
        <f aca="false">TRIM('수출입 실적(품목별)'!B2712)</f>
        <v>12</v>
      </c>
      <c r="F2708" s="11" t="str">
        <f aca="false">TRIM('수출입 실적(품목별)'!C2712)</f>
        <v>채유(採油)에 적합한 종자와 과실, 각종 종자와 과실, 공업용ㆍ의약용 식물, 짚과 사료용 식물</v>
      </c>
      <c r="G2708" s="18" t="n">
        <f aca="false">IFERROR(VALUE(SUBSTITUTE(TRIM('수출입 실적(품목별)'!D2712),",","")),"")</f>
        <v>2340.3</v>
      </c>
      <c r="H2708" s="19" t="n">
        <f aca="false">IFERROR(VALUE(SUBSTITUTE(TRIM('수출입 실적(품목별)'!E2712),",","")),"")</f>
        <v>45299</v>
      </c>
      <c r="I2708" s="18" t="n">
        <f aca="false">IFERROR(VALUE(SUBSTITUTE(TRIM('수출입 실적(품목별)'!F2712),",","")),"")</f>
        <v>281347.6</v>
      </c>
      <c r="J2708" s="19" t="n">
        <f aca="false">IFERROR(VALUE(SUBSTITUTE(TRIM('수출입 실적(품목별)'!G2712),",","")),"")</f>
        <v>145213</v>
      </c>
      <c r="K2708" s="19" t="n">
        <f aca="false">IFERROR(VALUE(SUBSTITUTE(TRIM('수출입 실적(품목별)'!H2712),",","")),"")</f>
        <v>-99914</v>
      </c>
    </row>
    <row r="2709" customFormat="false" ht="15" hidden="false" customHeight="true" outlineLevel="0" collapsed="false">
      <c r="A2709" s="11" t="str">
        <f aca="false">TRIM('수출입 실적(품목별)'!A2713)</f>
        <v>2026.05</v>
      </c>
      <c r="B2709" s="17" t="n">
        <f aca="false">IFERROR(VALUE(LEFT($A2709,4)),"")</f>
        <v>2026</v>
      </c>
      <c r="C2709" s="17" t="n">
        <f aca="false">IFERROR(VALUE(RIGHT($A2709,2)),"")</f>
        <v>5</v>
      </c>
      <c r="D2709" s="17" t="n">
        <f aca="false">IFERROR(ROUNDUP($C2709/3,0),"")</f>
        <v>2</v>
      </c>
      <c r="E2709" s="11" t="str">
        <f aca="false">TRIM('수출입 실적(품목별)'!B2713)</f>
        <v>13</v>
      </c>
      <c r="F2709" s="11" t="str">
        <f aca="false">TRIM('수출입 실적(품목별)'!C2713)</f>
        <v>락(lac), 검ㆍ수지ㆍ그 밖의 식물성 수액과 추출물(extract)</v>
      </c>
      <c r="G2709" s="18" t="n">
        <f aca="false">IFERROR(VALUE(SUBSTITUTE(TRIM('수출입 실적(품목별)'!D2713),",","")),"")</f>
        <v>352.6</v>
      </c>
      <c r="H2709" s="19" t="n">
        <f aca="false">IFERROR(VALUE(SUBSTITUTE(TRIM('수출입 실적(품목별)'!E2713),",","")),"")</f>
        <v>8815</v>
      </c>
      <c r="I2709" s="18" t="n">
        <f aca="false">IFERROR(VALUE(SUBSTITUTE(TRIM('수출입 실적(품목별)'!F2713),",","")),"")</f>
        <v>8453.6</v>
      </c>
      <c r="J2709" s="19" t="n">
        <f aca="false">IFERROR(VALUE(SUBSTITUTE(TRIM('수출입 실적(품목별)'!G2713),",","")),"")</f>
        <v>32280</v>
      </c>
      <c r="K2709" s="19" t="n">
        <f aca="false">IFERROR(VALUE(SUBSTITUTE(TRIM('수출입 실적(품목별)'!H2713),",","")),"")</f>
        <v>-23465</v>
      </c>
    </row>
    <row r="2710" customFormat="false" ht="15" hidden="false" customHeight="true" outlineLevel="0" collapsed="false">
      <c r="A2710" s="11" t="str">
        <f aca="false">TRIM('수출입 실적(품목별)'!A2714)</f>
        <v>2026.05</v>
      </c>
      <c r="B2710" s="17" t="n">
        <f aca="false">IFERROR(VALUE(LEFT($A2710,4)),"")</f>
        <v>2026</v>
      </c>
      <c r="C2710" s="17" t="n">
        <f aca="false">IFERROR(VALUE(RIGHT($A2710,2)),"")</f>
        <v>5</v>
      </c>
      <c r="D2710" s="17" t="n">
        <f aca="false">IFERROR(ROUNDUP($C2710/3,0),"")</f>
        <v>2</v>
      </c>
      <c r="E2710" s="11" t="str">
        <f aca="false">TRIM('수출입 실적(품목별)'!B2714)</f>
        <v>14</v>
      </c>
      <c r="F2710" s="11" t="str">
        <f aca="false">TRIM('수출입 실적(품목별)'!C2714)</f>
        <v>식물성 편조물(編組物)용 재료와 다른 류로 분류되지 않은 식물성 생산품</v>
      </c>
      <c r="G2710" s="18" t="n">
        <f aca="false">IFERROR(VALUE(SUBSTITUTE(TRIM('수출입 실적(품목별)'!D2714),",","")),"")</f>
        <v>10.1</v>
      </c>
      <c r="H2710" s="19" t="n">
        <f aca="false">IFERROR(VALUE(SUBSTITUTE(TRIM('수출입 실적(품목별)'!E2714),",","")),"")</f>
        <v>21</v>
      </c>
      <c r="I2710" s="18" t="n">
        <f aca="false">IFERROR(VALUE(SUBSTITUTE(TRIM('수출입 실적(품목별)'!F2714),",","")),"")</f>
        <v>15856.8</v>
      </c>
      <c r="J2710" s="19" t="n">
        <f aca="false">IFERROR(VALUE(SUBSTITUTE(TRIM('수출입 실적(품목별)'!G2714),",","")),"")</f>
        <v>5865</v>
      </c>
      <c r="K2710" s="19" t="n">
        <f aca="false">IFERROR(VALUE(SUBSTITUTE(TRIM('수출입 실적(품목별)'!H2714),",","")),"")</f>
        <v>-5844</v>
      </c>
    </row>
    <row r="2711" customFormat="false" ht="15" hidden="false" customHeight="true" outlineLevel="0" collapsed="false">
      <c r="A2711" s="11" t="str">
        <f aca="false">TRIM('수출입 실적(품목별)'!A2715)</f>
        <v>2026.05</v>
      </c>
      <c r="B2711" s="17" t="n">
        <f aca="false">IFERROR(VALUE(LEFT($A2711,4)),"")</f>
        <v>2026</v>
      </c>
      <c r="C2711" s="17" t="n">
        <f aca="false">IFERROR(VALUE(RIGHT($A2711,2)),"")</f>
        <v>5</v>
      </c>
      <c r="D2711" s="17" t="n">
        <f aca="false">IFERROR(ROUNDUP($C2711/3,0),"")</f>
        <v>2</v>
      </c>
      <c r="E2711" s="11" t="str">
        <f aca="false">TRIM('수출입 실적(품목별)'!B2715)</f>
        <v>15</v>
      </c>
      <c r="F2711" s="11" t="str">
        <f aca="false">TRIM('수출입 실적(품목별)'!C2715)</f>
        <v>동물성ㆍ식물성ㆍ미생물성 지방과 기름 및이들의 분해생산물, 조제한 식용 지방과 동물성ㆍ식물성 왁스</v>
      </c>
      <c r="G2711" s="18" t="n">
        <f aca="false">IFERROR(VALUE(SUBSTITUTE(TRIM('수출입 실적(품목별)'!D2715),",","")),"")</f>
        <v>41510.1</v>
      </c>
      <c r="H2711" s="19" t="n">
        <f aca="false">IFERROR(VALUE(SUBSTITUTE(TRIM('수출입 실적(품목별)'!E2715),",","")),"")</f>
        <v>47886</v>
      </c>
      <c r="I2711" s="18" t="n">
        <f aca="false">IFERROR(VALUE(SUBSTITUTE(TRIM('수출입 실적(품목별)'!F2715),",","")),"")</f>
        <v>145994.8</v>
      </c>
      <c r="J2711" s="19" t="n">
        <f aca="false">IFERROR(VALUE(SUBSTITUTE(TRIM('수출입 실적(품목별)'!G2715),",","")),"")</f>
        <v>221312</v>
      </c>
      <c r="K2711" s="19" t="n">
        <f aca="false">IFERROR(VALUE(SUBSTITUTE(TRIM('수출입 실적(품목별)'!H2715),",","")),"")</f>
        <v>-173426</v>
      </c>
    </row>
    <row r="2712" customFormat="false" ht="15" hidden="false" customHeight="true" outlineLevel="0" collapsed="false">
      <c r="A2712" s="11" t="str">
        <f aca="false">TRIM('수출입 실적(품목별)'!A2716)</f>
        <v>2026.05</v>
      </c>
      <c r="B2712" s="17" t="n">
        <f aca="false">IFERROR(VALUE(LEFT($A2712,4)),"")</f>
        <v>2026</v>
      </c>
      <c r="C2712" s="17" t="n">
        <f aca="false">IFERROR(VALUE(RIGHT($A2712,2)),"")</f>
        <v>5</v>
      </c>
      <c r="D2712" s="17" t="n">
        <f aca="false">IFERROR(ROUNDUP($C2712/3,0),"")</f>
        <v>2</v>
      </c>
      <c r="E2712" s="11" t="str">
        <f aca="false">TRIM('수출입 실적(품목별)'!B2716)</f>
        <v>16</v>
      </c>
      <c r="F2712" s="11" t="str">
        <f aca="false">TRIM('수출입 실적(품목별)'!C2716)</f>
        <v>육류ㆍ어류ㆍ갑각류ㆍ연체동물이나 그 밖의 수생(水生) 무척추동물 또는 곤충의 조제품</v>
      </c>
      <c r="G2712" s="18" t="n">
        <f aca="false">IFERROR(VALUE(SUBSTITUTE(TRIM('수출입 실적(품목별)'!D2716),",","")),"")</f>
        <v>4457.6</v>
      </c>
      <c r="H2712" s="19" t="n">
        <f aca="false">IFERROR(VALUE(SUBSTITUTE(TRIM('수출입 실적(품목별)'!E2716),",","")),"")</f>
        <v>31142</v>
      </c>
      <c r="I2712" s="18" t="n">
        <f aca="false">IFERROR(VALUE(SUBSTITUTE(TRIM('수출입 실적(품목별)'!F2716),",","")),"")</f>
        <v>14757.5</v>
      </c>
      <c r="J2712" s="19" t="n">
        <f aca="false">IFERROR(VALUE(SUBSTITUTE(TRIM('수출입 실적(품목별)'!G2716),",","")),"")</f>
        <v>78928</v>
      </c>
      <c r="K2712" s="19" t="n">
        <f aca="false">IFERROR(VALUE(SUBSTITUTE(TRIM('수출입 실적(품목별)'!H2716),",","")),"")</f>
        <v>-47785</v>
      </c>
    </row>
    <row r="2713" customFormat="false" ht="15" hidden="false" customHeight="true" outlineLevel="0" collapsed="false">
      <c r="A2713" s="11" t="str">
        <f aca="false">TRIM('수출입 실적(품목별)'!A2717)</f>
        <v>2026.05</v>
      </c>
      <c r="B2713" s="17" t="n">
        <f aca="false">IFERROR(VALUE(LEFT($A2713,4)),"")</f>
        <v>2026</v>
      </c>
      <c r="C2713" s="17" t="n">
        <f aca="false">IFERROR(VALUE(RIGHT($A2713,2)),"")</f>
        <v>5</v>
      </c>
      <c r="D2713" s="17" t="n">
        <f aca="false">IFERROR(ROUNDUP($C2713/3,0),"")</f>
        <v>2</v>
      </c>
      <c r="E2713" s="11" t="str">
        <f aca="false">TRIM('수출입 실적(품목별)'!B2717)</f>
        <v>17</v>
      </c>
      <c r="F2713" s="11" t="str">
        <f aca="false">TRIM('수출입 실적(품목별)'!C2717)</f>
        <v>당류(糖類)와 설탕과자</v>
      </c>
      <c r="G2713" s="18" t="n">
        <f aca="false">IFERROR(VALUE(SUBSTITUTE(TRIM('수출입 실적(품목별)'!D2717),",","")),"")</f>
        <v>24207.8</v>
      </c>
      <c r="H2713" s="19" t="n">
        <f aca="false">IFERROR(VALUE(SUBSTITUTE(TRIM('수출입 실적(품목별)'!E2717),",","")),"")</f>
        <v>21255</v>
      </c>
      <c r="I2713" s="18" t="n">
        <f aca="false">IFERROR(VALUE(SUBSTITUTE(TRIM('수출입 실적(품목별)'!F2717),",","")),"")</f>
        <v>173572.2</v>
      </c>
      <c r="J2713" s="19" t="n">
        <f aca="false">IFERROR(VALUE(SUBSTITUTE(TRIM('수출입 실적(품목별)'!G2717),",","")),"")</f>
        <v>94057</v>
      </c>
      <c r="K2713" s="19" t="n">
        <f aca="false">IFERROR(VALUE(SUBSTITUTE(TRIM('수출입 실적(품목별)'!H2717),",","")),"")</f>
        <v>-72802</v>
      </c>
    </row>
    <row r="2714" customFormat="false" ht="15" hidden="false" customHeight="true" outlineLevel="0" collapsed="false">
      <c r="A2714" s="11" t="str">
        <f aca="false">TRIM('수출입 실적(품목별)'!A2718)</f>
        <v>2026.05</v>
      </c>
      <c r="B2714" s="17" t="n">
        <f aca="false">IFERROR(VALUE(LEFT($A2714,4)),"")</f>
        <v>2026</v>
      </c>
      <c r="C2714" s="17" t="n">
        <f aca="false">IFERROR(VALUE(RIGHT($A2714,2)),"")</f>
        <v>5</v>
      </c>
      <c r="D2714" s="17" t="n">
        <f aca="false">IFERROR(ROUNDUP($C2714/3,0),"")</f>
        <v>2</v>
      </c>
      <c r="E2714" s="11" t="str">
        <f aca="false">TRIM('수출입 실적(품목별)'!B2718)</f>
        <v>18</v>
      </c>
      <c r="F2714" s="11" t="str">
        <f aca="false">TRIM('수출입 실적(품목별)'!C2718)</f>
        <v>코코아와 그 조제품</v>
      </c>
      <c r="G2714" s="18" t="n">
        <f aca="false">IFERROR(VALUE(SUBSTITUTE(TRIM('수출입 실적(품목별)'!D2718),",","")),"")</f>
        <v>1618.6</v>
      </c>
      <c r="H2714" s="19" t="n">
        <f aca="false">IFERROR(VALUE(SUBSTITUTE(TRIM('수출입 실적(품목별)'!E2718),",","")),"")</f>
        <v>6179</v>
      </c>
      <c r="I2714" s="18" t="n">
        <f aca="false">IFERROR(VALUE(SUBSTITUTE(TRIM('수출입 실적(품목별)'!F2718),",","")),"")</f>
        <v>5704.2</v>
      </c>
      <c r="J2714" s="19" t="n">
        <f aca="false">IFERROR(VALUE(SUBSTITUTE(TRIM('수출입 실적(품목별)'!G2718),",","")),"")</f>
        <v>45780</v>
      </c>
      <c r="K2714" s="19" t="n">
        <f aca="false">IFERROR(VALUE(SUBSTITUTE(TRIM('수출입 실적(품목별)'!H2718),",","")),"")</f>
        <v>-39601</v>
      </c>
    </row>
    <row r="2715" customFormat="false" ht="15" hidden="false" customHeight="true" outlineLevel="0" collapsed="false">
      <c r="A2715" s="11" t="str">
        <f aca="false">TRIM('수출입 실적(품목별)'!A2719)</f>
        <v>2026.05</v>
      </c>
      <c r="B2715" s="17" t="n">
        <f aca="false">IFERROR(VALUE(LEFT($A2715,4)),"")</f>
        <v>2026</v>
      </c>
      <c r="C2715" s="17" t="n">
        <f aca="false">IFERROR(VALUE(RIGHT($A2715,2)),"")</f>
        <v>5</v>
      </c>
      <c r="D2715" s="17" t="n">
        <f aca="false">IFERROR(ROUNDUP($C2715/3,0),"")</f>
        <v>2</v>
      </c>
      <c r="E2715" s="11" t="str">
        <f aca="false">TRIM('수출입 실적(품목별)'!B2719)</f>
        <v>19</v>
      </c>
      <c r="F2715" s="11" t="str">
        <f aca="false">TRIM('수출입 실적(품목별)'!C2719)</f>
        <v>곡물ㆍ고운 가루ㆍ전분ㆍ밀크의 조제품과 베이커리 제품</v>
      </c>
      <c r="G2715" s="18" t="n">
        <f aca="false">IFERROR(VALUE(SUBSTITUTE(TRIM('수출입 실적(품목별)'!D2719),",","")),"")</f>
        <v>60244.4</v>
      </c>
      <c r="H2715" s="19" t="n">
        <f aca="false">IFERROR(VALUE(SUBSTITUTE(TRIM('수출입 실적(품목별)'!E2719),",","")),"")</f>
        <v>253418</v>
      </c>
      <c r="I2715" s="18" t="n">
        <f aca="false">IFERROR(VALUE(SUBSTITUTE(TRIM('수출입 실적(품목별)'!F2719),",","")),"")</f>
        <v>28150.9</v>
      </c>
      <c r="J2715" s="19" t="n">
        <f aca="false">IFERROR(VALUE(SUBSTITUTE(TRIM('수출입 실적(품목별)'!G2719),",","")),"")</f>
        <v>88180</v>
      </c>
      <c r="K2715" s="19" t="n">
        <f aca="false">IFERROR(VALUE(SUBSTITUTE(TRIM('수출입 실적(품목별)'!H2719),",","")),"")</f>
        <v>165238</v>
      </c>
    </row>
    <row r="2716" customFormat="false" ht="15" hidden="false" customHeight="true" outlineLevel="0" collapsed="false">
      <c r="A2716" s="11" t="str">
        <f aca="false">TRIM('수출입 실적(품목별)'!A2720)</f>
        <v>2026.05</v>
      </c>
      <c r="B2716" s="17" t="n">
        <f aca="false">IFERROR(VALUE(LEFT($A2716,4)),"")</f>
        <v>2026</v>
      </c>
      <c r="C2716" s="17" t="n">
        <f aca="false">IFERROR(VALUE(RIGHT($A2716,2)),"")</f>
        <v>5</v>
      </c>
      <c r="D2716" s="17" t="n">
        <f aca="false">IFERROR(ROUNDUP($C2716/3,0),"")</f>
        <v>2</v>
      </c>
      <c r="E2716" s="11" t="str">
        <f aca="false">TRIM('수출입 실적(품목별)'!B2720)</f>
        <v>20</v>
      </c>
      <c r="F2716" s="11" t="str">
        <f aca="false">TRIM('수출입 실적(품목별)'!C2720)</f>
        <v>채소ㆍ과실ㆍ견과류나 식물의그 밖의 부분의 조제품</v>
      </c>
      <c r="G2716" s="18" t="n">
        <f aca="false">IFERROR(VALUE(SUBSTITUTE(TRIM('수출입 실적(품목별)'!D2720),",","")),"")</f>
        <v>8854.8</v>
      </c>
      <c r="H2716" s="19" t="n">
        <f aca="false">IFERROR(VALUE(SUBSTITUTE(TRIM('수출입 실적(품목별)'!E2720),",","")),"")</f>
        <v>77104</v>
      </c>
      <c r="I2716" s="18" t="n">
        <f aca="false">IFERROR(VALUE(SUBSTITUTE(TRIM('수출입 실적(품목별)'!F2720),",","")),"")</f>
        <v>94482.8</v>
      </c>
      <c r="J2716" s="19" t="n">
        <f aca="false">IFERROR(VALUE(SUBSTITUTE(TRIM('수출입 실적(품목별)'!G2720),",","")),"")</f>
        <v>133462</v>
      </c>
      <c r="K2716" s="19" t="n">
        <f aca="false">IFERROR(VALUE(SUBSTITUTE(TRIM('수출입 실적(품목별)'!H2720),",","")),"")</f>
        <v>-56358</v>
      </c>
    </row>
    <row r="2717" customFormat="false" ht="15" hidden="false" customHeight="true" outlineLevel="0" collapsed="false">
      <c r="A2717" s="11" t="str">
        <f aca="false">TRIM('수출입 실적(품목별)'!A2721)</f>
        <v>2026.05</v>
      </c>
      <c r="B2717" s="17" t="n">
        <f aca="false">IFERROR(VALUE(LEFT($A2717,4)),"")</f>
        <v>2026</v>
      </c>
      <c r="C2717" s="17" t="n">
        <f aca="false">IFERROR(VALUE(RIGHT($A2717,2)),"")</f>
        <v>5</v>
      </c>
      <c r="D2717" s="17" t="n">
        <f aca="false">IFERROR(ROUNDUP($C2717/3,0),"")</f>
        <v>2</v>
      </c>
      <c r="E2717" s="11" t="str">
        <f aca="false">TRIM('수출입 실적(품목별)'!B2721)</f>
        <v>21</v>
      </c>
      <c r="F2717" s="11" t="str">
        <f aca="false">TRIM('수출입 실적(품목별)'!C2721)</f>
        <v>각종 조제 식료품</v>
      </c>
      <c r="G2717" s="18" t="n">
        <f aca="false">IFERROR(VALUE(SUBSTITUTE(TRIM('수출입 실적(품목별)'!D2721),",","")),"")</f>
        <v>35100.3</v>
      </c>
      <c r="H2717" s="19" t="n">
        <f aca="false">IFERROR(VALUE(SUBSTITUTE(TRIM('수출입 실적(품목별)'!E2721),",","")),"")</f>
        <v>145011</v>
      </c>
      <c r="I2717" s="18" t="n">
        <f aca="false">IFERROR(VALUE(SUBSTITUTE(TRIM('수출입 실적(품목별)'!F2721),",","")),"")</f>
        <v>32541.6</v>
      </c>
      <c r="J2717" s="19" t="n">
        <f aca="false">IFERROR(VALUE(SUBSTITUTE(TRIM('수출입 실적(품목별)'!G2721),",","")),"")</f>
        <v>246196</v>
      </c>
      <c r="K2717" s="19" t="n">
        <f aca="false">IFERROR(VALUE(SUBSTITUTE(TRIM('수출입 실적(품목별)'!H2721),",","")),"")</f>
        <v>-101185</v>
      </c>
    </row>
    <row r="2718" customFormat="false" ht="15" hidden="false" customHeight="true" outlineLevel="0" collapsed="false">
      <c r="A2718" s="11" t="str">
        <f aca="false">TRIM('수출입 실적(품목별)'!A2722)</f>
        <v>2026.05</v>
      </c>
      <c r="B2718" s="17" t="n">
        <f aca="false">IFERROR(VALUE(LEFT($A2718,4)),"")</f>
        <v>2026</v>
      </c>
      <c r="C2718" s="17" t="n">
        <f aca="false">IFERROR(VALUE(RIGHT($A2718,2)),"")</f>
        <v>5</v>
      </c>
      <c r="D2718" s="17" t="n">
        <f aca="false">IFERROR(ROUNDUP($C2718/3,0),"")</f>
        <v>2</v>
      </c>
      <c r="E2718" s="11" t="str">
        <f aca="false">TRIM('수출입 실적(품목별)'!B2722)</f>
        <v>22</v>
      </c>
      <c r="F2718" s="11" t="str">
        <f aca="false">TRIM('수출입 실적(품목별)'!C2722)</f>
        <v>음료ㆍ주류ㆍ식초</v>
      </c>
      <c r="G2718" s="18" t="n">
        <f aca="false">IFERROR(VALUE(SUBSTITUTE(TRIM('수출입 실적(품목별)'!D2722),",","")),"")</f>
        <v>78330.2</v>
      </c>
      <c r="H2718" s="19" t="n">
        <f aca="false">IFERROR(VALUE(SUBSTITUTE(TRIM('수출입 실적(품목별)'!E2722),",","")),"")</f>
        <v>88123</v>
      </c>
      <c r="I2718" s="18" t="n">
        <f aca="false">IFERROR(VALUE(SUBSTITUTE(TRIM('수출입 실적(품목별)'!F2722),",","")),"")</f>
        <v>73200.6</v>
      </c>
      <c r="J2718" s="19" t="n">
        <f aca="false">IFERROR(VALUE(SUBSTITUTE(TRIM('수출입 실적(품목별)'!G2722),",","")),"")</f>
        <v>112353</v>
      </c>
      <c r="K2718" s="19" t="n">
        <f aca="false">IFERROR(VALUE(SUBSTITUTE(TRIM('수출입 실적(품목별)'!H2722),",","")),"")</f>
        <v>-24230</v>
      </c>
    </row>
    <row r="2719" customFormat="false" ht="15" hidden="false" customHeight="true" outlineLevel="0" collapsed="false">
      <c r="A2719" s="11" t="str">
        <f aca="false">TRIM('수출입 실적(품목별)'!A2723)</f>
        <v>2026.05</v>
      </c>
      <c r="B2719" s="17" t="n">
        <f aca="false">IFERROR(VALUE(LEFT($A2719,4)),"")</f>
        <v>2026</v>
      </c>
      <c r="C2719" s="17" t="n">
        <f aca="false">IFERROR(VALUE(RIGHT($A2719,2)),"")</f>
        <v>5</v>
      </c>
      <c r="D2719" s="17" t="n">
        <f aca="false">IFERROR(ROUNDUP($C2719/3,0),"")</f>
        <v>2</v>
      </c>
      <c r="E2719" s="11" t="str">
        <f aca="false">TRIM('수출입 실적(품목별)'!B2723)</f>
        <v>23</v>
      </c>
      <c r="F2719" s="11" t="str">
        <f aca="false">TRIM('수출입 실적(품목별)'!C2723)</f>
        <v>식품 공업에서 생기는 잔재물과 웨이스트(waste), 조제 사료</v>
      </c>
      <c r="G2719" s="18" t="n">
        <f aca="false">IFERROR(VALUE(SUBSTITUTE(TRIM('수출입 실적(품목별)'!D2723),",","")),"")</f>
        <v>23447.4</v>
      </c>
      <c r="H2719" s="19" t="n">
        <f aca="false">IFERROR(VALUE(SUBSTITUTE(TRIM('수출입 실적(품목별)'!E2723),",","")),"")</f>
        <v>29483</v>
      </c>
      <c r="I2719" s="18" t="n">
        <f aca="false">IFERROR(VALUE(SUBSTITUTE(TRIM('수출입 실적(품목별)'!F2723),",","")),"")</f>
        <v>450300.5</v>
      </c>
      <c r="J2719" s="19" t="n">
        <f aca="false">IFERROR(VALUE(SUBSTITUTE(TRIM('수출입 실적(품목별)'!G2723),",","")),"")</f>
        <v>160485</v>
      </c>
      <c r="K2719" s="19" t="n">
        <f aca="false">IFERROR(VALUE(SUBSTITUTE(TRIM('수출입 실적(품목별)'!H2723),",","")),"")</f>
        <v>-131002</v>
      </c>
    </row>
    <row r="2720" customFormat="false" ht="15" hidden="false" customHeight="true" outlineLevel="0" collapsed="false">
      <c r="A2720" s="11" t="str">
        <f aca="false">TRIM('수출입 실적(품목별)'!A2724)</f>
        <v>2026.05</v>
      </c>
      <c r="B2720" s="17" t="n">
        <f aca="false">IFERROR(VALUE(LEFT($A2720,4)),"")</f>
        <v>2026</v>
      </c>
      <c r="C2720" s="17" t="n">
        <f aca="false">IFERROR(VALUE(RIGHT($A2720,2)),"")</f>
        <v>5</v>
      </c>
      <c r="D2720" s="17" t="n">
        <f aca="false">IFERROR(ROUNDUP($C2720/3,0),"")</f>
        <v>2</v>
      </c>
      <c r="E2720" s="11" t="str">
        <f aca="false">TRIM('수출입 실적(품목별)'!B2724)</f>
        <v>24</v>
      </c>
      <c r="F2720" s="11" t="str">
        <f aca="false">TRIM('수출입 실적(품목별)'!C2724)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720" s="18" t="n">
        <f aca="false">IFERROR(VALUE(SUBSTITUTE(TRIM('수출입 실적(품목별)'!D2724),",","")),"")</f>
        <v>6902.9</v>
      </c>
      <c r="H2720" s="19" t="n">
        <f aca="false">IFERROR(VALUE(SUBSTITUTE(TRIM('수출입 실적(품목별)'!E2724),",","")),"")</f>
        <v>67582</v>
      </c>
      <c r="I2720" s="18" t="n">
        <f aca="false">IFERROR(VALUE(SUBSTITUTE(TRIM('수출입 실적(품목별)'!F2724),",","")),"")</f>
        <v>4948.4</v>
      </c>
      <c r="J2720" s="19" t="n">
        <f aca="false">IFERROR(VALUE(SUBSTITUTE(TRIM('수출입 실적(품목별)'!G2724),",","")),"")</f>
        <v>36162</v>
      </c>
      <c r="K2720" s="19" t="n">
        <f aca="false">IFERROR(VALUE(SUBSTITUTE(TRIM('수출입 실적(품목별)'!H2724),",","")),"")</f>
        <v>31420</v>
      </c>
    </row>
    <row r="2721" customFormat="false" ht="15" hidden="false" customHeight="true" outlineLevel="0" collapsed="false">
      <c r="A2721" s="11" t="str">
        <f aca="false">TRIM('수출입 실적(품목별)'!A2725)</f>
        <v>2026.05</v>
      </c>
      <c r="B2721" s="17" t="n">
        <f aca="false">IFERROR(VALUE(LEFT($A2721,4)),"")</f>
        <v>2026</v>
      </c>
      <c r="C2721" s="17" t="n">
        <f aca="false">IFERROR(VALUE(RIGHT($A2721,2)),"")</f>
        <v>5</v>
      </c>
      <c r="D2721" s="17" t="n">
        <f aca="false">IFERROR(ROUNDUP($C2721/3,0),"")</f>
        <v>2</v>
      </c>
      <c r="E2721" s="11" t="str">
        <f aca="false">TRIM('수출입 실적(품목별)'!B2725)</f>
        <v>25</v>
      </c>
      <c r="F2721" s="11" t="str">
        <f aca="false">TRIM('수출입 실적(품목별)'!C2725)</f>
        <v>소금, 황, 토석류(土石類), 석고ㆍ석회ㆍ시멘트</v>
      </c>
      <c r="G2721" s="18" t="n">
        <f aca="false">IFERROR(VALUE(SUBSTITUTE(TRIM('수출입 실적(품목별)'!D2725),",","")),"")</f>
        <v>353962.7</v>
      </c>
      <c r="H2721" s="19" t="n">
        <f aca="false">IFERROR(VALUE(SUBSTITUTE(TRIM('수출입 실적(품목별)'!E2725),",","")),"")</f>
        <v>53581</v>
      </c>
      <c r="I2721" s="18" t="n">
        <f aca="false">IFERROR(VALUE(SUBSTITUTE(TRIM('수출입 실적(품목별)'!F2725),",","")),"")</f>
        <v>728988.9</v>
      </c>
      <c r="J2721" s="19" t="n">
        <f aca="false">IFERROR(VALUE(SUBSTITUTE(TRIM('수출입 실적(품목별)'!G2725),",","")),"")</f>
        <v>65896</v>
      </c>
      <c r="K2721" s="19" t="n">
        <f aca="false">IFERROR(VALUE(SUBSTITUTE(TRIM('수출입 실적(품목별)'!H2725),",","")),"")</f>
        <v>-12315</v>
      </c>
    </row>
    <row r="2722" customFormat="false" ht="15" hidden="false" customHeight="true" outlineLevel="0" collapsed="false">
      <c r="A2722" s="11" t="str">
        <f aca="false">TRIM('수출입 실적(품목별)'!A2726)</f>
        <v>2026.05</v>
      </c>
      <c r="B2722" s="17" t="n">
        <f aca="false">IFERROR(VALUE(LEFT($A2722,4)),"")</f>
        <v>2026</v>
      </c>
      <c r="C2722" s="17" t="n">
        <f aca="false">IFERROR(VALUE(RIGHT($A2722,2)),"")</f>
        <v>5</v>
      </c>
      <c r="D2722" s="17" t="n">
        <f aca="false">IFERROR(ROUNDUP($C2722/3,0),"")</f>
        <v>2</v>
      </c>
      <c r="E2722" s="11" t="str">
        <f aca="false">TRIM('수출입 실적(품목별)'!B2726)</f>
        <v>26</v>
      </c>
      <c r="F2722" s="11" t="str">
        <f aca="false">TRIM('수출입 실적(품목별)'!C2726)</f>
        <v>광(鑛)ㆍ슬래그(slag)ㆍ회(灰)</v>
      </c>
      <c r="G2722" s="18" t="n">
        <f aca="false">IFERROR(VALUE(SUBSTITUTE(TRIM('수출입 실적(품목별)'!D2726),",","")),"")</f>
        <v>167625.8</v>
      </c>
      <c r="H2722" s="19" t="n">
        <f aca="false">IFERROR(VALUE(SUBSTITUTE(TRIM('수출입 실적(품목별)'!E2726),",","")),"")</f>
        <v>63360</v>
      </c>
      <c r="I2722" s="18" t="n">
        <f aca="false">IFERROR(VALUE(SUBSTITUTE(TRIM('수출입 실적(품목별)'!F2726),",","")),"")</f>
        <v>5323767</v>
      </c>
      <c r="J2722" s="19" t="n">
        <f aca="false">IFERROR(VALUE(SUBSTITUTE(TRIM('수출입 실적(품목별)'!G2726),",","")),"")</f>
        <v>1984804</v>
      </c>
      <c r="K2722" s="19" t="n">
        <f aca="false">IFERROR(VALUE(SUBSTITUTE(TRIM('수출입 실적(품목별)'!H2726),",","")),"")</f>
        <v>-1921443</v>
      </c>
    </row>
    <row r="2723" customFormat="false" ht="15" hidden="false" customHeight="true" outlineLevel="0" collapsed="false">
      <c r="A2723" s="11" t="str">
        <f aca="false">TRIM('수출입 실적(품목별)'!A2727)</f>
        <v>2026.05</v>
      </c>
      <c r="B2723" s="17" t="n">
        <f aca="false">IFERROR(VALUE(LEFT($A2723,4)),"")</f>
        <v>2026</v>
      </c>
      <c r="C2723" s="17" t="n">
        <f aca="false">IFERROR(VALUE(RIGHT($A2723,2)),"")</f>
        <v>5</v>
      </c>
      <c r="D2723" s="17" t="n">
        <f aca="false">IFERROR(ROUNDUP($C2723/3,0),"")</f>
        <v>2</v>
      </c>
      <c r="E2723" s="11" t="str">
        <f aca="false">TRIM('수출입 실적(품목별)'!B2727)</f>
        <v>27</v>
      </c>
      <c r="F2723" s="11" t="str">
        <f aca="false">TRIM('수출입 실적(품목별)'!C2727)</f>
        <v>광물성 연료ㆍ광물유(鑛物油)와 이들의 증류물, 역청(瀝靑)물질, 광물성 왁스</v>
      </c>
      <c r="G2723" s="18" t="n">
        <f aca="false">IFERROR(VALUE(SUBSTITUTE(TRIM('수출입 실적(품목별)'!D2727),",","")),"")</f>
        <v>4414333.6</v>
      </c>
      <c r="H2723" s="19" t="n">
        <f aca="false">IFERROR(VALUE(SUBSTITUTE(TRIM('수출입 실적(품목별)'!E2727),",","")),"")</f>
        <v>5298536</v>
      </c>
      <c r="I2723" s="18" t="n">
        <f aca="false">IFERROR(VALUE(SUBSTITUTE(TRIM('수출입 실적(품목별)'!F2727),",","")),"")</f>
        <v>23965942</v>
      </c>
      <c r="J2723" s="19" t="n">
        <f aca="false">IFERROR(VALUE(SUBSTITUTE(TRIM('수출입 실적(품목별)'!G2727),",","")),"")</f>
        <v>14334002</v>
      </c>
      <c r="K2723" s="19" t="n">
        <f aca="false">IFERROR(VALUE(SUBSTITUTE(TRIM('수출입 실적(품목별)'!H2727),",","")),"")</f>
        <v>-9035466</v>
      </c>
    </row>
    <row r="2724" customFormat="false" ht="15" hidden="false" customHeight="true" outlineLevel="0" collapsed="false">
      <c r="A2724" s="11" t="str">
        <f aca="false">TRIM('수출입 실적(품목별)'!A2728)</f>
        <v>2026.05</v>
      </c>
      <c r="B2724" s="17" t="n">
        <f aca="false">IFERROR(VALUE(LEFT($A2724,4)),"")</f>
        <v>2026</v>
      </c>
      <c r="C2724" s="17" t="n">
        <f aca="false">IFERROR(VALUE(RIGHT($A2724,2)),"")</f>
        <v>5</v>
      </c>
      <c r="D2724" s="17" t="n">
        <f aca="false">IFERROR(ROUNDUP($C2724/3,0),"")</f>
        <v>2</v>
      </c>
      <c r="E2724" s="11" t="str">
        <f aca="false">TRIM('수출입 실적(품목별)'!B2728)</f>
        <v>28</v>
      </c>
      <c r="F2724" s="11" t="str">
        <f aca="false">TRIM('수출입 실적(품목별)'!C2728)</f>
        <v>무기화학품, 귀금속ㆍ희토류(稀土類)금속ㆍ방사성원소ㆍ동위원소의 유기화합물이나 무기화합물</v>
      </c>
      <c r="G2724" s="18" t="n">
        <f aca="false">IFERROR(VALUE(SUBSTITUTE(TRIM('수출입 실적(품목별)'!D2728),",","")),"")</f>
        <v>417687.6</v>
      </c>
      <c r="H2724" s="19" t="n">
        <f aca="false">IFERROR(VALUE(SUBSTITUTE(TRIM('수출입 실적(품목별)'!E2728),",","")),"")</f>
        <v>970183</v>
      </c>
      <c r="I2724" s="18" t="n">
        <f aca="false">IFERROR(VALUE(SUBSTITUTE(TRIM('수출입 실적(품목별)'!F2728),",","")),"")</f>
        <v>301239.3</v>
      </c>
      <c r="J2724" s="19" t="n">
        <f aca="false">IFERROR(VALUE(SUBSTITUTE(TRIM('수출입 실적(품목별)'!G2728),",","")),"")</f>
        <v>913647</v>
      </c>
      <c r="K2724" s="19" t="n">
        <f aca="false">IFERROR(VALUE(SUBSTITUTE(TRIM('수출입 실적(품목별)'!H2728),",","")),"")</f>
        <v>56536</v>
      </c>
    </row>
    <row r="2725" customFormat="false" ht="15" hidden="false" customHeight="true" outlineLevel="0" collapsed="false">
      <c r="A2725" s="11" t="str">
        <f aca="false">TRIM('수출입 실적(품목별)'!A2729)</f>
        <v>2026.05</v>
      </c>
      <c r="B2725" s="17" t="n">
        <f aca="false">IFERROR(VALUE(LEFT($A2725,4)),"")</f>
        <v>2026</v>
      </c>
      <c r="C2725" s="17" t="n">
        <f aca="false">IFERROR(VALUE(RIGHT($A2725,2)),"")</f>
        <v>5</v>
      </c>
      <c r="D2725" s="17" t="n">
        <f aca="false">IFERROR(ROUNDUP($C2725/3,0),"")</f>
        <v>2</v>
      </c>
      <c r="E2725" s="11" t="str">
        <f aca="false">TRIM('수출입 실적(품목별)'!B2729)</f>
        <v>29</v>
      </c>
      <c r="F2725" s="11" t="str">
        <f aca="false">TRIM('수출입 실적(품목별)'!C2729)</f>
        <v>유기화학품</v>
      </c>
      <c r="G2725" s="18" t="n">
        <f aca="false">IFERROR(VALUE(SUBSTITUTE(TRIM('수출입 실적(품목별)'!D2729),",","")),"")</f>
        <v>1073453.1</v>
      </c>
      <c r="H2725" s="19" t="n">
        <f aca="false">IFERROR(VALUE(SUBSTITUTE(TRIM('수출입 실적(품목별)'!E2729),",","")),"")</f>
        <v>1533365</v>
      </c>
      <c r="I2725" s="18" t="n">
        <f aca="false">IFERROR(VALUE(SUBSTITUTE(TRIM('수출입 실적(품목별)'!F2729),",","")),"")</f>
        <v>850267.3</v>
      </c>
      <c r="J2725" s="19" t="n">
        <f aca="false">IFERROR(VALUE(SUBSTITUTE(TRIM('수출입 실적(품목별)'!G2729),",","")),"")</f>
        <v>1624656</v>
      </c>
      <c r="K2725" s="19" t="n">
        <f aca="false">IFERROR(VALUE(SUBSTITUTE(TRIM('수출입 실적(품목별)'!H2729),",","")),"")</f>
        <v>-91291</v>
      </c>
    </row>
    <row r="2726" customFormat="false" ht="15" hidden="false" customHeight="true" outlineLevel="0" collapsed="false">
      <c r="A2726" s="11" t="str">
        <f aca="false">TRIM('수출입 실적(품목별)'!A2730)</f>
        <v>2026.05</v>
      </c>
      <c r="B2726" s="17" t="n">
        <f aca="false">IFERROR(VALUE(LEFT($A2726,4)),"")</f>
        <v>2026</v>
      </c>
      <c r="C2726" s="17" t="n">
        <f aca="false">IFERROR(VALUE(RIGHT($A2726,2)),"")</f>
        <v>5</v>
      </c>
      <c r="D2726" s="17" t="n">
        <f aca="false">IFERROR(ROUNDUP($C2726/3,0),"")</f>
        <v>2</v>
      </c>
      <c r="E2726" s="11" t="str">
        <f aca="false">TRIM('수출입 실적(품목별)'!B2730)</f>
        <v>30</v>
      </c>
      <c r="F2726" s="11" t="str">
        <f aca="false">TRIM('수출입 실적(품목별)'!C2730)</f>
        <v>의료용품</v>
      </c>
      <c r="G2726" s="18" t="n">
        <f aca="false">IFERROR(VALUE(SUBSTITUTE(TRIM('수출입 실적(품목별)'!D2730),",","")),"")</f>
        <v>2401.9</v>
      </c>
      <c r="H2726" s="19" t="n">
        <f aca="false">IFERROR(VALUE(SUBSTITUTE(TRIM('수출입 실적(품목별)'!E2730),",","")),"")</f>
        <v>831530</v>
      </c>
      <c r="I2726" s="18" t="n">
        <f aca="false">IFERROR(VALUE(SUBSTITUTE(TRIM('수출입 실적(품목별)'!F2730),",","")),"")</f>
        <v>6878.5</v>
      </c>
      <c r="J2726" s="19" t="n">
        <f aca="false">IFERROR(VALUE(SUBSTITUTE(TRIM('수출입 실적(품목별)'!G2730),",","")),"")</f>
        <v>1103053</v>
      </c>
      <c r="K2726" s="19" t="n">
        <f aca="false">IFERROR(VALUE(SUBSTITUTE(TRIM('수출입 실적(품목별)'!H2730),",","")),"")</f>
        <v>-271523</v>
      </c>
    </row>
    <row r="2727" customFormat="false" ht="15" hidden="false" customHeight="true" outlineLevel="0" collapsed="false">
      <c r="A2727" s="11" t="str">
        <f aca="false">TRIM('수출입 실적(품목별)'!A2731)</f>
        <v>2026.05</v>
      </c>
      <c r="B2727" s="17" t="n">
        <f aca="false">IFERROR(VALUE(LEFT($A2727,4)),"")</f>
        <v>2026</v>
      </c>
      <c r="C2727" s="17" t="n">
        <f aca="false">IFERROR(VALUE(RIGHT($A2727,2)),"")</f>
        <v>5</v>
      </c>
      <c r="D2727" s="17" t="n">
        <f aca="false">IFERROR(ROUNDUP($C2727/3,0),"")</f>
        <v>2</v>
      </c>
      <c r="E2727" s="11" t="str">
        <f aca="false">TRIM('수출입 실적(품목별)'!B2731)</f>
        <v>31</v>
      </c>
      <c r="F2727" s="11" t="str">
        <f aca="false">TRIM('수출입 실적(품목별)'!C2731)</f>
        <v>비료</v>
      </c>
      <c r="G2727" s="18" t="n">
        <f aca="false">IFERROR(VALUE(SUBSTITUTE(TRIM('수출입 실적(품목별)'!D2731),",","")),"")</f>
        <v>63215.7</v>
      </c>
      <c r="H2727" s="19" t="n">
        <f aca="false">IFERROR(VALUE(SUBSTITUTE(TRIM('수출입 실적(품목별)'!E2731),",","")),"")</f>
        <v>33285</v>
      </c>
      <c r="I2727" s="18" t="n">
        <f aca="false">IFERROR(VALUE(SUBSTITUTE(TRIM('수출입 실적(품목별)'!F2731),",","")),"")</f>
        <v>126502.2</v>
      </c>
      <c r="J2727" s="19" t="n">
        <f aca="false">IFERROR(VALUE(SUBSTITUTE(TRIM('수출입 실적(품목별)'!G2731),",","")),"")</f>
        <v>87202</v>
      </c>
      <c r="K2727" s="19" t="n">
        <f aca="false">IFERROR(VALUE(SUBSTITUTE(TRIM('수출입 실적(품목별)'!H2731),",","")),"")</f>
        <v>-53917</v>
      </c>
    </row>
    <row r="2728" customFormat="false" ht="15" hidden="false" customHeight="true" outlineLevel="0" collapsed="false">
      <c r="A2728" s="11" t="str">
        <f aca="false">TRIM('수출입 실적(품목별)'!A2732)</f>
        <v>2026.05</v>
      </c>
      <c r="B2728" s="17" t="n">
        <f aca="false">IFERROR(VALUE(LEFT($A2728,4)),"")</f>
        <v>2026</v>
      </c>
      <c r="C2728" s="17" t="n">
        <f aca="false">IFERROR(VALUE(RIGHT($A2728,2)),"")</f>
        <v>5</v>
      </c>
      <c r="D2728" s="17" t="n">
        <f aca="false">IFERROR(ROUNDUP($C2728/3,0),"")</f>
        <v>2</v>
      </c>
      <c r="E2728" s="11" t="str">
        <f aca="false">TRIM('수출입 실적(품목별)'!B2732)</f>
        <v>32</v>
      </c>
      <c r="F2728" s="11" t="str">
        <f aca="false">TRIM('수출입 실적(품목별)'!C2732)</f>
        <v>유연용ㆍ염색용 추출물(extract), 탄닌과 이들의 유도체, 염료ㆍ안료와 그 밖의 착색제, 페인트ㆍ바니시(varnish), 퍼티(putty)와 그 밖의 매스틱(mastic), 잉크</v>
      </c>
      <c r="G2728" s="18" t="n">
        <f aca="false">IFERROR(VALUE(SUBSTITUTE(TRIM('수출입 실적(품목별)'!D2732),",","")),"")</f>
        <v>28646.6</v>
      </c>
      <c r="H2728" s="19" t="n">
        <f aca="false">IFERROR(VALUE(SUBSTITUTE(TRIM('수출입 실적(품목별)'!E2732),",","")),"")</f>
        <v>231322</v>
      </c>
      <c r="I2728" s="18" t="n">
        <f aca="false">IFERROR(VALUE(SUBSTITUTE(TRIM('수출입 실적(품목별)'!F2732),",","")),"")</f>
        <v>27651.1</v>
      </c>
      <c r="J2728" s="19" t="n">
        <f aca="false">IFERROR(VALUE(SUBSTITUTE(TRIM('수출입 실적(품목별)'!G2732),",","")),"")</f>
        <v>191882</v>
      </c>
      <c r="K2728" s="19" t="n">
        <f aca="false">IFERROR(VALUE(SUBSTITUTE(TRIM('수출입 실적(품목별)'!H2732),",","")),"")</f>
        <v>39440</v>
      </c>
    </row>
    <row r="2729" customFormat="false" ht="15" hidden="false" customHeight="true" outlineLevel="0" collapsed="false">
      <c r="A2729" s="11" t="str">
        <f aca="false">TRIM('수출입 실적(품목별)'!A2733)</f>
        <v>2026.05</v>
      </c>
      <c r="B2729" s="17" t="n">
        <f aca="false">IFERROR(VALUE(LEFT($A2729,4)),"")</f>
        <v>2026</v>
      </c>
      <c r="C2729" s="17" t="n">
        <f aca="false">IFERROR(VALUE(RIGHT($A2729,2)),"")</f>
        <v>5</v>
      </c>
      <c r="D2729" s="17" t="n">
        <f aca="false">IFERROR(ROUNDUP($C2729/3,0),"")</f>
        <v>2</v>
      </c>
      <c r="E2729" s="11" t="str">
        <f aca="false">TRIM('수출입 실적(품목별)'!B2733)</f>
        <v>33</v>
      </c>
      <c r="F2729" s="11" t="str">
        <f aca="false">TRIM('수출입 실적(품목별)'!C2733)</f>
        <v>정유(essential oil)와 레지노이드(resinoid), 조제향료와 화장품ㆍ화장용품</v>
      </c>
      <c r="G2729" s="18" t="n">
        <f aca="false">IFERROR(VALUE(SUBSTITUTE(TRIM('수출입 실적(품목별)'!D2733),",","")),"")</f>
        <v>46686</v>
      </c>
      <c r="H2729" s="19" t="n">
        <f aca="false">IFERROR(VALUE(SUBSTITUTE(TRIM('수출입 실적(품목별)'!E2733),",","")),"")</f>
        <v>1136215</v>
      </c>
      <c r="I2729" s="18" t="n">
        <f aca="false">IFERROR(VALUE(SUBSTITUTE(TRIM('수출입 실적(품목별)'!F2733),",","")),"")</f>
        <v>8752.9</v>
      </c>
      <c r="J2729" s="19" t="n">
        <f aca="false">IFERROR(VALUE(SUBSTITUTE(TRIM('수출입 실적(품목별)'!G2733),",","")),"")</f>
        <v>183106</v>
      </c>
      <c r="K2729" s="19" t="n">
        <f aca="false">IFERROR(VALUE(SUBSTITUTE(TRIM('수출입 실적(품목별)'!H2733),",","")),"")</f>
        <v>953109</v>
      </c>
    </row>
    <row r="2730" customFormat="false" ht="15" hidden="false" customHeight="true" outlineLevel="0" collapsed="false">
      <c r="A2730" s="11" t="str">
        <f aca="false">TRIM('수출입 실적(품목별)'!A2734)</f>
        <v>2026.05</v>
      </c>
      <c r="B2730" s="17" t="n">
        <f aca="false">IFERROR(VALUE(LEFT($A2730,4)),"")</f>
        <v>2026</v>
      </c>
      <c r="C2730" s="17" t="n">
        <f aca="false">IFERROR(VALUE(RIGHT($A2730,2)),"")</f>
        <v>5</v>
      </c>
      <c r="D2730" s="17" t="n">
        <f aca="false">IFERROR(ROUNDUP($C2730/3,0),"")</f>
        <v>2</v>
      </c>
      <c r="E2730" s="11" t="str">
        <f aca="false">TRIM('수출입 실적(품목별)'!B2734)</f>
        <v>34</v>
      </c>
      <c r="F2730" s="11" t="str">
        <f aca="false">TRIM('수출입 실적(품목별)'!C2734)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730" s="18" t="n">
        <f aca="false">IFERROR(VALUE(SUBSTITUTE(TRIM('수출입 실적(품목별)'!D2734),",","")),"")</f>
        <v>40173.2</v>
      </c>
      <c r="H2730" s="19" t="n">
        <f aca="false">IFERROR(VALUE(SUBSTITUTE(TRIM('수출입 실적(품목별)'!E2734),",","")),"")</f>
        <v>165186</v>
      </c>
      <c r="I2730" s="18" t="n">
        <f aca="false">IFERROR(VALUE(SUBSTITUTE(TRIM('수출입 실적(품목별)'!F2734),",","")),"")</f>
        <v>28413.9</v>
      </c>
      <c r="J2730" s="19" t="n">
        <f aca="false">IFERROR(VALUE(SUBSTITUTE(TRIM('수출입 실적(품목별)'!G2734),",","")),"")</f>
        <v>103369</v>
      </c>
      <c r="K2730" s="19" t="n">
        <f aca="false">IFERROR(VALUE(SUBSTITUTE(TRIM('수출입 실적(품목별)'!H2734),",","")),"")</f>
        <v>61817</v>
      </c>
    </row>
    <row r="2731" customFormat="false" ht="15" hidden="false" customHeight="true" outlineLevel="0" collapsed="false">
      <c r="A2731" s="11" t="str">
        <f aca="false">TRIM('수출입 실적(품목별)'!A2735)</f>
        <v>2026.05</v>
      </c>
      <c r="B2731" s="17" t="n">
        <f aca="false">IFERROR(VALUE(LEFT($A2731,4)),"")</f>
        <v>2026</v>
      </c>
      <c r="C2731" s="17" t="n">
        <f aca="false">IFERROR(VALUE(RIGHT($A2731,2)),"")</f>
        <v>5</v>
      </c>
      <c r="D2731" s="17" t="n">
        <f aca="false">IFERROR(ROUNDUP($C2731/3,0),"")</f>
        <v>2</v>
      </c>
      <c r="E2731" s="11" t="str">
        <f aca="false">TRIM('수출입 실적(품목별)'!B2735)</f>
        <v>35</v>
      </c>
      <c r="F2731" s="11" t="str">
        <f aca="false">TRIM('수출입 실적(품목별)'!C2735)</f>
        <v>단백질계 물질, 변성전분, 글루(glue), 효소</v>
      </c>
      <c r="G2731" s="18" t="n">
        <f aca="false">IFERROR(VALUE(SUBSTITUTE(TRIM('수출입 실적(품목별)'!D2735),",","")),"")</f>
        <v>7169.7</v>
      </c>
      <c r="H2731" s="19" t="n">
        <f aca="false">IFERROR(VALUE(SUBSTITUTE(TRIM('수출입 실적(품목별)'!E2735),",","")),"")</f>
        <v>78642</v>
      </c>
      <c r="I2731" s="18" t="n">
        <f aca="false">IFERROR(VALUE(SUBSTITUTE(TRIM('수출입 실적(품목별)'!F2735),",","")),"")</f>
        <v>17430.4</v>
      </c>
      <c r="J2731" s="19" t="n">
        <f aca="false">IFERROR(VALUE(SUBSTITUTE(TRIM('수출입 실적(품목별)'!G2735),",","")),"")</f>
        <v>86515</v>
      </c>
      <c r="K2731" s="19" t="n">
        <f aca="false">IFERROR(VALUE(SUBSTITUTE(TRIM('수출입 실적(품목별)'!H2735),",","")),"")</f>
        <v>-7873</v>
      </c>
    </row>
    <row r="2732" customFormat="false" ht="15" hidden="false" customHeight="true" outlineLevel="0" collapsed="false">
      <c r="A2732" s="11" t="str">
        <f aca="false">TRIM('수출입 실적(품목별)'!A2736)</f>
        <v>2026.05</v>
      </c>
      <c r="B2732" s="17" t="n">
        <f aca="false">IFERROR(VALUE(LEFT($A2732,4)),"")</f>
        <v>2026</v>
      </c>
      <c r="C2732" s="17" t="n">
        <f aca="false">IFERROR(VALUE(RIGHT($A2732,2)),"")</f>
        <v>5</v>
      </c>
      <c r="D2732" s="17" t="n">
        <f aca="false">IFERROR(ROUNDUP($C2732/3,0),"")</f>
        <v>2</v>
      </c>
      <c r="E2732" s="11" t="str">
        <f aca="false">TRIM('수출입 실적(품목별)'!B2736)</f>
        <v>36</v>
      </c>
      <c r="F2732" s="11" t="str">
        <f aca="false">TRIM('수출입 실적(품목별)'!C2736)</f>
        <v>화약류, 화공품, 성냥, 발화성 합금, 특정 가연성 조제품</v>
      </c>
      <c r="G2732" s="18" t="n">
        <f aca="false">IFERROR(VALUE(SUBSTITUTE(TRIM('수출입 실적(품목별)'!D2736),",","")),"")</f>
        <v>286.5</v>
      </c>
      <c r="H2732" s="19" t="n">
        <f aca="false">IFERROR(VALUE(SUBSTITUTE(TRIM('수출입 실적(품목별)'!E2736),",","")),"")</f>
        <v>8797</v>
      </c>
      <c r="I2732" s="18" t="n">
        <f aca="false">IFERROR(VALUE(SUBSTITUTE(TRIM('수출입 실적(품목별)'!F2736),",","")),"")</f>
        <v>150.1</v>
      </c>
      <c r="J2732" s="19" t="n">
        <f aca="false">IFERROR(VALUE(SUBSTITUTE(TRIM('수출입 실적(품목별)'!G2736),",","")),"")</f>
        <v>1846</v>
      </c>
      <c r="K2732" s="19" t="n">
        <f aca="false">IFERROR(VALUE(SUBSTITUTE(TRIM('수출입 실적(품목별)'!H2736),",","")),"")</f>
        <v>6951</v>
      </c>
    </row>
    <row r="2733" customFormat="false" ht="15" hidden="false" customHeight="true" outlineLevel="0" collapsed="false">
      <c r="A2733" s="11" t="str">
        <f aca="false">TRIM('수출입 실적(품목별)'!A2737)</f>
        <v>2026.05</v>
      </c>
      <c r="B2733" s="17" t="n">
        <f aca="false">IFERROR(VALUE(LEFT($A2733,4)),"")</f>
        <v>2026</v>
      </c>
      <c r="C2733" s="17" t="n">
        <f aca="false">IFERROR(VALUE(RIGHT($A2733,2)),"")</f>
        <v>5</v>
      </c>
      <c r="D2733" s="17" t="n">
        <f aca="false">IFERROR(ROUNDUP($C2733/3,0),"")</f>
        <v>2</v>
      </c>
      <c r="E2733" s="11" t="str">
        <f aca="false">TRIM('수출입 실적(품목별)'!B2737)</f>
        <v>37</v>
      </c>
      <c r="F2733" s="11" t="str">
        <f aca="false">TRIM('수출입 실적(품목별)'!C2737)</f>
        <v>사진용이나 영화용 재료</v>
      </c>
      <c r="G2733" s="18" t="n">
        <f aca="false">IFERROR(VALUE(SUBSTITUTE(TRIM('수출입 실적(품목별)'!D2737),",","")),"")</f>
        <v>1562.6</v>
      </c>
      <c r="H2733" s="19" t="n">
        <f aca="false">IFERROR(VALUE(SUBSTITUTE(TRIM('수출입 실적(품목별)'!E2737),",","")),"")</f>
        <v>87792</v>
      </c>
      <c r="I2733" s="18" t="n">
        <f aca="false">IFERROR(VALUE(SUBSTITUTE(TRIM('수출입 실적(품목별)'!F2737),",","")),"")</f>
        <v>3108.1</v>
      </c>
      <c r="J2733" s="19" t="n">
        <f aca="false">IFERROR(VALUE(SUBSTITUTE(TRIM('수출입 실적(품목별)'!G2737),",","")),"")</f>
        <v>93611</v>
      </c>
      <c r="K2733" s="19" t="n">
        <f aca="false">IFERROR(VALUE(SUBSTITUTE(TRIM('수출입 실적(품목별)'!H2737),",","")),"")</f>
        <v>-5819</v>
      </c>
    </row>
    <row r="2734" customFormat="false" ht="15" hidden="false" customHeight="true" outlineLevel="0" collapsed="false">
      <c r="A2734" s="11" t="str">
        <f aca="false">TRIM('수출입 실적(품목별)'!A2738)</f>
        <v>2026.05</v>
      </c>
      <c r="B2734" s="17" t="n">
        <f aca="false">IFERROR(VALUE(LEFT($A2734,4)),"")</f>
        <v>2026</v>
      </c>
      <c r="C2734" s="17" t="n">
        <f aca="false">IFERROR(VALUE(RIGHT($A2734,2)),"")</f>
        <v>5</v>
      </c>
      <c r="D2734" s="17" t="n">
        <f aca="false">IFERROR(ROUNDUP($C2734/3,0),"")</f>
        <v>2</v>
      </c>
      <c r="E2734" s="11" t="str">
        <f aca="false">TRIM('수출입 실적(품목별)'!B2738)</f>
        <v>38</v>
      </c>
      <c r="F2734" s="11" t="str">
        <f aca="false">TRIM('수출입 실적(품목별)'!C2738)</f>
        <v>각종 화학공업 생산품</v>
      </c>
      <c r="G2734" s="18" t="n">
        <f aca="false">IFERROR(VALUE(SUBSTITUTE(TRIM('수출입 실적(품목별)'!D2738),",","")),"")</f>
        <v>133161.4</v>
      </c>
      <c r="H2734" s="19" t="n">
        <f aca="false">IFERROR(VALUE(SUBSTITUTE(TRIM('수출입 실적(품목별)'!E2738),",","")),"")</f>
        <v>687709</v>
      </c>
      <c r="I2734" s="18" t="n">
        <f aca="false">IFERROR(VALUE(SUBSTITUTE(TRIM('수출입 실적(품목별)'!F2738),",","")),"")</f>
        <v>174039.3</v>
      </c>
      <c r="J2734" s="19" t="n">
        <f aca="false">IFERROR(VALUE(SUBSTITUTE(TRIM('수출입 실적(품목별)'!G2738),",","")),"")</f>
        <v>815352</v>
      </c>
      <c r="K2734" s="19" t="n">
        <f aca="false">IFERROR(VALUE(SUBSTITUTE(TRIM('수출입 실적(품목별)'!H2738),",","")),"")</f>
        <v>-127644</v>
      </c>
    </row>
    <row r="2735" customFormat="false" ht="15" hidden="false" customHeight="true" outlineLevel="0" collapsed="false">
      <c r="A2735" s="11" t="str">
        <f aca="false">TRIM('수출입 실적(품목별)'!A2739)</f>
        <v>2026.05</v>
      </c>
      <c r="B2735" s="17" t="n">
        <f aca="false">IFERROR(VALUE(LEFT($A2735,4)),"")</f>
        <v>2026</v>
      </c>
      <c r="C2735" s="17" t="n">
        <f aca="false">IFERROR(VALUE(RIGHT($A2735,2)),"")</f>
        <v>5</v>
      </c>
      <c r="D2735" s="17" t="n">
        <f aca="false">IFERROR(ROUNDUP($C2735/3,0),"")</f>
        <v>2</v>
      </c>
      <c r="E2735" s="11" t="str">
        <f aca="false">TRIM('수출입 실적(품목별)'!B2739)</f>
        <v>39</v>
      </c>
      <c r="F2735" s="11" t="str">
        <f aca="false">TRIM('수출입 실적(품목별)'!C2739)</f>
        <v>플라스틱과 그 제품</v>
      </c>
      <c r="G2735" s="18" t="n">
        <f aca="false">IFERROR(VALUE(SUBSTITUTE(TRIM('수출입 실적(품목별)'!D2739),",","")),"")</f>
        <v>1161863</v>
      </c>
      <c r="H2735" s="19" t="n">
        <f aca="false">IFERROR(VALUE(SUBSTITUTE(TRIM('수출입 실적(품목별)'!E2739),",","")),"")</f>
        <v>2958951</v>
      </c>
      <c r="I2735" s="18" t="n">
        <f aca="false">IFERROR(VALUE(SUBSTITUTE(TRIM('수출입 실적(품목별)'!F2739),",","")),"")</f>
        <v>344417.8</v>
      </c>
      <c r="J2735" s="19" t="n">
        <f aca="false">IFERROR(VALUE(SUBSTITUTE(TRIM('수출입 실적(품목별)'!G2739),",","")),"")</f>
        <v>1261384</v>
      </c>
      <c r="K2735" s="19" t="n">
        <f aca="false">IFERROR(VALUE(SUBSTITUTE(TRIM('수출입 실적(품목별)'!H2739),",","")),"")</f>
        <v>1697567</v>
      </c>
    </row>
    <row r="2736" customFormat="false" ht="15" hidden="false" customHeight="true" outlineLevel="0" collapsed="false">
      <c r="A2736" s="11" t="str">
        <f aca="false">TRIM('수출입 실적(품목별)'!A2740)</f>
        <v>2026.05</v>
      </c>
      <c r="B2736" s="17" t="n">
        <f aca="false">IFERROR(VALUE(LEFT($A2736,4)),"")</f>
        <v>2026</v>
      </c>
      <c r="C2736" s="17" t="n">
        <f aca="false">IFERROR(VALUE(RIGHT($A2736,2)),"")</f>
        <v>5</v>
      </c>
      <c r="D2736" s="17" t="n">
        <f aca="false">IFERROR(ROUNDUP($C2736/3,0),"")</f>
        <v>2</v>
      </c>
      <c r="E2736" s="11" t="str">
        <f aca="false">TRIM('수출입 실적(품목별)'!B2740)</f>
        <v>40</v>
      </c>
      <c r="F2736" s="11" t="str">
        <f aca="false">TRIM('수출입 실적(품목별)'!C2740)</f>
        <v>고무와 그 제품</v>
      </c>
      <c r="G2736" s="18" t="n">
        <f aca="false">IFERROR(VALUE(SUBSTITUTE(TRIM('수출입 실적(품목별)'!D2740),",","")),"")</f>
        <v>214997.6</v>
      </c>
      <c r="H2736" s="19" t="n">
        <f aca="false">IFERROR(VALUE(SUBSTITUTE(TRIM('수출입 실적(품목별)'!E2740),",","")),"")</f>
        <v>730580</v>
      </c>
      <c r="I2736" s="18" t="n">
        <f aca="false">IFERROR(VALUE(SUBSTITUTE(TRIM('수출입 실적(품목별)'!F2740),",","")),"")</f>
        <v>83884</v>
      </c>
      <c r="J2736" s="19" t="n">
        <f aca="false">IFERROR(VALUE(SUBSTITUTE(TRIM('수출입 실적(품목별)'!G2740),",","")),"")</f>
        <v>270645</v>
      </c>
      <c r="K2736" s="19" t="n">
        <f aca="false">IFERROR(VALUE(SUBSTITUTE(TRIM('수출입 실적(품목별)'!H2740),",","")),"")</f>
        <v>459935</v>
      </c>
    </row>
    <row r="2737" customFormat="false" ht="15" hidden="false" customHeight="true" outlineLevel="0" collapsed="false">
      <c r="A2737" s="11" t="str">
        <f aca="false">TRIM('수출입 실적(품목별)'!A2741)</f>
        <v>2026.05</v>
      </c>
      <c r="B2737" s="17" t="n">
        <f aca="false">IFERROR(VALUE(LEFT($A2737,4)),"")</f>
        <v>2026</v>
      </c>
      <c r="C2737" s="17" t="n">
        <f aca="false">IFERROR(VALUE(RIGHT($A2737,2)),"")</f>
        <v>5</v>
      </c>
      <c r="D2737" s="17" t="n">
        <f aca="false">IFERROR(ROUNDUP($C2737/3,0),"")</f>
        <v>2</v>
      </c>
      <c r="E2737" s="11" t="str">
        <f aca="false">TRIM('수출입 실적(품목별)'!B2741)</f>
        <v>41</v>
      </c>
      <c r="F2737" s="11" t="str">
        <f aca="false">TRIM('수출입 실적(품목별)'!C2741)</f>
        <v>원피(모피는 제외한다)와 가죽</v>
      </c>
      <c r="G2737" s="18" t="n">
        <f aca="false">IFERROR(VALUE(SUBSTITUTE(TRIM('수출입 실적(품목별)'!D2741),",","")),"")</f>
        <v>2263.5</v>
      </c>
      <c r="H2737" s="19" t="n">
        <f aca="false">IFERROR(VALUE(SUBSTITUTE(TRIM('수출입 실적(품목별)'!E2741),",","")),"")</f>
        <v>19952</v>
      </c>
      <c r="I2737" s="18" t="n">
        <f aca="false">IFERROR(VALUE(SUBSTITUTE(TRIM('수출입 실적(품목별)'!F2741),",","")),"")</f>
        <v>5511.4</v>
      </c>
      <c r="J2737" s="19" t="n">
        <f aca="false">IFERROR(VALUE(SUBSTITUTE(TRIM('수출입 실적(품목별)'!G2741),",","")),"")</f>
        <v>18423</v>
      </c>
      <c r="K2737" s="19" t="n">
        <f aca="false">IFERROR(VALUE(SUBSTITUTE(TRIM('수출입 실적(품목별)'!H2741),",","")),"")</f>
        <v>1528</v>
      </c>
    </row>
    <row r="2738" customFormat="false" ht="15" hidden="false" customHeight="true" outlineLevel="0" collapsed="false">
      <c r="A2738" s="11" t="str">
        <f aca="false">TRIM('수출입 실적(품목별)'!A2742)</f>
        <v>2026.05</v>
      </c>
      <c r="B2738" s="17" t="n">
        <f aca="false">IFERROR(VALUE(LEFT($A2738,4)),"")</f>
        <v>2026</v>
      </c>
      <c r="C2738" s="17" t="n">
        <f aca="false">IFERROR(VALUE(RIGHT($A2738,2)),"")</f>
        <v>5</v>
      </c>
      <c r="D2738" s="17" t="n">
        <f aca="false">IFERROR(ROUNDUP($C2738/3,0),"")</f>
        <v>2</v>
      </c>
      <c r="E2738" s="11" t="str">
        <f aca="false">TRIM('수출입 실적(품목별)'!B2742)</f>
        <v>42</v>
      </c>
      <c r="F2738" s="11" t="str">
        <f aca="false">TRIM('수출입 실적(품목별)'!C2742)</f>
        <v>가죽제품, 마구, 여행용구ㆍ핸드백과 이와 유사한 용기, 동물 거트(gut)[누에의 거트(gut)는 제외한다]의 제품</v>
      </c>
      <c r="G2738" s="18" t="n">
        <f aca="false">IFERROR(VALUE(SUBSTITUTE(TRIM('수출입 실적(품목별)'!D2742),",","")),"")</f>
        <v>919.3</v>
      </c>
      <c r="H2738" s="19" t="n">
        <f aca="false">IFERROR(VALUE(SUBSTITUTE(TRIM('수출입 실적(품목별)'!E2742),",","")),"")</f>
        <v>55086</v>
      </c>
      <c r="I2738" s="18" t="n">
        <f aca="false">IFERROR(VALUE(SUBSTITUTE(TRIM('수출입 실적(품목별)'!F2742),",","")),"")</f>
        <v>9803.1</v>
      </c>
      <c r="J2738" s="19" t="n">
        <f aca="false">IFERROR(VALUE(SUBSTITUTE(TRIM('수출입 실적(품목별)'!G2742),",","")),"")</f>
        <v>323108</v>
      </c>
      <c r="K2738" s="19" t="n">
        <f aca="false">IFERROR(VALUE(SUBSTITUTE(TRIM('수출입 실적(품목별)'!H2742),",","")),"")</f>
        <v>-268023</v>
      </c>
    </row>
    <row r="2739" customFormat="false" ht="15" hidden="false" customHeight="true" outlineLevel="0" collapsed="false">
      <c r="A2739" s="11" t="str">
        <f aca="false">TRIM('수출입 실적(품목별)'!A2743)</f>
        <v>2026.05</v>
      </c>
      <c r="B2739" s="17" t="n">
        <f aca="false">IFERROR(VALUE(LEFT($A2739,4)),"")</f>
        <v>2026</v>
      </c>
      <c r="C2739" s="17" t="n">
        <f aca="false">IFERROR(VALUE(RIGHT($A2739,2)),"")</f>
        <v>5</v>
      </c>
      <c r="D2739" s="17" t="n">
        <f aca="false">IFERROR(ROUNDUP($C2739/3,0),"")</f>
        <v>2</v>
      </c>
      <c r="E2739" s="11" t="str">
        <f aca="false">TRIM('수출입 실적(품목별)'!B2743)</f>
        <v>43</v>
      </c>
      <c r="F2739" s="11" t="str">
        <f aca="false">TRIM('수출입 실적(품목별)'!C2743)</f>
        <v>모피ㆍ인조모피와 이들의 제품</v>
      </c>
      <c r="G2739" s="18" t="n">
        <f aca="false">IFERROR(VALUE(SUBSTITUTE(TRIM('수출입 실적(품목별)'!D2743),",","")),"")</f>
        <v>9.1</v>
      </c>
      <c r="H2739" s="19" t="n">
        <f aca="false">IFERROR(VALUE(SUBSTITUTE(TRIM('수출입 실적(품목별)'!E2743),",","")),"")</f>
        <v>345</v>
      </c>
      <c r="I2739" s="18" t="n">
        <f aca="false">IFERROR(VALUE(SUBSTITUTE(TRIM('수출입 실적(품목별)'!F2743),",","")),"")</f>
        <v>38.4</v>
      </c>
      <c r="J2739" s="19" t="n">
        <f aca="false">IFERROR(VALUE(SUBSTITUTE(TRIM('수출입 실적(품목별)'!G2743),",","")),"")</f>
        <v>8997</v>
      </c>
      <c r="K2739" s="19" t="n">
        <f aca="false">IFERROR(VALUE(SUBSTITUTE(TRIM('수출입 실적(품목별)'!H2743),",","")),"")</f>
        <v>-8652</v>
      </c>
    </row>
    <row r="2740" customFormat="false" ht="15" hidden="false" customHeight="true" outlineLevel="0" collapsed="false">
      <c r="A2740" s="11" t="str">
        <f aca="false">TRIM('수출입 실적(품목별)'!A2744)</f>
        <v>2026.05</v>
      </c>
      <c r="B2740" s="17" t="n">
        <f aca="false">IFERROR(VALUE(LEFT($A2740,4)),"")</f>
        <v>2026</v>
      </c>
      <c r="C2740" s="17" t="n">
        <f aca="false">IFERROR(VALUE(RIGHT($A2740,2)),"")</f>
        <v>5</v>
      </c>
      <c r="D2740" s="17" t="n">
        <f aca="false">IFERROR(ROUNDUP($C2740/3,0),"")</f>
        <v>2</v>
      </c>
      <c r="E2740" s="11" t="str">
        <f aca="false">TRIM('수출입 실적(품목별)'!B2744)</f>
        <v>44</v>
      </c>
      <c r="F2740" s="11" t="str">
        <f aca="false">TRIM('수출입 실적(품목별)'!C2744)</f>
        <v>목재와 그 제품, 목탄</v>
      </c>
      <c r="G2740" s="18" t="n">
        <f aca="false">IFERROR(VALUE(SUBSTITUTE(TRIM('수출입 실적(품목별)'!D2744),",","")),"")</f>
        <v>4130.3</v>
      </c>
      <c r="H2740" s="19" t="n">
        <f aca="false">IFERROR(VALUE(SUBSTITUTE(TRIM('수출입 실적(품목별)'!E2744),",","")),"")</f>
        <v>6312</v>
      </c>
      <c r="I2740" s="18" t="n">
        <f aca="false">IFERROR(VALUE(SUBSTITUTE(TRIM('수출입 실적(품목별)'!F2744),",","")),"")</f>
        <v>653057</v>
      </c>
      <c r="J2740" s="19" t="n">
        <f aca="false">IFERROR(VALUE(SUBSTITUTE(TRIM('수출입 실적(품목별)'!G2744),",","")),"")</f>
        <v>217136</v>
      </c>
      <c r="K2740" s="19" t="n">
        <f aca="false">IFERROR(VALUE(SUBSTITUTE(TRIM('수출입 실적(품목별)'!H2744),",","")),"")</f>
        <v>-210824</v>
      </c>
    </row>
    <row r="2741" customFormat="false" ht="15" hidden="false" customHeight="true" outlineLevel="0" collapsed="false">
      <c r="A2741" s="11" t="str">
        <f aca="false">TRIM('수출입 실적(품목별)'!A2745)</f>
        <v>2026.05</v>
      </c>
      <c r="B2741" s="17" t="n">
        <f aca="false">IFERROR(VALUE(LEFT($A2741,4)),"")</f>
        <v>2026</v>
      </c>
      <c r="C2741" s="17" t="n">
        <f aca="false">IFERROR(VALUE(RIGHT($A2741,2)),"")</f>
        <v>5</v>
      </c>
      <c r="D2741" s="17" t="n">
        <f aca="false">IFERROR(ROUNDUP($C2741/3,0),"")</f>
        <v>2</v>
      </c>
      <c r="E2741" s="11" t="str">
        <f aca="false">TRIM('수출입 실적(품목별)'!B2745)</f>
        <v>45</v>
      </c>
      <c r="F2741" s="11" t="str">
        <f aca="false">TRIM('수출입 실적(품목별)'!C2745)</f>
        <v>코르크(cork)와 그 제품</v>
      </c>
      <c r="G2741" s="18" t="n">
        <f aca="false">IFERROR(VALUE(SUBSTITUTE(TRIM('수출입 실적(품목별)'!D2745),",","")),"")</f>
        <v>4</v>
      </c>
      <c r="H2741" s="19" t="n">
        <f aca="false">IFERROR(VALUE(SUBSTITUTE(TRIM('수출입 실적(품목별)'!E2745),",","")),"")</f>
        <v>59</v>
      </c>
      <c r="I2741" s="18" t="n">
        <f aca="false">IFERROR(VALUE(SUBSTITUTE(TRIM('수출입 실적(품목별)'!F2745),",","")),"")</f>
        <v>112</v>
      </c>
      <c r="J2741" s="19" t="n">
        <f aca="false">IFERROR(VALUE(SUBSTITUTE(TRIM('수출입 실적(품목별)'!G2745),",","")),"")</f>
        <v>450</v>
      </c>
      <c r="K2741" s="19" t="n">
        <f aca="false">IFERROR(VALUE(SUBSTITUTE(TRIM('수출입 실적(품목별)'!H2745),",","")),"")</f>
        <v>-391</v>
      </c>
    </row>
    <row r="2742" customFormat="false" ht="15" hidden="false" customHeight="true" outlineLevel="0" collapsed="false">
      <c r="A2742" s="11" t="str">
        <f aca="false">TRIM('수출입 실적(품목별)'!A2746)</f>
        <v>2026.05</v>
      </c>
      <c r="B2742" s="17" t="n">
        <f aca="false">IFERROR(VALUE(LEFT($A2742,4)),"")</f>
        <v>2026</v>
      </c>
      <c r="C2742" s="17" t="n">
        <f aca="false">IFERROR(VALUE(RIGHT($A2742,2)),"")</f>
        <v>5</v>
      </c>
      <c r="D2742" s="17" t="n">
        <f aca="false">IFERROR(ROUNDUP($C2742/3,0),"")</f>
        <v>2</v>
      </c>
      <c r="E2742" s="11" t="str">
        <f aca="false">TRIM('수출입 실적(품목별)'!B2746)</f>
        <v>46</v>
      </c>
      <c r="F2742" s="11" t="str">
        <f aca="false">TRIM('수출입 실적(품목별)'!C2746)</f>
        <v>짚ㆍ에스파르토(esparto)나 그 밖의 조물 재료의 제품, 바구니 세공물(basketware)과 지조세공물(枝條細工物)</v>
      </c>
      <c r="G2742" s="18" t="n">
        <f aca="false">IFERROR(VALUE(SUBSTITUTE(TRIM('수출입 실적(품목별)'!D2746),",","")),"")</f>
        <v>0.9</v>
      </c>
      <c r="H2742" s="19" t="n">
        <f aca="false">IFERROR(VALUE(SUBSTITUTE(TRIM('수출입 실적(품목별)'!E2746),",","")),"")</f>
        <v>51</v>
      </c>
      <c r="I2742" s="18" t="n">
        <f aca="false">IFERROR(VALUE(SUBSTITUTE(TRIM('수출입 실적(품목별)'!F2746),",","")),"")</f>
        <v>623.2</v>
      </c>
      <c r="J2742" s="19" t="n">
        <f aca="false">IFERROR(VALUE(SUBSTITUTE(TRIM('수출입 실적(품목별)'!G2746),",","")),"")</f>
        <v>3243</v>
      </c>
      <c r="K2742" s="19" t="n">
        <f aca="false">IFERROR(VALUE(SUBSTITUTE(TRIM('수출입 실적(품목별)'!H2746),",","")),"")</f>
        <v>-3192</v>
      </c>
    </row>
    <row r="2743" customFormat="false" ht="15" hidden="false" customHeight="true" outlineLevel="0" collapsed="false">
      <c r="A2743" s="11" t="str">
        <f aca="false">TRIM('수출입 실적(품목별)'!A2747)</f>
        <v>2026.05</v>
      </c>
      <c r="B2743" s="17" t="n">
        <f aca="false">IFERROR(VALUE(LEFT($A2743,4)),"")</f>
        <v>2026</v>
      </c>
      <c r="C2743" s="17" t="n">
        <f aca="false">IFERROR(VALUE(RIGHT($A2743,2)),"")</f>
        <v>5</v>
      </c>
      <c r="D2743" s="17" t="n">
        <f aca="false">IFERROR(ROUNDUP($C2743/3,0),"")</f>
        <v>2</v>
      </c>
      <c r="E2743" s="11" t="str">
        <f aca="false">TRIM('수출입 실적(품목별)'!B2747)</f>
        <v>47</v>
      </c>
      <c r="F2743" s="11" t="str">
        <f aca="false">TRIM('수출입 실적(품목별)'!C2747)</f>
        <v>목재나 그 밖의 섬유질 셀룰로오스재료의 펄프, 회수한 종이ㆍ판지[웨이스트(waste)와 스크랩(scrap)]</v>
      </c>
      <c r="G2743" s="18" t="n">
        <f aca="false">IFERROR(VALUE(SUBSTITUTE(TRIM('수출입 실적(품목별)'!D2747),",","")),"")</f>
        <v>54872.2</v>
      </c>
      <c r="H2743" s="19" t="n">
        <f aca="false">IFERROR(VALUE(SUBSTITUTE(TRIM('수출입 실적(품목별)'!E2747),",","")),"")</f>
        <v>10443</v>
      </c>
      <c r="I2743" s="18" t="n">
        <f aca="false">IFERROR(VALUE(SUBSTITUTE(TRIM('수출입 실적(품목별)'!F2747),",","")),"")</f>
        <v>213853.4</v>
      </c>
      <c r="J2743" s="19" t="n">
        <f aca="false">IFERROR(VALUE(SUBSTITUTE(TRIM('수출입 실적(품목별)'!G2747),",","")),"")</f>
        <v>108317</v>
      </c>
      <c r="K2743" s="19" t="n">
        <f aca="false">IFERROR(VALUE(SUBSTITUTE(TRIM('수출입 실적(품목별)'!H2747),",","")),"")</f>
        <v>-97874</v>
      </c>
    </row>
    <row r="2744" customFormat="false" ht="15" hidden="false" customHeight="true" outlineLevel="0" collapsed="false">
      <c r="A2744" s="11" t="str">
        <f aca="false">TRIM('수출입 실적(품목별)'!A2748)</f>
        <v>2026.05</v>
      </c>
      <c r="B2744" s="17" t="n">
        <f aca="false">IFERROR(VALUE(LEFT($A2744,4)),"")</f>
        <v>2026</v>
      </c>
      <c r="C2744" s="17" t="n">
        <f aca="false">IFERROR(VALUE(RIGHT($A2744,2)),"")</f>
        <v>5</v>
      </c>
      <c r="D2744" s="17" t="n">
        <f aca="false">IFERROR(ROUNDUP($C2744/3,0),"")</f>
        <v>2</v>
      </c>
      <c r="E2744" s="11" t="str">
        <f aca="false">TRIM('수출입 실적(품목별)'!B2748)</f>
        <v>48</v>
      </c>
      <c r="F2744" s="11" t="str">
        <f aca="false">TRIM('수출입 실적(품목별)'!C2748)</f>
        <v>종이와 판지, 제지용 펄프ㆍ종이ㆍ판지의 제품</v>
      </c>
      <c r="G2744" s="18" t="n">
        <f aca="false">IFERROR(VALUE(SUBSTITUTE(TRIM('수출입 실적(품목별)'!D2748),",","")),"")</f>
        <v>207112.6</v>
      </c>
      <c r="H2744" s="19" t="n">
        <f aca="false">IFERROR(VALUE(SUBSTITUTE(TRIM('수출입 실적(품목별)'!E2748),",","")),"")</f>
        <v>209019</v>
      </c>
      <c r="I2744" s="18" t="n">
        <f aca="false">IFERROR(VALUE(SUBSTITUTE(TRIM('수출입 실적(품목별)'!F2748),",","")),"")</f>
        <v>138013.6</v>
      </c>
      <c r="J2744" s="19" t="n">
        <f aca="false">IFERROR(VALUE(SUBSTITUTE(TRIM('수출입 실적(품목별)'!G2748),",","")),"")</f>
        <v>198417</v>
      </c>
      <c r="K2744" s="19" t="n">
        <f aca="false">IFERROR(VALUE(SUBSTITUTE(TRIM('수출입 실적(품목별)'!H2748),",","")),"")</f>
        <v>10602</v>
      </c>
    </row>
    <row r="2745" customFormat="false" ht="15" hidden="false" customHeight="true" outlineLevel="0" collapsed="false">
      <c r="A2745" s="11" t="str">
        <f aca="false">TRIM('수출입 실적(품목별)'!A2749)</f>
        <v>2026.05</v>
      </c>
      <c r="B2745" s="17" t="n">
        <f aca="false">IFERROR(VALUE(LEFT($A2745,4)),"")</f>
        <v>2026</v>
      </c>
      <c r="C2745" s="17" t="n">
        <f aca="false">IFERROR(VALUE(RIGHT($A2745,2)),"")</f>
        <v>5</v>
      </c>
      <c r="D2745" s="17" t="n">
        <f aca="false">IFERROR(ROUNDUP($C2745/3,0),"")</f>
        <v>2</v>
      </c>
      <c r="E2745" s="11" t="str">
        <f aca="false">TRIM('수출입 실적(품목별)'!B2749)</f>
        <v>49</v>
      </c>
      <c r="F2745" s="11" t="str">
        <f aca="false">TRIM('수출입 실적(품목별)'!C2749)</f>
        <v>인쇄서적ㆍ신문ㆍ회화ㆍ그 밖의 인쇄물, 수제(手製)문서ㆍ타자문서ㆍ도면</v>
      </c>
      <c r="G2745" s="18" t="n">
        <f aca="false">IFERROR(VALUE(SUBSTITUTE(TRIM('수출입 실적(품목별)'!D2749),",","")),"")</f>
        <v>4117.2</v>
      </c>
      <c r="H2745" s="19" t="n">
        <f aca="false">IFERROR(VALUE(SUBSTITUTE(TRIM('수출입 실적(품목별)'!E2749),",","")),"")</f>
        <v>30136</v>
      </c>
      <c r="I2745" s="18" t="n">
        <f aca="false">IFERROR(VALUE(SUBSTITUTE(TRIM('수출입 실적(품목별)'!F2749),",","")),"")</f>
        <v>1327.2</v>
      </c>
      <c r="J2745" s="19" t="n">
        <f aca="false">IFERROR(VALUE(SUBSTITUTE(TRIM('수출입 실적(품목별)'!G2749),",","")),"")</f>
        <v>49570</v>
      </c>
      <c r="K2745" s="19" t="n">
        <f aca="false">IFERROR(VALUE(SUBSTITUTE(TRIM('수출입 실적(품목별)'!H2749),",","")),"")</f>
        <v>-19433</v>
      </c>
    </row>
    <row r="2746" customFormat="false" ht="15" hidden="false" customHeight="true" outlineLevel="0" collapsed="false">
      <c r="A2746" s="11" t="str">
        <f aca="false">TRIM('수출입 실적(품목별)'!A2750)</f>
        <v>2026.05</v>
      </c>
      <c r="B2746" s="17" t="n">
        <f aca="false">IFERROR(VALUE(LEFT($A2746,4)),"")</f>
        <v>2026</v>
      </c>
      <c r="C2746" s="17" t="n">
        <f aca="false">IFERROR(VALUE(RIGHT($A2746,2)),"")</f>
        <v>5</v>
      </c>
      <c r="D2746" s="17" t="n">
        <f aca="false">IFERROR(ROUNDUP($C2746/3,0),"")</f>
        <v>2</v>
      </c>
      <c r="E2746" s="11" t="str">
        <f aca="false">TRIM('수출입 실적(품목별)'!B2750)</f>
        <v>50</v>
      </c>
      <c r="F2746" s="11" t="str">
        <f aca="false">TRIM('수출입 실적(품목별)'!C2750)</f>
        <v>견</v>
      </c>
      <c r="G2746" s="18" t="n">
        <f aca="false">IFERROR(VALUE(SUBSTITUTE(TRIM('수출입 실적(품목별)'!D2750),",","")),"")</f>
        <v>11.2</v>
      </c>
      <c r="H2746" s="19" t="n">
        <f aca="false">IFERROR(VALUE(SUBSTITUTE(TRIM('수출입 실적(품목별)'!E2750),",","")),"")</f>
        <v>1850</v>
      </c>
      <c r="I2746" s="18" t="n">
        <f aca="false">IFERROR(VALUE(SUBSTITUTE(TRIM('수출입 실적(품목별)'!F2750),",","")),"")</f>
        <v>32.6</v>
      </c>
      <c r="J2746" s="19" t="n">
        <f aca="false">IFERROR(VALUE(SUBSTITUTE(TRIM('수출입 실적(품목별)'!G2750),",","")),"")</f>
        <v>2370</v>
      </c>
      <c r="K2746" s="19" t="n">
        <f aca="false">IFERROR(VALUE(SUBSTITUTE(TRIM('수출입 실적(품목별)'!H2750),",","")),"")</f>
        <v>-520</v>
      </c>
    </row>
    <row r="2747" customFormat="false" ht="15" hidden="false" customHeight="true" outlineLevel="0" collapsed="false">
      <c r="A2747" s="11" t="str">
        <f aca="false">TRIM('수출입 실적(품목별)'!A2751)</f>
        <v>2026.05</v>
      </c>
      <c r="B2747" s="17" t="n">
        <f aca="false">IFERROR(VALUE(LEFT($A2747,4)),"")</f>
        <v>2026</v>
      </c>
      <c r="C2747" s="17" t="n">
        <f aca="false">IFERROR(VALUE(RIGHT($A2747,2)),"")</f>
        <v>5</v>
      </c>
      <c r="D2747" s="17" t="n">
        <f aca="false">IFERROR(ROUNDUP($C2747/3,0),"")</f>
        <v>2</v>
      </c>
      <c r="E2747" s="11" t="str">
        <f aca="false">TRIM('수출입 실적(품목별)'!B2751)</f>
        <v>51</v>
      </c>
      <c r="F2747" s="11" t="str">
        <f aca="false">TRIM('수출입 실적(품목별)'!C2751)</f>
        <v>양모ㆍ동물의 부드러운 털이나 거친 털ㆍ말의 털로 만든 실과 직물</v>
      </c>
      <c r="G2747" s="18" t="n">
        <f aca="false">IFERROR(VALUE(SUBSTITUTE(TRIM('수출입 실적(품목별)'!D2751),",","")),"")</f>
        <v>209.6</v>
      </c>
      <c r="H2747" s="19" t="n">
        <f aca="false">IFERROR(VALUE(SUBSTITUTE(TRIM('수출입 실적(품목별)'!E2751),",","")),"")</f>
        <v>5058</v>
      </c>
      <c r="I2747" s="18" t="n">
        <f aca="false">IFERROR(VALUE(SUBSTITUTE(TRIM('수출입 실적(품목별)'!F2751),",","")),"")</f>
        <v>796.9</v>
      </c>
      <c r="J2747" s="19" t="n">
        <f aca="false">IFERROR(VALUE(SUBSTITUTE(TRIM('수출입 실적(품목별)'!G2751),",","")),"")</f>
        <v>20272</v>
      </c>
      <c r="K2747" s="19" t="n">
        <f aca="false">IFERROR(VALUE(SUBSTITUTE(TRIM('수출입 실적(품목별)'!H2751),",","")),"")</f>
        <v>-15214</v>
      </c>
    </row>
    <row r="2748" customFormat="false" ht="15" hidden="false" customHeight="true" outlineLevel="0" collapsed="false">
      <c r="A2748" s="11" t="str">
        <f aca="false">TRIM('수출입 실적(품목별)'!A2752)</f>
        <v>2026.05</v>
      </c>
      <c r="B2748" s="17" t="n">
        <f aca="false">IFERROR(VALUE(LEFT($A2748,4)),"")</f>
        <v>2026</v>
      </c>
      <c r="C2748" s="17" t="n">
        <f aca="false">IFERROR(VALUE(RIGHT($A2748,2)),"")</f>
        <v>5</v>
      </c>
      <c r="D2748" s="17" t="n">
        <f aca="false">IFERROR(ROUNDUP($C2748/3,0),"")</f>
        <v>2</v>
      </c>
      <c r="E2748" s="11" t="str">
        <f aca="false">TRIM('수출입 실적(품목별)'!B2752)</f>
        <v>52</v>
      </c>
      <c r="F2748" s="11" t="str">
        <f aca="false">TRIM('수출입 실적(품목별)'!C2752)</f>
        <v>면</v>
      </c>
      <c r="G2748" s="18" t="n">
        <f aca="false">IFERROR(VALUE(SUBSTITUTE(TRIM('수출입 실적(품목별)'!D2752),",","")),"")</f>
        <v>2908.6</v>
      </c>
      <c r="H2748" s="19" t="n">
        <f aca="false">IFERROR(VALUE(SUBSTITUTE(TRIM('수출입 실적(품목별)'!E2752),",","")),"")</f>
        <v>22835</v>
      </c>
      <c r="I2748" s="18" t="n">
        <f aca="false">IFERROR(VALUE(SUBSTITUTE(TRIM('수출입 실적(품목별)'!F2752),",","")),"")</f>
        <v>18620.1</v>
      </c>
      <c r="J2748" s="19" t="n">
        <f aca="false">IFERROR(VALUE(SUBSTITUTE(TRIM('수출입 실적(품목별)'!G2752),",","")),"")</f>
        <v>59080</v>
      </c>
      <c r="K2748" s="19" t="n">
        <f aca="false">IFERROR(VALUE(SUBSTITUTE(TRIM('수출입 실적(품목별)'!H2752),",","")),"")</f>
        <v>-36245</v>
      </c>
    </row>
    <row r="2749" customFormat="false" ht="15" hidden="false" customHeight="true" outlineLevel="0" collapsed="false">
      <c r="A2749" s="11" t="str">
        <f aca="false">TRIM('수출입 실적(품목별)'!A2753)</f>
        <v>2026.05</v>
      </c>
      <c r="B2749" s="17" t="n">
        <f aca="false">IFERROR(VALUE(LEFT($A2749,4)),"")</f>
        <v>2026</v>
      </c>
      <c r="C2749" s="17" t="n">
        <f aca="false">IFERROR(VALUE(RIGHT($A2749,2)),"")</f>
        <v>5</v>
      </c>
      <c r="D2749" s="17" t="n">
        <f aca="false">IFERROR(ROUNDUP($C2749/3,0),"")</f>
        <v>2</v>
      </c>
      <c r="E2749" s="11" t="str">
        <f aca="false">TRIM('수출입 실적(품목별)'!B2753)</f>
        <v>53</v>
      </c>
      <c r="F2749" s="11" t="str">
        <f aca="false">TRIM('수출입 실적(품목별)'!C2753)</f>
        <v>그 밖의 식물성 방직용 섬유, 종이실(paper yarn)과 종이실로 만든 직물</v>
      </c>
      <c r="G2749" s="18" t="n">
        <f aca="false">IFERROR(VALUE(SUBSTITUTE(TRIM('수출입 실적(품목별)'!D2753),",","")),"")</f>
        <v>19.5</v>
      </c>
      <c r="H2749" s="19" t="n">
        <f aca="false">IFERROR(VALUE(SUBSTITUTE(TRIM('수출입 실적(품목별)'!E2753),",","")),"")</f>
        <v>344</v>
      </c>
      <c r="I2749" s="18" t="n">
        <f aca="false">IFERROR(VALUE(SUBSTITUTE(TRIM('수출입 실적(품목별)'!F2753),",","")),"")</f>
        <v>918</v>
      </c>
      <c r="J2749" s="19" t="n">
        <f aca="false">IFERROR(VALUE(SUBSTITUTE(TRIM('수출입 실적(품목별)'!G2753),",","")),"")</f>
        <v>4027</v>
      </c>
      <c r="K2749" s="19" t="n">
        <f aca="false">IFERROR(VALUE(SUBSTITUTE(TRIM('수출입 실적(품목별)'!H2753),",","")),"")</f>
        <v>-3682</v>
      </c>
    </row>
    <row r="2750" customFormat="false" ht="15" hidden="false" customHeight="true" outlineLevel="0" collapsed="false">
      <c r="A2750" s="11" t="str">
        <f aca="false">TRIM('수출입 실적(품목별)'!A2754)</f>
        <v>2026.05</v>
      </c>
      <c r="B2750" s="17" t="n">
        <f aca="false">IFERROR(VALUE(LEFT($A2750,4)),"")</f>
        <v>2026</v>
      </c>
      <c r="C2750" s="17" t="n">
        <f aca="false">IFERROR(VALUE(RIGHT($A2750,2)),"")</f>
        <v>5</v>
      </c>
      <c r="D2750" s="17" t="n">
        <f aca="false">IFERROR(ROUNDUP($C2750/3,0),"")</f>
        <v>2</v>
      </c>
      <c r="E2750" s="11" t="str">
        <f aca="false">TRIM('수출입 실적(품목별)'!B2754)</f>
        <v>54</v>
      </c>
      <c r="F2750" s="11" t="str">
        <f aca="false">TRIM('수출입 실적(품목별)'!C2754)</f>
        <v>인조필라멘트, 인조방직용 섬유재료의 스트립(strip)과 이와 유사한 것</v>
      </c>
      <c r="G2750" s="18" t="n">
        <f aca="false">IFERROR(VALUE(SUBSTITUTE(TRIM('수출입 실적(품목별)'!D2754),",","")),"")</f>
        <v>20120</v>
      </c>
      <c r="H2750" s="19" t="n">
        <f aca="false">IFERROR(VALUE(SUBSTITUTE(TRIM('수출입 실적(품목별)'!E2754),",","")),"")</f>
        <v>135343</v>
      </c>
      <c r="I2750" s="18" t="n">
        <f aca="false">IFERROR(VALUE(SUBSTITUTE(TRIM('수출입 실적(품목별)'!F2754),",","")),"")</f>
        <v>31464.8</v>
      </c>
      <c r="J2750" s="19" t="n">
        <f aca="false">IFERROR(VALUE(SUBSTITUTE(TRIM('수출입 실적(품목별)'!G2754),",","")),"")</f>
        <v>76322</v>
      </c>
      <c r="K2750" s="19" t="n">
        <f aca="false">IFERROR(VALUE(SUBSTITUTE(TRIM('수출입 실적(품목별)'!H2754),",","")),"")</f>
        <v>59021</v>
      </c>
    </row>
    <row r="2751" customFormat="false" ht="15" hidden="false" customHeight="true" outlineLevel="0" collapsed="false">
      <c r="A2751" s="11" t="str">
        <f aca="false">TRIM('수출입 실적(품목별)'!A2755)</f>
        <v>2026.05</v>
      </c>
      <c r="B2751" s="17" t="n">
        <f aca="false">IFERROR(VALUE(LEFT($A2751,4)),"")</f>
        <v>2026</v>
      </c>
      <c r="C2751" s="17" t="n">
        <f aca="false">IFERROR(VALUE(RIGHT($A2751,2)),"")</f>
        <v>5</v>
      </c>
      <c r="D2751" s="17" t="n">
        <f aca="false">IFERROR(ROUNDUP($C2751/3,0),"")</f>
        <v>2</v>
      </c>
      <c r="E2751" s="11" t="str">
        <f aca="false">TRIM('수출입 실적(품목별)'!B2755)</f>
        <v>55</v>
      </c>
      <c r="F2751" s="11" t="str">
        <f aca="false">TRIM('수출입 실적(품목별)'!C2755)</f>
        <v>인조스테이플섬유</v>
      </c>
      <c r="G2751" s="18" t="n">
        <f aca="false">IFERROR(VALUE(SUBSTITUTE(TRIM('수출입 실적(품목별)'!D2755),",","")),"")</f>
        <v>45572</v>
      </c>
      <c r="H2751" s="19" t="n">
        <f aca="false">IFERROR(VALUE(SUBSTITUTE(TRIM('수출입 실적(품목별)'!E2755),",","")),"")</f>
        <v>91335</v>
      </c>
      <c r="I2751" s="18" t="n">
        <f aca="false">IFERROR(VALUE(SUBSTITUTE(TRIM('수출입 실적(품목별)'!F2755),",","")),"")</f>
        <v>11707.8</v>
      </c>
      <c r="J2751" s="19" t="n">
        <f aca="false">IFERROR(VALUE(SUBSTITUTE(TRIM('수출입 실적(품목별)'!G2755),",","")),"")</f>
        <v>46482</v>
      </c>
      <c r="K2751" s="19" t="n">
        <f aca="false">IFERROR(VALUE(SUBSTITUTE(TRIM('수출입 실적(품목별)'!H2755),",","")),"")</f>
        <v>44853</v>
      </c>
    </row>
    <row r="2752" customFormat="false" ht="15" hidden="false" customHeight="true" outlineLevel="0" collapsed="false">
      <c r="A2752" s="11" t="str">
        <f aca="false">TRIM('수출입 실적(품목별)'!A2756)</f>
        <v>2026.05</v>
      </c>
      <c r="B2752" s="17" t="n">
        <f aca="false">IFERROR(VALUE(LEFT($A2752,4)),"")</f>
        <v>2026</v>
      </c>
      <c r="C2752" s="17" t="n">
        <f aca="false">IFERROR(VALUE(RIGHT($A2752,2)),"")</f>
        <v>5</v>
      </c>
      <c r="D2752" s="17" t="n">
        <f aca="false">IFERROR(ROUNDUP($C2752/3,0),"")</f>
        <v>2</v>
      </c>
      <c r="E2752" s="11" t="str">
        <f aca="false">TRIM('수출입 실적(품목별)'!B2756)</f>
        <v>56</v>
      </c>
      <c r="F2752" s="11" t="str">
        <f aca="false">TRIM('수출입 실적(품목별)'!C2756)</f>
        <v>워딩(wadding)ㆍ펠트(felt)ㆍ부직포, 특수사, 끈ㆍ배의 밧줄(cordage)ㆍ로프ㆍ케이블과 이들의 제품</v>
      </c>
      <c r="G2752" s="18" t="n">
        <f aca="false">IFERROR(VALUE(SUBSTITUTE(TRIM('수출입 실적(품목별)'!D2756),",","")),"")</f>
        <v>8466</v>
      </c>
      <c r="H2752" s="19" t="n">
        <f aca="false">IFERROR(VALUE(SUBSTITUTE(TRIM('수출입 실적(품목별)'!E2756),",","")),"")</f>
        <v>57400</v>
      </c>
      <c r="I2752" s="18" t="n">
        <f aca="false">IFERROR(VALUE(SUBSTITUTE(TRIM('수출입 실적(품목별)'!F2756),",","")),"")</f>
        <v>20451.5</v>
      </c>
      <c r="J2752" s="19" t="n">
        <f aca="false">IFERROR(VALUE(SUBSTITUTE(TRIM('수출입 실적(품목별)'!G2756),",","")),"")</f>
        <v>64356</v>
      </c>
      <c r="K2752" s="19" t="n">
        <f aca="false">IFERROR(VALUE(SUBSTITUTE(TRIM('수출입 실적(품목별)'!H2756),",","")),"")</f>
        <v>-6955</v>
      </c>
    </row>
    <row r="2753" customFormat="false" ht="15" hidden="false" customHeight="true" outlineLevel="0" collapsed="false">
      <c r="A2753" s="11" t="str">
        <f aca="false">TRIM('수출입 실적(품목별)'!A2757)</f>
        <v>2026.05</v>
      </c>
      <c r="B2753" s="17" t="n">
        <f aca="false">IFERROR(VALUE(LEFT($A2753,4)),"")</f>
        <v>2026</v>
      </c>
      <c r="C2753" s="17" t="n">
        <f aca="false">IFERROR(VALUE(RIGHT($A2753,2)),"")</f>
        <v>5</v>
      </c>
      <c r="D2753" s="17" t="n">
        <f aca="false">IFERROR(ROUNDUP($C2753/3,0),"")</f>
        <v>2</v>
      </c>
      <c r="E2753" s="11" t="str">
        <f aca="false">TRIM('수출입 실적(품목별)'!B2757)</f>
        <v>57</v>
      </c>
      <c r="F2753" s="11" t="str">
        <f aca="false">TRIM('수출입 실적(품목별)'!C2757)</f>
        <v>양탄자류와 그 밖의 방직용 섬유로 만든 바닥깔개</v>
      </c>
      <c r="G2753" s="18" t="n">
        <f aca="false">IFERROR(VALUE(SUBSTITUTE(TRIM('수출입 실적(품목별)'!D2757),",","")),"")</f>
        <v>549.7</v>
      </c>
      <c r="H2753" s="19" t="n">
        <f aca="false">IFERROR(VALUE(SUBSTITUTE(TRIM('수출입 실적(품목별)'!E2757),",","")),"")</f>
        <v>3758</v>
      </c>
      <c r="I2753" s="18" t="n">
        <f aca="false">IFERROR(VALUE(SUBSTITUTE(TRIM('수출입 실적(품목별)'!F2757),",","")),"")</f>
        <v>5254.4</v>
      </c>
      <c r="J2753" s="19" t="n">
        <f aca="false">IFERROR(VALUE(SUBSTITUTE(TRIM('수출입 실적(품목별)'!G2757),",","")),"")</f>
        <v>8200</v>
      </c>
      <c r="K2753" s="19" t="n">
        <f aca="false">IFERROR(VALUE(SUBSTITUTE(TRIM('수출입 실적(품목별)'!H2757),",","")),"")</f>
        <v>-4442</v>
      </c>
    </row>
    <row r="2754" customFormat="false" ht="15" hidden="false" customHeight="true" outlineLevel="0" collapsed="false">
      <c r="A2754" s="11" t="str">
        <f aca="false">TRIM('수출입 실적(품목별)'!A2758)</f>
        <v>2026.05</v>
      </c>
      <c r="B2754" s="17" t="n">
        <f aca="false">IFERROR(VALUE(LEFT($A2754,4)),"")</f>
        <v>2026</v>
      </c>
      <c r="C2754" s="17" t="n">
        <f aca="false">IFERROR(VALUE(RIGHT($A2754,2)),"")</f>
        <v>5</v>
      </c>
      <c r="D2754" s="17" t="n">
        <f aca="false">IFERROR(ROUNDUP($C2754/3,0),"")</f>
        <v>2</v>
      </c>
      <c r="E2754" s="11" t="str">
        <f aca="false">TRIM('수출입 실적(품목별)'!B2758)</f>
        <v>58</v>
      </c>
      <c r="F2754" s="11" t="str">
        <f aca="false">TRIM('수출입 실적(품목별)'!C2758)</f>
        <v>특수직물, 터프트(tuft)한 직물, 레이스, 태피스트리(tapestry), 트리밍(trimming), 자수천</v>
      </c>
      <c r="G2754" s="18" t="n">
        <f aca="false">IFERROR(VALUE(SUBSTITUTE(TRIM('수출입 실적(품목별)'!D2758),",","")),"")</f>
        <v>1191.3</v>
      </c>
      <c r="H2754" s="19" t="n">
        <f aca="false">IFERROR(VALUE(SUBSTITUTE(TRIM('수출입 실적(품목별)'!E2758),",","")),"")</f>
        <v>14991</v>
      </c>
      <c r="I2754" s="18" t="n">
        <f aca="false">IFERROR(VALUE(SUBSTITUTE(TRIM('수출입 실적(품목별)'!F2758),",","")),"")</f>
        <v>884.8</v>
      </c>
      <c r="J2754" s="19" t="n">
        <f aca="false">IFERROR(VALUE(SUBSTITUTE(TRIM('수출입 실적(품목별)'!G2758),",","")),"")</f>
        <v>6897</v>
      </c>
      <c r="K2754" s="19" t="n">
        <f aca="false">IFERROR(VALUE(SUBSTITUTE(TRIM('수출입 실적(품목별)'!H2758),",","")),"")</f>
        <v>8093</v>
      </c>
    </row>
    <row r="2755" customFormat="false" ht="15" hidden="false" customHeight="true" outlineLevel="0" collapsed="false">
      <c r="A2755" s="11" t="str">
        <f aca="false">TRIM('수출입 실적(품목별)'!A2759)</f>
        <v>2026.05</v>
      </c>
      <c r="B2755" s="17" t="n">
        <f aca="false">IFERROR(VALUE(LEFT($A2755,4)),"")</f>
        <v>2026</v>
      </c>
      <c r="C2755" s="17" t="n">
        <f aca="false">IFERROR(VALUE(RIGHT($A2755,2)),"")</f>
        <v>5</v>
      </c>
      <c r="D2755" s="17" t="n">
        <f aca="false">IFERROR(ROUNDUP($C2755/3,0),"")</f>
        <v>2</v>
      </c>
      <c r="E2755" s="11" t="str">
        <f aca="false">TRIM('수출입 실적(품목별)'!B2759)</f>
        <v>59</v>
      </c>
      <c r="F2755" s="11" t="str">
        <f aca="false">TRIM('수출입 실적(품목별)'!C2759)</f>
        <v>침투ㆍ도포ㆍ피복하거나 적층한 방직용 섬유의 직물, 공업용인 방직용 섬유제품</v>
      </c>
      <c r="G2755" s="18" t="n">
        <f aca="false">IFERROR(VALUE(SUBSTITUTE(TRIM('수출입 실적(품목별)'!D2759),",","")),"")</f>
        <v>8533.2</v>
      </c>
      <c r="H2755" s="19" t="n">
        <f aca="false">IFERROR(VALUE(SUBSTITUTE(TRIM('수출입 실적(품목별)'!E2759),",","")),"")</f>
        <v>87499</v>
      </c>
      <c r="I2755" s="18" t="n">
        <f aca="false">IFERROR(VALUE(SUBSTITUTE(TRIM('수출입 실적(품목별)'!F2759),",","")),"")</f>
        <v>6444.9</v>
      </c>
      <c r="J2755" s="19" t="n">
        <f aca="false">IFERROR(VALUE(SUBSTITUTE(TRIM('수출입 실적(품목별)'!G2759),",","")),"")</f>
        <v>38679</v>
      </c>
      <c r="K2755" s="19" t="n">
        <f aca="false">IFERROR(VALUE(SUBSTITUTE(TRIM('수출입 실적(품목별)'!H2759),",","")),"")</f>
        <v>48820</v>
      </c>
    </row>
    <row r="2756" customFormat="false" ht="15" hidden="false" customHeight="true" outlineLevel="0" collapsed="false">
      <c r="A2756" s="11" t="str">
        <f aca="false">TRIM('수출입 실적(품목별)'!A2760)</f>
        <v>2026.05</v>
      </c>
      <c r="B2756" s="17" t="n">
        <f aca="false">IFERROR(VALUE(LEFT($A2756,4)),"")</f>
        <v>2026</v>
      </c>
      <c r="C2756" s="17" t="n">
        <f aca="false">IFERROR(VALUE(RIGHT($A2756,2)),"")</f>
        <v>5</v>
      </c>
      <c r="D2756" s="17" t="n">
        <f aca="false">IFERROR(ROUNDUP($C2756/3,0),"")</f>
        <v>2</v>
      </c>
      <c r="E2756" s="11" t="str">
        <f aca="false">TRIM('수출입 실적(품목별)'!B2760)</f>
        <v>60</v>
      </c>
      <c r="F2756" s="11" t="str">
        <f aca="false">TRIM('수출입 실적(품목별)'!C2760)</f>
        <v>메리야스 편물과 뜨개질 편물</v>
      </c>
      <c r="G2756" s="18" t="n">
        <f aca="false">IFERROR(VALUE(SUBSTITUTE(TRIM('수출입 실적(품목별)'!D2760),",","")),"")</f>
        <v>14177.9</v>
      </c>
      <c r="H2756" s="19" t="n">
        <f aca="false">IFERROR(VALUE(SUBSTITUTE(TRIM('수출입 실적(품목별)'!E2760),",","")),"")</f>
        <v>107438</v>
      </c>
      <c r="I2756" s="18" t="n">
        <f aca="false">IFERROR(VALUE(SUBSTITUTE(TRIM('수출입 실적(품목별)'!F2760),",","")),"")</f>
        <v>1636</v>
      </c>
      <c r="J2756" s="19" t="n">
        <f aca="false">IFERROR(VALUE(SUBSTITUTE(TRIM('수출입 실적(품목별)'!G2760),",","")),"")</f>
        <v>8596</v>
      </c>
      <c r="K2756" s="19" t="n">
        <f aca="false">IFERROR(VALUE(SUBSTITUTE(TRIM('수출입 실적(품목별)'!H2760),",","")),"")</f>
        <v>98842</v>
      </c>
    </row>
    <row r="2757" customFormat="false" ht="15" hidden="false" customHeight="true" outlineLevel="0" collapsed="false">
      <c r="A2757" s="11" t="str">
        <f aca="false">TRIM('수출입 실적(품목별)'!A2761)</f>
        <v>2026.05</v>
      </c>
      <c r="B2757" s="17" t="n">
        <f aca="false">IFERROR(VALUE(LEFT($A2757,4)),"")</f>
        <v>2026</v>
      </c>
      <c r="C2757" s="17" t="n">
        <f aca="false">IFERROR(VALUE(RIGHT($A2757,2)),"")</f>
        <v>5</v>
      </c>
      <c r="D2757" s="17" t="n">
        <f aca="false">IFERROR(ROUNDUP($C2757/3,0),"")</f>
        <v>2</v>
      </c>
      <c r="E2757" s="11" t="str">
        <f aca="false">TRIM('수출입 실적(품목별)'!B2761)</f>
        <v>61</v>
      </c>
      <c r="F2757" s="11" t="str">
        <f aca="false">TRIM('수출입 실적(품목별)'!C2761)</f>
        <v>의류와 그 부속품(메리야스 편물이나 뜨개질 편물로 한정한다)</v>
      </c>
      <c r="G2757" s="18" t="n">
        <f aca="false">IFERROR(VALUE(SUBSTITUTE(TRIM('수출입 실적(품목별)'!D2761),",","")),"")</f>
        <v>2268.4</v>
      </c>
      <c r="H2757" s="19" t="n">
        <f aca="false">IFERROR(VALUE(SUBSTITUTE(TRIM('수출입 실적(품목별)'!E2761),",","")),"")</f>
        <v>70852</v>
      </c>
      <c r="I2757" s="18" t="n">
        <f aca="false">IFERROR(VALUE(SUBSTITUTE(TRIM('수출입 실적(품목별)'!F2761),",","")),"")</f>
        <v>17883.7</v>
      </c>
      <c r="J2757" s="19" t="n">
        <f aca="false">IFERROR(VALUE(SUBSTITUTE(TRIM('수출입 실적(품목별)'!G2761),",","")),"")</f>
        <v>344333</v>
      </c>
      <c r="K2757" s="19" t="n">
        <f aca="false">IFERROR(VALUE(SUBSTITUTE(TRIM('수출입 실적(품목별)'!H2761),",","")),"")</f>
        <v>-273481</v>
      </c>
    </row>
    <row r="2758" customFormat="false" ht="15" hidden="false" customHeight="true" outlineLevel="0" collapsed="false">
      <c r="A2758" s="11" t="str">
        <f aca="false">TRIM('수출입 실적(품목별)'!A2762)</f>
        <v>2026.05</v>
      </c>
      <c r="B2758" s="17" t="n">
        <f aca="false">IFERROR(VALUE(LEFT($A2758,4)),"")</f>
        <v>2026</v>
      </c>
      <c r="C2758" s="17" t="n">
        <f aca="false">IFERROR(VALUE(RIGHT($A2758,2)),"")</f>
        <v>5</v>
      </c>
      <c r="D2758" s="17" t="n">
        <f aca="false">IFERROR(ROUNDUP($C2758/3,0),"")</f>
        <v>2</v>
      </c>
      <c r="E2758" s="11" t="str">
        <f aca="false">TRIM('수출입 실적(품목별)'!B2762)</f>
        <v>62</v>
      </c>
      <c r="F2758" s="11" t="str">
        <f aca="false">TRIM('수출입 실적(품목별)'!C2762)</f>
        <v>의류와 그 부속품(메리야스 편물이나 뜨개질편물은 제외한다)</v>
      </c>
      <c r="G2758" s="18" t="n">
        <f aca="false">IFERROR(VALUE(SUBSTITUTE(TRIM('수출입 실적(품목별)'!D2762),",","")),"")</f>
        <v>2820.3</v>
      </c>
      <c r="H2758" s="19" t="n">
        <f aca="false">IFERROR(VALUE(SUBSTITUTE(TRIM('수출입 실적(품목별)'!E2762),",","")),"")</f>
        <v>74158</v>
      </c>
      <c r="I2758" s="18" t="n">
        <f aca="false">IFERROR(VALUE(SUBSTITUTE(TRIM('수출입 실적(품목별)'!F2762),",","")),"")</f>
        <v>15783</v>
      </c>
      <c r="J2758" s="19" t="n">
        <f aca="false">IFERROR(VALUE(SUBSTITUTE(TRIM('수출입 실적(품목별)'!G2762),",","")),"")</f>
        <v>410950</v>
      </c>
      <c r="K2758" s="19" t="n">
        <f aca="false">IFERROR(VALUE(SUBSTITUTE(TRIM('수출입 실적(품목별)'!H2762),",","")),"")</f>
        <v>-336791</v>
      </c>
    </row>
    <row r="2759" customFormat="false" ht="15" hidden="false" customHeight="true" outlineLevel="0" collapsed="false">
      <c r="A2759" s="11" t="str">
        <f aca="false">TRIM('수출입 실적(품목별)'!A2763)</f>
        <v>2026.05</v>
      </c>
      <c r="B2759" s="17" t="n">
        <f aca="false">IFERROR(VALUE(LEFT($A2759,4)),"")</f>
        <v>2026</v>
      </c>
      <c r="C2759" s="17" t="n">
        <f aca="false">IFERROR(VALUE(RIGHT($A2759,2)),"")</f>
        <v>5</v>
      </c>
      <c r="D2759" s="17" t="n">
        <f aca="false">IFERROR(ROUNDUP($C2759/3,0),"")</f>
        <v>2</v>
      </c>
      <c r="E2759" s="11" t="str">
        <f aca="false">TRIM('수출입 실적(품목별)'!B2763)</f>
        <v>63</v>
      </c>
      <c r="F2759" s="11" t="str">
        <f aca="false">TRIM('수출입 실적(품목별)'!C2763)</f>
        <v>제품으로 된 방직용 섬유의 그 밖의 물품, 세트, 사용하던 의류ㆍ방직용 섬유제품, 넝마</v>
      </c>
      <c r="G2759" s="18" t="n">
        <f aca="false">IFERROR(VALUE(SUBSTITUTE(TRIM('수출입 실적(품목별)'!D2763),",","")),"")</f>
        <v>26278.6</v>
      </c>
      <c r="H2759" s="19" t="n">
        <f aca="false">IFERROR(VALUE(SUBSTITUTE(TRIM('수출입 실적(품목별)'!E2763),",","")),"")</f>
        <v>46196</v>
      </c>
      <c r="I2759" s="18" t="n">
        <f aca="false">IFERROR(VALUE(SUBSTITUTE(TRIM('수출입 실적(품목별)'!F2763),",","")),"")</f>
        <v>25129.6</v>
      </c>
      <c r="J2759" s="19" t="n">
        <f aca="false">IFERROR(VALUE(SUBSTITUTE(TRIM('수출입 실적(품목별)'!G2763),",","")),"")</f>
        <v>116657</v>
      </c>
      <c r="K2759" s="19" t="n">
        <f aca="false">IFERROR(VALUE(SUBSTITUTE(TRIM('수출입 실적(품목별)'!H2763),",","")),"")</f>
        <v>-70461</v>
      </c>
    </row>
    <row r="2760" customFormat="false" ht="15" hidden="false" customHeight="true" outlineLevel="0" collapsed="false">
      <c r="A2760" s="11" t="str">
        <f aca="false">TRIM('수출입 실적(품목별)'!A2764)</f>
        <v>2026.05</v>
      </c>
      <c r="B2760" s="17" t="n">
        <f aca="false">IFERROR(VALUE(LEFT($A2760,4)),"")</f>
        <v>2026</v>
      </c>
      <c r="C2760" s="17" t="n">
        <f aca="false">IFERROR(VALUE(RIGHT($A2760,2)),"")</f>
        <v>5</v>
      </c>
      <c r="D2760" s="17" t="n">
        <f aca="false">IFERROR(ROUNDUP($C2760/3,0),"")</f>
        <v>2</v>
      </c>
      <c r="E2760" s="11" t="str">
        <f aca="false">TRIM('수출입 실적(품목별)'!B2764)</f>
        <v>64</v>
      </c>
      <c r="F2760" s="11" t="str">
        <f aca="false">TRIM('수출입 실적(품목별)'!C2764)</f>
        <v>신발류ㆍ각반과 이와 유사한 것, 이들의 부분품</v>
      </c>
      <c r="G2760" s="18" t="n">
        <f aca="false">IFERROR(VALUE(SUBSTITUTE(TRIM('수출입 실적(품목별)'!D2764),",","")),"")</f>
        <v>1260.4</v>
      </c>
      <c r="H2760" s="19" t="n">
        <f aca="false">IFERROR(VALUE(SUBSTITUTE(TRIM('수출입 실적(품목별)'!E2764),",","")),"")</f>
        <v>37447</v>
      </c>
      <c r="I2760" s="18" t="n">
        <f aca="false">IFERROR(VALUE(SUBSTITUTE(TRIM('수출입 실적(품목별)'!F2764),",","")),"")</f>
        <v>11203.7</v>
      </c>
      <c r="J2760" s="19" t="n">
        <f aca="false">IFERROR(VALUE(SUBSTITUTE(TRIM('수출입 실적(품목별)'!G2764),",","")),"")</f>
        <v>278048</v>
      </c>
      <c r="K2760" s="19" t="n">
        <f aca="false">IFERROR(VALUE(SUBSTITUTE(TRIM('수출입 실적(품목별)'!H2764),",","")),"")</f>
        <v>-240601</v>
      </c>
    </row>
    <row r="2761" customFormat="false" ht="15" hidden="false" customHeight="true" outlineLevel="0" collapsed="false">
      <c r="A2761" s="11" t="str">
        <f aca="false">TRIM('수출입 실적(품목별)'!A2765)</f>
        <v>2026.05</v>
      </c>
      <c r="B2761" s="17" t="n">
        <f aca="false">IFERROR(VALUE(LEFT($A2761,4)),"")</f>
        <v>2026</v>
      </c>
      <c r="C2761" s="17" t="n">
        <f aca="false">IFERROR(VALUE(RIGHT($A2761,2)),"")</f>
        <v>5</v>
      </c>
      <c r="D2761" s="17" t="n">
        <f aca="false">IFERROR(ROUNDUP($C2761/3,0),"")</f>
        <v>2</v>
      </c>
      <c r="E2761" s="11" t="str">
        <f aca="false">TRIM('수출입 실적(품목별)'!B2765)</f>
        <v>65</v>
      </c>
      <c r="F2761" s="11" t="str">
        <f aca="false">TRIM('수출입 실적(품목별)'!C2765)</f>
        <v>모자류와 그 부분품</v>
      </c>
      <c r="G2761" s="18" t="n">
        <f aca="false">IFERROR(VALUE(SUBSTITUTE(TRIM('수출입 실적(품목별)'!D2765),",","")),"")</f>
        <v>258.8</v>
      </c>
      <c r="H2761" s="19" t="n">
        <f aca="false">IFERROR(VALUE(SUBSTITUTE(TRIM('수출입 실적(품목별)'!E2765),",","")),"")</f>
        <v>11955</v>
      </c>
      <c r="I2761" s="18" t="n">
        <f aca="false">IFERROR(VALUE(SUBSTITUTE(TRIM('수출입 실적(품목별)'!F2765),",","")),"")</f>
        <v>982.1</v>
      </c>
      <c r="J2761" s="19" t="n">
        <f aca="false">IFERROR(VALUE(SUBSTITUTE(TRIM('수출입 실적(품목별)'!G2765),",","")),"")</f>
        <v>25811</v>
      </c>
      <c r="K2761" s="19" t="n">
        <f aca="false">IFERROR(VALUE(SUBSTITUTE(TRIM('수출입 실적(품목별)'!H2765),",","")),"")</f>
        <v>-13856</v>
      </c>
    </row>
    <row r="2762" customFormat="false" ht="15" hidden="false" customHeight="true" outlineLevel="0" collapsed="false">
      <c r="A2762" s="11" t="str">
        <f aca="false">TRIM('수출입 실적(품목별)'!A2766)</f>
        <v>2026.05</v>
      </c>
      <c r="B2762" s="17" t="n">
        <f aca="false">IFERROR(VALUE(LEFT($A2762,4)),"")</f>
        <v>2026</v>
      </c>
      <c r="C2762" s="17" t="n">
        <f aca="false">IFERROR(VALUE(RIGHT($A2762,2)),"")</f>
        <v>5</v>
      </c>
      <c r="D2762" s="17" t="n">
        <f aca="false">IFERROR(ROUNDUP($C2762/3,0),"")</f>
        <v>2</v>
      </c>
      <c r="E2762" s="11" t="str">
        <f aca="false">TRIM('수출입 실적(품목별)'!B2766)</f>
        <v>66</v>
      </c>
      <c r="F2762" s="11" t="str">
        <f aca="false">TRIM('수출입 실적(품목별)'!C2766)</f>
        <v>산류(傘類)ㆍ지팡이ㆍ시트스틱(seat-stick)ㆍ채찍ㆍ승마용 채찍과 이들의 부분품</v>
      </c>
      <c r="G2762" s="18" t="n">
        <f aca="false">IFERROR(VALUE(SUBSTITUTE(TRIM('수출입 실적(품목별)'!D2766),",","")),"")</f>
        <v>7.4</v>
      </c>
      <c r="H2762" s="19" t="n">
        <f aca="false">IFERROR(VALUE(SUBSTITUTE(TRIM('수출입 실적(품목별)'!E2766),",","")),"")</f>
        <v>351</v>
      </c>
      <c r="I2762" s="18" t="n">
        <f aca="false">IFERROR(VALUE(SUBSTITUTE(TRIM('수출입 실적(품목별)'!F2766),",","")),"")</f>
        <v>2230.3</v>
      </c>
      <c r="J2762" s="19" t="n">
        <f aca="false">IFERROR(VALUE(SUBSTITUTE(TRIM('수출입 실적(품목별)'!G2766),",","")),"")</f>
        <v>16826</v>
      </c>
      <c r="K2762" s="19" t="n">
        <f aca="false">IFERROR(VALUE(SUBSTITUTE(TRIM('수출입 실적(품목별)'!H2766),",","")),"")</f>
        <v>-16475</v>
      </c>
    </row>
    <row r="2763" customFormat="false" ht="15" hidden="false" customHeight="true" outlineLevel="0" collapsed="false">
      <c r="A2763" s="11" t="str">
        <f aca="false">TRIM('수출입 실적(품목별)'!A2767)</f>
        <v>2026.05</v>
      </c>
      <c r="B2763" s="17" t="n">
        <f aca="false">IFERROR(VALUE(LEFT($A2763,4)),"")</f>
        <v>2026</v>
      </c>
      <c r="C2763" s="17" t="n">
        <f aca="false">IFERROR(VALUE(RIGHT($A2763,2)),"")</f>
        <v>5</v>
      </c>
      <c r="D2763" s="17" t="n">
        <f aca="false">IFERROR(ROUNDUP($C2763/3,0),"")</f>
        <v>2</v>
      </c>
      <c r="E2763" s="11" t="str">
        <f aca="false">TRIM('수출입 실적(품목별)'!B2767)</f>
        <v>67</v>
      </c>
      <c r="F2763" s="11" t="str">
        <f aca="false">TRIM('수출입 실적(품목별)'!C2767)</f>
        <v>조제 깃털ㆍ솜털과 그 제품, 조화, 사람 머리카락으로 된 제품</v>
      </c>
      <c r="G2763" s="18" t="n">
        <f aca="false">IFERROR(VALUE(SUBSTITUTE(TRIM('수출입 실적(품목별)'!D2767),",","")),"")</f>
        <v>35.8</v>
      </c>
      <c r="H2763" s="19" t="n">
        <f aca="false">IFERROR(VALUE(SUBSTITUTE(TRIM('수출입 실적(품목별)'!E2767),",","")),"")</f>
        <v>1524</v>
      </c>
      <c r="I2763" s="18" t="n">
        <f aca="false">IFERROR(VALUE(SUBSTITUTE(TRIM('수출입 실적(품목별)'!F2767),",","")),"")</f>
        <v>427.2</v>
      </c>
      <c r="J2763" s="19" t="n">
        <f aca="false">IFERROR(VALUE(SUBSTITUTE(TRIM('수출입 실적(품목별)'!G2767),",","")),"")</f>
        <v>7801</v>
      </c>
      <c r="K2763" s="19" t="n">
        <f aca="false">IFERROR(VALUE(SUBSTITUTE(TRIM('수출입 실적(품목별)'!H2767),",","")),"")</f>
        <v>-6277</v>
      </c>
    </row>
    <row r="2764" customFormat="false" ht="15" hidden="false" customHeight="true" outlineLevel="0" collapsed="false">
      <c r="A2764" s="11" t="str">
        <f aca="false">TRIM('수출입 실적(품목별)'!A2768)</f>
        <v>2026.05</v>
      </c>
      <c r="B2764" s="17" t="n">
        <f aca="false">IFERROR(VALUE(LEFT($A2764,4)),"")</f>
        <v>2026</v>
      </c>
      <c r="C2764" s="17" t="n">
        <f aca="false">IFERROR(VALUE(RIGHT($A2764,2)),"")</f>
        <v>5</v>
      </c>
      <c r="D2764" s="17" t="n">
        <f aca="false">IFERROR(ROUNDUP($C2764/3,0),"")</f>
        <v>2</v>
      </c>
      <c r="E2764" s="11" t="str">
        <f aca="false">TRIM('수출입 실적(품목별)'!B2768)</f>
        <v>68</v>
      </c>
      <c r="F2764" s="11" t="str">
        <f aca="false">TRIM('수출입 실적(품목별)'!C2768)</f>
        <v>돌ㆍ플라스터(plaster)ㆍ시멘트ㆍ석면ㆍ운모나 이와 유사한 재료의 제품</v>
      </c>
      <c r="G2764" s="18" t="n">
        <f aca="false">IFERROR(VALUE(SUBSTITUTE(TRIM('수출입 실적(품목별)'!D2768),",","")),"")</f>
        <v>10804.2</v>
      </c>
      <c r="H2764" s="19" t="n">
        <f aca="false">IFERROR(VALUE(SUBSTITUTE(TRIM('수출입 실적(품목별)'!E2768),",","")),"")</f>
        <v>88360</v>
      </c>
      <c r="I2764" s="18" t="n">
        <f aca="false">IFERROR(VALUE(SUBSTITUTE(TRIM('수출입 실적(품목별)'!F2768),",","")),"")</f>
        <v>157657.8</v>
      </c>
      <c r="J2764" s="19" t="n">
        <f aca="false">IFERROR(VALUE(SUBSTITUTE(TRIM('수출입 실적(품목별)'!G2768),",","")),"")</f>
        <v>101534</v>
      </c>
      <c r="K2764" s="19" t="n">
        <f aca="false">IFERROR(VALUE(SUBSTITUTE(TRIM('수출입 실적(품목별)'!H2768),",","")),"")</f>
        <v>-13174</v>
      </c>
    </row>
    <row r="2765" customFormat="false" ht="15" hidden="false" customHeight="true" outlineLevel="0" collapsed="false">
      <c r="A2765" s="11" t="str">
        <f aca="false">TRIM('수출입 실적(품목별)'!A2769)</f>
        <v>2026.05</v>
      </c>
      <c r="B2765" s="17" t="n">
        <f aca="false">IFERROR(VALUE(LEFT($A2765,4)),"")</f>
        <v>2026</v>
      </c>
      <c r="C2765" s="17" t="n">
        <f aca="false">IFERROR(VALUE(RIGHT($A2765,2)),"")</f>
        <v>5</v>
      </c>
      <c r="D2765" s="17" t="n">
        <f aca="false">IFERROR(ROUNDUP($C2765/3,0),"")</f>
        <v>2</v>
      </c>
      <c r="E2765" s="11" t="str">
        <f aca="false">TRIM('수출입 실적(품목별)'!B2769)</f>
        <v>69</v>
      </c>
      <c r="F2765" s="11" t="str">
        <f aca="false">TRIM('수출입 실적(품목별)'!C2769)</f>
        <v>도자제품</v>
      </c>
      <c r="G2765" s="18" t="n">
        <f aca="false">IFERROR(VALUE(SUBSTITUTE(TRIM('수출입 실적(품목별)'!D2769),",","")),"")</f>
        <v>2846.4</v>
      </c>
      <c r="H2765" s="19" t="n">
        <f aca="false">IFERROR(VALUE(SUBSTITUTE(TRIM('수출입 실적(품목별)'!E2769),",","")),"")</f>
        <v>34580</v>
      </c>
      <c r="I2765" s="18" t="n">
        <f aca="false">IFERROR(VALUE(SUBSTITUTE(TRIM('수출입 실적(품목별)'!F2769),",","")),"")</f>
        <v>107076.4</v>
      </c>
      <c r="J2765" s="19" t="n">
        <f aca="false">IFERROR(VALUE(SUBSTITUTE(TRIM('수출입 실적(품목별)'!G2769),",","")),"")</f>
        <v>118444</v>
      </c>
      <c r="K2765" s="19" t="n">
        <f aca="false">IFERROR(VALUE(SUBSTITUTE(TRIM('수출입 실적(품목별)'!H2769),",","")),"")</f>
        <v>-83864</v>
      </c>
    </row>
    <row r="2766" customFormat="false" ht="15" hidden="false" customHeight="true" outlineLevel="0" collapsed="false">
      <c r="A2766" s="11" t="str">
        <f aca="false">TRIM('수출입 실적(품목별)'!A2770)</f>
        <v>2026.05</v>
      </c>
      <c r="B2766" s="17" t="n">
        <f aca="false">IFERROR(VALUE(LEFT($A2766,4)),"")</f>
        <v>2026</v>
      </c>
      <c r="C2766" s="17" t="n">
        <f aca="false">IFERROR(VALUE(RIGHT($A2766,2)),"")</f>
        <v>5</v>
      </c>
      <c r="D2766" s="17" t="n">
        <f aca="false">IFERROR(ROUNDUP($C2766/3,0),"")</f>
        <v>2</v>
      </c>
      <c r="E2766" s="11" t="str">
        <f aca="false">TRIM('수출입 실적(품목별)'!B2770)</f>
        <v>70</v>
      </c>
      <c r="F2766" s="11" t="str">
        <f aca="false">TRIM('수출입 실적(품목별)'!C2770)</f>
        <v>유리와 유리제품</v>
      </c>
      <c r="G2766" s="18" t="n">
        <f aca="false">IFERROR(VALUE(SUBSTITUTE(TRIM('수출입 실적(품목별)'!D2770),",","")),"")</f>
        <v>26791</v>
      </c>
      <c r="H2766" s="19" t="n">
        <f aca="false">IFERROR(VALUE(SUBSTITUTE(TRIM('수출입 실적(품목별)'!E2770),",","")),"")</f>
        <v>143102</v>
      </c>
      <c r="I2766" s="18" t="n">
        <f aca="false">IFERROR(VALUE(SUBSTITUTE(TRIM('수출입 실적(품목별)'!F2770),",","")),"")</f>
        <v>78740.5</v>
      </c>
      <c r="J2766" s="19" t="n">
        <f aca="false">IFERROR(VALUE(SUBSTITUTE(TRIM('수출입 실적(품목별)'!G2770),",","")),"")</f>
        <v>226900</v>
      </c>
      <c r="K2766" s="19" t="n">
        <f aca="false">IFERROR(VALUE(SUBSTITUTE(TRIM('수출입 실적(품목별)'!H2770),",","")),"")</f>
        <v>-83798</v>
      </c>
    </row>
    <row r="2767" customFormat="false" ht="15" hidden="false" customHeight="true" outlineLevel="0" collapsed="false">
      <c r="A2767" s="11" t="str">
        <f aca="false">TRIM('수출입 실적(품목별)'!A2771)</f>
        <v>2026.05</v>
      </c>
      <c r="B2767" s="17" t="n">
        <f aca="false">IFERROR(VALUE(LEFT($A2767,4)),"")</f>
        <v>2026</v>
      </c>
      <c r="C2767" s="17" t="n">
        <f aca="false">IFERROR(VALUE(RIGHT($A2767,2)),"")</f>
        <v>5</v>
      </c>
      <c r="D2767" s="17" t="n">
        <f aca="false">IFERROR(ROUNDUP($C2767/3,0),"")</f>
        <v>2</v>
      </c>
      <c r="E2767" s="11" t="str">
        <f aca="false">TRIM('수출입 실적(품목별)'!B2771)</f>
        <v>71</v>
      </c>
      <c r="F2767" s="11" t="str">
        <f aca="false">TRIM('수출입 실적(품목별)'!C2771)</f>
        <v>천연진주ㆍ양식진주ㆍ귀석ㆍ반귀석ㆍ귀금속ㆍ귀금속을 입힌 금속과 이들의 제품, 모조 신변장식용품, 주화</v>
      </c>
      <c r="G2767" s="18" t="n">
        <f aca="false">IFERROR(VALUE(SUBSTITUTE(TRIM('수출입 실적(품목별)'!D2771),",","")),"")</f>
        <v>467.2</v>
      </c>
      <c r="H2767" s="19" t="n">
        <f aca="false">IFERROR(VALUE(SUBSTITUTE(TRIM('수출입 실적(품목별)'!E2771),",","")),"")</f>
        <v>1711971</v>
      </c>
      <c r="I2767" s="18" t="n">
        <f aca="false">IFERROR(VALUE(SUBSTITUTE(TRIM('수출입 실적(품목별)'!F2771),",","")),"")</f>
        <v>1888.2</v>
      </c>
      <c r="J2767" s="19" t="n">
        <f aca="false">IFERROR(VALUE(SUBSTITUTE(TRIM('수출입 실적(품목별)'!G2771),",","")),"")</f>
        <v>1047935</v>
      </c>
      <c r="K2767" s="19" t="n">
        <f aca="false">IFERROR(VALUE(SUBSTITUTE(TRIM('수출입 실적(품목별)'!H2771),",","")),"")</f>
        <v>664037</v>
      </c>
    </row>
    <row r="2768" customFormat="false" ht="15" hidden="false" customHeight="true" outlineLevel="0" collapsed="false">
      <c r="A2768" s="11" t="str">
        <f aca="false">TRIM('수출입 실적(품목별)'!A2772)</f>
        <v>2026.05</v>
      </c>
      <c r="B2768" s="17" t="n">
        <f aca="false">IFERROR(VALUE(LEFT($A2768,4)),"")</f>
        <v>2026</v>
      </c>
      <c r="C2768" s="17" t="n">
        <f aca="false">IFERROR(VALUE(RIGHT($A2768,2)),"")</f>
        <v>5</v>
      </c>
      <c r="D2768" s="17" t="n">
        <f aca="false">IFERROR(ROUNDUP($C2768/3,0),"")</f>
        <v>2</v>
      </c>
      <c r="E2768" s="11" t="str">
        <f aca="false">TRIM('수출입 실적(품목별)'!B2772)</f>
        <v>72</v>
      </c>
      <c r="F2768" s="11" t="str">
        <f aca="false">TRIM('수출입 실적(품목별)'!C2772)</f>
        <v>철강</v>
      </c>
      <c r="G2768" s="18" t="n">
        <f aca="false">IFERROR(VALUE(SUBSTITUTE(TRIM('수출입 실적(품목별)'!D2772),",","")),"")</f>
        <v>2152382.6</v>
      </c>
      <c r="H2768" s="19" t="n">
        <f aca="false">IFERROR(VALUE(SUBSTITUTE(TRIM('수출입 실적(품목별)'!E2772),",","")),"")</f>
        <v>1869834</v>
      </c>
      <c r="I2768" s="18" t="n">
        <f aca="false">IFERROR(VALUE(SUBSTITUTE(TRIM('수출입 실적(품목별)'!F2772),",","")),"")</f>
        <v>1196416.4</v>
      </c>
      <c r="J2768" s="19" t="n">
        <f aca="false">IFERROR(VALUE(SUBSTITUTE(TRIM('수출입 실적(품목별)'!G2772),",","")),"")</f>
        <v>992123</v>
      </c>
      <c r="K2768" s="19" t="n">
        <f aca="false">IFERROR(VALUE(SUBSTITUTE(TRIM('수출입 실적(품목별)'!H2772),",","")),"")</f>
        <v>877711</v>
      </c>
    </row>
    <row r="2769" customFormat="false" ht="15" hidden="false" customHeight="true" outlineLevel="0" collapsed="false">
      <c r="A2769" s="11" t="str">
        <f aca="false">TRIM('수출입 실적(품목별)'!A2773)</f>
        <v>2026.05</v>
      </c>
      <c r="B2769" s="17" t="n">
        <f aca="false">IFERROR(VALUE(LEFT($A2769,4)),"")</f>
        <v>2026</v>
      </c>
      <c r="C2769" s="17" t="n">
        <f aca="false">IFERROR(VALUE(RIGHT($A2769,2)),"")</f>
        <v>5</v>
      </c>
      <c r="D2769" s="17" t="n">
        <f aca="false">IFERROR(ROUNDUP($C2769/3,0),"")</f>
        <v>2</v>
      </c>
      <c r="E2769" s="11" t="str">
        <f aca="false">TRIM('수출입 실적(품목별)'!B2773)</f>
        <v>73</v>
      </c>
      <c r="F2769" s="11" t="str">
        <f aca="false">TRIM('수출입 실적(품목별)'!C2773)</f>
        <v>철강의 제품</v>
      </c>
      <c r="G2769" s="18" t="n">
        <f aca="false">IFERROR(VALUE(SUBSTITUTE(TRIM('수출입 실적(품목별)'!D2773),",","")),"")</f>
        <v>296783.2</v>
      </c>
      <c r="H2769" s="19" t="n">
        <f aca="false">IFERROR(VALUE(SUBSTITUTE(TRIM('수출입 실적(품목별)'!E2773),",","")),"")</f>
        <v>711347</v>
      </c>
      <c r="I2769" s="18" t="n">
        <f aca="false">IFERROR(VALUE(SUBSTITUTE(TRIM('수출입 실적(품목별)'!F2773),",","")),"")</f>
        <v>236551</v>
      </c>
      <c r="J2769" s="19" t="n">
        <f aca="false">IFERROR(VALUE(SUBSTITUTE(TRIM('수출입 실적(품목별)'!G2773),",","")),"")</f>
        <v>632325</v>
      </c>
      <c r="K2769" s="19" t="n">
        <f aca="false">IFERROR(VALUE(SUBSTITUTE(TRIM('수출입 실적(품목별)'!H2773),",","")),"")</f>
        <v>79021</v>
      </c>
    </row>
    <row r="2770" customFormat="false" ht="15" hidden="false" customHeight="true" outlineLevel="0" collapsed="false">
      <c r="A2770" s="11" t="str">
        <f aca="false">TRIM('수출입 실적(품목별)'!A2774)</f>
        <v>2026.05</v>
      </c>
      <c r="B2770" s="17" t="n">
        <f aca="false">IFERROR(VALUE(LEFT($A2770,4)),"")</f>
        <v>2026</v>
      </c>
      <c r="C2770" s="17" t="n">
        <f aca="false">IFERROR(VALUE(RIGHT($A2770,2)),"")</f>
        <v>5</v>
      </c>
      <c r="D2770" s="17" t="n">
        <f aca="false">IFERROR(ROUNDUP($C2770/3,0),"")</f>
        <v>2</v>
      </c>
      <c r="E2770" s="11" t="str">
        <f aca="false">TRIM('수출입 실적(품목별)'!B2774)</f>
        <v>74</v>
      </c>
      <c r="F2770" s="11" t="str">
        <f aca="false">TRIM('수출입 실적(품목별)'!C2774)</f>
        <v>구리와 그 제품</v>
      </c>
      <c r="G2770" s="18" t="n">
        <f aca="false">IFERROR(VALUE(SUBSTITUTE(TRIM('수출입 실적(품목별)'!D2774),",","")),"")</f>
        <v>64086.7</v>
      </c>
      <c r="H2770" s="19" t="n">
        <f aca="false">IFERROR(VALUE(SUBSTITUTE(TRIM('수출입 실적(품목별)'!E2774),",","")),"")</f>
        <v>861455</v>
      </c>
      <c r="I2770" s="18" t="n">
        <f aca="false">IFERROR(VALUE(SUBSTITUTE(TRIM('수출입 실적(품목별)'!F2774),",","")),"")</f>
        <v>71148.3</v>
      </c>
      <c r="J2770" s="19" t="n">
        <f aca="false">IFERROR(VALUE(SUBSTITUTE(TRIM('수출입 실적(품목별)'!G2774),",","")),"")</f>
        <v>930818</v>
      </c>
      <c r="K2770" s="19" t="n">
        <f aca="false">IFERROR(VALUE(SUBSTITUTE(TRIM('수출입 실적(품목별)'!H2774),",","")),"")</f>
        <v>-69363</v>
      </c>
    </row>
    <row r="2771" customFormat="false" ht="15" hidden="false" customHeight="true" outlineLevel="0" collapsed="false">
      <c r="A2771" s="11" t="str">
        <f aca="false">TRIM('수출입 실적(품목별)'!A2775)</f>
        <v>2026.05</v>
      </c>
      <c r="B2771" s="17" t="n">
        <f aca="false">IFERROR(VALUE(LEFT($A2771,4)),"")</f>
        <v>2026</v>
      </c>
      <c r="C2771" s="17" t="n">
        <f aca="false">IFERROR(VALUE(RIGHT($A2771,2)),"")</f>
        <v>5</v>
      </c>
      <c r="D2771" s="17" t="n">
        <f aca="false">IFERROR(ROUNDUP($C2771/3,0),"")</f>
        <v>2</v>
      </c>
      <c r="E2771" s="11" t="str">
        <f aca="false">TRIM('수출입 실적(품목별)'!B2775)</f>
        <v>75</v>
      </c>
      <c r="F2771" s="11" t="str">
        <f aca="false">TRIM('수출입 실적(품목별)'!C2775)</f>
        <v>니켈과 그 제품</v>
      </c>
      <c r="G2771" s="18" t="n">
        <f aca="false">IFERROR(VALUE(SUBSTITUTE(TRIM('수출입 실적(품목별)'!D2775),",","")),"")</f>
        <v>920.1</v>
      </c>
      <c r="H2771" s="19" t="n">
        <f aca="false">IFERROR(VALUE(SUBSTITUTE(TRIM('수출입 실적(품목별)'!E2775),",","")),"")</f>
        <v>20286</v>
      </c>
      <c r="I2771" s="18" t="n">
        <f aca="false">IFERROR(VALUE(SUBSTITUTE(TRIM('수출입 실적(품목별)'!F2775),",","")),"")</f>
        <v>3707.7</v>
      </c>
      <c r="J2771" s="19" t="n">
        <f aca="false">IFERROR(VALUE(SUBSTITUTE(TRIM('수출입 실적(품목별)'!G2775),",","")),"")</f>
        <v>89845</v>
      </c>
      <c r="K2771" s="19" t="n">
        <f aca="false">IFERROR(VALUE(SUBSTITUTE(TRIM('수출입 실적(품목별)'!H2775),",","")),"")</f>
        <v>-69559</v>
      </c>
    </row>
    <row r="2772" customFormat="false" ht="15" hidden="false" customHeight="true" outlineLevel="0" collapsed="false">
      <c r="A2772" s="11" t="str">
        <f aca="false">TRIM('수출입 실적(품목별)'!A2776)</f>
        <v>2026.05</v>
      </c>
      <c r="B2772" s="17" t="n">
        <f aca="false">IFERROR(VALUE(LEFT($A2772,4)),"")</f>
        <v>2026</v>
      </c>
      <c r="C2772" s="17" t="n">
        <f aca="false">IFERROR(VALUE(RIGHT($A2772,2)),"")</f>
        <v>5</v>
      </c>
      <c r="D2772" s="17" t="n">
        <f aca="false">IFERROR(ROUNDUP($C2772/3,0),"")</f>
        <v>2</v>
      </c>
      <c r="E2772" s="11" t="str">
        <f aca="false">TRIM('수출입 실적(품목별)'!B2776)</f>
        <v>76</v>
      </c>
      <c r="F2772" s="11" t="str">
        <f aca="false">TRIM('수출입 실적(품목별)'!C2776)</f>
        <v>알루미늄과 그 제품</v>
      </c>
      <c r="G2772" s="18" t="n">
        <f aca="false">IFERROR(VALUE(SUBSTITUTE(TRIM('수출입 실적(품목별)'!D2776),",","")),"")</f>
        <v>118596.2</v>
      </c>
      <c r="H2772" s="19" t="n">
        <f aca="false">IFERROR(VALUE(SUBSTITUTE(TRIM('수출입 실적(품목별)'!E2776),",","")),"")</f>
        <v>593495</v>
      </c>
      <c r="I2772" s="18" t="n">
        <f aca="false">IFERROR(VALUE(SUBSTITUTE(TRIM('수출입 실적(품목별)'!F2776),",","")),"")</f>
        <v>257779.4</v>
      </c>
      <c r="J2772" s="19" t="n">
        <f aca="false">IFERROR(VALUE(SUBSTITUTE(TRIM('수출입 실적(품목별)'!G2776),",","")),"")</f>
        <v>1026091</v>
      </c>
      <c r="K2772" s="19" t="n">
        <f aca="false">IFERROR(VALUE(SUBSTITUTE(TRIM('수출입 실적(품목별)'!H2776),",","")),"")</f>
        <v>-432596</v>
      </c>
    </row>
    <row r="2773" customFormat="false" ht="15" hidden="false" customHeight="true" outlineLevel="0" collapsed="false">
      <c r="A2773" s="11" t="str">
        <f aca="false">TRIM('수출입 실적(품목별)'!A2777)</f>
        <v>2026.05</v>
      </c>
      <c r="B2773" s="17" t="n">
        <f aca="false">IFERROR(VALUE(LEFT($A2773,4)),"")</f>
        <v>2026</v>
      </c>
      <c r="C2773" s="17" t="n">
        <f aca="false">IFERROR(VALUE(RIGHT($A2773,2)),"")</f>
        <v>5</v>
      </c>
      <c r="D2773" s="17" t="n">
        <f aca="false">IFERROR(ROUNDUP($C2773/3,0),"")</f>
        <v>2</v>
      </c>
      <c r="E2773" s="11" t="str">
        <f aca="false">TRIM('수출입 실적(품목별)'!B2777)</f>
        <v>78</v>
      </c>
      <c r="F2773" s="11" t="str">
        <f aca="false">TRIM('수출입 실적(품목별)'!C2777)</f>
        <v>납과 그 제품</v>
      </c>
      <c r="G2773" s="18" t="n">
        <f aca="false">IFERROR(VALUE(SUBSTITUTE(TRIM('수출입 실적(품목별)'!D2777),",","")),"")</f>
        <v>23482</v>
      </c>
      <c r="H2773" s="19" t="n">
        <f aca="false">IFERROR(VALUE(SUBSTITUTE(TRIM('수출입 실적(품목별)'!E2777),",","")),"")</f>
        <v>53683</v>
      </c>
      <c r="I2773" s="18" t="n">
        <f aca="false">IFERROR(VALUE(SUBSTITUTE(TRIM('수출입 실적(품목별)'!F2777),",","")),"")</f>
        <v>13085.1</v>
      </c>
      <c r="J2773" s="19" t="n">
        <f aca="false">IFERROR(VALUE(SUBSTITUTE(TRIM('수출입 실적(품목별)'!G2777),",","")),"")</f>
        <v>30962</v>
      </c>
      <c r="K2773" s="19" t="n">
        <f aca="false">IFERROR(VALUE(SUBSTITUTE(TRIM('수출입 실적(품목별)'!H2777),",","")),"")</f>
        <v>22720</v>
      </c>
    </row>
    <row r="2774" customFormat="false" ht="15" hidden="false" customHeight="true" outlineLevel="0" collapsed="false">
      <c r="A2774" s="11" t="str">
        <f aca="false">TRIM('수출입 실적(품목별)'!A2778)</f>
        <v>2026.05</v>
      </c>
      <c r="B2774" s="17" t="n">
        <f aca="false">IFERROR(VALUE(LEFT($A2774,4)),"")</f>
        <v>2026</v>
      </c>
      <c r="C2774" s="17" t="n">
        <f aca="false">IFERROR(VALUE(RIGHT($A2774,2)),"")</f>
        <v>5</v>
      </c>
      <c r="D2774" s="17" t="n">
        <f aca="false">IFERROR(ROUNDUP($C2774/3,0),"")</f>
        <v>2</v>
      </c>
      <c r="E2774" s="11" t="str">
        <f aca="false">TRIM('수출입 실적(품목별)'!B2778)</f>
        <v>79</v>
      </c>
      <c r="F2774" s="11" t="str">
        <f aca="false">TRIM('수출입 실적(품목별)'!C2778)</f>
        <v>아연과 그 제품</v>
      </c>
      <c r="G2774" s="18" t="n">
        <f aca="false">IFERROR(VALUE(SUBSTITUTE(TRIM('수출입 실적(품목별)'!D2778),",","")),"")</f>
        <v>26257.7</v>
      </c>
      <c r="H2774" s="19" t="n">
        <f aca="false">IFERROR(VALUE(SUBSTITUTE(TRIM('수출입 실적(품목별)'!E2778),",","")),"")</f>
        <v>94046</v>
      </c>
      <c r="I2774" s="18" t="n">
        <f aca="false">IFERROR(VALUE(SUBSTITUTE(TRIM('수출입 실적(품목별)'!F2778),",","")),"")</f>
        <v>2303.7</v>
      </c>
      <c r="J2774" s="19" t="n">
        <f aca="false">IFERROR(VALUE(SUBSTITUTE(TRIM('수출입 실적(품목별)'!G2778),",","")),"")</f>
        <v>10395</v>
      </c>
      <c r="K2774" s="19" t="n">
        <f aca="false">IFERROR(VALUE(SUBSTITUTE(TRIM('수출입 실적(품목별)'!H2778),",","")),"")</f>
        <v>83651</v>
      </c>
    </row>
    <row r="2775" customFormat="false" ht="15" hidden="false" customHeight="true" outlineLevel="0" collapsed="false">
      <c r="A2775" s="11" t="str">
        <f aca="false">TRIM('수출입 실적(품목별)'!A2779)</f>
        <v>2026.05</v>
      </c>
      <c r="B2775" s="17" t="n">
        <f aca="false">IFERROR(VALUE(LEFT($A2775,4)),"")</f>
        <v>2026</v>
      </c>
      <c r="C2775" s="17" t="n">
        <f aca="false">IFERROR(VALUE(RIGHT($A2775,2)),"")</f>
        <v>5</v>
      </c>
      <c r="D2775" s="17" t="n">
        <f aca="false">IFERROR(ROUNDUP($C2775/3,0),"")</f>
        <v>2</v>
      </c>
      <c r="E2775" s="11" t="str">
        <f aca="false">TRIM('수출입 실적(품목별)'!B2779)</f>
        <v>80</v>
      </c>
      <c r="F2775" s="11" t="str">
        <f aca="false">TRIM('수출입 실적(품목별)'!C2779)</f>
        <v>주석과 그 제품</v>
      </c>
      <c r="G2775" s="18" t="n">
        <f aca="false">IFERROR(VALUE(SUBSTITUTE(TRIM('수출입 실적(품목별)'!D2779),",","")),"")</f>
        <v>113.1</v>
      </c>
      <c r="H2775" s="19" t="n">
        <f aca="false">IFERROR(VALUE(SUBSTITUTE(TRIM('수출입 실적(품목별)'!E2779),",","")),"")</f>
        <v>10287</v>
      </c>
      <c r="I2775" s="18" t="n">
        <f aca="false">IFERROR(VALUE(SUBSTITUTE(TRIM('수출입 실적(품목별)'!F2779),",","")),"")</f>
        <v>980.4</v>
      </c>
      <c r="J2775" s="19" t="n">
        <f aca="false">IFERROR(VALUE(SUBSTITUTE(TRIM('수출입 실적(품목별)'!G2779),",","")),"")</f>
        <v>52669</v>
      </c>
      <c r="K2775" s="19" t="n">
        <f aca="false">IFERROR(VALUE(SUBSTITUTE(TRIM('수출입 실적(품목별)'!H2779),",","")),"")</f>
        <v>-42382</v>
      </c>
    </row>
    <row r="2776" customFormat="false" ht="15" hidden="false" customHeight="true" outlineLevel="0" collapsed="false">
      <c r="A2776" s="11" t="str">
        <f aca="false">TRIM('수출입 실적(품목별)'!A2780)</f>
        <v>2026.05</v>
      </c>
      <c r="B2776" s="17" t="n">
        <f aca="false">IFERROR(VALUE(LEFT($A2776,4)),"")</f>
        <v>2026</v>
      </c>
      <c r="C2776" s="17" t="n">
        <f aca="false">IFERROR(VALUE(RIGHT($A2776,2)),"")</f>
        <v>5</v>
      </c>
      <c r="D2776" s="17" t="n">
        <f aca="false">IFERROR(ROUNDUP($C2776/3,0),"")</f>
        <v>2</v>
      </c>
      <c r="E2776" s="11" t="str">
        <f aca="false">TRIM('수출입 실적(품목별)'!B2780)</f>
        <v>81</v>
      </c>
      <c r="F2776" s="11" t="str">
        <f aca="false">TRIM('수출입 실적(품목별)'!C2780)</f>
        <v>그 밖의 비금속(卑金屬), 서멧(cermet), 이들의 제품</v>
      </c>
      <c r="G2776" s="18" t="n">
        <f aca="false">IFERROR(VALUE(SUBSTITUTE(TRIM('수출입 실적(품목별)'!D2780),",","")),"")</f>
        <v>2541.3</v>
      </c>
      <c r="H2776" s="19" t="n">
        <f aca="false">IFERROR(VALUE(SUBSTITUTE(TRIM('수출입 실적(품목별)'!E2780),",","")),"")</f>
        <v>53665</v>
      </c>
      <c r="I2776" s="18" t="n">
        <f aca="false">IFERROR(VALUE(SUBSTITUTE(TRIM('수출입 실적(품목별)'!F2780),",","")),"")</f>
        <v>17066.2</v>
      </c>
      <c r="J2776" s="19" t="n">
        <f aca="false">IFERROR(VALUE(SUBSTITUTE(TRIM('수출입 실적(품목별)'!G2780),",","")),"")</f>
        <v>177942</v>
      </c>
      <c r="K2776" s="19" t="n">
        <f aca="false">IFERROR(VALUE(SUBSTITUTE(TRIM('수출입 실적(품목별)'!H2780),",","")),"")</f>
        <v>-124277</v>
      </c>
    </row>
    <row r="2777" customFormat="false" ht="15" hidden="false" customHeight="true" outlineLevel="0" collapsed="false">
      <c r="A2777" s="11" t="str">
        <f aca="false">TRIM('수출입 실적(품목별)'!A2781)</f>
        <v>2026.05</v>
      </c>
      <c r="B2777" s="17" t="n">
        <f aca="false">IFERROR(VALUE(LEFT($A2777,4)),"")</f>
        <v>2026</v>
      </c>
      <c r="C2777" s="17" t="n">
        <f aca="false">IFERROR(VALUE(RIGHT($A2777,2)),"")</f>
        <v>5</v>
      </c>
      <c r="D2777" s="17" t="n">
        <f aca="false">IFERROR(ROUNDUP($C2777/3,0),"")</f>
        <v>2</v>
      </c>
      <c r="E2777" s="11" t="str">
        <f aca="false">TRIM('수출입 실적(품목별)'!B2781)</f>
        <v>82</v>
      </c>
      <c r="F2777" s="11" t="str">
        <f aca="false">TRIM('수출입 실적(품목별)'!C2781)</f>
        <v>비금속(卑金屬)으로 만든 공구ㆍ도구ㆍ칼붙이ㆍ스푼ㆍ포크, 이들의 부분품</v>
      </c>
      <c r="G2777" s="18" t="n">
        <f aca="false">IFERROR(VALUE(SUBSTITUTE(TRIM('수출입 실적(품목별)'!D2781),",","")),"")</f>
        <v>10654.1</v>
      </c>
      <c r="H2777" s="19" t="n">
        <f aca="false">IFERROR(VALUE(SUBSTITUTE(TRIM('수출입 실적(품목별)'!E2781),",","")),"")</f>
        <v>207831</v>
      </c>
      <c r="I2777" s="18" t="n">
        <f aca="false">IFERROR(VALUE(SUBSTITUTE(TRIM('수출입 실적(품목별)'!F2781),",","")),"")</f>
        <v>5227.1</v>
      </c>
      <c r="J2777" s="19" t="n">
        <f aca="false">IFERROR(VALUE(SUBSTITUTE(TRIM('수출입 실적(품목별)'!G2781),",","")),"")</f>
        <v>92359</v>
      </c>
      <c r="K2777" s="19" t="n">
        <f aca="false">IFERROR(VALUE(SUBSTITUTE(TRIM('수출입 실적(품목별)'!H2781),",","")),"")</f>
        <v>115472</v>
      </c>
    </row>
    <row r="2778" customFormat="false" ht="15" hidden="false" customHeight="true" outlineLevel="0" collapsed="false">
      <c r="A2778" s="11" t="str">
        <f aca="false">TRIM('수출입 실적(품목별)'!A2782)</f>
        <v>2026.05</v>
      </c>
      <c r="B2778" s="17" t="n">
        <f aca="false">IFERROR(VALUE(LEFT($A2778,4)),"")</f>
        <v>2026</v>
      </c>
      <c r="C2778" s="17" t="n">
        <f aca="false">IFERROR(VALUE(RIGHT($A2778,2)),"")</f>
        <v>5</v>
      </c>
      <c r="D2778" s="17" t="n">
        <f aca="false">IFERROR(ROUNDUP($C2778/3,0),"")</f>
        <v>2</v>
      </c>
      <c r="E2778" s="11" t="str">
        <f aca="false">TRIM('수출입 실적(품목별)'!B2782)</f>
        <v>83</v>
      </c>
      <c r="F2778" s="11" t="str">
        <f aca="false">TRIM('수출입 실적(품목별)'!C2782)</f>
        <v>비금속(卑金屬)으로 만든 각종 제품</v>
      </c>
      <c r="G2778" s="18" t="n">
        <f aca="false">IFERROR(VALUE(SUBSTITUTE(TRIM('수출입 실적(품목별)'!D2782),",","")),"")</f>
        <v>21868.8</v>
      </c>
      <c r="H2778" s="19" t="n">
        <f aca="false">IFERROR(VALUE(SUBSTITUTE(TRIM('수출입 실적(품목별)'!E2782),",","")),"")</f>
        <v>126918</v>
      </c>
      <c r="I2778" s="18" t="n">
        <f aca="false">IFERROR(VALUE(SUBSTITUTE(TRIM('수출입 실적(품목별)'!F2782),",","")),"")</f>
        <v>12161.1</v>
      </c>
      <c r="J2778" s="19" t="n">
        <f aca="false">IFERROR(VALUE(SUBSTITUTE(TRIM('수출입 실적(품목별)'!G2782),",","")),"")</f>
        <v>81709</v>
      </c>
      <c r="K2778" s="19" t="n">
        <f aca="false">IFERROR(VALUE(SUBSTITUTE(TRIM('수출입 실적(품목별)'!H2782),",","")),"")</f>
        <v>45209</v>
      </c>
    </row>
    <row r="2779" customFormat="false" ht="15" hidden="false" customHeight="true" outlineLevel="0" collapsed="false">
      <c r="A2779" s="11" t="str">
        <f aca="false">TRIM('수출입 실적(품목별)'!A2783)</f>
        <v>2026.05</v>
      </c>
      <c r="B2779" s="17" t="n">
        <f aca="false">IFERROR(VALUE(LEFT($A2779,4)),"")</f>
        <v>2026</v>
      </c>
      <c r="C2779" s="17" t="n">
        <f aca="false">IFERROR(VALUE(RIGHT($A2779,2)),"")</f>
        <v>5</v>
      </c>
      <c r="D2779" s="17" t="n">
        <f aca="false">IFERROR(ROUNDUP($C2779/3,0),"")</f>
        <v>2</v>
      </c>
      <c r="E2779" s="11" t="str">
        <f aca="false">TRIM('수출입 실적(품목별)'!B2783)</f>
        <v>84</v>
      </c>
      <c r="F2779" s="11" t="str">
        <f aca="false">TRIM('수출입 실적(품목별)'!C2783)</f>
        <v>원자로ㆍ보일러ㆍ기계류와 이들의 부분품</v>
      </c>
      <c r="G2779" s="18" t="n">
        <f aca="false">IFERROR(VALUE(SUBSTITUTE(TRIM('수출입 실적(품목별)'!D2783),",","")),"")</f>
        <v>351118.2</v>
      </c>
      <c r="H2779" s="19" t="n">
        <f aca="false">IFERROR(VALUE(SUBSTITUTE(TRIM('수출입 실적(품목별)'!E2783),",","")),"")</f>
        <v>12074910</v>
      </c>
      <c r="I2779" s="18" t="n">
        <f aca="false">IFERROR(VALUE(SUBSTITUTE(TRIM('수출입 실적(품목별)'!F2783),",","")),"")</f>
        <v>228979.4</v>
      </c>
      <c r="J2779" s="19" t="n">
        <f aca="false">IFERROR(VALUE(SUBSTITUTE(TRIM('수출입 실적(품목별)'!G2783),",","")),"")</f>
        <v>7288378</v>
      </c>
      <c r="K2779" s="19" t="n">
        <f aca="false">IFERROR(VALUE(SUBSTITUTE(TRIM('수출입 실적(품목별)'!H2783),",","")),"")</f>
        <v>4786532</v>
      </c>
    </row>
    <row r="2780" customFormat="false" ht="15" hidden="false" customHeight="true" outlineLevel="0" collapsed="false">
      <c r="A2780" s="11" t="str">
        <f aca="false">TRIM('수출입 실적(품목별)'!A2784)</f>
        <v>2026.05</v>
      </c>
      <c r="B2780" s="17" t="n">
        <f aca="false">IFERROR(VALUE(LEFT($A2780,4)),"")</f>
        <v>2026</v>
      </c>
      <c r="C2780" s="17" t="n">
        <f aca="false">IFERROR(VALUE(RIGHT($A2780,2)),"")</f>
        <v>5</v>
      </c>
      <c r="D2780" s="17" t="n">
        <f aca="false">IFERROR(ROUNDUP($C2780/3,0),"")</f>
        <v>2</v>
      </c>
      <c r="E2780" s="11" t="str">
        <f aca="false">TRIM('수출입 실적(품목별)'!B2784)</f>
        <v>85</v>
      </c>
      <c r="F2780" s="11" t="str">
        <f aca="false">TRIM('수출입 실적(품목별)'!C2784)</f>
        <v>전기기기와 그 부분품, 녹음기ㆍ음성 재생기ㆍ텔레비전의 영상과 음성의 기록기ㆍ재생기와 이들의 부분품ㆍ부속품</v>
      </c>
      <c r="G2780" s="18" t="n">
        <f aca="false">IFERROR(VALUE(SUBSTITUTE(TRIM('수출입 실적(품목별)'!D2784),",","")),"")</f>
        <v>201467.7</v>
      </c>
      <c r="H2780" s="19" t="n">
        <f aca="false">IFERROR(VALUE(SUBSTITUTE(TRIM('수출입 실적(품목별)'!E2784),",","")),"")</f>
        <v>40230637</v>
      </c>
      <c r="I2780" s="18" t="n">
        <f aca="false">IFERROR(VALUE(SUBSTITUTE(TRIM('수출입 실적(품목별)'!F2784),",","")),"")</f>
        <v>202634.3</v>
      </c>
      <c r="J2780" s="19" t="n">
        <f aca="false">IFERROR(VALUE(SUBSTITUTE(TRIM('수출입 실적(품목별)'!G2784),",","")),"")</f>
        <v>13237022</v>
      </c>
      <c r="K2780" s="19" t="n">
        <f aca="false">IFERROR(VALUE(SUBSTITUTE(TRIM('수출입 실적(품목별)'!H2784),",","")),"")</f>
        <v>26993615</v>
      </c>
    </row>
    <row r="2781" customFormat="false" ht="15" hidden="false" customHeight="true" outlineLevel="0" collapsed="false">
      <c r="A2781" s="11" t="str">
        <f aca="false">TRIM('수출입 실적(품목별)'!A2785)</f>
        <v>2026.05</v>
      </c>
      <c r="B2781" s="17" t="n">
        <f aca="false">IFERROR(VALUE(LEFT($A2781,4)),"")</f>
        <v>2026</v>
      </c>
      <c r="C2781" s="17" t="n">
        <f aca="false">IFERROR(VALUE(RIGHT($A2781,2)),"")</f>
        <v>5</v>
      </c>
      <c r="D2781" s="17" t="n">
        <f aca="false">IFERROR(ROUNDUP($C2781/3,0),"")</f>
        <v>2</v>
      </c>
      <c r="E2781" s="11" t="str">
        <f aca="false">TRIM('수출입 실적(품목별)'!B2785)</f>
        <v>86</v>
      </c>
      <c r="F2781" s="11" t="str">
        <f aca="false">TRIM('수출입 실적(품목별)'!C2785)</f>
        <v>철도용이나 궤도용 기관차ㆍ차량과 이들의 부분품, 철도용이나 궤도용 장비품과 그 부분품, 기계식(전기기계식을 포함한다) 각종 교통신호용 기기</v>
      </c>
      <c r="G2781" s="18" t="n">
        <f aca="false">IFERROR(VALUE(SUBSTITUTE(TRIM('수출입 실적(품목별)'!D2785),",","")),"")</f>
        <v>10942.9</v>
      </c>
      <c r="H2781" s="19" t="n">
        <f aca="false">IFERROR(VALUE(SUBSTITUTE(TRIM('수출입 실적(품목별)'!E2785),",","")),"")</f>
        <v>90169</v>
      </c>
      <c r="I2781" s="18" t="n">
        <f aca="false">IFERROR(VALUE(SUBSTITUTE(TRIM('수출입 실적(품목별)'!F2785),",","")),"")</f>
        <v>14744.3</v>
      </c>
      <c r="J2781" s="19" t="n">
        <f aca="false">IFERROR(VALUE(SUBSTITUTE(TRIM('수출입 실적(품목별)'!G2785),",","")),"")</f>
        <v>48822</v>
      </c>
      <c r="K2781" s="19" t="n">
        <f aca="false">IFERROR(VALUE(SUBSTITUTE(TRIM('수출입 실적(품목별)'!H2785),",","")),"")</f>
        <v>41348</v>
      </c>
    </row>
    <row r="2782" customFormat="false" ht="15" hidden="false" customHeight="true" outlineLevel="0" collapsed="false">
      <c r="A2782" s="11" t="str">
        <f aca="false">TRIM('수출입 실적(품목별)'!A2786)</f>
        <v>2026.05</v>
      </c>
      <c r="B2782" s="17" t="n">
        <f aca="false">IFERROR(VALUE(LEFT($A2782,4)),"")</f>
        <v>2026</v>
      </c>
      <c r="C2782" s="17" t="n">
        <f aca="false">IFERROR(VALUE(RIGHT($A2782,2)),"")</f>
        <v>5</v>
      </c>
      <c r="D2782" s="17" t="n">
        <f aca="false">IFERROR(ROUNDUP($C2782/3,0),"")</f>
        <v>2</v>
      </c>
      <c r="E2782" s="11" t="str">
        <f aca="false">TRIM('수출입 실적(품목별)'!B2786)</f>
        <v>87</v>
      </c>
      <c r="F2782" s="11" t="str">
        <f aca="false">TRIM('수출입 실적(품목별)'!C2786)</f>
        <v>철도용이나 궤도용 외의 차량과 그 부분품ㆍ부속품</v>
      </c>
      <c r="G2782" s="18" t="n">
        <f aca="false">IFERROR(VALUE(SUBSTITUTE(TRIM('수출입 실적(품목별)'!D2786),",","")),"")</f>
        <v>670654</v>
      </c>
      <c r="H2782" s="19" t="n">
        <f aca="false">IFERROR(VALUE(SUBSTITUTE(TRIM('수출입 실적(품목별)'!E2786),",","")),"")</f>
        <v>7227360</v>
      </c>
      <c r="I2782" s="18" t="n">
        <f aca="false">IFERROR(VALUE(SUBSTITUTE(TRIM('수출입 실적(품목별)'!F2786),",","")),"")</f>
        <v>126601.3</v>
      </c>
      <c r="J2782" s="19" t="n">
        <f aca="false">IFERROR(VALUE(SUBSTITUTE(TRIM('수출입 실적(품목별)'!G2786),",","")),"")</f>
        <v>2017808</v>
      </c>
      <c r="K2782" s="19" t="n">
        <f aca="false">IFERROR(VALUE(SUBSTITUTE(TRIM('수출입 실적(품목별)'!H2786),",","")),"")</f>
        <v>5209551</v>
      </c>
    </row>
    <row r="2783" customFormat="false" ht="15" hidden="false" customHeight="true" outlineLevel="0" collapsed="false">
      <c r="A2783" s="11" t="str">
        <f aca="false">TRIM('수출입 실적(품목별)'!A2787)</f>
        <v>2026.05</v>
      </c>
      <c r="B2783" s="17" t="n">
        <f aca="false">IFERROR(VALUE(LEFT($A2783,4)),"")</f>
        <v>2026</v>
      </c>
      <c r="C2783" s="17" t="n">
        <f aca="false">IFERROR(VALUE(RIGHT($A2783,2)),"")</f>
        <v>5</v>
      </c>
      <c r="D2783" s="17" t="n">
        <f aca="false">IFERROR(ROUNDUP($C2783/3,0),"")</f>
        <v>2</v>
      </c>
      <c r="E2783" s="11" t="str">
        <f aca="false">TRIM('수출입 실적(품목별)'!B2787)</f>
        <v>88</v>
      </c>
      <c r="F2783" s="11" t="str">
        <f aca="false">TRIM('수출입 실적(품목별)'!C2787)</f>
        <v>항공기와 우주선, 이들의 부분품</v>
      </c>
      <c r="G2783" s="18" t="n">
        <f aca="false">IFERROR(VALUE(SUBSTITUTE(TRIM('수출입 실적(품목별)'!D2787),",","")),"")</f>
        <v>1107.4</v>
      </c>
      <c r="H2783" s="19" t="n">
        <f aca="false">IFERROR(VALUE(SUBSTITUTE(TRIM('수출입 실적(품목별)'!E2787),",","")),"")</f>
        <v>139951</v>
      </c>
      <c r="I2783" s="18" t="n">
        <f aca="false">IFERROR(VALUE(SUBSTITUTE(TRIM('수출입 실적(품목별)'!F2787),",","")),"")</f>
        <v>490.1</v>
      </c>
      <c r="J2783" s="19" t="n">
        <f aca="false">IFERROR(VALUE(SUBSTITUTE(TRIM('수출입 실적(품목별)'!G2787),",","")),"")</f>
        <v>296773</v>
      </c>
      <c r="K2783" s="19" t="n">
        <f aca="false">IFERROR(VALUE(SUBSTITUTE(TRIM('수출입 실적(품목별)'!H2787),",","")),"")</f>
        <v>-156822</v>
      </c>
    </row>
    <row r="2784" customFormat="false" ht="15" hidden="false" customHeight="true" outlineLevel="0" collapsed="false">
      <c r="A2784" s="11" t="str">
        <f aca="false">TRIM('수출입 실적(품목별)'!A2788)</f>
        <v>2026.05</v>
      </c>
      <c r="B2784" s="17" t="n">
        <f aca="false">IFERROR(VALUE(LEFT($A2784,4)),"")</f>
        <v>2026</v>
      </c>
      <c r="C2784" s="17" t="n">
        <f aca="false">IFERROR(VALUE(RIGHT($A2784,2)),"")</f>
        <v>5</v>
      </c>
      <c r="D2784" s="17" t="n">
        <f aca="false">IFERROR(ROUNDUP($C2784/3,0),"")</f>
        <v>2</v>
      </c>
      <c r="E2784" s="11" t="str">
        <f aca="false">TRIM('수출입 실적(품목별)'!B2788)</f>
        <v>89</v>
      </c>
      <c r="F2784" s="11" t="str">
        <f aca="false">TRIM('수출입 실적(품목별)'!C2788)</f>
        <v>선박과 수상 구조물</v>
      </c>
      <c r="G2784" s="18" t="n">
        <f aca="false">IFERROR(VALUE(SUBSTITUTE(TRIM('수출입 실적(품목별)'!D2788),",","")),"")</f>
        <v>592065.4</v>
      </c>
      <c r="H2784" s="19" t="n">
        <f aca="false">IFERROR(VALUE(SUBSTITUTE(TRIM('수출입 실적(품목별)'!E2788),",","")),"")</f>
        <v>2457847</v>
      </c>
      <c r="I2784" s="18" t="n">
        <f aca="false">IFERROR(VALUE(SUBSTITUTE(TRIM('수출입 실적(품목별)'!F2788),",","")),"")</f>
        <v>528300.9</v>
      </c>
      <c r="J2784" s="19" t="n">
        <f aca="false">IFERROR(VALUE(SUBSTITUTE(TRIM('수출입 실적(품목별)'!G2788),",","")),"")</f>
        <v>459863</v>
      </c>
      <c r="K2784" s="19" t="n">
        <f aca="false">IFERROR(VALUE(SUBSTITUTE(TRIM('수출입 실적(품목별)'!H2788),",","")),"")</f>
        <v>1997984</v>
      </c>
    </row>
    <row r="2785" customFormat="false" ht="15" hidden="false" customHeight="true" outlineLevel="0" collapsed="false">
      <c r="A2785" s="11" t="str">
        <f aca="false">TRIM('수출입 실적(품목별)'!A2789)</f>
        <v>2026.05</v>
      </c>
      <c r="B2785" s="17" t="n">
        <f aca="false">IFERROR(VALUE(LEFT($A2785,4)),"")</f>
        <v>2026</v>
      </c>
      <c r="C2785" s="17" t="n">
        <f aca="false">IFERROR(VALUE(RIGHT($A2785,2)),"")</f>
        <v>5</v>
      </c>
      <c r="D2785" s="17" t="n">
        <f aca="false">IFERROR(ROUNDUP($C2785/3,0),"")</f>
        <v>2</v>
      </c>
      <c r="E2785" s="11" t="str">
        <f aca="false">TRIM('수출입 실적(품목별)'!B2789)</f>
        <v>90</v>
      </c>
      <c r="F2785" s="11" t="str">
        <f aca="false">TRIM('수출입 실적(품목별)'!C2789)</f>
        <v>광학기기ㆍ사진용 기기ㆍ영화용 기기ㆍ측정기기ㆍ검사기기ㆍ정밀기기ㆍ의료용 기기, 이들의 부분품과 부속품</v>
      </c>
      <c r="G2785" s="18" t="n">
        <f aca="false">IFERROR(VALUE(SUBSTITUTE(TRIM('수출입 실적(품목별)'!D2789),",","")),"")</f>
        <v>14231.9</v>
      </c>
      <c r="H2785" s="19" t="n">
        <f aca="false">IFERROR(VALUE(SUBSTITUTE(TRIM('수출입 실적(품목별)'!E2789),",","")),"")</f>
        <v>1336510</v>
      </c>
      <c r="I2785" s="18" t="n">
        <f aca="false">IFERROR(VALUE(SUBSTITUTE(TRIM('수출입 실적(품목별)'!F2789),",","")),"")</f>
        <v>15574.8</v>
      </c>
      <c r="J2785" s="19" t="n">
        <f aca="false">IFERROR(VALUE(SUBSTITUTE(TRIM('수출입 실적(품목별)'!G2789),",","")),"")</f>
        <v>2027775</v>
      </c>
      <c r="K2785" s="19" t="n">
        <f aca="false">IFERROR(VALUE(SUBSTITUTE(TRIM('수출입 실적(품목별)'!H2789),",","")),"")</f>
        <v>-691265</v>
      </c>
    </row>
    <row r="2786" customFormat="false" ht="15" hidden="false" customHeight="true" outlineLevel="0" collapsed="false">
      <c r="A2786" s="11" t="str">
        <f aca="false">TRIM('수출입 실적(품목별)'!A2790)</f>
        <v>2026.05</v>
      </c>
      <c r="B2786" s="17" t="n">
        <f aca="false">IFERROR(VALUE(LEFT($A2786,4)),"")</f>
        <v>2026</v>
      </c>
      <c r="C2786" s="17" t="n">
        <f aca="false">IFERROR(VALUE(RIGHT($A2786,2)),"")</f>
        <v>5</v>
      </c>
      <c r="D2786" s="17" t="n">
        <f aca="false">IFERROR(ROUNDUP($C2786/3,0),"")</f>
        <v>2</v>
      </c>
      <c r="E2786" s="11" t="str">
        <f aca="false">TRIM('수출입 실적(품목별)'!B2790)</f>
        <v>91</v>
      </c>
      <c r="F2786" s="11" t="str">
        <f aca="false">TRIM('수출입 실적(품목별)'!C2790)</f>
        <v>시계와 그 부분품</v>
      </c>
      <c r="G2786" s="18" t="n">
        <f aca="false">IFERROR(VALUE(SUBSTITUTE(TRIM('수출입 실적(품목별)'!D2790),",","")),"")</f>
        <v>11.5</v>
      </c>
      <c r="H2786" s="19" t="n">
        <f aca="false">IFERROR(VALUE(SUBSTITUTE(TRIM('수출입 실적(품목별)'!E2790),",","")),"")</f>
        <v>15041</v>
      </c>
      <c r="I2786" s="18" t="n">
        <f aca="false">IFERROR(VALUE(SUBSTITUTE(TRIM('수출입 실적(품목별)'!F2790),",","")),"")</f>
        <v>289.6</v>
      </c>
      <c r="J2786" s="19" t="n">
        <f aca="false">IFERROR(VALUE(SUBSTITUTE(TRIM('수출입 실적(품목별)'!G2790),",","")),"")</f>
        <v>98698</v>
      </c>
      <c r="K2786" s="19" t="n">
        <f aca="false">IFERROR(VALUE(SUBSTITUTE(TRIM('수출입 실적(품목별)'!H2790),",","")),"")</f>
        <v>-83657</v>
      </c>
    </row>
    <row r="2787" customFormat="false" ht="15" hidden="false" customHeight="true" outlineLevel="0" collapsed="false">
      <c r="A2787" s="11" t="str">
        <f aca="false">TRIM('수출입 실적(품목별)'!A2791)</f>
        <v>2026.05</v>
      </c>
      <c r="B2787" s="17" t="n">
        <f aca="false">IFERROR(VALUE(LEFT($A2787,4)),"")</f>
        <v>2026</v>
      </c>
      <c r="C2787" s="17" t="n">
        <f aca="false">IFERROR(VALUE(RIGHT($A2787,2)),"")</f>
        <v>5</v>
      </c>
      <c r="D2787" s="17" t="n">
        <f aca="false">IFERROR(ROUNDUP($C2787/3,0),"")</f>
        <v>2</v>
      </c>
      <c r="E2787" s="11" t="str">
        <f aca="false">TRIM('수출입 실적(품목별)'!B2791)</f>
        <v>92</v>
      </c>
      <c r="F2787" s="11" t="str">
        <f aca="false">TRIM('수출입 실적(품목별)'!C2791)</f>
        <v>악기와 그 부분품과 부속품</v>
      </c>
      <c r="G2787" s="18" t="n">
        <f aca="false">IFERROR(VALUE(SUBSTITUTE(TRIM('수출입 실적(품목별)'!D2791),",","")),"")</f>
        <v>261.3</v>
      </c>
      <c r="H2787" s="19" t="n">
        <f aca="false">IFERROR(VALUE(SUBSTITUTE(TRIM('수출입 실적(품목별)'!E2791),",","")),"")</f>
        <v>8654</v>
      </c>
      <c r="I2787" s="18" t="n">
        <f aca="false">IFERROR(VALUE(SUBSTITUTE(TRIM('수출입 실적(품목별)'!F2791),",","")),"")</f>
        <v>466.4</v>
      </c>
      <c r="J2787" s="19" t="n">
        <f aca="false">IFERROR(VALUE(SUBSTITUTE(TRIM('수출입 실적(품목별)'!G2791),",","")),"")</f>
        <v>12798</v>
      </c>
      <c r="K2787" s="19" t="n">
        <f aca="false">IFERROR(VALUE(SUBSTITUTE(TRIM('수출입 실적(품목별)'!H2791),",","")),"")</f>
        <v>-4144</v>
      </c>
    </row>
    <row r="2788" customFormat="false" ht="15" hidden="false" customHeight="true" outlineLevel="0" collapsed="false">
      <c r="A2788" s="11" t="str">
        <f aca="false">TRIM('수출입 실적(품목별)'!A2792)</f>
        <v>2026.05</v>
      </c>
      <c r="B2788" s="17" t="n">
        <f aca="false">IFERROR(VALUE(LEFT($A2788,4)),"")</f>
        <v>2026</v>
      </c>
      <c r="C2788" s="17" t="n">
        <f aca="false">IFERROR(VALUE(RIGHT($A2788,2)),"")</f>
        <v>5</v>
      </c>
      <c r="D2788" s="17" t="n">
        <f aca="false">IFERROR(ROUNDUP($C2788/3,0),"")</f>
        <v>2</v>
      </c>
      <c r="E2788" s="11" t="str">
        <f aca="false">TRIM('수출입 실적(품목별)'!B2792)</f>
        <v>93</v>
      </c>
      <c r="F2788" s="11" t="str">
        <f aca="false">TRIM('수출입 실적(품목별)'!C2792)</f>
        <v>무기ㆍ총포탄과 이들의 부분품과 부속품</v>
      </c>
      <c r="G2788" s="18" t="n">
        <f aca="false">IFERROR(VALUE(SUBSTITUTE(TRIM('수출입 실적(품목별)'!D2792),",","")),"")</f>
        <v>2357.8</v>
      </c>
      <c r="H2788" s="19" t="n">
        <f aca="false">IFERROR(VALUE(SUBSTITUTE(TRIM('수출입 실적(품목별)'!E2792),",","")),"")</f>
        <v>124558</v>
      </c>
      <c r="I2788" s="18" t="n">
        <f aca="false">IFERROR(VALUE(SUBSTITUTE(TRIM('수출입 실적(품목별)'!F2792),",","")),"")</f>
        <v>135.2</v>
      </c>
      <c r="J2788" s="19" t="n">
        <f aca="false">IFERROR(VALUE(SUBSTITUTE(TRIM('수출입 실적(품목별)'!G2792),",","")),"")</f>
        <v>24208</v>
      </c>
      <c r="K2788" s="19" t="n">
        <f aca="false">IFERROR(VALUE(SUBSTITUTE(TRIM('수출입 실적(품목별)'!H2792),",","")),"")</f>
        <v>100350</v>
      </c>
    </row>
    <row r="2789" customFormat="false" ht="15" hidden="false" customHeight="true" outlineLevel="0" collapsed="false">
      <c r="A2789" s="11" t="str">
        <f aca="false">TRIM('수출입 실적(품목별)'!A2793)</f>
        <v>2026.05</v>
      </c>
      <c r="B2789" s="17" t="n">
        <f aca="false">IFERROR(VALUE(LEFT($A2789,4)),"")</f>
        <v>2026</v>
      </c>
      <c r="C2789" s="17" t="n">
        <f aca="false">IFERROR(VALUE(RIGHT($A2789,2)),"")</f>
        <v>5</v>
      </c>
      <c r="D2789" s="17" t="n">
        <f aca="false">IFERROR(ROUNDUP($C2789/3,0),"")</f>
        <v>2</v>
      </c>
      <c r="E2789" s="11" t="str">
        <f aca="false">TRIM('수출입 실적(품목별)'!B2793)</f>
        <v>94</v>
      </c>
      <c r="F2789" s="11" t="str">
        <f aca="false">TRIM('수출입 실적(품목별)'!C2793)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789" s="18" t="n">
        <f aca="false">IFERROR(VALUE(SUBSTITUTE(TRIM('수출입 실적(품목별)'!D2793),",","")),"")</f>
        <v>14609.1</v>
      </c>
      <c r="H2789" s="19" t="n">
        <f aca="false">IFERROR(VALUE(SUBSTITUTE(TRIM('수출입 실적(품목별)'!E2793),",","")),"")</f>
        <v>97909</v>
      </c>
      <c r="I2789" s="18" t="n">
        <f aca="false">IFERROR(VALUE(SUBSTITUTE(TRIM('수출입 실적(품목별)'!F2793),",","")),"")</f>
        <v>77528.7</v>
      </c>
      <c r="J2789" s="19" t="n">
        <f aca="false">IFERROR(VALUE(SUBSTITUTE(TRIM('수출입 실적(품목별)'!G2793),",","")),"")</f>
        <v>322503</v>
      </c>
      <c r="K2789" s="19" t="n">
        <f aca="false">IFERROR(VALUE(SUBSTITUTE(TRIM('수출입 실적(품목별)'!H2793),",","")),"")</f>
        <v>-224594</v>
      </c>
    </row>
    <row r="2790" customFormat="false" ht="15" hidden="false" customHeight="true" outlineLevel="0" collapsed="false">
      <c r="A2790" s="11" t="str">
        <f aca="false">TRIM('수출입 실적(품목별)'!A2794)</f>
        <v>2026.05</v>
      </c>
      <c r="B2790" s="17" t="n">
        <f aca="false">IFERROR(VALUE(LEFT($A2790,4)),"")</f>
        <v>2026</v>
      </c>
      <c r="C2790" s="17" t="n">
        <f aca="false">IFERROR(VALUE(RIGHT($A2790,2)),"")</f>
        <v>5</v>
      </c>
      <c r="D2790" s="17" t="n">
        <f aca="false">IFERROR(ROUNDUP($C2790/3,0),"")</f>
        <v>2</v>
      </c>
      <c r="E2790" s="11" t="str">
        <f aca="false">TRIM('수출입 실적(품목별)'!B2794)</f>
        <v>95</v>
      </c>
      <c r="F2790" s="11" t="str">
        <f aca="false">TRIM('수출입 실적(품목별)'!C2794)</f>
        <v>완구ㆍ게임용구ㆍ운동용구와 이들의 부분품과 부속품</v>
      </c>
      <c r="G2790" s="18" t="n">
        <f aca="false">IFERROR(VALUE(SUBSTITUTE(TRIM('수출입 실적(품목별)'!D2794),",","")),"")</f>
        <v>2385</v>
      </c>
      <c r="H2790" s="19" t="n">
        <f aca="false">IFERROR(VALUE(SUBSTITUTE(TRIM('수출입 실적(품목별)'!E2794),",","")),"")</f>
        <v>61825</v>
      </c>
      <c r="I2790" s="18" t="n">
        <f aca="false">IFERROR(VALUE(SUBSTITUTE(TRIM('수출입 실적(품목별)'!F2794),",","")),"")</f>
        <v>15313.7</v>
      </c>
      <c r="J2790" s="19" t="n">
        <f aca="false">IFERROR(VALUE(SUBSTITUTE(TRIM('수출입 실적(품목별)'!G2794),",","")),"")</f>
        <v>199712</v>
      </c>
      <c r="K2790" s="19" t="n">
        <f aca="false">IFERROR(VALUE(SUBSTITUTE(TRIM('수출입 실적(품목별)'!H2794),",","")),"")</f>
        <v>-137886</v>
      </c>
    </row>
    <row r="2791" customFormat="false" ht="15" hidden="false" customHeight="true" outlineLevel="0" collapsed="false">
      <c r="A2791" s="11" t="str">
        <f aca="false">TRIM('수출입 실적(품목별)'!A2795)</f>
        <v>2026.05</v>
      </c>
      <c r="B2791" s="17" t="n">
        <f aca="false">IFERROR(VALUE(LEFT($A2791,4)),"")</f>
        <v>2026</v>
      </c>
      <c r="C2791" s="17" t="n">
        <f aca="false">IFERROR(VALUE(RIGHT($A2791,2)),"")</f>
        <v>5</v>
      </c>
      <c r="D2791" s="17" t="n">
        <f aca="false">IFERROR(ROUNDUP($C2791/3,0),"")</f>
        <v>2</v>
      </c>
      <c r="E2791" s="11" t="str">
        <f aca="false">TRIM('수출입 실적(품목별)'!B2795)</f>
        <v>96</v>
      </c>
      <c r="F2791" s="11" t="str">
        <f aca="false">TRIM('수출입 실적(품목별)'!C2795)</f>
        <v>잡품</v>
      </c>
      <c r="G2791" s="18" t="n">
        <f aca="false">IFERROR(VALUE(SUBSTITUTE(TRIM('수출입 실적(품목별)'!D2795),",","")),"")</f>
        <v>2000.8</v>
      </c>
      <c r="H2791" s="19" t="n">
        <f aca="false">IFERROR(VALUE(SUBSTITUTE(TRIM('수출입 실적(품목별)'!E2795),",","")),"")</f>
        <v>38671</v>
      </c>
      <c r="I2791" s="18" t="n">
        <f aca="false">IFERROR(VALUE(SUBSTITUTE(TRIM('수출입 실적(품목별)'!F2795),",","")),"")</f>
        <v>12192.6</v>
      </c>
      <c r="J2791" s="19" t="n">
        <f aca="false">IFERROR(VALUE(SUBSTITUTE(TRIM('수출입 실적(품목별)'!G2795),",","")),"")</f>
        <v>100258</v>
      </c>
      <c r="K2791" s="19" t="n">
        <f aca="false">IFERROR(VALUE(SUBSTITUTE(TRIM('수출입 실적(품목별)'!H2795),",","")),"")</f>
        <v>-61587</v>
      </c>
    </row>
    <row r="2792" customFormat="false" ht="15" hidden="false" customHeight="true" outlineLevel="0" collapsed="false">
      <c r="A2792" s="11" t="str">
        <f aca="false">TRIM('수출입 실적(품목별)'!A2796)</f>
        <v>2026.05</v>
      </c>
      <c r="B2792" s="17" t="n">
        <f aca="false">IFERROR(VALUE(LEFT($A2792,4)),"")</f>
        <v>2026</v>
      </c>
      <c r="C2792" s="17" t="n">
        <f aca="false">IFERROR(VALUE(RIGHT($A2792,2)),"")</f>
        <v>5</v>
      </c>
      <c r="D2792" s="17" t="n">
        <f aca="false">IFERROR(ROUNDUP($C2792/3,0),"")</f>
        <v>2</v>
      </c>
      <c r="E2792" s="11" t="str">
        <f aca="false">TRIM('수출입 실적(품목별)'!B2796)</f>
        <v>97</v>
      </c>
      <c r="F2792" s="11" t="str">
        <f aca="false">TRIM('수출입 실적(품목별)'!C2796)</f>
        <v>예술품ㆍ수집품ㆍ골동품</v>
      </c>
      <c r="G2792" s="18" t="n">
        <f aca="false">IFERROR(VALUE(SUBSTITUTE(TRIM('수출입 실적(품목별)'!D2796),",","")),"")</f>
        <v>15.6</v>
      </c>
      <c r="H2792" s="19" t="n">
        <f aca="false">IFERROR(VALUE(SUBSTITUTE(TRIM('수출입 실적(품목별)'!E2796),",","")),"")</f>
        <v>16884</v>
      </c>
      <c r="I2792" s="18" t="n">
        <f aca="false">IFERROR(VALUE(SUBSTITUTE(TRIM('수출입 실적(품목별)'!F2796),",","")),"")</f>
        <v>77.8</v>
      </c>
      <c r="J2792" s="19" t="n">
        <f aca="false">IFERROR(VALUE(SUBSTITUTE(TRIM('수출입 실적(품목별)'!G2796),",","")),"")</f>
        <v>24632</v>
      </c>
      <c r="K2792" s="19" t="n">
        <f aca="false">IFERROR(VALUE(SUBSTITUTE(TRIM('수출입 실적(품목별)'!H2796),",","")),"")</f>
        <v>-7748</v>
      </c>
    </row>
    <row r="2793" customFormat="false" ht="15" hidden="false" customHeight="true" outlineLevel="0" collapsed="false">
      <c r="A2793" s="11" t="str">
        <f aca="false">TRIM('수출입 실적(품목별)'!A2797)</f>
        <v>2026.06</v>
      </c>
      <c r="B2793" s="17" t="n">
        <f aca="false">IFERROR(VALUE(LEFT($A2793,4)),"")</f>
        <v>2026</v>
      </c>
      <c r="C2793" s="17" t="n">
        <f aca="false">IFERROR(VALUE(RIGHT($A2793,2)),"")</f>
        <v>6</v>
      </c>
      <c r="D2793" s="17" t="n">
        <f aca="false">IFERROR(ROUNDUP($C2793/3,0),"")</f>
        <v>2</v>
      </c>
      <c r="E2793" s="11" t="str">
        <f aca="false">TRIM('수출입 실적(품목별)'!B2797)</f>
        <v>01</v>
      </c>
      <c r="F2793" s="11" t="str">
        <f aca="false">TRIM('수출입 실적(품목별)'!C2797)</f>
        <v>살아 있는 동물</v>
      </c>
      <c r="G2793" s="18" t="n">
        <f aca="false">IFERROR(VALUE(SUBSTITUTE(TRIM('수출입 실적(품목별)'!D2797),",","")),"")</f>
        <v>7.5</v>
      </c>
      <c r="H2793" s="19" t="n">
        <f aca="false">IFERROR(VALUE(SUBSTITUTE(TRIM('수출입 실적(품목별)'!E2797),",","")),"")</f>
        <v>1992</v>
      </c>
      <c r="I2793" s="18" t="n">
        <f aca="false">IFERROR(VALUE(SUBSTITUTE(TRIM('수출입 실적(품목별)'!F2797),",","")),"")</f>
        <v>138.7</v>
      </c>
      <c r="J2793" s="19" t="n">
        <f aca="false">IFERROR(VALUE(SUBSTITUTE(TRIM('수출입 실적(품목별)'!G2797),",","")),"")</f>
        <v>4974</v>
      </c>
      <c r="K2793" s="19" t="n">
        <f aca="false">IFERROR(VALUE(SUBSTITUTE(TRIM('수출입 실적(품목별)'!H2797),",","")),"")</f>
        <v>-2982</v>
      </c>
    </row>
    <row r="2794" customFormat="false" ht="15" hidden="false" customHeight="true" outlineLevel="0" collapsed="false">
      <c r="A2794" s="11" t="str">
        <f aca="false">TRIM('수출입 실적(품목별)'!A2798)</f>
        <v>2026.06</v>
      </c>
      <c r="B2794" s="17" t="n">
        <f aca="false">IFERROR(VALUE(LEFT($A2794,4)),"")</f>
        <v>2026</v>
      </c>
      <c r="C2794" s="17" t="n">
        <f aca="false">IFERROR(VALUE(RIGHT($A2794,2)),"")</f>
        <v>6</v>
      </c>
      <c r="D2794" s="17" t="n">
        <f aca="false">IFERROR(ROUNDUP($C2794/3,0),"")</f>
        <v>2</v>
      </c>
      <c r="E2794" s="11" t="str">
        <f aca="false">TRIM('수출입 실적(품목별)'!B2798)</f>
        <v>02</v>
      </c>
      <c r="F2794" s="11" t="str">
        <f aca="false">TRIM('수출입 실적(품목별)'!C2798)</f>
        <v>육과 식용 설육(屑肉)</v>
      </c>
      <c r="G2794" s="18" t="n">
        <f aca="false">IFERROR(VALUE(SUBSTITUTE(TRIM('수출입 실적(품목별)'!D2798),",","")),"")</f>
        <v>3077.6</v>
      </c>
      <c r="H2794" s="19" t="n">
        <f aca="false">IFERROR(VALUE(SUBSTITUTE(TRIM('수출입 실적(품목별)'!E2798),",","")),"")</f>
        <v>4776</v>
      </c>
      <c r="I2794" s="18" t="n">
        <f aca="false">IFERROR(VALUE(SUBSTITUTE(TRIM('수출입 실적(품목별)'!F2798),",","")),"")</f>
        <v>134082.8</v>
      </c>
      <c r="J2794" s="19" t="n">
        <f aca="false">IFERROR(VALUE(SUBSTITUTE(TRIM('수출입 실적(품목별)'!G2798),",","")),"")</f>
        <v>688942</v>
      </c>
      <c r="K2794" s="19" t="n">
        <f aca="false">IFERROR(VALUE(SUBSTITUTE(TRIM('수출입 실적(품목별)'!H2798),",","")),"")</f>
        <v>-684166</v>
      </c>
    </row>
    <row r="2795" customFormat="false" ht="15" hidden="false" customHeight="true" outlineLevel="0" collapsed="false">
      <c r="A2795" s="11" t="str">
        <f aca="false">TRIM('수출입 실적(품목별)'!A2799)</f>
        <v>2026.06</v>
      </c>
      <c r="B2795" s="17" t="n">
        <f aca="false">IFERROR(VALUE(LEFT($A2795,4)),"")</f>
        <v>2026</v>
      </c>
      <c r="C2795" s="17" t="n">
        <f aca="false">IFERROR(VALUE(RIGHT($A2795,2)),"")</f>
        <v>6</v>
      </c>
      <c r="D2795" s="17" t="n">
        <f aca="false">IFERROR(ROUNDUP($C2795/3,0),"")</f>
        <v>2</v>
      </c>
      <c r="E2795" s="11" t="str">
        <f aca="false">TRIM('수출입 실적(품목별)'!B2799)</f>
        <v>03</v>
      </c>
      <c r="F2795" s="11" t="str">
        <f aca="false">TRIM('수출입 실적(품목별)'!C2799)</f>
        <v>어류ㆍ갑각류ㆍ연체동물과 그 밖의 수생(水生) 무척추동물</v>
      </c>
      <c r="G2795" s="18" t="n">
        <f aca="false">IFERROR(VALUE(SUBSTITUTE(TRIM('수출입 실적(품목별)'!D2799),",","")),"")</f>
        <v>56957.3</v>
      </c>
      <c r="H2795" s="19" t="n">
        <f aca="false">IFERROR(VALUE(SUBSTITUTE(TRIM('수출입 실적(품목별)'!E2799),",","")),"")</f>
        <v>184400</v>
      </c>
      <c r="I2795" s="18" t="n">
        <f aca="false">IFERROR(VALUE(SUBSTITUTE(TRIM('수출입 실적(품목별)'!F2799),",","")),"")</f>
        <v>90740.9</v>
      </c>
      <c r="J2795" s="19" t="n">
        <f aca="false">IFERROR(VALUE(SUBSTITUTE(TRIM('수출입 실적(품목별)'!G2799),",","")),"")</f>
        <v>418972</v>
      </c>
      <c r="K2795" s="19" t="n">
        <f aca="false">IFERROR(VALUE(SUBSTITUTE(TRIM('수출입 실적(품목별)'!H2799),",","")),"")</f>
        <v>-234571</v>
      </c>
    </row>
    <row r="2796" customFormat="false" ht="15" hidden="false" customHeight="true" outlineLevel="0" collapsed="false">
      <c r="A2796" s="11" t="str">
        <f aca="false">TRIM('수출입 실적(품목별)'!A2800)</f>
        <v>2026.06</v>
      </c>
      <c r="B2796" s="17" t="n">
        <f aca="false">IFERROR(VALUE(LEFT($A2796,4)),"")</f>
        <v>2026</v>
      </c>
      <c r="C2796" s="17" t="n">
        <f aca="false">IFERROR(VALUE(RIGHT($A2796,2)),"")</f>
        <v>6</v>
      </c>
      <c r="D2796" s="17" t="n">
        <f aca="false">IFERROR(ROUNDUP($C2796/3,0),"")</f>
        <v>2</v>
      </c>
      <c r="E2796" s="11" t="str">
        <f aca="false">TRIM('수출입 실적(품목별)'!B2800)</f>
        <v>04</v>
      </c>
      <c r="F2796" s="11" t="str">
        <f aca="false">TRIM('수출입 실적(품목별)'!C2800)</f>
        <v>낙농품, 새의 알, 천연꿀, 다른 류로 분류되지 않은 식용인 동물성 생산품</v>
      </c>
      <c r="G2796" s="18" t="n">
        <f aca="false">IFERROR(VALUE(SUBSTITUTE(TRIM('수출입 실적(품목별)'!D2800),",","")),"")</f>
        <v>2292.4</v>
      </c>
      <c r="H2796" s="19" t="n">
        <f aca="false">IFERROR(VALUE(SUBSTITUTE(TRIM('수출입 실적(품목별)'!E2800),",","")),"")</f>
        <v>5837</v>
      </c>
      <c r="I2796" s="18" t="n">
        <f aca="false">IFERROR(VALUE(SUBSTITUTE(TRIM('수출입 실적(품목별)'!F2800),",","")),"")</f>
        <v>35807.7</v>
      </c>
      <c r="J2796" s="19" t="n">
        <f aca="false">IFERROR(VALUE(SUBSTITUTE(TRIM('수출입 실적(품목별)'!G2800),",","")),"")</f>
        <v>146611</v>
      </c>
      <c r="K2796" s="19" t="n">
        <f aca="false">IFERROR(VALUE(SUBSTITUTE(TRIM('수출입 실적(품목별)'!H2800),",","")),"")</f>
        <v>-140774</v>
      </c>
    </row>
    <row r="2797" customFormat="false" ht="15" hidden="false" customHeight="true" outlineLevel="0" collapsed="false">
      <c r="A2797" s="11" t="str">
        <f aca="false">TRIM('수출입 실적(품목별)'!A2801)</f>
        <v>2026.06</v>
      </c>
      <c r="B2797" s="17" t="n">
        <f aca="false">IFERROR(VALUE(LEFT($A2797,4)),"")</f>
        <v>2026</v>
      </c>
      <c r="C2797" s="17" t="n">
        <f aca="false">IFERROR(VALUE(RIGHT($A2797,2)),"")</f>
        <v>6</v>
      </c>
      <c r="D2797" s="17" t="n">
        <f aca="false">IFERROR(ROUNDUP($C2797/3,0),"")</f>
        <v>2</v>
      </c>
      <c r="E2797" s="11" t="str">
        <f aca="false">TRIM('수출입 실적(품목별)'!B2801)</f>
        <v>05</v>
      </c>
      <c r="F2797" s="11" t="str">
        <f aca="false">TRIM('수출입 실적(품목별)'!C2801)</f>
        <v>다른 류로 분류되지 않은 동물성 생산품</v>
      </c>
      <c r="G2797" s="18" t="n">
        <f aca="false">IFERROR(VALUE(SUBSTITUTE(TRIM('수출입 실적(품목별)'!D2801),",","")),"")</f>
        <v>1278.9</v>
      </c>
      <c r="H2797" s="19" t="n">
        <f aca="false">IFERROR(VALUE(SUBSTITUTE(TRIM('수출입 실적(품목별)'!E2801),",","")),"")</f>
        <v>9305</v>
      </c>
      <c r="I2797" s="18" t="n">
        <f aca="false">IFERROR(VALUE(SUBSTITUTE(TRIM('수출입 실적(품목별)'!F2801),",","")),"")</f>
        <v>3802.3</v>
      </c>
      <c r="J2797" s="19" t="n">
        <f aca="false">IFERROR(VALUE(SUBSTITUTE(TRIM('수출입 실적(품목별)'!G2801),",","")),"")</f>
        <v>17819</v>
      </c>
      <c r="K2797" s="19" t="n">
        <f aca="false">IFERROR(VALUE(SUBSTITUTE(TRIM('수출입 실적(품목별)'!H2801),",","")),"")</f>
        <v>-8514</v>
      </c>
    </row>
    <row r="2798" customFormat="false" ht="15" hidden="false" customHeight="true" outlineLevel="0" collapsed="false">
      <c r="A2798" s="11" t="str">
        <f aca="false">TRIM('수출입 실적(품목별)'!A2802)</f>
        <v>2026.06</v>
      </c>
      <c r="B2798" s="17" t="n">
        <f aca="false">IFERROR(VALUE(LEFT($A2798,4)),"")</f>
        <v>2026</v>
      </c>
      <c r="C2798" s="17" t="n">
        <f aca="false">IFERROR(VALUE(RIGHT($A2798,2)),"")</f>
        <v>6</v>
      </c>
      <c r="D2798" s="17" t="n">
        <f aca="false">IFERROR(ROUNDUP($C2798/3,0),"")</f>
        <v>2</v>
      </c>
      <c r="E2798" s="11" t="str">
        <f aca="false">TRIM('수출입 실적(품목별)'!B2802)</f>
        <v>06</v>
      </c>
      <c r="F2798" s="11" t="str">
        <f aca="false">TRIM('수출입 실적(품목별)'!C2802)</f>
        <v>살아 있는 수목과 그 밖의 식물, 인경(鱗莖)ㆍ뿌리와 이와 유사한 물품, 절화(切花)와 장식용 잎</v>
      </c>
      <c r="G2798" s="18" t="n">
        <f aca="false">IFERROR(VALUE(SUBSTITUTE(TRIM('수출입 실적(품목별)'!D2802),",","")),"")</f>
        <v>30.5</v>
      </c>
      <c r="H2798" s="19" t="n">
        <f aca="false">IFERROR(VALUE(SUBSTITUTE(TRIM('수출입 실적(품목별)'!E2802),",","")),"")</f>
        <v>331</v>
      </c>
      <c r="I2798" s="18" t="n">
        <f aca="false">IFERROR(VALUE(SUBSTITUTE(TRIM('수출입 실적(품목별)'!F2802),",","")),"")</f>
        <v>6212.4</v>
      </c>
      <c r="J2798" s="19" t="n">
        <f aca="false">IFERROR(VALUE(SUBSTITUTE(TRIM('수출입 실적(품목별)'!G2802),",","")),"")</f>
        <v>11423</v>
      </c>
      <c r="K2798" s="19" t="n">
        <f aca="false">IFERROR(VALUE(SUBSTITUTE(TRIM('수출입 실적(품목별)'!H2802),",","")),"")</f>
        <v>-11092</v>
      </c>
    </row>
    <row r="2799" customFormat="false" ht="15" hidden="false" customHeight="true" outlineLevel="0" collapsed="false">
      <c r="A2799" s="11" t="str">
        <f aca="false">TRIM('수출입 실적(품목별)'!A2803)</f>
        <v>2026.06</v>
      </c>
      <c r="B2799" s="17" t="n">
        <f aca="false">IFERROR(VALUE(LEFT($A2799,4)),"")</f>
        <v>2026</v>
      </c>
      <c r="C2799" s="17" t="n">
        <f aca="false">IFERROR(VALUE(RIGHT($A2799,2)),"")</f>
        <v>6</v>
      </c>
      <c r="D2799" s="17" t="n">
        <f aca="false">IFERROR(ROUNDUP($C2799/3,0),"")</f>
        <v>2</v>
      </c>
      <c r="E2799" s="11" t="str">
        <f aca="false">TRIM('수출입 실적(품목별)'!B2803)</f>
        <v>07</v>
      </c>
      <c r="F2799" s="11" t="str">
        <f aca="false">TRIM('수출입 실적(품목별)'!C2803)</f>
        <v>식용의 채소ㆍ뿌리ㆍ괴경(塊莖)</v>
      </c>
      <c r="G2799" s="18" t="n">
        <f aca="false">IFERROR(VALUE(SUBSTITUTE(TRIM('수출입 실적(품목별)'!D2803),",","")),"")</f>
        <v>6699.2</v>
      </c>
      <c r="H2799" s="19" t="n">
        <f aca="false">IFERROR(VALUE(SUBSTITUTE(TRIM('수출입 실적(품목별)'!E2803),",","")),"")</f>
        <v>10416</v>
      </c>
      <c r="I2799" s="18" t="n">
        <f aca="false">IFERROR(VALUE(SUBSTITUTE(TRIM('수출입 실적(품목별)'!F2803),",","")),"")</f>
        <v>71764.1</v>
      </c>
      <c r="J2799" s="19" t="n">
        <f aca="false">IFERROR(VALUE(SUBSTITUTE(TRIM('수출입 실적(품목별)'!G2803),",","")),"")</f>
        <v>55515</v>
      </c>
      <c r="K2799" s="19" t="n">
        <f aca="false">IFERROR(VALUE(SUBSTITUTE(TRIM('수출입 실적(품목별)'!H2803),",","")),"")</f>
        <v>-45099</v>
      </c>
    </row>
    <row r="2800" customFormat="false" ht="15" hidden="false" customHeight="true" outlineLevel="0" collapsed="false">
      <c r="A2800" s="11" t="str">
        <f aca="false">TRIM('수출입 실적(품목별)'!A2804)</f>
        <v>2026.06</v>
      </c>
      <c r="B2800" s="17" t="n">
        <f aca="false">IFERROR(VALUE(LEFT($A2800,4)),"")</f>
        <v>2026</v>
      </c>
      <c r="C2800" s="17" t="n">
        <f aca="false">IFERROR(VALUE(RIGHT($A2800,2)),"")</f>
        <v>6</v>
      </c>
      <c r="D2800" s="17" t="n">
        <f aca="false">IFERROR(ROUNDUP($C2800/3,0),"")</f>
        <v>2</v>
      </c>
      <c r="E2800" s="11" t="str">
        <f aca="false">TRIM('수출입 실적(품목별)'!B2804)</f>
        <v>08</v>
      </c>
      <c r="F2800" s="11" t="str">
        <f aca="false">TRIM('수출입 실적(품목별)'!C2804)</f>
        <v>식용의 과실과 견과류, 감귤류ㆍ멜론의 껍질</v>
      </c>
      <c r="G2800" s="18" t="n">
        <f aca="false">IFERROR(VALUE(SUBSTITUTE(TRIM('수출입 실적(품목별)'!D2804),",","")),"")</f>
        <v>413.4</v>
      </c>
      <c r="H2800" s="19" t="n">
        <f aca="false">IFERROR(VALUE(SUBSTITUTE(TRIM('수출입 실적(품목별)'!E2804),",","")),"")</f>
        <v>2867</v>
      </c>
      <c r="I2800" s="18" t="n">
        <f aca="false">IFERROR(VALUE(SUBSTITUTE(TRIM('수출입 실적(품목별)'!F2804),",","")),"")</f>
        <v>76152.6</v>
      </c>
      <c r="J2800" s="19" t="n">
        <f aca="false">IFERROR(VALUE(SUBSTITUTE(TRIM('수출입 실적(품목별)'!G2804),",","")),"")</f>
        <v>184433</v>
      </c>
      <c r="K2800" s="19" t="n">
        <f aca="false">IFERROR(VALUE(SUBSTITUTE(TRIM('수출입 실적(품목별)'!H2804),",","")),"")</f>
        <v>-181566</v>
      </c>
    </row>
    <row r="2801" customFormat="false" ht="15" hidden="false" customHeight="true" outlineLevel="0" collapsed="false">
      <c r="A2801" s="11" t="str">
        <f aca="false">TRIM('수출입 실적(품목별)'!A2805)</f>
        <v>2026.06</v>
      </c>
      <c r="B2801" s="17" t="n">
        <f aca="false">IFERROR(VALUE(LEFT($A2801,4)),"")</f>
        <v>2026</v>
      </c>
      <c r="C2801" s="17" t="n">
        <f aca="false">IFERROR(VALUE(RIGHT($A2801,2)),"")</f>
        <v>6</v>
      </c>
      <c r="D2801" s="17" t="n">
        <f aca="false">IFERROR(ROUNDUP($C2801/3,0),"")</f>
        <v>2</v>
      </c>
      <c r="E2801" s="11" t="str">
        <f aca="false">TRIM('수출입 실적(품목별)'!B2805)</f>
        <v>09</v>
      </c>
      <c r="F2801" s="11" t="str">
        <f aca="false">TRIM('수출입 실적(품목별)'!C2805)</f>
        <v>커피ㆍ차ㆍ마테(maté)ㆍ향신료</v>
      </c>
      <c r="G2801" s="18" t="n">
        <f aca="false">IFERROR(VALUE(SUBSTITUTE(TRIM('수출입 실적(품목별)'!D2805),",","")),"")</f>
        <v>428.7</v>
      </c>
      <c r="H2801" s="19" t="n">
        <f aca="false">IFERROR(VALUE(SUBSTITUTE(TRIM('수출입 실적(품목별)'!E2805),",","")),"")</f>
        <v>3563</v>
      </c>
      <c r="I2801" s="18" t="n">
        <f aca="false">IFERROR(VALUE(SUBSTITUTE(TRIM('수출입 실적(품목별)'!F2805),",","")),"")</f>
        <v>18125.6</v>
      </c>
      <c r="J2801" s="19" t="n">
        <f aca="false">IFERROR(VALUE(SUBSTITUTE(TRIM('수출입 실적(품목별)'!G2805),",","")),"")</f>
        <v>149122</v>
      </c>
      <c r="K2801" s="19" t="n">
        <f aca="false">IFERROR(VALUE(SUBSTITUTE(TRIM('수출입 실적(품목별)'!H2805),",","")),"")</f>
        <v>-145559</v>
      </c>
    </row>
    <row r="2802" customFormat="false" ht="15" hidden="false" customHeight="true" outlineLevel="0" collapsed="false">
      <c r="A2802" s="11" t="str">
        <f aca="false">TRIM('수출입 실적(품목별)'!A2806)</f>
        <v>2026.06</v>
      </c>
      <c r="B2802" s="17" t="n">
        <f aca="false">IFERROR(VALUE(LEFT($A2802,4)),"")</f>
        <v>2026</v>
      </c>
      <c r="C2802" s="17" t="n">
        <f aca="false">IFERROR(VALUE(RIGHT($A2802,2)),"")</f>
        <v>6</v>
      </c>
      <c r="D2802" s="17" t="n">
        <f aca="false">IFERROR(ROUNDUP($C2802/3,0),"")</f>
        <v>2</v>
      </c>
      <c r="E2802" s="11" t="str">
        <f aca="false">TRIM('수출입 실적(품목별)'!B2806)</f>
        <v>10</v>
      </c>
      <c r="F2802" s="11" t="str">
        <f aca="false">TRIM('수출입 실적(품목별)'!C2806)</f>
        <v>곡물</v>
      </c>
      <c r="G2802" s="18" t="n">
        <f aca="false">IFERROR(VALUE(SUBSTITUTE(TRIM('수출입 실적(품목별)'!D2806),",","")),"")</f>
        <v>799.6</v>
      </c>
      <c r="H2802" s="19" t="n">
        <f aca="false">IFERROR(VALUE(SUBSTITUTE(TRIM('수출입 실적(품목별)'!E2806),",","")),"")</f>
        <v>1052</v>
      </c>
      <c r="I2802" s="18" t="n">
        <f aca="false">IFERROR(VALUE(SUBSTITUTE(TRIM('수출입 실적(품목별)'!F2806),",","")),"")</f>
        <v>1316628.5</v>
      </c>
      <c r="J2802" s="19" t="n">
        <f aca="false">IFERROR(VALUE(SUBSTITUTE(TRIM('수출입 실적(품목별)'!G2806),",","")),"")</f>
        <v>358038</v>
      </c>
      <c r="K2802" s="19" t="n">
        <f aca="false">IFERROR(VALUE(SUBSTITUTE(TRIM('수출입 실적(품목별)'!H2806),",","")),"")</f>
        <v>-356985</v>
      </c>
    </row>
    <row r="2803" customFormat="false" ht="15" hidden="false" customHeight="true" outlineLevel="0" collapsed="false">
      <c r="A2803" s="11" t="str">
        <f aca="false">TRIM('수출입 실적(품목별)'!A2807)</f>
        <v>2026.06</v>
      </c>
      <c r="B2803" s="17" t="n">
        <f aca="false">IFERROR(VALUE(LEFT($A2803,4)),"")</f>
        <v>2026</v>
      </c>
      <c r="C2803" s="17" t="n">
        <f aca="false">IFERROR(VALUE(RIGHT($A2803,2)),"")</f>
        <v>6</v>
      </c>
      <c r="D2803" s="17" t="n">
        <f aca="false">IFERROR(ROUNDUP($C2803/3,0),"")</f>
        <v>2</v>
      </c>
      <c r="E2803" s="11" t="str">
        <f aca="false">TRIM('수출입 실적(품목별)'!B2807)</f>
        <v>11</v>
      </c>
      <c r="F2803" s="11" t="str">
        <f aca="false">TRIM('수출입 실적(품목별)'!C2807)</f>
        <v>제분공업의 생산품과 맥아, 전분, 이눌린(inulin), 밀의 글루텐(gluten)</v>
      </c>
      <c r="G2803" s="18" t="n">
        <f aca="false">IFERROR(VALUE(SUBSTITUTE(TRIM('수출입 실적(품목별)'!D2807),",","")),"")</f>
        <v>4861.7</v>
      </c>
      <c r="H2803" s="19" t="n">
        <f aca="false">IFERROR(VALUE(SUBSTITUTE(TRIM('수출입 실적(품목별)'!E2807),",","")),"")</f>
        <v>3394</v>
      </c>
      <c r="I2803" s="18" t="n">
        <f aca="false">IFERROR(VALUE(SUBSTITUTE(TRIM('수출입 실적(품목별)'!F2807),",","")),"")</f>
        <v>31619.3</v>
      </c>
      <c r="J2803" s="19" t="n">
        <f aca="false">IFERROR(VALUE(SUBSTITUTE(TRIM('수출입 실적(품목별)'!G2807),",","")),"")</f>
        <v>27094</v>
      </c>
      <c r="K2803" s="19" t="n">
        <f aca="false">IFERROR(VALUE(SUBSTITUTE(TRIM('수출입 실적(품목별)'!H2807),",","")),"")</f>
        <v>-23700</v>
      </c>
    </row>
    <row r="2804" customFormat="false" ht="15" hidden="false" customHeight="true" outlineLevel="0" collapsed="false">
      <c r="A2804" s="11" t="str">
        <f aca="false">TRIM('수출입 실적(품목별)'!A2808)</f>
        <v>2026.06</v>
      </c>
      <c r="B2804" s="17" t="n">
        <f aca="false">IFERROR(VALUE(LEFT($A2804,4)),"")</f>
        <v>2026</v>
      </c>
      <c r="C2804" s="17" t="n">
        <f aca="false">IFERROR(VALUE(RIGHT($A2804,2)),"")</f>
        <v>6</v>
      </c>
      <c r="D2804" s="17" t="n">
        <f aca="false">IFERROR(ROUNDUP($C2804/3,0),"")</f>
        <v>2</v>
      </c>
      <c r="E2804" s="11" t="str">
        <f aca="false">TRIM('수출입 실적(품목별)'!B2808)</f>
        <v>12</v>
      </c>
      <c r="F2804" s="11" t="str">
        <f aca="false">TRIM('수출입 실적(품목별)'!C2808)</f>
        <v>채유(採油)에 적합한 종자와 과실, 각종 종자와 과실, 공업용ㆍ의약용 식물, 짚과 사료용 식물</v>
      </c>
      <c r="G2804" s="18" t="n">
        <f aca="false">IFERROR(VALUE(SUBSTITUTE(TRIM('수출입 실적(품목별)'!D2808),",","")),"")</f>
        <v>3253.8</v>
      </c>
      <c r="H2804" s="19" t="n">
        <f aca="false">IFERROR(VALUE(SUBSTITUTE(TRIM('수출입 실적(품목별)'!E2808),",","")),"")</f>
        <v>86416</v>
      </c>
      <c r="I2804" s="18" t="n">
        <f aca="false">IFERROR(VALUE(SUBSTITUTE(TRIM('수출입 실적(품목별)'!F2808),",","")),"")</f>
        <v>306877.7</v>
      </c>
      <c r="J2804" s="19" t="n">
        <f aca="false">IFERROR(VALUE(SUBSTITUTE(TRIM('수출입 실적(품목별)'!G2808),",","")),"")</f>
        <v>155056</v>
      </c>
      <c r="K2804" s="19" t="n">
        <f aca="false">IFERROR(VALUE(SUBSTITUTE(TRIM('수출입 실적(품목별)'!H2808),",","")),"")</f>
        <v>-68639</v>
      </c>
    </row>
    <row r="2805" customFormat="false" ht="15" hidden="false" customHeight="true" outlineLevel="0" collapsed="false">
      <c r="A2805" s="11" t="str">
        <f aca="false">TRIM('수출입 실적(품목별)'!A2809)</f>
        <v>2026.06</v>
      </c>
      <c r="B2805" s="17" t="n">
        <f aca="false">IFERROR(VALUE(LEFT($A2805,4)),"")</f>
        <v>2026</v>
      </c>
      <c r="C2805" s="17" t="n">
        <f aca="false">IFERROR(VALUE(RIGHT($A2805,2)),"")</f>
        <v>6</v>
      </c>
      <c r="D2805" s="17" t="n">
        <f aca="false">IFERROR(ROUNDUP($C2805/3,0),"")</f>
        <v>2</v>
      </c>
      <c r="E2805" s="11" t="str">
        <f aca="false">TRIM('수출입 실적(품목별)'!B2809)</f>
        <v>13</v>
      </c>
      <c r="F2805" s="11" t="str">
        <f aca="false">TRIM('수출입 실적(품목별)'!C2809)</f>
        <v>락(lac), 검ㆍ수지ㆍ그 밖의 식물성 수액과 추출물(extract)</v>
      </c>
      <c r="G2805" s="18" t="n">
        <f aca="false">IFERROR(VALUE(SUBSTITUTE(TRIM('수출입 실적(품목별)'!D2809),",","")),"")</f>
        <v>349.4</v>
      </c>
      <c r="H2805" s="19" t="n">
        <f aca="false">IFERROR(VALUE(SUBSTITUTE(TRIM('수출입 실적(품목별)'!E2809),",","")),"")</f>
        <v>8562</v>
      </c>
      <c r="I2805" s="18" t="n">
        <f aca="false">IFERROR(VALUE(SUBSTITUTE(TRIM('수출입 실적(품목별)'!F2809),",","")),"")</f>
        <v>9835.3</v>
      </c>
      <c r="J2805" s="19" t="n">
        <f aca="false">IFERROR(VALUE(SUBSTITUTE(TRIM('수출입 실적(품목별)'!G2809),",","")),"")</f>
        <v>35155</v>
      </c>
      <c r="K2805" s="19" t="n">
        <f aca="false">IFERROR(VALUE(SUBSTITUTE(TRIM('수출입 실적(품목별)'!H2809),",","")),"")</f>
        <v>-26593</v>
      </c>
    </row>
    <row r="2806" customFormat="false" ht="15" hidden="false" customHeight="true" outlineLevel="0" collapsed="false">
      <c r="A2806" s="11" t="str">
        <f aca="false">TRIM('수출입 실적(품목별)'!A2810)</f>
        <v>2026.06</v>
      </c>
      <c r="B2806" s="17" t="n">
        <f aca="false">IFERROR(VALUE(LEFT($A2806,4)),"")</f>
        <v>2026</v>
      </c>
      <c r="C2806" s="17" t="n">
        <f aca="false">IFERROR(VALUE(RIGHT($A2806,2)),"")</f>
        <v>6</v>
      </c>
      <c r="D2806" s="17" t="n">
        <f aca="false">IFERROR(ROUNDUP($C2806/3,0),"")</f>
        <v>2</v>
      </c>
      <c r="E2806" s="11" t="str">
        <f aca="false">TRIM('수출입 실적(품목별)'!B2810)</f>
        <v>14</v>
      </c>
      <c r="F2806" s="11" t="str">
        <f aca="false">TRIM('수출입 실적(품목별)'!C2810)</f>
        <v>식물성 편조물(編組物)용 재료와 다른 류로 분류되지 않은 식물성 생산품</v>
      </c>
      <c r="G2806" s="18" t="n">
        <f aca="false">IFERROR(VALUE(SUBSTITUTE(TRIM('수출입 실적(품목별)'!D2810),",","")),"")</f>
        <v>1.4</v>
      </c>
      <c r="H2806" s="19" t="n">
        <f aca="false">IFERROR(VALUE(SUBSTITUTE(TRIM('수출입 실적(품목별)'!E2810),",","")),"")</f>
        <v>58</v>
      </c>
      <c r="I2806" s="18" t="n">
        <f aca="false">IFERROR(VALUE(SUBSTITUTE(TRIM('수출입 실적(품목별)'!F2810),",","")),"")</f>
        <v>40239.8</v>
      </c>
      <c r="J2806" s="19" t="n">
        <f aca="false">IFERROR(VALUE(SUBSTITUTE(TRIM('수출입 실적(품목별)'!G2810),",","")),"")</f>
        <v>9704</v>
      </c>
      <c r="K2806" s="19" t="n">
        <f aca="false">IFERROR(VALUE(SUBSTITUTE(TRIM('수출입 실적(품목별)'!H2810),",","")),"")</f>
        <v>-9647</v>
      </c>
    </row>
    <row r="2807" customFormat="false" ht="15" hidden="false" customHeight="true" outlineLevel="0" collapsed="false">
      <c r="A2807" s="11" t="str">
        <f aca="false">TRIM('수출입 실적(품목별)'!A2811)</f>
        <v>2026.06</v>
      </c>
      <c r="B2807" s="17" t="n">
        <f aca="false">IFERROR(VALUE(LEFT($A2807,4)),"")</f>
        <v>2026</v>
      </c>
      <c r="C2807" s="17" t="n">
        <f aca="false">IFERROR(VALUE(RIGHT($A2807,2)),"")</f>
        <v>6</v>
      </c>
      <c r="D2807" s="17" t="n">
        <f aca="false">IFERROR(ROUNDUP($C2807/3,0),"")</f>
        <v>2</v>
      </c>
      <c r="E2807" s="11" t="str">
        <f aca="false">TRIM('수출입 실적(품목별)'!B2811)</f>
        <v>15</v>
      </c>
      <c r="F2807" s="11" t="str">
        <f aca="false">TRIM('수출입 실적(품목별)'!C2811)</f>
        <v>동물성ㆍ식물성ㆍ미생물성 지방과 기름 및이들의 분해생산물, 조제한 식용 지방과 동물성ㆍ식물성 왁스</v>
      </c>
      <c r="G2807" s="18" t="n">
        <f aca="false">IFERROR(VALUE(SUBSTITUTE(TRIM('수출입 실적(품목별)'!D2811),",","")),"")</f>
        <v>38683.7</v>
      </c>
      <c r="H2807" s="19" t="n">
        <f aca="false">IFERROR(VALUE(SUBSTITUTE(TRIM('수출입 실적(품목별)'!E2811),",","")),"")</f>
        <v>46150</v>
      </c>
      <c r="I2807" s="18" t="n">
        <f aca="false">IFERROR(VALUE(SUBSTITUTE(TRIM('수출입 실적(품목별)'!F2811),",","")),"")</f>
        <v>197858</v>
      </c>
      <c r="J2807" s="19" t="n">
        <f aca="false">IFERROR(VALUE(SUBSTITUTE(TRIM('수출입 실적(품목별)'!G2811),",","")),"")</f>
        <v>302964</v>
      </c>
      <c r="K2807" s="19" t="n">
        <f aca="false">IFERROR(VALUE(SUBSTITUTE(TRIM('수출입 실적(품목별)'!H2811),",","")),"")</f>
        <v>-256813</v>
      </c>
    </row>
    <row r="2808" customFormat="false" ht="15" hidden="false" customHeight="true" outlineLevel="0" collapsed="false">
      <c r="A2808" s="11" t="str">
        <f aca="false">TRIM('수출입 실적(품목별)'!A2812)</f>
        <v>2026.06</v>
      </c>
      <c r="B2808" s="17" t="n">
        <f aca="false">IFERROR(VALUE(LEFT($A2808,4)),"")</f>
        <v>2026</v>
      </c>
      <c r="C2808" s="17" t="n">
        <f aca="false">IFERROR(VALUE(RIGHT($A2808,2)),"")</f>
        <v>6</v>
      </c>
      <c r="D2808" s="17" t="n">
        <f aca="false">IFERROR(ROUNDUP($C2808/3,0),"")</f>
        <v>2</v>
      </c>
      <c r="E2808" s="11" t="str">
        <f aca="false">TRIM('수출입 실적(품목별)'!B2812)</f>
        <v>16</v>
      </c>
      <c r="F2808" s="11" t="str">
        <f aca="false">TRIM('수출입 실적(품목별)'!C2812)</f>
        <v>육류ㆍ어류ㆍ갑각류ㆍ연체동물이나 그 밖의 수생(水生) 무척추동물 또는 곤충의 조제품</v>
      </c>
      <c r="G2808" s="18" t="n">
        <f aca="false">IFERROR(VALUE(SUBSTITUTE(TRIM('수출입 실적(품목별)'!D2812),",","")),"")</f>
        <v>4654.6</v>
      </c>
      <c r="H2808" s="19" t="n">
        <f aca="false">IFERROR(VALUE(SUBSTITUTE(TRIM('수출입 실적(품목별)'!E2812),",","")),"")</f>
        <v>32160</v>
      </c>
      <c r="I2808" s="18" t="n">
        <f aca="false">IFERROR(VALUE(SUBSTITUTE(TRIM('수출입 실적(품목별)'!F2812),",","")),"")</f>
        <v>15882.2</v>
      </c>
      <c r="J2808" s="19" t="n">
        <f aca="false">IFERROR(VALUE(SUBSTITUTE(TRIM('수출입 실적(품목별)'!G2812),",","")),"")</f>
        <v>87889</v>
      </c>
      <c r="K2808" s="19" t="n">
        <f aca="false">IFERROR(VALUE(SUBSTITUTE(TRIM('수출입 실적(품목별)'!H2812),",","")),"")</f>
        <v>-55729</v>
      </c>
    </row>
    <row r="2809" customFormat="false" ht="15" hidden="false" customHeight="true" outlineLevel="0" collapsed="false">
      <c r="A2809" s="11" t="str">
        <f aca="false">TRIM('수출입 실적(품목별)'!A2813)</f>
        <v>2026.06</v>
      </c>
      <c r="B2809" s="17" t="n">
        <f aca="false">IFERROR(VALUE(LEFT($A2809,4)),"")</f>
        <v>2026</v>
      </c>
      <c r="C2809" s="17" t="n">
        <f aca="false">IFERROR(VALUE(RIGHT($A2809,2)),"")</f>
        <v>6</v>
      </c>
      <c r="D2809" s="17" t="n">
        <f aca="false">IFERROR(ROUNDUP($C2809/3,0),"")</f>
        <v>2</v>
      </c>
      <c r="E2809" s="11" t="str">
        <f aca="false">TRIM('수출입 실적(품목별)'!B2813)</f>
        <v>17</v>
      </c>
      <c r="F2809" s="11" t="str">
        <f aca="false">TRIM('수출입 실적(품목별)'!C2813)</f>
        <v>당류(糖類)와 설탕과자</v>
      </c>
      <c r="G2809" s="18" t="n">
        <f aca="false">IFERROR(VALUE(SUBSTITUTE(TRIM('수출입 실적(품목별)'!D2813),",","")),"")</f>
        <v>21900.8</v>
      </c>
      <c r="H2809" s="19" t="n">
        <f aca="false">IFERROR(VALUE(SUBSTITUTE(TRIM('수출입 실적(품목별)'!E2813),",","")),"")</f>
        <v>19818</v>
      </c>
      <c r="I2809" s="18" t="n">
        <f aca="false">IFERROR(VALUE(SUBSTITUTE(TRIM('수출입 실적(품목별)'!F2813),",","")),"")</f>
        <v>274814.8</v>
      </c>
      <c r="J2809" s="19" t="n">
        <f aca="false">IFERROR(VALUE(SUBSTITUTE(TRIM('수출입 실적(품목별)'!G2813),",","")),"")</f>
        <v>136284</v>
      </c>
      <c r="K2809" s="19" t="n">
        <f aca="false">IFERROR(VALUE(SUBSTITUTE(TRIM('수출입 실적(품목별)'!H2813),",","")),"")</f>
        <v>-116467</v>
      </c>
    </row>
    <row r="2810" customFormat="false" ht="15" hidden="false" customHeight="true" outlineLevel="0" collapsed="false">
      <c r="A2810" s="11" t="str">
        <f aca="false">TRIM('수출입 실적(품목별)'!A2814)</f>
        <v>2026.06</v>
      </c>
      <c r="B2810" s="17" t="n">
        <f aca="false">IFERROR(VALUE(LEFT($A2810,4)),"")</f>
        <v>2026</v>
      </c>
      <c r="C2810" s="17" t="n">
        <f aca="false">IFERROR(VALUE(RIGHT($A2810,2)),"")</f>
        <v>6</v>
      </c>
      <c r="D2810" s="17" t="n">
        <f aca="false">IFERROR(ROUNDUP($C2810/3,0),"")</f>
        <v>2</v>
      </c>
      <c r="E2810" s="11" t="str">
        <f aca="false">TRIM('수출입 실적(품목별)'!B2814)</f>
        <v>18</v>
      </c>
      <c r="F2810" s="11" t="str">
        <f aca="false">TRIM('수출입 실적(품목별)'!C2814)</f>
        <v>코코아와 그 조제품</v>
      </c>
      <c r="G2810" s="18" t="n">
        <f aca="false">IFERROR(VALUE(SUBSTITUTE(TRIM('수출입 실적(품목별)'!D2814),",","")),"")</f>
        <v>1601.9</v>
      </c>
      <c r="H2810" s="19" t="n">
        <f aca="false">IFERROR(VALUE(SUBSTITUTE(TRIM('수출입 실적(품목별)'!E2814),",","")),"")</f>
        <v>5846</v>
      </c>
      <c r="I2810" s="18" t="n">
        <f aca="false">IFERROR(VALUE(SUBSTITUTE(TRIM('수출입 실적(품목별)'!F2814),",","")),"")</f>
        <v>4698.4</v>
      </c>
      <c r="J2810" s="19" t="n">
        <f aca="false">IFERROR(VALUE(SUBSTITUTE(TRIM('수출입 실적(품목별)'!G2814),",","")),"")</f>
        <v>39940</v>
      </c>
      <c r="K2810" s="19" t="n">
        <f aca="false">IFERROR(VALUE(SUBSTITUTE(TRIM('수출입 실적(품목별)'!H2814),",","")),"")</f>
        <v>-34095</v>
      </c>
    </row>
    <row r="2811" customFormat="false" ht="15" hidden="false" customHeight="true" outlineLevel="0" collapsed="false">
      <c r="A2811" s="11" t="str">
        <f aca="false">TRIM('수출입 실적(품목별)'!A2815)</f>
        <v>2026.06</v>
      </c>
      <c r="B2811" s="17" t="n">
        <f aca="false">IFERROR(VALUE(LEFT($A2811,4)),"")</f>
        <v>2026</v>
      </c>
      <c r="C2811" s="17" t="n">
        <f aca="false">IFERROR(VALUE(RIGHT($A2811,2)),"")</f>
        <v>6</v>
      </c>
      <c r="D2811" s="17" t="n">
        <f aca="false">IFERROR(ROUNDUP($C2811/3,0),"")</f>
        <v>2</v>
      </c>
      <c r="E2811" s="11" t="str">
        <f aca="false">TRIM('수출입 실적(품목별)'!B2815)</f>
        <v>19</v>
      </c>
      <c r="F2811" s="11" t="str">
        <f aca="false">TRIM('수출입 실적(품목별)'!C2815)</f>
        <v>곡물ㆍ고운 가루ㆍ전분ㆍ밀크의 조제품과 베이커리 제품</v>
      </c>
      <c r="G2811" s="18" t="n">
        <f aca="false">IFERROR(VALUE(SUBSTITUTE(TRIM('수출입 실적(품목별)'!D2815),",","")),"")</f>
        <v>65917.5</v>
      </c>
      <c r="H2811" s="19" t="n">
        <f aca="false">IFERROR(VALUE(SUBSTITUTE(TRIM('수출입 실적(품목별)'!E2815),",","")),"")</f>
        <v>270788</v>
      </c>
      <c r="I2811" s="18" t="n">
        <f aca="false">IFERROR(VALUE(SUBSTITUTE(TRIM('수출입 실적(품목별)'!F2815),",","")),"")</f>
        <v>34348.1</v>
      </c>
      <c r="J2811" s="19" t="n">
        <f aca="false">IFERROR(VALUE(SUBSTITUTE(TRIM('수출입 실적(품목별)'!G2815),",","")),"")</f>
        <v>106192</v>
      </c>
      <c r="K2811" s="19" t="n">
        <f aca="false">IFERROR(VALUE(SUBSTITUTE(TRIM('수출입 실적(품목별)'!H2815),",","")),"")</f>
        <v>164596</v>
      </c>
    </row>
    <row r="2812" customFormat="false" ht="15" hidden="false" customHeight="true" outlineLevel="0" collapsed="false">
      <c r="A2812" s="11" t="str">
        <f aca="false">TRIM('수출입 실적(품목별)'!A2816)</f>
        <v>2026.06</v>
      </c>
      <c r="B2812" s="17" t="n">
        <f aca="false">IFERROR(VALUE(LEFT($A2812,4)),"")</f>
        <v>2026</v>
      </c>
      <c r="C2812" s="17" t="n">
        <f aca="false">IFERROR(VALUE(RIGHT($A2812,2)),"")</f>
        <v>6</v>
      </c>
      <c r="D2812" s="17" t="n">
        <f aca="false">IFERROR(ROUNDUP($C2812/3,0),"")</f>
        <v>2</v>
      </c>
      <c r="E2812" s="11" t="str">
        <f aca="false">TRIM('수출입 실적(품목별)'!B2816)</f>
        <v>20</v>
      </c>
      <c r="F2812" s="11" t="str">
        <f aca="false">TRIM('수출입 실적(품목별)'!C2816)</f>
        <v>채소ㆍ과실ㆍ견과류나 식물의그 밖의 부분의 조제품</v>
      </c>
      <c r="G2812" s="18" t="n">
        <f aca="false">IFERROR(VALUE(SUBSTITUTE(TRIM('수출입 실적(품목별)'!D2816),",","")),"")</f>
        <v>10865.3</v>
      </c>
      <c r="H2812" s="19" t="n">
        <f aca="false">IFERROR(VALUE(SUBSTITUTE(TRIM('수출입 실적(품목별)'!E2816),",","")),"")</f>
        <v>96896</v>
      </c>
      <c r="I2812" s="18" t="n">
        <f aca="false">IFERROR(VALUE(SUBSTITUTE(TRIM('수출입 실적(품목별)'!F2816),",","")),"")</f>
        <v>105831.3</v>
      </c>
      <c r="J2812" s="19" t="n">
        <f aca="false">IFERROR(VALUE(SUBSTITUTE(TRIM('수출입 실적(품목별)'!G2816),",","")),"")</f>
        <v>148049</v>
      </c>
      <c r="K2812" s="19" t="n">
        <f aca="false">IFERROR(VALUE(SUBSTITUTE(TRIM('수출입 실적(품목별)'!H2816),",","")),"")</f>
        <v>-51153</v>
      </c>
    </row>
    <row r="2813" customFormat="false" ht="15" hidden="false" customHeight="true" outlineLevel="0" collapsed="false">
      <c r="A2813" s="11" t="str">
        <f aca="false">TRIM('수출입 실적(품목별)'!A2817)</f>
        <v>2026.06</v>
      </c>
      <c r="B2813" s="17" t="n">
        <f aca="false">IFERROR(VALUE(LEFT($A2813,4)),"")</f>
        <v>2026</v>
      </c>
      <c r="C2813" s="17" t="n">
        <f aca="false">IFERROR(VALUE(RIGHT($A2813,2)),"")</f>
        <v>6</v>
      </c>
      <c r="D2813" s="17" t="n">
        <f aca="false">IFERROR(ROUNDUP($C2813/3,0),"")</f>
        <v>2</v>
      </c>
      <c r="E2813" s="11" t="str">
        <f aca="false">TRIM('수출입 실적(품목별)'!B2817)</f>
        <v>21</v>
      </c>
      <c r="F2813" s="11" t="str">
        <f aca="false">TRIM('수출입 실적(품목별)'!C2817)</f>
        <v>각종 조제 식료품</v>
      </c>
      <c r="G2813" s="18" t="n">
        <f aca="false">IFERROR(VALUE(SUBSTITUTE(TRIM('수출입 실적(품목별)'!D2817),",","")),"")</f>
        <v>38810.4</v>
      </c>
      <c r="H2813" s="19" t="n">
        <f aca="false">IFERROR(VALUE(SUBSTITUTE(TRIM('수출입 실적(품목별)'!E2817),",","")),"")</f>
        <v>169248</v>
      </c>
      <c r="I2813" s="18" t="n">
        <f aca="false">IFERROR(VALUE(SUBSTITUTE(TRIM('수출입 실적(품목별)'!F2817),",","")),"")</f>
        <v>35819.1</v>
      </c>
      <c r="J2813" s="19" t="n">
        <f aca="false">IFERROR(VALUE(SUBSTITUTE(TRIM('수출입 실적(품목별)'!G2817),",","")),"")</f>
        <v>233947</v>
      </c>
      <c r="K2813" s="19" t="n">
        <f aca="false">IFERROR(VALUE(SUBSTITUTE(TRIM('수출입 실적(품목별)'!H2817),",","")),"")</f>
        <v>-64699</v>
      </c>
    </row>
    <row r="2814" customFormat="false" ht="15" hidden="false" customHeight="true" outlineLevel="0" collapsed="false">
      <c r="A2814" s="11" t="str">
        <f aca="false">TRIM('수출입 실적(품목별)'!A2818)</f>
        <v>2026.06</v>
      </c>
      <c r="B2814" s="17" t="n">
        <f aca="false">IFERROR(VALUE(LEFT($A2814,4)),"")</f>
        <v>2026</v>
      </c>
      <c r="C2814" s="17" t="n">
        <f aca="false">IFERROR(VALUE(RIGHT($A2814,2)),"")</f>
        <v>6</v>
      </c>
      <c r="D2814" s="17" t="n">
        <f aca="false">IFERROR(ROUNDUP($C2814/3,0),"")</f>
        <v>2</v>
      </c>
      <c r="E2814" s="11" t="str">
        <f aca="false">TRIM('수출입 실적(품목별)'!B2818)</f>
        <v>22</v>
      </c>
      <c r="F2814" s="11" t="str">
        <f aca="false">TRIM('수출입 실적(품목별)'!C2818)</f>
        <v>음료ㆍ주류ㆍ식초</v>
      </c>
      <c r="G2814" s="18" t="n">
        <f aca="false">IFERROR(VALUE(SUBSTITUTE(TRIM('수출입 실적(품목별)'!D2818),",","")),"")</f>
        <v>88488</v>
      </c>
      <c r="H2814" s="19" t="n">
        <f aca="false">IFERROR(VALUE(SUBSTITUTE(TRIM('수출입 실적(품목별)'!E2818),",","")),"")</f>
        <v>100280</v>
      </c>
      <c r="I2814" s="18" t="n">
        <f aca="false">IFERROR(VALUE(SUBSTITUTE(TRIM('수출입 실적(품목별)'!F2818),",","")),"")</f>
        <v>85051</v>
      </c>
      <c r="J2814" s="19" t="n">
        <f aca="false">IFERROR(VALUE(SUBSTITUTE(TRIM('수출입 실적(품목별)'!G2818),",","")),"")</f>
        <v>129525</v>
      </c>
      <c r="K2814" s="19" t="n">
        <f aca="false">IFERROR(VALUE(SUBSTITUTE(TRIM('수출입 실적(품목별)'!H2818),",","")),"")</f>
        <v>-29245</v>
      </c>
    </row>
    <row r="2815" customFormat="false" ht="15" hidden="false" customHeight="true" outlineLevel="0" collapsed="false">
      <c r="A2815" s="11" t="str">
        <f aca="false">TRIM('수출입 실적(품목별)'!A2819)</f>
        <v>2026.06</v>
      </c>
      <c r="B2815" s="17" t="n">
        <f aca="false">IFERROR(VALUE(LEFT($A2815,4)),"")</f>
        <v>2026</v>
      </c>
      <c r="C2815" s="17" t="n">
        <f aca="false">IFERROR(VALUE(RIGHT($A2815,2)),"")</f>
        <v>6</v>
      </c>
      <c r="D2815" s="17" t="n">
        <f aca="false">IFERROR(ROUNDUP($C2815/3,0),"")</f>
        <v>2</v>
      </c>
      <c r="E2815" s="11" t="str">
        <f aca="false">TRIM('수출입 실적(품목별)'!B2819)</f>
        <v>23</v>
      </c>
      <c r="F2815" s="11" t="str">
        <f aca="false">TRIM('수출입 실적(품목별)'!C2819)</f>
        <v>식품 공업에서 생기는 잔재물과 웨이스트(waste), 조제 사료</v>
      </c>
      <c r="G2815" s="18" t="n">
        <f aca="false">IFERROR(VALUE(SUBSTITUTE(TRIM('수출입 실적(품목별)'!D2819),",","")),"")</f>
        <v>24418</v>
      </c>
      <c r="H2815" s="19" t="n">
        <f aca="false">IFERROR(VALUE(SUBSTITUTE(TRIM('수출입 실적(품목별)'!E2819),",","")),"")</f>
        <v>28156</v>
      </c>
      <c r="I2815" s="18" t="n">
        <f aca="false">IFERROR(VALUE(SUBSTITUTE(TRIM('수출입 실적(품목별)'!F2819),",","")),"")</f>
        <v>535334.6</v>
      </c>
      <c r="J2815" s="19" t="n">
        <f aca="false">IFERROR(VALUE(SUBSTITUTE(TRIM('수출입 실적(품목별)'!G2819),",","")),"")</f>
        <v>199255</v>
      </c>
      <c r="K2815" s="19" t="n">
        <f aca="false">IFERROR(VALUE(SUBSTITUTE(TRIM('수출입 실적(품목별)'!H2819),",","")),"")</f>
        <v>-171098</v>
      </c>
    </row>
    <row r="2816" customFormat="false" ht="15" hidden="false" customHeight="true" outlineLevel="0" collapsed="false">
      <c r="A2816" s="11" t="str">
        <f aca="false">TRIM('수출입 실적(품목별)'!A2820)</f>
        <v>2026.06</v>
      </c>
      <c r="B2816" s="17" t="n">
        <f aca="false">IFERROR(VALUE(LEFT($A2816,4)),"")</f>
        <v>2026</v>
      </c>
      <c r="C2816" s="17" t="n">
        <f aca="false">IFERROR(VALUE(RIGHT($A2816,2)),"")</f>
        <v>6</v>
      </c>
      <c r="D2816" s="17" t="n">
        <f aca="false">IFERROR(ROUNDUP($C2816/3,0),"")</f>
        <v>2</v>
      </c>
      <c r="E2816" s="11" t="str">
        <f aca="false">TRIM('수출입 실적(품목별)'!B2820)</f>
        <v>24</v>
      </c>
      <c r="F2816" s="11" t="str">
        <f aca="false">TRIM('수출입 실적(품목별)'!C2820)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816" s="18" t="n">
        <f aca="false">IFERROR(VALUE(SUBSTITUTE(TRIM('수출입 실적(품목별)'!D2820),",","")),"")</f>
        <v>9344.1</v>
      </c>
      <c r="H2816" s="19" t="n">
        <f aca="false">IFERROR(VALUE(SUBSTITUTE(TRIM('수출입 실적(품목별)'!E2820),",","")),"")</f>
        <v>86171</v>
      </c>
      <c r="I2816" s="18" t="n">
        <f aca="false">IFERROR(VALUE(SUBSTITUTE(TRIM('수출입 실적(품목별)'!F2820),",","")),"")</f>
        <v>4799.6</v>
      </c>
      <c r="J2816" s="19" t="n">
        <f aca="false">IFERROR(VALUE(SUBSTITUTE(TRIM('수출입 실적(품목별)'!G2820),",","")),"")</f>
        <v>40123</v>
      </c>
      <c r="K2816" s="19" t="n">
        <f aca="false">IFERROR(VALUE(SUBSTITUTE(TRIM('수출입 실적(품목별)'!H2820),",","")),"")</f>
        <v>46048</v>
      </c>
    </row>
    <row r="2817" customFormat="false" ht="15" hidden="false" customHeight="true" outlineLevel="0" collapsed="false">
      <c r="A2817" s="11" t="str">
        <f aca="false">TRIM('수출입 실적(품목별)'!A2821)</f>
        <v>2026.06</v>
      </c>
      <c r="B2817" s="17" t="n">
        <f aca="false">IFERROR(VALUE(LEFT($A2817,4)),"")</f>
        <v>2026</v>
      </c>
      <c r="C2817" s="17" t="n">
        <f aca="false">IFERROR(VALUE(RIGHT($A2817,2)),"")</f>
        <v>6</v>
      </c>
      <c r="D2817" s="17" t="n">
        <f aca="false">IFERROR(ROUNDUP($C2817/3,0),"")</f>
        <v>2</v>
      </c>
      <c r="E2817" s="11" t="str">
        <f aca="false">TRIM('수출입 실적(품목별)'!B2821)</f>
        <v>25</v>
      </c>
      <c r="F2817" s="11" t="str">
        <f aca="false">TRIM('수출입 실적(품목별)'!C2821)</f>
        <v>소금, 황, 토석류(土石類), 석고ㆍ석회ㆍ시멘트</v>
      </c>
      <c r="G2817" s="18" t="n">
        <f aca="false">IFERROR(VALUE(SUBSTITUTE(TRIM('수출입 실적(품목별)'!D2821),",","")),"")</f>
        <v>338926</v>
      </c>
      <c r="H2817" s="19" t="n">
        <f aca="false">IFERROR(VALUE(SUBSTITUTE(TRIM('수출입 실적(품목별)'!E2821),",","")),"")</f>
        <v>65228</v>
      </c>
      <c r="I2817" s="18" t="n">
        <f aca="false">IFERROR(VALUE(SUBSTITUTE(TRIM('수출입 실적(품목별)'!F2821),",","")),"")</f>
        <v>1092128.2</v>
      </c>
      <c r="J2817" s="19" t="n">
        <f aca="false">IFERROR(VALUE(SUBSTITUTE(TRIM('수출입 실적(품목별)'!G2821),",","")),"")</f>
        <v>158533</v>
      </c>
      <c r="K2817" s="19" t="n">
        <f aca="false">IFERROR(VALUE(SUBSTITUTE(TRIM('수출입 실적(품목별)'!H2821),",","")),"")</f>
        <v>-93305</v>
      </c>
    </row>
    <row r="2818" customFormat="false" ht="15" hidden="false" customHeight="true" outlineLevel="0" collapsed="false">
      <c r="A2818" s="11" t="str">
        <f aca="false">TRIM('수출입 실적(품목별)'!A2822)</f>
        <v>2026.06</v>
      </c>
      <c r="B2818" s="17" t="n">
        <f aca="false">IFERROR(VALUE(LEFT($A2818,4)),"")</f>
        <v>2026</v>
      </c>
      <c r="C2818" s="17" t="n">
        <f aca="false">IFERROR(VALUE(RIGHT($A2818,2)),"")</f>
        <v>6</v>
      </c>
      <c r="D2818" s="17" t="n">
        <f aca="false">IFERROR(ROUNDUP($C2818/3,0),"")</f>
        <v>2</v>
      </c>
      <c r="E2818" s="11" t="str">
        <f aca="false">TRIM('수출입 실적(품목별)'!B2822)</f>
        <v>26</v>
      </c>
      <c r="F2818" s="11" t="str">
        <f aca="false">TRIM('수출입 실적(품목별)'!C2822)</f>
        <v>광(鑛)ㆍ슬래그(slag)ㆍ회(灰)</v>
      </c>
      <c r="G2818" s="18" t="n">
        <f aca="false">IFERROR(VALUE(SUBSTITUTE(TRIM('수출입 실적(품목별)'!D2822),",","")),"")</f>
        <v>151005.6</v>
      </c>
      <c r="H2818" s="19" t="n">
        <f aca="false">IFERROR(VALUE(SUBSTITUTE(TRIM('수출입 실적(품목별)'!E2822),",","")),"")</f>
        <v>90793</v>
      </c>
      <c r="I2818" s="18" t="n">
        <f aca="false">IFERROR(VALUE(SUBSTITUTE(TRIM('수출입 실적(품목별)'!F2822),",","")),"")</f>
        <v>6131784.8</v>
      </c>
      <c r="J2818" s="19" t="n">
        <f aca="false">IFERROR(VALUE(SUBSTITUTE(TRIM('수출입 실적(품목별)'!G2822),",","")),"")</f>
        <v>1828295</v>
      </c>
      <c r="K2818" s="19" t="n">
        <f aca="false">IFERROR(VALUE(SUBSTITUTE(TRIM('수출입 실적(품목별)'!H2822),",","")),"")</f>
        <v>-1737502</v>
      </c>
    </row>
    <row r="2819" customFormat="false" ht="15" hidden="false" customHeight="true" outlineLevel="0" collapsed="false">
      <c r="A2819" s="11" t="str">
        <f aca="false">TRIM('수출입 실적(품목별)'!A2823)</f>
        <v>2026.06</v>
      </c>
      <c r="B2819" s="17" t="n">
        <f aca="false">IFERROR(VALUE(LEFT($A2819,4)),"")</f>
        <v>2026</v>
      </c>
      <c r="C2819" s="17" t="n">
        <f aca="false">IFERROR(VALUE(RIGHT($A2819,2)),"")</f>
        <v>6</v>
      </c>
      <c r="D2819" s="17" t="n">
        <f aca="false">IFERROR(ROUNDUP($C2819/3,0),"")</f>
        <v>2</v>
      </c>
      <c r="E2819" s="11" t="str">
        <f aca="false">TRIM('수출입 실적(품목별)'!B2823)</f>
        <v>27</v>
      </c>
      <c r="F2819" s="11" t="str">
        <f aca="false">TRIM('수출입 실적(품목별)'!C2823)</f>
        <v>광물성 연료ㆍ광물유(鑛物油)와 이들의 증류물, 역청(瀝靑)물질, 광물성 왁스</v>
      </c>
      <c r="G2819" s="18" t="n">
        <f aca="false">IFERROR(VALUE(SUBSTITUTE(TRIM('수출입 실적(품목별)'!D2823),",","")),"")</f>
        <v>5268114.4</v>
      </c>
      <c r="H2819" s="19" t="n">
        <f aca="false">IFERROR(VALUE(SUBSTITUTE(TRIM('수출입 실적(품목별)'!E2823),",","")),"")</f>
        <v>5500624</v>
      </c>
      <c r="I2819" s="18" t="n">
        <f aca="false">IFERROR(VALUE(SUBSTITUTE(TRIM('수출입 실적(품목별)'!F2823),",","")),"")</f>
        <v>25808378</v>
      </c>
      <c r="J2819" s="19" t="n">
        <f aca="false">IFERROR(VALUE(SUBSTITUTE(TRIM('수출입 실적(품목별)'!G2823),",","")),"")</f>
        <v>14302450</v>
      </c>
      <c r="K2819" s="19" t="n">
        <f aca="false">IFERROR(VALUE(SUBSTITUTE(TRIM('수출입 실적(품목별)'!H2823),",","")),"")</f>
        <v>-8801826</v>
      </c>
    </row>
    <row r="2820" customFormat="false" ht="15" hidden="false" customHeight="true" outlineLevel="0" collapsed="false">
      <c r="A2820" s="11" t="str">
        <f aca="false">TRIM('수출입 실적(품목별)'!A2824)</f>
        <v>2026.06</v>
      </c>
      <c r="B2820" s="17" t="n">
        <f aca="false">IFERROR(VALUE(LEFT($A2820,4)),"")</f>
        <v>2026</v>
      </c>
      <c r="C2820" s="17" t="n">
        <f aca="false">IFERROR(VALUE(RIGHT($A2820,2)),"")</f>
        <v>6</v>
      </c>
      <c r="D2820" s="17" t="n">
        <f aca="false">IFERROR(ROUNDUP($C2820/3,0),"")</f>
        <v>2</v>
      </c>
      <c r="E2820" s="11" t="str">
        <f aca="false">TRIM('수출입 실적(품목별)'!B2824)</f>
        <v>28</v>
      </c>
      <c r="F2820" s="11" t="str">
        <f aca="false">TRIM('수출입 실적(품목별)'!C2824)</f>
        <v>무기화학품, 귀금속ㆍ희토류(稀土類)금속ㆍ방사성원소ㆍ동위원소의 유기화합물이나 무기화합물</v>
      </c>
      <c r="G2820" s="18" t="n">
        <f aca="false">IFERROR(VALUE(SUBSTITUTE(TRIM('수출입 실적(품목별)'!D2824),",","")),"")</f>
        <v>388902.2</v>
      </c>
      <c r="H2820" s="19" t="n">
        <f aca="false">IFERROR(VALUE(SUBSTITUTE(TRIM('수출입 실적(품목별)'!E2824),",","")),"")</f>
        <v>998975</v>
      </c>
      <c r="I2820" s="18" t="n">
        <f aca="false">IFERROR(VALUE(SUBSTITUTE(TRIM('수출입 실적(품목별)'!F2824),",","")),"")</f>
        <v>317413.7</v>
      </c>
      <c r="J2820" s="19" t="n">
        <f aca="false">IFERROR(VALUE(SUBSTITUTE(TRIM('수출입 실적(품목별)'!G2824),",","")),"")</f>
        <v>1152874</v>
      </c>
      <c r="K2820" s="19" t="n">
        <f aca="false">IFERROR(VALUE(SUBSTITUTE(TRIM('수출입 실적(품목별)'!H2824),",","")),"")</f>
        <v>-153899</v>
      </c>
    </row>
    <row r="2821" customFormat="false" ht="15" hidden="false" customHeight="true" outlineLevel="0" collapsed="false">
      <c r="A2821" s="11" t="str">
        <f aca="false">TRIM('수출입 실적(품목별)'!A2825)</f>
        <v>2026.06</v>
      </c>
      <c r="B2821" s="17" t="n">
        <f aca="false">IFERROR(VALUE(LEFT($A2821,4)),"")</f>
        <v>2026</v>
      </c>
      <c r="C2821" s="17" t="n">
        <f aca="false">IFERROR(VALUE(RIGHT($A2821,2)),"")</f>
        <v>6</v>
      </c>
      <c r="D2821" s="17" t="n">
        <f aca="false">IFERROR(ROUNDUP($C2821/3,0),"")</f>
        <v>2</v>
      </c>
      <c r="E2821" s="11" t="str">
        <f aca="false">TRIM('수출입 실적(품목별)'!B2825)</f>
        <v>29</v>
      </c>
      <c r="F2821" s="11" t="str">
        <f aca="false">TRIM('수출입 실적(품목별)'!C2825)</f>
        <v>유기화학품</v>
      </c>
      <c r="G2821" s="18" t="n">
        <f aca="false">IFERROR(VALUE(SUBSTITUTE(TRIM('수출입 실적(품목별)'!D2825),",","")),"")</f>
        <v>1312115.8</v>
      </c>
      <c r="H2821" s="19" t="n">
        <f aca="false">IFERROR(VALUE(SUBSTITUTE(TRIM('수출입 실적(품목별)'!E2825),",","")),"")</f>
        <v>1685657</v>
      </c>
      <c r="I2821" s="18" t="n">
        <f aca="false">IFERROR(VALUE(SUBSTITUTE(TRIM('수출입 실적(품목별)'!F2825),",","")),"")</f>
        <v>755066.6</v>
      </c>
      <c r="J2821" s="19" t="n">
        <f aca="false">IFERROR(VALUE(SUBSTITUTE(TRIM('수출입 실적(품목별)'!G2825),",","")),"")</f>
        <v>1425093</v>
      </c>
      <c r="K2821" s="19" t="n">
        <f aca="false">IFERROR(VALUE(SUBSTITUTE(TRIM('수출입 실적(품목별)'!H2825),",","")),"")</f>
        <v>260565</v>
      </c>
    </row>
    <row r="2822" customFormat="false" ht="15" hidden="false" customHeight="true" outlineLevel="0" collapsed="false">
      <c r="A2822" s="11" t="str">
        <f aca="false">TRIM('수출입 실적(품목별)'!A2826)</f>
        <v>2026.06</v>
      </c>
      <c r="B2822" s="17" t="n">
        <f aca="false">IFERROR(VALUE(LEFT($A2822,4)),"")</f>
        <v>2026</v>
      </c>
      <c r="C2822" s="17" t="n">
        <f aca="false">IFERROR(VALUE(RIGHT($A2822,2)),"")</f>
        <v>6</v>
      </c>
      <c r="D2822" s="17" t="n">
        <f aca="false">IFERROR(ROUNDUP($C2822/3,0),"")</f>
        <v>2</v>
      </c>
      <c r="E2822" s="11" t="str">
        <f aca="false">TRIM('수출입 실적(품목별)'!B2826)</f>
        <v>30</v>
      </c>
      <c r="F2822" s="11" t="str">
        <f aca="false">TRIM('수출입 실적(품목별)'!C2826)</f>
        <v>의료용품</v>
      </c>
      <c r="G2822" s="18" t="n">
        <f aca="false">IFERROR(VALUE(SUBSTITUTE(TRIM('수출입 실적(품목별)'!D2826),",","")),"")</f>
        <v>2998.3</v>
      </c>
      <c r="H2822" s="19" t="n">
        <f aca="false">IFERROR(VALUE(SUBSTITUTE(TRIM('수출입 실적(품목별)'!E2826),",","")),"")</f>
        <v>1158671</v>
      </c>
      <c r="I2822" s="18" t="n">
        <f aca="false">IFERROR(VALUE(SUBSTITUTE(TRIM('수출입 실적(품목별)'!F2826),",","")),"")</f>
        <v>8012.7</v>
      </c>
      <c r="J2822" s="19" t="n">
        <f aca="false">IFERROR(VALUE(SUBSTITUTE(TRIM('수출입 실적(품목별)'!G2826),",","")),"")</f>
        <v>1008727</v>
      </c>
      <c r="K2822" s="19" t="n">
        <f aca="false">IFERROR(VALUE(SUBSTITUTE(TRIM('수출입 실적(품목별)'!H2826),",","")),"")</f>
        <v>149945</v>
      </c>
    </row>
    <row r="2823" customFormat="false" ht="15" hidden="false" customHeight="true" outlineLevel="0" collapsed="false">
      <c r="A2823" s="11" t="str">
        <f aca="false">TRIM('수출입 실적(품목별)'!A2827)</f>
        <v>2026.06</v>
      </c>
      <c r="B2823" s="17" t="n">
        <f aca="false">IFERROR(VALUE(LEFT($A2823,4)),"")</f>
        <v>2026</v>
      </c>
      <c r="C2823" s="17" t="n">
        <f aca="false">IFERROR(VALUE(RIGHT($A2823,2)),"")</f>
        <v>6</v>
      </c>
      <c r="D2823" s="17" t="n">
        <f aca="false">IFERROR(ROUNDUP($C2823/3,0),"")</f>
        <v>2</v>
      </c>
      <c r="E2823" s="11" t="str">
        <f aca="false">TRIM('수출입 실적(품목별)'!B2827)</f>
        <v>31</v>
      </c>
      <c r="F2823" s="11" t="str">
        <f aca="false">TRIM('수출입 실적(품목별)'!C2827)</f>
        <v>비료</v>
      </c>
      <c r="G2823" s="18" t="n">
        <f aca="false">IFERROR(VALUE(SUBSTITUTE(TRIM('수출입 실적(품목별)'!D2827),",","")),"")</f>
        <v>108613.2</v>
      </c>
      <c r="H2823" s="19" t="n">
        <f aca="false">IFERROR(VALUE(SUBSTITUTE(TRIM('수출입 실적(품목별)'!E2827),",","")),"")</f>
        <v>54692</v>
      </c>
      <c r="I2823" s="18" t="n">
        <f aca="false">IFERROR(VALUE(SUBSTITUTE(TRIM('수출입 실적(품목별)'!F2827),",","")),"")</f>
        <v>92191.7</v>
      </c>
      <c r="J2823" s="19" t="n">
        <f aca="false">IFERROR(VALUE(SUBSTITUTE(TRIM('수출입 실적(품목별)'!G2827),",","")),"")</f>
        <v>56069</v>
      </c>
      <c r="K2823" s="19" t="n">
        <f aca="false">IFERROR(VALUE(SUBSTITUTE(TRIM('수출입 실적(품목별)'!H2827),",","")),"")</f>
        <v>-1377</v>
      </c>
    </row>
    <row r="2824" customFormat="false" ht="15" hidden="false" customHeight="true" outlineLevel="0" collapsed="false">
      <c r="A2824" s="11" t="str">
        <f aca="false">TRIM('수출입 실적(품목별)'!A2828)</f>
        <v>2026.06</v>
      </c>
      <c r="B2824" s="17" t="n">
        <f aca="false">IFERROR(VALUE(LEFT($A2824,4)),"")</f>
        <v>2026</v>
      </c>
      <c r="C2824" s="17" t="n">
        <f aca="false">IFERROR(VALUE(RIGHT($A2824,2)),"")</f>
        <v>6</v>
      </c>
      <c r="D2824" s="17" t="n">
        <f aca="false">IFERROR(ROUNDUP($C2824/3,0),"")</f>
        <v>2</v>
      </c>
      <c r="E2824" s="11" t="str">
        <f aca="false">TRIM('수출입 실적(품목별)'!B2828)</f>
        <v>32</v>
      </c>
      <c r="F2824" s="11" t="str">
        <f aca="false">TRIM('수출입 실적(품목별)'!C2828)</f>
        <v>유연용ㆍ염색용 추출물(extract), 탄닌과 이들의 유도체, 염료ㆍ안료와 그 밖의 착색제, 페인트ㆍ바니시(varnish), 퍼티(putty)와 그 밖의 매스틱(mastic), 잉크</v>
      </c>
      <c r="G2824" s="18" t="n">
        <f aca="false">IFERROR(VALUE(SUBSTITUTE(TRIM('수출입 실적(품목별)'!D2828),",","")),"")</f>
        <v>31880</v>
      </c>
      <c r="H2824" s="19" t="n">
        <f aca="false">IFERROR(VALUE(SUBSTITUTE(TRIM('수출입 실적(품목별)'!E2828),",","")),"")</f>
        <v>243223</v>
      </c>
      <c r="I2824" s="18" t="n">
        <f aca="false">IFERROR(VALUE(SUBSTITUTE(TRIM('수출입 실적(품목별)'!F2828),",","")),"")</f>
        <v>25675.5</v>
      </c>
      <c r="J2824" s="19" t="n">
        <f aca="false">IFERROR(VALUE(SUBSTITUTE(TRIM('수출입 실적(품목별)'!G2828),",","")),"")</f>
        <v>226522</v>
      </c>
      <c r="K2824" s="19" t="n">
        <f aca="false">IFERROR(VALUE(SUBSTITUTE(TRIM('수출입 실적(품목별)'!H2828),",","")),"")</f>
        <v>16701</v>
      </c>
    </row>
    <row r="2825" customFormat="false" ht="15" hidden="false" customHeight="true" outlineLevel="0" collapsed="false">
      <c r="A2825" s="11" t="str">
        <f aca="false">TRIM('수출입 실적(품목별)'!A2829)</f>
        <v>2026.06</v>
      </c>
      <c r="B2825" s="17" t="n">
        <f aca="false">IFERROR(VALUE(LEFT($A2825,4)),"")</f>
        <v>2026</v>
      </c>
      <c r="C2825" s="17" t="n">
        <f aca="false">IFERROR(VALUE(RIGHT($A2825,2)),"")</f>
        <v>6</v>
      </c>
      <c r="D2825" s="17" t="n">
        <f aca="false">IFERROR(ROUNDUP($C2825/3,0),"")</f>
        <v>2</v>
      </c>
      <c r="E2825" s="11" t="str">
        <f aca="false">TRIM('수출입 실적(품목별)'!B2829)</f>
        <v>33</v>
      </c>
      <c r="F2825" s="11" t="str">
        <f aca="false">TRIM('수출입 실적(품목별)'!C2829)</f>
        <v>정유(essential oil)와 레지노이드(resinoid), 조제향료와 화장품ㆍ화장용품</v>
      </c>
      <c r="G2825" s="18" t="n">
        <f aca="false">IFERROR(VALUE(SUBSTITUTE(TRIM('수출입 실적(품목별)'!D2829),",","")),"")</f>
        <v>53651.9</v>
      </c>
      <c r="H2825" s="19" t="n">
        <f aca="false">IFERROR(VALUE(SUBSTITUTE(TRIM('수출입 실적(품목별)'!E2829),",","")),"")</f>
        <v>1284859</v>
      </c>
      <c r="I2825" s="18" t="n">
        <f aca="false">IFERROR(VALUE(SUBSTITUTE(TRIM('수출입 실적(품목별)'!F2829),",","")),"")</f>
        <v>12152.3</v>
      </c>
      <c r="J2825" s="19" t="n">
        <f aca="false">IFERROR(VALUE(SUBSTITUTE(TRIM('수출입 실적(품목별)'!G2829),",","")),"")</f>
        <v>202255</v>
      </c>
      <c r="K2825" s="19" t="n">
        <f aca="false">IFERROR(VALUE(SUBSTITUTE(TRIM('수출입 실적(품목별)'!H2829),",","")),"")</f>
        <v>1082604</v>
      </c>
    </row>
    <row r="2826" customFormat="false" ht="15" hidden="false" customHeight="true" outlineLevel="0" collapsed="false">
      <c r="A2826" s="11" t="str">
        <f aca="false">TRIM('수출입 실적(품목별)'!A2830)</f>
        <v>2026.06</v>
      </c>
      <c r="B2826" s="17" t="n">
        <f aca="false">IFERROR(VALUE(LEFT($A2826,4)),"")</f>
        <v>2026</v>
      </c>
      <c r="C2826" s="17" t="n">
        <f aca="false">IFERROR(VALUE(RIGHT($A2826,2)),"")</f>
        <v>6</v>
      </c>
      <c r="D2826" s="17" t="n">
        <f aca="false">IFERROR(ROUNDUP($C2826/3,0),"")</f>
        <v>2</v>
      </c>
      <c r="E2826" s="11" t="str">
        <f aca="false">TRIM('수출입 실적(품목별)'!B2830)</f>
        <v>34</v>
      </c>
      <c r="F2826" s="11" t="str">
        <f aca="false">TRIM('수출입 실적(품목별)'!C2830)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826" s="18" t="n">
        <f aca="false">IFERROR(VALUE(SUBSTITUTE(TRIM('수출입 실적(품목별)'!D2830),",","")),"")</f>
        <v>45662.3</v>
      </c>
      <c r="H2826" s="19" t="n">
        <f aca="false">IFERROR(VALUE(SUBSTITUTE(TRIM('수출입 실적(품목별)'!E2830),",","")),"")</f>
        <v>181181</v>
      </c>
      <c r="I2826" s="18" t="n">
        <f aca="false">IFERROR(VALUE(SUBSTITUTE(TRIM('수출입 실적(품목별)'!F2830),",","")),"")</f>
        <v>31978</v>
      </c>
      <c r="J2826" s="19" t="n">
        <f aca="false">IFERROR(VALUE(SUBSTITUTE(TRIM('수출입 실적(품목별)'!G2830),",","")),"")</f>
        <v>117355</v>
      </c>
      <c r="K2826" s="19" t="n">
        <f aca="false">IFERROR(VALUE(SUBSTITUTE(TRIM('수출입 실적(품목별)'!H2830),",","")),"")</f>
        <v>63826</v>
      </c>
    </row>
    <row r="2827" customFormat="false" ht="15" hidden="false" customHeight="true" outlineLevel="0" collapsed="false">
      <c r="A2827" s="11" t="str">
        <f aca="false">TRIM('수출입 실적(품목별)'!A2831)</f>
        <v>2026.06</v>
      </c>
      <c r="B2827" s="17" t="n">
        <f aca="false">IFERROR(VALUE(LEFT($A2827,4)),"")</f>
        <v>2026</v>
      </c>
      <c r="C2827" s="17" t="n">
        <f aca="false">IFERROR(VALUE(RIGHT($A2827,2)),"")</f>
        <v>6</v>
      </c>
      <c r="D2827" s="17" t="n">
        <f aca="false">IFERROR(ROUNDUP($C2827/3,0),"")</f>
        <v>2</v>
      </c>
      <c r="E2827" s="11" t="str">
        <f aca="false">TRIM('수출입 실적(품목별)'!B2831)</f>
        <v>35</v>
      </c>
      <c r="F2827" s="11" t="str">
        <f aca="false">TRIM('수출입 실적(품목별)'!C2831)</f>
        <v>단백질계 물질, 변성전분, 글루(glue), 효소</v>
      </c>
      <c r="G2827" s="18" t="n">
        <f aca="false">IFERROR(VALUE(SUBSTITUTE(TRIM('수출입 실적(품목별)'!D2831),",","")),"")</f>
        <v>7605</v>
      </c>
      <c r="H2827" s="19" t="n">
        <f aca="false">IFERROR(VALUE(SUBSTITUTE(TRIM('수출입 실적(품목별)'!E2831),",","")),"")</f>
        <v>92582</v>
      </c>
      <c r="I2827" s="18" t="n">
        <f aca="false">IFERROR(VALUE(SUBSTITUTE(TRIM('수출입 실적(품목별)'!F2831),",","")),"")</f>
        <v>20390.4</v>
      </c>
      <c r="J2827" s="19" t="n">
        <f aca="false">IFERROR(VALUE(SUBSTITUTE(TRIM('수출입 실적(품목별)'!G2831),",","")),"")</f>
        <v>91535</v>
      </c>
      <c r="K2827" s="19" t="n">
        <f aca="false">IFERROR(VALUE(SUBSTITUTE(TRIM('수출입 실적(품목별)'!H2831),",","")),"")</f>
        <v>1047</v>
      </c>
    </row>
    <row r="2828" customFormat="false" ht="15" hidden="false" customHeight="true" outlineLevel="0" collapsed="false">
      <c r="A2828" s="11" t="str">
        <f aca="false">TRIM('수출입 실적(품목별)'!A2832)</f>
        <v>2026.06</v>
      </c>
      <c r="B2828" s="17" t="n">
        <f aca="false">IFERROR(VALUE(LEFT($A2828,4)),"")</f>
        <v>2026</v>
      </c>
      <c r="C2828" s="17" t="n">
        <f aca="false">IFERROR(VALUE(RIGHT($A2828,2)),"")</f>
        <v>6</v>
      </c>
      <c r="D2828" s="17" t="n">
        <f aca="false">IFERROR(ROUNDUP($C2828/3,0),"")</f>
        <v>2</v>
      </c>
      <c r="E2828" s="11" t="str">
        <f aca="false">TRIM('수출입 실적(품목별)'!B2832)</f>
        <v>36</v>
      </c>
      <c r="F2828" s="11" t="str">
        <f aca="false">TRIM('수출입 실적(품목별)'!C2832)</f>
        <v>화약류, 화공품, 성냥, 발화성 합금, 특정 가연성 조제품</v>
      </c>
      <c r="G2828" s="18" t="n">
        <f aca="false">IFERROR(VALUE(SUBSTITUTE(TRIM('수출입 실적(품목별)'!D2832),",","")),"")</f>
        <v>192.2</v>
      </c>
      <c r="H2828" s="19" t="n">
        <f aca="false">IFERROR(VALUE(SUBSTITUTE(TRIM('수출입 실적(품목별)'!E2832),",","")),"")</f>
        <v>5545</v>
      </c>
      <c r="I2828" s="18" t="n">
        <f aca="false">IFERROR(VALUE(SUBSTITUTE(TRIM('수출입 실적(품목별)'!F2832),",","")),"")</f>
        <v>130.3</v>
      </c>
      <c r="J2828" s="19" t="n">
        <f aca="false">IFERROR(VALUE(SUBSTITUTE(TRIM('수출입 실적(품목별)'!G2832),",","")),"")</f>
        <v>6184</v>
      </c>
      <c r="K2828" s="19" t="n">
        <f aca="false">IFERROR(VALUE(SUBSTITUTE(TRIM('수출입 실적(품목별)'!H2832),",","")),"")</f>
        <v>-638</v>
      </c>
    </row>
    <row r="2829" customFormat="false" ht="15" hidden="false" customHeight="true" outlineLevel="0" collapsed="false">
      <c r="A2829" s="11" t="str">
        <f aca="false">TRIM('수출입 실적(품목별)'!A2833)</f>
        <v>2026.06</v>
      </c>
      <c r="B2829" s="17" t="n">
        <f aca="false">IFERROR(VALUE(LEFT($A2829,4)),"")</f>
        <v>2026</v>
      </c>
      <c r="C2829" s="17" t="n">
        <f aca="false">IFERROR(VALUE(RIGHT($A2829,2)),"")</f>
        <v>6</v>
      </c>
      <c r="D2829" s="17" t="n">
        <f aca="false">IFERROR(ROUNDUP($C2829/3,0),"")</f>
        <v>2</v>
      </c>
      <c r="E2829" s="11" t="str">
        <f aca="false">TRIM('수출입 실적(품목별)'!B2833)</f>
        <v>37</v>
      </c>
      <c r="F2829" s="11" t="str">
        <f aca="false">TRIM('수출입 실적(품목별)'!C2833)</f>
        <v>사진용이나 영화용 재료</v>
      </c>
      <c r="G2829" s="18" t="n">
        <f aca="false">IFERROR(VALUE(SUBSTITUTE(TRIM('수출입 실적(품목별)'!D2833),",","")),"")</f>
        <v>1651.7</v>
      </c>
      <c r="H2829" s="19" t="n">
        <f aca="false">IFERROR(VALUE(SUBSTITUTE(TRIM('수출입 실적(품목별)'!E2833),",","")),"")</f>
        <v>90534</v>
      </c>
      <c r="I2829" s="18" t="n">
        <f aca="false">IFERROR(VALUE(SUBSTITUTE(TRIM('수출입 실적(품목별)'!F2833),",","")),"")</f>
        <v>2701.7</v>
      </c>
      <c r="J2829" s="19" t="n">
        <f aca="false">IFERROR(VALUE(SUBSTITUTE(TRIM('수출입 실적(품목별)'!G2833),",","")),"")</f>
        <v>106166</v>
      </c>
      <c r="K2829" s="19" t="n">
        <f aca="false">IFERROR(VALUE(SUBSTITUTE(TRIM('수출입 실적(품목별)'!H2833),",","")),"")</f>
        <v>-15632</v>
      </c>
    </row>
    <row r="2830" customFormat="false" ht="15" hidden="false" customHeight="true" outlineLevel="0" collapsed="false">
      <c r="A2830" s="11" t="str">
        <f aca="false">TRIM('수출입 실적(품목별)'!A2834)</f>
        <v>2026.06</v>
      </c>
      <c r="B2830" s="17" t="n">
        <f aca="false">IFERROR(VALUE(LEFT($A2830,4)),"")</f>
        <v>2026</v>
      </c>
      <c r="C2830" s="17" t="n">
        <f aca="false">IFERROR(VALUE(RIGHT($A2830,2)),"")</f>
        <v>6</v>
      </c>
      <c r="D2830" s="17" t="n">
        <f aca="false">IFERROR(ROUNDUP($C2830/3,0),"")</f>
        <v>2</v>
      </c>
      <c r="E2830" s="11" t="str">
        <f aca="false">TRIM('수출입 실적(품목별)'!B2834)</f>
        <v>38</v>
      </c>
      <c r="F2830" s="11" t="str">
        <f aca="false">TRIM('수출입 실적(품목별)'!C2834)</f>
        <v>각종 화학공업 생산품</v>
      </c>
      <c r="G2830" s="18" t="n">
        <f aca="false">IFERROR(VALUE(SUBSTITUTE(TRIM('수출입 실적(품목별)'!D2834),",","")),"")</f>
        <v>121322.6</v>
      </c>
      <c r="H2830" s="19" t="n">
        <f aca="false">IFERROR(VALUE(SUBSTITUTE(TRIM('수출입 실적(품목별)'!E2834),",","")),"")</f>
        <v>720738</v>
      </c>
      <c r="I2830" s="18" t="n">
        <f aca="false">IFERROR(VALUE(SUBSTITUTE(TRIM('수출입 실적(품목별)'!F2834),",","")),"")</f>
        <v>241363.2</v>
      </c>
      <c r="J2830" s="19" t="n">
        <f aca="false">IFERROR(VALUE(SUBSTITUTE(TRIM('수출입 실적(품목별)'!G2834),",","")),"")</f>
        <v>922091</v>
      </c>
      <c r="K2830" s="19" t="n">
        <f aca="false">IFERROR(VALUE(SUBSTITUTE(TRIM('수출입 실적(품목별)'!H2834),",","")),"")</f>
        <v>-201353</v>
      </c>
    </row>
    <row r="2831" customFormat="false" ht="15" hidden="false" customHeight="true" outlineLevel="0" collapsed="false">
      <c r="A2831" s="11" t="str">
        <f aca="false">TRIM('수출입 실적(품목별)'!A2835)</f>
        <v>2026.06</v>
      </c>
      <c r="B2831" s="17" t="n">
        <f aca="false">IFERROR(VALUE(LEFT($A2831,4)),"")</f>
        <v>2026</v>
      </c>
      <c r="C2831" s="17" t="n">
        <f aca="false">IFERROR(VALUE(RIGHT($A2831,2)),"")</f>
        <v>6</v>
      </c>
      <c r="D2831" s="17" t="n">
        <f aca="false">IFERROR(ROUNDUP($C2831/3,0),"")</f>
        <v>2</v>
      </c>
      <c r="E2831" s="11" t="str">
        <f aca="false">TRIM('수출입 실적(품목별)'!B2835)</f>
        <v>39</v>
      </c>
      <c r="F2831" s="11" t="str">
        <f aca="false">TRIM('수출입 실적(품목별)'!C2835)</f>
        <v>플라스틱과 그 제품</v>
      </c>
      <c r="G2831" s="18" t="n">
        <f aca="false">IFERROR(VALUE(SUBSTITUTE(TRIM('수출입 실적(품목별)'!D2835),",","")),"")</f>
        <v>1337618.5</v>
      </c>
      <c r="H2831" s="19" t="n">
        <f aca="false">IFERROR(VALUE(SUBSTITUTE(TRIM('수출입 실적(품목별)'!E2835),",","")),"")</f>
        <v>3292799</v>
      </c>
      <c r="I2831" s="18" t="n">
        <f aca="false">IFERROR(VALUE(SUBSTITUTE(TRIM('수출입 실적(품목별)'!F2835),",","")),"")</f>
        <v>343255.2</v>
      </c>
      <c r="J2831" s="19" t="n">
        <f aca="false">IFERROR(VALUE(SUBSTITUTE(TRIM('수출입 실적(품목별)'!G2835),",","")),"")</f>
        <v>1429046</v>
      </c>
      <c r="K2831" s="19" t="n">
        <f aca="false">IFERROR(VALUE(SUBSTITUTE(TRIM('수출입 실적(품목별)'!H2835),",","")),"")</f>
        <v>1863753</v>
      </c>
    </row>
    <row r="2832" customFormat="false" ht="15" hidden="false" customHeight="true" outlineLevel="0" collapsed="false">
      <c r="A2832" s="11" t="str">
        <f aca="false">TRIM('수출입 실적(품목별)'!A2836)</f>
        <v>2026.06</v>
      </c>
      <c r="B2832" s="17" t="n">
        <f aca="false">IFERROR(VALUE(LEFT($A2832,4)),"")</f>
        <v>2026</v>
      </c>
      <c r="C2832" s="17" t="n">
        <f aca="false">IFERROR(VALUE(RIGHT($A2832,2)),"")</f>
        <v>6</v>
      </c>
      <c r="D2832" s="17" t="n">
        <f aca="false">IFERROR(ROUNDUP($C2832/3,0),"")</f>
        <v>2</v>
      </c>
      <c r="E2832" s="11" t="str">
        <f aca="false">TRIM('수출입 실적(품목별)'!B2836)</f>
        <v>40</v>
      </c>
      <c r="F2832" s="11" t="str">
        <f aca="false">TRIM('수출입 실적(품목별)'!C2836)</f>
        <v>고무와 그 제품</v>
      </c>
      <c r="G2832" s="18" t="n">
        <f aca="false">IFERROR(VALUE(SUBSTITUTE(TRIM('수출입 실적(품목별)'!D2836),",","")),"")</f>
        <v>231917.9</v>
      </c>
      <c r="H2832" s="19" t="n">
        <f aca="false">IFERROR(VALUE(SUBSTITUTE(TRIM('수출입 실적(품목별)'!E2836),",","")),"")</f>
        <v>747510</v>
      </c>
      <c r="I2832" s="18" t="n">
        <f aca="false">IFERROR(VALUE(SUBSTITUTE(TRIM('수출입 실적(품목별)'!F2836),",","")),"")</f>
        <v>91587.9</v>
      </c>
      <c r="J2832" s="19" t="n">
        <f aca="false">IFERROR(VALUE(SUBSTITUTE(TRIM('수출입 실적(품목별)'!G2836),",","")),"")</f>
        <v>299232</v>
      </c>
      <c r="K2832" s="19" t="n">
        <f aca="false">IFERROR(VALUE(SUBSTITUTE(TRIM('수출입 실적(품목별)'!H2836),",","")),"")</f>
        <v>448277</v>
      </c>
    </row>
    <row r="2833" customFormat="false" ht="15" hidden="false" customHeight="true" outlineLevel="0" collapsed="false">
      <c r="A2833" s="11" t="str">
        <f aca="false">TRIM('수출입 실적(품목별)'!A2837)</f>
        <v>2026.06</v>
      </c>
      <c r="B2833" s="17" t="n">
        <f aca="false">IFERROR(VALUE(LEFT($A2833,4)),"")</f>
        <v>2026</v>
      </c>
      <c r="C2833" s="17" t="n">
        <f aca="false">IFERROR(VALUE(RIGHT($A2833,2)),"")</f>
        <v>6</v>
      </c>
      <c r="D2833" s="17" t="n">
        <f aca="false">IFERROR(ROUNDUP($C2833/3,0),"")</f>
        <v>2</v>
      </c>
      <c r="E2833" s="11" t="str">
        <f aca="false">TRIM('수출입 실적(품목별)'!B2837)</f>
        <v>41</v>
      </c>
      <c r="F2833" s="11" t="str">
        <f aca="false">TRIM('수출입 실적(품목별)'!C2837)</f>
        <v>원피(모피는 제외한다)와 가죽</v>
      </c>
      <c r="G2833" s="18" t="n">
        <f aca="false">IFERROR(VALUE(SUBSTITUTE(TRIM('수출입 실적(품목별)'!D2837),",","")),"")</f>
        <v>2607.9</v>
      </c>
      <c r="H2833" s="19" t="n">
        <f aca="false">IFERROR(VALUE(SUBSTITUTE(TRIM('수출입 실적(품목별)'!E2837),",","")),"")</f>
        <v>21790</v>
      </c>
      <c r="I2833" s="18" t="n">
        <f aca="false">IFERROR(VALUE(SUBSTITUTE(TRIM('수출입 실적(품목별)'!F2837),",","")),"")</f>
        <v>5944</v>
      </c>
      <c r="J2833" s="19" t="n">
        <f aca="false">IFERROR(VALUE(SUBSTITUTE(TRIM('수출입 실적(품목별)'!G2837),",","")),"")</f>
        <v>20807</v>
      </c>
      <c r="K2833" s="19" t="n">
        <f aca="false">IFERROR(VALUE(SUBSTITUTE(TRIM('수출입 실적(품목별)'!H2837),",","")),"")</f>
        <v>983</v>
      </c>
    </row>
    <row r="2834" customFormat="false" ht="15" hidden="false" customHeight="true" outlineLevel="0" collapsed="false">
      <c r="A2834" s="11" t="str">
        <f aca="false">TRIM('수출입 실적(품목별)'!A2838)</f>
        <v>2026.06</v>
      </c>
      <c r="B2834" s="17" t="n">
        <f aca="false">IFERROR(VALUE(LEFT($A2834,4)),"")</f>
        <v>2026</v>
      </c>
      <c r="C2834" s="17" t="n">
        <f aca="false">IFERROR(VALUE(RIGHT($A2834,2)),"")</f>
        <v>6</v>
      </c>
      <c r="D2834" s="17" t="n">
        <f aca="false">IFERROR(ROUNDUP($C2834/3,0),"")</f>
        <v>2</v>
      </c>
      <c r="E2834" s="11" t="str">
        <f aca="false">TRIM('수출입 실적(품목별)'!B2838)</f>
        <v>42</v>
      </c>
      <c r="F2834" s="11" t="str">
        <f aca="false">TRIM('수출입 실적(품목별)'!C2838)</f>
        <v>가죽제품, 마구, 여행용구ㆍ핸드백과 이와 유사한 용기, 동물 거트(gut)[누에의 거트(gut)는 제외한다]의 제품</v>
      </c>
      <c r="G2834" s="18" t="n">
        <f aca="false">IFERROR(VALUE(SUBSTITUTE(TRIM('수출입 실적(품목별)'!D2838),",","")),"")</f>
        <v>1119.4</v>
      </c>
      <c r="H2834" s="19" t="n">
        <f aca="false">IFERROR(VALUE(SUBSTITUTE(TRIM('수출입 실적(품목별)'!E2838),",","")),"")</f>
        <v>70230</v>
      </c>
      <c r="I2834" s="18" t="n">
        <f aca="false">IFERROR(VALUE(SUBSTITUTE(TRIM('수출입 실적(품목별)'!F2838),",","")),"")</f>
        <v>9910.4</v>
      </c>
      <c r="J2834" s="19" t="n">
        <f aca="false">IFERROR(VALUE(SUBSTITUTE(TRIM('수출입 실적(품목별)'!G2838),",","")),"")</f>
        <v>353445</v>
      </c>
      <c r="K2834" s="19" t="n">
        <f aca="false">IFERROR(VALUE(SUBSTITUTE(TRIM('수출입 실적(품목별)'!H2838),",","")),"")</f>
        <v>-283214</v>
      </c>
    </row>
    <row r="2835" customFormat="false" ht="15" hidden="false" customHeight="true" outlineLevel="0" collapsed="false">
      <c r="A2835" s="11" t="str">
        <f aca="false">TRIM('수출입 실적(품목별)'!A2839)</f>
        <v>2026.06</v>
      </c>
      <c r="B2835" s="17" t="n">
        <f aca="false">IFERROR(VALUE(LEFT($A2835,4)),"")</f>
        <v>2026</v>
      </c>
      <c r="C2835" s="17" t="n">
        <f aca="false">IFERROR(VALUE(RIGHT($A2835,2)),"")</f>
        <v>6</v>
      </c>
      <c r="D2835" s="17" t="n">
        <f aca="false">IFERROR(ROUNDUP($C2835/3,0),"")</f>
        <v>2</v>
      </c>
      <c r="E2835" s="11" t="str">
        <f aca="false">TRIM('수출입 실적(품목별)'!B2839)</f>
        <v>43</v>
      </c>
      <c r="F2835" s="11" t="str">
        <f aca="false">TRIM('수출입 실적(품목별)'!C2839)</f>
        <v>모피ㆍ인조모피와 이들의 제품</v>
      </c>
      <c r="G2835" s="18" t="n">
        <f aca="false">IFERROR(VALUE(SUBSTITUTE(TRIM('수출입 실적(품목별)'!D2839),",","")),"")</f>
        <v>11.9</v>
      </c>
      <c r="H2835" s="19" t="n">
        <f aca="false">IFERROR(VALUE(SUBSTITUTE(TRIM('수출입 실적(품목별)'!E2839),",","")),"")</f>
        <v>785</v>
      </c>
      <c r="I2835" s="18" t="n">
        <f aca="false">IFERROR(VALUE(SUBSTITUTE(TRIM('수출입 실적(품목별)'!F2839),",","")),"")</f>
        <v>59.1</v>
      </c>
      <c r="J2835" s="19" t="n">
        <f aca="false">IFERROR(VALUE(SUBSTITUTE(TRIM('수출입 실적(품목별)'!G2839),",","")),"")</f>
        <v>18813</v>
      </c>
      <c r="K2835" s="19" t="n">
        <f aca="false">IFERROR(VALUE(SUBSTITUTE(TRIM('수출입 실적(품목별)'!H2839),",","")),"")</f>
        <v>-18028</v>
      </c>
    </row>
    <row r="2836" customFormat="false" ht="15" hidden="false" customHeight="true" outlineLevel="0" collapsed="false">
      <c r="A2836" s="11" t="str">
        <f aca="false">TRIM('수출입 실적(품목별)'!A2840)</f>
        <v>2026.06</v>
      </c>
      <c r="B2836" s="17" t="n">
        <f aca="false">IFERROR(VALUE(LEFT($A2836,4)),"")</f>
        <v>2026</v>
      </c>
      <c r="C2836" s="17" t="n">
        <f aca="false">IFERROR(VALUE(RIGHT($A2836,2)),"")</f>
        <v>6</v>
      </c>
      <c r="D2836" s="17" t="n">
        <f aca="false">IFERROR(ROUNDUP($C2836/3,0),"")</f>
        <v>2</v>
      </c>
      <c r="E2836" s="11" t="str">
        <f aca="false">TRIM('수출입 실적(품목별)'!B2840)</f>
        <v>44</v>
      </c>
      <c r="F2836" s="11" t="str">
        <f aca="false">TRIM('수출입 실적(품목별)'!C2840)</f>
        <v>목재와 그 제품, 목탄</v>
      </c>
      <c r="G2836" s="18" t="n">
        <f aca="false">IFERROR(VALUE(SUBSTITUTE(TRIM('수출입 실적(품목별)'!D2840),",","")),"")</f>
        <v>4561.4</v>
      </c>
      <c r="H2836" s="19" t="n">
        <f aca="false">IFERROR(VALUE(SUBSTITUTE(TRIM('수출입 실적(품목별)'!E2840),",","")),"")</f>
        <v>7681</v>
      </c>
      <c r="I2836" s="18" t="n">
        <f aca="false">IFERROR(VALUE(SUBSTITUTE(TRIM('수출입 실적(품목별)'!F2840),",","")),"")</f>
        <v>759802</v>
      </c>
      <c r="J2836" s="19" t="n">
        <f aca="false">IFERROR(VALUE(SUBSTITUTE(TRIM('수출입 실적(품목별)'!G2840),",","")),"")</f>
        <v>246035</v>
      </c>
      <c r="K2836" s="19" t="n">
        <f aca="false">IFERROR(VALUE(SUBSTITUTE(TRIM('수출입 실적(품목별)'!H2840),",","")),"")</f>
        <v>-238354</v>
      </c>
    </row>
    <row r="2837" customFormat="false" ht="15" hidden="false" customHeight="true" outlineLevel="0" collapsed="false">
      <c r="A2837" s="11" t="str">
        <f aca="false">TRIM('수출입 실적(품목별)'!A2841)</f>
        <v>2026.06</v>
      </c>
      <c r="B2837" s="17" t="n">
        <f aca="false">IFERROR(VALUE(LEFT($A2837,4)),"")</f>
        <v>2026</v>
      </c>
      <c r="C2837" s="17" t="n">
        <f aca="false">IFERROR(VALUE(RIGHT($A2837,2)),"")</f>
        <v>6</v>
      </c>
      <c r="D2837" s="17" t="n">
        <f aca="false">IFERROR(ROUNDUP($C2837/3,0),"")</f>
        <v>2</v>
      </c>
      <c r="E2837" s="11" t="str">
        <f aca="false">TRIM('수출입 실적(품목별)'!B2841)</f>
        <v>45</v>
      </c>
      <c r="F2837" s="11" t="str">
        <f aca="false">TRIM('수출입 실적(품목별)'!C2841)</f>
        <v>코르크(cork)와 그 제품</v>
      </c>
      <c r="G2837" s="18" t="n">
        <f aca="false">IFERROR(VALUE(SUBSTITUTE(TRIM('수출입 실적(품목별)'!D2841),",","")),"")</f>
        <v>2.2</v>
      </c>
      <c r="H2837" s="19" t="n">
        <f aca="false">IFERROR(VALUE(SUBSTITUTE(TRIM('수출입 실적(품목별)'!E2841),",","")),"")</f>
        <v>30</v>
      </c>
      <c r="I2837" s="18" t="n">
        <f aca="false">IFERROR(VALUE(SUBSTITUTE(TRIM('수출입 실적(품목별)'!F2841),",","")),"")</f>
        <v>65.2</v>
      </c>
      <c r="J2837" s="19" t="n">
        <f aca="false">IFERROR(VALUE(SUBSTITUTE(TRIM('수출입 실적(품목별)'!G2841),",","")),"")</f>
        <v>368</v>
      </c>
      <c r="K2837" s="19" t="n">
        <f aca="false">IFERROR(VALUE(SUBSTITUTE(TRIM('수출입 실적(품목별)'!H2841),",","")),"")</f>
        <v>-338</v>
      </c>
    </row>
    <row r="2838" customFormat="false" ht="15" hidden="false" customHeight="true" outlineLevel="0" collapsed="false">
      <c r="A2838" s="11" t="str">
        <f aca="false">TRIM('수출입 실적(품목별)'!A2842)</f>
        <v>2026.06</v>
      </c>
      <c r="B2838" s="17" t="n">
        <f aca="false">IFERROR(VALUE(LEFT($A2838,4)),"")</f>
        <v>2026</v>
      </c>
      <c r="C2838" s="17" t="n">
        <f aca="false">IFERROR(VALUE(RIGHT($A2838,2)),"")</f>
        <v>6</v>
      </c>
      <c r="D2838" s="17" t="n">
        <f aca="false">IFERROR(ROUNDUP($C2838/3,0),"")</f>
        <v>2</v>
      </c>
      <c r="E2838" s="11" t="str">
        <f aca="false">TRIM('수출입 실적(품목별)'!B2842)</f>
        <v>46</v>
      </c>
      <c r="F2838" s="11" t="str">
        <f aca="false">TRIM('수출입 실적(품목별)'!C2842)</f>
        <v>짚ㆍ에스파르토(esparto)나 그 밖의 조물 재료의 제품, 바구니 세공물(basketware)과 지조세공물(枝條細工物)</v>
      </c>
      <c r="G2838" s="18" t="n">
        <f aca="false">IFERROR(VALUE(SUBSTITUTE(TRIM('수출입 실적(품목별)'!D2842),",","")),"")</f>
        <v>2.6</v>
      </c>
      <c r="H2838" s="19" t="n">
        <f aca="false">IFERROR(VALUE(SUBSTITUTE(TRIM('수출입 실적(품목별)'!E2842),",","")),"")</f>
        <v>107</v>
      </c>
      <c r="I2838" s="18" t="n">
        <f aca="false">IFERROR(VALUE(SUBSTITUTE(TRIM('수출입 실적(품목별)'!F2842),",","")),"")</f>
        <v>482.2</v>
      </c>
      <c r="J2838" s="19" t="n">
        <f aca="false">IFERROR(VALUE(SUBSTITUTE(TRIM('수출입 실적(품목별)'!G2842),",","")),"")</f>
        <v>2393</v>
      </c>
      <c r="K2838" s="19" t="n">
        <f aca="false">IFERROR(VALUE(SUBSTITUTE(TRIM('수출입 실적(품목별)'!H2842),",","")),"")</f>
        <v>-2285</v>
      </c>
    </row>
    <row r="2839" customFormat="false" ht="15" hidden="false" customHeight="true" outlineLevel="0" collapsed="false">
      <c r="A2839" s="11" t="str">
        <f aca="false">TRIM('수출입 실적(품목별)'!A2843)</f>
        <v>2026.06</v>
      </c>
      <c r="B2839" s="17" t="n">
        <f aca="false">IFERROR(VALUE(LEFT($A2839,4)),"")</f>
        <v>2026</v>
      </c>
      <c r="C2839" s="17" t="n">
        <f aca="false">IFERROR(VALUE(RIGHT($A2839,2)),"")</f>
        <v>6</v>
      </c>
      <c r="D2839" s="17" t="n">
        <f aca="false">IFERROR(ROUNDUP($C2839/3,0),"")</f>
        <v>2</v>
      </c>
      <c r="E2839" s="11" t="str">
        <f aca="false">TRIM('수출입 실적(품목별)'!B2843)</f>
        <v>47</v>
      </c>
      <c r="F2839" s="11" t="str">
        <f aca="false">TRIM('수출입 실적(품목별)'!C2843)</f>
        <v>목재나 그 밖의 섬유질 셀룰로오스재료의 펄프, 회수한 종이ㆍ판지[웨이스트(waste)와 스크랩(scrap)]</v>
      </c>
      <c r="G2839" s="18" t="n">
        <f aca="false">IFERROR(VALUE(SUBSTITUTE(TRIM('수출입 실적(품목별)'!D2843),",","")),"")</f>
        <v>53773.4</v>
      </c>
      <c r="H2839" s="19" t="n">
        <f aca="false">IFERROR(VALUE(SUBSTITUTE(TRIM('수출입 실적(품목별)'!E2843),",","")),"")</f>
        <v>8951</v>
      </c>
      <c r="I2839" s="18" t="n">
        <f aca="false">IFERROR(VALUE(SUBSTITUTE(TRIM('수출입 실적(품목별)'!F2843),",","")),"")</f>
        <v>201663.8</v>
      </c>
      <c r="J2839" s="19" t="n">
        <f aca="false">IFERROR(VALUE(SUBSTITUTE(TRIM('수출입 실적(품목별)'!G2843),",","")),"")</f>
        <v>103834</v>
      </c>
      <c r="K2839" s="19" t="n">
        <f aca="false">IFERROR(VALUE(SUBSTITUTE(TRIM('수출입 실적(품목별)'!H2843),",","")),"")</f>
        <v>-94882</v>
      </c>
    </row>
    <row r="2840" customFormat="false" ht="15" hidden="false" customHeight="true" outlineLevel="0" collapsed="false">
      <c r="A2840" s="11" t="str">
        <f aca="false">TRIM('수출입 실적(품목별)'!A2844)</f>
        <v>2026.06</v>
      </c>
      <c r="B2840" s="17" t="n">
        <f aca="false">IFERROR(VALUE(LEFT($A2840,4)),"")</f>
        <v>2026</v>
      </c>
      <c r="C2840" s="17" t="n">
        <f aca="false">IFERROR(VALUE(RIGHT($A2840,2)),"")</f>
        <v>6</v>
      </c>
      <c r="D2840" s="17" t="n">
        <f aca="false">IFERROR(ROUNDUP($C2840/3,0),"")</f>
        <v>2</v>
      </c>
      <c r="E2840" s="11" t="str">
        <f aca="false">TRIM('수출입 실적(품목별)'!B2844)</f>
        <v>48</v>
      </c>
      <c r="F2840" s="11" t="str">
        <f aca="false">TRIM('수출입 실적(품목별)'!C2844)</f>
        <v>종이와 판지, 제지용 펄프ㆍ종이ㆍ판지의 제품</v>
      </c>
      <c r="G2840" s="18" t="n">
        <f aca="false">IFERROR(VALUE(SUBSTITUTE(TRIM('수출입 실적(품목별)'!D2844),",","")),"")</f>
        <v>229912.8</v>
      </c>
      <c r="H2840" s="19" t="n">
        <f aca="false">IFERROR(VALUE(SUBSTITUTE(TRIM('수출입 실적(품목별)'!E2844),",","")),"")</f>
        <v>234719</v>
      </c>
      <c r="I2840" s="18" t="n">
        <f aca="false">IFERROR(VALUE(SUBSTITUTE(TRIM('수출입 실적(품목별)'!F2844),",","")),"")</f>
        <v>140791</v>
      </c>
      <c r="J2840" s="19" t="n">
        <f aca="false">IFERROR(VALUE(SUBSTITUTE(TRIM('수출입 실적(품목별)'!G2844),",","")),"")</f>
        <v>208686</v>
      </c>
      <c r="K2840" s="19" t="n">
        <f aca="false">IFERROR(VALUE(SUBSTITUTE(TRIM('수출입 실적(품목별)'!H2844),",","")),"")</f>
        <v>26033</v>
      </c>
    </row>
    <row r="2841" customFormat="false" ht="15" hidden="false" customHeight="true" outlineLevel="0" collapsed="false">
      <c r="A2841" s="11" t="str">
        <f aca="false">TRIM('수출입 실적(품목별)'!A2845)</f>
        <v>2026.06</v>
      </c>
      <c r="B2841" s="17" t="n">
        <f aca="false">IFERROR(VALUE(LEFT($A2841,4)),"")</f>
        <v>2026</v>
      </c>
      <c r="C2841" s="17" t="n">
        <f aca="false">IFERROR(VALUE(RIGHT($A2841,2)),"")</f>
        <v>6</v>
      </c>
      <c r="D2841" s="17" t="n">
        <f aca="false">IFERROR(ROUNDUP($C2841/3,0),"")</f>
        <v>2</v>
      </c>
      <c r="E2841" s="11" t="str">
        <f aca="false">TRIM('수출입 실적(품목별)'!B2845)</f>
        <v>49</v>
      </c>
      <c r="F2841" s="11" t="str">
        <f aca="false">TRIM('수출입 실적(품목별)'!C2845)</f>
        <v>인쇄서적ㆍ신문ㆍ회화ㆍ그 밖의 인쇄물, 수제(手製)문서ㆍ타자문서ㆍ도면</v>
      </c>
      <c r="G2841" s="18" t="n">
        <f aca="false">IFERROR(VALUE(SUBSTITUTE(TRIM('수출입 실적(품목별)'!D2845),",","")),"")</f>
        <v>5513.8</v>
      </c>
      <c r="H2841" s="19" t="n">
        <f aca="false">IFERROR(VALUE(SUBSTITUTE(TRIM('수출입 실적(품목별)'!E2845),",","")),"")</f>
        <v>37863</v>
      </c>
      <c r="I2841" s="18" t="n">
        <f aca="false">IFERROR(VALUE(SUBSTITUTE(TRIM('수출입 실적(품목별)'!F2845),",","")),"")</f>
        <v>1215.1</v>
      </c>
      <c r="J2841" s="19" t="n">
        <f aca="false">IFERROR(VALUE(SUBSTITUTE(TRIM('수출입 실적(품목별)'!G2845),",","")),"")</f>
        <v>23909</v>
      </c>
      <c r="K2841" s="19" t="n">
        <f aca="false">IFERROR(VALUE(SUBSTITUTE(TRIM('수출입 실적(품목별)'!H2845),",","")),"")</f>
        <v>13954</v>
      </c>
    </row>
    <row r="2842" customFormat="false" ht="15" hidden="false" customHeight="true" outlineLevel="0" collapsed="false">
      <c r="A2842" s="11" t="str">
        <f aca="false">TRIM('수출입 실적(품목별)'!A2846)</f>
        <v>2026.06</v>
      </c>
      <c r="B2842" s="17" t="n">
        <f aca="false">IFERROR(VALUE(LEFT($A2842,4)),"")</f>
        <v>2026</v>
      </c>
      <c r="C2842" s="17" t="n">
        <f aca="false">IFERROR(VALUE(RIGHT($A2842,2)),"")</f>
        <v>6</v>
      </c>
      <c r="D2842" s="17" t="n">
        <f aca="false">IFERROR(ROUNDUP($C2842/3,0),"")</f>
        <v>2</v>
      </c>
      <c r="E2842" s="11" t="str">
        <f aca="false">TRIM('수출입 실적(품목별)'!B2846)</f>
        <v>50</v>
      </c>
      <c r="F2842" s="11" t="str">
        <f aca="false">TRIM('수출입 실적(품목별)'!C2846)</f>
        <v>견</v>
      </c>
      <c r="G2842" s="18" t="n">
        <f aca="false">IFERROR(VALUE(SUBSTITUTE(TRIM('수출입 실적(품목별)'!D2846),",","")),"")</f>
        <v>20.1</v>
      </c>
      <c r="H2842" s="19" t="n">
        <f aca="false">IFERROR(VALUE(SUBSTITUTE(TRIM('수출입 실적(품목별)'!E2846),",","")),"")</f>
        <v>1660</v>
      </c>
      <c r="I2842" s="18" t="n">
        <f aca="false">IFERROR(VALUE(SUBSTITUTE(TRIM('수출입 실적(품목별)'!F2846),",","")),"")</f>
        <v>36.3</v>
      </c>
      <c r="J2842" s="19" t="n">
        <f aca="false">IFERROR(VALUE(SUBSTITUTE(TRIM('수출입 실적(품목별)'!G2846),",","")),"")</f>
        <v>2586</v>
      </c>
      <c r="K2842" s="19" t="n">
        <f aca="false">IFERROR(VALUE(SUBSTITUTE(TRIM('수출입 실적(품목별)'!H2846),",","")),"")</f>
        <v>-926</v>
      </c>
    </row>
    <row r="2843" customFormat="false" ht="15" hidden="false" customHeight="true" outlineLevel="0" collapsed="false">
      <c r="A2843" s="11" t="str">
        <f aca="false">TRIM('수출입 실적(품목별)'!A2847)</f>
        <v>2026.06</v>
      </c>
      <c r="B2843" s="17" t="n">
        <f aca="false">IFERROR(VALUE(LEFT($A2843,4)),"")</f>
        <v>2026</v>
      </c>
      <c r="C2843" s="17" t="n">
        <f aca="false">IFERROR(VALUE(RIGHT($A2843,2)),"")</f>
        <v>6</v>
      </c>
      <c r="D2843" s="17" t="n">
        <f aca="false">IFERROR(ROUNDUP($C2843/3,0),"")</f>
        <v>2</v>
      </c>
      <c r="E2843" s="11" t="str">
        <f aca="false">TRIM('수출입 실적(품목별)'!B2847)</f>
        <v>51</v>
      </c>
      <c r="F2843" s="11" t="str">
        <f aca="false">TRIM('수출입 실적(품목별)'!C2847)</f>
        <v>양모ㆍ동물의 부드러운 털이나 거친 털ㆍ말의 털로 만든 실과 직물</v>
      </c>
      <c r="G2843" s="18" t="n">
        <f aca="false">IFERROR(VALUE(SUBSTITUTE(TRIM('수출입 실적(품목별)'!D2847),",","")),"")</f>
        <v>332.4</v>
      </c>
      <c r="H2843" s="19" t="n">
        <f aca="false">IFERROR(VALUE(SUBSTITUTE(TRIM('수출입 실적(품목별)'!E2847),",","")),"")</f>
        <v>7180</v>
      </c>
      <c r="I2843" s="18" t="n">
        <f aca="false">IFERROR(VALUE(SUBSTITUTE(TRIM('수출입 실적(품목별)'!F2847),",","")),"")</f>
        <v>746.5</v>
      </c>
      <c r="J2843" s="19" t="n">
        <f aca="false">IFERROR(VALUE(SUBSTITUTE(TRIM('수출입 실적(품목별)'!G2847),",","")),"")</f>
        <v>24982</v>
      </c>
      <c r="K2843" s="19" t="n">
        <f aca="false">IFERROR(VALUE(SUBSTITUTE(TRIM('수출입 실적(품목별)'!H2847),",","")),"")</f>
        <v>-17803</v>
      </c>
    </row>
    <row r="2844" customFormat="false" ht="15" hidden="false" customHeight="true" outlineLevel="0" collapsed="false">
      <c r="A2844" s="11" t="str">
        <f aca="false">TRIM('수출입 실적(품목별)'!A2848)</f>
        <v>2026.06</v>
      </c>
      <c r="B2844" s="17" t="n">
        <f aca="false">IFERROR(VALUE(LEFT($A2844,4)),"")</f>
        <v>2026</v>
      </c>
      <c r="C2844" s="17" t="n">
        <f aca="false">IFERROR(VALUE(RIGHT($A2844,2)),"")</f>
        <v>6</v>
      </c>
      <c r="D2844" s="17" t="n">
        <f aca="false">IFERROR(ROUNDUP($C2844/3,0),"")</f>
        <v>2</v>
      </c>
      <c r="E2844" s="11" t="str">
        <f aca="false">TRIM('수출입 실적(품목별)'!B2848)</f>
        <v>52</v>
      </c>
      <c r="F2844" s="11" t="str">
        <f aca="false">TRIM('수출입 실적(품목별)'!C2848)</f>
        <v>면</v>
      </c>
      <c r="G2844" s="18" t="n">
        <f aca="false">IFERROR(VALUE(SUBSTITUTE(TRIM('수출입 실적(품목별)'!D2848),",","")),"")</f>
        <v>2969.5</v>
      </c>
      <c r="H2844" s="19" t="n">
        <f aca="false">IFERROR(VALUE(SUBSTITUTE(TRIM('수출입 실적(품목별)'!E2848),",","")),"")</f>
        <v>23876</v>
      </c>
      <c r="I2844" s="18" t="n">
        <f aca="false">IFERROR(VALUE(SUBSTITUTE(TRIM('수출입 실적(품목별)'!F2848),",","")),"")</f>
        <v>18737.9</v>
      </c>
      <c r="J2844" s="19" t="n">
        <f aca="false">IFERROR(VALUE(SUBSTITUTE(TRIM('수출입 실적(품목별)'!G2848),",","")),"")</f>
        <v>63194</v>
      </c>
      <c r="K2844" s="19" t="n">
        <f aca="false">IFERROR(VALUE(SUBSTITUTE(TRIM('수출입 실적(품목별)'!H2848),",","")),"")</f>
        <v>-39318</v>
      </c>
    </row>
    <row r="2845" customFormat="false" ht="15" hidden="false" customHeight="true" outlineLevel="0" collapsed="false">
      <c r="A2845" s="11" t="str">
        <f aca="false">TRIM('수출입 실적(품목별)'!A2849)</f>
        <v>2026.06</v>
      </c>
      <c r="B2845" s="17" t="n">
        <f aca="false">IFERROR(VALUE(LEFT($A2845,4)),"")</f>
        <v>2026</v>
      </c>
      <c r="C2845" s="17" t="n">
        <f aca="false">IFERROR(VALUE(RIGHT($A2845,2)),"")</f>
        <v>6</v>
      </c>
      <c r="D2845" s="17" t="n">
        <f aca="false">IFERROR(ROUNDUP($C2845/3,0),"")</f>
        <v>2</v>
      </c>
      <c r="E2845" s="11" t="str">
        <f aca="false">TRIM('수출입 실적(품목별)'!B2849)</f>
        <v>53</v>
      </c>
      <c r="F2845" s="11" t="str">
        <f aca="false">TRIM('수출입 실적(품목별)'!C2849)</f>
        <v>그 밖의 식물성 방직용 섬유, 종이실(paper yarn)과 종이실로 만든 직물</v>
      </c>
      <c r="G2845" s="18" t="n">
        <f aca="false">IFERROR(VALUE(SUBSTITUTE(TRIM('수출입 실적(품목별)'!D2849),",","")),"")</f>
        <v>21.9</v>
      </c>
      <c r="H2845" s="19" t="n">
        <f aca="false">IFERROR(VALUE(SUBSTITUTE(TRIM('수출입 실적(품목별)'!E2849),",","")),"")</f>
        <v>333</v>
      </c>
      <c r="I2845" s="18" t="n">
        <f aca="false">IFERROR(VALUE(SUBSTITUTE(TRIM('수출입 실적(품목별)'!F2849),",","")),"")</f>
        <v>1277.2</v>
      </c>
      <c r="J2845" s="19" t="n">
        <f aca="false">IFERROR(VALUE(SUBSTITUTE(TRIM('수출입 실적(품목별)'!G2849),",","")),"")</f>
        <v>4033</v>
      </c>
      <c r="K2845" s="19" t="n">
        <f aca="false">IFERROR(VALUE(SUBSTITUTE(TRIM('수출입 실적(품목별)'!H2849),",","")),"")</f>
        <v>-3699</v>
      </c>
    </row>
    <row r="2846" customFormat="false" ht="15" hidden="false" customHeight="true" outlineLevel="0" collapsed="false">
      <c r="A2846" s="11" t="str">
        <f aca="false">TRIM('수출입 실적(품목별)'!A2850)</f>
        <v>2026.06</v>
      </c>
      <c r="B2846" s="17" t="n">
        <f aca="false">IFERROR(VALUE(LEFT($A2846,4)),"")</f>
        <v>2026</v>
      </c>
      <c r="C2846" s="17" t="n">
        <f aca="false">IFERROR(VALUE(RIGHT($A2846,2)),"")</f>
        <v>6</v>
      </c>
      <c r="D2846" s="17" t="n">
        <f aca="false">IFERROR(ROUNDUP($C2846/3,0),"")</f>
        <v>2</v>
      </c>
      <c r="E2846" s="11" t="str">
        <f aca="false">TRIM('수출입 실적(품목별)'!B2850)</f>
        <v>54</v>
      </c>
      <c r="F2846" s="11" t="str">
        <f aca="false">TRIM('수출입 실적(품목별)'!C2850)</f>
        <v>인조필라멘트, 인조방직용 섬유재료의 스트립(strip)과 이와 유사한 것</v>
      </c>
      <c r="G2846" s="18" t="n">
        <f aca="false">IFERROR(VALUE(SUBSTITUTE(TRIM('수출입 실적(품목별)'!D2850),",","")),"")</f>
        <v>21296.2</v>
      </c>
      <c r="H2846" s="19" t="n">
        <f aca="false">IFERROR(VALUE(SUBSTITUTE(TRIM('수출입 실적(품목별)'!E2850),",","")),"")</f>
        <v>146105</v>
      </c>
      <c r="I2846" s="18" t="n">
        <f aca="false">IFERROR(VALUE(SUBSTITUTE(TRIM('수출입 실적(품목별)'!F2850),",","")),"")</f>
        <v>35801.2</v>
      </c>
      <c r="J2846" s="19" t="n">
        <f aca="false">IFERROR(VALUE(SUBSTITUTE(TRIM('수출입 실적(품목별)'!G2850),",","")),"")</f>
        <v>88166</v>
      </c>
      <c r="K2846" s="19" t="n">
        <f aca="false">IFERROR(VALUE(SUBSTITUTE(TRIM('수출입 실적(품목별)'!H2850),",","")),"")</f>
        <v>57939</v>
      </c>
    </row>
    <row r="2847" customFormat="false" ht="15" hidden="false" customHeight="true" outlineLevel="0" collapsed="false">
      <c r="A2847" s="11" t="str">
        <f aca="false">TRIM('수출입 실적(품목별)'!A2851)</f>
        <v>2026.06</v>
      </c>
      <c r="B2847" s="17" t="n">
        <f aca="false">IFERROR(VALUE(LEFT($A2847,4)),"")</f>
        <v>2026</v>
      </c>
      <c r="C2847" s="17" t="n">
        <f aca="false">IFERROR(VALUE(RIGHT($A2847,2)),"")</f>
        <v>6</v>
      </c>
      <c r="D2847" s="17" t="n">
        <f aca="false">IFERROR(ROUNDUP($C2847/3,0),"")</f>
        <v>2</v>
      </c>
      <c r="E2847" s="11" t="str">
        <f aca="false">TRIM('수출입 실적(품목별)'!B2851)</f>
        <v>55</v>
      </c>
      <c r="F2847" s="11" t="str">
        <f aca="false">TRIM('수출입 실적(품목별)'!C2851)</f>
        <v>인조스테이플섬유</v>
      </c>
      <c r="G2847" s="18" t="n">
        <f aca="false">IFERROR(VALUE(SUBSTITUTE(TRIM('수출입 실적(품목별)'!D2851),",","")),"")</f>
        <v>48938.2</v>
      </c>
      <c r="H2847" s="19" t="n">
        <f aca="false">IFERROR(VALUE(SUBSTITUTE(TRIM('수출입 실적(품목별)'!E2851),",","")),"")</f>
        <v>93600</v>
      </c>
      <c r="I2847" s="18" t="n">
        <f aca="false">IFERROR(VALUE(SUBSTITUTE(TRIM('수출입 실적(품목별)'!F2851),",","")),"")</f>
        <v>13058.7</v>
      </c>
      <c r="J2847" s="19" t="n">
        <f aca="false">IFERROR(VALUE(SUBSTITUTE(TRIM('수출입 실적(품목별)'!G2851),",","")),"")</f>
        <v>52812</v>
      </c>
      <c r="K2847" s="19" t="n">
        <f aca="false">IFERROR(VALUE(SUBSTITUTE(TRIM('수출입 실적(품목별)'!H2851),",","")),"")</f>
        <v>40788</v>
      </c>
    </row>
    <row r="2848" customFormat="false" ht="15" hidden="false" customHeight="true" outlineLevel="0" collapsed="false">
      <c r="A2848" s="11" t="str">
        <f aca="false">TRIM('수출입 실적(품목별)'!A2852)</f>
        <v>2026.06</v>
      </c>
      <c r="B2848" s="17" t="n">
        <f aca="false">IFERROR(VALUE(LEFT($A2848,4)),"")</f>
        <v>2026</v>
      </c>
      <c r="C2848" s="17" t="n">
        <f aca="false">IFERROR(VALUE(RIGHT($A2848,2)),"")</f>
        <v>6</v>
      </c>
      <c r="D2848" s="17" t="n">
        <f aca="false">IFERROR(ROUNDUP($C2848/3,0),"")</f>
        <v>2</v>
      </c>
      <c r="E2848" s="11" t="str">
        <f aca="false">TRIM('수출입 실적(품목별)'!B2852)</f>
        <v>56</v>
      </c>
      <c r="F2848" s="11" t="str">
        <f aca="false">TRIM('수출입 실적(품목별)'!C2852)</f>
        <v>워딩(wadding)ㆍ펠트(felt)ㆍ부직포, 특수사, 끈ㆍ배의 밧줄(cordage)ㆍ로프ㆍ케이블과 이들의 제품</v>
      </c>
      <c r="G2848" s="18" t="n">
        <f aca="false">IFERROR(VALUE(SUBSTITUTE(TRIM('수출입 실적(품목별)'!D2852),",","")),"")</f>
        <v>10493.2</v>
      </c>
      <c r="H2848" s="19" t="n">
        <f aca="false">IFERROR(VALUE(SUBSTITUTE(TRIM('수출입 실적(품목별)'!E2852),",","")),"")</f>
        <v>69626</v>
      </c>
      <c r="I2848" s="18" t="n">
        <f aca="false">IFERROR(VALUE(SUBSTITUTE(TRIM('수출입 실적(품목별)'!F2852),",","")),"")</f>
        <v>22534.6</v>
      </c>
      <c r="J2848" s="19" t="n">
        <f aca="false">IFERROR(VALUE(SUBSTITUTE(TRIM('수출입 실적(품목별)'!G2852),",","")),"")</f>
        <v>70813</v>
      </c>
      <c r="K2848" s="19" t="n">
        <f aca="false">IFERROR(VALUE(SUBSTITUTE(TRIM('수출입 실적(품목별)'!H2852),",","")),"")</f>
        <v>-1187</v>
      </c>
    </row>
    <row r="2849" customFormat="false" ht="15" hidden="false" customHeight="true" outlineLevel="0" collapsed="false">
      <c r="A2849" s="11" t="str">
        <f aca="false">TRIM('수출입 실적(품목별)'!A2853)</f>
        <v>2026.06</v>
      </c>
      <c r="B2849" s="17" t="n">
        <f aca="false">IFERROR(VALUE(LEFT($A2849,4)),"")</f>
        <v>2026</v>
      </c>
      <c r="C2849" s="17" t="n">
        <f aca="false">IFERROR(VALUE(RIGHT($A2849,2)),"")</f>
        <v>6</v>
      </c>
      <c r="D2849" s="17" t="n">
        <f aca="false">IFERROR(ROUNDUP($C2849/3,0),"")</f>
        <v>2</v>
      </c>
      <c r="E2849" s="11" t="str">
        <f aca="false">TRIM('수출입 실적(품목별)'!B2853)</f>
        <v>57</v>
      </c>
      <c r="F2849" s="11" t="str">
        <f aca="false">TRIM('수출입 실적(품목별)'!C2853)</f>
        <v>양탄자류와 그 밖의 방직용 섬유로 만든 바닥깔개</v>
      </c>
      <c r="G2849" s="18" t="n">
        <f aca="false">IFERROR(VALUE(SUBSTITUTE(TRIM('수출입 실적(품목별)'!D2853),",","")),"")</f>
        <v>472.4</v>
      </c>
      <c r="H2849" s="19" t="n">
        <f aca="false">IFERROR(VALUE(SUBSTITUTE(TRIM('수출입 실적(품목별)'!E2853),",","")),"")</f>
        <v>4391</v>
      </c>
      <c r="I2849" s="18" t="n">
        <f aca="false">IFERROR(VALUE(SUBSTITUTE(TRIM('수출입 실적(품목별)'!F2853),",","")),"")</f>
        <v>5557.2</v>
      </c>
      <c r="J2849" s="19" t="n">
        <f aca="false">IFERROR(VALUE(SUBSTITUTE(TRIM('수출입 실적(품목별)'!G2853),",","")),"")</f>
        <v>9690</v>
      </c>
      <c r="K2849" s="19" t="n">
        <f aca="false">IFERROR(VALUE(SUBSTITUTE(TRIM('수출입 실적(품목별)'!H2853),",","")),"")</f>
        <v>-5299</v>
      </c>
    </row>
    <row r="2850" customFormat="false" ht="15" hidden="false" customHeight="true" outlineLevel="0" collapsed="false">
      <c r="A2850" s="11" t="str">
        <f aca="false">TRIM('수출입 실적(품목별)'!A2854)</f>
        <v>2026.06</v>
      </c>
      <c r="B2850" s="17" t="n">
        <f aca="false">IFERROR(VALUE(LEFT($A2850,4)),"")</f>
        <v>2026</v>
      </c>
      <c r="C2850" s="17" t="n">
        <f aca="false">IFERROR(VALUE(RIGHT($A2850,2)),"")</f>
        <v>6</v>
      </c>
      <c r="D2850" s="17" t="n">
        <f aca="false">IFERROR(ROUNDUP($C2850/3,0),"")</f>
        <v>2</v>
      </c>
      <c r="E2850" s="11" t="str">
        <f aca="false">TRIM('수출입 실적(품목별)'!B2854)</f>
        <v>58</v>
      </c>
      <c r="F2850" s="11" t="str">
        <f aca="false">TRIM('수출입 실적(품목별)'!C2854)</f>
        <v>특수직물, 터프트(tuft)한 직물, 레이스, 태피스트리(tapestry), 트리밍(trimming), 자수천</v>
      </c>
      <c r="G2850" s="18" t="n">
        <f aca="false">IFERROR(VALUE(SUBSTITUTE(TRIM('수출입 실적(품목별)'!D2854),",","")),"")</f>
        <v>1394.9</v>
      </c>
      <c r="H2850" s="19" t="n">
        <f aca="false">IFERROR(VALUE(SUBSTITUTE(TRIM('수출입 실적(품목별)'!E2854),",","")),"")</f>
        <v>15217</v>
      </c>
      <c r="I2850" s="18" t="n">
        <f aca="false">IFERROR(VALUE(SUBSTITUTE(TRIM('수출입 실적(품목별)'!F2854),",","")),"")</f>
        <v>899.4</v>
      </c>
      <c r="J2850" s="19" t="n">
        <f aca="false">IFERROR(VALUE(SUBSTITUTE(TRIM('수출입 실적(품목별)'!G2854),",","")),"")</f>
        <v>7465</v>
      </c>
      <c r="K2850" s="19" t="n">
        <f aca="false">IFERROR(VALUE(SUBSTITUTE(TRIM('수출입 실적(품목별)'!H2854),",","")),"")</f>
        <v>7752</v>
      </c>
    </row>
    <row r="2851" customFormat="false" ht="15" hidden="false" customHeight="true" outlineLevel="0" collapsed="false">
      <c r="A2851" s="11" t="str">
        <f aca="false">TRIM('수출입 실적(품목별)'!A2855)</f>
        <v>2026.06</v>
      </c>
      <c r="B2851" s="17" t="n">
        <f aca="false">IFERROR(VALUE(LEFT($A2851,4)),"")</f>
        <v>2026</v>
      </c>
      <c r="C2851" s="17" t="n">
        <f aca="false">IFERROR(VALUE(RIGHT($A2851,2)),"")</f>
        <v>6</v>
      </c>
      <c r="D2851" s="17" t="n">
        <f aca="false">IFERROR(ROUNDUP($C2851/3,0),"")</f>
        <v>2</v>
      </c>
      <c r="E2851" s="11" t="str">
        <f aca="false">TRIM('수출입 실적(품목별)'!B2855)</f>
        <v>59</v>
      </c>
      <c r="F2851" s="11" t="str">
        <f aca="false">TRIM('수출입 실적(품목별)'!C2855)</f>
        <v>침투ㆍ도포ㆍ피복하거나 적층한 방직용 섬유의 직물, 공업용인 방직용 섬유제품</v>
      </c>
      <c r="G2851" s="18" t="n">
        <f aca="false">IFERROR(VALUE(SUBSTITUTE(TRIM('수출입 실적(품목별)'!D2855),",","")),"")</f>
        <v>9427.5</v>
      </c>
      <c r="H2851" s="19" t="n">
        <f aca="false">IFERROR(VALUE(SUBSTITUTE(TRIM('수출입 실적(품목별)'!E2855),",","")),"")</f>
        <v>95010</v>
      </c>
      <c r="I2851" s="18" t="n">
        <f aca="false">IFERROR(VALUE(SUBSTITUTE(TRIM('수출입 실적(품목별)'!F2855),",","")),"")</f>
        <v>7514.7</v>
      </c>
      <c r="J2851" s="19" t="n">
        <f aca="false">IFERROR(VALUE(SUBSTITUTE(TRIM('수출입 실적(품목별)'!G2855),",","")),"")</f>
        <v>45856</v>
      </c>
      <c r="K2851" s="19" t="n">
        <f aca="false">IFERROR(VALUE(SUBSTITUTE(TRIM('수출입 실적(품목별)'!H2855),",","")),"")</f>
        <v>49154</v>
      </c>
    </row>
    <row r="2852" customFormat="false" ht="15" hidden="false" customHeight="true" outlineLevel="0" collapsed="false">
      <c r="A2852" s="11" t="str">
        <f aca="false">TRIM('수출입 실적(품목별)'!A2856)</f>
        <v>2026.06</v>
      </c>
      <c r="B2852" s="17" t="n">
        <f aca="false">IFERROR(VALUE(LEFT($A2852,4)),"")</f>
        <v>2026</v>
      </c>
      <c r="C2852" s="17" t="n">
        <f aca="false">IFERROR(VALUE(RIGHT($A2852,2)),"")</f>
        <v>6</v>
      </c>
      <c r="D2852" s="17" t="n">
        <f aca="false">IFERROR(ROUNDUP($C2852/3,0),"")</f>
        <v>2</v>
      </c>
      <c r="E2852" s="11" t="str">
        <f aca="false">TRIM('수출입 실적(품목별)'!B2856)</f>
        <v>60</v>
      </c>
      <c r="F2852" s="11" t="str">
        <f aca="false">TRIM('수출입 실적(품목별)'!C2856)</f>
        <v>메리야스 편물과 뜨개질 편물</v>
      </c>
      <c r="G2852" s="18" t="n">
        <f aca="false">IFERROR(VALUE(SUBSTITUTE(TRIM('수출입 실적(품목별)'!D2856),",","")),"")</f>
        <v>16301.1</v>
      </c>
      <c r="H2852" s="19" t="n">
        <f aca="false">IFERROR(VALUE(SUBSTITUTE(TRIM('수출입 실적(품목별)'!E2856),",","")),"")</f>
        <v>125456</v>
      </c>
      <c r="I2852" s="18" t="n">
        <f aca="false">IFERROR(VALUE(SUBSTITUTE(TRIM('수출입 실적(품목별)'!F2856),",","")),"")</f>
        <v>2138</v>
      </c>
      <c r="J2852" s="19" t="n">
        <f aca="false">IFERROR(VALUE(SUBSTITUTE(TRIM('수출입 실적(품목별)'!G2856),",","")),"")</f>
        <v>11539</v>
      </c>
      <c r="K2852" s="19" t="n">
        <f aca="false">IFERROR(VALUE(SUBSTITUTE(TRIM('수출입 실적(품목별)'!H2856),",","")),"")</f>
        <v>113918</v>
      </c>
    </row>
    <row r="2853" customFormat="false" ht="15" hidden="false" customHeight="true" outlineLevel="0" collapsed="false">
      <c r="A2853" s="11" t="str">
        <f aca="false">TRIM('수출입 실적(품목별)'!A2857)</f>
        <v>2026.06</v>
      </c>
      <c r="B2853" s="17" t="n">
        <f aca="false">IFERROR(VALUE(LEFT($A2853,4)),"")</f>
        <v>2026</v>
      </c>
      <c r="C2853" s="17" t="n">
        <f aca="false">IFERROR(VALUE(RIGHT($A2853,2)),"")</f>
        <v>6</v>
      </c>
      <c r="D2853" s="17" t="n">
        <f aca="false">IFERROR(ROUNDUP($C2853/3,0),"")</f>
        <v>2</v>
      </c>
      <c r="E2853" s="11" t="str">
        <f aca="false">TRIM('수출입 실적(품목별)'!B2857)</f>
        <v>61</v>
      </c>
      <c r="F2853" s="11" t="str">
        <f aca="false">TRIM('수출입 실적(품목별)'!C2857)</f>
        <v>의류와 그 부속품(메리야스 편물이나 뜨개질 편물로 한정한다)</v>
      </c>
      <c r="G2853" s="18" t="n">
        <f aca="false">IFERROR(VALUE(SUBSTITUTE(TRIM('수출입 실적(품목별)'!D2857),",","")),"")</f>
        <v>2372</v>
      </c>
      <c r="H2853" s="19" t="n">
        <f aca="false">IFERROR(VALUE(SUBSTITUTE(TRIM('수출입 실적(품목별)'!E2857),",","")),"")</f>
        <v>90862</v>
      </c>
      <c r="I2853" s="18" t="n">
        <f aca="false">IFERROR(VALUE(SUBSTITUTE(TRIM('수출입 실적(품목별)'!F2857),",","")),"")</f>
        <v>18853.7</v>
      </c>
      <c r="J2853" s="19" t="n">
        <f aca="false">IFERROR(VALUE(SUBSTITUTE(TRIM('수출입 실적(품목별)'!G2857),",","")),"")</f>
        <v>375644</v>
      </c>
      <c r="K2853" s="19" t="n">
        <f aca="false">IFERROR(VALUE(SUBSTITUTE(TRIM('수출입 실적(품목별)'!H2857),",","")),"")</f>
        <v>-284782</v>
      </c>
    </row>
    <row r="2854" customFormat="false" ht="15" hidden="false" customHeight="true" outlineLevel="0" collapsed="false">
      <c r="A2854" s="11" t="str">
        <f aca="false">TRIM('수출입 실적(품목별)'!A2858)</f>
        <v>2026.06</v>
      </c>
      <c r="B2854" s="17" t="n">
        <f aca="false">IFERROR(VALUE(LEFT($A2854,4)),"")</f>
        <v>2026</v>
      </c>
      <c r="C2854" s="17" t="n">
        <f aca="false">IFERROR(VALUE(RIGHT($A2854,2)),"")</f>
        <v>6</v>
      </c>
      <c r="D2854" s="17" t="n">
        <f aca="false">IFERROR(ROUNDUP($C2854/3,0),"")</f>
        <v>2</v>
      </c>
      <c r="E2854" s="11" t="str">
        <f aca="false">TRIM('수출입 실적(품목별)'!B2858)</f>
        <v>62</v>
      </c>
      <c r="F2854" s="11" t="str">
        <f aca="false">TRIM('수출입 실적(품목별)'!C2858)</f>
        <v>의류와 그 부속품(메리야스 편물이나 뜨개질편물은 제외한다)</v>
      </c>
      <c r="G2854" s="18" t="n">
        <f aca="false">IFERROR(VALUE(SUBSTITUTE(TRIM('수출입 실적(품목별)'!D2858),",","")),"")</f>
        <v>3180.3</v>
      </c>
      <c r="H2854" s="19" t="n">
        <f aca="false">IFERROR(VALUE(SUBSTITUTE(TRIM('수출입 실적(품목별)'!E2858),",","")),"")</f>
        <v>84578</v>
      </c>
      <c r="I2854" s="18" t="n">
        <f aca="false">IFERROR(VALUE(SUBSTITUTE(TRIM('수출입 실적(품목별)'!F2858),",","")),"")</f>
        <v>17113.5</v>
      </c>
      <c r="J2854" s="19" t="n">
        <f aca="false">IFERROR(VALUE(SUBSTITUTE(TRIM('수출입 실적(품목별)'!G2858),",","")),"")</f>
        <v>476230</v>
      </c>
      <c r="K2854" s="19" t="n">
        <f aca="false">IFERROR(VALUE(SUBSTITUTE(TRIM('수출입 실적(품목별)'!H2858),",","")),"")</f>
        <v>-391652</v>
      </c>
    </row>
    <row r="2855" customFormat="false" ht="15" hidden="false" customHeight="true" outlineLevel="0" collapsed="false">
      <c r="A2855" s="11" t="str">
        <f aca="false">TRIM('수출입 실적(품목별)'!A2859)</f>
        <v>2026.06</v>
      </c>
      <c r="B2855" s="17" t="n">
        <f aca="false">IFERROR(VALUE(LEFT($A2855,4)),"")</f>
        <v>2026</v>
      </c>
      <c r="C2855" s="17" t="n">
        <f aca="false">IFERROR(VALUE(RIGHT($A2855,2)),"")</f>
        <v>6</v>
      </c>
      <c r="D2855" s="17" t="n">
        <f aca="false">IFERROR(ROUNDUP($C2855/3,0),"")</f>
        <v>2</v>
      </c>
      <c r="E2855" s="11" t="str">
        <f aca="false">TRIM('수출입 실적(품목별)'!B2859)</f>
        <v>63</v>
      </c>
      <c r="F2855" s="11" t="str">
        <f aca="false">TRIM('수출입 실적(품목별)'!C2859)</f>
        <v>제품으로 된 방직용 섬유의 그 밖의 물품, 세트, 사용하던 의류ㆍ방직용 섬유제품, 넝마</v>
      </c>
      <c r="G2855" s="18" t="n">
        <f aca="false">IFERROR(VALUE(SUBSTITUTE(TRIM('수출입 실적(품목별)'!D2859),",","")),"")</f>
        <v>28383.8</v>
      </c>
      <c r="H2855" s="19" t="n">
        <f aca="false">IFERROR(VALUE(SUBSTITUTE(TRIM('수출입 실적(품목별)'!E2859),",","")),"")</f>
        <v>50459</v>
      </c>
      <c r="I2855" s="18" t="n">
        <f aca="false">IFERROR(VALUE(SUBSTITUTE(TRIM('수출입 실적(품목별)'!F2859),",","")),"")</f>
        <v>27712.4</v>
      </c>
      <c r="J2855" s="19" t="n">
        <f aca="false">IFERROR(VALUE(SUBSTITUTE(TRIM('수출입 실적(품목별)'!G2859),",","")),"")</f>
        <v>130874</v>
      </c>
      <c r="K2855" s="19" t="n">
        <f aca="false">IFERROR(VALUE(SUBSTITUTE(TRIM('수출입 실적(품목별)'!H2859),",","")),"")</f>
        <v>-80415</v>
      </c>
    </row>
    <row r="2856" customFormat="false" ht="15" hidden="false" customHeight="true" outlineLevel="0" collapsed="false">
      <c r="A2856" s="11" t="str">
        <f aca="false">TRIM('수출입 실적(품목별)'!A2860)</f>
        <v>2026.06</v>
      </c>
      <c r="B2856" s="17" t="n">
        <f aca="false">IFERROR(VALUE(LEFT($A2856,4)),"")</f>
        <v>2026</v>
      </c>
      <c r="C2856" s="17" t="n">
        <f aca="false">IFERROR(VALUE(RIGHT($A2856,2)),"")</f>
        <v>6</v>
      </c>
      <c r="D2856" s="17" t="n">
        <f aca="false">IFERROR(ROUNDUP($C2856/3,0),"")</f>
        <v>2</v>
      </c>
      <c r="E2856" s="11" t="str">
        <f aca="false">TRIM('수출입 실적(품목별)'!B2860)</f>
        <v>64</v>
      </c>
      <c r="F2856" s="11" t="str">
        <f aca="false">TRIM('수출입 실적(품목별)'!C2860)</f>
        <v>신발류ㆍ각반과 이와 유사한 것, 이들의 부분품</v>
      </c>
      <c r="G2856" s="18" t="n">
        <f aca="false">IFERROR(VALUE(SUBSTITUTE(TRIM('수출입 실적(품목별)'!D2860),",","")),"")</f>
        <v>1327.8</v>
      </c>
      <c r="H2856" s="19" t="n">
        <f aca="false">IFERROR(VALUE(SUBSTITUTE(TRIM('수출입 실적(품목별)'!E2860),",","")),"")</f>
        <v>41046</v>
      </c>
      <c r="I2856" s="18" t="n">
        <f aca="false">IFERROR(VALUE(SUBSTITUTE(TRIM('수출입 실적(품목별)'!F2860),",","")),"")</f>
        <v>12954.6</v>
      </c>
      <c r="J2856" s="19" t="n">
        <f aca="false">IFERROR(VALUE(SUBSTITUTE(TRIM('수출입 실적(품목별)'!G2860),",","")),"")</f>
        <v>346984</v>
      </c>
      <c r="K2856" s="19" t="n">
        <f aca="false">IFERROR(VALUE(SUBSTITUTE(TRIM('수출입 실적(품목별)'!H2860),",","")),"")</f>
        <v>-305939</v>
      </c>
    </row>
    <row r="2857" customFormat="false" ht="15" hidden="false" customHeight="true" outlineLevel="0" collapsed="false">
      <c r="A2857" s="11" t="str">
        <f aca="false">TRIM('수출입 실적(품목별)'!A2861)</f>
        <v>2026.06</v>
      </c>
      <c r="B2857" s="17" t="n">
        <f aca="false">IFERROR(VALUE(LEFT($A2857,4)),"")</f>
        <v>2026</v>
      </c>
      <c r="C2857" s="17" t="n">
        <f aca="false">IFERROR(VALUE(RIGHT($A2857,2)),"")</f>
        <v>6</v>
      </c>
      <c r="D2857" s="17" t="n">
        <f aca="false">IFERROR(ROUNDUP($C2857/3,0),"")</f>
        <v>2</v>
      </c>
      <c r="E2857" s="11" t="str">
        <f aca="false">TRIM('수출입 실적(품목별)'!B2861)</f>
        <v>65</v>
      </c>
      <c r="F2857" s="11" t="str">
        <f aca="false">TRIM('수출입 실적(품목별)'!C2861)</f>
        <v>모자류와 그 부분품</v>
      </c>
      <c r="G2857" s="18" t="n">
        <f aca="false">IFERROR(VALUE(SUBSTITUTE(TRIM('수출입 실적(품목별)'!D2861),",","")),"")</f>
        <v>263.1</v>
      </c>
      <c r="H2857" s="19" t="n">
        <f aca="false">IFERROR(VALUE(SUBSTITUTE(TRIM('수출입 실적(품목별)'!E2861),",","")),"")</f>
        <v>11611</v>
      </c>
      <c r="I2857" s="18" t="n">
        <f aca="false">IFERROR(VALUE(SUBSTITUTE(TRIM('수출입 실적(품목별)'!F2861),",","")),"")</f>
        <v>1082.8</v>
      </c>
      <c r="J2857" s="19" t="n">
        <f aca="false">IFERROR(VALUE(SUBSTITUTE(TRIM('수출입 실적(품목별)'!G2861),",","")),"")</f>
        <v>29444</v>
      </c>
      <c r="K2857" s="19" t="n">
        <f aca="false">IFERROR(VALUE(SUBSTITUTE(TRIM('수출입 실적(품목별)'!H2861),",","")),"")</f>
        <v>-17833</v>
      </c>
    </row>
    <row r="2858" customFormat="false" ht="15" hidden="false" customHeight="true" outlineLevel="0" collapsed="false">
      <c r="A2858" s="11" t="str">
        <f aca="false">TRIM('수출입 실적(품목별)'!A2862)</f>
        <v>2026.06</v>
      </c>
      <c r="B2858" s="17" t="n">
        <f aca="false">IFERROR(VALUE(LEFT($A2858,4)),"")</f>
        <v>2026</v>
      </c>
      <c r="C2858" s="17" t="n">
        <f aca="false">IFERROR(VALUE(RIGHT($A2858,2)),"")</f>
        <v>6</v>
      </c>
      <c r="D2858" s="17" t="n">
        <f aca="false">IFERROR(ROUNDUP($C2858/3,0),"")</f>
        <v>2</v>
      </c>
      <c r="E2858" s="11" t="str">
        <f aca="false">TRIM('수출입 실적(품목별)'!B2862)</f>
        <v>66</v>
      </c>
      <c r="F2858" s="11" t="str">
        <f aca="false">TRIM('수출입 실적(품목별)'!C2862)</f>
        <v>산류(傘類)ㆍ지팡이ㆍ시트스틱(seat-stick)ㆍ채찍ㆍ승마용 채찍과 이들의 부분품</v>
      </c>
      <c r="G2858" s="18" t="n">
        <f aca="false">IFERROR(VALUE(SUBSTITUTE(TRIM('수출입 실적(품목별)'!D2862),",","")),"")</f>
        <v>8.5</v>
      </c>
      <c r="H2858" s="19" t="n">
        <f aca="false">IFERROR(VALUE(SUBSTITUTE(TRIM('수출입 실적(품목별)'!E2862),",","")),"")</f>
        <v>339</v>
      </c>
      <c r="I2858" s="18" t="n">
        <f aca="false">IFERROR(VALUE(SUBSTITUTE(TRIM('수출입 실적(품목별)'!F2862),",","")),"")</f>
        <v>2639.5</v>
      </c>
      <c r="J2858" s="19" t="n">
        <f aca="false">IFERROR(VALUE(SUBSTITUTE(TRIM('수출입 실적(품목별)'!G2862),",","")),"")</f>
        <v>19536</v>
      </c>
      <c r="K2858" s="19" t="n">
        <f aca="false">IFERROR(VALUE(SUBSTITUTE(TRIM('수출입 실적(품목별)'!H2862),",","")),"")</f>
        <v>-19197</v>
      </c>
    </row>
    <row r="2859" customFormat="false" ht="15" hidden="false" customHeight="true" outlineLevel="0" collapsed="false">
      <c r="A2859" s="11" t="str">
        <f aca="false">TRIM('수출입 실적(품목별)'!A2863)</f>
        <v>2026.06</v>
      </c>
      <c r="B2859" s="17" t="n">
        <f aca="false">IFERROR(VALUE(LEFT($A2859,4)),"")</f>
        <v>2026</v>
      </c>
      <c r="C2859" s="17" t="n">
        <f aca="false">IFERROR(VALUE(RIGHT($A2859,2)),"")</f>
        <v>6</v>
      </c>
      <c r="D2859" s="17" t="n">
        <f aca="false">IFERROR(ROUNDUP($C2859/3,0),"")</f>
        <v>2</v>
      </c>
      <c r="E2859" s="11" t="str">
        <f aca="false">TRIM('수출입 실적(품목별)'!B2863)</f>
        <v>67</v>
      </c>
      <c r="F2859" s="11" t="str">
        <f aca="false">TRIM('수출입 실적(품목별)'!C2863)</f>
        <v>조제 깃털ㆍ솜털과 그 제품, 조화, 사람 머리카락으로 된 제품</v>
      </c>
      <c r="G2859" s="18" t="n">
        <f aca="false">IFERROR(VALUE(SUBSTITUTE(TRIM('수출입 실적(품목별)'!D2863),",","")),"")</f>
        <v>17.7</v>
      </c>
      <c r="H2859" s="19" t="n">
        <f aca="false">IFERROR(VALUE(SUBSTITUTE(TRIM('수출입 실적(품목별)'!E2863),",","")),"")</f>
        <v>1835</v>
      </c>
      <c r="I2859" s="18" t="n">
        <f aca="false">IFERROR(VALUE(SUBSTITUTE(TRIM('수출입 실적(품목별)'!F2863),",","")),"")</f>
        <v>382.3</v>
      </c>
      <c r="J2859" s="19" t="n">
        <f aca="false">IFERROR(VALUE(SUBSTITUTE(TRIM('수출입 실적(품목별)'!G2863),",","")),"")</f>
        <v>7572</v>
      </c>
      <c r="K2859" s="19" t="n">
        <f aca="false">IFERROR(VALUE(SUBSTITUTE(TRIM('수출입 실적(품목별)'!H2863),",","")),"")</f>
        <v>-5737</v>
      </c>
    </row>
    <row r="2860" customFormat="false" ht="15" hidden="false" customHeight="true" outlineLevel="0" collapsed="false">
      <c r="A2860" s="11" t="str">
        <f aca="false">TRIM('수출입 실적(품목별)'!A2864)</f>
        <v>2026.06</v>
      </c>
      <c r="B2860" s="17" t="n">
        <f aca="false">IFERROR(VALUE(LEFT($A2860,4)),"")</f>
        <v>2026</v>
      </c>
      <c r="C2860" s="17" t="n">
        <f aca="false">IFERROR(VALUE(RIGHT($A2860,2)),"")</f>
        <v>6</v>
      </c>
      <c r="D2860" s="17" t="n">
        <f aca="false">IFERROR(ROUNDUP($C2860/3,0),"")</f>
        <v>2</v>
      </c>
      <c r="E2860" s="11" t="str">
        <f aca="false">TRIM('수출입 실적(품목별)'!B2864)</f>
        <v>68</v>
      </c>
      <c r="F2860" s="11" t="str">
        <f aca="false">TRIM('수출입 실적(품목별)'!C2864)</f>
        <v>돌ㆍ플라스터(plaster)ㆍ시멘트ㆍ석면ㆍ운모나 이와 유사한 재료의 제품</v>
      </c>
      <c r="G2860" s="18" t="n">
        <f aca="false">IFERROR(VALUE(SUBSTITUTE(TRIM('수출입 실적(품목별)'!D2864),",","")),"")</f>
        <v>13339.6</v>
      </c>
      <c r="H2860" s="19" t="n">
        <f aca="false">IFERROR(VALUE(SUBSTITUTE(TRIM('수출입 실적(품목별)'!E2864),",","")),"")</f>
        <v>97060</v>
      </c>
      <c r="I2860" s="18" t="n">
        <f aca="false">IFERROR(VALUE(SUBSTITUTE(TRIM('수출입 실적(품목별)'!F2864),",","")),"")</f>
        <v>166576.2</v>
      </c>
      <c r="J2860" s="19" t="n">
        <f aca="false">IFERROR(VALUE(SUBSTITUTE(TRIM('수출입 실적(품목별)'!G2864),",","")),"")</f>
        <v>107042</v>
      </c>
      <c r="K2860" s="19" t="n">
        <f aca="false">IFERROR(VALUE(SUBSTITUTE(TRIM('수출입 실적(품목별)'!H2864),",","")),"")</f>
        <v>-9982</v>
      </c>
    </row>
    <row r="2861" customFormat="false" ht="15" hidden="false" customHeight="true" outlineLevel="0" collapsed="false">
      <c r="A2861" s="11" t="str">
        <f aca="false">TRIM('수출입 실적(품목별)'!A2865)</f>
        <v>2026.06</v>
      </c>
      <c r="B2861" s="17" t="n">
        <f aca="false">IFERROR(VALUE(LEFT($A2861,4)),"")</f>
        <v>2026</v>
      </c>
      <c r="C2861" s="17" t="n">
        <f aca="false">IFERROR(VALUE(RIGHT($A2861,2)),"")</f>
        <v>6</v>
      </c>
      <c r="D2861" s="17" t="n">
        <f aca="false">IFERROR(ROUNDUP($C2861/3,0),"")</f>
        <v>2</v>
      </c>
      <c r="E2861" s="11" t="str">
        <f aca="false">TRIM('수출입 실적(품목별)'!B2865)</f>
        <v>69</v>
      </c>
      <c r="F2861" s="11" t="str">
        <f aca="false">TRIM('수출입 실적(품목별)'!C2865)</f>
        <v>도자제품</v>
      </c>
      <c r="G2861" s="18" t="n">
        <f aca="false">IFERROR(VALUE(SUBSTITUTE(TRIM('수출입 실적(품목별)'!D2865),",","")),"")</f>
        <v>2916.2</v>
      </c>
      <c r="H2861" s="19" t="n">
        <f aca="false">IFERROR(VALUE(SUBSTITUTE(TRIM('수출입 실적(품목별)'!E2865),",","")),"")</f>
        <v>38503</v>
      </c>
      <c r="I2861" s="18" t="n">
        <f aca="false">IFERROR(VALUE(SUBSTITUTE(TRIM('수출입 실적(품목별)'!F2865),",","")),"")</f>
        <v>126334</v>
      </c>
      <c r="J2861" s="19" t="n">
        <f aca="false">IFERROR(VALUE(SUBSTITUTE(TRIM('수출입 실적(품목별)'!G2865),",","")),"")</f>
        <v>145062</v>
      </c>
      <c r="K2861" s="19" t="n">
        <f aca="false">IFERROR(VALUE(SUBSTITUTE(TRIM('수출입 실적(품목별)'!H2865),",","")),"")</f>
        <v>-106560</v>
      </c>
    </row>
    <row r="2862" customFormat="false" ht="15" hidden="false" customHeight="true" outlineLevel="0" collapsed="false">
      <c r="A2862" s="11" t="str">
        <f aca="false">TRIM('수출입 실적(품목별)'!A2866)</f>
        <v>2026.06</v>
      </c>
      <c r="B2862" s="17" t="n">
        <f aca="false">IFERROR(VALUE(LEFT($A2862,4)),"")</f>
        <v>2026</v>
      </c>
      <c r="C2862" s="17" t="n">
        <f aca="false">IFERROR(VALUE(RIGHT($A2862,2)),"")</f>
        <v>6</v>
      </c>
      <c r="D2862" s="17" t="n">
        <f aca="false">IFERROR(ROUNDUP($C2862/3,0),"")</f>
        <v>2</v>
      </c>
      <c r="E2862" s="11" t="str">
        <f aca="false">TRIM('수출입 실적(품목별)'!B2866)</f>
        <v>70</v>
      </c>
      <c r="F2862" s="11" t="str">
        <f aca="false">TRIM('수출입 실적(품목별)'!C2866)</f>
        <v>유리와 유리제품</v>
      </c>
      <c r="G2862" s="18" t="n">
        <f aca="false">IFERROR(VALUE(SUBSTITUTE(TRIM('수출입 실적(품목별)'!D2866),",","")),"")</f>
        <v>30696.9</v>
      </c>
      <c r="H2862" s="19" t="n">
        <f aca="false">IFERROR(VALUE(SUBSTITUTE(TRIM('수출입 실적(품목별)'!E2866),",","")),"")</f>
        <v>161054</v>
      </c>
      <c r="I2862" s="18" t="n">
        <f aca="false">IFERROR(VALUE(SUBSTITUTE(TRIM('수출입 실적(품목별)'!F2866),",","")),"")</f>
        <v>88044.1</v>
      </c>
      <c r="J2862" s="19" t="n">
        <f aca="false">IFERROR(VALUE(SUBSTITUTE(TRIM('수출입 실적(품목별)'!G2866),",","")),"")</f>
        <v>271657</v>
      </c>
      <c r="K2862" s="19" t="n">
        <f aca="false">IFERROR(VALUE(SUBSTITUTE(TRIM('수출입 실적(품목별)'!H2866),",","")),"")</f>
        <v>-110603</v>
      </c>
    </row>
    <row r="2863" customFormat="false" ht="15" hidden="false" customHeight="true" outlineLevel="0" collapsed="false">
      <c r="A2863" s="11" t="str">
        <f aca="false">TRIM('수출입 실적(품목별)'!A2867)</f>
        <v>2026.06</v>
      </c>
      <c r="B2863" s="17" t="n">
        <f aca="false">IFERROR(VALUE(LEFT($A2863,4)),"")</f>
        <v>2026</v>
      </c>
      <c r="C2863" s="17" t="n">
        <f aca="false">IFERROR(VALUE(RIGHT($A2863,2)),"")</f>
        <v>6</v>
      </c>
      <c r="D2863" s="17" t="n">
        <f aca="false">IFERROR(ROUNDUP($C2863/3,0),"")</f>
        <v>2</v>
      </c>
      <c r="E2863" s="11" t="str">
        <f aca="false">TRIM('수출입 실적(품목별)'!B2867)</f>
        <v>71</v>
      </c>
      <c r="F2863" s="11" t="str">
        <f aca="false">TRIM('수출입 실적(품목별)'!C2867)</f>
        <v>천연진주ㆍ양식진주ㆍ귀석ㆍ반귀석ㆍ귀금속ㆍ귀금속을 입힌 금속과 이들의 제품, 모조 신변장식용품, 주화</v>
      </c>
      <c r="G2863" s="18" t="n">
        <f aca="false">IFERROR(VALUE(SUBSTITUTE(TRIM('수출입 실적(품목별)'!D2867),",","")),"")</f>
        <v>634.1</v>
      </c>
      <c r="H2863" s="19" t="n">
        <f aca="false">IFERROR(VALUE(SUBSTITUTE(TRIM('수출입 실적(품목별)'!E2867),",","")),"")</f>
        <v>1571823</v>
      </c>
      <c r="I2863" s="18" t="n">
        <f aca="false">IFERROR(VALUE(SUBSTITUTE(TRIM('수출입 실적(품목별)'!F2867),",","")),"")</f>
        <v>1427</v>
      </c>
      <c r="J2863" s="19" t="n">
        <f aca="false">IFERROR(VALUE(SUBSTITUTE(TRIM('수출입 실적(품목별)'!G2867),",","")),"")</f>
        <v>814545</v>
      </c>
      <c r="K2863" s="19" t="n">
        <f aca="false">IFERROR(VALUE(SUBSTITUTE(TRIM('수출입 실적(품목별)'!H2867),",","")),"")</f>
        <v>757279</v>
      </c>
    </row>
    <row r="2864" customFormat="false" ht="15" hidden="false" customHeight="true" outlineLevel="0" collapsed="false">
      <c r="A2864" s="11" t="str">
        <f aca="false">TRIM('수출입 실적(품목별)'!A2868)</f>
        <v>2026.06</v>
      </c>
      <c r="B2864" s="17" t="n">
        <f aca="false">IFERROR(VALUE(LEFT($A2864,4)),"")</f>
        <v>2026</v>
      </c>
      <c r="C2864" s="17" t="n">
        <f aca="false">IFERROR(VALUE(RIGHT($A2864,2)),"")</f>
        <v>6</v>
      </c>
      <c r="D2864" s="17" t="n">
        <f aca="false">IFERROR(ROUNDUP($C2864/3,0),"")</f>
        <v>2</v>
      </c>
      <c r="E2864" s="11" t="str">
        <f aca="false">TRIM('수출입 실적(품목별)'!B2868)</f>
        <v>72</v>
      </c>
      <c r="F2864" s="11" t="str">
        <f aca="false">TRIM('수출입 실적(품목별)'!C2868)</f>
        <v>철강</v>
      </c>
      <c r="G2864" s="18" t="n">
        <f aca="false">IFERROR(VALUE(SUBSTITUTE(TRIM('수출입 실적(품목별)'!D2868),",","")),"")</f>
        <v>2218121.6</v>
      </c>
      <c r="H2864" s="19" t="n">
        <f aca="false">IFERROR(VALUE(SUBSTITUTE(TRIM('수출입 실적(품목별)'!E2868),",","")),"")</f>
        <v>1973742</v>
      </c>
      <c r="I2864" s="18" t="n">
        <f aca="false">IFERROR(VALUE(SUBSTITUTE(TRIM('수출입 실적(품목별)'!F2868),",","")),"")</f>
        <v>1291602.4</v>
      </c>
      <c r="J2864" s="19" t="n">
        <f aca="false">IFERROR(VALUE(SUBSTITUTE(TRIM('수출입 실적(품목별)'!G2868),",","")),"")</f>
        <v>1088202</v>
      </c>
      <c r="K2864" s="19" t="n">
        <f aca="false">IFERROR(VALUE(SUBSTITUTE(TRIM('수출입 실적(품목별)'!H2868),",","")),"")</f>
        <v>885541</v>
      </c>
    </row>
    <row r="2865" customFormat="false" ht="15" hidden="false" customHeight="true" outlineLevel="0" collapsed="false">
      <c r="A2865" s="11" t="str">
        <f aca="false">TRIM('수출입 실적(품목별)'!A2869)</f>
        <v>2026.06</v>
      </c>
      <c r="B2865" s="17" t="n">
        <f aca="false">IFERROR(VALUE(LEFT($A2865,4)),"")</f>
        <v>2026</v>
      </c>
      <c r="C2865" s="17" t="n">
        <f aca="false">IFERROR(VALUE(RIGHT($A2865,2)),"")</f>
        <v>6</v>
      </c>
      <c r="D2865" s="17" t="n">
        <f aca="false">IFERROR(ROUNDUP($C2865/3,0),"")</f>
        <v>2</v>
      </c>
      <c r="E2865" s="11" t="str">
        <f aca="false">TRIM('수출입 실적(품목별)'!B2869)</f>
        <v>73</v>
      </c>
      <c r="F2865" s="11" t="str">
        <f aca="false">TRIM('수출입 실적(품목별)'!C2869)</f>
        <v>철강의 제품</v>
      </c>
      <c r="G2865" s="18" t="n">
        <f aca="false">IFERROR(VALUE(SUBSTITUTE(TRIM('수출입 실적(품목별)'!D2869),",","")),"")</f>
        <v>317291.1</v>
      </c>
      <c r="H2865" s="19" t="n">
        <f aca="false">IFERROR(VALUE(SUBSTITUTE(TRIM('수출입 실적(품목별)'!E2869),",","")),"")</f>
        <v>806687</v>
      </c>
      <c r="I2865" s="18" t="n">
        <f aca="false">IFERROR(VALUE(SUBSTITUTE(TRIM('수출입 실적(품목별)'!F2869),",","")),"")</f>
        <v>266269.1</v>
      </c>
      <c r="J2865" s="19" t="n">
        <f aca="false">IFERROR(VALUE(SUBSTITUTE(TRIM('수출입 실적(품목별)'!G2869),",","")),"")</f>
        <v>711313</v>
      </c>
      <c r="K2865" s="19" t="n">
        <f aca="false">IFERROR(VALUE(SUBSTITUTE(TRIM('수출입 실적(품목별)'!H2869),",","")),"")</f>
        <v>95374</v>
      </c>
    </row>
    <row r="2866" customFormat="false" ht="15" hidden="false" customHeight="true" outlineLevel="0" collapsed="false">
      <c r="A2866" s="11" t="str">
        <f aca="false">TRIM('수출입 실적(품목별)'!A2870)</f>
        <v>2026.06</v>
      </c>
      <c r="B2866" s="17" t="n">
        <f aca="false">IFERROR(VALUE(LEFT($A2866,4)),"")</f>
        <v>2026</v>
      </c>
      <c r="C2866" s="17" t="n">
        <f aca="false">IFERROR(VALUE(RIGHT($A2866,2)),"")</f>
        <v>6</v>
      </c>
      <c r="D2866" s="17" t="n">
        <f aca="false">IFERROR(ROUNDUP($C2866/3,0),"")</f>
        <v>2</v>
      </c>
      <c r="E2866" s="11" t="str">
        <f aca="false">TRIM('수출입 실적(품목별)'!B2870)</f>
        <v>74</v>
      </c>
      <c r="F2866" s="11" t="str">
        <f aca="false">TRIM('수출입 실적(품목별)'!C2870)</f>
        <v>구리와 그 제품</v>
      </c>
      <c r="G2866" s="18" t="n">
        <f aca="false">IFERROR(VALUE(SUBSTITUTE(TRIM('수출입 실적(품목별)'!D2870),",","")),"")</f>
        <v>63074.1</v>
      </c>
      <c r="H2866" s="19" t="n">
        <f aca="false">IFERROR(VALUE(SUBSTITUTE(TRIM('수출입 실적(품목별)'!E2870),",","")),"")</f>
        <v>866859</v>
      </c>
      <c r="I2866" s="18" t="n">
        <f aca="false">IFERROR(VALUE(SUBSTITUTE(TRIM('수출입 실적(품목별)'!F2870),",","")),"")</f>
        <v>85249.1</v>
      </c>
      <c r="J2866" s="19" t="n">
        <f aca="false">IFERROR(VALUE(SUBSTITUTE(TRIM('수출입 실적(품목별)'!G2870),",","")),"")</f>
        <v>1183645</v>
      </c>
      <c r="K2866" s="19" t="n">
        <f aca="false">IFERROR(VALUE(SUBSTITUTE(TRIM('수출입 실적(품목별)'!H2870),",","")),"")</f>
        <v>-316786</v>
      </c>
    </row>
    <row r="2867" customFormat="false" ht="15" hidden="false" customHeight="true" outlineLevel="0" collapsed="false">
      <c r="A2867" s="11" t="str">
        <f aca="false">TRIM('수출입 실적(품목별)'!A2871)</f>
        <v>2026.06</v>
      </c>
      <c r="B2867" s="17" t="n">
        <f aca="false">IFERROR(VALUE(LEFT($A2867,4)),"")</f>
        <v>2026</v>
      </c>
      <c r="C2867" s="17" t="n">
        <f aca="false">IFERROR(VALUE(RIGHT($A2867,2)),"")</f>
        <v>6</v>
      </c>
      <c r="D2867" s="17" t="n">
        <f aca="false">IFERROR(ROUNDUP($C2867/3,0),"")</f>
        <v>2</v>
      </c>
      <c r="E2867" s="11" t="str">
        <f aca="false">TRIM('수출입 실적(품목별)'!B2871)</f>
        <v>75</v>
      </c>
      <c r="F2867" s="11" t="str">
        <f aca="false">TRIM('수출입 실적(품목별)'!C2871)</f>
        <v>니켈과 그 제품</v>
      </c>
      <c r="G2867" s="18" t="n">
        <f aca="false">IFERROR(VALUE(SUBSTITUTE(TRIM('수출입 실적(품목별)'!D2871),",","")),"")</f>
        <v>1480.6</v>
      </c>
      <c r="H2867" s="19" t="n">
        <f aca="false">IFERROR(VALUE(SUBSTITUTE(TRIM('수출입 실적(품목별)'!E2871),",","")),"")</f>
        <v>30073</v>
      </c>
      <c r="I2867" s="18" t="n">
        <f aca="false">IFERROR(VALUE(SUBSTITUTE(TRIM('수출입 실적(품목별)'!F2871),",","")),"")</f>
        <v>6184.6</v>
      </c>
      <c r="J2867" s="19" t="n">
        <f aca="false">IFERROR(VALUE(SUBSTITUTE(TRIM('수출입 실적(품목별)'!G2871),",","")),"")</f>
        <v>133439</v>
      </c>
      <c r="K2867" s="19" t="n">
        <f aca="false">IFERROR(VALUE(SUBSTITUTE(TRIM('수출입 실적(품목별)'!H2871),",","")),"")</f>
        <v>-103366</v>
      </c>
    </row>
    <row r="2868" customFormat="false" ht="15" hidden="false" customHeight="true" outlineLevel="0" collapsed="false">
      <c r="A2868" s="11" t="str">
        <f aca="false">TRIM('수출입 실적(품목별)'!A2872)</f>
        <v>2026.06</v>
      </c>
      <c r="B2868" s="17" t="n">
        <f aca="false">IFERROR(VALUE(LEFT($A2868,4)),"")</f>
        <v>2026</v>
      </c>
      <c r="C2868" s="17" t="n">
        <f aca="false">IFERROR(VALUE(RIGHT($A2868,2)),"")</f>
        <v>6</v>
      </c>
      <c r="D2868" s="17" t="n">
        <f aca="false">IFERROR(ROUNDUP($C2868/3,0),"")</f>
        <v>2</v>
      </c>
      <c r="E2868" s="11" t="str">
        <f aca="false">TRIM('수출입 실적(품목별)'!B2872)</f>
        <v>76</v>
      </c>
      <c r="F2868" s="11" t="str">
        <f aca="false">TRIM('수출입 실적(품목별)'!C2872)</f>
        <v>알루미늄과 그 제품</v>
      </c>
      <c r="G2868" s="18" t="n">
        <f aca="false">IFERROR(VALUE(SUBSTITUTE(TRIM('수출입 실적(품목별)'!D2872),",","")),"")</f>
        <v>133650.1</v>
      </c>
      <c r="H2868" s="19" t="n">
        <f aca="false">IFERROR(VALUE(SUBSTITUTE(TRIM('수출입 실적(품목별)'!E2872),",","")),"")</f>
        <v>672554</v>
      </c>
      <c r="I2868" s="18" t="n">
        <f aca="false">IFERROR(VALUE(SUBSTITUTE(TRIM('수출입 실적(품목별)'!F2872),",","")),"")</f>
        <v>302615.7</v>
      </c>
      <c r="J2868" s="19" t="n">
        <f aca="false">IFERROR(VALUE(SUBSTITUTE(TRIM('수출입 실적(품목별)'!G2872),",","")),"")</f>
        <v>1188235</v>
      </c>
      <c r="K2868" s="19" t="n">
        <f aca="false">IFERROR(VALUE(SUBSTITUTE(TRIM('수출입 실적(품목별)'!H2872),",","")),"")</f>
        <v>-515681</v>
      </c>
    </row>
    <row r="2869" customFormat="false" ht="15" hidden="false" customHeight="true" outlineLevel="0" collapsed="false">
      <c r="A2869" s="11" t="str">
        <f aca="false">TRIM('수출입 실적(품목별)'!A2873)</f>
        <v>2026.06</v>
      </c>
      <c r="B2869" s="17" t="n">
        <f aca="false">IFERROR(VALUE(LEFT($A2869,4)),"")</f>
        <v>2026</v>
      </c>
      <c r="C2869" s="17" t="n">
        <f aca="false">IFERROR(VALUE(RIGHT($A2869,2)),"")</f>
        <v>6</v>
      </c>
      <c r="D2869" s="17" t="n">
        <f aca="false">IFERROR(ROUNDUP($C2869/3,0),"")</f>
        <v>2</v>
      </c>
      <c r="E2869" s="11" t="str">
        <f aca="false">TRIM('수출입 실적(품목별)'!B2873)</f>
        <v>78</v>
      </c>
      <c r="F2869" s="11" t="str">
        <f aca="false">TRIM('수출입 실적(품목별)'!C2873)</f>
        <v>납과 그 제품</v>
      </c>
      <c r="G2869" s="18" t="n">
        <f aca="false">IFERROR(VALUE(SUBSTITUTE(TRIM('수출입 실적(품목별)'!D2873),",","")),"")</f>
        <v>31554.5</v>
      </c>
      <c r="H2869" s="19" t="n">
        <f aca="false">IFERROR(VALUE(SUBSTITUTE(TRIM('수출입 실적(품목별)'!E2873),",","")),"")</f>
        <v>76604</v>
      </c>
      <c r="I2869" s="18" t="n">
        <f aca="false">IFERROR(VALUE(SUBSTITUTE(TRIM('수출입 실적(품목별)'!F2873),",","")),"")</f>
        <v>11267.2</v>
      </c>
      <c r="J2869" s="19" t="n">
        <f aca="false">IFERROR(VALUE(SUBSTITUTE(TRIM('수출입 실적(품목별)'!G2873),",","")),"")</f>
        <v>30567</v>
      </c>
      <c r="K2869" s="19" t="n">
        <f aca="false">IFERROR(VALUE(SUBSTITUTE(TRIM('수출입 실적(품목별)'!H2873),",","")),"")</f>
        <v>46037</v>
      </c>
    </row>
    <row r="2870" customFormat="false" ht="15" hidden="false" customHeight="true" outlineLevel="0" collapsed="false">
      <c r="A2870" s="11" t="str">
        <f aca="false">TRIM('수출입 실적(품목별)'!A2874)</f>
        <v>2026.06</v>
      </c>
      <c r="B2870" s="17" t="n">
        <f aca="false">IFERROR(VALUE(LEFT($A2870,4)),"")</f>
        <v>2026</v>
      </c>
      <c r="C2870" s="17" t="n">
        <f aca="false">IFERROR(VALUE(RIGHT($A2870,2)),"")</f>
        <v>6</v>
      </c>
      <c r="D2870" s="17" t="n">
        <f aca="false">IFERROR(ROUNDUP($C2870/3,0),"")</f>
        <v>2</v>
      </c>
      <c r="E2870" s="11" t="str">
        <f aca="false">TRIM('수출입 실적(품목별)'!B2874)</f>
        <v>79</v>
      </c>
      <c r="F2870" s="11" t="str">
        <f aca="false">TRIM('수출입 실적(품목별)'!C2874)</f>
        <v>아연과 그 제품</v>
      </c>
      <c r="G2870" s="18" t="n">
        <f aca="false">IFERROR(VALUE(SUBSTITUTE(TRIM('수출입 실적(품목별)'!D2874),",","")),"")</f>
        <v>29729.5</v>
      </c>
      <c r="H2870" s="19" t="n">
        <f aca="false">IFERROR(VALUE(SUBSTITUTE(TRIM('수출입 실적(품목별)'!E2874),",","")),"")</f>
        <v>111131</v>
      </c>
      <c r="I2870" s="18" t="n">
        <f aca="false">IFERROR(VALUE(SUBSTITUTE(TRIM('수출입 실적(품목별)'!F2874),",","")),"")</f>
        <v>2250.1</v>
      </c>
      <c r="J2870" s="19" t="n">
        <f aca="false">IFERROR(VALUE(SUBSTITUTE(TRIM('수출입 실적(품목별)'!G2874),",","")),"")</f>
        <v>11370</v>
      </c>
      <c r="K2870" s="19" t="n">
        <f aca="false">IFERROR(VALUE(SUBSTITUTE(TRIM('수출입 실적(품목별)'!H2874),",","")),"")</f>
        <v>99761</v>
      </c>
    </row>
    <row r="2871" customFormat="false" ht="15" hidden="false" customHeight="true" outlineLevel="0" collapsed="false">
      <c r="A2871" s="11" t="str">
        <f aca="false">TRIM('수출입 실적(품목별)'!A2875)</f>
        <v>2026.06</v>
      </c>
      <c r="B2871" s="17" t="n">
        <f aca="false">IFERROR(VALUE(LEFT($A2871,4)),"")</f>
        <v>2026</v>
      </c>
      <c r="C2871" s="17" t="n">
        <f aca="false">IFERROR(VALUE(RIGHT($A2871,2)),"")</f>
        <v>6</v>
      </c>
      <c r="D2871" s="17" t="n">
        <f aca="false">IFERROR(ROUNDUP($C2871/3,0),"")</f>
        <v>2</v>
      </c>
      <c r="E2871" s="11" t="str">
        <f aca="false">TRIM('수출입 실적(품목별)'!B2875)</f>
        <v>80</v>
      </c>
      <c r="F2871" s="11" t="str">
        <f aca="false">TRIM('수출입 실적(품목별)'!C2875)</f>
        <v>주석과 그 제품</v>
      </c>
      <c r="G2871" s="18" t="n">
        <f aca="false">IFERROR(VALUE(SUBSTITUTE(TRIM('수출입 실적(품목별)'!D2875),",","")),"")</f>
        <v>157</v>
      </c>
      <c r="H2871" s="19" t="n">
        <f aca="false">IFERROR(VALUE(SUBSTITUTE(TRIM('수출입 실적(품목별)'!E2875),",","")),"")</f>
        <v>11668</v>
      </c>
      <c r="I2871" s="18" t="n">
        <f aca="false">IFERROR(VALUE(SUBSTITUTE(TRIM('수출입 실적(품목별)'!F2875),",","")),"")</f>
        <v>1020.4</v>
      </c>
      <c r="J2871" s="19" t="n">
        <f aca="false">IFERROR(VALUE(SUBSTITUTE(TRIM('수출입 실적(품목별)'!G2875),",","")),"")</f>
        <v>53816</v>
      </c>
      <c r="K2871" s="19" t="n">
        <f aca="false">IFERROR(VALUE(SUBSTITUTE(TRIM('수출입 실적(품목별)'!H2875),",","")),"")</f>
        <v>-42149</v>
      </c>
    </row>
    <row r="2872" customFormat="false" ht="15" hidden="false" customHeight="true" outlineLevel="0" collapsed="false">
      <c r="A2872" s="11" t="str">
        <f aca="false">TRIM('수출입 실적(품목별)'!A2876)</f>
        <v>2026.06</v>
      </c>
      <c r="B2872" s="17" t="n">
        <f aca="false">IFERROR(VALUE(LEFT($A2872,4)),"")</f>
        <v>2026</v>
      </c>
      <c r="C2872" s="17" t="n">
        <f aca="false">IFERROR(VALUE(RIGHT($A2872,2)),"")</f>
        <v>6</v>
      </c>
      <c r="D2872" s="17" t="n">
        <f aca="false">IFERROR(ROUNDUP($C2872/3,0),"")</f>
        <v>2</v>
      </c>
      <c r="E2872" s="11" t="str">
        <f aca="false">TRIM('수출입 실적(품목별)'!B2876)</f>
        <v>81</v>
      </c>
      <c r="F2872" s="11" t="str">
        <f aca="false">TRIM('수출입 실적(품목별)'!C2876)</f>
        <v>그 밖의 비금속(卑金屬), 서멧(cermet), 이들의 제품</v>
      </c>
      <c r="G2872" s="18" t="n">
        <f aca="false">IFERROR(VALUE(SUBSTITUTE(TRIM('수출입 실적(품목별)'!D2876),",","")),"")</f>
        <v>31602.1</v>
      </c>
      <c r="H2872" s="19" t="n">
        <f aca="false">IFERROR(VALUE(SUBSTITUTE(TRIM('수출입 실적(품목별)'!E2876),",","")),"")</f>
        <v>70942</v>
      </c>
      <c r="I2872" s="18" t="n">
        <f aca="false">IFERROR(VALUE(SUBSTITUTE(TRIM('수출입 실적(품목별)'!F2876),",","")),"")</f>
        <v>19696.2</v>
      </c>
      <c r="J2872" s="19" t="n">
        <f aca="false">IFERROR(VALUE(SUBSTITUTE(TRIM('수출입 실적(품목별)'!G2876),",","")),"")</f>
        <v>255145</v>
      </c>
      <c r="K2872" s="19" t="n">
        <f aca="false">IFERROR(VALUE(SUBSTITUTE(TRIM('수출입 실적(품목별)'!H2876),",","")),"")</f>
        <v>-184203</v>
      </c>
    </row>
    <row r="2873" customFormat="false" ht="15" hidden="false" customHeight="true" outlineLevel="0" collapsed="false">
      <c r="A2873" s="11" t="str">
        <f aca="false">TRIM('수출입 실적(품목별)'!A2877)</f>
        <v>2026.06</v>
      </c>
      <c r="B2873" s="17" t="n">
        <f aca="false">IFERROR(VALUE(LEFT($A2873,4)),"")</f>
        <v>2026</v>
      </c>
      <c r="C2873" s="17" t="n">
        <f aca="false">IFERROR(VALUE(RIGHT($A2873,2)),"")</f>
        <v>6</v>
      </c>
      <c r="D2873" s="17" t="n">
        <f aca="false">IFERROR(ROUNDUP($C2873/3,0),"")</f>
        <v>2</v>
      </c>
      <c r="E2873" s="11" t="str">
        <f aca="false">TRIM('수출입 실적(품목별)'!B2877)</f>
        <v>82</v>
      </c>
      <c r="F2873" s="11" t="str">
        <f aca="false">TRIM('수출입 실적(품목별)'!C2877)</f>
        <v>비금속(卑金屬)으로 만든 공구ㆍ도구ㆍ칼붙이ㆍ스푼ㆍ포크, 이들의 부분품</v>
      </c>
      <c r="G2873" s="18" t="n">
        <f aca="false">IFERROR(VALUE(SUBSTITUTE(TRIM('수출입 실적(품목별)'!D2877),",","")),"")</f>
        <v>9445</v>
      </c>
      <c r="H2873" s="19" t="n">
        <f aca="false">IFERROR(VALUE(SUBSTITUTE(TRIM('수출입 실적(품목별)'!E2877),",","")),"")</f>
        <v>185355</v>
      </c>
      <c r="I2873" s="18" t="n">
        <f aca="false">IFERROR(VALUE(SUBSTITUTE(TRIM('수출입 실적(품목별)'!F2877),",","")),"")</f>
        <v>5339.3</v>
      </c>
      <c r="J2873" s="19" t="n">
        <f aca="false">IFERROR(VALUE(SUBSTITUTE(TRIM('수출입 실적(품목별)'!G2877),",","")),"")</f>
        <v>101407</v>
      </c>
      <c r="K2873" s="19" t="n">
        <f aca="false">IFERROR(VALUE(SUBSTITUTE(TRIM('수출입 실적(품목별)'!H2877),",","")),"")</f>
        <v>83948</v>
      </c>
    </row>
    <row r="2874" customFormat="false" ht="15" hidden="false" customHeight="true" outlineLevel="0" collapsed="false">
      <c r="A2874" s="11" t="str">
        <f aca="false">TRIM('수출입 실적(품목별)'!A2878)</f>
        <v>2026.06</v>
      </c>
      <c r="B2874" s="17" t="n">
        <f aca="false">IFERROR(VALUE(LEFT($A2874,4)),"")</f>
        <v>2026</v>
      </c>
      <c r="C2874" s="17" t="n">
        <f aca="false">IFERROR(VALUE(RIGHT($A2874,2)),"")</f>
        <v>6</v>
      </c>
      <c r="D2874" s="17" t="n">
        <f aca="false">IFERROR(ROUNDUP($C2874/3,0),"")</f>
        <v>2</v>
      </c>
      <c r="E2874" s="11" t="str">
        <f aca="false">TRIM('수출입 실적(품목별)'!B2878)</f>
        <v>83</v>
      </c>
      <c r="F2874" s="11" t="str">
        <f aca="false">TRIM('수출입 실적(품목별)'!C2878)</f>
        <v>비금속(卑金屬)으로 만든 각종 제품</v>
      </c>
      <c r="G2874" s="18" t="n">
        <f aca="false">IFERROR(VALUE(SUBSTITUTE(TRIM('수출입 실적(품목별)'!D2878),",","")),"")</f>
        <v>23726.6</v>
      </c>
      <c r="H2874" s="19" t="n">
        <f aca="false">IFERROR(VALUE(SUBSTITUTE(TRIM('수출입 실적(품목별)'!E2878),",","")),"")</f>
        <v>141209</v>
      </c>
      <c r="I2874" s="18" t="n">
        <f aca="false">IFERROR(VALUE(SUBSTITUTE(TRIM('수출입 실적(품목별)'!F2878),",","")),"")</f>
        <v>12655.4</v>
      </c>
      <c r="J2874" s="19" t="n">
        <f aca="false">IFERROR(VALUE(SUBSTITUTE(TRIM('수출입 실적(품목별)'!G2878),",","")),"")</f>
        <v>90239</v>
      </c>
      <c r="K2874" s="19" t="n">
        <f aca="false">IFERROR(VALUE(SUBSTITUTE(TRIM('수출입 실적(품목별)'!H2878),",","")),"")</f>
        <v>50970</v>
      </c>
    </row>
    <row r="2875" customFormat="false" ht="15" hidden="false" customHeight="true" outlineLevel="0" collapsed="false">
      <c r="A2875" s="11" t="str">
        <f aca="false">TRIM('수출입 실적(품목별)'!A2879)</f>
        <v>2026.06</v>
      </c>
      <c r="B2875" s="17" t="n">
        <f aca="false">IFERROR(VALUE(LEFT($A2875,4)),"")</f>
        <v>2026</v>
      </c>
      <c r="C2875" s="17" t="n">
        <f aca="false">IFERROR(VALUE(RIGHT($A2875,2)),"")</f>
        <v>6</v>
      </c>
      <c r="D2875" s="17" t="n">
        <f aca="false">IFERROR(ROUNDUP($C2875/3,0),"")</f>
        <v>2</v>
      </c>
      <c r="E2875" s="11" t="str">
        <f aca="false">TRIM('수출입 실적(품목별)'!B2879)</f>
        <v>84</v>
      </c>
      <c r="F2875" s="11" t="str">
        <f aca="false">TRIM('수출입 실적(품목별)'!C2879)</f>
        <v>원자로ㆍ보일러ㆍ기계류와 이들의 부분품</v>
      </c>
      <c r="G2875" s="18" t="n">
        <f aca="false">IFERROR(VALUE(SUBSTITUTE(TRIM('수출입 실적(품목별)'!D2879),",","")),"")</f>
        <v>379504</v>
      </c>
      <c r="H2875" s="19" t="n">
        <f aca="false">IFERROR(VALUE(SUBSTITUTE(TRIM('수출입 실적(품목별)'!E2879),",","")),"")</f>
        <v>16352067</v>
      </c>
      <c r="I2875" s="18" t="n">
        <f aca="false">IFERROR(VALUE(SUBSTITUTE(TRIM('수출입 실적(품목별)'!F2879),",","")),"")</f>
        <v>256615.5</v>
      </c>
      <c r="J2875" s="19" t="n">
        <f aca="false">IFERROR(VALUE(SUBSTITUTE(TRIM('수출입 실적(품목별)'!G2879),",","")),"")</f>
        <v>8168315</v>
      </c>
      <c r="K2875" s="19" t="n">
        <f aca="false">IFERROR(VALUE(SUBSTITUTE(TRIM('수출입 실적(품목별)'!H2879),",","")),"")</f>
        <v>8183751</v>
      </c>
    </row>
    <row r="2876" customFormat="false" ht="15" hidden="false" customHeight="true" outlineLevel="0" collapsed="false">
      <c r="A2876" s="11" t="str">
        <f aca="false">TRIM('수출입 실적(품목별)'!A2880)</f>
        <v>2026.06</v>
      </c>
      <c r="B2876" s="17" t="n">
        <f aca="false">IFERROR(VALUE(LEFT($A2876,4)),"")</f>
        <v>2026</v>
      </c>
      <c r="C2876" s="17" t="n">
        <f aca="false">IFERROR(VALUE(RIGHT($A2876,2)),"")</f>
        <v>6</v>
      </c>
      <c r="D2876" s="17" t="n">
        <f aca="false">IFERROR(ROUNDUP($C2876/3,0),"")</f>
        <v>2</v>
      </c>
      <c r="E2876" s="11" t="str">
        <f aca="false">TRIM('수출입 실적(품목별)'!B2880)</f>
        <v>85</v>
      </c>
      <c r="F2876" s="11" t="str">
        <f aca="false">TRIM('수출입 실적(품목별)'!C2880)</f>
        <v>전기기기와 그 부분품, 녹음기ㆍ음성 재생기ㆍ텔레비전의 영상과 음성의 기록기ㆍ재생기와 이들의 부분품ㆍ부속품</v>
      </c>
      <c r="G2876" s="18" t="n">
        <f aca="false">IFERROR(VALUE(SUBSTITUTE(TRIM('수출입 실적(품목별)'!D2880),",","")),"")</f>
        <v>238109.8</v>
      </c>
      <c r="H2876" s="19" t="n">
        <f aca="false">IFERROR(VALUE(SUBSTITUTE(TRIM('수출입 실적(품목별)'!E2880),",","")),"")</f>
        <v>46280277</v>
      </c>
      <c r="I2876" s="18" t="n">
        <f aca="false">IFERROR(VALUE(SUBSTITUTE(TRIM('수출입 실적(품목별)'!F2880),",","")),"")</f>
        <v>220516.5</v>
      </c>
      <c r="J2876" s="19" t="n">
        <f aca="false">IFERROR(VALUE(SUBSTITUTE(TRIM('수출입 실적(품목별)'!G2880),",","")),"")</f>
        <v>15313673</v>
      </c>
      <c r="K2876" s="19" t="n">
        <f aca="false">IFERROR(VALUE(SUBSTITUTE(TRIM('수출입 실적(품목별)'!H2880),",","")),"")</f>
        <v>30966603</v>
      </c>
    </row>
    <row r="2877" customFormat="false" ht="15" hidden="false" customHeight="true" outlineLevel="0" collapsed="false">
      <c r="A2877" s="11" t="str">
        <f aca="false">TRIM('수출입 실적(품목별)'!A2881)</f>
        <v>2026.06</v>
      </c>
      <c r="B2877" s="17" t="n">
        <f aca="false">IFERROR(VALUE(LEFT($A2877,4)),"")</f>
        <v>2026</v>
      </c>
      <c r="C2877" s="17" t="n">
        <f aca="false">IFERROR(VALUE(RIGHT($A2877,2)),"")</f>
        <v>6</v>
      </c>
      <c r="D2877" s="17" t="n">
        <f aca="false">IFERROR(ROUNDUP($C2877/3,0),"")</f>
        <v>2</v>
      </c>
      <c r="E2877" s="11" t="str">
        <f aca="false">TRIM('수출입 실적(품목별)'!B2881)</f>
        <v>86</v>
      </c>
      <c r="F2877" s="11" t="str">
        <f aca="false">TRIM('수출입 실적(품목별)'!C2881)</f>
        <v>철도용이나 궤도용 기관차ㆍ차량과 이들의 부분품, 철도용이나 궤도용 장비품과 그 부분품, 기계식(전기기계식을 포함한다) 각종 교통신호용 기기</v>
      </c>
      <c r="G2877" s="18" t="n">
        <f aca="false">IFERROR(VALUE(SUBSTITUTE(TRIM('수출입 실적(품목별)'!D2881),",","")),"")</f>
        <v>11370.9</v>
      </c>
      <c r="H2877" s="19" t="n">
        <f aca="false">IFERROR(VALUE(SUBSTITUTE(TRIM('수출입 실적(품목별)'!E2881),",","")),"")</f>
        <v>47336</v>
      </c>
      <c r="I2877" s="18" t="n">
        <f aca="false">IFERROR(VALUE(SUBSTITUTE(TRIM('수출입 실적(품목별)'!F2881),",","")),"")</f>
        <v>18994.8</v>
      </c>
      <c r="J2877" s="19" t="n">
        <f aca="false">IFERROR(VALUE(SUBSTITUTE(TRIM('수출입 실적(품목별)'!G2881),",","")),"")</f>
        <v>72527</v>
      </c>
      <c r="K2877" s="19" t="n">
        <f aca="false">IFERROR(VALUE(SUBSTITUTE(TRIM('수출입 실적(품목별)'!H2881),",","")),"")</f>
        <v>-25191</v>
      </c>
    </row>
    <row r="2878" customFormat="false" ht="15" hidden="false" customHeight="true" outlineLevel="0" collapsed="false">
      <c r="A2878" s="11" t="str">
        <f aca="false">TRIM('수출입 실적(품목별)'!A2882)</f>
        <v>2026.06</v>
      </c>
      <c r="B2878" s="17" t="n">
        <f aca="false">IFERROR(VALUE(LEFT($A2878,4)),"")</f>
        <v>2026</v>
      </c>
      <c r="C2878" s="17" t="n">
        <f aca="false">IFERROR(VALUE(RIGHT($A2878,2)),"")</f>
        <v>6</v>
      </c>
      <c r="D2878" s="17" t="n">
        <f aca="false">IFERROR(ROUNDUP($C2878/3,0),"")</f>
        <v>2</v>
      </c>
      <c r="E2878" s="11" t="str">
        <f aca="false">TRIM('수출입 실적(품목별)'!B2882)</f>
        <v>87</v>
      </c>
      <c r="F2878" s="11" t="str">
        <f aca="false">TRIM('수출입 실적(품목별)'!C2882)</f>
        <v>철도용이나 궤도용 외의 차량과 그 부분품ㆍ부속품</v>
      </c>
      <c r="G2878" s="18" t="n">
        <f aca="false">IFERROR(VALUE(SUBSTITUTE(TRIM('수출입 실적(품목별)'!D2882),",","")),"")</f>
        <v>776548.7</v>
      </c>
      <c r="H2878" s="19" t="n">
        <f aca="false">IFERROR(VALUE(SUBSTITUTE(TRIM('수출입 실적(품목별)'!E2882),",","")),"")</f>
        <v>8746465</v>
      </c>
      <c r="I2878" s="18" t="n">
        <f aca="false">IFERROR(VALUE(SUBSTITUTE(TRIM('수출입 실적(품목별)'!F2882),",","")),"")</f>
        <v>163178</v>
      </c>
      <c r="J2878" s="19" t="n">
        <f aca="false">IFERROR(VALUE(SUBSTITUTE(TRIM('수출입 실적(품목별)'!G2882),",","")),"")</f>
        <v>2441836</v>
      </c>
      <c r="K2878" s="19" t="n">
        <f aca="false">IFERROR(VALUE(SUBSTITUTE(TRIM('수출입 실적(품목별)'!H2882),",","")),"")</f>
        <v>6304630</v>
      </c>
    </row>
    <row r="2879" customFormat="false" ht="15" hidden="false" customHeight="true" outlineLevel="0" collapsed="false">
      <c r="A2879" s="11" t="str">
        <f aca="false">TRIM('수출입 실적(품목별)'!A2883)</f>
        <v>2026.06</v>
      </c>
      <c r="B2879" s="17" t="n">
        <f aca="false">IFERROR(VALUE(LEFT($A2879,4)),"")</f>
        <v>2026</v>
      </c>
      <c r="C2879" s="17" t="n">
        <f aca="false">IFERROR(VALUE(RIGHT($A2879,2)),"")</f>
        <v>6</v>
      </c>
      <c r="D2879" s="17" t="n">
        <f aca="false">IFERROR(ROUNDUP($C2879/3,0),"")</f>
        <v>2</v>
      </c>
      <c r="E2879" s="11" t="str">
        <f aca="false">TRIM('수출입 실적(품목별)'!B2883)</f>
        <v>88</v>
      </c>
      <c r="F2879" s="11" t="str">
        <f aca="false">TRIM('수출입 실적(품목별)'!C2883)</f>
        <v>항공기와 우주선, 이들의 부분품</v>
      </c>
      <c r="G2879" s="18" t="n">
        <f aca="false">IFERROR(VALUE(SUBSTITUTE(TRIM('수출입 실적(품목별)'!D2883),",","")),"")</f>
        <v>564.3</v>
      </c>
      <c r="H2879" s="19" t="n">
        <f aca="false">IFERROR(VALUE(SUBSTITUTE(TRIM('수출입 실적(품목별)'!E2883),",","")),"")</f>
        <v>276872</v>
      </c>
      <c r="I2879" s="18" t="n">
        <f aca="false">IFERROR(VALUE(SUBSTITUTE(TRIM('수출입 실적(품목별)'!F2883),",","")),"")</f>
        <v>430.3</v>
      </c>
      <c r="J2879" s="19" t="n">
        <f aca="false">IFERROR(VALUE(SUBSTITUTE(TRIM('수출입 실적(품목별)'!G2883),",","")),"")</f>
        <v>253998</v>
      </c>
      <c r="K2879" s="19" t="n">
        <f aca="false">IFERROR(VALUE(SUBSTITUTE(TRIM('수출입 실적(품목별)'!H2883),",","")),"")</f>
        <v>22874</v>
      </c>
    </row>
    <row r="2880" customFormat="false" ht="15" hidden="false" customHeight="true" outlineLevel="0" collapsed="false">
      <c r="A2880" s="11" t="str">
        <f aca="false">TRIM('수출입 실적(품목별)'!A2884)</f>
        <v>2026.06</v>
      </c>
      <c r="B2880" s="17" t="n">
        <f aca="false">IFERROR(VALUE(LEFT($A2880,4)),"")</f>
        <v>2026</v>
      </c>
      <c r="C2880" s="17" t="n">
        <f aca="false">IFERROR(VALUE(RIGHT($A2880,2)),"")</f>
        <v>6</v>
      </c>
      <c r="D2880" s="17" t="n">
        <f aca="false">IFERROR(ROUNDUP($C2880/3,0),"")</f>
        <v>2</v>
      </c>
      <c r="E2880" s="11" t="str">
        <f aca="false">TRIM('수출입 실적(품목별)'!B2884)</f>
        <v>89</v>
      </c>
      <c r="F2880" s="11" t="str">
        <f aca="false">TRIM('수출입 실적(품목별)'!C2884)</f>
        <v>선박과 수상 구조물</v>
      </c>
      <c r="G2880" s="18" t="n">
        <f aca="false">IFERROR(VALUE(SUBSTITUTE(TRIM('수출입 실적(품목별)'!D2884),",","")),"")</f>
        <v>1076058.2</v>
      </c>
      <c r="H2880" s="19" t="n">
        <f aca="false">IFERROR(VALUE(SUBSTITUTE(TRIM('수출입 실적(품목별)'!E2884),",","")),"")</f>
        <v>2662952</v>
      </c>
      <c r="I2880" s="18" t="n">
        <f aca="false">IFERROR(VALUE(SUBSTITUTE(TRIM('수출입 실적(품목별)'!F2884),",","")),"")</f>
        <v>743932.4</v>
      </c>
      <c r="J2880" s="19" t="n">
        <f aca="false">IFERROR(VALUE(SUBSTITUTE(TRIM('수출입 실적(품목별)'!G2884),",","")),"")</f>
        <v>405925</v>
      </c>
      <c r="K2880" s="19" t="n">
        <f aca="false">IFERROR(VALUE(SUBSTITUTE(TRIM('수출입 실적(품목별)'!H2884),",","")),"")</f>
        <v>2257027</v>
      </c>
    </row>
    <row r="2881" customFormat="false" ht="15" hidden="false" customHeight="true" outlineLevel="0" collapsed="false">
      <c r="A2881" s="11" t="str">
        <f aca="false">TRIM('수출입 실적(품목별)'!A2885)</f>
        <v>2026.06</v>
      </c>
      <c r="B2881" s="17" t="n">
        <f aca="false">IFERROR(VALUE(LEFT($A2881,4)),"")</f>
        <v>2026</v>
      </c>
      <c r="C2881" s="17" t="n">
        <f aca="false">IFERROR(VALUE(RIGHT($A2881,2)),"")</f>
        <v>6</v>
      </c>
      <c r="D2881" s="17" t="n">
        <f aca="false">IFERROR(ROUNDUP($C2881/3,0),"")</f>
        <v>2</v>
      </c>
      <c r="E2881" s="11" t="str">
        <f aca="false">TRIM('수출입 실적(품목별)'!B2885)</f>
        <v>90</v>
      </c>
      <c r="F2881" s="11" t="str">
        <f aca="false">TRIM('수출입 실적(품목별)'!C2885)</f>
        <v>광학기기ㆍ사진용 기기ㆍ영화용 기기ㆍ측정기기ㆍ검사기기ㆍ정밀기기ㆍ의료용 기기, 이들의 부분품과 부속품</v>
      </c>
      <c r="G2881" s="18" t="n">
        <f aca="false">IFERROR(VALUE(SUBSTITUTE(TRIM('수출입 실적(품목별)'!D2885),",","")),"")</f>
        <v>15989.5</v>
      </c>
      <c r="H2881" s="19" t="n">
        <f aca="false">IFERROR(VALUE(SUBSTITUTE(TRIM('수출입 실적(품목별)'!E2885),",","")),"")</f>
        <v>1621177</v>
      </c>
      <c r="I2881" s="18" t="n">
        <f aca="false">IFERROR(VALUE(SUBSTITUTE(TRIM('수출입 실적(품목별)'!F2885),",","")),"")</f>
        <v>17454.1</v>
      </c>
      <c r="J2881" s="19" t="n">
        <f aca="false">IFERROR(VALUE(SUBSTITUTE(TRIM('수출입 실적(품목별)'!G2885),",","")),"")</f>
        <v>2480954</v>
      </c>
      <c r="K2881" s="19" t="n">
        <f aca="false">IFERROR(VALUE(SUBSTITUTE(TRIM('수출입 실적(품목별)'!H2885),",","")),"")</f>
        <v>-859777</v>
      </c>
    </row>
    <row r="2882" customFormat="false" ht="15" hidden="false" customHeight="true" outlineLevel="0" collapsed="false">
      <c r="A2882" s="11" t="str">
        <f aca="false">TRIM('수출입 실적(품목별)'!A2886)</f>
        <v>2026.06</v>
      </c>
      <c r="B2882" s="17" t="n">
        <f aca="false">IFERROR(VALUE(LEFT($A2882,4)),"")</f>
        <v>2026</v>
      </c>
      <c r="C2882" s="17" t="n">
        <f aca="false">IFERROR(VALUE(RIGHT($A2882,2)),"")</f>
        <v>6</v>
      </c>
      <c r="D2882" s="17" t="n">
        <f aca="false">IFERROR(ROUNDUP($C2882/3,0),"")</f>
        <v>2</v>
      </c>
      <c r="E2882" s="11" t="str">
        <f aca="false">TRIM('수출입 실적(품목별)'!B2886)</f>
        <v>91</v>
      </c>
      <c r="F2882" s="11" t="str">
        <f aca="false">TRIM('수출입 실적(품목별)'!C2886)</f>
        <v>시계와 그 부분품</v>
      </c>
      <c r="G2882" s="18" t="n">
        <f aca="false">IFERROR(VALUE(SUBSTITUTE(TRIM('수출입 실적(품목별)'!D2886),",","")),"")</f>
        <v>12.9</v>
      </c>
      <c r="H2882" s="19" t="n">
        <f aca="false">IFERROR(VALUE(SUBSTITUTE(TRIM('수출입 실적(품목별)'!E2886),",","")),"")</f>
        <v>18351</v>
      </c>
      <c r="I2882" s="18" t="n">
        <f aca="false">IFERROR(VALUE(SUBSTITUTE(TRIM('수출입 실적(품목별)'!F2886),",","")),"")</f>
        <v>317.8</v>
      </c>
      <c r="J2882" s="19" t="n">
        <f aca="false">IFERROR(VALUE(SUBSTITUTE(TRIM('수출입 실적(품목별)'!G2886),",","")),"")</f>
        <v>117439</v>
      </c>
      <c r="K2882" s="19" t="n">
        <f aca="false">IFERROR(VALUE(SUBSTITUTE(TRIM('수출입 실적(품목별)'!H2886),",","")),"")</f>
        <v>-99088</v>
      </c>
    </row>
    <row r="2883" customFormat="false" ht="15" hidden="false" customHeight="true" outlineLevel="0" collapsed="false">
      <c r="A2883" s="11" t="str">
        <f aca="false">TRIM('수출입 실적(품목별)'!A2887)</f>
        <v>2026.06</v>
      </c>
      <c r="B2883" s="17" t="n">
        <f aca="false">IFERROR(VALUE(LEFT($A2883,4)),"")</f>
        <v>2026</v>
      </c>
      <c r="C2883" s="17" t="n">
        <f aca="false">IFERROR(VALUE(RIGHT($A2883,2)),"")</f>
        <v>6</v>
      </c>
      <c r="D2883" s="17" t="n">
        <f aca="false">IFERROR(ROUNDUP($C2883/3,0),"")</f>
        <v>2</v>
      </c>
      <c r="E2883" s="11" t="str">
        <f aca="false">TRIM('수출입 실적(품목별)'!B2887)</f>
        <v>92</v>
      </c>
      <c r="F2883" s="11" t="str">
        <f aca="false">TRIM('수출입 실적(품목별)'!C2887)</f>
        <v>악기와 그 부분품과 부속품</v>
      </c>
      <c r="G2883" s="18" t="n">
        <f aca="false">IFERROR(VALUE(SUBSTITUTE(TRIM('수출입 실적(품목별)'!D2887),",","")),"")</f>
        <v>258.8</v>
      </c>
      <c r="H2883" s="19" t="n">
        <f aca="false">IFERROR(VALUE(SUBSTITUTE(TRIM('수출입 실적(품목별)'!E2887),",","")),"")</f>
        <v>8818</v>
      </c>
      <c r="I2883" s="18" t="n">
        <f aca="false">IFERROR(VALUE(SUBSTITUTE(TRIM('수출입 실적(품목별)'!F2887),",","")),"")</f>
        <v>632</v>
      </c>
      <c r="J2883" s="19" t="n">
        <f aca="false">IFERROR(VALUE(SUBSTITUTE(TRIM('수출입 실적(품목별)'!G2887),",","")),"")</f>
        <v>14310</v>
      </c>
      <c r="K2883" s="19" t="n">
        <f aca="false">IFERROR(VALUE(SUBSTITUTE(TRIM('수출입 실적(품목별)'!H2887),",","")),"")</f>
        <v>-5492</v>
      </c>
    </row>
    <row r="2884" customFormat="false" ht="15" hidden="false" customHeight="true" outlineLevel="0" collapsed="false">
      <c r="A2884" s="11" t="str">
        <f aca="false">TRIM('수출입 실적(품목별)'!A2888)</f>
        <v>2026.06</v>
      </c>
      <c r="B2884" s="17" t="n">
        <f aca="false">IFERROR(VALUE(LEFT($A2884,4)),"")</f>
        <v>2026</v>
      </c>
      <c r="C2884" s="17" t="n">
        <f aca="false">IFERROR(VALUE(RIGHT($A2884,2)),"")</f>
        <v>6</v>
      </c>
      <c r="D2884" s="17" t="n">
        <f aca="false">IFERROR(ROUNDUP($C2884/3,0),"")</f>
        <v>2</v>
      </c>
      <c r="E2884" s="11" t="str">
        <f aca="false">TRIM('수출입 실적(품목별)'!B2888)</f>
        <v>93</v>
      </c>
      <c r="F2884" s="11" t="str">
        <f aca="false">TRIM('수출입 실적(품목별)'!C2888)</f>
        <v>무기ㆍ총포탄과 이들의 부분품과 부속품</v>
      </c>
      <c r="G2884" s="18" t="n">
        <f aca="false">IFERROR(VALUE(SUBSTITUTE(TRIM('수출입 실적(품목별)'!D2888),",","")),"")</f>
        <v>1798.6</v>
      </c>
      <c r="H2884" s="19" t="n">
        <f aca="false">IFERROR(VALUE(SUBSTITUTE(TRIM('수출입 실적(품목별)'!E2888),",","")),"")</f>
        <v>229028</v>
      </c>
      <c r="I2884" s="18" t="n">
        <f aca="false">IFERROR(VALUE(SUBSTITUTE(TRIM('수출입 실적(품목별)'!F2888),",","")),"")</f>
        <v>68.7</v>
      </c>
      <c r="J2884" s="19" t="n">
        <f aca="false">IFERROR(VALUE(SUBSTITUTE(TRIM('수출입 실적(품목별)'!G2888),",","")),"")</f>
        <v>40258</v>
      </c>
      <c r="K2884" s="19" t="n">
        <f aca="false">IFERROR(VALUE(SUBSTITUTE(TRIM('수출입 실적(품목별)'!H2888),",","")),"")</f>
        <v>188769</v>
      </c>
    </row>
    <row r="2885" customFormat="false" ht="15" hidden="false" customHeight="true" outlineLevel="0" collapsed="false">
      <c r="A2885" s="11" t="str">
        <f aca="false">TRIM('수출입 실적(품목별)'!A2889)</f>
        <v>2026.06</v>
      </c>
      <c r="B2885" s="17" t="n">
        <f aca="false">IFERROR(VALUE(LEFT($A2885,4)),"")</f>
        <v>2026</v>
      </c>
      <c r="C2885" s="17" t="n">
        <f aca="false">IFERROR(VALUE(RIGHT($A2885,2)),"")</f>
        <v>6</v>
      </c>
      <c r="D2885" s="17" t="n">
        <f aca="false">IFERROR(ROUNDUP($C2885/3,0),"")</f>
        <v>2</v>
      </c>
      <c r="E2885" s="11" t="str">
        <f aca="false">TRIM('수출입 실적(품목별)'!B2889)</f>
        <v>94</v>
      </c>
      <c r="F2885" s="11" t="str">
        <f aca="false">TRIM('수출입 실적(품목별)'!C2889)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885" s="18" t="n">
        <f aca="false">IFERROR(VALUE(SUBSTITUTE(TRIM('수출입 실적(품목별)'!D2889),",","")),"")</f>
        <v>15527.8</v>
      </c>
      <c r="H2885" s="19" t="n">
        <f aca="false">IFERROR(VALUE(SUBSTITUTE(TRIM('수출입 실적(품목별)'!E2889),",","")),"")</f>
        <v>104469</v>
      </c>
      <c r="I2885" s="18" t="n">
        <f aca="false">IFERROR(VALUE(SUBSTITUTE(TRIM('수출입 실적(품목별)'!F2889),",","")),"")</f>
        <v>83297.4</v>
      </c>
      <c r="J2885" s="19" t="n">
        <f aca="false">IFERROR(VALUE(SUBSTITUTE(TRIM('수출입 실적(품목별)'!G2889),",","")),"")</f>
        <v>351096</v>
      </c>
      <c r="K2885" s="19" t="n">
        <f aca="false">IFERROR(VALUE(SUBSTITUTE(TRIM('수출입 실적(품목별)'!H2889),",","")),"")</f>
        <v>-246627</v>
      </c>
    </row>
    <row r="2886" customFormat="false" ht="15" hidden="false" customHeight="true" outlineLevel="0" collapsed="false">
      <c r="A2886" s="11" t="str">
        <f aca="false">TRIM('수출입 실적(품목별)'!A2890)</f>
        <v>2026.06</v>
      </c>
      <c r="B2886" s="17" t="n">
        <f aca="false">IFERROR(VALUE(LEFT($A2886,4)),"")</f>
        <v>2026</v>
      </c>
      <c r="C2886" s="17" t="n">
        <f aca="false">IFERROR(VALUE(RIGHT($A2886,2)),"")</f>
        <v>6</v>
      </c>
      <c r="D2886" s="17" t="n">
        <f aca="false">IFERROR(ROUNDUP($C2886/3,0),"")</f>
        <v>2</v>
      </c>
      <c r="E2886" s="11" t="str">
        <f aca="false">TRIM('수출입 실적(품목별)'!B2890)</f>
        <v>95</v>
      </c>
      <c r="F2886" s="11" t="str">
        <f aca="false">TRIM('수출입 실적(품목별)'!C2890)</f>
        <v>완구ㆍ게임용구ㆍ운동용구와 이들의 부분품과 부속품</v>
      </c>
      <c r="G2886" s="18" t="n">
        <f aca="false">IFERROR(VALUE(SUBSTITUTE(TRIM('수출입 실적(품목별)'!D2890),",","")),"")</f>
        <v>2742.2</v>
      </c>
      <c r="H2886" s="19" t="n">
        <f aca="false">IFERROR(VALUE(SUBSTITUTE(TRIM('수출입 실적(품목별)'!E2890),",","")),"")</f>
        <v>70166</v>
      </c>
      <c r="I2886" s="18" t="n">
        <f aca="false">IFERROR(VALUE(SUBSTITUTE(TRIM('수출입 실적(품목별)'!F2890),",","")),"")</f>
        <v>17431.7</v>
      </c>
      <c r="J2886" s="19" t="n">
        <f aca="false">IFERROR(VALUE(SUBSTITUTE(TRIM('수출입 실적(품목별)'!G2890),",","")),"")</f>
        <v>247621</v>
      </c>
      <c r="K2886" s="19" t="n">
        <f aca="false">IFERROR(VALUE(SUBSTITUTE(TRIM('수출입 실적(품목별)'!H2890),",","")),"")</f>
        <v>-177454</v>
      </c>
    </row>
    <row r="2887" customFormat="false" ht="15" hidden="false" customHeight="true" outlineLevel="0" collapsed="false">
      <c r="A2887" s="11" t="str">
        <f aca="false">TRIM('수출입 실적(품목별)'!A2891)</f>
        <v>2026.06</v>
      </c>
      <c r="B2887" s="17" t="n">
        <f aca="false">IFERROR(VALUE(LEFT($A2887,4)),"")</f>
        <v>2026</v>
      </c>
      <c r="C2887" s="17" t="n">
        <f aca="false">IFERROR(VALUE(RIGHT($A2887,2)),"")</f>
        <v>6</v>
      </c>
      <c r="D2887" s="17" t="n">
        <f aca="false">IFERROR(ROUNDUP($C2887/3,0),"")</f>
        <v>2</v>
      </c>
      <c r="E2887" s="11" t="str">
        <f aca="false">TRIM('수출입 실적(품목별)'!B2891)</f>
        <v>96</v>
      </c>
      <c r="F2887" s="11" t="str">
        <f aca="false">TRIM('수출입 실적(품목별)'!C2891)</f>
        <v>잡품</v>
      </c>
      <c r="G2887" s="18" t="n">
        <f aca="false">IFERROR(VALUE(SUBSTITUTE(TRIM('수출입 실적(품목별)'!D2891),",","")),"")</f>
        <v>2375.7</v>
      </c>
      <c r="H2887" s="19" t="n">
        <f aca="false">IFERROR(VALUE(SUBSTITUTE(TRIM('수출입 실적(품목별)'!E2891),",","")),"")</f>
        <v>42189</v>
      </c>
      <c r="I2887" s="18" t="n">
        <f aca="false">IFERROR(VALUE(SUBSTITUTE(TRIM('수출입 실적(품목별)'!F2891),",","")),"")</f>
        <v>12518.5</v>
      </c>
      <c r="J2887" s="19" t="n">
        <f aca="false">IFERROR(VALUE(SUBSTITUTE(TRIM('수출입 실적(품목별)'!G2891),",","")),"")</f>
        <v>105123</v>
      </c>
      <c r="K2887" s="19" t="n">
        <f aca="false">IFERROR(VALUE(SUBSTITUTE(TRIM('수출입 실적(품목별)'!H2891),",","")),"")</f>
        <v>-62934</v>
      </c>
    </row>
    <row r="2888" customFormat="false" ht="15" hidden="false" customHeight="true" outlineLevel="0" collapsed="false">
      <c r="A2888" s="11" t="str">
        <f aca="false">TRIM('수출입 실적(품목별)'!A2892)</f>
        <v>2026.06</v>
      </c>
      <c r="B2888" s="17" t="n">
        <f aca="false">IFERROR(VALUE(LEFT($A2888,4)),"")</f>
        <v>2026</v>
      </c>
      <c r="C2888" s="17" t="n">
        <f aca="false">IFERROR(VALUE(RIGHT($A2888,2)),"")</f>
        <v>6</v>
      </c>
      <c r="D2888" s="17" t="n">
        <f aca="false">IFERROR(ROUNDUP($C2888/3,0),"")</f>
        <v>2</v>
      </c>
      <c r="E2888" s="11" t="str">
        <f aca="false">TRIM('수출입 실적(품목별)'!B2892)</f>
        <v>97</v>
      </c>
      <c r="F2888" s="11" t="str">
        <f aca="false">TRIM('수출입 실적(품목별)'!C2892)</f>
        <v>예술품ㆍ수집품ㆍ골동품</v>
      </c>
      <c r="G2888" s="18" t="n">
        <f aca="false">IFERROR(VALUE(SUBSTITUTE(TRIM('수출입 실적(품목별)'!D2892),",","")),"")</f>
        <v>8.8</v>
      </c>
      <c r="H2888" s="19" t="n">
        <f aca="false">IFERROR(VALUE(SUBSTITUTE(TRIM('수출입 실적(품목별)'!E2892),",","")),"")</f>
        <v>11400</v>
      </c>
      <c r="I2888" s="18" t="n">
        <f aca="false">IFERROR(VALUE(SUBSTITUTE(TRIM('수출입 실적(품목별)'!F2892),",","")),"")</f>
        <v>53.4</v>
      </c>
      <c r="J2888" s="19" t="n">
        <f aca="false">IFERROR(VALUE(SUBSTITUTE(TRIM('수출입 실적(품목별)'!G2892),",","")),"")</f>
        <v>29719</v>
      </c>
      <c r="K2888" s="19" t="n">
        <f aca="false">IFERROR(VALUE(SUBSTITUTE(TRIM('수출입 실적(품목별)'!H2892),",","")),"")</f>
        <v>-18319</v>
      </c>
    </row>
    <row r="2889" customFormat="false" ht="15" hidden="false" customHeight="true" outlineLevel="0" collapsed="false">
      <c r="A2889" s="11" t="str">
        <f aca="false">TRIM('수출입 실적(품목별)'!A2893)</f>
        <v>2026.07</v>
      </c>
      <c r="B2889" s="17" t="n">
        <f aca="false">IFERROR(VALUE(LEFT($A2889,4)),"")</f>
        <v>2026</v>
      </c>
      <c r="C2889" s="17" t="n">
        <f aca="false">IFERROR(VALUE(RIGHT($A2889,2)),"")</f>
        <v>7</v>
      </c>
      <c r="D2889" s="17" t="n">
        <f aca="false">IFERROR(ROUNDUP($C2889/3,0),"")</f>
        <v>3</v>
      </c>
      <c r="E2889" s="11" t="str">
        <f aca="false">TRIM('수출입 실적(품목별)'!B2893)</f>
        <v>01</v>
      </c>
      <c r="F2889" s="11" t="str">
        <f aca="false">TRIM('수출입 실적(품목별)'!C2893)</f>
        <v>살아 있는 동물</v>
      </c>
      <c r="G2889" s="18" t="n">
        <f aca="false">IFERROR(VALUE(SUBSTITUTE(TRIM('수출입 실적(품목별)'!D2893),",","")),"")</f>
        <v>2.6</v>
      </c>
      <c r="H2889" s="19" t="n">
        <f aca="false">IFERROR(VALUE(SUBSTITUTE(TRIM('수출입 실적(품목별)'!E2893),",","")),"")</f>
        <v>450</v>
      </c>
      <c r="I2889" s="18" t="n">
        <f aca="false">IFERROR(VALUE(SUBSTITUTE(TRIM('수출입 실적(품목별)'!F2893),",","")),"")</f>
        <v>81.5</v>
      </c>
      <c r="J2889" s="19" t="n">
        <f aca="false">IFERROR(VALUE(SUBSTITUTE(TRIM('수출입 실적(품목별)'!G2893),",","")),"")</f>
        <v>10824</v>
      </c>
      <c r="K2889" s="19" t="n">
        <f aca="false">IFERROR(VALUE(SUBSTITUTE(TRIM('수출입 실적(품목별)'!H2893),",","")),"")</f>
        <v>-10374</v>
      </c>
    </row>
    <row r="2890" customFormat="false" ht="15" hidden="false" customHeight="true" outlineLevel="0" collapsed="false">
      <c r="A2890" s="11" t="str">
        <f aca="false">TRIM('수출입 실적(품목별)'!A2894)</f>
        <v>2026.07</v>
      </c>
      <c r="B2890" s="17" t="n">
        <f aca="false">IFERROR(VALUE(LEFT($A2890,4)),"")</f>
        <v>2026</v>
      </c>
      <c r="C2890" s="17" t="n">
        <f aca="false">IFERROR(VALUE(RIGHT($A2890,2)),"")</f>
        <v>7</v>
      </c>
      <c r="D2890" s="17" t="n">
        <f aca="false">IFERROR(ROUNDUP($C2890/3,0),"")</f>
        <v>3</v>
      </c>
      <c r="E2890" s="11" t="str">
        <f aca="false">TRIM('수출입 실적(품목별)'!B2894)</f>
        <v>02</v>
      </c>
      <c r="F2890" s="11" t="str">
        <f aca="false">TRIM('수출입 실적(품목별)'!C2894)</f>
        <v>육과 식용 설육(屑肉)</v>
      </c>
      <c r="G2890" s="18" t="n">
        <f aca="false">IFERROR(VALUE(SUBSTITUTE(TRIM('수출입 실적(품목별)'!D2894),",","")),"")</f>
        <v>4527.2</v>
      </c>
      <c r="H2890" s="19" t="n">
        <f aca="false">IFERROR(VALUE(SUBSTITUTE(TRIM('수출입 실적(품목별)'!E2894),",","")),"")</f>
        <v>6320</v>
      </c>
      <c r="I2890" s="18" t="n">
        <f aca="false">IFERROR(VALUE(SUBSTITUTE(TRIM('수출입 실적(품목별)'!F2894),",","")),"")</f>
        <v>134752.8</v>
      </c>
      <c r="J2890" s="19" t="n">
        <f aca="false">IFERROR(VALUE(SUBSTITUTE(TRIM('수출입 실적(품목별)'!G2894),",","")),"")</f>
        <v>708349</v>
      </c>
      <c r="K2890" s="19" t="n">
        <f aca="false">IFERROR(VALUE(SUBSTITUTE(TRIM('수출입 실적(품목별)'!H2894),",","")),"")</f>
        <v>-702030</v>
      </c>
    </row>
    <row r="2891" customFormat="false" ht="15" hidden="false" customHeight="true" outlineLevel="0" collapsed="false">
      <c r="A2891" s="11" t="str">
        <f aca="false">TRIM('수출입 실적(품목별)'!A2895)</f>
        <v>2026.07</v>
      </c>
      <c r="B2891" s="17" t="n">
        <f aca="false">IFERROR(VALUE(LEFT($A2891,4)),"")</f>
        <v>2026</v>
      </c>
      <c r="C2891" s="17" t="n">
        <f aca="false">IFERROR(VALUE(RIGHT($A2891,2)),"")</f>
        <v>7</v>
      </c>
      <c r="D2891" s="17" t="n">
        <f aca="false">IFERROR(ROUNDUP($C2891/3,0),"")</f>
        <v>3</v>
      </c>
      <c r="E2891" s="11" t="str">
        <f aca="false">TRIM('수출입 실적(품목별)'!B2895)</f>
        <v>03</v>
      </c>
      <c r="F2891" s="11" t="str">
        <f aca="false">TRIM('수출입 실적(품목별)'!C2895)</f>
        <v>어류ㆍ갑각류ㆍ연체동물과 그 밖의 수생(水生) 무척추동물</v>
      </c>
      <c r="G2891" s="18" t="n">
        <f aca="false">IFERROR(VALUE(SUBSTITUTE(TRIM('수출입 실적(품목별)'!D2895),",","")),"")</f>
        <v>51494.3</v>
      </c>
      <c r="H2891" s="19" t="n">
        <f aca="false">IFERROR(VALUE(SUBSTITUTE(TRIM('수출입 실적(품목별)'!E2895),",","")),"")</f>
        <v>178620</v>
      </c>
      <c r="I2891" s="18" t="n">
        <f aca="false">IFERROR(VALUE(SUBSTITUTE(TRIM('수출입 실적(품목별)'!F2895),",","")),"")</f>
        <v>82618.1</v>
      </c>
      <c r="J2891" s="19" t="n">
        <f aca="false">IFERROR(VALUE(SUBSTITUTE(TRIM('수출입 실적(품목별)'!G2895),",","")),"")</f>
        <v>390267</v>
      </c>
      <c r="K2891" s="19" t="n">
        <f aca="false">IFERROR(VALUE(SUBSTITUTE(TRIM('수출입 실적(품목별)'!H2895),",","")),"")</f>
        <v>-211648</v>
      </c>
    </row>
    <row r="2892" customFormat="false" ht="15" hidden="false" customHeight="true" outlineLevel="0" collapsed="false">
      <c r="A2892" s="11" t="str">
        <f aca="false">TRIM('수출입 실적(품목별)'!A2896)</f>
        <v>2026.07</v>
      </c>
      <c r="B2892" s="17" t="n">
        <f aca="false">IFERROR(VALUE(LEFT($A2892,4)),"")</f>
        <v>2026</v>
      </c>
      <c r="C2892" s="17" t="n">
        <f aca="false">IFERROR(VALUE(RIGHT($A2892,2)),"")</f>
        <v>7</v>
      </c>
      <c r="D2892" s="17" t="n">
        <f aca="false">IFERROR(ROUNDUP($C2892/3,0),"")</f>
        <v>3</v>
      </c>
      <c r="E2892" s="11" t="str">
        <f aca="false">TRIM('수출입 실적(품목별)'!B2896)</f>
        <v>04</v>
      </c>
      <c r="F2892" s="11" t="str">
        <f aca="false">TRIM('수출입 실적(품목별)'!C2896)</f>
        <v>낙농품, 새의 알, 천연꿀, 다른 류로 분류되지 않은 식용인 동물성 생산품</v>
      </c>
      <c r="G2892" s="18" t="n">
        <f aca="false">IFERROR(VALUE(SUBSTITUTE(TRIM('수출입 실적(품목별)'!D2896),",","")),"")</f>
        <v>2744.1</v>
      </c>
      <c r="H2892" s="19" t="n">
        <f aca="false">IFERROR(VALUE(SUBSTITUTE(TRIM('수출입 실적(품목별)'!E2896),",","")),"")</f>
        <v>7164</v>
      </c>
      <c r="I2892" s="18" t="n">
        <f aca="false">IFERROR(VALUE(SUBSTITUTE(TRIM('수출입 실적(품목별)'!F2896),",","")),"")</f>
        <v>41515.1</v>
      </c>
      <c r="J2892" s="19" t="n">
        <f aca="false">IFERROR(VALUE(SUBSTITUTE(TRIM('수출입 실적(품목별)'!G2896),",","")),"")</f>
        <v>170842</v>
      </c>
      <c r="K2892" s="19" t="n">
        <f aca="false">IFERROR(VALUE(SUBSTITUTE(TRIM('수출입 실적(품목별)'!H2896),",","")),"")</f>
        <v>-163678</v>
      </c>
    </row>
    <row r="2893" customFormat="false" ht="15" hidden="false" customHeight="true" outlineLevel="0" collapsed="false">
      <c r="A2893" s="11" t="str">
        <f aca="false">TRIM('수출입 실적(품목별)'!A2897)</f>
        <v>2026.07</v>
      </c>
      <c r="B2893" s="17" t="n">
        <f aca="false">IFERROR(VALUE(LEFT($A2893,4)),"")</f>
        <v>2026</v>
      </c>
      <c r="C2893" s="17" t="n">
        <f aca="false">IFERROR(VALUE(RIGHT($A2893,2)),"")</f>
        <v>7</v>
      </c>
      <c r="D2893" s="17" t="n">
        <f aca="false">IFERROR(ROUNDUP($C2893/3,0),"")</f>
        <v>3</v>
      </c>
      <c r="E2893" s="11" t="str">
        <f aca="false">TRIM('수출입 실적(품목별)'!B2897)</f>
        <v>05</v>
      </c>
      <c r="F2893" s="11" t="str">
        <f aca="false">TRIM('수출입 실적(품목별)'!C2897)</f>
        <v>다른 류로 분류되지 않은 동물성 생산품</v>
      </c>
      <c r="G2893" s="18" t="n">
        <f aca="false">IFERROR(VALUE(SUBSTITUTE(TRIM('수출입 실적(품목별)'!D2897),",","")),"")</f>
        <v>3796.3</v>
      </c>
      <c r="H2893" s="19" t="n">
        <f aca="false">IFERROR(VALUE(SUBSTITUTE(TRIM('수출입 실적(품목별)'!E2897),",","")),"")</f>
        <v>10442</v>
      </c>
      <c r="I2893" s="18" t="n">
        <f aca="false">IFERROR(VALUE(SUBSTITUTE(TRIM('수출입 실적(품목별)'!F2897),",","")),"")</f>
        <v>4148.3</v>
      </c>
      <c r="J2893" s="19" t="n">
        <f aca="false">IFERROR(VALUE(SUBSTITUTE(TRIM('수출입 실적(품목별)'!G2897),",","")),"")</f>
        <v>17211</v>
      </c>
      <c r="K2893" s="19" t="n">
        <f aca="false">IFERROR(VALUE(SUBSTITUTE(TRIM('수출입 실적(품목별)'!H2897),",","")),"")</f>
        <v>-6769</v>
      </c>
    </row>
    <row r="2894" customFormat="false" ht="15" hidden="false" customHeight="true" outlineLevel="0" collapsed="false">
      <c r="A2894" s="11" t="str">
        <f aca="false">TRIM('수출입 실적(품목별)'!A2898)</f>
        <v>2026.07</v>
      </c>
      <c r="B2894" s="17" t="n">
        <f aca="false">IFERROR(VALUE(LEFT($A2894,4)),"")</f>
        <v>2026</v>
      </c>
      <c r="C2894" s="17" t="n">
        <f aca="false">IFERROR(VALUE(RIGHT($A2894,2)),"")</f>
        <v>7</v>
      </c>
      <c r="D2894" s="17" t="n">
        <f aca="false">IFERROR(ROUNDUP($C2894/3,0),"")</f>
        <v>3</v>
      </c>
      <c r="E2894" s="11" t="str">
        <f aca="false">TRIM('수출입 실적(품목별)'!B2898)</f>
        <v>06</v>
      </c>
      <c r="F2894" s="11" t="str">
        <f aca="false">TRIM('수출입 실적(품목별)'!C2898)</f>
        <v>살아 있는 수목과 그 밖의 식물, 인경(鱗莖)ㆍ뿌리와 이와 유사한 물품, 절화(切花)와 장식용 잎</v>
      </c>
      <c r="G2894" s="18" t="n">
        <f aca="false">IFERROR(VALUE(SUBSTITUTE(TRIM('수출입 실적(품목별)'!D2898),",","")),"")</f>
        <v>46.1</v>
      </c>
      <c r="H2894" s="19" t="n">
        <f aca="false">IFERROR(VALUE(SUBSTITUTE(TRIM('수출입 실적(품목별)'!E2898),",","")),"")</f>
        <v>181</v>
      </c>
      <c r="I2894" s="18" t="n">
        <f aca="false">IFERROR(VALUE(SUBSTITUTE(TRIM('수출입 실적(품목별)'!F2898),",","")),"")</f>
        <v>5213.6</v>
      </c>
      <c r="J2894" s="19" t="n">
        <f aca="false">IFERROR(VALUE(SUBSTITUTE(TRIM('수출입 실적(품목별)'!G2898),",","")),"")</f>
        <v>9065</v>
      </c>
      <c r="K2894" s="19" t="n">
        <f aca="false">IFERROR(VALUE(SUBSTITUTE(TRIM('수출입 실적(품목별)'!H2898),",","")),"")</f>
        <v>-8884</v>
      </c>
    </row>
    <row r="2895" customFormat="false" ht="15" hidden="false" customHeight="true" outlineLevel="0" collapsed="false">
      <c r="A2895" s="11" t="str">
        <f aca="false">TRIM('수출입 실적(품목별)'!A2899)</f>
        <v>2026.07</v>
      </c>
      <c r="B2895" s="17" t="n">
        <f aca="false">IFERROR(VALUE(LEFT($A2895,4)),"")</f>
        <v>2026</v>
      </c>
      <c r="C2895" s="17" t="n">
        <f aca="false">IFERROR(VALUE(RIGHT($A2895,2)),"")</f>
        <v>7</v>
      </c>
      <c r="D2895" s="17" t="n">
        <f aca="false">IFERROR(ROUNDUP($C2895/3,0),"")</f>
        <v>3</v>
      </c>
      <c r="E2895" s="11" t="str">
        <f aca="false">TRIM('수출입 실적(품목별)'!B2899)</f>
        <v>07</v>
      </c>
      <c r="F2895" s="11" t="str">
        <f aca="false">TRIM('수출입 실적(품목별)'!C2899)</f>
        <v>식용의 채소ㆍ뿌리ㆍ괴경(塊莖)</v>
      </c>
      <c r="G2895" s="18" t="n">
        <f aca="false">IFERROR(VALUE(SUBSTITUTE(TRIM('수출입 실적(품목별)'!D2899),",","")),"")</f>
        <v>7518.5</v>
      </c>
      <c r="H2895" s="19" t="n">
        <f aca="false">IFERROR(VALUE(SUBSTITUTE(TRIM('수출입 실적(품목별)'!E2899),",","")),"")</f>
        <v>10777</v>
      </c>
      <c r="I2895" s="18" t="n">
        <f aca="false">IFERROR(VALUE(SUBSTITUTE(TRIM('수출입 실적(품목별)'!F2899),",","")),"")</f>
        <v>60918.4</v>
      </c>
      <c r="J2895" s="19" t="n">
        <f aca="false">IFERROR(VALUE(SUBSTITUTE(TRIM('수출입 실적(품목별)'!G2899),",","")),"")</f>
        <v>48073</v>
      </c>
      <c r="K2895" s="19" t="n">
        <f aca="false">IFERROR(VALUE(SUBSTITUTE(TRIM('수출입 실적(품목별)'!H2899),",","")),"")</f>
        <v>-37297</v>
      </c>
    </row>
    <row r="2896" customFormat="false" ht="15" hidden="false" customHeight="true" outlineLevel="0" collapsed="false">
      <c r="A2896" s="11" t="str">
        <f aca="false">TRIM('수출입 실적(품목별)'!A2900)</f>
        <v>2026.07</v>
      </c>
      <c r="B2896" s="17" t="n">
        <f aca="false">IFERROR(VALUE(LEFT($A2896,4)),"")</f>
        <v>2026</v>
      </c>
      <c r="C2896" s="17" t="n">
        <f aca="false">IFERROR(VALUE(RIGHT($A2896,2)),"")</f>
        <v>7</v>
      </c>
      <c r="D2896" s="17" t="n">
        <f aca="false">IFERROR(ROUNDUP($C2896/3,0),"")</f>
        <v>3</v>
      </c>
      <c r="E2896" s="11" t="str">
        <f aca="false">TRIM('수출입 실적(품목별)'!B2900)</f>
        <v>08</v>
      </c>
      <c r="F2896" s="11" t="str">
        <f aca="false">TRIM('수출입 실적(품목별)'!C2900)</f>
        <v>식용의 과실과 견과류, 감귤류ㆍ멜론의 껍질</v>
      </c>
      <c r="G2896" s="18" t="n">
        <f aca="false">IFERROR(VALUE(SUBSTITUTE(TRIM('수출입 실적(품목별)'!D2900),",","")),"")</f>
        <v>763.6</v>
      </c>
      <c r="H2896" s="19" t="n">
        <f aca="false">IFERROR(VALUE(SUBSTITUTE(TRIM('수출입 실적(품목별)'!E2900),",","")),"")</f>
        <v>8301</v>
      </c>
      <c r="I2896" s="18" t="n">
        <f aca="false">IFERROR(VALUE(SUBSTITUTE(TRIM('수출입 실적(품목별)'!F2900),",","")),"")</f>
        <v>67147.3</v>
      </c>
      <c r="J2896" s="19" t="n">
        <f aca="false">IFERROR(VALUE(SUBSTITUTE(TRIM('수출입 실적(품목별)'!G2900),",","")),"")</f>
        <v>163377</v>
      </c>
      <c r="K2896" s="19" t="n">
        <f aca="false">IFERROR(VALUE(SUBSTITUTE(TRIM('수출입 실적(품목별)'!H2900),",","")),"")</f>
        <v>-155075</v>
      </c>
    </row>
    <row r="2897" customFormat="false" ht="15" hidden="false" customHeight="true" outlineLevel="0" collapsed="false">
      <c r="A2897" s="11" t="str">
        <f aca="false">TRIM('수출입 실적(품목별)'!A2901)</f>
        <v>2026.07</v>
      </c>
      <c r="B2897" s="17" t="n">
        <f aca="false">IFERROR(VALUE(LEFT($A2897,4)),"")</f>
        <v>2026</v>
      </c>
      <c r="C2897" s="17" t="n">
        <f aca="false">IFERROR(VALUE(RIGHT($A2897,2)),"")</f>
        <v>7</v>
      </c>
      <c r="D2897" s="17" t="n">
        <f aca="false">IFERROR(ROUNDUP($C2897/3,0),"")</f>
        <v>3</v>
      </c>
      <c r="E2897" s="11" t="str">
        <f aca="false">TRIM('수출입 실적(품목별)'!B2901)</f>
        <v>09</v>
      </c>
      <c r="F2897" s="11" t="str">
        <f aca="false">TRIM('수출입 실적(품목별)'!C2901)</f>
        <v>커피ㆍ차ㆍ마테(maté)ㆍ향신료</v>
      </c>
      <c r="G2897" s="18" t="n">
        <f aca="false">IFERROR(VALUE(SUBSTITUTE(TRIM('수출입 실적(품목별)'!D2901),",","")),"")</f>
        <v>462.4</v>
      </c>
      <c r="H2897" s="19" t="n">
        <f aca="false">IFERROR(VALUE(SUBSTITUTE(TRIM('수출입 실적(품목별)'!E2901),",","")),"")</f>
        <v>4266</v>
      </c>
      <c r="I2897" s="18" t="n">
        <f aca="false">IFERROR(VALUE(SUBSTITUTE(TRIM('수출입 실적(품목별)'!F2901),",","")),"")</f>
        <v>16779.8</v>
      </c>
      <c r="J2897" s="19" t="n">
        <f aca="false">IFERROR(VALUE(SUBSTITUTE(TRIM('수출입 실적(품목별)'!G2901),",","")),"")</f>
        <v>141539</v>
      </c>
      <c r="K2897" s="19" t="n">
        <f aca="false">IFERROR(VALUE(SUBSTITUTE(TRIM('수출입 실적(품목별)'!H2901),",","")),"")</f>
        <v>-137273</v>
      </c>
    </row>
    <row r="2898" customFormat="false" ht="15" hidden="false" customHeight="true" outlineLevel="0" collapsed="false">
      <c r="A2898" s="11" t="str">
        <f aca="false">TRIM('수출입 실적(품목별)'!A2902)</f>
        <v>2026.07</v>
      </c>
      <c r="B2898" s="17" t="n">
        <f aca="false">IFERROR(VALUE(LEFT($A2898,4)),"")</f>
        <v>2026</v>
      </c>
      <c r="C2898" s="17" t="n">
        <f aca="false">IFERROR(VALUE(RIGHT($A2898,2)),"")</f>
        <v>7</v>
      </c>
      <c r="D2898" s="17" t="n">
        <f aca="false">IFERROR(ROUNDUP($C2898/3,0),"")</f>
        <v>3</v>
      </c>
      <c r="E2898" s="11" t="str">
        <f aca="false">TRIM('수출입 실적(품목별)'!B2902)</f>
        <v>10</v>
      </c>
      <c r="F2898" s="11" t="str">
        <f aca="false">TRIM('수출입 실적(품목별)'!C2902)</f>
        <v>곡물</v>
      </c>
      <c r="G2898" s="18" t="n">
        <f aca="false">IFERROR(VALUE(SUBSTITUTE(TRIM('수출입 실적(품목별)'!D2902),",","")),"")</f>
        <v>497.2</v>
      </c>
      <c r="H2898" s="19" t="n">
        <f aca="false">IFERROR(VALUE(SUBSTITUTE(TRIM('수출입 실적(품목별)'!E2902),",","")),"")</f>
        <v>871</v>
      </c>
      <c r="I2898" s="18" t="n">
        <f aca="false">IFERROR(VALUE(SUBSTITUTE(TRIM('수출입 실적(품목별)'!F2902),",","")),"")</f>
        <v>1590231.8</v>
      </c>
      <c r="J2898" s="19" t="n">
        <f aca="false">IFERROR(VALUE(SUBSTITUTE(TRIM('수출입 실적(품목별)'!G2902),",","")),"")</f>
        <v>444446</v>
      </c>
      <c r="K2898" s="19" t="n">
        <f aca="false">IFERROR(VALUE(SUBSTITUTE(TRIM('수출입 실적(품목별)'!H2902),",","")),"")</f>
        <v>-443575</v>
      </c>
    </row>
    <row r="2899" customFormat="false" ht="15" hidden="false" customHeight="true" outlineLevel="0" collapsed="false">
      <c r="A2899" s="11" t="str">
        <f aca="false">TRIM('수출입 실적(품목별)'!A2903)</f>
        <v>2026.07</v>
      </c>
      <c r="B2899" s="17" t="n">
        <f aca="false">IFERROR(VALUE(LEFT($A2899,4)),"")</f>
        <v>2026</v>
      </c>
      <c r="C2899" s="17" t="n">
        <f aca="false">IFERROR(VALUE(RIGHT($A2899,2)),"")</f>
        <v>7</v>
      </c>
      <c r="D2899" s="17" t="n">
        <f aca="false">IFERROR(ROUNDUP($C2899/3,0),"")</f>
        <v>3</v>
      </c>
      <c r="E2899" s="11" t="str">
        <f aca="false">TRIM('수출입 실적(품목별)'!B2903)</f>
        <v>11</v>
      </c>
      <c r="F2899" s="11" t="str">
        <f aca="false">TRIM('수출입 실적(품목별)'!C2903)</f>
        <v>제분공업의 생산품과 맥아, 전분, 이눌린(inulin), 밀의 글루텐(gluten)</v>
      </c>
      <c r="G2899" s="18" t="n">
        <f aca="false">IFERROR(VALUE(SUBSTITUTE(TRIM('수출입 실적(품목별)'!D2903),",","")),"")</f>
        <v>4843</v>
      </c>
      <c r="H2899" s="19" t="n">
        <f aca="false">IFERROR(VALUE(SUBSTITUTE(TRIM('수출입 실적(품목별)'!E2903),",","")),"")</f>
        <v>3393</v>
      </c>
      <c r="I2899" s="18" t="n">
        <f aca="false">IFERROR(VALUE(SUBSTITUTE(TRIM('수출입 실적(품목별)'!F2903),",","")),"")</f>
        <v>34880.5</v>
      </c>
      <c r="J2899" s="19" t="n">
        <f aca="false">IFERROR(VALUE(SUBSTITUTE(TRIM('수출입 실적(품목별)'!G2903),",","")),"")</f>
        <v>27757</v>
      </c>
      <c r="K2899" s="19" t="n">
        <f aca="false">IFERROR(VALUE(SUBSTITUTE(TRIM('수출입 실적(품목별)'!H2903),",","")),"")</f>
        <v>-24364</v>
      </c>
    </row>
    <row r="2900" customFormat="false" ht="15" hidden="false" customHeight="true" outlineLevel="0" collapsed="false">
      <c r="A2900" s="11" t="str">
        <f aca="false">TRIM('수출입 실적(품목별)'!A2904)</f>
        <v>2026.07</v>
      </c>
      <c r="B2900" s="17" t="n">
        <f aca="false">IFERROR(VALUE(LEFT($A2900,4)),"")</f>
        <v>2026</v>
      </c>
      <c r="C2900" s="17" t="n">
        <f aca="false">IFERROR(VALUE(RIGHT($A2900,2)),"")</f>
        <v>7</v>
      </c>
      <c r="D2900" s="17" t="n">
        <f aca="false">IFERROR(ROUNDUP($C2900/3,0),"")</f>
        <v>3</v>
      </c>
      <c r="E2900" s="11" t="str">
        <f aca="false">TRIM('수출입 실적(품목별)'!B2904)</f>
        <v>12</v>
      </c>
      <c r="F2900" s="11" t="str">
        <f aca="false">TRIM('수출입 실적(품목별)'!C2904)</f>
        <v>채유(採油)에 적합한 종자와 과실, 각종 종자와 과실, 공업용ㆍ의약용 식물, 짚과 사료용 식물</v>
      </c>
      <c r="G2900" s="18" t="n">
        <f aca="false">IFERROR(VALUE(SUBSTITUTE(TRIM('수출입 실적(품목별)'!D2904),",","")),"")</f>
        <v>1936.3</v>
      </c>
      <c r="H2900" s="19" t="n">
        <f aca="false">IFERROR(VALUE(SUBSTITUTE(TRIM('수출입 실적(품목별)'!E2904),",","")),"")</f>
        <v>48580</v>
      </c>
      <c r="I2900" s="18" t="n">
        <f aca="false">IFERROR(VALUE(SUBSTITUTE(TRIM('수출입 실적(품목별)'!F2904),",","")),"")</f>
        <v>244242.6</v>
      </c>
      <c r="J2900" s="19" t="n">
        <f aca="false">IFERROR(VALUE(SUBSTITUTE(TRIM('수출입 실적(품목별)'!G2904),",","")),"")</f>
        <v>127060</v>
      </c>
      <c r="K2900" s="19" t="n">
        <f aca="false">IFERROR(VALUE(SUBSTITUTE(TRIM('수출입 실적(품목별)'!H2904),",","")),"")</f>
        <v>-78480</v>
      </c>
    </row>
    <row r="2901" customFormat="false" ht="15" hidden="false" customHeight="true" outlineLevel="0" collapsed="false">
      <c r="A2901" s="11" t="str">
        <f aca="false">TRIM('수출입 실적(품목별)'!A2905)</f>
        <v>2026.07</v>
      </c>
      <c r="B2901" s="17" t="n">
        <f aca="false">IFERROR(VALUE(LEFT($A2901,4)),"")</f>
        <v>2026</v>
      </c>
      <c r="C2901" s="17" t="n">
        <f aca="false">IFERROR(VALUE(RIGHT($A2901,2)),"")</f>
        <v>7</v>
      </c>
      <c r="D2901" s="17" t="n">
        <f aca="false">IFERROR(ROUNDUP($C2901/3,0),"")</f>
        <v>3</v>
      </c>
      <c r="E2901" s="11" t="str">
        <f aca="false">TRIM('수출입 실적(품목별)'!B2905)</f>
        <v>13</v>
      </c>
      <c r="F2901" s="11" t="str">
        <f aca="false">TRIM('수출입 실적(품목별)'!C2905)</f>
        <v>락(lac), 검ㆍ수지ㆍ그 밖의 식물성 수액과 추출물(extract)</v>
      </c>
      <c r="G2901" s="18" t="n">
        <f aca="false">IFERROR(VALUE(SUBSTITUTE(TRIM('수출입 실적(품목별)'!D2905),",","")),"")</f>
        <v>346.3</v>
      </c>
      <c r="H2901" s="19" t="n">
        <f aca="false">IFERROR(VALUE(SUBSTITUTE(TRIM('수출입 실적(품목별)'!E2905),",","")),"")</f>
        <v>6421</v>
      </c>
      <c r="I2901" s="18" t="n">
        <f aca="false">IFERROR(VALUE(SUBSTITUTE(TRIM('수출입 실적(품목별)'!F2905),",","")),"")</f>
        <v>10626.7</v>
      </c>
      <c r="J2901" s="19" t="n">
        <f aca="false">IFERROR(VALUE(SUBSTITUTE(TRIM('수출입 실적(품목별)'!G2905),",","")),"")</f>
        <v>32996</v>
      </c>
      <c r="K2901" s="19" t="n">
        <f aca="false">IFERROR(VALUE(SUBSTITUTE(TRIM('수출입 실적(품목별)'!H2905),",","")),"")</f>
        <v>-26575</v>
      </c>
    </row>
    <row r="2902" customFormat="false" ht="15" hidden="false" customHeight="true" outlineLevel="0" collapsed="false">
      <c r="A2902" s="11" t="str">
        <f aca="false">TRIM('수출입 실적(품목별)'!A2906)</f>
        <v>2026.07</v>
      </c>
      <c r="B2902" s="17" t="n">
        <f aca="false">IFERROR(VALUE(LEFT($A2902,4)),"")</f>
        <v>2026</v>
      </c>
      <c r="C2902" s="17" t="n">
        <f aca="false">IFERROR(VALUE(RIGHT($A2902,2)),"")</f>
        <v>7</v>
      </c>
      <c r="D2902" s="17" t="n">
        <f aca="false">IFERROR(ROUNDUP($C2902/3,0),"")</f>
        <v>3</v>
      </c>
      <c r="E2902" s="11" t="str">
        <f aca="false">TRIM('수출입 실적(품목별)'!B2906)</f>
        <v>14</v>
      </c>
      <c r="F2902" s="11" t="str">
        <f aca="false">TRIM('수출입 실적(품목별)'!C2906)</f>
        <v>식물성 편조물(編組物)용 재료와 다른 류로 분류되지 않은 식물성 생산품</v>
      </c>
      <c r="G2902" s="18" t="n">
        <f aca="false">IFERROR(VALUE(SUBSTITUTE(TRIM('수출입 실적(품목별)'!D2906),",","")),"")</f>
        <v>14</v>
      </c>
      <c r="H2902" s="19" t="n">
        <f aca="false">IFERROR(VALUE(SUBSTITUTE(TRIM('수출입 실적(품목별)'!E2906),",","")),"")</f>
        <v>44</v>
      </c>
      <c r="I2902" s="18" t="n">
        <f aca="false">IFERROR(VALUE(SUBSTITUTE(TRIM('수출입 실적(품목별)'!F2906),",","")),"")</f>
        <v>59234.9</v>
      </c>
      <c r="J2902" s="19" t="n">
        <f aca="false">IFERROR(VALUE(SUBSTITUTE(TRIM('수출입 실적(품목별)'!G2906),",","")),"")</f>
        <v>12105</v>
      </c>
      <c r="K2902" s="19" t="n">
        <f aca="false">IFERROR(VALUE(SUBSTITUTE(TRIM('수출입 실적(품목별)'!H2906),",","")),"")</f>
        <v>-12061</v>
      </c>
    </row>
    <row r="2903" customFormat="false" ht="15" hidden="false" customHeight="true" outlineLevel="0" collapsed="false">
      <c r="A2903" s="11" t="str">
        <f aca="false">TRIM('수출입 실적(품목별)'!A2907)</f>
        <v>2026.07</v>
      </c>
      <c r="B2903" s="17" t="n">
        <f aca="false">IFERROR(VALUE(LEFT($A2903,4)),"")</f>
        <v>2026</v>
      </c>
      <c r="C2903" s="17" t="n">
        <f aca="false">IFERROR(VALUE(RIGHT($A2903,2)),"")</f>
        <v>7</v>
      </c>
      <c r="D2903" s="17" t="n">
        <f aca="false">IFERROR(ROUNDUP($C2903/3,0),"")</f>
        <v>3</v>
      </c>
      <c r="E2903" s="11" t="str">
        <f aca="false">TRIM('수출입 실적(품목별)'!B2907)</f>
        <v>15</v>
      </c>
      <c r="F2903" s="11" t="str">
        <f aca="false">TRIM('수출입 실적(품목별)'!C2907)</f>
        <v>동물성ㆍ식물성ㆍ미생물성 지방과 기름 및이들의 분해생산물, 조제한 식용 지방과 동물성ㆍ식물성 왁스</v>
      </c>
      <c r="G2903" s="18" t="n">
        <f aca="false">IFERROR(VALUE(SUBSTITUTE(TRIM('수출입 실적(품목별)'!D2907),",","")),"")</f>
        <v>20186</v>
      </c>
      <c r="H2903" s="19" t="n">
        <f aca="false">IFERROR(VALUE(SUBSTITUTE(TRIM('수출입 실적(품목별)'!E2907),",","")),"")</f>
        <v>25316</v>
      </c>
      <c r="I2903" s="18" t="n">
        <f aca="false">IFERROR(VALUE(SUBSTITUTE(TRIM('수출입 실적(품목별)'!F2907),",","")),"")</f>
        <v>214971</v>
      </c>
      <c r="J2903" s="19" t="n">
        <f aca="false">IFERROR(VALUE(SUBSTITUTE(TRIM('수출입 실적(품목별)'!G2907),",","")),"")</f>
        <v>316844</v>
      </c>
      <c r="K2903" s="19" t="n">
        <f aca="false">IFERROR(VALUE(SUBSTITUTE(TRIM('수출입 실적(품목별)'!H2907),",","")),"")</f>
        <v>-291529</v>
      </c>
    </row>
    <row r="2904" customFormat="false" ht="15" hidden="false" customHeight="true" outlineLevel="0" collapsed="false">
      <c r="A2904" s="11" t="str">
        <f aca="false">TRIM('수출입 실적(품목별)'!A2908)</f>
        <v>2026.07</v>
      </c>
      <c r="B2904" s="17" t="n">
        <f aca="false">IFERROR(VALUE(LEFT($A2904,4)),"")</f>
        <v>2026</v>
      </c>
      <c r="C2904" s="17" t="n">
        <f aca="false">IFERROR(VALUE(RIGHT($A2904,2)),"")</f>
        <v>7</v>
      </c>
      <c r="D2904" s="17" t="n">
        <f aca="false">IFERROR(ROUNDUP($C2904/3,0),"")</f>
        <v>3</v>
      </c>
      <c r="E2904" s="11" t="str">
        <f aca="false">TRIM('수출입 실적(품목별)'!B2908)</f>
        <v>16</v>
      </c>
      <c r="F2904" s="11" t="str">
        <f aca="false">TRIM('수출입 실적(품목별)'!C2908)</f>
        <v>육류ㆍ어류ㆍ갑각류ㆍ연체동물이나 그 밖의 수생(水生) 무척추동물 또는 곤충의 조제품</v>
      </c>
      <c r="G2904" s="18" t="n">
        <f aca="false">IFERROR(VALUE(SUBSTITUTE(TRIM('수출입 실적(품목별)'!D2908),",","")),"")</f>
        <v>4655.8</v>
      </c>
      <c r="H2904" s="19" t="n">
        <f aca="false">IFERROR(VALUE(SUBSTITUTE(TRIM('수출입 실적(품목별)'!E2908),",","")),"")</f>
        <v>28121</v>
      </c>
      <c r="I2904" s="18" t="n">
        <f aca="false">IFERROR(VALUE(SUBSTITUTE(TRIM('수출입 실적(품목별)'!F2908),",","")),"")</f>
        <v>15103.3</v>
      </c>
      <c r="J2904" s="19" t="n">
        <f aca="false">IFERROR(VALUE(SUBSTITUTE(TRIM('수출입 실적(품목별)'!G2908),",","")),"")</f>
        <v>83358</v>
      </c>
      <c r="K2904" s="19" t="n">
        <f aca="false">IFERROR(VALUE(SUBSTITUTE(TRIM('수출입 실적(품목별)'!H2908),",","")),"")</f>
        <v>-55237</v>
      </c>
    </row>
    <row r="2905" customFormat="false" ht="15" hidden="false" customHeight="true" outlineLevel="0" collapsed="false">
      <c r="A2905" s="11" t="str">
        <f aca="false">TRIM('수출입 실적(품목별)'!A2909)</f>
        <v>2026.07</v>
      </c>
      <c r="B2905" s="17" t="n">
        <f aca="false">IFERROR(VALUE(LEFT($A2905,4)),"")</f>
        <v>2026</v>
      </c>
      <c r="C2905" s="17" t="n">
        <f aca="false">IFERROR(VALUE(RIGHT($A2905,2)),"")</f>
        <v>7</v>
      </c>
      <c r="D2905" s="17" t="n">
        <f aca="false">IFERROR(ROUNDUP($C2905/3,0),"")</f>
        <v>3</v>
      </c>
      <c r="E2905" s="11" t="str">
        <f aca="false">TRIM('수출입 실적(품목별)'!B2909)</f>
        <v>17</v>
      </c>
      <c r="F2905" s="11" t="str">
        <f aca="false">TRIM('수출입 실적(품목별)'!C2909)</f>
        <v>당류(糖類)와 설탕과자</v>
      </c>
      <c r="G2905" s="18" t="n">
        <f aca="false">IFERROR(VALUE(SUBSTITUTE(TRIM('수출입 실적(품목별)'!D2909),",","")),"")</f>
        <v>31171.8</v>
      </c>
      <c r="H2905" s="19" t="n">
        <f aca="false">IFERROR(VALUE(SUBSTITUTE(TRIM('수출입 실적(품목별)'!E2909),",","")),"")</f>
        <v>24623</v>
      </c>
      <c r="I2905" s="18" t="n">
        <f aca="false">IFERROR(VALUE(SUBSTITUTE(TRIM('수출입 실적(품목별)'!F2909),",","")),"")</f>
        <v>165840.1</v>
      </c>
      <c r="J2905" s="19" t="n">
        <f aca="false">IFERROR(VALUE(SUBSTITUTE(TRIM('수출입 실적(품목별)'!G2909),",","")),"")</f>
        <v>96513</v>
      </c>
      <c r="K2905" s="19" t="n">
        <f aca="false">IFERROR(VALUE(SUBSTITUTE(TRIM('수출입 실적(품목별)'!H2909),",","")),"")</f>
        <v>-71889</v>
      </c>
    </row>
    <row r="2906" customFormat="false" ht="15" hidden="false" customHeight="true" outlineLevel="0" collapsed="false">
      <c r="A2906" s="11" t="str">
        <f aca="false">TRIM('수출입 실적(품목별)'!A2910)</f>
        <v>2026.07</v>
      </c>
      <c r="B2906" s="17" t="n">
        <f aca="false">IFERROR(VALUE(LEFT($A2906,4)),"")</f>
        <v>2026</v>
      </c>
      <c r="C2906" s="17" t="n">
        <f aca="false">IFERROR(VALUE(RIGHT($A2906,2)),"")</f>
        <v>7</v>
      </c>
      <c r="D2906" s="17" t="n">
        <f aca="false">IFERROR(ROUNDUP($C2906/3,0),"")</f>
        <v>3</v>
      </c>
      <c r="E2906" s="11" t="str">
        <f aca="false">TRIM('수출입 실적(품목별)'!B2910)</f>
        <v>18</v>
      </c>
      <c r="F2906" s="11" t="str">
        <f aca="false">TRIM('수출입 실적(품목별)'!C2910)</f>
        <v>코코아와 그 조제품</v>
      </c>
      <c r="G2906" s="18" t="n">
        <f aca="false">IFERROR(VALUE(SUBSTITUTE(TRIM('수출입 실적(품목별)'!D2910),",","")),"")</f>
        <v>1853.5</v>
      </c>
      <c r="H2906" s="19" t="n">
        <f aca="false">IFERROR(VALUE(SUBSTITUTE(TRIM('수출입 실적(품목별)'!E2910),",","")),"")</f>
        <v>5750</v>
      </c>
      <c r="I2906" s="18" t="n">
        <f aca="false">IFERROR(VALUE(SUBSTITUTE(TRIM('수출입 실적(품목별)'!F2910),",","")),"")</f>
        <v>4222</v>
      </c>
      <c r="J2906" s="19" t="n">
        <f aca="false">IFERROR(VALUE(SUBSTITUTE(TRIM('수출입 실적(품목별)'!G2910),",","")),"")</f>
        <v>36091</v>
      </c>
      <c r="K2906" s="19" t="n">
        <f aca="false">IFERROR(VALUE(SUBSTITUTE(TRIM('수출입 실적(품목별)'!H2910),",","")),"")</f>
        <v>-30342</v>
      </c>
    </row>
    <row r="2907" customFormat="false" ht="15" hidden="false" customHeight="true" outlineLevel="0" collapsed="false">
      <c r="A2907" s="11" t="str">
        <f aca="false">TRIM('수출입 실적(품목별)'!A2911)</f>
        <v>2026.07</v>
      </c>
      <c r="B2907" s="17" t="n">
        <f aca="false">IFERROR(VALUE(LEFT($A2907,4)),"")</f>
        <v>2026</v>
      </c>
      <c r="C2907" s="17" t="n">
        <f aca="false">IFERROR(VALUE(RIGHT($A2907,2)),"")</f>
        <v>7</v>
      </c>
      <c r="D2907" s="17" t="n">
        <f aca="false">IFERROR(ROUNDUP($C2907/3,0),"")</f>
        <v>3</v>
      </c>
      <c r="E2907" s="11" t="str">
        <f aca="false">TRIM('수출입 실적(품목별)'!B2911)</f>
        <v>19</v>
      </c>
      <c r="F2907" s="11" t="str">
        <f aca="false">TRIM('수출입 실적(품목별)'!C2911)</f>
        <v>곡물ㆍ고운 가루ㆍ전분ㆍ밀크의 조제품과 베이커리 제품</v>
      </c>
      <c r="G2907" s="18" t="n">
        <f aca="false">IFERROR(VALUE(SUBSTITUTE(TRIM('수출입 실적(품목별)'!D2911),",","")),"")</f>
        <v>63635.8</v>
      </c>
      <c r="H2907" s="19" t="n">
        <f aca="false">IFERROR(VALUE(SUBSTITUTE(TRIM('수출입 실적(품목별)'!E2911),",","")),"")</f>
        <v>260238</v>
      </c>
      <c r="I2907" s="18" t="n">
        <f aca="false">IFERROR(VALUE(SUBSTITUTE(TRIM('수출입 실적(품목별)'!F2911),",","")),"")</f>
        <v>30712.1</v>
      </c>
      <c r="J2907" s="19" t="n">
        <f aca="false">IFERROR(VALUE(SUBSTITUTE(TRIM('수출입 실적(품목별)'!G2911),",","")),"")</f>
        <v>98007</v>
      </c>
      <c r="K2907" s="19" t="n">
        <f aca="false">IFERROR(VALUE(SUBSTITUTE(TRIM('수출입 실적(품목별)'!H2911),",","")),"")</f>
        <v>162231</v>
      </c>
    </row>
    <row r="2908" customFormat="false" ht="15" hidden="false" customHeight="true" outlineLevel="0" collapsed="false">
      <c r="A2908" s="11" t="str">
        <f aca="false">TRIM('수출입 실적(품목별)'!A2912)</f>
        <v>2026.07</v>
      </c>
      <c r="B2908" s="17" t="n">
        <f aca="false">IFERROR(VALUE(LEFT($A2908,4)),"")</f>
        <v>2026</v>
      </c>
      <c r="C2908" s="17" t="n">
        <f aca="false">IFERROR(VALUE(RIGHT($A2908,2)),"")</f>
        <v>7</v>
      </c>
      <c r="D2908" s="17" t="n">
        <f aca="false">IFERROR(ROUNDUP($C2908/3,0),"")</f>
        <v>3</v>
      </c>
      <c r="E2908" s="11" t="str">
        <f aca="false">TRIM('수출입 실적(품목별)'!B2912)</f>
        <v>20</v>
      </c>
      <c r="F2908" s="11" t="str">
        <f aca="false">TRIM('수출입 실적(품목별)'!C2912)</f>
        <v>채소ㆍ과실ㆍ견과류나 식물의그 밖의 부분의 조제품</v>
      </c>
      <c r="G2908" s="18" t="n">
        <f aca="false">IFERROR(VALUE(SUBSTITUTE(TRIM('수출입 실적(품목별)'!D2912),",","")),"")</f>
        <v>10139.3</v>
      </c>
      <c r="H2908" s="19" t="n">
        <f aca="false">IFERROR(VALUE(SUBSTITUTE(TRIM('수출입 실적(품목별)'!E2912),",","")),"")</f>
        <v>91224</v>
      </c>
      <c r="I2908" s="18" t="n">
        <f aca="false">IFERROR(VALUE(SUBSTITUTE(TRIM('수출입 실적(품목별)'!F2912),",","")),"")</f>
        <v>101506.7</v>
      </c>
      <c r="J2908" s="19" t="n">
        <f aca="false">IFERROR(VALUE(SUBSTITUTE(TRIM('수출입 실적(품목별)'!G2912),",","")),"")</f>
        <v>140512</v>
      </c>
      <c r="K2908" s="19" t="n">
        <f aca="false">IFERROR(VALUE(SUBSTITUTE(TRIM('수출입 실적(품목별)'!H2912),",","")),"")</f>
        <v>-49288</v>
      </c>
    </row>
    <row r="2909" customFormat="false" ht="15" hidden="false" customHeight="true" outlineLevel="0" collapsed="false">
      <c r="A2909" s="11" t="str">
        <f aca="false">TRIM('수출입 실적(품목별)'!A2913)</f>
        <v>2026.07</v>
      </c>
      <c r="B2909" s="17" t="n">
        <f aca="false">IFERROR(VALUE(LEFT($A2909,4)),"")</f>
        <v>2026</v>
      </c>
      <c r="C2909" s="17" t="n">
        <f aca="false">IFERROR(VALUE(RIGHT($A2909,2)),"")</f>
        <v>7</v>
      </c>
      <c r="D2909" s="17" t="n">
        <f aca="false">IFERROR(ROUNDUP($C2909/3,0),"")</f>
        <v>3</v>
      </c>
      <c r="E2909" s="11" t="str">
        <f aca="false">TRIM('수출입 실적(품목별)'!B2913)</f>
        <v>21</v>
      </c>
      <c r="F2909" s="11" t="str">
        <f aca="false">TRIM('수출입 실적(품목별)'!C2913)</f>
        <v>각종 조제 식료품</v>
      </c>
      <c r="G2909" s="18" t="n">
        <f aca="false">IFERROR(VALUE(SUBSTITUTE(TRIM('수출입 실적(품목별)'!D2913),",","")),"")</f>
        <v>37757.7</v>
      </c>
      <c r="H2909" s="19" t="n">
        <f aca="false">IFERROR(VALUE(SUBSTITUTE(TRIM('수출입 실적(품목별)'!E2913),",","")),"")</f>
        <v>155649</v>
      </c>
      <c r="I2909" s="18" t="n">
        <f aca="false">IFERROR(VALUE(SUBSTITUTE(TRIM('수출입 실적(품목별)'!F2913),",","")),"")</f>
        <v>36443.7</v>
      </c>
      <c r="J2909" s="19" t="n">
        <f aca="false">IFERROR(VALUE(SUBSTITUTE(TRIM('수출입 실적(품목별)'!G2913),",","")),"")</f>
        <v>238940</v>
      </c>
      <c r="K2909" s="19" t="n">
        <f aca="false">IFERROR(VALUE(SUBSTITUTE(TRIM('수출입 실적(품목별)'!H2913),",","")),"")</f>
        <v>-83291</v>
      </c>
    </row>
    <row r="2910" customFormat="false" ht="15" hidden="false" customHeight="true" outlineLevel="0" collapsed="false">
      <c r="A2910" s="11" t="str">
        <f aca="false">TRIM('수출입 실적(품목별)'!A2914)</f>
        <v>2026.07</v>
      </c>
      <c r="B2910" s="17" t="n">
        <f aca="false">IFERROR(VALUE(LEFT($A2910,4)),"")</f>
        <v>2026</v>
      </c>
      <c r="C2910" s="17" t="n">
        <f aca="false">IFERROR(VALUE(RIGHT($A2910,2)),"")</f>
        <v>7</v>
      </c>
      <c r="D2910" s="17" t="n">
        <f aca="false">IFERROR(ROUNDUP($C2910/3,0),"")</f>
        <v>3</v>
      </c>
      <c r="E2910" s="11" t="str">
        <f aca="false">TRIM('수출입 실적(품목별)'!B2914)</f>
        <v>22</v>
      </c>
      <c r="F2910" s="11" t="str">
        <f aca="false">TRIM('수출입 실적(품목별)'!C2914)</f>
        <v>음료ㆍ주류ㆍ식초</v>
      </c>
      <c r="G2910" s="18" t="n">
        <f aca="false">IFERROR(VALUE(SUBSTITUTE(TRIM('수출입 실적(품목별)'!D2914),",","")),"")</f>
        <v>84181.9</v>
      </c>
      <c r="H2910" s="19" t="n">
        <f aca="false">IFERROR(VALUE(SUBSTITUTE(TRIM('수출입 실적(품목별)'!E2914),",","")),"")</f>
        <v>101926</v>
      </c>
      <c r="I2910" s="18" t="n">
        <f aca="false">IFERROR(VALUE(SUBSTITUTE(TRIM('수출입 실적(품목별)'!F2914),",","")),"")</f>
        <v>93422.6</v>
      </c>
      <c r="J2910" s="19" t="n">
        <f aca="false">IFERROR(VALUE(SUBSTITUTE(TRIM('수출입 실적(품목별)'!G2914),",","")),"")</f>
        <v>136104</v>
      </c>
      <c r="K2910" s="19" t="n">
        <f aca="false">IFERROR(VALUE(SUBSTITUTE(TRIM('수출입 실적(품목별)'!H2914),",","")),"")</f>
        <v>-34178</v>
      </c>
    </row>
    <row r="2911" customFormat="false" ht="15" hidden="false" customHeight="true" outlineLevel="0" collapsed="false">
      <c r="A2911" s="11" t="str">
        <f aca="false">TRIM('수출입 실적(품목별)'!A2915)</f>
        <v>2026.07</v>
      </c>
      <c r="B2911" s="17" t="n">
        <f aca="false">IFERROR(VALUE(LEFT($A2911,4)),"")</f>
        <v>2026</v>
      </c>
      <c r="C2911" s="17" t="n">
        <f aca="false">IFERROR(VALUE(RIGHT($A2911,2)),"")</f>
        <v>7</v>
      </c>
      <c r="D2911" s="17" t="n">
        <f aca="false">IFERROR(ROUNDUP($C2911/3,0),"")</f>
        <v>3</v>
      </c>
      <c r="E2911" s="11" t="str">
        <f aca="false">TRIM('수출입 실적(품목별)'!B2915)</f>
        <v>23</v>
      </c>
      <c r="F2911" s="11" t="str">
        <f aca="false">TRIM('수출입 실적(품목별)'!C2915)</f>
        <v>식품 공업에서 생기는 잔재물과 웨이스트(waste), 조제 사료</v>
      </c>
      <c r="G2911" s="18" t="n">
        <f aca="false">IFERROR(VALUE(SUBSTITUTE(TRIM('수출입 실적(품목별)'!D2915),",","")),"")</f>
        <v>22377.2</v>
      </c>
      <c r="H2911" s="19" t="n">
        <f aca="false">IFERROR(VALUE(SUBSTITUTE(TRIM('수출입 실적(품목별)'!E2915),",","")),"")</f>
        <v>25069</v>
      </c>
      <c r="I2911" s="18" t="n">
        <f aca="false">IFERROR(VALUE(SUBSTITUTE(TRIM('수출입 실적(품목별)'!F2915),",","")),"")</f>
        <v>596909.4</v>
      </c>
      <c r="J2911" s="19" t="n">
        <f aca="false">IFERROR(VALUE(SUBSTITUTE(TRIM('수출입 실적(품목별)'!G2915),",","")),"")</f>
        <v>223609</v>
      </c>
      <c r="K2911" s="19" t="n">
        <f aca="false">IFERROR(VALUE(SUBSTITUTE(TRIM('수출입 실적(품목별)'!H2915),",","")),"")</f>
        <v>-198540</v>
      </c>
    </row>
    <row r="2912" customFormat="false" ht="15" hidden="false" customHeight="true" outlineLevel="0" collapsed="false">
      <c r="A2912" s="11" t="str">
        <f aca="false">TRIM('수출입 실적(품목별)'!A2916)</f>
        <v>2026.07</v>
      </c>
      <c r="B2912" s="17" t="n">
        <f aca="false">IFERROR(VALUE(LEFT($A2912,4)),"")</f>
        <v>2026</v>
      </c>
      <c r="C2912" s="17" t="n">
        <f aca="false">IFERROR(VALUE(RIGHT($A2912,2)),"")</f>
        <v>7</v>
      </c>
      <c r="D2912" s="17" t="n">
        <f aca="false">IFERROR(ROUNDUP($C2912/3,0),"")</f>
        <v>3</v>
      </c>
      <c r="E2912" s="11" t="str">
        <f aca="false">TRIM('수출입 실적(품목별)'!B2916)</f>
        <v>24</v>
      </c>
      <c r="F2912" s="11" t="str">
        <f aca="false">TRIM('수출입 실적(품목별)'!C2916)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G2912" s="18" t="n">
        <f aca="false">IFERROR(VALUE(SUBSTITUTE(TRIM('수출입 실적(품목별)'!D2916),",","")),"")</f>
        <v>9529.5</v>
      </c>
      <c r="H2912" s="19" t="n">
        <f aca="false">IFERROR(VALUE(SUBSTITUTE(TRIM('수출입 실적(품목별)'!E2916),",","")),"")</f>
        <v>98190</v>
      </c>
      <c r="I2912" s="18" t="n">
        <f aca="false">IFERROR(VALUE(SUBSTITUTE(TRIM('수출입 실적(품목별)'!F2916),",","")),"")</f>
        <v>6166.8</v>
      </c>
      <c r="J2912" s="19" t="n">
        <f aca="false">IFERROR(VALUE(SUBSTITUTE(TRIM('수출입 실적(품목별)'!G2916),",","")),"")</f>
        <v>48688</v>
      </c>
      <c r="K2912" s="19" t="n">
        <f aca="false">IFERROR(VALUE(SUBSTITUTE(TRIM('수출입 실적(품목별)'!H2916),",","")),"")</f>
        <v>49502</v>
      </c>
    </row>
    <row r="2913" customFormat="false" ht="15" hidden="false" customHeight="true" outlineLevel="0" collapsed="false">
      <c r="A2913" s="11" t="str">
        <f aca="false">TRIM('수출입 실적(품목별)'!A2917)</f>
        <v>2026.07</v>
      </c>
      <c r="B2913" s="17" t="n">
        <f aca="false">IFERROR(VALUE(LEFT($A2913,4)),"")</f>
        <v>2026</v>
      </c>
      <c r="C2913" s="17" t="n">
        <f aca="false">IFERROR(VALUE(RIGHT($A2913,2)),"")</f>
        <v>7</v>
      </c>
      <c r="D2913" s="17" t="n">
        <f aca="false">IFERROR(ROUNDUP($C2913/3,0),"")</f>
        <v>3</v>
      </c>
      <c r="E2913" s="11" t="str">
        <f aca="false">TRIM('수출입 실적(품목별)'!B2917)</f>
        <v>25</v>
      </c>
      <c r="F2913" s="11" t="str">
        <f aca="false">TRIM('수출입 실적(품목별)'!C2917)</f>
        <v>소금, 황, 토석류(土石類), 석고ㆍ석회ㆍ시멘트</v>
      </c>
      <c r="G2913" s="18" t="n">
        <f aca="false">IFERROR(VALUE(SUBSTITUTE(TRIM('수출입 실적(품목별)'!D2917),",","")),"")</f>
        <v>531497.8</v>
      </c>
      <c r="H2913" s="19" t="n">
        <f aca="false">IFERROR(VALUE(SUBSTITUTE(TRIM('수출입 실적(품목별)'!E2917),",","")),"")</f>
        <v>98733</v>
      </c>
      <c r="I2913" s="18" t="n">
        <f aca="false">IFERROR(VALUE(SUBSTITUTE(TRIM('수출입 실적(품목별)'!F2917),",","")),"")</f>
        <v>810041</v>
      </c>
      <c r="J2913" s="19" t="n">
        <f aca="false">IFERROR(VALUE(SUBSTITUTE(TRIM('수출입 실적(품목별)'!G2917),",","")),"")</f>
        <v>67308</v>
      </c>
      <c r="K2913" s="19" t="n">
        <f aca="false">IFERROR(VALUE(SUBSTITUTE(TRIM('수출입 실적(품목별)'!H2917),",","")),"")</f>
        <v>31425</v>
      </c>
    </row>
    <row r="2914" customFormat="false" ht="15" hidden="false" customHeight="true" outlineLevel="0" collapsed="false">
      <c r="A2914" s="11" t="str">
        <f aca="false">TRIM('수출입 실적(품목별)'!A2918)</f>
        <v>2026.07</v>
      </c>
      <c r="B2914" s="17" t="n">
        <f aca="false">IFERROR(VALUE(LEFT($A2914,4)),"")</f>
        <v>2026</v>
      </c>
      <c r="C2914" s="17" t="n">
        <f aca="false">IFERROR(VALUE(RIGHT($A2914,2)),"")</f>
        <v>7</v>
      </c>
      <c r="D2914" s="17" t="n">
        <f aca="false">IFERROR(ROUNDUP($C2914/3,0),"")</f>
        <v>3</v>
      </c>
      <c r="E2914" s="11" t="str">
        <f aca="false">TRIM('수출입 실적(품목별)'!B2918)</f>
        <v>26</v>
      </c>
      <c r="F2914" s="11" t="str">
        <f aca="false">TRIM('수출입 실적(품목별)'!C2918)</f>
        <v>광(鑛)ㆍ슬래그(slag)ㆍ회(灰)</v>
      </c>
      <c r="G2914" s="18" t="n">
        <f aca="false">IFERROR(VALUE(SUBSTITUTE(TRIM('수출입 실적(품목별)'!D2918),",","")),"")</f>
        <v>219459.6</v>
      </c>
      <c r="H2914" s="19" t="n">
        <f aca="false">IFERROR(VALUE(SUBSTITUTE(TRIM('수출입 실적(품목별)'!E2918),",","")),"")</f>
        <v>35351</v>
      </c>
      <c r="I2914" s="18" t="n">
        <f aca="false">IFERROR(VALUE(SUBSTITUTE(TRIM('수출입 실적(품목별)'!F2918),",","")),"")</f>
        <v>7670560.8</v>
      </c>
      <c r="J2914" s="19" t="n">
        <f aca="false">IFERROR(VALUE(SUBSTITUTE(TRIM('수출입 실적(품목별)'!G2918),",","")),"")</f>
        <v>2537004</v>
      </c>
      <c r="K2914" s="19" t="n">
        <f aca="false">IFERROR(VALUE(SUBSTITUTE(TRIM('수출입 실적(품목별)'!H2918),",","")),"")</f>
        <v>-2501653</v>
      </c>
    </row>
    <row r="2915" customFormat="false" ht="15" hidden="false" customHeight="true" outlineLevel="0" collapsed="false">
      <c r="A2915" s="11" t="str">
        <f aca="false">TRIM('수출입 실적(품목별)'!A2919)</f>
        <v>2026.07</v>
      </c>
      <c r="B2915" s="17" t="n">
        <f aca="false">IFERROR(VALUE(LEFT($A2915,4)),"")</f>
        <v>2026</v>
      </c>
      <c r="C2915" s="17" t="n">
        <f aca="false">IFERROR(VALUE(RIGHT($A2915,2)),"")</f>
        <v>7</v>
      </c>
      <c r="D2915" s="17" t="n">
        <f aca="false">IFERROR(ROUNDUP($C2915/3,0),"")</f>
        <v>3</v>
      </c>
      <c r="E2915" s="11" t="str">
        <f aca="false">TRIM('수출입 실적(품목별)'!B2919)</f>
        <v>27</v>
      </c>
      <c r="F2915" s="11" t="str">
        <f aca="false">TRIM('수출입 실적(품목별)'!C2919)</f>
        <v>광물성 연료ㆍ광물유(鑛物油)와 이들의 증류물, 역청(瀝靑)물질, 광물성 왁스</v>
      </c>
      <c r="G2915" s="18" t="n">
        <f aca="false">IFERROR(VALUE(SUBSTITUTE(TRIM('수출입 실적(품목별)'!D2919),",","")),"")</f>
        <v>5749003.7</v>
      </c>
      <c r="H2915" s="19" t="n">
        <f aca="false">IFERROR(VALUE(SUBSTITUTE(TRIM('수출입 실적(품목별)'!E2919),",","")),"")</f>
        <v>5896407</v>
      </c>
      <c r="I2915" s="18" t="n">
        <f aca="false">IFERROR(VALUE(SUBSTITUTE(TRIM('수출입 실적(품목별)'!F2919),",","")),"")</f>
        <v>31805061.2</v>
      </c>
      <c r="J2915" s="19" t="n">
        <f aca="false">IFERROR(VALUE(SUBSTITUTE(TRIM('수출입 실적(품목별)'!G2919),",","")),"")</f>
        <v>16251655</v>
      </c>
      <c r="K2915" s="19" t="n">
        <f aca="false">IFERROR(VALUE(SUBSTITUTE(TRIM('수출입 실적(품목별)'!H2919),",","")),"")</f>
        <v>-10355248</v>
      </c>
    </row>
    <row r="2916" customFormat="false" ht="15" hidden="false" customHeight="true" outlineLevel="0" collapsed="false">
      <c r="A2916" s="11" t="str">
        <f aca="false">TRIM('수출입 실적(품목별)'!A2920)</f>
        <v>2026.07</v>
      </c>
      <c r="B2916" s="17" t="n">
        <f aca="false">IFERROR(VALUE(LEFT($A2916,4)),"")</f>
        <v>2026</v>
      </c>
      <c r="C2916" s="17" t="n">
        <f aca="false">IFERROR(VALUE(RIGHT($A2916,2)),"")</f>
        <v>7</v>
      </c>
      <c r="D2916" s="17" t="n">
        <f aca="false">IFERROR(ROUNDUP($C2916/3,0),"")</f>
        <v>3</v>
      </c>
      <c r="E2916" s="11" t="str">
        <f aca="false">TRIM('수출입 실적(품목별)'!B2920)</f>
        <v>28</v>
      </c>
      <c r="F2916" s="11" t="str">
        <f aca="false">TRIM('수출입 실적(품목별)'!C2920)</f>
        <v>무기화학품, 귀금속ㆍ희토류(稀土類)금속ㆍ방사성원소ㆍ동위원소의 유기화합물이나 무기화합물</v>
      </c>
      <c r="G2916" s="18" t="n">
        <f aca="false">IFERROR(VALUE(SUBSTITUTE(TRIM('수출입 실적(품목별)'!D2920),",","")),"")</f>
        <v>504304.1</v>
      </c>
      <c r="H2916" s="19" t="n">
        <f aca="false">IFERROR(VALUE(SUBSTITUTE(TRIM('수출입 실적(품목별)'!E2920),",","")),"")</f>
        <v>1083240</v>
      </c>
      <c r="I2916" s="18" t="n">
        <f aca="false">IFERROR(VALUE(SUBSTITUTE(TRIM('수출입 실적(품목별)'!F2920),",","")),"")</f>
        <v>406533.1</v>
      </c>
      <c r="J2916" s="19" t="n">
        <f aca="false">IFERROR(VALUE(SUBSTITUTE(TRIM('수출입 실적(품목별)'!G2920),",","")),"")</f>
        <v>1226749</v>
      </c>
      <c r="K2916" s="19" t="n">
        <f aca="false">IFERROR(VALUE(SUBSTITUTE(TRIM('수출입 실적(품목별)'!H2920),",","")),"")</f>
        <v>-143509</v>
      </c>
    </row>
    <row r="2917" customFormat="false" ht="15" hidden="false" customHeight="true" outlineLevel="0" collapsed="false">
      <c r="A2917" s="11" t="str">
        <f aca="false">TRIM('수출입 실적(품목별)'!A2921)</f>
        <v>2026.07</v>
      </c>
      <c r="B2917" s="17" t="n">
        <f aca="false">IFERROR(VALUE(LEFT($A2917,4)),"")</f>
        <v>2026</v>
      </c>
      <c r="C2917" s="17" t="n">
        <f aca="false">IFERROR(VALUE(RIGHT($A2917,2)),"")</f>
        <v>7</v>
      </c>
      <c r="D2917" s="17" t="n">
        <f aca="false">IFERROR(ROUNDUP($C2917/3,0),"")</f>
        <v>3</v>
      </c>
      <c r="E2917" s="11" t="str">
        <f aca="false">TRIM('수출입 실적(품목별)'!B2921)</f>
        <v>29</v>
      </c>
      <c r="F2917" s="11" t="str">
        <f aca="false">TRIM('수출입 실적(품목별)'!C2921)</f>
        <v>유기화학품</v>
      </c>
      <c r="G2917" s="18" t="n">
        <f aca="false">IFERROR(VALUE(SUBSTITUTE(TRIM('수출입 실적(품목별)'!D2921),",","")),"")</f>
        <v>1548656</v>
      </c>
      <c r="H2917" s="19" t="n">
        <f aca="false">IFERROR(VALUE(SUBSTITUTE(TRIM('수출입 실적(품목별)'!E2921),",","")),"")</f>
        <v>1836067</v>
      </c>
      <c r="I2917" s="18" t="n">
        <f aca="false">IFERROR(VALUE(SUBSTITUTE(TRIM('수출입 실적(품목별)'!F2921),",","")),"")</f>
        <v>715054.5</v>
      </c>
      <c r="J2917" s="19" t="n">
        <f aca="false">IFERROR(VALUE(SUBSTITUTE(TRIM('수출입 실적(품목별)'!G2921),",","")),"")</f>
        <v>1259025</v>
      </c>
      <c r="K2917" s="19" t="n">
        <f aca="false">IFERROR(VALUE(SUBSTITUTE(TRIM('수출입 실적(품목별)'!H2921),",","")),"")</f>
        <v>577042</v>
      </c>
    </row>
    <row r="2918" customFormat="false" ht="15" hidden="false" customHeight="true" outlineLevel="0" collapsed="false">
      <c r="A2918" s="11" t="str">
        <f aca="false">TRIM('수출입 실적(품목별)'!A2922)</f>
        <v>2026.07</v>
      </c>
      <c r="B2918" s="17" t="n">
        <f aca="false">IFERROR(VALUE(LEFT($A2918,4)),"")</f>
        <v>2026</v>
      </c>
      <c r="C2918" s="17" t="n">
        <f aca="false">IFERROR(VALUE(RIGHT($A2918,2)),"")</f>
        <v>7</v>
      </c>
      <c r="D2918" s="17" t="n">
        <f aca="false">IFERROR(ROUNDUP($C2918/3,0),"")</f>
        <v>3</v>
      </c>
      <c r="E2918" s="11" t="str">
        <f aca="false">TRIM('수출입 실적(품목별)'!B2922)</f>
        <v>30</v>
      </c>
      <c r="F2918" s="11" t="str">
        <f aca="false">TRIM('수출입 실적(품목별)'!C2922)</f>
        <v>의료용품</v>
      </c>
      <c r="G2918" s="18" t="n">
        <f aca="false">IFERROR(VALUE(SUBSTITUTE(TRIM('수출입 실적(품목별)'!D2922),",","")),"")</f>
        <v>2852.1</v>
      </c>
      <c r="H2918" s="19" t="n">
        <f aca="false">IFERROR(VALUE(SUBSTITUTE(TRIM('수출입 실적(품목별)'!E2922),",","")),"")</f>
        <v>859910</v>
      </c>
      <c r="I2918" s="18" t="n">
        <f aca="false">IFERROR(VALUE(SUBSTITUTE(TRIM('수출입 실적(품목별)'!F2922),",","")),"")</f>
        <v>8654.2</v>
      </c>
      <c r="J2918" s="19" t="n">
        <f aca="false">IFERROR(VALUE(SUBSTITUTE(TRIM('수출입 실적(품목별)'!G2922),",","")),"")</f>
        <v>1123719</v>
      </c>
      <c r="K2918" s="19" t="n">
        <f aca="false">IFERROR(VALUE(SUBSTITUTE(TRIM('수출입 실적(품목별)'!H2922),",","")),"")</f>
        <v>-263809</v>
      </c>
    </row>
    <row r="2919" customFormat="false" ht="15" hidden="false" customHeight="true" outlineLevel="0" collapsed="false">
      <c r="A2919" s="11" t="str">
        <f aca="false">TRIM('수출입 실적(품목별)'!A2923)</f>
        <v>2026.07</v>
      </c>
      <c r="B2919" s="17" t="n">
        <f aca="false">IFERROR(VALUE(LEFT($A2919,4)),"")</f>
        <v>2026</v>
      </c>
      <c r="C2919" s="17" t="n">
        <f aca="false">IFERROR(VALUE(RIGHT($A2919,2)),"")</f>
        <v>7</v>
      </c>
      <c r="D2919" s="17" t="n">
        <f aca="false">IFERROR(ROUNDUP($C2919/3,0),"")</f>
        <v>3</v>
      </c>
      <c r="E2919" s="11" t="str">
        <f aca="false">TRIM('수출입 실적(품목별)'!B2923)</f>
        <v>31</v>
      </c>
      <c r="F2919" s="11" t="str">
        <f aca="false">TRIM('수출입 실적(품목별)'!C2923)</f>
        <v>비료</v>
      </c>
      <c r="G2919" s="18" t="n">
        <f aca="false">IFERROR(VALUE(SUBSTITUTE(TRIM('수출입 실적(품목별)'!D2923),",","")),"")</f>
        <v>137547.2</v>
      </c>
      <c r="H2919" s="19" t="n">
        <f aca="false">IFERROR(VALUE(SUBSTITUTE(TRIM('수출입 실적(품목별)'!E2923),",","")),"")</f>
        <v>75095</v>
      </c>
      <c r="I2919" s="18" t="n">
        <f aca="false">IFERROR(VALUE(SUBSTITUTE(TRIM('수출입 실적(품목별)'!F2923),",","")),"")</f>
        <v>160835.6</v>
      </c>
      <c r="J2919" s="19" t="n">
        <f aca="false">IFERROR(VALUE(SUBSTITUTE(TRIM('수출입 실적(품목별)'!G2923),",","")),"")</f>
        <v>84800</v>
      </c>
      <c r="K2919" s="19" t="n">
        <f aca="false">IFERROR(VALUE(SUBSTITUTE(TRIM('수출입 실적(품목별)'!H2923),",","")),"")</f>
        <v>-9705</v>
      </c>
    </row>
    <row r="2920" customFormat="false" ht="15" hidden="false" customHeight="true" outlineLevel="0" collapsed="false">
      <c r="A2920" s="11" t="str">
        <f aca="false">TRIM('수출입 실적(품목별)'!A2924)</f>
        <v>2026.07</v>
      </c>
      <c r="B2920" s="17" t="n">
        <f aca="false">IFERROR(VALUE(LEFT($A2920,4)),"")</f>
        <v>2026</v>
      </c>
      <c r="C2920" s="17" t="n">
        <f aca="false">IFERROR(VALUE(RIGHT($A2920,2)),"")</f>
        <v>7</v>
      </c>
      <c r="D2920" s="17" t="n">
        <f aca="false">IFERROR(ROUNDUP($C2920/3,0),"")</f>
        <v>3</v>
      </c>
      <c r="E2920" s="11" t="str">
        <f aca="false">TRIM('수출입 실적(품목별)'!B2924)</f>
        <v>32</v>
      </c>
      <c r="F2920" s="11" t="str">
        <f aca="false">TRIM('수출입 실적(품목별)'!C2924)</f>
        <v>유연용ㆍ염색용 추출물(extract), 탄닌과 이들의 유도체, 염료ㆍ안료와 그 밖의 착색제, 페인트ㆍ바니시(varnish), 퍼티(putty)와 그 밖의 매스틱(mastic), 잉크</v>
      </c>
      <c r="G2920" s="18" t="n">
        <f aca="false">IFERROR(VALUE(SUBSTITUTE(TRIM('수출입 실적(품목별)'!D2924),",","")),"")</f>
        <v>33192.9</v>
      </c>
      <c r="H2920" s="19" t="n">
        <f aca="false">IFERROR(VALUE(SUBSTITUTE(TRIM('수출입 실적(품목별)'!E2924),",","")),"")</f>
        <v>267863</v>
      </c>
      <c r="I2920" s="18" t="n">
        <f aca="false">IFERROR(VALUE(SUBSTITUTE(TRIM('수출입 실적(품목별)'!F2924),",","")),"")</f>
        <v>24865.1</v>
      </c>
      <c r="J2920" s="19" t="n">
        <f aca="false">IFERROR(VALUE(SUBSTITUTE(TRIM('수출입 실적(품목별)'!G2924),",","")),"")</f>
        <v>235671</v>
      </c>
      <c r="K2920" s="19" t="n">
        <f aca="false">IFERROR(VALUE(SUBSTITUTE(TRIM('수출입 실적(품목별)'!H2924),",","")),"")</f>
        <v>32192</v>
      </c>
    </row>
    <row r="2921" customFormat="false" ht="15" hidden="false" customHeight="true" outlineLevel="0" collapsed="false">
      <c r="A2921" s="11" t="str">
        <f aca="false">TRIM('수출입 실적(품목별)'!A2925)</f>
        <v>2026.07</v>
      </c>
      <c r="B2921" s="17" t="n">
        <f aca="false">IFERROR(VALUE(LEFT($A2921,4)),"")</f>
        <v>2026</v>
      </c>
      <c r="C2921" s="17" t="n">
        <f aca="false">IFERROR(VALUE(RIGHT($A2921,2)),"")</f>
        <v>7</v>
      </c>
      <c r="D2921" s="17" t="n">
        <f aca="false">IFERROR(ROUNDUP($C2921/3,0),"")</f>
        <v>3</v>
      </c>
      <c r="E2921" s="11" t="str">
        <f aca="false">TRIM('수출입 실적(품목별)'!B2925)</f>
        <v>33</v>
      </c>
      <c r="F2921" s="11" t="str">
        <f aca="false">TRIM('수출입 실적(품목별)'!C2925)</f>
        <v>정유(essential oil)와 레지노이드(resinoid), 조제향료와 화장품ㆍ화장용품</v>
      </c>
      <c r="G2921" s="18" t="n">
        <f aca="false">IFERROR(VALUE(SUBSTITUTE(TRIM('수출입 실적(품목별)'!D2925),",","")),"")</f>
        <v>56396.3</v>
      </c>
      <c r="H2921" s="19" t="n">
        <f aca="false">IFERROR(VALUE(SUBSTITUTE(TRIM('수출입 실적(품목별)'!E2925),",","")),"")</f>
        <v>1304068</v>
      </c>
      <c r="I2921" s="18" t="n">
        <f aca="false">IFERROR(VALUE(SUBSTITUTE(TRIM('수출입 실적(품목별)'!F2925),",","")),"")</f>
        <v>10417.8</v>
      </c>
      <c r="J2921" s="19" t="n">
        <f aca="false">IFERROR(VALUE(SUBSTITUTE(TRIM('수출입 실적(품목별)'!G2925),",","")),"")</f>
        <v>197744</v>
      </c>
      <c r="K2921" s="19" t="n">
        <f aca="false">IFERROR(VALUE(SUBSTITUTE(TRIM('수출입 실적(품목별)'!H2925),",","")),"")</f>
        <v>1106324</v>
      </c>
    </row>
    <row r="2922" customFormat="false" ht="15" hidden="false" customHeight="true" outlineLevel="0" collapsed="false">
      <c r="A2922" s="11" t="str">
        <f aca="false">TRIM('수출입 실적(품목별)'!A2926)</f>
        <v>2026.07</v>
      </c>
      <c r="B2922" s="17" t="n">
        <f aca="false">IFERROR(VALUE(LEFT($A2922,4)),"")</f>
        <v>2026</v>
      </c>
      <c r="C2922" s="17" t="n">
        <f aca="false">IFERROR(VALUE(RIGHT($A2922,2)),"")</f>
        <v>7</v>
      </c>
      <c r="D2922" s="17" t="n">
        <f aca="false">IFERROR(ROUNDUP($C2922/3,0),"")</f>
        <v>3</v>
      </c>
      <c r="E2922" s="11" t="str">
        <f aca="false">TRIM('수출입 실적(품목별)'!B2926)</f>
        <v>34</v>
      </c>
      <c r="F2922" s="11" t="str">
        <f aca="false">TRIM('수출입 실적(품목별)'!C2926)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G2922" s="18" t="n">
        <f aca="false">IFERROR(VALUE(SUBSTITUTE(TRIM('수출입 실적(품목별)'!D2926),",","")),"")</f>
        <v>53232.3</v>
      </c>
      <c r="H2922" s="19" t="n">
        <f aca="false">IFERROR(VALUE(SUBSTITUTE(TRIM('수출입 실적(품목별)'!E2926),",","")),"")</f>
        <v>203414</v>
      </c>
      <c r="I2922" s="18" t="n">
        <f aca="false">IFERROR(VALUE(SUBSTITUTE(TRIM('수출입 실적(품목별)'!F2926),",","")),"")</f>
        <v>27857.4</v>
      </c>
      <c r="J2922" s="19" t="n">
        <f aca="false">IFERROR(VALUE(SUBSTITUTE(TRIM('수출입 실적(품목별)'!G2926),",","")),"")</f>
        <v>109166</v>
      </c>
      <c r="K2922" s="19" t="n">
        <f aca="false">IFERROR(VALUE(SUBSTITUTE(TRIM('수출입 실적(품목별)'!H2926),",","")),"")</f>
        <v>94248</v>
      </c>
    </row>
    <row r="2923" customFormat="false" ht="15" hidden="false" customHeight="true" outlineLevel="0" collapsed="false">
      <c r="A2923" s="11" t="str">
        <f aca="false">TRIM('수출입 실적(품목별)'!A2927)</f>
        <v>2026.07</v>
      </c>
      <c r="B2923" s="17" t="n">
        <f aca="false">IFERROR(VALUE(LEFT($A2923,4)),"")</f>
        <v>2026</v>
      </c>
      <c r="C2923" s="17" t="n">
        <f aca="false">IFERROR(VALUE(RIGHT($A2923,2)),"")</f>
        <v>7</v>
      </c>
      <c r="D2923" s="17" t="n">
        <f aca="false">IFERROR(ROUNDUP($C2923/3,0),"")</f>
        <v>3</v>
      </c>
      <c r="E2923" s="11" t="str">
        <f aca="false">TRIM('수출입 실적(품목별)'!B2927)</f>
        <v>35</v>
      </c>
      <c r="F2923" s="11" t="str">
        <f aca="false">TRIM('수출입 실적(품목별)'!C2927)</f>
        <v>단백질계 물질, 변성전분, 글루(glue), 효소</v>
      </c>
      <c r="G2923" s="18" t="n">
        <f aca="false">IFERROR(VALUE(SUBSTITUTE(TRIM('수출입 실적(품목별)'!D2927),",","")),"")</f>
        <v>8457.3</v>
      </c>
      <c r="H2923" s="19" t="n">
        <f aca="false">IFERROR(VALUE(SUBSTITUTE(TRIM('수출입 실적(품목별)'!E2927),",","")),"")</f>
        <v>94028</v>
      </c>
      <c r="I2923" s="18" t="n">
        <f aca="false">IFERROR(VALUE(SUBSTITUTE(TRIM('수출입 실적(품목별)'!F2927),",","")),"")</f>
        <v>21110.9</v>
      </c>
      <c r="J2923" s="19" t="n">
        <f aca="false">IFERROR(VALUE(SUBSTITUTE(TRIM('수출입 실적(품목별)'!G2927),",","")),"")</f>
        <v>93431</v>
      </c>
      <c r="K2923" s="19" t="n">
        <f aca="false">IFERROR(VALUE(SUBSTITUTE(TRIM('수출입 실적(품목별)'!H2927),",","")),"")</f>
        <v>597</v>
      </c>
    </row>
    <row r="2924" customFormat="false" ht="15" hidden="false" customHeight="true" outlineLevel="0" collapsed="false">
      <c r="A2924" s="11" t="str">
        <f aca="false">TRIM('수출입 실적(품목별)'!A2928)</f>
        <v>2026.07</v>
      </c>
      <c r="B2924" s="17" t="n">
        <f aca="false">IFERROR(VALUE(LEFT($A2924,4)),"")</f>
        <v>2026</v>
      </c>
      <c r="C2924" s="17" t="n">
        <f aca="false">IFERROR(VALUE(RIGHT($A2924,2)),"")</f>
        <v>7</v>
      </c>
      <c r="D2924" s="17" t="n">
        <f aca="false">IFERROR(ROUNDUP($C2924/3,0),"")</f>
        <v>3</v>
      </c>
      <c r="E2924" s="11" t="str">
        <f aca="false">TRIM('수출입 실적(품목별)'!B2928)</f>
        <v>36</v>
      </c>
      <c r="F2924" s="11" t="str">
        <f aca="false">TRIM('수출입 실적(품목별)'!C2928)</f>
        <v>화약류, 화공품, 성냥, 발화성 합금, 특정 가연성 조제품</v>
      </c>
      <c r="G2924" s="18" t="n">
        <f aca="false">IFERROR(VALUE(SUBSTITUTE(TRIM('수출입 실적(품목별)'!D2928),",","")),"")</f>
        <v>168</v>
      </c>
      <c r="H2924" s="19" t="n">
        <f aca="false">IFERROR(VALUE(SUBSTITUTE(TRIM('수출입 실적(품목별)'!E2928),",","")),"")</f>
        <v>5921</v>
      </c>
      <c r="I2924" s="18" t="n">
        <f aca="false">IFERROR(VALUE(SUBSTITUTE(TRIM('수출입 실적(품목별)'!F2928),",","")),"")</f>
        <v>155.6</v>
      </c>
      <c r="J2924" s="19" t="n">
        <f aca="false">IFERROR(VALUE(SUBSTITUTE(TRIM('수출입 실적(품목별)'!G2928),",","")),"")</f>
        <v>3199</v>
      </c>
      <c r="K2924" s="19" t="n">
        <f aca="false">IFERROR(VALUE(SUBSTITUTE(TRIM('수출입 실적(품목별)'!H2928),",","")),"")</f>
        <v>2721</v>
      </c>
    </row>
    <row r="2925" customFormat="false" ht="15" hidden="false" customHeight="true" outlineLevel="0" collapsed="false">
      <c r="A2925" s="11" t="str">
        <f aca="false">TRIM('수출입 실적(품목별)'!A2929)</f>
        <v>2026.07</v>
      </c>
      <c r="B2925" s="17" t="n">
        <f aca="false">IFERROR(VALUE(LEFT($A2925,4)),"")</f>
        <v>2026</v>
      </c>
      <c r="C2925" s="17" t="n">
        <f aca="false">IFERROR(VALUE(RIGHT($A2925,2)),"")</f>
        <v>7</v>
      </c>
      <c r="D2925" s="17" t="n">
        <f aca="false">IFERROR(ROUNDUP($C2925/3,0),"")</f>
        <v>3</v>
      </c>
      <c r="E2925" s="11" t="str">
        <f aca="false">TRIM('수출입 실적(품목별)'!B2929)</f>
        <v>37</v>
      </c>
      <c r="F2925" s="11" t="str">
        <f aca="false">TRIM('수출입 실적(품목별)'!C2929)</f>
        <v>사진용이나 영화용 재료</v>
      </c>
      <c r="G2925" s="18" t="n">
        <f aca="false">IFERROR(VALUE(SUBSTITUTE(TRIM('수출입 실적(품목별)'!D2929),",","")),"")</f>
        <v>1832.9</v>
      </c>
      <c r="H2925" s="19" t="n">
        <f aca="false">IFERROR(VALUE(SUBSTITUTE(TRIM('수출입 실적(품목별)'!E2929),",","")),"")</f>
        <v>108564</v>
      </c>
      <c r="I2925" s="18" t="n">
        <f aca="false">IFERROR(VALUE(SUBSTITUTE(TRIM('수출입 실적(품목별)'!F2929),",","")),"")</f>
        <v>2524.5</v>
      </c>
      <c r="J2925" s="19" t="n">
        <f aca="false">IFERROR(VALUE(SUBSTITUTE(TRIM('수출입 실적(품목별)'!G2929),",","")),"")</f>
        <v>105365</v>
      </c>
      <c r="K2925" s="19" t="n">
        <f aca="false">IFERROR(VALUE(SUBSTITUTE(TRIM('수출입 실적(품목별)'!H2929),",","")),"")</f>
        <v>3199</v>
      </c>
    </row>
    <row r="2926" customFormat="false" ht="15" hidden="false" customHeight="true" outlineLevel="0" collapsed="false">
      <c r="A2926" s="11" t="str">
        <f aca="false">TRIM('수출입 실적(품목별)'!A2930)</f>
        <v>2026.07</v>
      </c>
      <c r="B2926" s="17" t="n">
        <f aca="false">IFERROR(VALUE(LEFT($A2926,4)),"")</f>
        <v>2026</v>
      </c>
      <c r="C2926" s="17" t="n">
        <f aca="false">IFERROR(VALUE(RIGHT($A2926,2)),"")</f>
        <v>7</v>
      </c>
      <c r="D2926" s="17" t="n">
        <f aca="false">IFERROR(ROUNDUP($C2926/3,0),"")</f>
        <v>3</v>
      </c>
      <c r="E2926" s="11" t="str">
        <f aca="false">TRIM('수출입 실적(품목별)'!B2930)</f>
        <v>38</v>
      </c>
      <c r="F2926" s="11" t="str">
        <f aca="false">TRIM('수출입 실적(품목별)'!C2930)</f>
        <v>각종 화학공업 생산품</v>
      </c>
      <c r="G2926" s="18" t="n">
        <f aca="false">IFERROR(VALUE(SUBSTITUTE(TRIM('수출입 실적(품목별)'!D2930),",","")),"")</f>
        <v>160707.4</v>
      </c>
      <c r="H2926" s="19" t="n">
        <f aca="false">IFERROR(VALUE(SUBSTITUTE(TRIM('수출입 실적(품목별)'!E2930),",","")),"")</f>
        <v>745094</v>
      </c>
      <c r="I2926" s="18" t="n">
        <f aca="false">IFERROR(VALUE(SUBSTITUTE(TRIM('수출입 실적(품목별)'!F2930),",","")),"")</f>
        <v>183197.6</v>
      </c>
      <c r="J2926" s="19" t="n">
        <f aca="false">IFERROR(VALUE(SUBSTITUTE(TRIM('수출입 실적(품목별)'!G2930),",","")),"")</f>
        <v>937993</v>
      </c>
      <c r="K2926" s="19" t="n">
        <f aca="false">IFERROR(VALUE(SUBSTITUTE(TRIM('수출입 실적(품목별)'!H2930),",","")),"")</f>
        <v>-192900</v>
      </c>
    </row>
    <row r="2927" customFormat="false" ht="15" hidden="false" customHeight="true" outlineLevel="0" collapsed="false">
      <c r="A2927" s="11" t="str">
        <f aca="false">TRIM('수출입 실적(품목별)'!A2931)</f>
        <v>2026.07</v>
      </c>
      <c r="B2927" s="17" t="n">
        <f aca="false">IFERROR(VALUE(LEFT($A2927,4)),"")</f>
        <v>2026</v>
      </c>
      <c r="C2927" s="17" t="n">
        <f aca="false">IFERROR(VALUE(RIGHT($A2927,2)),"")</f>
        <v>7</v>
      </c>
      <c r="D2927" s="17" t="n">
        <f aca="false">IFERROR(ROUNDUP($C2927/3,0),"")</f>
        <v>3</v>
      </c>
      <c r="E2927" s="11" t="str">
        <f aca="false">TRIM('수출입 실적(품목별)'!B2931)</f>
        <v>39</v>
      </c>
      <c r="F2927" s="11" t="str">
        <f aca="false">TRIM('수출입 실적(품목별)'!C2931)</f>
        <v>플라스틱과 그 제품</v>
      </c>
      <c r="G2927" s="18" t="n">
        <f aca="false">IFERROR(VALUE(SUBSTITUTE(TRIM('수출입 실적(품목별)'!D2931),",","")),"")</f>
        <v>1513045.7</v>
      </c>
      <c r="H2927" s="19" t="n">
        <f aca="false">IFERROR(VALUE(SUBSTITUTE(TRIM('수출입 실적(품목별)'!E2931),",","")),"")</f>
        <v>3405002</v>
      </c>
      <c r="I2927" s="18" t="n">
        <f aca="false">IFERROR(VALUE(SUBSTITUTE(TRIM('수출입 실적(품목별)'!F2931),",","")),"")</f>
        <v>279500.1</v>
      </c>
      <c r="J2927" s="19" t="n">
        <f aca="false">IFERROR(VALUE(SUBSTITUTE(TRIM('수출입 실적(품목별)'!G2931),",","")),"")</f>
        <v>1287910</v>
      </c>
      <c r="K2927" s="19" t="n">
        <f aca="false">IFERROR(VALUE(SUBSTITUTE(TRIM('수출입 실적(품목별)'!H2931),",","")),"")</f>
        <v>2117091</v>
      </c>
    </row>
    <row r="2928" customFormat="false" ht="15" hidden="false" customHeight="true" outlineLevel="0" collapsed="false">
      <c r="A2928" s="11" t="str">
        <f aca="false">TRIM('수출입 실적(품목별)'!A2932)</f>
        <v>2026.07</v>
      </c>
      <c r="B2928" s="17" t="n">
        <f aca="false">IFERROR(VALUE(LEFT($A2928,4)),"")</f>
        <v>2026</v>
      </c>
      <c r="C2928" s="17" t="n">
        <f aca="false">IFERROR(VALUE(RIGHT($A2928,2)),"")</f>
        <v>7</v>
      </c>
      <c r="D2928" s="17" t="n">
        <f aca="false">IFERROR(ROUNDUP($C2928/3,0),"")</f>
        <v>3</v>
      </c>
      <c r="E2928" s="11" t="str">
        <f aca="false">TRIM('수출입 실적(품목별)'!B2932)</f>
        <v>40</v>
      </c>
      <c r="F2928" s="11" t="str">
        <f aca="false">TRIM('수출입 실적(품목별)'!C2932)</f>
        <v>고무와 그 제품</v>
      </c>
      <c r="G2928" s="18" t="n">
        <f aca="false">IFERROR(VALUE(SUBSTITUTE(TRIM('수출입 실적(품목별)'!D2932),",","")),"")</f>
        <v>261675.3</v>
      </c>
      <c r="H2928" s="19" t="n">
        <f aca="false">IFERROR(VALUE(SUBSTITUTE(TRIM('수출입 실적(품목별)'!E2932),",","")),"")</f>
        <v>753662</v>
      </c>
      <c r="I2928" s="18" t="n">
        <f aca="false">IFERROR(VALUE(SUBSTITUTE(TRIM('수출입 실적(품목별)'!F2932),",","")),"")</f>
        <v>86968.2</v>
      </c>
      <c r="J2928" s="19" t="n">
        <f aca="false">IFERROR(VALUE(SUBSTITUTE(TRIM('수출입 실적(품목별)'!G2932),",","")),"")</f>
        <v>290065</v>
      </c>
      <c r="K2928" s="19" t="n">
        <f aca="false">IFERROR(VALUE(SUBSTITUTE(TRIM('수출입 실적(품목별)'!H2932),",","")),"")</f>
        <v>463598</v>
      </c>
    </row>
    <row r="2929" customFormat="false" ht="15" hidden="false" customHeight="true" outlineLevel="0" collapsed="false">
      <c r="A2929" s="11" t="str">
        <f aca="false">TRIM('수출입 실적(품목별)'!A2933)</f>
        <v>2026.07</v>
      </c>
      <c r="B2929" s="17" t="n">
        <f aca="false">IFERROR(VALUE(LEFT($A2929,4)),"")</f>
        <v>2026</v>
      </c>
      <c r="C2929" s="17" t="n">
        <f aca="false">IFERROR(VALUE(RIGHT($A2929,2)),"")</f>
        <v>7</v>
      </c>
      <c r="D2929" s="17" t="n">
        <f aca="false">IFERROR(ROUNDUP($C2929/3,0),"")</f>
        <v>3</v>
      </c>
      <c r="E2929" s="11" t="str">
        <f aca="false">TRIM('수출입 실적(품목별)'!B2933)</f>
        <v>41</v>
      </c>
      <c r="F2929" s="11" t="str">
        <f aca="false">TRIM('수출입 실적(품목별)'!C2933)</f>
        <v>원피(모피는 제외한다)와 가죽</v>
      </c>
      <c r="G2929" s="18" t="n">
        <f aca="false">IFERROR(VALUE(SUBSTITUTE(TRIM('수출입 실적(품목별)'!D2933),",","")),"")</f>
        <v>2547.8</v>
      </c>
      <c r="H2929" s="19" t="n">
        <f aca="false">IFERROR(VALUE(SUBSTITUTE(TRIM('수출입 실적(품목별)'!E2933),",","")),"")</f>
        <v>24275</v>
      </c>
      <c r="I2929" s="18" t="n">
        <f aca="false">IFERROR(VALUE(SUBSTITUTE(TRIM('수출입 실적(품목별)'!F2933),",","")),"")</f>
        <v>6633.6</v>
      </c>
      <c r="J2929" s="19" t="n">
        <f aca="false">IFERROR(VALUE(SUBSTITUTE(TRIM('수출입 실적(품목별)'!G2933),",","")),"")</f>
        <v>22779</v>
      </c>
      <c r="K2929" s="19" t="n">
        <f aca="false">IFERROR(VALUE(SUBSTITUTE(TRIM('수출입 실적(품목별)'!H2933),",","")),"")</f>
        <v>1495</v>
      </c>
    </row>
    <row r="2930" customFormat="false" ht="15" hidden="false" customHeight="true" outlineLevel="0" collapsed="false">
      <c r="A2930" s="11" t="str">
        <f aca="false">TRIM('수출입 실적(품목별)'!A2934)</f>
        <v>2026.07</v>
      </c>
      <c r="B2930" s="17" t="n">
        <f aca="false">IFERROR(VALUE(LEFT($A2930,4)),"")</f>
        <v>2026</v>
      </c>
      <c r="C2930" s="17" t="n">
        <f aca="false">IFERROR(VALUE(RIGHT($A2930,2)),"")</f>
        <v>7</v>
      </c>
      <c r="D2930" s="17" t="n">
        <f aca="false">IFERROR(ROUNDUP($C2930/3,0),"")</f>
        <v>3</v>
      </c>
      <c r="E2930" s="11" t="str">
        <f aca="false">TRIM('수출입 실적(품목별)'!B2934)</f>
        <v>42</v>
      </c>
      <c r="F2930" s="11" t="str">
        <f aca="false">TRIM('수출입 실적(품목별)'!C2934)</f>
        <v>가죽제품, 마구, 여행용구ㆍ핸드백과 이와 유사한 용기, 동물 거트(gut)[누에의 거트(gut)는 제외한다]의 제품</v>
      </c>
      <c r="G2930" s="18" t="n">
        <f aca="false">IFERROR(VALUE(SUBSTITUTE(TRIM('수출입 실적(품목별)'!D2934),",","")),"")</f>
        <v>1051</v>
      </c>
      <c r="H2930" s="19" t="n">
        <f aca="false">IFERROR(VALUE(SUBSTITUTE(TRIM('수출입 실적(품목별)'!E2934),",","")),"")</f>
        <v>68664</v>
      </c>
      <c r="I2930" s="18" t="n">
        <f aca="false">IFERROR(VALUE(SUBSTITUTE(TRIM('수출입 실적(품목별)'!F2934),",","")),"")</f>
        <v>9545</v>
      </c>
      <c r="J2930" s="19" t="n">
        <f aca="false">IFERROR(VALUE(SUBSTITUTE(TRIM('수출입 실적(품목별)'!G2934),",","")),"")</f>
        <v>313840</v>
      </c>
      <c r="K2930" s="19" t="n">
        <f aca="false">IFERROR(VALUE(SUBSTITUTE(TRIM('수출입 실적(품목별)'!H2934),",","")),"")</f>
        <v>-245175</v>
      </c>
    </row>
    <row r="2931" customFormat="false" ht="15" hidden="false" customHeight="true" outlineLevel="0" collapsed="false">
      <c r="A2931" s="11" t="str">
        <f aca="false">TRIM('수출입 실적(품목별)'!A2935)</f>
        <v>2026.07</v>
      </c>
      <c r="B2931" s="17" t="n">
        <f aca="false">IFERROR(VALUE(LEFT($A2931,4)),"")</f>
        <v>2026</v>
      </c>
      <c r="C2931" s="17" t="n">
        <f aca="false">IFERROR(VALUE(RIGHT($A2931,2)),"")</f>
        <v>7</v>
      </c>
      <c r="D2931" s="17" t="n">
        <f aca="false">IFERROR(ROUNDUP($C2931/3,0),"")</f>
        <v>3</v>
      </c>
      <c r="E2931" s="11" t="str">
        <f aca="false">TRIM('수출입 실적(품목별)'!B2935)</f>
        <v>43</v>
      </c>
      <c r="F2931" s="11" t="str">
        <f aca="false">TRIM('수출입 실적(품목별)'!C2935)</f>
        <v>모피ㆍ인조모피와 이들의 제품</v>
      </c>
      <c r="G2931" s="18" t="n">
        <f aca="false">IFERROR(VALUE(SUBSTITUTE(TRIM('수출입 실적(품목별)'!D2935),",","")),"")</f>
        <v>6.6</v>
      </c>
      <c r="H2931" s="19" t="n">
        <f aca="false">IFERROR(VALUE(SUBSTITUTE(TRIM('수출입 실적(품목별)'!E2935),",","")),"")</f>
        <v>1011</v>
      </c>
      <c r="I2931" s="18" t="n">
        <f aca="false">IFERROR(VALUE(SUBSTITUTE(TRIM('수출입 실적(품목별)'!F2935),",","")),"")</f>
        <v>75.8</v>
      </c>
      <c r="J2931" s="19" t="n">
        <f aca="false">IFERROR(VALUE(SUBSTITUTE(TRIM('수출입 실적(품목별)'!G2935),",","")),"")</f>
        <v>17190</v>
      </c>
      <c r="K2931" s="19" t="n">
        <f aca="false">IFERROR(VALUE(SUBSTITUTE(TRIM('수출입 실적(품목별)'!H2935),",","")),"")</f>
        <v>-16179</v>
      </c>
    </row>
    <row r="2932" customFormat="false" ht="15" hidden="false" customHeight="true" outlineLevel="0" collapsed="false">
      <c r="A2932" s="11" t="str">
        <f aca="false">TRIM('수출입 실적(품목별)'!A2936)</f>
        <v>2026.07</v>
      </c>
      <c r="B2932" s="17" t="n">
        <f aca="false">IFERROR(VALUE(LEFT($A2932,4)),"")</f>
        <v>2026</v>
      </c>
      <c r="C2932" s="17" t="n">
        <f aca="false">IFERROR(VALUE(RIGHT($A2932,2)),"")</f>
        <v>7</v>
      </c>
      <c r="D2932" s="17" t="n">
        <f aca="false">IFERROR(ROUNDUP($C2932/3,0),"")</f>
        <v>3</v>
      </c>
      <c r="E2932" s="11" t="str">
        <f aca="false">TRIM('수출입 실적(품목별)'!B2936)</f>
        <v>44</v>
      </c>
      <c r="F2932" s="11" t="str">
        <f aca="false">TRIM('수출입 실적(품목별)'!C2936)</f>
        <v>목재와 그 제품, 목탄</v>
      </c>
      <c r="G2932" s="18" t="n">
        <f aca="false">IFERROR(VALUE(SUBSTITUTE(TRIM('수출입 실적(품목별)'!D2936),",","")),"")</f>
        <v>4691</v>
      </c>
      <c r="H2932" s="19" t="n">
        <f aca="false">IFERROR(VALUE(SUBSTITUTE(TRIM('수출입 실적(품목별)'!E2936),",","")),"")</f>
        <v>7814</v>
      </c>
      <c r="I2932" s="18" t="n">
        <f aca="false">IFERROR(VALUE(SUBSTITUTE(TRIM('수출입 실적(품목별)'!F2936),",","")),"")</f>
        <v>642708.9</v>
      </c>
      <c r="J2932" s="19" t="n">
        <f aca="false">IFERROR(VALUE(SUBSTITUTE(TRIM('수출입 실적(품목별)'!G2936),",","")),"")</f>
        <v>210222</v>
      </c>
      <c r="K2932" s="19" t="n">
        <f aca="false">IFERROR(VALUE(SUBSTITUTE(TRIM('수출입 실적(품목별)'!H2936),",","")),"")</f>
        <v>-202408</v>
      </c>
    </row>
    <row r="2933" customFormat="false" ht="15" hidden="false" customHeight="true" outlineLevel="0" collapsed="false">
      <c r="A2933" s="11" t="str">
        <f aca="false">TRIM('수출입 실적(품목별)'!A2937)</f>
        <v>2026.07</v>
      </c>
      <c r="B2933" s="17" t="n">
        <f aca="false">IFERROR(VALUE(LEFT($A2933,4)),"")</f>
        <v>2026</v>
      </c>
      <c r="C2933" s="17" t="n">
        <f aca="false">IFERROR(VALUE(RIGHT($A2933,2)),"")</f>
        <v>7</v>
      </c>
      <c r="D2933" s="17" t="n">
        <f aca="false">IFERROR(ROUNDUP($C2933/3,0),"")</f>
        <v>3</v>
      </c>
      <c r="E2933" s="11" t="str">
        <f aca="false">TRIM('수출입 실적(품목별)'!B2937)</f>
        <v>45</v>
      </c>
      <c r="F2933" s="11" t="str">
        <f aca="false">TRIM('수출입 실적(품목별)'!C2937)</f>
        <v>코르크(cork)와 그 제품</v>
      </c>
      <c r="G2933" s="18" t="n">
        <f aca="false">IFERROR(VALUE(SUBSTITUTE(TRIM('수출입 실적(품목별)'!D2937),",","")),"")</f>
        <v>0.8</v>
      </c>
      <c r="H2933" s="19" t="n">
        <f aca="false">IFERROR(VALUE(SUBSTITUTE(TRIM('수출입 실적(품목별)'!E2937),",","")),"")</f>
        <v>24</v>
      </c>
      <c r="I2933" s="18" t="n">
        <f aca="false">IFERROR(VALUE(SUBSTITUTE(TRIM('수출입 실적(품목별)'!F2937),",","")),"")</f>
        <v>57.3</v>
      </c>
      <c r="J2933" s="19" t="n">
        <f aca="false">IFERROR(VALUE(SUBSTITUTE(TRIM('수출입 실적(품목별)'!G2937),",","")),"")</f>
        <v>429</v>
      </c>
      <c r="K2933" s="19" t="n">
        <f aca="false">IFERROR(VALUE(SUBSTITUTE(TRIM('수출입 실적(품목별)'!H2937),",","")),"")</f>
        <v>-405</v>
      </c>
    </row>
    <row r="2934" customFormat="false" ht="15" hidden="false" customHeight="true" outlineLevel="0" collapsed="false">
      <c r="A2934" s="11" t="str">
        <f aca="false">TRIM('수출입 실적(품목별)'!A2938)</f>
        <v>2026.07</v>
      </c>
      <c r="B2934" s="17" t="n">
        <f aca="false">IFERROR(VALUE(LEFT($A2934,4)),"")</f>
        <v>2026</v>
      </c>
      <c r="C2934" s="17" t="n">
        <f aca="false">IFERROR(VALUE(RIGHT($A2934,2)),"")</f>
        <v>7</v>
      </c>
      <c r="D2934" s="17" t="n">
        <f aca="false">IFERROR(ROUNDUP($C2934/3,0),"")</f>
        <v>3</v>
      </c>
      <c r="E2934" s="11" t="str">
        <f aca="false">TRIM('수출입 실적(품목별)'!B2938)</f>
        <v>46</v>
      </c>
      <c r="F2934" s="11" t="str">
        <f aca="false">TRIM('수출입 실적(품목별)'!C2938)</f>
        <v>짚ㆍ에스파르토(esparto)나 그 밖의 조물 재료의 제품, 바구니 세공물(basketware)과 지조세공물(枝條細工物)</v>
      </c>
      <c r="G2934" s="18" t="n">
        <f aca="false">IFERROR(VALUE(SUBSTITUTE(TRIM('수출입 실적(품목별)'!D2938),",","")),"")</f>
        <v>1.6</v>
      </c>
      <c r="H2934" s="19" t="n">
        <f aca="false">IFERROR(VALUE(SUBSTITUTE(TRIM('수출입 실적(품목별)'!E2938),",","")),"")</f>
        <v>64</v>
      </c>
      <c r="I2934" s="18" t="n">
        <f aca="false">IFERROR(VALUE(SUBSTITUTE(TRIM('수출입 실적(품목별)'!F2938),",","")),"")</f>
        <v>312.4</v>
      </c>
      <c r="J2934" s="19" t="n">
        <f aca="false">IFERROR(VALUE(SUBSTITUTE(TRIM('수출입 실적(품목별)'!G2938),",","")),"")</f>
        <v>1768</v>
      </c>
      <c r="K2934" s="19" t="n">
        <f aca="false">IFERROR(VALUE(SUBSTITUTE(TRIM('수출입 실적(품목별)'!H2938),",","")),"")</f>
        <v>-1704</v>
      </c>
    </row>
    <row r="2935" customFormat="false" ht="15" hidden="false" customHeight="true" outlineLevel="0" collapsed="false">
      <c r="A2935" s="11" t="str">
        <f aca="false">TRIM('수출입 실적(품목별)'!A2939)</f>
        <v>2026.07</v>
      </c>
      <c r="B2935" s="17" t="n">
        <f aca="false">IFERROR(VALUE(LEFT($A2935,4)),"")</f>
        <v>2026</v>
      </c>
      <c r="C2935" s="17" t="n">
        <f aca="false">IFERROR(VALUE(RIGHT($A2935,2)),"")</f>
        <v>7</v>
      </c>
      <c r="D2935" s="17" t="n">
        <f aca="false">IFERROR(ROUNDUP($C2935/3,0),"")</f>
        <v>3</v>
      </c>
      <c r="E2935" s="11" t="str">
        <f aca="false">TRIM('수출입 실적(품목별)'!B2939)</f>
        <v>47</v>
      </c>
      <c r="F2935" s="11" t="str">
        <f aca="false">TRIM('수출입 실적(품목별)'!C2939)</f>
        <v>목재나 그 밖의 섬유질 셀룰로오스재료의 펄프, 회수한 종이ㆍ판지[웨이스트(waste)와 스크랩(scrap)]</v>
      </c>
      <c r="G2935" s="18" t="n">
        <f aca="false">IFERROR(VALUE(SUBSTITUTE(TRIM('수출입 실적(품목별)'!D2939),",","")),"")</f>
        <v>41003.6</v>
      </c>
      <c r="H2935" s="19" t="n">
        <f aca="false">IFERROR(VALUE(SUBSTITUTE(TRIM('수출입 실적(품목별)'!E2939),",","")),"")</f>
        <v>7894</v>
      </c>
      <c r="I2935" s="18" t="n">
        <f aca="false">IFERROR(VALUE(SUBSTITUTE(TRIM('수출입 실적(품목별)'!F2939),",","")),"")</f>
        <v>252182</v>
      </c>
      <c r="J2935" s="19" t="n">
        <f aca="false">IFERROR(VALUE(SUBSTITUTE(TRIM('수출입 실적(품목별)'!G2939),",","")),"")</f>
        <v>130938</v>
      </c>
      <c r="K2935" s="19" t="n">
        <f aca="false">IFERROR(VALUE(SUBSTITUTE(TRIM('수출입 실적(품목별)'!H2939),",","")),"")</f>
        <v>-123044</v>
      </c>
    </row>
    <row r="2936" customFormat="false" ht="15" hidden="false" customHeight="true" outlineLevel="0" collapsed="false">
      <c r="A2936" s="11" t="str">
        <f aca="false">TRIM('수출입 실적(품목별)'!A2940)</f>
        <v>2026.07</v>
      </c>
      <c r="B2936" s="17" t="n">
        <f aca="false">IFERROR(VALUE(LEFT($A2936,4)),"")</f>
        <v>2026</v>
      </c>
      <c r="C2936" s="17" t="n">
        <f aca="false">IFERROR(VALUE(RIGHT($A2936,2)),"")</f>
        <v>7</v>
      </c>
      <c r="D2936" s="17" t="n">
        <f aca="false">IFERROR(ROUNDUP($C2936/3,0),"")</f>
        <v>3</v>
      </c>
      <c r="E2936" s="11" t="str">
        <f aca="false">TRIM('수출입 실적(품목별)'!B2940)</f>
        <v>48</v>
      </c>
      <c r="F2936" s="11" t="str">
        <f aca="false">TRIM('수출입 실적(품목별)'!C2940)</f>
        <v>종이와 판지, 제지용 펄프ㆍ종이ㆍ판지의 제품</v>
      </c>
      <c r="G2936" s="18" t="n">
        <f aca="false">IFERROR(VALUE(SUBSTITUTE(TRIM('수출입 실적(품목별)'!D2940),",","")),"")</f>
        <v>240429</v>
      </c>
      <c r="H2936" s="19" t="n">
        <f aca="false">IFERROR(VALUE(SUBSTITUTE(TRIM('수출입 실적(품목별)'!E2940),",","")),"")</f>
        <v>247355</v>
      </c>
      <c r="I2936" s="18" t="n">
        <f aca="false">IFERROR(VALUE(SUBSTITUTE(TRIM('수출입 실적(품목별)'!F2940),",","")),"")</f>
        <v>137438.2</v>
      </c>
      <c r="J2936" s="19" t="n">
        <f aca="false">IFERROR(VALUE(SUBSTITUTE(TRIM('수출입 실적(품목별)'!G2940),",","")),"")</f>
        <v>197258</v>
      </c>
      <c r="K2936" s="19" t="n">
        <f aca="false">IFERROR(VALUE(SUBSTITUTE(TRIM('수출입 실적(품목별)'!H2940),",","")),"")</f>
        <v>50098</v>
      </c>
    </row>
    <row r="2937" customFormat="false" ht="15" hidden="false" customHeight="true" outlineLevel="0" collapsed="false">
      <c r="A2937" s="11" t="str">
        <f aca="false">TRIM('수출입 실적(품목별)'!A2941)</f>
        <v>2026.07</v>
      </c>
      <c r="B2937" s="17" t="n">
        <f aca="false">IFERROR(VALUE(LEFT($A2937,4)),"")</f>
        <v>2026</v>
      </c>
      <c r="C2937" s="17" t="n">
        <f aca="false">IFERROR(VALUE(RIGHT($A2937,2)),"")</f>
        <v>7</v>
      </c>
      <c r="D2937" s="17" t="n">
        <f aca="false">IFERROR(ROUNDUP($C2937/3,0),"")</f>
        <v>3</v>
      </c>
      <c r="E2937" s="11" t="str">
        <f aca="false">TRIM('수출입 실적(품목별)'!B2941)</f>
        <v>49</v>
      </c>
      <c r="F2937" s="11" t="str">
        <f aca="false">TRIM('수출입 실적(품목별)'!C2941)</f>
        <v>인쇄서적ㆍ신문ㆍ회화ㆍ그 밖의 인쇄물, 수제(手製)문서ㆍ타자문서ㆍ도면</v>
      </c>
      <c r="G2937" s="18" t="n">
        <f aca="false">IFERROR(VALUE(SUBSTITUTE(TRIM('수출입 실적(품목별)'!D2941),",","")),"")</f>
        <v>8434.5</v>
      </c>
      <c r="H2937" s="19" t="n">
        <f aca="false">IFERROR(VALUE(SUBSTITUTE(TRIM('수출입 실적(품목별)'!E2941),",","")),"")</f>
        <v>56112</v>
      </c>
      <c r="I2937" s="18" t="n">
        <f aca="false">IFERROR(VALUE(SUBSTITUTE(TRIM('수출입 실적(품목별)'!F2941),",","")),"")</f>
        <v>1308.1</v>
      </c>
      <c r="J2937" s="19" t="n">
        <f aca="false">IFERROR(VALUE(SUBSTITUTE(TRIM('수출입 실적(품목별)'!G2941),",","")),"")</f>
        <v>27119</v>
      </c>
      <c r="K2937" s="19" t="n">
        <f aca="false">IFERROR(VALUE(SUBSTITUTE(TRIM('수출입 실적(품목별)'!H2941),",","")),"")</f>
        <v>28993</v>
      </c>
    </row>
    <row r="2938" customFormat="false" ht="15" hidden="false" customHeight="true" outlineLevel="0" collapsed="false">
      <c r="A2938" s="11" t="str">
        <f aca="false">TRIM('수출입 실적(품목별)'!A2942)</f>
        <v>2026.07</v>
      </c>
      <c r="B2938" s="17" t="n">
        <f aca="false">IFERROR(VALUE(LEFT($A2938,4)),"")</f>
        <v>2026</v>
      </c>
      <c r="C2938" s="17" t="n">
        <f aca="false">IFERROR(VALUE(RIGHT($A2938,2)),"")</f>
        <v>7</v>
      </c>
      <c r="D2938" s="17" t="n">
        <f aca="false">IFERROR(ROUNDUP($C2938/3,0),"")</f>
        <v>3</v>
      </c>
      <c r="E2938" s="11" t="str">
        <f aca="false">TRIM('수출입 실적(품목별)'!B2942)</f>
        <v>50</v>
      </c>
      <c r="F2938" s="11" t="str">
        <f aca="false">TRIM('수출입 실적(품목별)'!C2942)</f>
        <v>견</v>
      </c>
      <c r="G2938" s="18" t="n">
        <f aca="false">IFERROR(VALUE(SUBSTITUTE(TRIM('수출입 실적(품목별)'!D2942),",","")),"")</f>
        <v>16</v>
      </c>
      <c r="H2938" s="19" t="n">
        <f aca="false">IFERROR(VALUE(SUBSTITUTE(TRIM('수출입 실적(품목별)'!E2942),",","")),"")</f>
        <v>2521</v>
      </c>
      <c r="I2938" s="18" t="n">
        <f aca="false">IFERROR(VALUE(SUBSTITUTE(TRIM('수출입 실적(품목별)'!F2942),",","")),"")</f>
        <v>29.8</v>
      </c>
      <c r="J2938" s="19" t="n">
        <f aca="false">IFERROR(VALUE(SUBSTITUTE(TRIM('수출입 실적(품목별)'!G2942),",","")),"")</f>
        <v>2719</v>
      </c>
      <c r="K2938" s="19" t="n">
        <f aca="false">IFERROR(VALUE(SUBSTITUTE(TRIM('수출입 실적(품목별)'!H2942),",","")),"")</f>
        <v>-198</v>
      </c>
    </row>
    <row r="2939" customFormat="false" ht="15" hidden="false" customHeight="true" outlineLevel="0" collapsed="false">
      <c r="A2939" s="11" t="str">
        <f aca="false">TRIM('수출입 실적(품목별)'!A2943)</f>
        <v>2026.07</v>
      </c>
      <c r="B2939" s="17" t="n">
        <f aca="false">IFERROR(VALUE(LEFT($A2939,4)),"")</f>
        <v>2026</v>
      </c>
      <c r="C2939" s="17" t="n">
        <f aca="false">IFERROR(VALUE(RIGHT($A2939,2)),"")</f>
        <v>7</v>
      </c>
      <c r="D2939" s="17" t="n">
        <f aca="false">IFERROR(ROUNDUP($C2939/3,0),"")</f>
        <v>3</v>
      </c>
      <c r="E2939" s="11" t="str">
        <f aca="false">TRIM('수출입 실적(품목별)'!B2943)</f>
        <v>51</v>
      </c>
      <c r="F2939" s="11" t="str">
        <f aca="false">TRIM('수출입 실적(품목별)'!C2943)</f>
        <v>양모ㆍ동물의 부드러운 털이나 거친 털ㆍ말의 털로 만든 실과 직물</v>
      </c>
      <c r="G2939" s="18" t="n">
        <f aca="false">IFERROR(VALUE(SUBSTITUTE(TRIM('수출입 실적(품목별)'!D2943),",","")),"")</f>
        <v>296.4</v>
      </c>
      <c r="H2939" s="19" t="n">
        <f aca="false">IFERROR(VALUE(SUBSTITUTE(TRIM('수출입 실적(품목별)'!E2943),",","")),"")</f>
        <v>5200</v>
      </c>
      <c r="I2939" s="18" t="n">
        <f aca="false">IFERROR(VALUE(SUBSTITUTE(TRIM('수출입 실적(품목별)'!F2943),",","")),"")</f>
        <v>750</v>
      </c>
      <c r="J2939" s="19" t="n">
        <f aca="false">IFERROR(VALUE(SUBSTITUTE(TRIM('수출입 실적(품목별)'!G2943),",","")),"")</f>
        <v>22236</v>
      </c>
      <c r="K2939" s="19" t="n">
        <f aca="false">IFERROR(VALUE(SUBSTITUTE(TRIM('수출입 실적(품목별)'!H2943),",","")),"")</f>
        <v>-17036</v>
      </c>
    </row>
    <row r="2940" customFormat="false" ht="15" hidden="false" customHeight="true" outlineLevel="0" collapsed="false">
      <c r="A2940" s="11" t="str">
        <f aca="false">TRIM('수출입 실적(품목별)'!A2944)</f>
        <v>2026.07</v>
      </c>
      <c r="B2940" s="17" t="n">
        <f aca="false">IFERROR(VALUE(LEFT($A2940,4)),"")</f>
        <v>2026</v>
      </c>
      <c r="C2940" s="17" t="n">
        <f aca="false">IFERROR(VALUE(RIGHT($A2940,2)),"")</f>
        <v>7</v>
      </c>
      <c r="D2940" s="17" t="n">
        <f aca="false">IFERROR(ROUNDUP($C2940/3,0),"")</f>
        <v>3</v>
      </c>
      <c r="E2940" s="11" t="str">
        <f aca="false">TRIM('수출입 실적(품목별)'!B2944)</f>
        <v>52</v>
      </c>
      <c r="F2940" s="11" t="str">
        <f aca="false">TRIM('수출입 실적(품목별)'!C2944)</f>
        <v>면</v>
      </c>
      <c r="G2940" s="18" t="n">
        <f aca="false">IFERROR(VALUE(SUBSTITUTE(TRIM('수출입 실적(품목별)'!D2944),",","")),"")</f>
        <v>2823</v>
      </c>
      <c r="H2940" s="19" t="n">
        <f aca="false">IFERROR(VALUE(SUBSTITUTE(TRIM('수출입 실적(품목별)'!E2944),",","")),"")</f>
        <v>24752</v>
      </c>
      <c r="I2940" s="18" t="n">
        <f aca="false">IFERROR(VALUE(SUBSTITUTE(TRIM('수출입 실적(품목별)'!F2944),",","")),"")</f>
        <v>18141.4</v>
      </c>
      <c r="J2940" s="19" t="n">
        <f aca="false">IFERROR(VALUE(SUBSTITUTE(TRIM('수출입 실적(품목별)'!G2944),",","")),"")</f>
        <v>59198</v>
      </c>
      <c r="K2940" s="19" t="n">
        <f aca="false">IFERROR(VALUE(SUBSTITUTE(TRIM('수출입 실적(품목별)'!H2944),",","")),"")</f>
        <v>-34446</v>
      </c>
    </row>
    <row r="2941" customFormat="false" ht="15" hidden="false" customHeight="true" outlineLevel="0" collapsed="false">
      <c r="A2941" s="11" t="str">
        <f aca="false">TRIM('수출입 실적(품목별)'!A2945)</f>
        <v>2026.07</v>
      </c>
      <c r="B2941" s="17" t="n">
        <f aca="false">IFERROR(VALUE(LEFT($A2941,4)),"")</f>
        <v>2026</v>
      </c>
      <c r="C2941" s="17" t="n">
        <f aca="false">IFERROR(VALUE(RIGHT($A2941,2)),"")</f>
        <v>7</v>
      </c>
      <c r="D2941" s="17" t="n">
        <f aca="false">IFERROR(ROUNDUP($C2941/3,0),"")</f>
        <v>3</v>
      </c>
      <c r="E2941" s="11" t="str">
        <f aca="false">TRIM('수출입 실적(품목별)'!B2945)</f>
        <v>53</v>
      </c>
      <c r="F2941" s="11" t="str">
        <f aca="false">TRIM('수출입 실적(품목별)'!C2945)</f>
        <v>그 밖의 식물성 방직용 섬유, 종이실(paper yarn)과 종이실로 만든 직물</v>
      </c>
      <c r="G2941" s="18" t="n">
        <f aca="false">IFERROR(VALUE(SUBSTITUTE(TRIM('수출입 실적(품목별)'!D2945),",","")),"")</f>
        <v>14.6</v>
      </c>
      <c r="H2941" s="19" t="n">
        <f aca="false">IFERROR(VALUE(SUBSTITUTE(TRIM('수출입 실적(품목별)'!E2945),",","")),"")</f>
        <v>157</v>
      </c>
      <c r="I2941" s="18" t="n">
        <f aca="false">IFERROR(VALUE(SUBSTITUTE(TRIM('수출입 실적(품목별)'!F2945),",","")),"")</f>
        <v>1001.8</v>
      </c>
      <c r="J2941" s="19" t="n">
        <f aca="false">IFERROR(VALUE(SUBSTITUTE(TRIM('수출입 실적(품목별)'!G2945),",","")),"")</f>
        <v>3302</v>
      </c>
      <c r="K2941" s="19" t="n">
        <f aca="false">IFERROR(VALUE(SUBSTITUTE(TRIM('수출입 실적(품목별)'!H2945),",","")),"")</f>
        <v>-3145</v>
      </c>
    </row>
    <row r="2942" customFormat="false" ht="15" hidden="false" customHeight="true" outlineLevel="0" collapsed="false">
      <c r="A2942" s="11" t="str">
        <f aca="false">TRIM('수출입 실적(품목별)'!A2946)</f>
        <v>2026.07</v>
      </c>
      <c r="B2942" s="17" t="n">
        <f aca="false">IFERROR(VALUE(LEFT($A2942,4)),"")</f>
        <v>2026</v>
      </c>
      <c r="C2942" s="17" t="n">
        <f aca="false">IFERROR(VALUE(RIGHT($A2942,2)),"")</f>
        <v>7</v>
      </c>
      <c r="D2942" s="17" t="n">
        <f aca="false">IFERROR(ROUNDUP($C2942/3,0),"")</f>
        <v>3</v>
      </c>
      <c r="E2942" s="11" t="str">
        <f aca="false">TRIM('수출입 실적(품목별)'!B2946)</f>
        <v>54</v>
      </c>
      <c r="F2942" s="11" t="str">
        <f aca="false">TRIM('수출입 실적(품목별)'!C2946)</f>
        <v>인조필라멘트, 인조방직용 섬유재료의 스트립(strip)과 이와 유사한 것</v>
      </c>
      <c r="G2942" s="18" t="n">
        <f aca="false">IFERROR(VALUE(SUBSTITUTE(TRIM('수출입 실적(품목별)'!D2946),",","")),"")</f>
        <v>21489.6</v>
      </c>
      <c r="H2942" s="19" t="n">
        <f aca="false">IFERROR(VALUE(SUBSTITUTE(TRIM('수출입 실적(품목별)'!E2946),",","")),"")</f>
        <v>149027</v>
      </c>
      <c r="I2942" s="18" t="n">
        <f aca="false">IFERROR(VALUE(SUBSTITUTE(TRIM('수출입 실적(품목별)'!F2946),",","")),"")</f>
        <v>32357.9</v>
      </c>
      <c r="J2942" s="19" t="n">
        <f aca="false">IFERROR(VALUE(SUBSTITUTE(TRIM('수출입 실적(품목별)'!G2946),",","")),"")</f>
        <v>78495</v>
      </c>
      <c r="K2942" s="19" t="n">
        <f aca="false">IFERROR(VALUE(SUBSTITUTE(TRIM('수출입 실적(품목별)'!H2946),",","")),"")</f>
        <v>70532</v>
      </c>
    </row>
    <row r="2943" customFormat="false" ht="15" hidden="false" customHeight="true" outlineLevel="0" collapsed="false">
      <c r="A2943" s="11" t="str">
        <f aca="false">TRIM('수출입 실적(품목별)'!A2947)</f>
        <v>2026.07</v>
      </c>
      <c r="B2943" s="17" t="n">
        <f aca="false">IFERROR(VALUE(LEFT($A2943,4)),"")</f>
        <v>2026</v>
      </c>
      <c r="C2943" s="17" t="n">
        <f aca="false">IFERROR(VALUE(RIGHT($A2943,2)),"")</f>
        <v>7</v>
      </c>
      <c r="D2943" s="17" t="n">
        <f aca="false">IFERROR(ROUNDUP($C2943/3,0),"")</f>
        <v>3</v>
      </c>
      <c r="E2943" s="11" t="str">
        <f aca="false">TRIM('수출입 실적(품목별)'!B2947)</f>
        <v>55</v>
      </c>
      <c r="F2943" s="11" t="str">
        <f aca="false">TRIM('수출입 실적(품목별)'!C2947)</f>
        <v>인조스테이플섬유</v>
      </c>
      <c r="G2943" s="18" t="n">
        <f aca="false">IFERROR(VALUE(SUBSTITUTE(TRIM('수출입 실적(품목별)'!D2947),",","")),"")</f>
        <v>45906</v>
      </c>
      <c r="H2943" s="19" t="n">
        <f aca="false">IFERROR(VALUE(SUBSTITUTE(TRIM('수출입 실적(품목별)'!E2947),",","")),"")</f>
        <v>92749</v>
      </c>
      <c r="I2943" s="18" t="n">
        <f aca="false">IFERROR(VALUE(SUBSTITUTE(TRIM('수출입 실적(품목별)'!F2947),",","")),"")</f>
        <v>12834</v>
      </c>
      <c r="J2943" s="19" t="n">
        <f aca="false">IFERROR(VALUE(SUBSTITUTE(TRIM('수출입 실적(품목별)'!G2947),",","")),"")</f>
        <v>49222</v>
      </c>
      <c r="K2943" s="19" t="n">
        <f aca="false">IFERROR(VALUE(SUBSTITUTE(TRIM('수출입 실적(품목별)'!H2947),",","")),"")</f>
        <v>43528</v>
      </c>
    </row>
    <row r="2944" customFormat="false" ht="15" hidden="false" customHeight="true" outlineLevel="0" collapsed="false">
      <c r="A2944" s="11" t="str">
        <f aca="false">TRIM('수출입 실적(품목별)'!A2948)</f>
        <v>2026.07</v>
      </c>
      <c r="B2944" s="17" t="n">
        <f aca="false">IFERROR(VALUE(LEFT($A2944,4)),"")</f>
        <v>2026</v>
      </c>
      <c r="C2944" s="17" t="n">
        <f aca="false">IFERROR(VALUE(RIGHT($A2944,2)),"")</f>
        <v>7</v>
      </c>
      <c r="D2944" s="17" t="n">
        <f aca="false">IFERROR(ROUNDUP($C2944/3,0),"")</f>
        <v>3</v>
      </c>
      <c r="E2944" s="11" t="str">
        <f aca="false">TRIM('수출입 실적(품목별)'!B2948)</f>
        <v>56</v>
      </c>
      <c r="F2944" s="11" t="str">
        <f aca="false">TRIM('수출입 실적(품목별)'!C2948)</f>
        <v>워딩(wadding)ㆍ펠트(felt)ㆍ부직포, 특수사, 끈ㆍ배의 밧줄(cordage)ㆍ로프ㆍ케이블과 이들의 제품</v>
      </c>
      <c r="G2944" s="18" t="n">
        <f aca="false">IFERROR(VALUE(SUBSTITUTE(TRIM('수출입 실적(품목별)'!D2948),",","")),"")</f>
        <v>10893.8</v>
      </c>
      <c r="H2944" s="19" t="n">
        <f aca="false">IFERROR(VALUE(SUBSTITUTE(TRIM('수출입 실적(품목별)'!E2948),",","")),"")</f>
        <v>72942</v>
      </c>
      <c r="I2944" s="18" t="n">
        <f aca="false">IFERROR(VALUE(SUBSTITUTE(TRIM('수출입 실적(품목별)'!F2948),",","")),"")</f>
        <v>20922.2</v>
      </c>
      <c r="J2944" s="19" t="n">
        <f aca="false">IFERROR(VALUE(SUBSTITUTE(TRIM('수출입 실적(품목별)'!G2948),",","")),"")</f>
        <v>66083</v>
      </c>
      <c r="K2944" s="19" t="n">
        <f aca="false">IFERROR(VALUE(SUBSTITUTE(TRIM('수출입 실적(품목별)'!H2948),",","")),"")</f>
        <v>6859</v>
      </c>
    </row>
    <row r="2945" customFormat="false" ht="15" hidden="false" customHeight="true" outlineLevel="0" collapsed="false">
      <c r="A2945" s="11" t="str">
        <f aca="false">TRIM('수출입 실적(품목별)'!A2949)</f>
        <v>2026.07</v>
      </c>
      <c r="B2945" s="17" t="n">
        <f aca="false">IFERROR(VALUE(LEFT($A2945,4)),"")</f>
        <v>2026</v>
      </c>
      <c r="C2945" s="17" t="n">
        <f aca="false">IFERROR(VALUE(RIGHT($A2945,2)),"")</f>
        <v>7</v>
      </c>
      <c r="D2945" s="17" t="n">
        <f aca="false">IFERROR(ROUNDUP($C2945/3,0),"")</f>
        <v>3</v>
      </c>
      <c r="E2945" s="11" t="str">
        <f aca="false">TRIM('수출입 실적(품목별)'!B2949)</f>
        <v>57</v>
      </c>
      <c r="F2945" s="11" t="str">
        <f aca="false">TRIM('수출입 실적(품목별)'!C2949)</f>
        <v>양탄자류와 그 밖의 방직용 섬유로 만든 바닥깔개</v>
      </c>
      <c r="G2945" s="18" t="n">
        <f aca="false">IFERROR(VALUE(SUBSTITUTE(TRIM('수출입 실적(품목별)'!D2949),",","")),"")</f>
        <v>628.2</v>
      </c>
      <c r="H2945" s="19" t="n">
        <f aca="false">IFERROR(VALUE(SUBSTITUTE(TRIM('수출입 실적(품목별)'!E2949),",","")),"")</f>
        <v>5590</v>
      </c>
      <c r="I2945" s="18" t="n">
        <f aca="false">IFERROR(VALUE(SUBSTITUTE(TRIM('수출입 실적(품목별)'!F2949),",","")),"")</f>
        <v>4936.7</v>
      </c>
      <c r="J2945" s="19" t="n">
        <f aca="false">IFERROR(VALUE(SUBSTITUTE(TRIM('수출입 실적(품목별)'!G2949),",","")),"")</f>
        <v>9277</v>
      </c>
      <c r="K2945" s="19" t="n">
        <f aca="false">IFERROR(VALUE(SUBSTITUTE(TRIM('수출입 실적(품목별)'!H2949),",","")),"")</f>
        <v>-3687</v>
      </c>
    </row>
    <row r="2946" customFormat="false" ht="15" hidden="false" customHeight="true" outlineLevel="0" collapsed="false">
      <c r="A2946" s="11" t="str">
        <f aca="false">TRIM('수출입 실적(품목별)'!A2950)</f>
        <v>2026.07</v>
      </c>
      <c r="B2946" s="17" t="n">
        <f aca="false">IFERROR(VALUE(LEFT($A2946,4)),"")</f>
        <v>2026</v>
      </c>
      <c r="C2946" s="17" t="n">
        <f aca="false">IFERROR(VALUE(RIGHT($A2946,2)),"")</f>
        <v>7</v>
      </c>
      <c r="D2946" s="17" t="n">
        <f aca="false">IFERROR(ROUNDUP($C2946/3,0),"")</f>
        <v>3</v>
      </c>
      <c r="E2946" s="11" t="str">
        <f aca="false">TRIM('수출입 실적(품목별)'!B2950)</f>
        <v>58</v>
      </c>
      <c r="F2946" s="11" t="str">
        <f aca="false">TRIM('수출입 실적(품목별)'!C2950)</f>
        <v>특수직물, 터프트(tuft)한 직물, 레이스, 태피스트리(tapestry), 트리밍(trimming), 자수천</v>
      </c>
      <c r="G2946" s="18" t="n">
        <f aca="false">IFERROR(VALUE(SUBSTITUTE(TRIM('수출입 실적(품목별)'!D2950),",","")),"")</f>
        <v>1343</v>
      </c>
      <c r="H2946" s="19" t="n">
        <f aca="false">IFERROR(VALUE(SUBSTITUTE(TRIM('수출입 실적(품목별)'!E2950),",","")),"")</f>
        <v>16016</v>
      </c>
      <c r="I2946" s="18" t="n">
        <f aca="false">IFERROR(VALUE(SUBSTITUTE(TRIM('수출입 실적(품목별)'!F2950),",","")),"")</f>
        <v>970.6</v>
      </c>
      <c r="J2946" s="19" t="n">
        <f aca="false">IFERROR(VALUE(SUBSTITUTE(TRIM('수출입 실적(품목별)'!G2950),",","")),"")</f>
        <v>7873</v>
      </c>
      <c r="K2946" s="19" t="n">
        <f aca="false">IFERROR(VALUE(SUBSTITUTE(TRIM('수출입 실적(품목별)'!H2950),",","")),"")</f>
        <v>8143</v>
      </c>
    </row>
    <row r="2947" customFormat="false" ht="15" hidden="false" customHeight="true" outlineLevel="0" collapsed="false">
      <c r="A2947" s="11" t="str">
        <f aca="false">TRIM('수출입 실적(품목별)'!A2951)</f>
        <v>2026.07</v>
      </c>
      <c r="B2947" s="17" t="n">
        <f aca="false">IFERROR(VALUE(LEFT($A2947,4)),"")</f>
        <v>2026</v>
      </c>
      <c r="C2947" s="17" t="n">
        <f aca="false">IFERROR(VALUE(RIGHT($A2947,2)),"")</f>
        <v>7</v>
      </c>
      <c r="D2947" s="17" t="n">
        <f aca="false">IFERROR(ROUNDUP($C2947/3,0),"")</f>
        <v>3</v>
      </c>
      <c r="E2947" s="11" t="str">
        <f aca="false">TRIM('수출입 실적(품목별)'!B2951)</f>
        <v>59</v>
      </c>
      <c r="F2947" s="11" t="str">
        <f aca="false">TRIM('수출입 실적(품목별)'!C2951)</f>
        <v>침투ㆍ도포ㆍ피복하거나 적층한 방직용 섬유의 직물, 공업용인 방직용 섬유제품</v>
      </c>
      <c r="G2947" s="18" t="n">
        <f aca="false">IFERROR(VALUE(SUBSTITUTE(TRIM('수출입 실적(품목별)'!D2951),",","")),"")</f>
        <v>10222.8</v>
      </c>
      <c r="H2947" s="19" t="n">
        <f aca="false">IFERROR(VALUE(SUBSTITUTE(TRIM('수출입 실적(품목별)'!E2951),",","")),"")</f>
        <v>106289</v>
      </c>
      <c r="I2947" s="18" t="n">
        <f aca="false">IFERROR(VALUE(SUBSTITUTE(TRIM('수출입 실적(품목별)'!F2951),",","")),"")</f>
        <v>5671.2</v>
      </c>
      <c r="J2947" s="19" t="n">
        <f aca="false">IFERROR(VALUE(SUBSTITUTE(TRIM('수출입 실적(품목별)'!G2951),",","")),"")</f>
        <v>34327</v>
      </c>
      <c r="K2947" s="19" t="n">
        <f aca="false">IFERROR(VALUE(SUBSTITUTE(TRIM('수출입 실적(품목별)'!H2951),",","")),"")</f>
        <v>71962</v>
      </c>
    </row>
    <row r="2948" customFormat="false" ht="15" hidden="false" customHeight="true" outlineLevel="0" collapsed="false">
      <c r="A2948" s="11" t="str">
        <f aca="false">TRIM('수출입 실적(품목별)'!A2952)</f>
        <v>2026.07</v>
      </c>
      <c r="B2948" s="17" t="n">
        <f aca="false">IFERROR(VALUE(LEFT($A2948,4)),"")</f>
        <v>2026</v>
      </c>
      <c r="C2948" s="17" t="n">
        <f aca="false">IFERROR(VALUE(RIGHT($A2948,2)),"")</f>
        <v>7</v>
      </c>
      <c r="D2948" s="17" t="n">
        <f aca="false">IFERROR(ROUNDUP($C2948/3,0),"")</f>
        <v>3</v>
      </c>
      <c r="E2948" s="11" t="str">
        <f aca="false">TRIM('수출입 실적(품목별)'!B2952)</f>
        <v>60</v>
      </c>
      <c r="F2948" s="11" t="str">
        <f aca="false">TRIM('수출입 실적(품목별)'!C2952)</f>
        <v>메리야스 편물과 뜨개질 편물</v>
      </c>
      <c r="G2948" s="18" t="n">
        <f aca="false">IFERROR(VALUE(SUBSTITUTE(TRIM('수출입 실적(품목별)'!D2952),",","")),"")</f>
        <v>16081.7</v>
      </c>
      <c r="H2948" s="19" t="n">
        <f aca="false">IFERROR(VALUE(SUBSTITUTE(TRIM('수출입 실적(품목별)'!E2952),",","")),"")</f>
        <v>124239</v>
      </c>
      <c r="I2948" s="18" t="n">
        <f aca="false">IFERROR(VALUE(SUBSTITUTE(TRIM('수출입 실적(품목별)'!F2952),",","")),"")</f>
        <v>1631.2</v>
      </c>
      <c r="J2948" s="19" t="n">
        <f aca="false">IFERROR(VALUE(SUBSTITUTE(TRIM('수출입 실적(품목별)'!G2952),",","")),"")</f>
        <v>9195</v>
      </c>
      <c r="K2948" s="19" t="n">
        <f aca="false">IFERROR(VALUE(SUBSTITUTE(TRIM('수출입 실적(품목별)'!H2952),",","")),"")</f>
        <v>115044</v>
      </c>
    </row>
    <row r="2949" customFormat="false" ht="15" hidden="false" customHeight="true" outlineLevel="0" collapsed="false">
      <c r="A2949" s="11" t="str">
        <f aca="false">TRIM('수출입 실적(품목별)'!A2953)</f>
        <v>2026.07</v>
      </c>
      <c r="B2949" s="17" t="n">
        <f aca="false">IFERROR(VALUE(LEFT($A2949,4)),"")</f>
        <v>2026</v>
      </c>
      <c r="C2949" s="17" t="n">
        <f aca="false">IFERROR(VALUE(RIGHT($A2949,2)),"")</f>
        <v>7</v>
      </c>
      <c r="D2949" s="17" t="n">
        <f aca="false">IFERROR(ROUNDUP($C2949/3,0),"")</f>
        <v>3</v>
      </c>
      <c r="E2949" s="11" t="str">
        <f aca="false">TRIM('수출입 실적(품목별)'!B2953)</f>
        <v>61</v>
      </c>
      <c r="F2949" s="11" t="str">
        <f aca="false">TRIM('수출입 실적(품목별)'!C2953)</f>
        <v>의류와 그 부속품(메리야스 편물이나 뜨개질 편물로 한정한다)</v>
      </c>
      <c r="G2949" s="18" t="n">
        <f aca="false">IFERROR(VALUE(SUBSTITUTE(TRIM('수출입 실적(품목별)'!D2953),",","")),"")</f>
        <v>2384.8</v>
      </c>
      <c r="H2949" s="19" t="n">
        <f aca="false">IFERROR(VALUE(SUBSTITUTE(TRIM('수출입 실적(품목별)'!E2953),",","")),"")</f>
        <v>72526</v>
      </c>
      <c r="I2949" s="18" t="n">
        <f aca="false">IFERROR(VALUE(SUBSTITUTE(TRIM('수출입 실적(품목별)'!F2953),",","")),"")</f>
        <v>18566.6</v>
      </c>
      <c r="J2949" s="19" t="n">
        <f aca="false">IFERROR(VALUE(SUBSTITUTE(TRIM('수출입 실적(품목별)'!G2953),",","")),"")</f>
        <v>404471</v>
      </c>
      <c r="K2949" s="19" t="n">
        <f aca="false">IFERROR(VALUE(SUBSTITUTE(TRIM('수출입 실적(품목별)'!H2953),",","")),"")</f>
        <v>-331944</v>
      </c>
    </row>
    <row r="2950" customFormat="false" ht="15" hidden="false" customHeight="true" outlineLevel="0" collapsed="false">
      <c r="A2950" s="11" t="str">
        <f aca="false">TRIM('수출입 실적(품목별)'!A2954)</f>
        <v>2026.07</v>
      </c>
      <c r="B2950" s="17" t="n">
        <f aca="false">IFERROR(VALUE(LEFT($A2950,4)),"")</f>
        <v>2026</v>
      </c>
      <c r="C2950" s="17" t="n">
        <f aca="false">IFERROR(VALUE(RIGHT($A2950,2)),"")</f>
        <v>7</v>
      </c>
      <c r="D2950" s="17" t="n">
        <f aca="false">IFERROR(ROUNDUP($C2950/3,0),"")</f>
        <v>3</v>
      </c>
      <c r="E2950" s="11" t="str">
        <f aca="false">TRIM('수출입 실적(품목별)'!B2954)</f>
        <v>62</v>
      </c>
      <c r="F2950" s="11" t="str">
        <f aca="false">TRIM('수출입 실적(품목별)'!C2954)</f>
        <v>의류와 그 부속품(메리야스 편물이나 뜨개질편물은 제외한다)</v>
      </c>
      <c r="G2950" s="18" t="n">
        <f aca="false">IFERROR(VALUE(SUBSTITUTE(TRIM('수출입 실적(품목별)'!D2954),",","")),"")</f>
        <v>2631.2</v>
      </c>
      <c r="H2950" s="19" t="n">
        <f aca="false">IFERROR(VALUE(SUBSTITUTE(TRIM('수출입 실적(품목별)'!E2954),",","")),"")</f>
        <v>70420</v>
      </c>
      <c r="I2950" s="18" t="n">
        <f aca="false">IFERROR(VALUE(SUBSTITUTE(TRIM('수출입 실적(품목별)'!F2954),",","")),"")</f>
        <v>17509.5</v>
      </c>
      <c r="J2950" s="19" t="n">
        <f aca="false">IFERROR(VALUE(SUBSTITUTE(TRIM('수출입 실적(품목별)'!G2954),",","")),"")</f>
        <v>553580</v>
      </c>
      <c r="K2950" s="19" t="n">
        <f aca="false">IFERROR(VALUE(SUBSTITUTE(TRIM('수출입 실적(품목별)'!H2954),",","")),"")</f>
        <v>-483160</v>
      </c>
    </row>
    <row r="2951" customFormat="false" ht="15" hidden="false" customHeight="true" outlineLevel="0" collapsed="false">
      <c r="A2951" s="11" t="str">
        <f aca="false">TRIM('수출입 실적(품목별)'!A2955)</f>
        <v>2026.07</v>
      </c>
      <c r="B2951" s="17" t="n">
        <f aca="false">IFERROR(VALUE(LEFT($A2951,4)),"")</f>
        <v>2026</v>
      </c>
      <c r="C2951" s="17" t="n">
        <f aca="false">IFERROR(VALUE(RIGHT($A2951,2)),"")</f>
        <v>7</v>
      </c>
      <c r="D2951" s="17" t="n">
        <f aca="false">IFERROR(ROUNDUP($C2951/3,0),"")</f>
        <v>3</v>
      </c>
      <c r="E2951" s="11" t="str">
        <f aca="false">TRIM('수출입 실적(품목별)'!B2955)</f>
        <v>63</v>
      </c>
      <c r="F2951" s="11" t="str">
        <f aca="false">TRIM('수출입 실적(품목별)'!C2955)</f>
        <v>제품으로 된 방직용 섬유의 그 밖의 물품, 세트, 사용하던 의류ㆍ방직용 섬유제품, 넝마</v>
      </c>
      <c r="G2951" s="18" t="n">
        <f aca="false">IFERROR(VALUE(SUBSTITUTE(TRIM('수출입 실적(품목별)'!D2955),",","")),"")</f>
        <v>26544.9</v>
      </c>
      <c r="H2951" s="19" t="n">
        <f aca="false">IFERROR(VALUE(SUBSTITUTE(TRIM('수출입 실적(품목별)'!E2955),",","")),"")</f>
        <v>46246</v>
      </c>
      <c r="I2951" s="18" t="n">
        <f aca="false">IFERROR(VALUE(SUBSTITUTE(TRIM('수출입 실적(품목별)'!F2955),",","")),"")</f>
        <v>26480.6</v>
      </c>
      <c r="J2951" s="19" t="n">
        <f aca="false">IFERROR(VALUE(SUBSTITUTE(TRIM('수출입 실적(품목별)'!G2955),",","")),"")</f>
        <v>118350</v>
      </c>
      <c r="K2951" s="19" t="n">
        <f aca="false">IFERROR(VALUE(SUBSTITUTE(TRIM('수출입 실적(품목별)'!H2955),",","")),"")</f>
        <v>-72104</v>
      </c>
    </row>
    <row r="2952" customFormat="false" ht="15" hidden="false" customHeight="true" outlineLevel="0" collapsed="false">
      <c r="A2952" s="11" t="str">
        <f aca="false">TRIM('수출입 실적(품목별)'!A2956)</f>
        <v>2026.07</v>
      </c>
      <c r="B2952" s="17" t="n">
        <f aca="false">IFERROR(VALUE(LEFT($A2952,4)),"")</f>
        <v>2026</v>
      </c>
      <c r="C2952" s="17" t="n">
        <f aca="false">IFERROR(VALUE(RIGHT($A2952,2)),"")</f>
        <v>7</v>
      </c>
      <c r="D2952" s="17" t="n">
        <f aca="false">IFERROR(ROUNDUP($C2952/3,0),"")</f>
        <v>3</v>
      </c>
      <c r="E2952" s="11" t="str">
        <f aca="false">TRIM('수출입 실적(품목별)'!B2956)</f>
        <v>64</v>
      </c>
      <c r="F2952" s="11" t="str">
        <f aca="false">TRIM('수출입 실적(품목별)'!C2956)</f>
        <v>신발류ㆍ각반과 이와 유사한 것, 이들의 부분품</v>
      </c>
      <c r="G2952" s="18" t="n">
        <f aca="false">IFERROR(VALUE(SUBSTITUTE(TRIM('수출입 실적(품목별)'!D2956),",","")),"")</f>
        <v>1447.8</v>
      </c>
      <c r="H2952" s="19" t="n">
        <f aca="false">IFERROR(VALUE(SUBSTITUTE(TRIM('수출입 실적(품목별)'!E2956),",","")),"")</f>
        <v>34889</v>
      </c>
      <c r="I2952" s="18" t="n">
        <f aca="false">IFERROR(VALUE(SUBSTITUTE(TRIM('수출입 실적(품목별)'!F2956),",","")),"")</f>
        <v>10467</v>
      </c>
      <c r="J2952" s="19" t="n">
        <f aca="false">IFERROR(VALUE(SUBSTITUTE(TRIM('수출입 실적(품목별)'!G2956),",","")),"")</f>
        <v>295391</v>
      </c>
      <c r="K2952" s="19" t="n">
        <f aca="false">IFERROR(VALUE(SUBSTITUTE(TRIM('수출입 실적(품목별)'!H2956),",","")),"")</f>
        <v>-260502</v>
      </c>
    </row>
    <row r="2953" customFormat="false" ht="15" hidden="false" customHeight="true" outlineLevel="0" collapsed="false">
      <c r="A2953" s="11" t="str">
        <f aca="false">TRIM('수출입 실적(품목별)'!A2957)</f>
        <v>2026.07</v>
      </c>
      <c r="B2953" s="17" t="n">
        <f aca="false">IFERROR(VALUE(LEFT($A2953,4)),"")</f>
        <v>2026</v>
      </c>
      <c r="C2953" s="17" t="n">
        <f aca="false">IFERROR(VALUE(RIGHT($A2953,2)),"")</f>
        <v>7</v>
      </c>
      <c r="D2953" s="17" t="n">
        <f aca="false">IFERROR(ROUNDUP($C2953/3,0),"")</f>
        <v>3</v>
      </c>
      <c r="E2953" s="11" t="str">
        <f aca="false">TRIM('수출입 실적(품목별)'!B2957)</f>
        <v>65</v>
      </c>
      <c r="F2953" s="11" t="str">
        <f aca="false">TRIM('수출입 실적(품목별)'!C2957)</f>
        <v>모자류와 그 부분품</v>
      </c>
      <c r="G2953" s="18" t="n">
        <f aca="false">IFERROR(VALUE(SUBSTITUTE(TRIM('수출입 실적(품목별)'!D2957),",","")),"")</f>
        <v>266.2</v>
      </c>
      <c r="H2953" s="19" t="n">
        <f aca="false">IFERROR(VALUE(SUBSTITUTE(TRIM('수출입 실적(품목별)'!E2957),",","")),"")</f>
        <v>12728</v>
      </c>
      <c r="I2953" s="18" t="n">
        <f aca="false">IFERROR(VALUE(SUBSTITUTE(TRIM('수출입 실적(품목별)'!F2957),",","")),"")</f>
        <v>937.2</v>
      </c>
      <c r="J2953" s="19" t="n">
        <f aca="false">IFERROR(VALUE(SUBSTITUTE(TRIM('수출입 실적(품목별)'!G2957),",","")),"")</f>
        <v>26525</v>
      </c>
      <c r="K2953" s="19" t="n">
        <f aca="false">IFERROR(VALUE(SUBSTITUTE(TRIM('수출입 실적(품목별)'!H2957),",","")),"")</f>
        <v>-13797</v>
      </c>
    </row>
    <row r="2954" customFormat="false" ht="15" hidden="false" customHeight="true" outlineLevel="0" collapsed="false">
      <c r="A2954" s="11" t="str">
        <f aca="false">TRIM('수출입 실적(품목별)'!A2958)</f>
        <v>2026.07</v>
      </c>
      <c r="B2954" s="17" t="n">
        <f aca="false">IFERROR(VALUE(LEFT($A2954,4)),"")</f>
        <v>2026</v>
      </c>
      <c r="C2954" s="17" t="n">
        <f aca="false">IFERROR(VALUE(RIGHT($A2954,2)),"")</f>
        <v>7</v>
      </c>
      <c r="D2954" s="17" t="n">
        <f aca="false">IFERROR(ROUNDUP($C2954/3,0),"")</f>
        <v>3</v>
      </c>
      <c r="E2954" s="11" t="str">
        <f aca="false">TRIM('수출입 실적(품목별)'!B2958)</f>
        <v>66</v>
      </c>
      <c r="F2954" s="11" t="str">
        <f aca="false">TRIM('수출입 실적(품목별)'!C2958)</f>
        <v>산류(傘類)ㆍ지팡이ㆍ시트스틱(seat-stick)ㆍ채찍ㆍ승마용 채찍과 이들의 부분품</v>
      </c>
      <c r="G2954" s="18" t="n">
        <f aca="false">IFERROR(VALUE(SUBSTITUTE(TRIM('수출입 실적(품목별)'!D2958),",","")),"")</f>
        <v>16.9</v>
      </c>
      <c r="H2954" s="19" t="n">
        <f aca="false">IFERROR(VALUE(SUBSTITUTE(TRIM('수출입 실적(품목별)'!E2958),",","")),"")</f>
        <v>1027</v>
      </c>
      <c r="I2954" s="18" t="n">
        <f aca="false">IFERROR(VALUE(SUBSTITUTE(TRIM('수출입 실적(품목별)'!F2958),",","")),"")</f>
        <v>2397.5</v>
      </c>
      <c r="J2954" s="19" t="n">
        <f aca="false">IFERROR(VALUE(SUBSTITUTE(TRIM('수출입 실적(품목별)'!G2958),",","")),"")</f>
        <v>16510</v>
      </c>
      <c r="K2954" s="19" t="n">
        <f aca="false">IFERROR(VALUE(SUBSTITUTE(TRIM('수출입 실적(품목별)'!H2958),",","")),"")</f>
        <v>-15483</v>
      </c>
    </row>
    <row r="2955" customFormat="false" ht="15" hidden="false" customHeight="true" outlineLevel="0" collapsed="false">
      <c r="A2955" s="11" t="str">
        <f aca="false">TRIM('수출입 실적(품목별)'!A2959)</f>
        <v>2026.07</v>
      </c>
      <c r="B2955" s="17" t="n">
        <f aca="false">IFERROR(VALUE(LEFT($A2955,4)),"")</f>
        <v>2026</v>
      </c>
      <c r="C2955" s="17" t="n">
        <f aca="false">IFERROR(VALUE(RIGHT($A2955,2)),"")</f>
        <v>7</v>
      </c>
      <c r="D2955" s="17" t="n">
        <f aca="false">IFERROR(ROUNDUP($C2955/3,0),"")</f>
        <v>3</v>
      </c>
      <c r="E2955" s="11" t="str">
        <f aca="false">TRIM('수출입 실적(품목별)'!B2959)</f>
        <v>67</v>
      </c>
      <c r="F2955" s="11" t="str">
        <f aca="false">TRIM('수출입 실적(품목별)'!C2959)</f>
        <v>조제 깃털ㆍ솜털과 그 제품, 조화, 사람 머리카락으로 된 제품</v>
      </c>
      <c r="G2955" s="18" t="n">
        <f aca="false">IFERROR(VALUE(SUBSTITUTE(TRIM('수출입 실적(품목별)'!D2959),",","")),"")</f>
        <v>41.2</v>
      </c>
      <c r="H2955" s="19" t="n">
        <f aca="false">IFERROR(VALUE(SUBSTITUTE(TRIM('수출입 실적(품목별)'!E2959),",","")),"")</f>
        <v>1988</v>
      </c>
      <c r="I2955" s="18" t="n">
        <f aca="false">IFERROR(VALUE(SUBSTITUTE(TRIM('수출입 실적(품목별)'!F2959),",","")),"")</f>
        <v>430.6</v>
      </c>
      <c r="J2955" s="19" t="n">
        <f aca="false">IFERROR(VALUE(SUBSTITUTE(TRIM('수출입 실적(품목별)'!G2959),",","")),"")</f>
        <v>8729</v>
      </c>
      <c r="K2955" s="19" t="n">
        <f aca="false">IFERROR(VALUE(SUBSTITUTE(TRIM('수출입 실적(품목별)'!H2959),",","")),"")</f>
        <v>-6741</v>
      </c>
    </row>
    <row r="2956" customFormat="false" ht="15" hidden="false" customHeight="true" outlineLevel="0" collapsed="false">
      <c r="A2956" s="11" t="str">
        <f aca="false">TRIM('수출입 실적(품목별)'!A2960)</f>
        <v>2026.07</v>
      </c>
      <c r="B2956" s="17" t="n">
        <f aca="false">IFERROR(VALUE(LEFT($A2956,4)),"")</f>
        <v>2026</v>
      </c>
      <c r="C2956" s="17" t="n">
        <f aca="false">IFERROR(VALUE(RIGHT($A2956,2)),"")</f>
        <v>7</v>
      </c>
      <c r="D2956" s="17" t="n">
        <f aca="false">IFERROR(ROUNDUP($C2956/3,0),"")</f>
        <v>3</v>
      </c>
      <c r="E2956" s="11" t="str">
        <f aca="false">TRIM('수출입 실적(품목별)'!B2960)</f>
        <v>68</v>
      </c>
      <c r="F2956" s="11" t="str">
        <f aca="false">TRIM('수출입 실적(품목별)'!C2960)</f>
        <v>돌ㆍ플라스터(plaster)ㆍ시멘트ㆍ석면ㆍ운모나 이와 유사한 재료의 제품</v>
      </c>
      <c r="G2956" s="18" t="n">
        <f aca="false">IFERROR(VALUE(SUBSTITUTE(TRIM('수출입 실적(품목별)'!D2960),",","")),"")</f>
        <v>11523</v>
      </c>
      <c r="H2956" s="19" t="n">
        <f aca="false">IFERROR(VALUE(SUBSTITUTE(TRIM('수출입 실적(품목별)'!E2960),",","")),"")</f>
        <v>99365</v>
      </c>
      <c r="I2956" s="18" t="n">
        <f aca="false">IFERROR(VALUE(SUBSTITUTE(TRIM('수출입 실적(품목별)'!F2960),",","")),"")</f>
        <v>145815.9</v>
      </c>
      <c r="J2956" s="19" t="n">
        <f aca="false">IFERROR(VALUE(SUBSTITUTE(TRIM('수출입 실적(품목별)'!G2960),",","")),"")</f>
        <v>102613</v>
      </c>
      <c r="K2956" s="19" t="n">
        <f aca="false">IFERROR(VALUE(SUBSTITUTE(TRIM('수출입 실적(품목별)'!H2960),",","")),"")</f>
        <v>-3248</v>
      </c>
    </row>
    <row r="2957" customFormat="false" ht="15" hidden="false" customHeight="true" outlineLevel="0" collapsed="false">
      <c r="A2957" s="11" t="str">
        <f aca="false">TRIM('수출입 실적(품목별)'!A2961)</f>
        <v>2026.07</v>
      </c>
      <c r="B2957" s="17" t="n">
        <f aca="false">IFERROR(VALUE(LEFT($A2957,4)),"")</f>
        <v>2026</v>
      </c>
      <c r="C2957" s="17" t="n">
        <f aca="false">IFERROR(VALUE(RIGHT($A2957,2)),"")</f>
        <v>7</v>
      </c>
      <c r="D2957" s="17" t="n">
        <f aca="false">IFERROR(ROUNDUP($C2957/3,0),"")</f>
        <v>3</v>
      </c>
      <c r="E2957" s="11" t="str">
        <f aca="false">TRIM('수출입 실적(품목별)'!B2961)</f>
        <v>69</v>
      </c>
      <c r="F2957" s="11" t="str">
        <f aca="false">TRIM('수출입 실적(품목별)'!C2961)</f>
        <v>도자제품</v>
      </c>
      <c r="G2957" s="18" t="n">
        <f aca="false">IFERROR(VALUE(SUBSTITUTE(TRIM('수출입 실적(품목별)'!D2961),",","")),"")</f>
        <v>2880.6</v>
      </c>
      <c r="H2957" s="19" t="n">
        <f aca="false">IFERROR(VALUE(SUBSTITUTE(TRIM('수출입 실적(품목별)'!E2961),",","")),"")</f>
        <v>31437</v>
      </c>
      <c r="I2957" s="18" t="n">
        <f aca="false">IFERROR(VALUE(SUBSTITUTE(TRIM('수출입 실적(품목별)'!F2961),",","")),"")</f>
        <v>109509.8</v>
      </c>
      <c r="J2957" s="19" t="n">
        <f aca="false">IFERROR(VALUE(SUBSTITUTE(TRIM('수출입 실적(품목별)'!G2961),",","")),"")</f>
        <v>130432</v>
      </c>
      <c r="K2957" s="19" t="n">
        <f aca="false">IFERROR(VALUE(SUBSTITUTE(TRIM('수출입 실적(품목별)'!H2961),",","")),"")</f>
        <v>-98995</v>
      </c>
    </row>
    <row r="2958" customFormat="false" ht="15" hidden="false" customHeight="true" outlineLevel="0" collapsed="false">
      <c r="A2958" s="11" t="str">
        <f aca="false">TRIM('수출입 실적(품목별)'!A2962)</f>
        <v>2026.07</v>
      </c>
      <c r="B2958" s="17" t="n">
        <f aca="false">IFERROR(VALUE(LEFT($A2958,4)),"")</f>
        <v>2026</v>
      </c>
      <c r="C2958" s="17" t="n">
        <f aca="false">IFERROR(VALUE(RIGHT($A2958,2)),"")</f>
        <v>7</v>
      </c>
      <c r="D2958" s="17" t="n">
        <f aca="false">IFERROR(ROUNDUP($C2958/3,0),"")</f>
        <v>3</v>
      </c>
      <c r="E2958" s="11" t="str">
        <f aca="false">TRIM('수출입 실적(품목별)'!B2962)</f>
        <v>70</v>
      </c>
      <c r="F2958" s="11" t="str">
        <f aca="false">TRIM('수출입 실적(품목별)'!C2962)</f>
        <v>유리와 유리제품</v>
      </c>
      <c r="G2958" s="18" t="n">
        <f aca="false">IFERROR(VALUE(SUBSTITUTE(TRIM('수출입 실적(품목별)'!D2962),",","")),"")</f>
        <v>32840.6</v>
      </c>
      <c r="H2958" s="19" t="n">
        <f aca="false">IFERROR(VALUE(SUBSTITUTE(TRIM('수출입 실적(품목별)'!E2962),",","")),"")</f>
        <v>159437</v>
      </c>
      <c r="I2958" s="18" t="n">
        <f aca="false">IFERROR(VALUE(SUBSTITUTE(TRIM('수출입 실적(품목별)'!F2962),",","")),"")</f>
        <v>102595.3</v>
      </c>
      <c r="J2958" s="19" t="n">
        <f aca="false">IFERROR(VALUE(SUBSTITUTE(TRIM('수출입 실적(품목별)'!G2962),",","")),"")</f>
        <v>259589</v>
      </c>
      <c r="K2958" s="19" t="n">
        <f aca="false">IFERROR(VALUE(SUBSTITUTE(TRIM('수출입 실적(품목별)'!H2962),",","")),"")</f>
        <v>-100152</v>
      </c>
    </row>
    <row r="2959" customFormat="false" ht="15" hidden="false" customHeight="true" outlineLevel="0" collapsed="false">
      <c r="A2959" s="11" t="str">
        <f aca="false">TRIM('수출입 실적(품목별)'!A2963)</f>
        <v>2026.07</v>
      </c>
      <c r="B2959" s="17" t="n">
        <f aca="false">IFERROR(VALUE(LEFT($A2959,4)),"")</f>
        <v>2026</v>
      </c>
      <c r="C2959" s="17" t="n">
        <f aca="false">IFERROR(VALUE(RIGHT($A2959,2)),"")</f>
        <v>7</v>
      </c>
      <c r="D2959" s="17" t="n">
        <f aca="false">IFERROR(ROUNDUP($C2959/3,0),"")</f>
        <v>3</v>
      </c>
      <c r="E2959" s="11" t="str">
        <f aca="false">TRIM('수출입 실적(품목별)'!B2963)</f>
        <v>71</v>
      </c>
      <c r="F2959" s="11" t="str">
        <f aca="false">TRIM('수출입 실적(품목별)'!C2963)</f>
        <v>천연진주ㆍ양식진주ㆍ귀석ㆍ반귀석ㆍ귀금속ㆍ귀금속을 입힌 금속과 이들의 제품, 모조 신변장식용품, 주화</v>
      </c>
      <c r="G2959" s="18" t="n">
        <f aca="false">IFERROR(VALUE(SUBSTITUTE(TRIM('수출입 실적(품목별)'!D2963),",","")),"")</f>
        <v>603.3</v>
      </c>
      <c r="H2959" s="19" t="n">
        <f aca="false">IFERROR(VALUE(SUBSTITUTE(TRIM('수출입 실적(품목별)'!E2963),",","")),"")</f>
        <v>1228775</v>
      </c>
      <c r="I2959" s="18" t="n">
        <f aca="false">IFERROR(VALUE(SUBSTITUTE(TRIM('수출입 실적(품목별)'!F2963),",","")),"")</f>
        <v>1924.4</v>
      </c>
      <c r="J2959" s="19" t="n">
        <f aca="false">IFERROR(VALUE(SUBSTITUTE(TRIM('수출입 실적(품목별)'!G2963),",","")),"")</f>
        <v>951534</v>
      </c>
      <c r="K2959" s="19" t="n">
        <f aca="false">IFERROR(VALUE(SUBSTITUTE(TRIM('수출입 실적(품목별)'!H2963),",","")),"")</f>
        <v>277241</v>
      </c>
    </row>
    <row r="2960" customFormat="false" ht="15" hidden="false" customHeight="true" outlineLevel="0" collapsed="false">
      <c r="A2960" s="11" t="str">
        <f aca="false">TRIM('수출입 실적(품목별)'!A2964)</f>
        <v>2026.07</v>
      </c>
      <c r="B2960" s="17" t="n">
        <f aca="false">IFERROR(VALUE(LEFT($A2960,4)),"")</f>
        <v>2026</v>
      </c>
      <c r="C2960" s="17" t="n">
        <f aca="false">IFERROR(VALUE(RIGHT($A2960,2)),"")</f>
        <v>7</v>
      </c>
      <c r="D2960" s="17" t="n">
        <f aca="false">IFERROR(ROUNDUP($C2960/3,0),"")</f>
        <v>3</v>
      </c>
      <c r="E2960" s="11" t="str">
        <f aca="false">TRIM('수출입 실적(품목별)'!B2964)</f>
        <v>72</v>
      </c>
      <c r="F2960" s="11" t="str">
        <f aca="false">TRIM('수출입 실적(품목별)'!C2964)</f>
        <v>철강</v>
      </c>
      <c r="G2960" s="18" t="n">
        <f aca="false">IFERROR(VALUE(SUBSTITUTE(TRIM('수출입 실적(품목별)'!D2964),",","")),"")</f>
        <v>2284022.7</v>
      </c>
      <c r="H2960" s="19" t="n">
        <f aca="false">IFERROR(VALUE(SUBSTITUTE(TRIM('수출입 실적(품목별)'!E2964),",","")),"")</f>
        <v>2098527</v>
      </c>
      <c r="I2960" s="18" t="n">
        <f aca="false">IFERROR(VALUE(SUBSTITUTE(TRIM('수출입 실적(품목별)'!F2964),",","")),"")</f>
        <v>1279055.5</v>
      </c>
      <c r="J2960" s="19" t="n">
        <f aca="false">IFERROR(VALUE(SUBSTITUTE(TRIM('수출입 실적(품목별)'!G2964),",","")),"")</f>
        <v>1075739</v>
      </c>
      <c r="K2960" s="19" t="n">
        <f aca="false">IFERROR(VALUE(SUBSTITUTE(TRIM('수출입 실적(품목별)'!H2964),",","")),"")</f>
        <v>1022788</v>
      </c>
    </row>
    <row r="2961" customFormat="false" ht="15" hidden="false" customHeight="true" outlineLevel="0" collapsed="false">
      <c r="A2961" s="11" t="str">
        <f aca="false">TRIM('수출입 실적(품목별)'!A2965)</f>
        <v>2026.07</v>
      </c>
      <c r="B2961" s="17" t="n">
        <f aca="false">IFERROR(VALUE(LEFT($A2961,4)),"")</f>
        <v>2026</v>
      </c>
      <c r="C2961" s="17" t="n">
        <f aca="false">IFERROR(VALUE(RIGHT($A2961,2)),"")</f>
        <v>7</v>
      </c>
      <c r="D2961" s="17" t="n">
        <f aca="false">IFERROR(ROUNDUP($C2961/3,0),"")</f>
        <v>3</v>
      </c>
      <c r="E2961" s="11" t="str">
        <f aca="false">TRIM('수출입 실적(품목별)'!B2965)</f>
        <v>73</v>
      </c>
      <c r="F2961" s="11" t="str">
        <f aca="false">TRIM('수출입 실적(품목별)'!C2965)</f>
        <v>철강의 제품</v>
      </c>
      <c r="G2961" s="18" t="n">
        <f aca="false">IFERROR(VALUE(SUBSTITUTE(TRIM('수출입 실적(품목별)'!D2965),",","")),"")</f>
        <v>583560.9</v>
      </c>
      <c r="H2961" s="19" t="n">
        <f aca="false">IFERROR(VALUE(SUBSTITUTE(TRIM('수출입 실적(품목별)'!E2965),",","")),"")</f>
        <v>934992</v>
      </c>
      <c r="I2961" s="18" t="n">
        <f aca="false">IFERROR(VALUE(SUBSTITUTE(TRIM('수출입 실적(품목별)'!F2965),",","")),"")</f>
        <v>241963.9</v>
      </c>
      <c r="J2961" s="19" t="n">
        <f aca="false">IFERROR(VALUE(SUBSTITUTE(TRIM('수출입 실적(품목별)'!G2965),",","")),"")</f>
        <v>685962</v>
      </c>
      <c r="K2961" s="19" t="n">
        <f aca="false">IFERROR(VALUE(SUBSTITUTE(TRIM('수출입 실적(품목별)'!H2965),",","")),"")</f>
        <v>249030</v>
      </c>
    </row>
    <row r="2962" customFormat="false" ht="15" hidden="false" customHeight="true" outlineLevel="0" collapsed="false">
      <c r="A2962" s="11" t="str">
        <f aca="false">TRIM('수출입 실적(품목별)'!A2966)</f>
        <v>2026.07</v>
      </c>
      <c r="B2962" s="17" t="n">
        <f aca="false">IFERROR(VALUE(LEFT($A2962,4)),"")</f>
        <v>2026</v>
      </c>
      <c r="C2962" s="17" t="n">
        <f aca="false">IFERROR(VALUE(RIGHT($A2962,2)),"")</f>
        <v>7</v>
      </c>
      <c r="D2962" s="17" t="n">
        <f aca="false">IFERROR(ROUNDUP($C2962/3,0),"")</f>
        <v>3</v>
      </c>
      <c r="E2962" s="11" t="str">
        <f aca="false">TRIM('수출입 실적(품목별)'!B2966)</f>
        <v>74</v>
      </c>
      <c r="F2962" s="11" t="str">
        <f aca="false">TRIM('수출입 실적(품목별)'!C2966)</f>
        <v>구리와 그 제품</v>
      </c>
      <c r="G2962" s="18" t="n">
        <f aca="false">IFERROR(VALUE(SUBSTITUTE(TRIM('수출입 실적(품목별)'!D2966),",","")),"")</f>
        <v>57717.3</v>
      </c>
      <c r="H2962" s="19" t="n">
        <f aca="false">IFERROR(VALUE(SUBSTITUTE(TRIM('수출입 실적(품목별)'!E2966),",","")),"")</f>
        <v>800081</v>
      </c>
      <c r="I2962" s="18" t="n">
        <f aca="false">IFERROR(VALUE(SUBSTITUTE(TRIM('수출입 실적(품목별)'!F2966),",","")),"")</f>
        <v>76658.8</v>
      </c>
      <c r="J2962" s="19" t="n">
        <f aca="false">IFERROR(VALUE(SUBSTITUTE(TRIM('수출입 실적(품목별)'!G2966),",","")),"")</f>
        <v>1075927</v>
      </c>
      <c r="K2962" s="19" t="n">
        <f aca="false">IFERROR(VALUE(SUBSTITUTE(TRIM('수출입 실적(품목별)'!H2966),",","")),"")</f>
        <v>-275846</v>
      </c>
    </row>
    <row r="2963" customFormat="false" ht="15" hidden="false" customHeight="true" outlineLevel="0" collapsed="false">
      <c r="A2963" s="11" t="str">
        <f aca="false">TRIM('수출입 실적(품목별)'!A2967)</f>
        <v>2026.07</v>
      </c>
      <c r="B2963" s="17" t="n">
        <f aca="false">IFERROR(VALUE(LEFT($A2963,4)),"")</f>
        <v>2026</v>
      </c>
      <c r="C2963" s="17" t="n">
        <f aca="false">IFERROR(VALUE(RIGHT($A2963,2)),"")</f>
        <v>7</v>
      </c>
      <c r="D2963" s="17" t="n">
        <f aca="false">IFERROR(ROUNDUP($C2963/3,0),"")</f>
        <v>3</v>
      </c>
      <c r="E2963" s="11" t="str">
        <f aca="false">TRIM('수출입 실적(품목별)'!B2967)</f>
        <v>75</v>
      </c>
      <c r="F2963" s="11" t="str">
        <f aca="false">TRIM('수출입 실적(품목별)'!C2967)</f>
        <v>니켈과 그 제품</v>
      </c>
      <c r="G2963" s="18" t="n">
        <f aca="false">IFERROR(VALUE(SUBSTITUTE(TRIM('수출입 실적(품목별)'!D2967),",","")),"")</f>
        <v>1338.1</v>
      </c>
      <c r="H2963" s="19" t="n">
        <f aca="false">IFERROR(VALUE(SUBSTITUTE(TRIM('수출입 실적(품목별)'!E2967),",","")),"")</f>
        <v>33480</v>
      </c>
      <c r="I2963" s="18" t="n">
        <f aca="false">IFERROR(VALUE(SUBSTITUTE(TRIM('수출입 실적(품목별)'!F2967),",","")),"")</f>
        <v>6207.1</v>
      </c>
      <c r="J2963" s="19" t="n">
        <f aca="false">IFERROR(VALUE(SUBSTITUTE(TRIM('수출입 실적(품목별)'!G2967),",","")),"")</f>
        <v>145781</v>
      </c>
      <c r="K2963" s="19" t="n">
        <f aca="false">IFERROR(VALUE(SUBSTITUTE(TRIM('수출입 실적(품목별)'!H2967),",","")),"")</f>
        <v>-112301</v>
      </c>
    </row>
    <row r="2964" customFormat="false" ht="15" hidden="false" customHeight="true" outlineLevel="0" collapsed="false">
      <c r="A2964" s="11" t="str">
        <f aca="false">TRIM('수출입 실적(품목별)'!A2968)</f>
        <v>2026.07</v>
      </c>
      <c r="B2964" s="17" t="n">
        <f aca="false">IFERROR(VALUE(LEFT($A2964,4)),"")</f>
        <v>2026</v>
      </c>
      <c r="C2964" s="17" t="n">
        <f aca="false">IFERROR(VALUE(RIGHT($A2964,2)),"")</f>
        <v>7</v>
      </c>
      <c r="D2964" s="17" t="n">
        <f aca="false">IFERROR(ROUNDUP($C2964/3,0),"")</f>
        <v>3</v>
      </c>
      <c r="E2964" s="11" t="str">
        <f aca="false">TRIM('수출입 실적(품목별)'!B2968)</f>
        <v>76</v>
      </c>
      <c r="F2964" s="11" t="str">
        <f aca="false">TRIM('수출입 실적(품목별)'!C2968)</f>
        <v>알루미늄과 그 제품</v>
      </c>
      <c r="G2964" s="18" t="n">
        <f aca="false">IFERROR(VALUE(SUBSTITUTE(TRIM('수출입 실적(품목별)'!D2968),",","")),"")</f>
        <v>131459.2</v>
      </c>
      <c r="H2964" s="19" t="n">
        <f aca="false">IFERROR(VALUE(SUBSTITUTE(TRIM('수출입 실적(품목별)'!E2968),",","")),"")</f>
        <v>628463</v>
      </c>
      <c r="I2964" s="18" t="n">
        <f aca="false">IFERROR(VALUE(SUBSTITUTE(TRIM('수출입 실적(품목별)'!F2968),",","")),"")</f>
        <v>299764.7</v>
      </c>
      <c r="J2964" s="19" t="n">
        <f aca="false">IFERROR(VALUE(SUBSTITUTE(TRIM('수출입 실적(품목별)'!G2968),",","")),"")</f>
        <v>1146443</v>
      </c>
      <c r="K2964" s="19" t="n">
        <f aca="false">IFERROR(VALUE(SUBSTITUTE(TRIM('수출입 실적(품목별)'!H2968),",","")),"")</f>
        <v>-517980</v>
      </c>
    </row>
    <row r="2965" customFormat="false" ht="15" hidden="false" customHeight="true" outlineLevel="0" collapsed="false">
      <c r="A2965" s="11" t="str">
        <f aca="false">TRIM('수출입 실적(품목별)'!A2969)</f>
        <v>2026.07</v>
      </c>
      <c r="B2965" s="17" t="n">
        <f aca="false">IFERROR(VALUE(LEFT($A2965,4)),"")</f>
        <v>2026</v>
      </c>
      <c r="C2965" s="17" t="n">
        <f aca="false">IFERROR(VALUE(RIGHT($A2965,2)),"")</f>
        <v>7</v>
      </c>
      <c r="D2965" s="17" t="n">
        <f aca="false">IFERROR(ROUNDUP($C2965/3,0),"")</f>
        <v>3</v>
      </c>
      <c r="E2965" s="11" t="str">
        <f aca="false">TRIM('수출입 실적(품목별)'!B2969)</f>
        <v>78</v>
      </c>
      <c r="F2965" s="11" t="str">
        <f aca="false">TRIM('수출입 실적(품목별)'!C2969)</f>
        <v>납과 그 제품</v>
      </c>
      <c r="G2965" s="18" t="n">
        <f aca="false">IFERROR(VALUE(SUBSTITUTE(TRIM('수출입 실적(품목별)'!D2969),",","")),"")</f>
        <v>31346.6</v>
      </c>
      <c r="H2965" s="19" t="n">
        <f aca="false">IFERROR(VALUE(SUBSTITUTE(TRIM('수출입 실적(품목별)'!E2969),",","")),"")</f>
        <v>72623</v>
      </c>
      <c r="I2965" s="18" t="n">
        <f aca="false">IFERROR(VALUE(SUBSTITUTE(TRIM('수출입 실적(품목별)'!F2969),",","")),"")</f>
        <v>14370.2</v>
      </c>
      <c r="J2965" s="19" t="n">
        <f aca="false">IFERROR(VALUE(SUBSTITUTE(TRIM('수출입 실적(품목별)'!G2969),",","")),"")</f>
        <v>37108</v>
      </c>
      <c r="K2965" s="19" t="n">
        <f aca="false">IFERROR(VALUE(SUBSTITUTE(TRIM('수출입 실적(품목별)'!H2969),",","")),"")</f>
        <v>35515</v>
      </c>
    </row>
    <row r="2966" customFormat="false" ht="15" hidden="false" customHeight="true" outlineLevel="0" collapsed="false">
      <c r="A2966" s="11" t="str">
        <f aca="false">TRIM('수출입 실적(품목별)'!A2970)</f>
        <v>2026.07</v>
      </c>
      <c r="B2966" s="17" t="n">
        <f aca="false">IFERROR(VALUE(LEFT($A2966,4)),"")</f>
        <v>2026</v>
      </c>
      <c r="C2966" s="17" t="n">
        <f aca="false">IFERROR(VALUE(RIGHT($A2966,2)),"")</f>
        <v>7</v>
      </c>
      <c r="D2966" s="17" t="n">
        <f aca="false">IFERROR(ROUNDUP($C2966/3,0),"")</f>
        <v>3</v>
      </c>
      <c r="E2966" s="11" t="str">
        <f aca="false">TRIM('수출입 실적(품목별)'!B2970)</f>
        <v>79</v>
      </c>
      <c r="F2966" s="11" t="str">
        <f aca="false">TRIM('수출입 실적(품목별)'!C2970)</f>
        <v>아연과 그 제품</v>
      </c>
      <c r="G2966" s="18" t="n">
        <f aca="false">IFERROR(VALUE(SUBSTITUTE(TRIM('수출입 실적(품목별)'!D2970),",","")),"")</f>
        <v>30006.3</v>
      </c>
      <c r="H2966" s="19" t="n">
        <f aca="false">IFERROR(VALUE(SUBSTITUTE(TRIM('수출입 실적(품목별)'!E2970),",","")),"")</f>
        <v>111921</v>
      </c>
      <c r="I2966" s="18" t="n">
        <f aca="false">IFERROR(VALUE(SUBSTITUTE(TRIM('수출입 실적(품목별)'!F2970),",","")),"")</f>
        <v>2768.3</v>
      </c>
      <c r="J2966" s="19" t="n">
        <f aca="false">IFERROR(VALUE(SUBSTITUTE(TRIM('수출입 실적(품목별)'!G2970),",","")),"")</f>
        <v>11711</v>
      </c>
      <c r="K2966" s="19" t="n">
        <f aca="false">IFERROR(VALUE(SUBSTITUTE(TRIM('수출입 실적(품목별)'!H2970),",","")),"")</f>
        <v>100211</v>
      </c>
    </row>
    <row r="2967" customFormat="false" ht="15" hidden="false" customHeight="true" outlineLevel="0" collapsed="false">
      <c r="A2967" s="11" t="str">
        <f aca="false">TRIM('수출입 실적(품목별)'!A2971)</f>
        <v>2026.07</v>
      </c>
      <c r="B2967" s="17" t="n">
        <f aca="false">IFERROR(VALUE(LEFT($A2967,4)),"")</f>
        <v>2026</v>
      </c>
      <c r="C2967" s="17" t="n">
        <f aca="false">IFERROR(VALUE(RIGHT($A2967,2)),"")</f>
        <v>7</v>
      </c>
      <c r="D2967" s="17" t="n">
        <f aca="false">IFERROR(ROUNDUP($C2967/3,0),"")</f>
        <v>3</v>
      </c>
      <c r="E2967" s="11" t="str">
        <f aca="false">TRIM('수출입 실적(품목별)'!B2971)</f>
        <v>80</v>
      </c>
      <c r="F2967" s="11" t="str">
        <f aca="false">TRIM('수출입 실적(품목별)'!C2971)</f>
        <v>주석과 그 제품</v>
      </c>
      <c r="G2967" s="18" t="n">
        <f aca="false">IFERROR(VALUE(SUBSTITUTE(TRIM('수출입 실적(품목별)'!D2971),",","")),"")</f>
        <v>115</v>
      </c>
      <c r="H2967" s="19" t="n">
        <f aca="false">IFERROR(VALUE(SUBSTITUTE(TRIM('수출입 실적(품목별)'!E2971),",","")),"")</f>
        <v>8423</v>
      </c>
      <c r="I2967" s="18" t="n">
        <f aca="false">IFERROR(VALUE(SUBSTITUTE(TRIM('수출입 실적(품목별)'!F2971),",","")),"")</f>
        <v>1222.2</v>
      </c>
      <c r="J2967" s="19" t="n">
        <f aca="false">IFERROR(VALUE(SUBSTITUTE(TRIM('수출입 실적(품목별)'!G2971),",","")),"")</f>
        <v>68818</v>
      </c>
      <c r="K2967" s="19" t="n">
        <f aca="false">IFERROR(VALUE(SUBSTITUTE(TRIM('수출입 실적(품목별)'!H2971),",","")),"")</f>
        <v>-60396</v>
      </c>
    </row>
    <row r="2968" customFormat="false" ht="15" hidden="false" customHeight="true" outlineLevel="0" collapsed="false">
      <c r="A2968" s="11" t="str">
        <f aca="false">TRIM('수출입 실적(품목별)'!A2972)</f>
        <v>2026.07</v>
      </c>
      <c r="B2968" s="17" t="n">
        <f aca="false">IFERROR(VALUE(LEFT($A2968,4)),"")</f>
        <v>2026</v>
      </c>
      <c r="C2968" s="17" t="n">
        <f aca="false">IFERROR(VALUE(RIGHT($A2968,2)),"")</f>
        <v>7</v>
      </c>
      <c r="D2968" s="17" t="n">
        <f aca="false">IFERROR(ROUNDUP($C2968/3,0),"")</f>
        <v>3</v>
      </c>
      <c r="E2968" s="11" t="str">
        <f aca="false">TRIM('수출입 실적(품목별)'!B2972)</f>
        <v>81</v>
      </c>
      <c r="F2968" s="11" t="str">
        <f aca="false">TRIM('수출입 실적(품목별)'!C2972)</f>
        <v>그 밖의 비금속(卑金屬), 서멧(cermet), 이들의 제품</v>
      </c>
      <c r="G2968" s="18" t="n">
        <f aca="false">IFERROR(VALUE(SUBSTITUTE(TRIM('수출입 실적(품목별)'!D2972),",","")),"")</f>
        <v>3087.9</v>
      </c>
      <c r="H2968" s="19" t="n">
        <f aca="false">IFERROR(VALUE(SUBSTITUTE(TRIM('수출입 실적(품목별)'!E2972),",","")),"")</f>
        <v>84705</v>
      </c>
      <c r="I2968" s="18" t="n">
        <f aca="false">IFERROR(VALUE(SUBSTITUTE(TRIM('수출입 실적(품목별)'!F2972),",","")),"")</f>
        <v>12930.7</v>
      </c>
      <c r="J2968" s="19" t="n">
        <f aca="false">IFERROR(VALUE(SUBSTITUTE(TRIM('수출입 실적(품목별)'!G2972),",","")),"")</f>
        <v>199227</v>
      </c>
      <c r="K2968" s="19" t="n">
        <f aca="false">IFERROR(VALUE(SUBSTITUTE(TRIM('수출입 실적(품목별)'!H2972),",","")),"")</f>
        <v>-114522</v>
      </c>
    </row>
    <row r="2969" customFormat="false" ht="15" hidden="false" customHeight="true" outlineLevel="0" collapsed="false">
      <c r="A2969" s="11" t="str">
        <f aca="false">TRIM('수출입 실적(품목별)'!A2973)</f>
        <v>2026.07</v>
      </c>
      <c r="B2969" s="17" t="n">
        <f aca="false">IFERROR(VALUE(LEFT($A2969,4)),"")</f>
        <v>2026</v>
      </c>
      <c r="C2969" s="17" t="n">
        <f aca="false">IFERROR(VALUE(RIGHT($A2969,2)),"")</f>
        <v>7</v>
      </c>
      <c r="D2969" s="17" t="n">
        <f aca="false">IFERROR(ROUNDUP($C2969/3,0),"")</f>
        <v>3</v>
      </c>
      <c r="E2969" s="11" t="str">
        <f aca="false">TRIM('수출입 실적(품목별)'!B2973)</f>
        <v>82</v>
      </c>
      <c r="F2969" s="11" t="str">
        <f aca="false">TRIM('수출입 실적(품목별)'!C2973)</f>
        <v>비금속(卑金屬)으로 만든 공구ㆍ도구ㆍ칼붙이ㆍ스푼ㆍ포크, 이들의 부분품</v>
      </c>
      <c r="G2969" s="18" t="n">
        <f aca="false">IFERROR(VALUE(SUBSTITUTE(TRIM('수출입 실적(품목별)'!D2973),",","")),"")</f>
        <v>14124.1</v>
      </c>
      <c r="H2969" s="19" t="n">
        <f aca="false">IFERROR(VALUE(SUBSTITUTE(TRIM('수출입 실적(품목별)'!E2973),",","")),"")</f>
        <v>246151</v>
      </c>
      <c r="I2969" s="18" t="n">
        <f aca="false">IFERROR(VALUE(SUBSTITUTE(TRIM('수출입 실적(품목별)'!F2973),",","")),"")</f>
        <v>5753.5</v>
      </c>
      <c r="J2969" s="19" t="n">
        <f aca="false">IFERROR(VALUE(SUBSTITUTE(TRIM('수출입 실적(품목별)'!G2973),",","")),"")</f>
        <v>106271</v>
      </c>
      <c r="K2969" s="19" t="n">
        <f aca="false">IFERROR(VALUE(SUBSTITUTE(TRIM('수출입 실적(품목별)'!H2973),",","")),"")</f>
        <v>139880</v>
      </c>
    </row>
    <row r="2970" customFormat="false" ht="15" hidden="false" customHeight="true" outlineLevel="0" collapsed="false">
      <c r="A2970" s="11" t="str">
        <f aca="false">TRIM('수출입 실적(품목별)'!A2974)</f>
        <v>2026.07</v>
      </c>
      <c r="B2970" s="17" t="n">
        <f aca="false">IFERROR(VALUE(LEFT($A2970,4)),"")</f>
        <v>2026</v>
      </c>
      <c r="C2970" s="17" t="n">
        <f aca="false">IFERROR(VALUE(RIGHT($A2970,2)),"")</f>
        <v>7</v>
      </c>
      <c r="D2970" s="17" t="n">
        <f aca="false">IFERROR(ROUNDUP($C2970/3,0),"")</f>
        <v>3</v>
      </c>
      <c r="E2970" s="11" t="str">
        <f aca="false">TRIM('수출입 실적(품목별)'!B2974)</f>
        <v>83</v>
      </c>
      <c r="F2970" s="11" t="str">
        <f aca="false">TRIM('수출입 실적(품목별)'!C2974)</f>
        <v>비금속(卑金屬)으로 만든 각종 제품</v>
      </c>
      <c r="G2970" s="18" t="n">
        <f aca="false">IFERROR(VALUE(SUBSTITUTE(TRIM('수출입 실적(품목별)'!D2974),",","")),"")</f>
        <v>26062.1</v>
      </c>
      <c r="H2970" s="19" t="n">
        <f aca="false">IFERROR(VALUE(SUBSTITUTE(TRIM('수출입 실적(품목별)'!E2974),",","")),"")</f>
        <v>152751</v>
      </c>
      <c r="I2970" s="18" t="n">
        <f aca="false">IFERROR(VALUE(SUBSTITUTE(TRIM('수출입 실적(품목별)'!F2974),",","")),"")</f>
        <v>11476</v>
      </c>
      <c r="J2970" s="19" t="n">
        <f aca="false">IFERROR(VALUE(SUBSTITUTE(TRIM('수출입 실적(품목별)'!G2974),",","")),"")</f>
        <v>83099</v>
      </c>
      <c r="K2970" s="19" t="n">
        <f aca="false">IFERROR(VALUE(SUBSTITUTE(TRIM('수출입 실적(품목별)'!H2974),",","")),"")</f>
        <v>69652</v>
      </c>
    </row>
    <row r="2971" customFormat="false" ht="15" hidden="false" customHeight="true" outlineLevel="0" collapsed="false">
      <c r="A2971" s="11" t="str">
        <f aca="false">TRIM('수출입 실적(품목별)'!A2975)</f>
        <v>2026.07</v>
      </c>
      <c r="B2971" s="17" t="n">
        <f aca="false">IFERROR(VALUE(LEFT($A2971,4)),"")</f>
        <v>2026</v>
      </c>
      <c r="C2971" s="17" t="n">
        <f aca="false">IFERROR(VALUE(RIGHT($A2971,2)),"")</f>
        <v>7</v>
      </c>
      <c r="D2971" s="17" t="n">
        <f aca="false">IFERROR(ROUNDUP($C2971/3,0),"")</f>
        <v>3</v>
      </c>
      <c r="E2971" s="11" t="str">
        <f aca="false">TRIM('수출입 실적(품목별)'!B2975)</f>
        <v>84</v>
      </c>
      <c r="F2971" s="11" t="str">
        <f aca="false">TRIM('수출입 실적(품목별)'!C2975)</f>
        <v>원자로ㆍ보일러ㆍ기계류와 이들의 부분품</v>
      </c>
      <c r="G2971" s="18" t="n">
        <f aca="false">IFERROR(VALUE(SUBSTITUTE(TRIM('수출입 실적(품목별)'!D2975),",","")),"")</f>
        <v>453635</v>
      </c>
      <c r="H2971" s="19" t="n">
        <f aca="false">IFERROR(VALUE(SUBSTITUTE(TRIM('수출입 실적(품목별)'!E2975),",","")),"")</f>
        <v>13644786</v>
      </c>
      <c r="I2971" s="18" t="n">
        <f aca="false">IFERROR(VALUE(SUBSTITUTE(TRIM('수출입 실적(품목별)'!F2975),",","")),"")</f>
        <v>244191</v>
      </c>
      <c r="J2971" s="19" t="n">
        <f aca="false">IFERROR(VALUE(SUBSTITUTE(TRIM('수출입 실적(품목별)'!G2975),",","")),"")</f>
        <v>8719307</v>
      </c>
      <c r="K2971" s="19" t="n">
        <f aca="false">IFERROR(VALUE(SUBSTITUTE(TRIM('수출입 실적(품목별)'!H2975),",","")),"")</f>
        <v>4925478</v>
      </c>
    </row>
    <row r="2972" customFormat="false" ht="15" hidden="false" customHeight="true" outlineLevel="0" collapsed="false">
      <c r="A2972" s="11" t="str">
        <f aca="false">TRIM('수출입 실적(품목별)'!A2976)</f>
        <v>2026.07</v>
      </c>
      <c r="B2972" s="17" t="n">
        <f aca="false">IFERROR(VALUE(LEFT($A2972,4)),"")</f>
        <v>2026</v>
      </c>
      <c r="C2972" s="17" t="n">
        <f aca="false">IFERROR(VALUE(RIGHT($A2972,2)),"")</f>
        <v>7</v>
      </c>
      <c r="D2972" s="17" t="n">
        <f aca="false">IFERROR(ROUNDUP($C2972/3,0),"")</f>
        <v>3</v>
      </c>
      <c r="E2972" s="11" t="str">
        <f aca="false">TRIM('수출입 실적(품목별)'!B2976)</f>
        <v>85</v>
      </c>
      <c r="F2972" s="11" t="str">
        <f aca="false">TRIM('수출입 실적(품목별)'!C2976)</f>
        <v>전기기기와 그 부분품, 녹음기ㆍ음성 재생기ㆍ텔레비전의 영상과 음성의 기록기ㆍ재생기와 이들의 부분품ㆍ부속품</v>
      </c>
      <c r="G2972" s="18" t="n">
        <f aca="false">IFERROR(VALUE(SUBSTITUTE(TRIM('수출입 실적(품목별)'!D2976),",","")),"")</f>
        <v>248059.2</v>
      </c>
      <c r="H2972" s="19" t="n">
        <f aca="false">IFERROR(VALUE(SUBSTITUTE(TRIM('수출입 실적(품목별)'!E2976),",","")),"")</f>
        <v>45417101</v>
      </c>
      <c r="I2972" s="18" t="n">
        <f aca="false">IFERROR(VALUE(SUBSTITUTE(TRIM('수출입 실적(품목별)'!F2976),",","")),"")</f>
        <v>218986.5</v>
      </c>
      <c r="J2972" s="19" t="n">
        <f aca="false">IFERROR(VALUE(SUBSTITUTE(TRIM('수출입 실적(품목별)'!G2976),",","")),"")</f>
        <v>15122658</v>
      </c>
      <c r="K2972" s="19" t="n">
        <f aca="false">IFERROR(VALUE(SUBSTITUTE(TRIM('수출입 실적(품목별)'!H2976),",","")),"")</f>
        <v>30294443</v>
      </c>
    </row>
    <row r="2973" customFormat="false" ht="15" hidden="false" customHeight="true" outlineLevel="0" collapsed="false">
      <c r="A2973" s="11" t="str">
        <f aca="false">TRIM('수출입 실적(품목별)'!A2977)</f>
        <v>2026.07</v>
      </c>
      <c r="B2973" s="17" t="n">
        <f aca="false">IFERROR(VALUE(LEFT($A2973,4)),"")</f>
        <v>2026</v>
      </c>
      <c r="C2973" s="17" t="n">
        <f aca="false">IFERROR(VALUE(RIGHT($A2973,2)),"")</f>
        <v>7</v>
      </c>
      <c r="D2973" s="17" t="n">
        <f aca="false">IFERROR(ROUNDUP($C2973/3,0),"")</f>
        <v>3</v>
      </c>
      <c r="E2973" s="11" t="str">
        <f aca="false">TRIM('수출입 실적(품목별)'!B2977)</f>
        <v>86</v>
      </c>
      <c r="F2973" s="11" t="str">
        <f aca="false">TRIM('수출입 실적(품목별)'!C2977)</f>
        <v>철도용이나 궤도용 기관차ㆍ차량과 이들의 부분품, 철도용이나 궤도용 장비품과 그 부분품, 기계식(전기기계식을 포함한다) 각종 교통신호용 기기</v>
      </c>
      <c r="G2973" s="18" t="n">
        <f aca="false">IFERROR(VALUE(SUBSTITUTE(TRIM('수출입 실적(품목별)'!D2977),",","")),"")</f>
        <v>12786.3</v>
      </c>
      <c r="H2973" s="19" t="n">
        <f aca="false">IFERROR(VALUE(SUBSTITUTE(TRIM('수출입 실적(품목별)'!E2977),",","")),"")</f>
        <v>74952</v>
      </c>
      <c r="I2973" s="18" t="n">
        <f aca="false">IFERROR(VALUE(SUBSTITUTE(TRIM('수출입 실적(품목별)'!F2977),",","")),"")</f>
        <v>14557.3</v>
      </c>
      <c r="J2973" s="19" t="n">
        <f aca="false">IFERROR(VALUE(SUBSTITUTE(TRIM('수출입 실적(품목별)'!G2977),",","")),"")</f>
        <v>61711</v>
      </c>
      <c r="K2973" s="19" t="n">
        <f aca="false">IFERROR(VALUE(SUBSTITUTE(TRIM('수출입 실적(품목별)'!H2977),",","")),"")</f>
        <v>13241</v>
      </c>
    </row>
    <row r="2974" customFormat="false" ht="15" hidden="false" customHeight="true" outlineLevel="0" collapsed="false">
      <c r="A2974" s="11" t="str">
        <f aca="false">TRIM('수출입 실적(품목별)'!A2978)</f>
        <v>2026.07</v>
      </c>
      <c r="B2974" s="17" t="n">
        <f aca="false">IFERROR(VALUE(LEFT($A2974,4)),"")</f>
        <v>2026</v>
      </c>
      <c r="C2974" s="17" t="n">
        <f aca="false">IFERROR(VALUE(RIGHT($A2974,2)),"")</f>
        <v>7</v>
      </c>
      <c r="D2974" s="17" t="n">
        <f aca="false">IFERROR(ROUNDUP($C2974/3,0),"")</f>
        <v>3</v>
      </c>
      <c r="E2974" s="11" t="str">
        <f aca="false">TRIM('수출입 실적(품목별)'!B2978)</f>
        <v>87</v>
      </c>
      <c r="F2974" s="11" t="str">
        <f aca="false">TRIM('수출입 실적(품목별)'!C2978)</f>
        <v>철도용이나 궤도용 외의 차량과 그 부분품ㆍ부속품</v>
      </c>
      <c r="G2974" s="18" t="n">
        <f aca="false">IFERROR(VALUE(SUBSTITUTE(TRIM('수출입 실적(품목별)'!D2978),",","")),"")</f>
        <v>771379.6</v>
      </c>
      <c r="H2974" s="19" t="n">
        <f aca="false">IFERROR(VALUE(SUBSTITUTE(TRIM('수출입 실적(품목별)'!E2978),",","")),"")</f>
        <v>8335789</v>
      </c>
      <c r="I2974" s="18" t="n">
        <f aca="false">IFERROR(VALUE(SUBSTITUTE(TRIM('수출입 실적(품목별)'!F2978),",","")),"")</f>
        <v>115722.9</v>
      </c>
      <c r="J2974" s="19" t="n">
        <f aca="false">IFERROR(VALUE(SUBSTITUTE(TRIM('수출입 실적(품목별)'!G2978),",","")),"")</f>
        <v>1571693</v>
      </c>
      <c r="K2974" s="19" t="n">
        <f aca="false">IFERROR(VALUE(SUBSTITUTE(TRIM('수출입 실적(품목별)'!H2978),",","")),"")</f>
        <v>6764095</v>
      </c>
    </row>
    <row r="2975" customFormat="false" ht="15" hidden="false" customHeight="true" outlineLevel="0" collapsed="false">
      <c r="A2975" s="11" t="str">
        <f aca="false">TRIM('수출입 실적(품목별)'!A2979)</f>
        <v>2026.07</v>
      </c>
      <c r="B2975" s="17" t="n">
        <f aca="false">IFERROR(VALUE(LEFT($A2975,4)),"")</f>
        <v>2026</v>
      </c>
      <c r="C2975" s="17" t="n">
        <f aca="false">IFERROR(VALUE(RIGHT($A2975,2)),"")</f>
        <v>7</v>
      </c>
      <c r="D2975" s="17" t="n">
        <f aca="false">IFERROR(ROUNDUP($C2975/3,0),"")</f>
        <v>3</v>
      </c>
      <c r="E2975" s="11" t="str">
        <f aca="false">TRIM('수출입 실적(품목별)'!B2979)</f>
        <v>88</v>
      </c>
      <c r="F2975" s="11" t="str">
        <f aca="false">TRIM('수출입 실적(품목별)'!C2979)</f>
        <v>항공기와 우주선, 이들의 부분품</v>
      </c>
      <c r="G2975" s="18" t="n">
        <f aca="false">IFERROR(VALUE(SUBSTITUTE(TRIM('수출입 실적(품목별)'!D2979),",","")),"")</f>
        <v>1756.3</v>
      </c>
      <c r="H2975" s="19" t="n">
        <f aca="false">IFERROR(VALUE(SUBSTITUTE(TRIM('수출입 실적(품목별)'!E2979),",","")),"")</f>
        <v>307987</v>
      </c>
      <c r="I2975" s="18" t="n">
        <f aca="false">IFERROR(VALUE(SUBSTITUTE(TRIM('수출입 실적(품목별)'!F2979),",","")),"")</f>
        <v>1359.7</v>
      </c>
      <c r="J2975" s="19" t="n">
        <f aca="false">IFERROR(VALUE(SUBSTITUTE(TRIM('수출입 실적(품목별)'!G2979),",","")),"")</f>
        <v>603732</v>
      </c>
      <c r="K2975" s="19" t="n">
        <f aca="false">IFERROR(VALUE(SUBSTITUTE(TRIM('수출입 실적(품목별)'!H2979),",","")),"")</f>
        <v>-295745</v>
      </c>
    </row>
    <row r="2976" customFormat="false" ht="15" hidden="false" customHeight="true" outlineLevel="0" collapsed="false">
      <c r="A2976" s="11" t="str">
        <f aca="false">TRIM('수출입 실적(품목별)'!A2980)</f>
        <v>2026.07</v>
      </c>
      <c r="B2976" s="17" t="n">
        <f aca="false">IFERROR(VALUE(LEFT($A2976,4)),"")</f>
        <v>2026</v>
      </c>
      <c r="C2976" s="17" t="n">
        <f aca="false">IFERROR(VALUE(RIGHT($A2976,2)),"")</f>
        <v>7</v>
      </c>
      <c r="D2976" s="17" t="n">
        <f aca="false">IFERROR(ROUNDUP($C2976/3,0),"")</f>
        <v>3</v>
      </c>
      <c r="E2976" s="11" t="str">
        <f aca="false">TRIM('수출입 실적(품목별)'!B2980)</f>
        <v>89</v>
      </c>
      <c r="F2976" s="11" t="str">
        <f aca="false">TRIM('수출입 실적(품목별)'!C2980)</f>
        <v>선박과 수상 구조물</v>
      </c>
      <c r="G2976" s="18" t="n">
        <f aca="false">IFERROR(VALUE(SUBSTITUTE(TRIM('수출입 실적(품목별)'!D2980),",","")),"")</f>
        <v>1300569.4</v>
      </c>
      <c r="H2976" s="19" t="n">
        <f aca="false">IFERROR(VALUE(SUBSTITUTE(TRIM('수출입 실적(품목별)'!E2980),",","")),"")</f>
        <v>3066991</v>
      </c>
      <c r="I2976" s="18" t="n">
        <f aca="false">IFERROR(VALUE(SUBSTITUTE(TRIM('수출입 실적(품목별)'!F2980),",","")),"")</f>
        <v>968269.8</v>
      </c>
      <c r="J2976" s="19" t="n">
        <f aca="false">IFERROR(VALUE(SUBSTITUTE(TRIM('수출입 실적(품목별)'!G2980),",","")),"")</f>
        <v>879679</v>
      </c>
      <c r="K2976" s="19" t="n">
        <f aca="false">IFERROR(VALUE(SUBSTITUTE(TRIM('수출입 실적(품목별)'!H2980),",","")),"")</f>
        <v>2187312</v>
      </c>
    </row>
    <row r="2977" customFormat="false" ht="15" hidden="false" customHeight="true" outlineLevel="0" collapsed="false">
      <c r="A2977" s="11" t="str">
        <f aca="false">TRIM('수출입 실적(품목별)'!A2981)</f>
        <v>2026.07</v>
      </c>
      <c r="B2977" s="17" t="n">
        <f aca="false">IFERROR(VALUE(LEFT($A2977,4)),"")</f>
        <v>2026</v>
      </c>
      <c r="C2977" s="17" t="n">
        <f aca="false">IFERROR(VALUE(RIGHT($A2977,2)),"")</f>
        <v>7</v>
      </c>
      <c r="D2977" s="17" t="n">
        <f aca="false">IFERROR(ROUNDUP($C2977/3,0),"")</f>
        <v>3</v>
      </c>
      <c r="E2977" s="11" t="str">
        <f aca="false">TRIM('수출입 실적(품목별)'!B2981)</f>
        <v>90</v>
      </c>
      <c r="F2977" s="11" t="str">
        <f aca="false">TRIM('수출입 실적(품목별)'!C2981)</f>
        <v>광학기기ㆍ사진용 기기ㆍ영화용 기기ㆍ측정기기ㆍ검사기기ㆍ정밀기기ㆍ의료용 기기, 이들의 부분품과 부속품</v>
      </c>
      <c r="G2977" s="18" t="n">
        <f aca="false">IFERROR(VALUE(SUBSTITUTE(TRIM('수출입 실적(품목별)'!D2981),",","")),"")</f>
        <v>17254.4</v>
      </c>
      <c r="H2977" s="19" t="n">
        <f aca="false">IFERROR(VALUE(SUBSTITUTE(TRIM('수출입 실적(품목별)'!E2981),",","")),"")</f>
        <v>1656453</v>
      </c>
      <c r="I2977" s="18" t="n">
        <f aca="false">IFERROR(VALUE(SUBSTITUTE(TRIM('수출입 실적(품목별)'!F2981),",","")),"")</f>
        <v>16718.5</v>
      </c>
      <c r="J2977" s="19" t="n">
        <f aca="false">IFERROR(VALUE(SUBSTITUTE(TRIM('수출입 실적(품목별)'!G2981),",","")),"")</f>
        <v>2407987</v>
      </c>
      <c r="K2977" s="19" t="n">
        <f aca="false">IFERROR(VALUE(SUBSTITUTE(TRIM('수출입 실적(품목별)'!H2981),",","")),"")</f>
        <v>-751534</v>
      </c>
    </row>
    <row r="2978" customFormat="false" ht="15" hidden="false" customHeight="true" outlineLevel="0" collapsed="false">
      <c r="A2978" s="11" t="str">
        <f aca="false">TRIM('수출입 실적(품목별)'!A2982)</f>
        <v>2026.07</v>
      </c>
      <c r="B2978" s="17" t="n">
        <f aca="false">IFERROR(VALUE(LEFT($A2978,4)),"")</f>
        <v>2026</v>
      </c>
      <c r="C2978" s="17" t="n">
        <f aca="false">IFERROR(VALUE(RIGHT($A2978,2)),"")</f>
        <v>7</v>
      </c>
      <c r="D2978" s="17" t="n">
        <f aca="false">IFERROR(ROUNDUP($C2978/3,0),"")</f>
        <v>3</v>
      </c>
      <c r="E2978" s="11" t="str">
        <f aca="false">TRIM('수출입 실적(품목별)'!B2982)</f>
        <v>91</v>
      </c>
      <c r="F2978" s="11" t="str">
        <f aca="false">TRIM('수출입 실적(품목별)'!C2982)</f>
        <v>시계와 그 부분품</v>
      </c>
      <c r="G2978" s="18" t="n">
        <f aca="false">IFERROR(VALUE(SUBSTITUTE(TRIM('수출입 실적(품목별)'!D2982),",","")),"")</f>
        <v>15.3</v>
      </c>
      <c r="H2978" s="19" t="n">
        <f aca="false">IFERROR(VALUE(SUBSTITUTE(TRIM('수출입 실적(품목별)'!E2982),",","")),"")</f>
        <v>18077</v>
      </c>
      <c r="I2978" s="18" t="n">
        <f aca="false">IFERROR(VALUE(SUBSTITUTE(TRIM('수출입 실적(품목별)'!F2982),",","")),"")</f>
        <v>321.6</v>
      </c>
      <c r="J2978" s="19" t="n">
        <f aca="false">IFERROR(VALUE(SUBSTITUTE(TRIM('수출입 실적(품목별)'!G2982),",","")),"")</f>
        <v>110546</v>
      </c>
      <c r="K2978" s="19" t="n">
        <f aca="false">IFERROR(VALUE(SUBSTITUTE(TRIM('수출입 실적(품목별)'!H2982),",","")),"")</f>
        <v>-92469</v>
      </c>
    </row>
    <row r="2979" customFormat="false" ht="15" hidden="false" customHeight="true" outlineLevel="0" collapsed="false">
      <c r="A2979" s="11" t="str">
        <f aca="false">TRIM('수출입 실적(품목별)'!A2983)</f>
        <v>2026.07</v>
      </c>
      <c r="B2979" s="17" t="n">
        <f aca="false">IFERROR(VALUE(LEFT($A2979,4)),"")</f>
        <v>2026</v>
      </c>
      <c r="C2979" s="17" t="n">
        <f aca="false">IFERROR(VALUE(RIGHT($A2979,2)),"")</f>
        <v>7</v>
      </c>
      <c r="D2979" s="17" t="n">
        <f aca="false">IFERROR(ROUNDUP($C2979/3,0),"")</f>
        <v>3</v>
      </c>
      <c r="E2979" s="11" t="str">
        <f aca="false">TRIM('수출입 실적(품목별)'!B2983)</f>
        <v>92</v>
      </c>
      <c r="F2979" s="11" t="str">
        <f aca="false">TRIM('수출입 실적(품목별)'!C2983)</f>
        <v>악기와 그 부분품과 부속품</v>
      </c>
      <c r="G2979" s="18" t="n">
        <f aca="false">IFERROR(VALUE(SUBSTITUTE(TRIM('수출입 실적(품목별)'!D2983),",","")),"")</f>
        <v>338</v>
      </c>
      <c r="H2979" s="19" t="n">
        <f aca="false">IFERROR(VALUE(SUBSTITUTE(TRIM('수출입 실적(품목별)'!E2983),",","")),"")</f>
        <v>9505</v>
      </c>
      <c r="I2979" s="18" t="n">
        <f aca="false">IFERROR(VALUE(SUBSTITUTE(TRIM('수출입 실적(품목별)'!F2983),",","")),"")</f>
        <v>532.3</v>
      </c>
      <c r="J2979" s="19" t="n">
        <f aca="false">IFERROR(VALUE(SUBSTITUTE(TRIM('수출입 실적(품목별)'!G2983),",","")),"")</f>
        <v>14239</v>
      </c>
      <c r="K2979" s="19" t="n">
        <f aca="false">IFERROR(VALUE(SUBSTITUTE(TRIM('수출입 실적(품목별)'!H2983),",","")),"")</f>
        <v>-4734</v>
      </c>
    </row>
    <row r="2980" customFormat="false" ht="15" hidden="false" customHeight="true" outlineLevel="0" collapsed="false">
      <c r="A2980" s="11" t="str">
        <f aca="false">TRIM('수출입 실적(품목별)'!A2984)</f>
        <v>2026.07</v>
      </c>
      <c r="B2980" s="17" t="n">
        <f aca="false">IFERROR(VALUE(LEFT($A2980,4)),"")</f>
        <v>2026</v>
      </c>
      <c r="C2980" s="17" t="n">
        <f aca="false">IFERROR(VALUE(RIGHT($A2980,2)),"")</f>
        <v>7</v>
      </c>
      <c r="D2980" s="17" t="n">
        <f aca="false">IFERROR(ROUNDUP($C2980/3,0),"")</f>
        <v>3</v>
      </c>
      <c r="E2980" s="11" t="str">
        <f aca="false">TRIM('수출입 실적(품목별)'!B2984)</f>
        <v>93</v>
      </c>
      <c r="F2980" s="11" t="str">
        <f aca="false">TRIM('수출입 실적(품목별)'!C2984)</f>
        <v>무기ㆍ총포탄과 이들의 부분품과 부속품</v>
      </c>
      <c r="G2980" s="18" t="n">
        <f aca="false">IFERROR(VALUE(SUBSTITUTE(TRIM('수출입 실적(품목별)'!D2984),",","")),"")</f>
        <v>2673.5</v>
      </c>
      <c r="H2980" s="19" t="n">
        <f aca="false">IFERROR(VALUE(SUBSTITUTE(TRIM('수출입 실적(품목별)'!E2984),",","")),"")</f>
        <v>325608</v>
      </c>
      <c r="I2980" s="18" t="n">
        <f aca="false">IFERROR(VALUE(SUBSTITUTE(TRIM('수출입 실적(품목별)'!F2984),",","")),"")</f>
        <v>69.6</v>
      </c>
      <c r="J2980" s="19" t="n">
        <f aca="false">IFERROR(VALUE(SUBSTITUTE(TRIM('수출입 실적(품목별)'!G2984),",","")),"")</f>
        <v>31560</v>
      </c>
      <c r="K2980" s="19" t="n">
        <f aca="false">IFERROR(VALUE(SUBSTITUTE(TRIM('수출입 실적(품목별)'!H2984),",","")),"")</f>
        <v>294048</v>
      </c>
    </row>
    <row r="2981" customFormat="false" ht="15" hidden="false" customHeight="true" outlineLevel="0" collapsed="false">
      <c r="A2981" s="11" t="str">
        <f aca="false">TRIM('수출입 실적(품목별)'!A2985)</f>
        <v>2026.07</v>
      </c>
      <c r="B2981" s="17" t="n">
        <f aca="false">IFERROR(VALUE(LEFT($A2981,4)),"")</f>
        <v>2026</v>
      </c>
      <c r="C2981" s="17" t="n">
        <f aca="false">IFERROR(VALUE(RIGHT($A2981,2)),"")</f>
        <v>7</v>
      </c>
      <c r="D2981" s="17" t="n">
        <f aca="false">IFERROR(ROUNDUP($C2981/3,0),"")</f>
        <v>3</v>
      </c>
      <c r="E2981" s="11" t="str">
        <f aca="false">TRIM('수출입 실적(품목별)'!B2985)</f>
        <v>94</v>
      </c>
      <c r="F2981" s="11" t="str">
        <f aca="false">TRIM('수출입 실적(품목별)'!C2985)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G2981" s="18" t="n">
        <f aca="false">IFERROR(VALUE(SUBSTITUTE(TRIM('수출입 실적(품목별)'!D2985),",","")),"")</f>
        <v>17061</v>
      </c>
      <c r="H2981" s="19" t="n">
        <f aca="false">IFERROR(VALUE(SUBSTITUTE(TRIM('수출입 실적(품목별)'!E2985),",","")),"")</f>
        <v>121196</v>
      </c>
      <c r="I2981" s="18" t="n">
        <f aca="false">IFERROR(VALUE(SUBSTITUTE(TRIM('수출입 실적(품목별)'!F2985),",","")),"")</f>
        <v>76716.7</v>
      </c>
      <c r="J2981" s="19" t="n">
        <f aca="false">IFERROR(VALUE(SUBSTITUTE(TRIM('수출입 실적(품목별)'!G2985),",","")),"")</f>
        <v>325799</v>
      </c>
      <c r="K2981" s="19" t="n">
        <f aca="false">IFERROR(VALUE(SUBSTITUTE(TRIM('수출입 실적(품목별)'!H2985),",","")),"")</f>
        <v>-204603</v>
      </c>
    </row>
    <row r="2982" customFormat="false" ht="15" hidden="false" customHeight="true" outlineLevel="0" collapsed="false">
      <c r="A2982" s="11" t="str">
        <f aca="false">TRIM('수출입 실적(품목별)'!A2986)</f>
        <v>2026.07</v>
      </c>
      <c r="B2982" s="17" t="n">
        <f aca="false">IFERROR(VALUE(LEFT($A2982,4)),"")</f>
        <v>2026</v>
      </c>
      <c r="C2982" s="17" t="n">
        <f aca="false">IFERROR(VALUE(RIGHT($A2982,2)),"")</f>
        <v>7</v>
      </c>
      <c r="D2982" s="17" t="n">
        <f aca="false">IFERROR(ROUNDUP($C2982/3,0),"")</f>
        <v>3</v>
      </c>
      <c r="E2982" s="11" t="str">
        <f aca="false">TRIM('수출입 실적(품목별)'!B2986)</f>
        <v>95</v>
      </c>
      <c r="F2982" s="11" t="str">
        <f aca="false">TRIM('수출입 실적(품목별)'!C2986)</f>
        <v>완구ㆍ게임용구ㆍ운동용구와 이들의 부분품과 부속품</v>
      </c>
      <c r="G2982" s="18" t="n">
        <f aca="false">IFERROR(VALUE(SUBSTITUTE(TRIM('수출입 실적(품목별)'!D2986),",","")),"")</f>
        <v>2876.5</v>
      </c>
      <c r="H2982" s="19" t="n">
        <f aca="false">IFERROR(VALUE(SUBSTITUTE(TRIM('수출입 실적(품목별)'!E2986),",","")),"")</f>
        <v>69133</v>
      </c>
      <c r="I2982" s="18" t="n">
        <f aca="false">IFERROR(VALUE(SUBSTITUTE(TRIM('수출입 실적(품목별)'!F2986),",","")),"")</f>
        <v>17458.6</v>
      </c>
      <c r="J2982" s="19" t="n">
        <f aca="false">IFERROR(VALUE(SUBSTITUTE(TRIM('수출입 실적(품목별)'!G2986),",","")),"")</f>
        <v>247902</v>
      </c>
      <c r="K2982" s="19" t="n">
        <f aca="false">IFERROR(VALUE(SUBSTITUTE(TRIM('수출입 실적(품목별)'!H2986),",","")),"")</f>
        <v>-178768</v>
      </c>
    </row>
    <row r="2983" customFormat="false" ht="15" hidden="false" customHeight="true" outlineLevel="0" collapsed="false">
      <c r="A2983" s="11" t="str">
        <f aca="false">TRIM('수출입 실적(품목별)'!A2987)</f>
        <v>2026.07</v>
      </c>
      <c r="B2983" s="17" t="n">
        <f aca="false">IFERROR(VALUE(LEFT($A2983,4)),"")</f>
        <v>2026</v>
      </c>
      <c r="C2983" s="17" t="n">
        <f aca="false">IFERROR(VALUE(RIGHT($A2983,2)),"")</f>
        <v>7</v>
      </c>
      <c r="D2983" s="17" t="n">
        <f aca="false">IFERROR(ROUNDUP($C2983/3,0),"")</f>
        <v>3</v>
      </c>
      <c r="E2983" s="11" t="str">
        <f aca="false">TRIM('수출입 실적(품목별)'!B2987)</f>
        <v>96</v>
      </c>
      <c r="F2983" s="11" t="str">
        <f aca="false">TRIM('수출입 실적(품목별)'!C2987)</f>
        <v>잡품</v>
      </c>
      <c r="G2983" s="18" t="n">
        <f aca="false">IFERROR(VALUE(SUBSTITUTE(TRIM('수출입 실적(품목별)'!D2987),",","")),"")</f>
        <v>2535.9</v>
      </c>
      <c r="H2983" s="19" t="n">
        <f aca="false">IFERROR(VALUE(SUBSTITUTE(TRIM('수출입 실적(품목별)'!E2987),",","")),"")</f>
        <v>44110</v>
      </c>
      <c r="I2983" s="18" t="n">
        <f aca="false">IFERROR(VALUE(SUBSTITUTE(TRIM('수출입 실적(품목별)'!F2987),",","")),"")</f>
        <v>12061.8</v>
      </c>
      <c r="J2983" s="19" t="n">
        <f aca="false">IFERROR(VALUE(SUBSTITUTE(TRIM('수출입 실적(품목별)'!G2987),",","")),"")</f>
        <v>101761</v>
      </c>
      <c r="K2983" s="19" t="n">
        <f aca="false">IFERROR(VALUE(SUBSTITUTE(TRIM('수출입 실적(품목별)'!H2987),",","")),"")</f>
        <v>-57651</v>
      </c>
    </row>
    <row r="2984" customFormat="false" ht="15" hidden="false" customHeight="true" outlineLevel="0" collapsed="false">
      <c r="A2984" s="11" t="str">
        <f aca="false">TRIM('수출입 실적(품목별)'!A2988)</f>
        <v>2026.07</v>
      </c>
      <c r="B2984" s="17" t="n">
        <f aca="false">IFERROR(VALUE(LEFT($A2984,4)),"")</f>
        <v>2026</v>
      </c>
      <c r="C2984" s="17" t="n">
        <f aca="false">IFERROR(VALUE(RIGHT($A2984,2)),"")</f>
        <v>7</v>
      </c>
      <c r="D2984" s="17" t="n">
        <f aca="false">IFERROR(ROUNDUP($C2984/3,0),"")</f>
        <v>3</v>
      </c>
      <c r="E2984" s="11" t="str">
        <f aca="false">TRIM('수출입 실적(품목별)'!B2988)</f>
        <v>97</v>
      </c>
      <c r="F2984" s="11" t="str">
        <f aca="false">TRIM('수출입 실적(품목별)'!C2988)</f>
        <v>예술품ㆍ수집품ㆍ골동품</v>
      </c>
      <c r="G2984" s="18" t="n">
        <f aca="false">IFERROR(VALUE(SUBSTITUTE(TRIM('수출입 실적(품목별)'!D2988),",","")),"")</f>
        <v>17.6</v>
      </c>
      <c r="H2984" s="19" t="n">
        <f aca="false">IFERROR(VALUE(SUBSTITUTE(TRIM('수출입 실적(품목별)'!E2988),",","")),"")</f>
        <v>15110</v>
      </c>
      <c r="I2984" s="18" t="n">
        <f aca="false">IFERROR(VALUE(SUBSTITUTE(TRIM('수출입 실적(품목별)'!F2988),",","")),"")</f>
        <v>37.5</v>
      </c>
      <c r="J2984" s="19" t="n">
        <f aca="false">IFERROR(VALUE(SUBSTITUTE(TRIM('수출입 실적(품목별)'!G2988),",","")),"")</f>
        <v>20791</v>
      </c>
      <c r="K2984" s="19" t="n">
        <f aca="false">IFERROR(VALUE(SUBSTITUTE(TRIM('수출입 실적(품목별)'!H2988),",","")),"")</f>
        <v>-5681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34"/>
    <col collapsed="false" customWidth="true" hidden="false" outlineLevel="0" max="7" min="6" style="1" width="12"/>
  </cols>
  <sheetData>
    <row r="1" customFormat="false" ht="15" hidden="false" customHeight="true" outlineLevel="0" collapsed="false">
      <c r="A1" s="15" t="s">
        <v>19652</v>
      </c>
    </row>
    <row r="2" customFormat="false" ht="15" hidden="false" customHeight="true" outlineLevel="0" collapsed="false">
      <c r="A2" s="16" t="s">
        <v>56</v>
      </c>
      <c r="B2" s="16" t="s">
        <v>19653</v>
      </c>
      <c r="C2" s="16" t="s">
        <v>19654</v>
      </c>
      <c r="D2" s="16" t="s">
        <v>19655</v>
      </c>
      <c r="E2" s="16" t="s">
        <v>15019</v>
      </c>
      <c r="F2" s="16" t="s">
        <v>59</v>
      </c>
      <c r="G2" s="16" t="s">
        <v>60</v>
      </c>
    </row>
    <row r="3" customFormat="false" ht="15" hidden="false" customHeight="true" outlineLevel="0" collapsed="false">
      <c r="A3" s="11" t="str">
        <f aca="false">TRIM('수출입 실적(성질별_수출)'!A7)</f>
        <v>2024.01</v>
      </c>
      <c r="B3" s="17" t="n">
        <f aca="false">IFERROR(VALUE(LEFT($A3,4)),"")</f>
        <v>2024</v>
      </c>
      <c r="C3" s="17" t="n">
        <f aca="false">IFERROR(VALUE(RIGHT($A3,2)),"")</f>
        <v>1</v>
      </c>
      <c r="D3" s="17" t="n">
        <f aca="false">IFERROR(ROUNDUP($C3/3,0),"")</f>
        <v>1</v>
      </c>
      <c r="E3" s="11" t="str">
        <f aca="false">TRIM('수출입 실적(성질별_수출)'!C7)</f>
        <v>1. 식료 및 직접소비재</v>
      </c>
      <c r="F3" s="18" t="n">
        <f aca="false">IFERROR(VALUE(SUBSTITUTE(TRIM('수출입 실적(성질별_수출)'!D7),",","")),"")</f>
        <v>300432.1</v>
      </c>
      <c r="G3" s="19" t="n">
        <f aca="false">IFERROR(VALUE(SUBSTITUTE(TRIM('수출입 실적(성질별_수출)'!E7),",","")),"")</f>
        <v>861851</v>
      </c>
    </row>
    <row r="4" customFormat="false" ht="15" hidden="false" customHeight="true" outlineLevel="0" collapsed="false">
      <c r="A4" s="11" t="str">
        <f aca="false">TRIM('수출입 실적(성질별_수출)'!A8)</f>
        <v>2024.01</v>
      </c>
      <c r="B4" s="17" t="n">
        <f aca="false">IFERROR(VALUE(LEFT($A4,4)),"")</f>
        <v>2024</v>
      </c>
      <c r="C4" s="17" t="n">
        <f aca="false">IFERROR(VALUE(RIGHT($A4,2)),"")</f>
        <v>1</v>
      </c>
      <c r="D4" s="17" t="n">
        <f aca="false">IFERROR(ROUNDUP($C4/3,0),"")</f>
        <v>1</v>
      </c>
      <c r="E4" s="11" t="str">
        <f aca="false">TRIM('수출입 실적(성질별_수출)'!C8)</f>
        <v>2. 원료 및 연료</v>
      </c>
      <c r="F4" s="18" t="n">
        <f aca="false">IFERROR(VALUE(SUBSTITUTE(TRIM('수출입 실적(성질별_수출)'!D8),",","")),"")</f>
        <v>6905534.8</v>
      </c>
      <c r="G4" s="19" t="n">
        <f aca="false">IFERROR(VALUE(SUBSTITUTE(TRIM('수출입 실적(성질별_수출)'!E8),",","")),"")</f>
        <v>5596612</v>
      </c>
    </row>
    <row r="5" customFormat="false" ht="15" hidden="false" customHeight="true" outlineLevel="0" collapsed="false">
      <c r="A5" s="11" t="str">
        <f aca="false">TRIM('수출입 실적(성질별_수출)'!A9)</f>
        <v>2024.01</v>
      </c>
      <c r="B5" s="17" t="n">
        <f aca="false">IFERROR(VALUE(LEFT($A5,4)),"")</f>
        <v>2024</v>
      </c>
      <c r="C5" s="17" t="n">
        <f aca="false">IFERROR(VALUE(RIGHT($A5,2)),"")</f>
        <v>1</v>
      </c>
      <c r="D5" s="17" t="n">
        <f aca="false">IFERROR(ROUNDUP($C5/3,0),"")</f>
        <v>1</v>
      </c>
      <c r="E5" s="11" t="str">
        <f aca="false">TRIM('수출입 실적(성질별_수출)'!C9)</f>
        <v>3. 경공업품</v>
      </c>
      <c r="F5" s="18" t="n">
        <f aca="false">IFERROR(VALUE(SUBSTITUTE(TRIM('수출입 실적(성질별_수출)'!D9),",","")),"")</f>
        <v>831132.2</v>
      </c>
      <c r="G5" s="19" t="n">
        <f aca="false">IFERROR(VALUE(SUBSTITUTE(TRIM('수출입 실적(성질별_수출)'!E9),",","")),"")</f>
        <v>2738143</v>
      </c>
    </row>
    <row r="6" customFormat="false" ht="15" hidden="false" customHeight="true" outlineLevel="0" collapsed="false">
      <c r="A6" s="11" t="str">
        <f aca="false">TRIM('수출입 실적(성질별_수출)'!A10)</f>
        <v>2024.01</v>
      </c>
      <c r="B6" s="17" t="n">
        <f aca="false">IFERROR(VALUE(LEFT($A6,4)),"")</f>
        <v>2024</v>
      </c>
      <c r="C6" s="17" t="n">
        <f aca="false">IFERROR(VALUE(RIGHT($A6,2)),"")</f>
        <v>1</v>
      </c>
      <c r="D6" s="17" t="n">
        <f aca="false">IFERROR(ROUNDUP($C6/3,0),"")</f>
        <v>1</v>
      </c>
      <c r="E6" s="11" t="str">
        <f aca="false">TRIM('수출입 실적(성질별_수출)'!C10)</f>
        <v>가. 섬유원료</v>
      </c>
      <c r="F6" s="18" t="n">
        <f aca="false">IFERROR(VALUE(SUBSTITUTE(TRIM('수출입 실적(성질별_수출)'!D10),",","")),"")</f>
        <v>63223.8</v>
      </c>
      <c r="G6" s="19" t="n">
        <f aca="false">IFERROR(VALUE(SUBSTITUTE(TRIM('수출입 실적(성질별_수출)'!E10),",","")),"")</f>
        <v>94714</v>
      </c>
    </row>
    <row r="7" customFormat="false" ht="15" hidden="false" customHeight="true" outlineLevel="0" collapsed="false">
      <c r="A7" s="11" t="str">
        <f aca="false">TRIM('수출입 실적(성질별_수출)'!A11)</f>
        <v>2024.01</v>
      </c>
      <c r="B7" s="17" t="n">
        <f aca="false">IFERROR(VALUE(LEFT($A7,4)),"")</f>
        <v>2024</v>
      </c>
      <c r="C7" s="17" t="n">
        <f aca="false">IFERROR(VALUE(RIGHT($A7,2)),"")</f>
        <v>1</v>
      </c>
      <c r="D7" s="17" t="n">
        <f aca="false">IFERROR(ROUNDUP($C7/3,0),"")</f>
        <v>1</v>
      </c>
      <c r="E7" s="11" t="str">
        <f aca="false">TRIM('수출입 실적(성질별_수출)'!C11)</f>
        <v>나. 섬유사</v>
      </c>
      <c r="F7" s="18" t="n">
        <f aca="false">IFERROR(VALUE(SUBSTITUTE(TRIM('수출입 실적(성질별_수출)'!D11),",","")),"")</f>
        <v>21325.1</v>
      </c>
      <c r="G7" s="19" t="n">
        <f aca="false">IFERROR(VALUE(SUBSTITUTE(TRIM('수출입 실적(성질별_수출)'!E11),",","")),"")</f>
        <v>72562</v>
      </c>
    </row>
    <row r="8" customFormat="false" ht="15" hidden="false" customHeight="true" outlineLevel="0" collapsed="false">
      <c r="A8" s="11" t="str">
        <f aca="false">TRIM('수출입 실적(성질별_수출)'!A12)</f>
        <v>2024.01</v>
      </c>
      <c r="B8" s="17" t="n">
        <f aca="false">IFERROR(VALUE(LEFT($A8,4)),"")</f>
        <v>2024</v>
      </c>
      <c r="C8" s="17" t="n">
        <f aca="false">IFERROR(VALUE(RIGHT($A8,2)),"")</f>
        <v>1</v>
      </c>
      <c r="D8" s="17" t="n">
        <f aca="false">IFERROR(ROUNDUP($C8/3,0),"")</f>
        <v>1</v>
      </c>
      <c r="E8" s="11" t="str">
        <f aca="false">TRIM('수출입 실적(성질별_수출)'!C12)</f>
        <v>다. 직 물</v>
      </c>
      <c r="F8" s="18" t="n">
        <f aca="false">IFERROR(VALUE(SUBSTITUTE(TRIM('수출입 실적(성질별_수출)'!D12),",","")),"")</f>
        <v>30569.4</v>
      </c>
      <c r="G8" s="19" t="n">
        <f aca="false">IFERROR(VALUE(SUBSTITUTE(TRIM('수출입 실적(성질별_수출)'!E12),",","")),"")</f>
        <v>292221</v>
      </c>
    </row>
    <row r="9" customFormat="false" ht="15" hidden="false" customHeight="true" outlineLevel="0" collapsed="false">
      <c r="A9" s="11" t="str">
        <f aca="false">TRIM('수출입 실적(성질별_수출)'!A13)</f>
        <v>2024.01</v>
      </c>
      <c r="B9" s="17" t="n">
        <f aca="false">IFERROR(VALUE(LEFT($A9,4)),"")</f>
        <v>2024</v>
      </c>
      <c r="C9" s="17" t="n">
        <f aca="false">IFERROR(VALUE(RIGHT($A9,2)),"")</f>
        <v>1</v>
      </c>
      <c r="D9" s="17" t="n">
        <f aca="false">IFERROR(ROUNDUP($C9/3,0),"")</f>
        <v>1</v>
      </c>
      <c r="E9" s="11" t="str">
        <f aca="false">TRIM('수출입 실적(성질별_수출)'!C13)</f>
        <v>라. 기타 섬유제품</v>
      </c>
      <c r="F9" s="18" t="n">
        <f aca="false">IFERROR(VALUE(SUBSTITUTE(TRIM('수출입 실적(성질별_수출)'!D13),",","")),"")</f>
        <v>21795.8</v>
      </c>
      <c r="G9" s="19" t="n">
        <f aca="false">IFERROR(VALUE(SUBSTITUTE(TRIM('수출입 실적(성질별_수출)'!E13),",","")),"")</f>
        <v>183169</v>
      </c>
    </row>
    <row r="10" customFormat="false" ht="15" hidden="false" customHeight="true" outlineLevel="0" collapsed="false">
      <c r="A10" s="11" t="str">
        <f aca="false">TRIM('수출입 실적(성질별_수출)'!A14)</f>
        <v>2024.01</v>
      </c>
      <c r="B10" s="17" t="n">
        <f aca="false">IFERROR(VALUE(LEFT($A10,4)),"")</f>
        <v>2024</v>
      </c>
      <c r="C10" s="17" t="n">
        <f aca="false">IFERROR(VALUE(RIGHT($A10,2)),"")</f>
        <v>1</v>
      </c>
      <c r="D10" s="17" t="n">
        <f aca="false">IFERROR(ROUNDUP($C10/3,0),"")</f>
        <v>1</v>
      </c>
      <c r="E10" s="11" t="str">
        <f aca="false">TRIM('수출입 실적(성질별_수출)'!C14)</f>
        <v>마. 의 류</v>
      </c>
      <c r="F10" s="18" t="n">
        <f aca="false">IFERROR(VALUE(SUBSTITUTE(TRIM('수출입 실적(성질별_수출)'!D14),",","")),"")</f>
        <v>5866.4</v>
      </c>
      <c r="G10" s="19" t="n">
        <f aca="false">IFERROR(VALUE(SUBSTITUTE(TRIM('수출입 실적(성질별_수출)'!E14),",","")),"")</f>
        <v>166152</v>
      </c>
    </row>
    <row r="11" customFormat="false" ht="15" hidden="false" customHeight="true" outlineLevel="0" collapsed="false">
      <c r="A11" s="11" t="str">
        <f aca="false">TRIM('수출입 실적(성질별_수출)'!A15)</f>
        <v>2024.01</v>
      </c>
      <c r="B11" s="17" t="n">
        <f aca="false">IFERROR(VALUE(LEFT($A11,4)),"")</f>
        <v>2024</v>
      </c>
      <c r="C11" s="17" t="n">
        <f aca="false">IFERROR(VALUE(RIGHT($A11,2)),"")</f>
        <v>1</v>
      </c>
      <c r="D11" s="17" t="n">
        <f aca="false">IFERROR(ROUNDUP($C11/3,0),"")</f>
        <v>1</v>
      </c>
      <c r="E11" s="11" t="str">
        <f aca="false">TRIM('수출입 실적(성질별_수출)'!C15)</f>
        <v>바. 목제품</v>
      </c>
      <c r="F11" s="18" t="n">
        <f aca="false">IFERROR(VALUE(SUBSTITUTE(TRIM('수출입 실적(성질별_수출)'!D15),",","")),"")</f>
        <v>17007.4</v>
      </c>
      <c r="G11" s="19" t="n">
        <f aca="false">IFERROR(VALUE(SUBSTITUTE(TRIM('수출입 실적(성질별_수출)'!E15),",","")),"")</f>
        <v>94566</v>
      </c>
    </row>
    <row r="12" customFormat="false" ht="15" hidden="false" customHeight="true" outlineLevel="0" collapsed="false">
      <c r="A12" s="11" t="str">
        <f aca="false">TRIM('수출입 실적(성질별_수출)'!A16)</f>
        <v>2024.01</v>
      </c>
      <c r="B12" s="17" t="n">
        <f aca="false">IFERROR(VALUE(LEFT($A12,4)),"")</f>
        <v>2024</v>
      </c>
      <c r="C12" s="17" t="n">
        <f aca="false">IFERROR(VALUE(RIGHT($A12,2)),"")</f>
        <v>1</v>
      </c>
      <c r="D12" s="17" t="n">
        <f aca="false">IFERROR(ROUNDUP($C12/3,0),"")</f>
        <v>1</v>
      </c>
      <c r="E12" s="11" t="str">
        <f aca="false">TRIM('수출입 실적(성질별_수출)'!C16)</f>
        <v>사. 가죽, 고무 및 신발류</v>
      </c>
      <c r="F12" s="18" t="n">
        <f aca="false">IFERROR(VALUE(SUBSTITUTE(TRIM('수출입 실적(성질별_수출)'!D16),",","")),"")</f>
        <v>76231.1</v>
      </c>
      <c r="G12" s="19" t="n">
        <f aca="false">IFERROR(VALUE(SUBSTITUTE(TRIM('수출입 실적(성질별_수출)'!E16),",","")),"")</f>
        <v>432552</v>
      </c>
    </row>
    <row r="13" customFormat="false" ht="15" hidden="false" customHeight="true" outlineLevel="0" collapsed="false">
      <c r="A13" s="11" t="str">
        <f aca="false">TRIM('수출입 실적(성질별_수출)'!A17)</f>
        <v>2024.01</v>
      </c>
      <c r="B13" s="17" t="n">
        <f aca="false">IFERROR(VALUE(LEFT($A13,4)),"")</f>
        <v>2024</v>
      </c>
      <c r="C13" s="17" t="n">
        <f aca="false">IFERROR(VALUE(RIGHT($A13,2)),"")</f>
        <v>1</v>
      </c>
      <c r="D13" s="17" t="n">
        <f aca="false">IFERROR(ROUNDUP($C13/3,0),"")</f>
        <v>1</v>
      </c>
      <c r="E13" s="11" t="str">
        <f aca="false">TRIM('수출입 실적(성질별_수출)'!C17)</f>
        <v>아. 귀금속 및 보석류</v>
      </c>
      <c r="F13" s="18" t="n">
        <f aca="false">IFERROR(VALUE(SUBSTITUTE(TRIM('수출입 실적(성질별_수출)'!D17),",","")),"")</f>
        <v>323</v>
      </c>
      <c r="G13" s="19" t="n">
        <f aca="false">IFERROR(VALUE(SUBSTITUTE(TRIM('수출입 실적(성질별_수출)'!E17),",","")),"")</f>
        <v>196258</v>
      </c>
    </row>
    <row r="14" customFormat="false" ht="15" hidden="false" customHeight="true" outlineLevel="0" collapsed="false">
      <c r="A14" s="11" t="str">
        <f aca="false">TRIM('수출입 실적(성질별_수출)'!A18)</f>
        <v>2024.01</v>
      </c>
      <c r="B14" s="17" t="n">
        <f aca="false">IFERROR(VALUE(LEFT($A14,4)),"")</f>
        <v>2024</v>
      </c>
      <c r="C14" s="17" t="n">
        <f aca="false">IFERROR(VALUE(RIGHT($A14,2)),"")</f>
        <v>1</v>
      </c>
      <c r="D14" s="17" t="n">
        <f aca="false">IFERROR(ROUNDUP($C14/3,0),"")</f>
        <v>1</v>
      </c>
      <c r="E14" s="11" t="str">
        <f aca="false">TRIM('수출입 실적(성질별_수출)'!C18)</f>
        <v>자. 기타 비금속 광물제품</v>
      </c>
      <c r="F14" s="18" t="n">
        <f aca="false">IFERROR(VALUE(SUBSTITUTE(TRIM('수출입 실적(성질별_수출)'!D18),",","")),"")</f>
        <v>225540</v>
      </c>
      <c r="G14" s="19" t="n">
        <f aca="false">IFERROR(VALUE(SUBSTITUTE(TRIM('수출입 실적(성질별_수출)'!E18),",","")),"")</f>
        <v>220807</v>
      </c>
    </row>
    <row r="15" customFormat="false" ht="15" hidden="false" customHeight="true" outlineLevel="0" collapsed="false">
      <c r="A15" s="11" t="str">
        <f aca="false">TRIM('수출입 실적(성질별_수출)'!A19)</f>
        <v>2024.01</v>
      </c>
      <c r="B15" s="17" t="n">
        <f aca="false">IFERROR(VALUE(LEFT($A15,4)),"")</f>
        <v>2024</v>
      </c>
      <c r="C15" s="17" t="n">
        <f aca="false">IFERROR(VALUE(RIGHT($A15,2)),"")</f>
        <v>1</v>
      </c>
      <c r="D15" s="17" t="n">
        <f aca="false">IFERROR(ROUNDUP($C15/3,0),"")</f>
        <v>1</v>
      </c>
      <c r="E15" s="11" t="str">
        <f aca="false">TRIM('수출입 실적(성질별_수출)'!C19)</f>
        <v>차. 완구, 운동용구 및 악기</v>
      </c>
      <c r="F15" s="18" t="n">
        <f aca="false">IFERROR(VALUE(SUBSTITUTE(TRIM('수출입 실적(성질별_수출)'!D19),",","")),"")</f>
        <v>2158.3</v>
      </c>
      <c r="G15" s="19" t="n">
        <f aca="false">IFERROR(VALUE(SUBSTITUTE(TRIM('수출입 실적(성질별_수출)'!E19),",","")),"")</f>
        <v>45543</v>
      </c>
    </row>
    <row r="16" customFormat="false" ht="15" hidden="false" customHeight="true" outlineLevel="0" collapsed="false">
      <c r="A16" s="11" t="str">
        <f aca="false">TRIM('수출입 실적(성질별_수출)'!A20)</f>
        <v>2024.01</v>
      </c>
      <c r="B16" s="17" t="n">
        <f aca="false">IFERROR(VALUE(LEFT($A16,4)),"")</f>
        <v>2024</v>
      </c>
      <c r="C16" s="17" t="n">
        <f aca="false">IFERROR(VALUE(RIGHT($A16,2)),"")</f>
        <v>1</v>
      </c>
      <c r="D16" s="17" t="n">
        <f aca="false">IFERROR(ROUNDUP($C16/3,0),"")</f>
        <v>1</v>
      </c>
      <c r="E16" s="11" t="str">
        <f aca="false">TRIM('수출입 실적(성질별_수출)'!C20)</f>
        <v>카. 기 타</v>
      </c>
      <c r="F16" s="18" t="n">
        <f aca="false">IFERROR(VALUE(SUBSTITUTE(TRIM('수출입 실적(성질별_수출)'!D20),",","")),"")</f>
        <v>367091.9</v>
      </c>
      <c r="G16" s="19" t="n">
        <f aca="false">IFERROR(VALUE(SUBSTITUTE(TRIM('수출입 실적(성질별_수출)'!E20),",","")),"")</f>
        <v>939597</v>
      </c>
    </row>
    <row r="17" customFormat="false" ht="15" hidden="false" customHeight="true" outlineLevel="0" collapsed="false">
      <c r="A17" s="11" t="str">
        <f aca="false">TRIM('수출입 실적(성질별_수출)'!A21)</f>
        <v>2024.01</v>
      </c>
      <c r="B17" s="17" t="n">
        <f aca="false">IFERROR(VALUE(LEFT($A17,4)),"")</f>
        <v>2024</v>
      </c>
      <c r="C17" s="17" t="n">
        <f aca="false">IFERROR(VALUE(RIGHT($A17,2)),"")</f>
        <v>1</v>
      </c>
      <c r="D17" s="17" t="n">
        <f aca="false">IFERROR(ROUNDUP($C17/3,0),"")</f>
        <v>1</v>
      </c>
      <c r="E17" s="11" t="str">
        <f aca="false">TRIM('수출입 실적(성질별_수출)'!C21)</f>
        <v>4. 중화학 공업품</v>
      </c>
      <c r="F17" s="18" t="n">
        <f aca="false">IFERROR(VALUE(SUBSTITUTE(TRIM('수출입 실적(성질별_수출)'!D21),",","")),"")</f>
        <v>9068691.6</v>
      </c>
      <c r="G17" s="19" t="n">
        <f aca="false">IFERROR(VALUE(SUBSTITUTE(TRIM('수출입 실적(성질별_수출)'!E21),",","")),"")</f>
        <v>45513218</v>
      </c>
    </row>
    <row r="18" customFormat="false" ht="15" hidden="false" customHeight="true" outlineLevel="0" collapsed="false">
      <c r="A18" s="11" t="str">
        <f aca="false">TRIM('수출입 실적(성질별_수출)'!A22)</f>
        <v>2024.01</v>
      </c>
      <c r="B18" s="17" t="n">
        <f aca="false">IFERROR(VALUE(LEFT($A18,4)),"")</f>
        <v>2024</v>
      </c>
      <c r="C18" s="17" t="n">
        <f aca="false">IFERROR(VALUE(RIGHT($A18,2)),"")</f>
        <v>1</v>
      </c>
      <c r="D18" s="17" t="n">
        <f aca="false">IFERROR(ROUNDUP($C18/3,0),"")</f>
        <v>1</v>
      </c>
      <c r="E18" s="11" t="str">
        <f aca="false">TRIM('수출입 실적(성질별_수출)'!C22)</f>
        <v>가. 화공품</v>
      </c>
      <c r="F18" s="18" t="n">
        <f aca="false">IFERROR(VALUE(SUBSTITUTE(TRIM('수출입 실적(성질별_수출)'!D22),",","")),"")</f>
        <v>3913139.2</v>
      </c>
      <c r="G18" s="19" t="n">
        <f aca="false">IFERROR(VALUE(SUBSTITUTE(TRIM('수출입 실적(성질별_수출)'!E22),",","")),"")</f>
        <v>7120850</v>
      </c>
    </row>
    <row r="19" customFormat="false" ht="15" hidden="false" customHeight="true" outlineLevel="0" collapsed="false">
      <c r="A19" s="11" t="str">
        <f aca="false">TRIM('수출입 실적(성질별_수출)'!A23)</f>
        <v>2024.01</v>
      </c>
      <c r="B19" s="17" t="n">
        <f aca="false">IFERROR(VALUE(LEFT($A19,4)),"")</f>
        <v>2024</v>
      </c>
      <c r="C19" s="17" t="n">
        <f aca="false">IFERROR(VALUE(RIGHT($A19,2)),"")</f>
        <v>1</v>
      </c>
      <c r="D19" s="17" t="n">
        <f aca="false">IFERROR(ROUNDUP($C19/3,0),"")</f>
        <v>1</v>
      </c>
      <c r="E19" s="11" t="str">
        <f aca="false">TRIM('수출입 실적(성질별_수출)'!C23)</f>
        <v>나. 철강제품</v>
      </c>
      <c r="F19" s="18" t="n">
        <f aca="false">IFERROR(VALUE(SUBSTITUTE(TRIM('수출입 실적(성질별_수출)'!D23),",","")),"")</f>
        <v>2655827</v>
      </c>
      <c r="G19" s="19" t="n">
        <f aca="false">IFERROR(VALUE(SUBSTITUTE(TRIM('수출입 실적(성질별_수출)'!E23),",","")),"")</f>
        <v>4038358</v>
      </c>
    </row>
    <row r="20" customFormat="false" ht="15" hidden="false" customHeight="true" outlineLevel="0" collapsed="false">
      <c r="A20" s="11" t="str">
        <f aca="false">TRIM('수출입 실적(성질별_수출)'!A24)</f>
        <v>2024.01</v>
      </c>
      <c r="B20" s="17" t="n">
        <f aca="false">IFERROR(VALUE(LEFT($A20,4)),"")</f>
        <v>2024</v>
      </c>
      <c r="C20" s="17" t="n">
        <f aca="false">IFERROR(VALUE(RIGHT($A20,2)),"")</f>
        <v>1</v>
      </c>
      <c r="D20" s="17" t="n">
        <f aca="false">IFERROR(ROUNDUP($C20/3,0),"")</f>
        <v>1</v>
      </c>
      <c r="E20" s="11" t="str">
        <f aca="false">TRIM('수출입 실적(성질별_수출)'!C24)</f>
        <v>다. 기계류와 정밀기기</v>
      </c>
      <c r="F20" s="18" t="n">
        <f aca="false">IFERROR(VALUE(SUBSTITUTE(TRIM('수출입 실적(성질별_수출)'!D24),",","")),"")</f>
        <v>369569.1</v>
      </c>
      <c r="G20" s="19" t="n">
        <f aca="false">IFERROR(VALUE(SUBSTITUTE(TRIM('수출입 실적(성질별_수출)'!E24),",","")),"")</f>
        <v>5908987</v>
      </c>
    </row>
    <row r="21" customFormat="false" ht="15" hidden="false" customHeight="true" outlineLevel="0" collapsed="false">
      <c r="A21" s="11" t="str">
        <f aca="false">TRIM('수출입 실적(성질별_수출)'!A25)</f>
        <v>2024.01</v>
      </c>
      <c r="B21" s="17" t="n">
        <f aca="false">IFERROR(VALUE(LEFT($A21,4)),"")</f>
        <v>2024</v>
      </c>
      <c r="C21" s="17" t="n">
        <f aca="false">IFERROR(VALUE(RIGHT($A21,2)),"")</f>
        <v>1</v>
      </c>
      <c r="D21" s="17" t="n">
        <f aca="false">IFERROR(ROUNDUP($C21/3,0),"")</f>
        <v>1</v>
      </c>
      <c r="E21" s="11" t="str">
        <f aca="false">TRIM('수출입 실적(성질별_수출)'!C25)</f>
        <v>라. 전기, 전자제품</v>
      </c>
      <c r="F21" s="18" t="n">
        <f aca="false">IFERROR(VALUE(SUBSTITUTE(TRIM('수출입 실적(성질별_수출)'!D25),",","")),"")</f>
        <v>226091</v>
      </c>
      <c r="G21" s="19" t="n">
        <f aca="false">IFERROR(VALUE(SUBSTITUTE(TRIM('수출입 실적(성질별_수출)'!E25),",","")),"")</f>
        <v>15941237</v>
      </c>
    </row>
    <row r="22" customFormat="false" ht="15" hidden="false" customHeight="true" outlineLevel="0" collapsed="false">
      <c r="A22" s="11" t="str">
        <f aca="false">TRIM('수출입 실적(성질별_수출)'!A26)</f>
        <v>2024.01</v>
      </c>
      <c r="B22" s="17" t="n">
        <f aca="false">IFERROR(VALUE(LEFT($A22,4)),"")</f>
        <v>2024</v>
      </c>
      <c r="C22" s="17" t="n">
        <f aca="false">IFERROR(VALUE(RIGHT($A22,2)),"")</f>
        <v>1</v>
      </c>
      <c r="D22" s="17" t="n">
        <f aca="false">IFERROR(ROUNDUP($C22/3,0),"")</f>
        <v>1</v>
      </c>
      <c r="E22" s="11" t="str">
        <f aca="false">TRIM('수출입 실적(성질별_수출)'!C26)</f>
        <v>마. 수송장비</v>
      </c>
      <c r="F22" s="18" t="n">
        <f aca="false">IFERROR(VALUE(SUBSTITUTE(TRIM('수출입 실적(성질별_수출)'!D26),",","")),"")</f>
        <v>1842881.5</v>
      </c>
      <c r="G22" s="19" t="n">
        <f aca="false">IFERROR(VALUE(SUBSTITUTE(TRIM('수출입 실적(성질별_수출)'!E26),",","")),"")</f>
        <v>10760159</v>
      </c>
    </row>
    <row r="23" customFormat="false" ht="15" hidden="false" customHeight="true" outlineLevel="0" collapsed="false">
      <c r="A23" s="11" t="str">
        <f aca="false">TRIM('수출입 실적(성질별_수출)'!A27)</f>
        <v>2024.01</v>
      </c>
      <c r="B23" s="17" t="n">
        <f aca="false">IFERROR(VALUE(LEFT($A23,4)),"")</f>
        <v>2024</v>
      </c>
      <c r="C23" s="17" t="n">
        <f aca="false">IFERROR(VALUE(RIGHT($A23,2)),"")</f>
        <v>1</v>
      </c>
      <c r="D23" s="17" t="n">
        <f aca="false">IFERROR(ROUNDUP($C23/3,0),"")</f>
        <v>1</v>
      </c>
      <c r="E23" s="11" t="str">
        <f aca="false">TRIM('수출입 실적(성질별_수출)'!C27)</f>
        <v>바. 기 타</v>
      </c>
      <c r="F23" s="18" t="n">
        <f aca="false">IFERROR(VALUE(SUBSTITUTE(TRIM('수출입 실적(성질별_수출)'!D27),",","")),"")</f>
        <v>61183.8</v>
      </c>
      <c r="G23" s="19" t="n">
        <f aca="false">IFERROR(VALUE(SUBSTITUTE(TRIM('수출입 실적(성질별_수출)'!E27),",","")),"")</f>
        <v>1743627</v>
      </c>
    </row>
    <row r="24" customFormat="false" ht="15" hidden="false" customHeight="true" outlineLevel="0" collapsed="false">
      <c r="A24" s="11" t="str">
        <f aca="false">TRIM('수출입 실적(성질별_수출)'!A28)</f>
        <v>2024.02</v>
      </c>
      <c r="B24" s="17" t="n">
        <f aca="false">IFERROR(VALUE(LEFT($A24,4)),"")</f>
        <v>2024</v>
      </c>
      <c r="C24" s="17" t="n">
        <f aca="false">IFERROR(VALUE(RIGHT($A24,2)),"")</f>
        <v>2</v>
      </c>
      <c r="D24" s="17" t="n">
        <f aca="false">IFERROR(ROUNDUP($C24/3,0),"")</f>
        <v>1</v>
      </c>
      <c r="E24" s="11" t="str">
        <f aca="false">TRIM('수출입 실적(성질별_수출)'!C28)</f>
        <v>1. 식료 및 직접소비재</v>
      </c>
      <c r="F24" s="18" t="n">
        <f aca="false">IFERROR(VALUE(SUBSTITUTE(TRIM('수출입 실적(성질별_수출)'!D28),",","")),"")</f>
        <v>297882.3</v>
      </c>
      <c r="G24" s="19" t="n">
        <f aca="false">IFERROR(VALUE(SUBSTITUTE(TRIM('수출입 실적(성질별_수출)'!E28),",","")),"")</f>
        <v>853231</v>
      </c>
    </row>
    <row r="25" customFormat="false" ht="15" hidden="false" customHeight="true" outlineLevel="0" collapsed="false">
      <c r="A25" s="11" t="str">
        <f aca="false">TRIM('수출입 실적(성질별_수출)'!A29)</f>
        <v>2024.02</v>
      </c>
      <c r="B25" s="17" t="n">
        <f aca="false">IFERROR(VALUE(LEFT($A25,4)),"")</f>
        <v>2024</v>
      </c>
      <c r="C25" s="17" t="n">
        <f aca="false">IFERROR(VALUE(RIGHT($A25,2)),"")</f>
        <v>2</v>
      </c>
      <c r="D25" s="17" t="n">
        <f aca="false">IFERROR(ROUNDUP($C25/3,0),"")</f>
        <v>1</v>
      </c>
      <c r="E25" s="11" t="str">
        <f aca="false">TRIM('수출입 실적(성질별_수출)'!C29)</f>
        <v>2. 원료 및 연료</v>
      </c>
      <c r="F25" s="18" t="n">
        <f aca="false">IFERROR(VALUE(SUBSTITUTE(TRIM('수출입 실적(성질별_수출)'!D29),",","")),"")</f>
        <v>6269085.4</v>
      </c>
      <c r="G25" s="19" t="n">
        <f aca="false">IFERROR(VALUE(SUBSTITUTE(TRIM('수출입 실적(성질별_수출)'!E29),",","")),"")</f>
        <v>5192129</v>
      </c>
    </row>
    <row r="26" customFormat="false" ht="15" hidden="false" customHeight="true" outlineLevel="0" collapsed="false">
      <c r="A26" s="11" t="str">
        <f aca="false">TRIM('수출입 실적(성질별_수출)'!A30)</f>
        <v>2024.02</v>
      </c>
      <c r="B26" s="17" t="n">
        <f aca="false">IFERROR(VALUE(LEFT($A26,4)),"")</f>
        <v>2024</v>
      </c>
      <c r="C26" s="17" t="n">
        <f aca="false">IFERROR(VALUE(RIGHT($A26,2)),"")</f>
        <v>2</v>
      </c>
      <c r="D26" s="17" t="n">
        <f aca="false">IFERROR(ROUNDUP($C26/3,0),"")</f>
        <v>1</v>
      </c>
      <c r="E26" s="11" t="str">
        <f aca="false">TRIM('수출입 실적(성질별_수출)'!C30)</f>
        <v>3. 경공업품</v>
      </c>
      <c r="F26" s="18" t="n">
        <f aca="false">IFERROR(VALUE(SUBSTITUTE(TRIM('수출입 실적(성질별_수출)'!D30),",","")),"")</f>
        <v>886232.8</v>
      </c>
      <c r="G26" s="19" t="n">
        <f aca="false">IFERROR(VALUE(SUBSTITUTE(TRIM('수출입 실적(성질별_수출)'!E30),",","")),"")</f>
        <v>2566551</v>
      </c>
    </row>
    <row r="27" customFormat="false" ht="15" hidden="false" customHeight="true" outlineLevel="0" collapsed="false">
      <c r="A27" s="11" t="str">
        <f aca="false">TRIM('수출입 실적(성질별_수출)'!A31)</f>
        <v>2024.02</v>
      </c>
      <c r="B27" s="17" t="n">
        <f aca="false">IFERROR(VALUE(LEFT($A27,4)),"")</f>
        <v>2024</v>
      </c>
      <c r="C27" s="17" t="n">
        <f aca="false">IFERROR(VALUE(RIGHT($A27,2)),"")</f>
        <v>2</v>
      </c>
      <c r="D27" s="17" t="n">
        <f aca="false">IFERROR(ROUNDUP($C27/3,0),"")</f>
        <v>1</v>
      </c>
      <c r="E27" s="11" t="str">
        <f aca="false">TRIM('수출입 실적(성질별_수출)'!C31)</f>
        <v>가. 섬유원료</v>
      </c>
      <c r="F27" s="18" t="n">
        <f aca="false">IFERROR(VALUE(SUBSTITUTE(TRIM('수출입 실적(성질별_수출)'!D31),",","")),"")</f>
        <v>56489.5</v>
      </c>
      <c r="G27" s="19" t="n">
        <f aca="false">IFERROR(VALUE(SUBSTITUTE(TRIM('수출입 실적(성질별_수출)'!E31),",","")),"")</f>
        <v>83514</v>
      </c>
    </row>
    <row r="28" customFormat="false" ht="15" hidden="false" customHeight="true" outlineLevel="0" collapsed="false">
      <c r="A28" s="11" t="str">
        <f aca="false">TRIM('수출입 실적(성질별_수출)'!A32)</f>
        <v>2024.02</v>
      </c>
      <c r="B28" s="17" t="n">
        <f aca="false">IFERROR(VALUE(LEFT($A28,4)),"")</f>
        <v>2024</v>
      </c>
      <c r="C28" s="17" t="n">
        <f aca="false">IFERROR(VALUE(RIGHT($A28,2)),"")</f>
        <v>2</v>
      </c>
      <c r="D28" s="17" t="n">
        <f aca="false">IFERROR(ROUNDUP($C28/3,0),"")</f>
        <v>1</v>
      </c>
      <c r="E28" s="11" t="str">
        <f aca="false">TRIM('수출입 실적(성질별_수출)'!C32)</f>
        <v>나. 섬유사</v>
      </c>
      <c r="F28" s="18" t="n">
        <f aca="false">IFERROR(VALUE(SUBSTITUTE(TRIM('수출입 실적(성질별_수출)'!D32),",","")),"")</f>
        <v>20047</v>
      </c>
      <c r="G28" s="19" t="n">
        <f aca="false">IFERROR(VALUE(SUBSTITUTE(TRIM('수출입 실적(성질별_수출)'!E32),",","")),"")</f>
        <v>67359</v>
      </c>
    </row>
    <row r="29" customFormat="false" ht="15" hidden="false" customHeight="true" outlineLevel="0" collapsed="false">
      <c r="A29" s="11" t="str">
        <f aca="false">TRIM('수출입 실적(성질별_수출)'!A33)</f>
        <v>2024.02</v>
      </c>
      <c r="B29" s="17" t="n">
        <f aca="false">IFERROR(VALUE(LEFT($A29,4)),"")</f>
        <v>2024</v>
      </c>
      <c r="C29" s="17" t="n">
        <f aca="false">IFERROR(VALUE(RIGHT($A29,2)),"")</f>
        <v>2</v>
      </c>
      <c r="D29" s="17" t="n">
        <f aca="false">IFERROR(ROUNDUP($C29/3,0),"")</f>
        <v>1</v>
      </c>
      <c r="E29" s="11" t="str">
        <f aca="false">TRIM('수출입 실적(성질별_수출)'!C33)</f>
        <v>다. 직 물</v>
      </c>
      <c r="F29" s="18" t="n">
        <f aca="false">IFERROR(VALUE(SUBSTITUTE(TRIM('수출입 실적(성질별_수출)'!D33),",","")),"")</f>
        <v>29941.2</v>
      </c>
      <c r="G29" s="19" t="n">
        <f aca="false">IFERROR(VALUE(SUBSTITUTE(TRIM('수출입 실적(성질별_수출)'!E33),",","")),"")</f>
        <v>287868</v>
      </c>
    </row>
    <row r="30" customFormat="false" ht="15" hidden="false" customHeight="true" outlineLevel="0" collapsed="false">
      <c r="A30" s="11" t="str">
        <f aca="false">TRIM('수출입 실적(성질별_수출)'!A34)</f>
        <v>2024.02</v>
      </c>
      <c r="B30" s="17" t="n">
        <f aca="false">IFERROR(VALUE(LEFT($A30,4)),"")</f>
        <v>2024</v>
      </c>
      <c r="C30" s="17" t="n">
        <f aca="false">IFERROR(VALUE(RIGHT($A30,2)),"")</f>
        <v>2</v>
      </c>
      <c r="D30" s="17" t="n">
        <f aca="false">IFERROR(ROUNDUP($C30/3,0),"")</f>
        <v>1</v>
      </c>
      <c r="E30" s="11" t="str">
        <f aca="false">TRIM('수출입 실적(성질별_수출)'!C34)</f>
        <v>라. 기타 섬유제품</v>
      </c>
      <c r="F30" s="18" t="n">
        <f aca="false">IFERROR(VALUE(SUBSTITUTE(TRIM('수출입 실적(성질별_수출)'!D34),",","")),"")</f>
        <v>22711.4</v>
      </c>
      <c r="G30" s="19" t="n">
        <f aca="false">IFERROR(VALUE(SUBSTITUTE(TRIM('수출입 실적(성질별_수출)'!E34),",","")),"")</f>
        <v>192533</v>
      </c>
    </row>
    <row r="31" customFormat="false" ht="15" hidden="false" customHeight="true" outlineLevel="0" collapsed="false">
      <c r="A31" s="11" t="str">
        <f aca="false">TRIM('수출입 실적(성질별_수출)'!A35)</f>
        <v>2024.02</v>
      </c>
      <c r="B31" s="17" t="n">
        <f aca="false">IFERROR(VALUE(LEFT($A31,4)),"")</f>
        <v>2024</v>
      </c>
      <c r="C31" s="17" t="n">
        <f aca="false">IFERROR(VALUE(RIGHT($A31,2)),"")</f>
        <v>2</v>
      </c>
      <c r="D31" s="17" t="n">
        <f aca="false">IFERROR(ROUNDUP($C31/3,0),"")</f>
        <v>1</v>
      </c>
      <c r="E31" s="11" t="str">
        <f aca="false">TRIM('수출입 실적(성질별_수출)'!C35)</f>
        <v>마. 의 류</v>
      </c>
      <c r="F31" s="18" t="n">
        <f aca="false">IFERROR(VALUE(SUBSTITUTE(TRIM('수출입 실적(성질별_수출)'!D35),",","")),"")</f>
        <v>4922</v>
      </c>
      <c r="G31" s="19" t="n">
        <f aca="false">IFERROR(VALUE(SUBSTITUTE(TRIM('수출입 실적(성질별_수출)'!E35),",","")),"")</f>
        <v>134531</v>
      </c>
    </row>
    <row r="32" customFormat="false" ht="15" hidden="false" customHeight="true" outlineLevel="0" collapsed="false">
      <c r="A32" s="11" t="str">
        <f aca="false">TRIM('수출입 실적(성질별_수출)'!A36)</f>
        <v>2024.02</v>
      </c>
      <c r="B32" s="17" t="n">
        <f aca="false">IFERROR(VALUE(LEFT($A32,4)),"")</f>
        <v>2024</v>
      </c>
      <c r="C32" s="17" t="n">
        <f aca="false">IFERROR(VALUE(RIGHT($A32,2)),"")</f>
        <v>2</v>
      </c>
      <c r="D32" s="17" t="n">
        <f aca="false">IFERROR(ROUNDUP($C32/3,0),"")</f>
        <v>1</v>
      </c>
      <c r="E32" s="11" t="str">
        <f aca="false">TRIM('수출입 실적(성질별_수출)'!C36)</f>
        <v>바. 목제품</v>
      </c>
      <c r="F32" s="18" t="n">
        <f aca="false">IFERROR(VALUE(SUBSTITUTE(TRIM('수출입 실적(성질별_수출)'!D36),",","")),"")</f>
        <v>16486.3</v>
      </c>
      <c r="G32" s="19" t="n">
        <f aca="false">IFERROR(VALUE(SUBSTITUTE(TRIM('수출입 실적(성질별_수출)'!E36),",","")),"")</f>
        <v>87931</v>
      </c>
    </row>
    <row r="33" customFormat="false" ht="15" hidden="false" customHeight="true" outlineLevel="0" collapsed="false">
      <c r="A33" s="11" t="str">
        <f aca="false">TRIM('수출입 실적(성질별_수출)'!A37)</f>
        <v>2024.02</v>
      </c>
      <c r="B33" s="17" t="n">
        <f aca="false">IFERROR(VALUE(LEFT($A33,4)),"")</f>
        <v>2024</v>
      </c>
      <c r="C33" s="17" t="n">
        <f aca="false">IFERROR(VALUE(RIGHT($A33,2)),"")</f>
        <v>2</v>
      </c>
      <c r="D33" s="17" t="n">
        <f aca="false">IFERROR(ROUNDUP($C33/3,0),"")</f>
        <v>1</v>
      </c>
      <c r="E33" s="11" t="str">
        <f aca="false">TRIM('수출입 실적(성질별_수출)'!C37)</f>
        <v>사. 가죽, 고무 및 신발류</v>
      </c>
      <c r="F33" s="18" t="n">
        <f aca="false">IFERROR(VALUE(SUBSTITUTE(TRIM('수출입 실적(성질별_수출)'!D37),",","")),"")</f>
        <v>69961.5</v>
      </c>
      <c r="G33" s="19" t="n">
        <f aca="false">IFERROR(VALUE(SUBSTITUTE(TRIM('수출입 실적(성질별_수출)'!E37),",","")),"")</f>
        <v>392673</v>
      </c>
    </row>
    <row r="34" customFormat="false" ht="15" hidden="false" customHeight="true" outlineLevel="0" collapsed="false">
      <c r="A34" s="11" t="str">
        <f aca="false">TRIM('수출입 실적(성질별_수출)'!A38)</f>
        <v>2024.02</v>
      </c>
      <c r="B34" s="17" t="n">
        <f aca="false">IFERROR(VALUE(LEFT($A34,4)),"")</f>
        <v>2024</v>
      </c>
      <c r="C34" s="17" t="n">
        <f aca="false">IFERROR(VALUE(RIGHT($A34,2)),"")</f>
        <v>2</v>
      </c>
      <c r="D34" s="17" t="n">
        <f aca="false">IFERROR(ROUNDUP($C34/3,0),"")</f>
        <v>1</v>
      </c>
      <c r="E34" s="11" t="str">
        <f aca="false">TRIM('수출입 실적(성질별_수출)'!C38)</f>
        <v>아. 귀금속 및 보석류</v>
      </c>
      <c r="F34" s="18" t="n">
        <f aca="false">IFERROR(VALUE(SUBSTITUTE(TRIM('수출입 실적(성질별_수출)'!D38),",","")),"")</f>
        <v>383.6</v>
      </c>
      <c r="G34" s="19" t="n">
        <f aca="false">IFERROR(VALUE(SUBSTITUTE(TRIM('수출입 실적(성질별_수출)'!E38),",","")),"")</f>
        <v>199678</v>
      </c>
    </row>
    <row r="35" customFormat="false" ht="15" hidden="false" customHeight="true" outlineLevel="0" collapsed="false">
      <c r="A35" s="11" t="str">
        <f aca="false">TRIM('수출입 실적(성질별_수출)'!A39)</f>
        <v>2024.02</v>
      </c>
      <c r="B35" s="17" t="n">
        <f aca="false">IFERROR(VALUE(LEFT($A35,4)),"")</f>
        <v>2024</v>
      </c>
      <c r="C35" s="17" t="n">
        <f aca="false">IFERROR(VALUE(RIGHT($A35,2)),"")</f>
        <v>2</v>
      </c>
      <c r="D35" s="17" t="n">
        <f aca="false">IFERROR(ROUNDUP($C35/3,0),"")</f>
        <v>1</v>
      </c>
      <c r="E35" s="11" t="str">
        <f aca="false">TRIM('수출입 실적(성질별_수출)'!C39)</f>
        <v>자. 기타 비금속 광물제품</v>
      </c>
      <c r="F35" s="18" t="n">
        <f aca="false">IFERROR(VALUE(SUBSTITUTE(TRIM('수출입 실적(성질별_수출)'!D39),",","")),"")</f>
        <v>297984</v>
      </c>
      <c r="G35" s="19" t="n">
        <f aca="false">IFERROR(VALUE(SUBSTITUTE(TRIM('수출입 실적(성질별_수출)'!E39),",","")),"")</f>
        <v>188211</v>
      </c>
    </row>
    <row r="36" customFormat="false" ht="15" hidden="false" customHeight="true" outlineLevel="0" collapsed="false">
      <c r="A36" s="11" t="str">
        <f aca="false">TRIM('수출입 실적(성질별_수출)'!A40)</f>
        <v>2024.02</v>
      </c>
      <c r="B36" s="17" t="n">
        <f aca="false">IFERROR(VALUE(LEFT($A36,4)),"")</f>
        <v>2024</v>
      </c>
      <c r="C36" s="17" t="n">
        <f aca="false">IFERROR(VALUE(RIGHT($A36,2)),"")</f>
        <v>2</v>
      </c>
      <c r="D36" s="17" t="n">
        <f aca="false">IFERROR(ROUNDUP($C36/3,0),"")</f>
        <v>1</v>
      </c>
      <c r="E36" s="11" t="str">
        <f aca="false">TRIM('수출입 실적(성질별_수출)'!C40)</f>
        <v>차. 완구, 운동용구 및 악기</v>
      </c>
      <c r="F36" s="18" t="n">
        <f aca="false">IFERROR(VALUE(SUBSTITUTE(TRIM('수출입 실적(성질별_수출)'!D40),",","")),"")</f>
        <v>2137.3</v>
      </c>
      <c r="G36" s="19" t="n">
        <f aca="false">IFERROR(VALUE(SUBSTITUTE(TRIM('수출입 실적(성질별_수출)'!E40),",","")),"")</f>
        <v>41225</v>
      </c>
    </row>
    <row r="37" customFormat="false" ht="15" hidden="false" customHeight="true" outlineLevel="0" collapsed="false">
      <c r="A37" s="11" t="str">
        <f aca="false">TRIM('수출입 실적(성질별_수출)'!A41)</f>
        <v>2024.02</v>
      </c>
      <c r="B37" s="17" t="n">
        <f aca="false">IFERROR(VALUE(LEFT($A37,4)),"")</f>
        <v>2024</v>
      </c>
      <c r="C37" s="17" t="n">
        <f aca="false">IFERROR(VALUE(RIGHT($A37,2)),"")</f>
        <v>2</v>
      </c>
      <c r="D37" s="17" t="n">
        <f aca="false">IFERROR(ROUNDUP($C37/3,0),"")</f>
        <v>1</v>
      </c>
      <c r="E37" s="11" t="str">
        <f aca="false">TRIM('수출입 실적(성질별_수출)'!C41)</f>
        <v>카. 기 타</v>
      </c>
      <c r="F37" s="18" t="n">
        <f aca="false">IFERROR(VALUE(SUBSTITUTE(TRIM('수출입 실적(성질별_수출)'!D41),",","")),"")</f>
        <v>365168.9</v>
      </c>
      <c r="G37" s="19" t="n">
        <f aca="false">IFERROR(VALUE(SUBSTITUTE(TRIM('수출입 실적(성질별_수출)'!E41),",","")),"")</f>
        <v>891029</v>
      </c>
    </row>
    <row r="38" customFormat="false" ht="15" hidden="false" customHeight="true" outlineLevel="0" collapsed="false">
      <c r="A38" s="11" t="str">
        <f aca="false">TRIM('수출입 실적(성질별_수출)'!A42)</f>
        <v>2024.02</v>
      </c>
      <c r="B38" s="17" t="n">
        <f aca="false">IFERROR(VALUE(LEFT($A38,4)),"")</f>
        <v>2024</v>
      </c>
      <c r="C38" s="17" t="n">
        <f aca="false">IFERROR(VALUE(RIGHT($A38,2)),"")</f>
        <v>2</v>
      </c>
      <c r="D38" s="17" t="n">
        <f aca="false">IFERROR(ROUNDUP($C38/3,0),"")</f>
        <v>1</v>
      </c>
      <c r="E38" s="11" t="str">
        <f aca="false">TRIM('수출입 실적(성질별_수출)'!C42)</f>
        <v>4. 중화학 공업품</v>
      </c>
      <c r="F38" s="18" t="n">
        <f aca="false">IFERROR(VALUE(SUBSTITUTE(TRIM('수출입 실적(성질별_수출)'!D42),",","")),"")</f>
        <v>8225785.3</v>
      </c>
      <c r="G38" s="19" t="n">
        <f aca="false">IFERROR(VALUE(SUBSTITUTE(TRIM('수출입 실적(성질별_수출)'!E42),",","")),"")</f>
        <v>43464479</v>
      </c>
    </row>
    <row r="39" customFormat="false" ht="15" hidden="false" customHeight="true" outlineLevel="0" collapsed="false">
      <c r="A39" s="11" t="str">
        <f aca="false">TRIM('수출입 실적(성질별_수출)'!A43)</f>
        <v>2024.02</v>
      </c>
      <c r="B39" s="17" t="n">
        <f aca="false">IFERROR(VALUE(LEFT($A39,4)),"")</f>
        <v>2024</v>
      </c>
      <c r="C39" s="17" t="n">
        <f aca="false">IFERROR(VALUE(RIGHT($A39,2)),"")</f>
        <v>2</v>
      </c>
      <c r="D39" s="17" t="n">
        <f aca="false">IFERROR(ROUNDUP($C39/3,0),"")</f>
        <v>1</v>
      </c>
      <c r="E39" s="11" t="str">
        <f aca="false">TRIM('수출입 실적(성질별_수출)'!C43)</f>
        <v>가. 화공품</v>
      </c>
      <c r="F39" s="18" t="n">
        <f aca="false">IFERROR(VALUE(SUBSTITUTE(TRIM('수출입 실적(성질별_수출)'!D43),",","")),"")</f>
        <v>3770916.6</v>
      </c>
      <c r="G39" s="19" t="n">
        <f aca="false">IFERROR(VALUE(SUBSTITUTE(TRIM('수출입 실적(성질별_수출)'!E43),",","")),"")</f>
        <v>7006963</v>
      </c>
    </row>
    <row r="40" customFormat="false" ht="15" hidden="false" customHeight="true" outlineLevel="0" collapsed="false">
      <c r="A40" s="11" t="str">
        <f aca="false">TRIM('수출입 실적(성질별_수출)'!A44)</f>
        <v>2024.02</v>
      </c>
      <c r="B40" s="17" t="n">
        <f aca="false">IFERROR(VALUE(LEFT($A40,4)),"")</f>
        <v>2024</v>
      </c>
      <c r="C40" s="17" t="n">
        <f aca="false">IFERROR(VALUE(RIGHT($A40,2)),"")</f>
        <v>2</v>
      </c>
      <c r="D40" s="17" t="n">
        <f aca="false">IFERROR(ROUNDUP($C40/3,0),"")</f>
        <v>1</v>
      </c>
      <c r="E40" s="11" t="str">
        <f aca="false">TRIM('수출입 실적(성질별_수출)'!C44)</f>
        <v>나. 철강제품</v>
      </c>
      <c r="F40" s="18" t="n">
        <f aca="false">IFERROR(VALUE(SUBSTITUTE(TRIM('수출입 실적(성질별_수출)'!D44),",","")),"")</f>
        <v>2580204.9</v>
      </c>
      <c r="G40" s="19" t="n">
        <f aca="false">IFERROR(VALUE(SUBSTITUTE(TRIM('수출입 실적(성질별_수출)'!E44),",","")),"")</f>
        <v>3855480</v>
      </c>
    </row>
    <row r="41" customFormat="false" ht="15" hidden="false" customHeight="true" outlineLevel="0" collapsed="false">
      <c r="A41" s="11" t="str">
        <f aca="false">TRIM('수출입 실적(성질별_수출)'!A45)</f>
        <v>2024.02</v>
      </c>
      <c r="B41" s="17" t="n">
        <f aca="false">IFERROR(VALUE(LEFT($A41,4)),"")</f>
        <v>2024</v>
      </c>
      <c r="C41" s="17" t="n">
        <f aca="false">IFERROR(VALUE(RIGHT($A41,2)),"")</f>
        <v>2</v>
      </c>
      <c r="D41" s="17" t="n">
        <f aca="false">IFERROR(ROUNDUP($C41/3,0),"")</f>
        <v>1</v>
      </c>
      <c r="E41" s="11" t="str">
        <f aca="false">TRIM('수출입 실적(성질별_수출)'!C45)</f>
        <v>다. 기계류와 정밀기기</v>
      </c>
      <c r="F41" s="18" t="n">
        <f aca="false">IFERROR(VALUE(SUBSTITUTE(TRIM('수출입 실적(성질별_수출)'!D45),",","")),"")</f>
        <v>398722.8</v>
      </c>
      <c r="G41" s="19" t="n">
        <f aca="false">IFERROR(VALUE(SUBSTITUTE(TRIM('수출입 실적(성질별_수출)'!E45),",","")),"")</f>
        <v>5911105</v>
      </c>
    </row>
    <row r="42" customFormat="false" ht="15" hidden="false" customHeight="true" outlineLevel="0" collapsed="false">
      <c r="A42" s="11" t="str">
        <f aca="false">TRIM('수출입 실적(성질별_수출)'!A46)</f>
        <v>2024.02</v>
      </c>
      <c r="B42" s="17" t="n">
        <f aca="false">IFERROR(VALUE(LEFT($A42,4)),"")</f>
        <v>2024</v>
      </c>
      <c r="C42" s="17" t="n">
        <f aca="false">IFERROR(VALUE(RIGHT($A42,2)),"")</f>
        <v>2</v>
      </c>
      <c r="D42" s="17" t="n">
        <f aca="false">IFERROR(ROUNDUP($C42/3,0),"")</f>
        <v>1</v>
      </c>
      <c r="E42" s="11" t="str">
        <f aca="false">TRIM('수출입 실적(성질별_수출)'!C46)</f>
        <v>라. 전기, 전자제품</v>
      </c>
      <c r="F42" s="18" t="n">
        <f aca="false">IFERROR(VALUE(SUBSTITUTE(TRIM('수출입 실적(성질별_수출)'!D46),",","")),"")</f>
        <v>244887.8</v>
      </c>
      <c r="G42" s="19" t="n">
        <f aca="false">IFERROR(VALUE(SUBSTITUTE(TRIM('수출입 실적(성질별_수출)'!E46),",","")),"")</f>
        <v>16240903</v>
      </c>
    </row>
    <row r="43" customFormat="false" ht="15" hidden="false" customHeight="true" outlineLevel="0" collapsed="false">
      <c r="A43" s="11" t="str">
        <f aca="false">TRIM('수출입 실적(성질별_수출)'!A47)</f>
        <v>2024.02</v>
      </c>
      <c r="B43" s="17" t="n">
        <f aca="false">IFERROR(VALUE(LEFT($A43,4)),"")</f>
        <v>2024</v>
      </c>
      <c r="C43" s="17" t="n">
        <f aca="false">IFERROR(VALUE(RIGHT($A43,2)),"")</f>
        <v>2</v>
      </c>
      <c r="D43" s="17" t="n">
        <f aca="false">IFERROR(ROUNDUP($C43/3,0),"")</f>
        <v>1</v>
      </c>
      <c r="E43" s="11" t="str">
        <f aca="false">TRIM('수출입 실적(성질별_수출)'!C47)</f>
        <v>마. 수송장비</v>
      </c>
      <c r="F43" s="18" t="n">
        <f aca="false">IFERROR(VALUE(SUBSTITUTE(TRIM('수출입 실적(성질별_수출)'!D47),",","")),"")</f>
        <v>1173041.6</v>
      </c>
      <c r="G43" s="19" t="n">
        <f aca="false">IFERROR(VALUE(SUBSTITUTE(TRIM('수출입 실적(성질별_수출)'!E47),",","")),"")</f>
        <v>9064732</v>
      </c>
    </row>
    <row r="44" customFormat="false" ht="15" hidden="false" customHeight="true" outlineLevel="0" collapsed="false">
      <c r="A44" s="11" t="str">
        <f aca="false">TRIM('수출입 실적(성질별_수출)'!A48)</f>
        <v>2024.02</v>
      </c>
      <c r="B44" s="17" t="n">
        <f aca="false">IFERROR(VALUE(LEFT($A44,4)),"")</f>
        <v>2024</v>
      </c>
      <c r="C44" s="17" t="n">
        <f aca="false">IFERROR(VALUE(RIGHT($A44,2)),"")</f>
        <v>2</v>
      </c>
      <c r="D44" s="17" t="n">
        <f aca="false">IFERROR(ROUNDUP($C44/3,0),"")</f>
        <v>1</v>
      </c>
      <c r="E44" s="11" t="str">
        <f aca="false">TRIM('수출입 실적(성질별_수출)'!C48)</f>
        <v>바. 기 타</v>
      </c>
      <c r="F44" s="18" t="n">
        <f aca="false">IFERROR(VALUE(SUBSTITUTE(TRIM('수출입 실적(성질별_수출)'!D48),",","")),"")</f>
        <v>58011.6</v>
      </c>
      <c r="G44" s="19" t="n">
        <f aca="false">IFERROR(VALUE(SUBSTITUTE(TRIM('수출입 실적(성질별_수출)'!E48),",","")),"")</f>
        <v>1385297</v>
      </c>
    </row>
    <row r="45" customFormat="false" ht="15" hidden="false" customHeight="true" outlineLevel="0" collapsed="false">
      <c r="A45" s="11" t="str">
        <f aca="false">TRIM('수출입 실적(성질별_수출)'!A49)</f>
        <v>2024.03</v>
      </c>
      <c r="B45" s="17" t="n">
        <f aca="false">IFERROR(VALUE(LEFT($A45,4)),"")</f>
        <v>2024</v>
      </c>
      <c r="C45" s="17" t="n">
        <f aca="false">IFERROR(VALUE(RIGHT($A45,2)),"")</f>
        <v>3</v>
      </c>
      <c r="D45" s="17" t="n">
        <f aca="false">IFERROR(ROUNDUP($C45/3,0),"")</f>
        <v>1</v>
      </c>
      <c r="E45" s="11" t="str">
        <f aca="false">TRIM('수출입 실적(성질별_수출)'!C49)</f>
        <v>1. 식료 및 직접소비재</v>
      </c>
      <c r="F45" s="18" t="n">
        <f aca="false">IFERROR(VALUE(SUBSTITUTE(TRIM('수출입 실적(성질별_수출)'!D49),",","")),"")</f>
        <v>308909.4</v>
      </c>
      <c r="G45" s="19" t="n">
        <f aca="false">IFERROR(VALUE(SUBSTITUTE(TRIM('수출입 실적(성질별_수출)'!E49),",","")),"")</f>
        <v>928955</v>
      </c>
    </row>
    <row r="46" customFormat="false" ht="15" hidden="false" customHeight="true" outlineLevel="0" collapsed="false">
      <c r="A46" s="11" t="str">
        <f aca="false">TRIM('수출입 실적(성질별_수출)'!A50)</f>
        <v>2024.03</v>
      </c>
      <c r="B46" s="17" t="n">
        <f aca="false">IFERROR(VALUE(LEFT($A46,4)),"")</f>
        <v>2024</v>
      </c>
      <c r="C46" s="17" t="n">
        <f aca="false">IFERROR(VALUE(RIGHT($A46,2)),"")</f>
        <v>3</v>
      </c>
      <c r="D46" s="17" t="n">
        <f aca="false">IFERROR(ROUNDUP($C46/3,0),"")</f>
        <v>1</v>
      </c>
      <c r="E46" s="11" t="str">
        <f aca="false">TRIM('수출입 실적(성질별_수출)'!C50)</f>
        <v>2. 원료 및 연료</v>
      </c>
      <c r="F46" s="18" t="n">
        <f aca="false">IFERROR(VALUE(SUBSTITUTE(TRIM('수출입 실적(성질별_수출)'!D50),",","")),"")</f>
        <v>6594251.8</v>
      </c>
      <c r="G46" s="19" t="n">
        <f aca="false">IFERROR(VALUE(SUBSTITUTE(TRIM('수출입 실적(성질별_수출)'!E50),",","")),"")</f>
        <v>5410466</v>
      </c>
    </row>
    <row r="47" customFormat="false" ht="15" hidden="false" customHeight="true" outlineLevel="0" collapsed="false">
      <c r="A47" s="11" t="str">
        <f aca="false">TRIM('수출입 실적(성질별_수출)'!A51)</f>
        <v>2024.03</v>
      </c>
      <c r="B47" s="17" t="n">
        <f aca="false">IFERROR(VALUE(LEFT($A47,4)),"")</f>
        <v>2024</v>
      </c>
      <c r="C47" s="17" t="n">
        <f aca="false">IFERROR(VALUE(RIGHT($A47,2)),"")</f>
        <v>3</v>
      </c>
      <c r="D47" s="17" t="n">
        <f aca="false">IFERROR(ROUNDUP($C47/3,0),"")</f>
        <v>1</v>
      </c>
      <c r="E47" s="11" t="str">
        <f aca="false">TRIM('수출입 실적(성질별_수출)'!C51)</f>
        <v>3. 경공업품</v>
      </c>
      <c r="F47" s="18" t="n">
        <f aca="false">IFERROR(VALUE(SUBSTITUTE(TRIM('수출입 실적(성질별_수출)'!D51),",","")),"")</f>
        <v>783291.3</v>
      </c>
      <c r="G47" s="19" t="n">
        <f aca="false">IFERROR(VALUE(SUBSTITUTE(TRIM('수출입 실적(성질별_수출)'!E51),",","")),"")</f>
        <v>2787145</v>
      </c>
    </row>
    <row r="48" customFormat="false" ht="15" hidden="false" customHeight="true" outlineLevel="0" collapsed="false">
      <c r="A48" s="11" t="str">
        <f aca="false">TRIM('수출입 실적(성질별_수출)'!A52)</f>
        <v>2024.03</v>
      </c>
      <c r="B48" s="17" t="n">
        <f aca="false">IFERROR(VALUE(LEFT($A48,4)),"")</f>
        <v>2024</v>
      </c>
      <c r="C48" s="17" t="n">
        <f aca="false">IFERROR(VALUE(RIGHT($A48,2)),"")</f>
        <v>3</v>
      </c>
      <c r="D48" s="17" t="n">
        <f aca="false">IFERROR(ROUNDUP($C48/3,0),"")</f>
        <v>1</v>
      </c>
      <c r="E48" s="11" t="str">
        <f aca="false">TRIM('수출입 실적(성질별_수출)'!C52)</f>
        <v>가. 섬유원료</v>
      </c>
      <c r="F48" s="18" t="n">
        <f aca="false">IFERROR(VALUE(SUBSTITUTE(TRIM('수출입 실적(성질별_수출)'!D52),",","")),"")</f>
        <v>61218.1</v>
      </c>
      <c r="G48" s="19" t="n">
        <f aca="false">IFERROR(VALUE(SUBSTITUTE(TRIM('수출입 실적(성질별_수출)'!E52),",","")),"")</f>
        <v>91364</v>
      </c>
    </row>
    <row r="49" customFormat="false" ht="15" hidden="false" customHeight="true" outlineLevel="0" collapsed="false">
      <c r="A49" s="11" t="str">
        <f aca="false">TRIM('수출입 실적(성질별_수출)'!A53)</f>
        <v>2024.03</v>
      </c>
      <c r="B49" s="17" t="n">
        <f aca="false">IFERROR(VALUE(LEFT($A49,4)),"")</f>
        <v>2024</v>
      </c>
      <c r="C49" s="17" t="n">
        <f aca="false">IFERROR(VALUE(RIGHT($A49,2)),"")</f>
        <v>3</v>
      </c>
      <c r="D49" s="17" t="n">
        <f aca="false">IFERROR(ROUNDUP($C49/3,0),"")</f>
        <v>1</v>
      </c>
      <c r="E49" s="11" t="str">
        <f aca="false">TRIM('수출입 실적(성질별_수출)'!C53)</f>
        <v>나. 섬유사</v>
      </c>
      <c r="F49" s="18" t="n">
        <f aca="false">IFERROR(VALUE(SUBSTITUTE(TRIM('수출입 실적(성질별_수출)'!D53),",","")),"")</f>
        <v>20281.4</v>
      </c>
      <c r="G49" s="19" t="n">
        <f aca="false">IFERROR(VALUE(SUBSTITUTE(TRIM('수출입 실적(성질별_수출)'!E53),",","")),"")</f>
        <v>73271</v>
      </c>
    </row>
    <row r="50" customFormat="false" ht="15" hidden="false" customHeight="true" outlineLevel="0" collapsed="false">
      <c r="A50" s="11" t="str">
        <f aca="false">TRIM('수출입 실적(성질별_수출)'!A54)</f>
        <v>2024.03</v>
      </c>
      <c r="B50" s="17" t="n">
        <f aca="false">IFERROR(VALUE(LEFT($A50,4)),"")</f>
        <v>2024</v>
      </c>
      <c r="C50" s="17" t="n">
        <f aca="false">IFERROR(VALUE(RIGHT($A50,2)),"")</f>
        <v>3</v>
      </c>
      <c r="D50" s="17" t="n">
        <f aca="false">IFERROR(ROUNDUP($C50/3,0),"")</f>
        <v>1</v>
      </c>
      <c r="E50" s="11" t="str">
        <f aca="false">TRIM('수출입 실적(성질별_수출)'!C54)</f>
        <v>다. 직 물</v>
      </c>
      <c r="F50" s="18" t="n">
        <f aca="false">IFERROR(VALUE(SUBSTITUTE(TRIM('수출입 실적(성질별_수출)'!D54),",","")),"")</f>
        <v>31776.2</v>
      </c>
      <c r="G50" s="19" t="n">
        <f aca="false">IFERROR(VALUE(SUBSTITUTE(TRIM('수출입 실적(성질별_수출)'!E54),",","")),"")</f>
        <v>299002</v>
      </c>
    </row>
    <row r="51" customFormat="false" ht="15" hidden="false" customHeight="true" outlineLevel="0" collapsed="false">
      <c r="A51" s="11" t="str">
        <f aca="false">TRIM('수출입 실적(성질별_수출)'!A55)</f>
        <v>2024.03</v>
      </c>
      <c r="B51" s="17" t="n">
        <f aca="false">IFERROR(VALUE(LEFT($A51,4)),"")</f>
        <v>2024</v>
      </c>
      <c r="C51" s="17" t="n">
        <f aca="false">IFERROR(VALUE(RIGHT($A51,2)),"")</f>
        <v>3</v>
      </c>
      <c r="D51" s="17" t="n">
        <f aca="false">IFERROR(ROUNDUP($C51/3,0),"")</f>
        <v>1</v>
      </c>
      <c r="E51" s="11" t="str">
        <f aca="false">TRIM('수출입 실적(성질별_수출)'!C55)</f>
        <v>라. 기타 섬유제품</v>
      </c>
      <c r="F51" s="18" t="n">
        <f aca="false">IFERROR(VALUE(SUBSTITUTE(TRIM('수출입 실적(성질별_수출)'!D55),",","")),"")</f>
        <v>23551.1</v>
      </c>
      <c r="G51" s="19" t="n">
        <f aca="false">IFERROR(VALUE(SUBSTITUTE(TRIM('수출입 실적(성질별_수출)'!E55),",","")),"")</f>
        <v>192329</v>
      </c>
    </row>
    <row r="52" customFormat="false" ht="15" hidden="false" customHeight="true" outlineLevel="0" collapsed="false">
      <c r="A52" s="11" t="str">
        <f aca="false">TRIM('수출입 실적(성질별_수출)'!A56)</f>
        <v>2024.03</v>
      </c>
      <c r="B52" s="17" t="n">
        <f aca="false">IFERROR(VALUE(LEFT($A52,4)),"")</f>
        <v>2024</v>
      </c>
      <c r="C52" s="17" t="n">
        <f aca="false">IFERROR(VALUE(RIGHT($A52,2)),"")</f>
        <v>3</v>
      </c>
      <c r="D52" s="17" t="n">
        <f aca="false">IFERROR(ROUNDUP($C52/3,0),"")</f>
        <v>1</v>
      </c>
      <c r="E52" s="11" t="str">
        <f aca="false">TRIM('수출입 실적(성질별_수출)'!C56)</f>
        <v>마. 의 류</v>
      </c>
      <c r="F52" s="18" t="n">
        <f aca="false">IFERROR(VALUE(SUBSTITUTE(TRIM('수출입 실적(성질별_수출)'!D56),",","")),"")</f>
        <v>5489.1</v>
      </c>
      <c r="G52" s="19" t="n">
        <f aca="false">IFERROR(VALUE(SUBSTITUTE(TRIM('수출입 실적(성질별_수출)'!E56),",","")),"")</f>
        <v>154470</v>
      </c>
    </row>
    <row r="53" customFormat="false" ht="15" hidden="false" customHeight="true" outlineLevel="0" collapsed="false">
      <c r="A53" s="11" t="str">
        <f aca="false">TRIM('수출입 실적(성질별_수출)'!A57)</f>
        <v>2024.03</v>
      </c>
      <c r="B53" s="17" t="n">
        <f aca="false">IFERROR(VALUE(LEFT($A53,4)),"")</f>
        <v>2024</v>
      </c>
      <c r="C53" s="17" t="n">
        <f aca="false">IFERROR(VALUE(RIGHT($A53,2)),"")</f>
        <v>3</v>
      </c>
      <c r="D53" s="17" t="n">
        <f aca="false">IFERROR(ROUNDUP($C53/3,0),"")</f>
        <v>1</v>
      </c>
      <c r="E53" s="11" t="str">
        <f aca="false">TRIM('수출입 실적(성질별_수출)'!C57)</f>
        <v>바. 목제품</v>
      </c>
      <c r="F53" s="18" t="n">
        <f aca="false">IFERROR(VALUE(SUBSTITUTE(TRIM('수출입 실적(성질별_수출)'!D57),",","")),"")</f>
        <v>16486.1</v>
      </c>
      <c r="G53" s="19" t="n">
        <f aca="false">IFERROR(VALUE(SUBSTITUTE(TRIM('수출입 실적(성질별_수출)'!E57),",","")),"")</f>
        <v>97356</v>
      </c>
    </row>
    <row r="54" customFormat="false" ht="15" hidden="false" customHeight="true" outlineLevel="0" collapsed="false">
      <c r="A54" s="11" t="str">
        <f aca="false">TRIM('수출입 실적(성질별_수출)'!A58)</f>
        <v>2024.03</v>
      </c>
      <c r="B54" s="17" t="n">
        <f aca="false">IFERROR(VALUE(LEFT($A54,4)),"")</f>
        <v>2024</v>
      </c>
      <c r="C54" s="17" t="n">
        <f aca="false">IFERROR(VALUE(RIGHT($A54,2)),"")</f>
        <v>3</v>
      </c>
      <c r="D54" s="17" t="n">
        <f aca="false">IFERROR(ROUNDUP($C54/3,0),"")</f>
        <v>1</v>
      </c>
      <c r="E54" s="11" t="str">
        <f aca="false">TRIM('수출입 실적(성질별_수출)'!C58)</f>
        <v>사. 가죽, 고무 및 신발류</v>
      </c>
      <c r="F54" s="18" t="n">
        <f aca="false">IFERROR(VALUE(SUBSTITUTE(TRIM('수출입 실적(성질별_수출)'!D58),",","")),"")</f>
        <v>76127.6</v>
      </c>
      <c r="G54" s="19" t="n">
        <f aca="false">IFERROR(VALUE(SUBSTITUTE(TRIM('수출입 실적(성질별_수출)'!E58),",","")),"")</f>
        <v>418480</v>
      </c>
    </row>
    <row r="55" customFormat="false" ht="15" hidden="false" customHeight="true" outlineLevel="0" collapsed="false">
      <c r="A55" s="11" t="str">
        <f aca="false">TRIM('수출입 실적(성질별_수출)'!A59)</f>
        <v>2024.03</v>
      </c>
      <c r="B55" s="17" t="n">
        <f aca="false">IFERROR(VALUE(LEFT($A55,4)),"")</f>
        <v>2024</v>
      </c>
      <c r="C55" s="17" t="n">
        <f aca="false">IFERROR(VALUE(RIGHT($A55,2)),"")</f>
        <v>3</v>
      </c>
      <c r="D55" s="17" t="n">
        <f aca="false">IFERROR(ROUNDUP($C55/3,0),"")</f>
        <v>1</v>
      </c>
      <c r="E55" s="11" t="str">
        <f aca="false">TRIM('수출입 실적(성질별_수출)'!C59)</f>
        <v>아. 귀금속 및 보석류</v>
      </c>
      <c r="F55" s="18" t="n">
        <f aca="false">IFERROR(VALUE(SUBSTITUTE(TRIM('수출입 실적(성질별_수출)'!D59),",","")),"")</f>
        <v>315.9</v>
      </c>
      <c r="G55" s="19" t="n">
        <f aca="false">IFERROR(VALUE(SUBSTITUTE(TRIM('수출입 실적(성질별_수출)'!E59),",","")),"")</f>
        <v>176733</v>
      </c>
    </row>
    <row r="56" customFormat="false" ht="15" hidden="false" customHeight="true" outlineLevel="0" collapsed="false">
      <c r="A56" s="11" t="str">
        <f aca="false">TRIM('수출입 실적(성질별_수출)'!A60)</f>
        <v>2024.03</v>
      </c>
      <c r="B56" s="17" t="n">
        <f aca="false">IFERROR(VALUE(LEFT($A56,4)),"")</f>
        <v>2024</v>
      </c>
      <c r="C56" s="17" t="n">
        <f aca="false">IFERROR(VALUE(RIGHT($A56,2)),"")</f>
        <v>3</v>
      </c>
      <c r="D56" s="17" t="n">
        <f aca="false">IFERROR(ROUNDUP($C56/3,0),"")</f>
        <v>1</v>
      </c>
      <c r="E56" s="11" t="str">
        <f aca="false">TRIM('수출입 실적(성질별_수출)'!C60)</f>
        <v>자. 기타 비금속 광물제품</v>
      </c>
      <c r="F56" s="18" t="n">
        <f aca="false">IFERROR(VALUE(SUBSTITUTE(TRIM('수출입 실적(성질별_수출)'!D60),",","")),"")</f>
        <v>157757.4</v>
      </c>
      <c r="G56" s="19" t="n">
        <f aca="false">IFERROR(VALUE(SUBSTITUTE(TRIM('수출입 실적(성질별_수출)'!E60),",","")),"")</f>
        <v>199421</v>
      </c>
    </row>
    <row r="57" customFormat="false" ht="15" hidden="false" customHeight="true" outlineLevel="0" collapsed="false">
      <c r="A57" s="11" t="str">
        <f aca="false">TRIM('수출입 실적(성질별_수출)'!A61)</f>
        <v>2024.03</v>
      </c>
      <c r="B57" s="17" t="n">
        <f aca="false">IFERROR(VALUE(LEFT($A57,4)),"")</f>
        <v>2024</v>
      </c>
      <c r="C57" s="17" t="n">
        <f aca="false">IFERROR(VALUE(RIGHT($A57,2)),"")</f>
        <v>3</v>
      </c>
      <c r="D57" s="17" t="n">
        <f aca="false">IFERROR(ROUNDUP($C57/3,0),"")</f>
        <v>1</v>
      </c>
      <c r="E57" s="11" t="str">
        <f aca="false">TRIM('수출입 실적(성질별_수출)'!C61)</f>
        <v>차. 완구, 운동용구 및 악기</v>
      </c>
      <c r="F57" s="18" t="n">
        <f aca="false">IFERROR(VALUE(SUBSTITUTE(TRIM('수출입 실적(성질별_수출)'!D61),",","")),"")</f>
        <v>2637.4</v>
      </c>
      <c r="G57" s="19" t="n">
        <f aca="false">IFERROR(VALUE(SUBSTITUTE(TRIM('수출입 실적(성질별_수출)'!E61),",","")),"")</f>
        <v>47791</v>
      </c>
    </row>
    <row r="58" customFormat="false" ht="15" hidden="false" customHeight="true" outlineLevel="0" collapsed="false">
      <c r="A58" s="11" t="str">
        <f aca="false">TRIM('수출입 실적(성질별_수출)'!A62)</f>
        <v>2024.03</v>
      </c>
      <c r="B58" s="17" t="n">
        <f aca="false">IFERROR(VALUE(LEFT($A58,4)),"")</f>
        <v>2024</v>
      </c>
      <c r="C58" s="17" t="n">
        <f aca="false">IFERROR(VALUE(RIGHT($A58,2)),"")</f>
        <v>3</v>
      </c>
      <c r="D58" s="17" t="n">
        <f aca="false">IFERROR(ROUNDUP($C58/3,0),"")</f>
        <v>1</v>
      </c>
      <c r="E58" s="11" t="str">
        <f aca="false">TRIM('수출입 실적(성질별_수출)'!C62)</f>
        <v>카. 기 타</v>
      </c>
      <c r="F58" s="18" t="n">
        <f aca="false">IFERROR(VALUE(SUBSTITUTE(TRIM('수출입 실적(성질별_수출)'!D62),",","")),"")</f>
        <v>387651.1</v>
      </c>
      <c r="G58" s="19" t="n">
        <f aca="false">IFERROR(VALUE(SUBSTITUTE(TRIM('수출입 실적(성질별_수출)'!E62),",","")),"")</f>
        <v>1036927</v>
      </c>
    </row>
    <row r="59" customFormat="false" ht="15" hidden="false" customHeight="true" outlineLevel="0" collapsed="false">
      <c r="A59" s="11" t="str">
        <f aca="false">TRIM('수출입 실적(성질별_수출)'!A63)</f>
        <v>2024.03</v>
      </c>
      <c r="B59" s="17" t="n">
        <f aca="false">IFERROR(VALUE(LEFT($A59,4)),"")</f>
        <v>2024</v>
      </c>
      <c r="C59" s="17" t="n">
        <f aca="false">IFERROR(VALUE(RIGHT($A59,2)),"")</f>
        <v>3</v>
      </c>
      <c r="D59" s="17" t="n">
        <f aca="false">IFERROR(ROUNDUP($C59/3,0),"")</f>
        <v>1</v>
      </c>
      <c r="E59" s="11" t="str">
        <f aca="false">TRIM('수출입 실적(성질별_수출)'!C63)</f>
        <v>4. 중화학 공업품</v>
      </c>
      <c r="F59" s="18" t="n">
        <f aca="false">IFERROR(VALUE(SUBSTITUTE(TRIM('수출입 실적(성질별_수출)'!D63),",","")),"")</f>
        <v>9119179</v>
      </c>
      <c r="G59" s="19" t="n">
        <f aca="false">IFERROR(VALUE(SUBSTITUTE(TRIM('수출입 실적(성질별_수출)'!E63),",","")),"")</f>
        <v>47391743</v>
      </c>
    </row>
    <row r="60" customFormat="false" ht="15" hidden="false" customHeight="true" outlineLevel="0" collapsed="false">
      <c r="A60" s="11" t="str">
        <f aca="false">TRIM('수출입 실적(성질별_수출)'!A64)</f>
        <v>2024.03</v>
      </c>
      <c r="B60" s="17" t="n">
        <f aca="false">IFERROR(VALUE(LEFT($A60,4)),"")</f>
        <v>2024</v>
      </c>
      <c r="C60" s="17" t="n">
        <f aca="false">IFERROR(VALUE(RIGHT($A60,2)),"")</f>
        <v>3</v>
      </c>
      <c r="D60" s="17" t="n">
        <f aca="false">IFERROR(ROUNDUP($C60/3,0),"")</f>
        <v>1</v>
      </c>
      <c r="E60" s="11" t="str">
        <f aca="false">TRIM('수출입 실적(성질별_수출)'!C64)</f>
        <v>가. 화공품</v>
      </c>
      <c r="F60" s="18" t="n">
        <f aca="false">IFERROR(VALUE(SUBSTITUTE(TRIM('수출입 실적(성질별_수출)'!D64),",","")),"")</f>
        <v>3751282.5</v>
      </c>
      <c r="G60" s="19" t="n">
        <f aca="false">IFERROR(VALUE(SUBSTITUTE(TRIM('수출입 실적(성질별_수출)'!E64),",","")),"")</f>
        <v>7094482</v>
      </c>
    </row>
    <row r="61" customFormat="false" ht="15" hidden="false" customHeight="true" outlineLevel="0" collapsed="false">
      <c r="A61" s="11" t="str">
        <f aca="false">TRIM('수출입 실적(성질별_수출)'!A65)</f>
        <v>2024.03</v>
      </c>
      <c r="B61" s="17" t="n">
        <f aca="false">IFERROR(VALUE(LEFT($A61,4)),"")</f>
        <v>2024</v>
      </c>
      <c r="C61" s="17" t="n">
        <f aca="false">IFERROR(VALUE(RIGHT($A61,2)),"")</f>
        <v>3</v>
      </c>
      <c r="D61" s="17" t="n">
        <f aca="false">IFERROR(ROUNDUP($C61/3,0),"")</f>
        <v>1</v>
      </c>
      <c r="E61" s="11" t="str">
        <f aca="false">TRIM('수출입 실적(성질별_수출)'!C65)</f>
        <v>나. 철강제품</v>
      </c>
      <c r="F61" s="18" t="n">
        <f aca="false">IFERROR(VALUE(SUBSTITUTE(TRIM('수출입 실적(성질별_수출)'!D65),",","")),"")</f>
        <v>2697390.6</v>
      </c>
      <c r="G61" s="19" t="n">
        <f aca="false">IFERROR(VALUE(SUBSTITUTE(TRIM('수출입 실적(성질별_수출)'!E65),",","")),"")</f>
        <v>4088495</v>
      </c>
    </row>
    <row r="62" customFormat="false" ht="15" hidden="false" customHeight="true" outlineLevel="0" collapsed="false">
      <c r="A62" s="11" t="str">
        <f aca="false">TRIM('수출입 실적(성질별_수출)'!A66)</f>
        <v>2024.03</v>
      </c>
      <c r="B62" s="17" t="n">
        <f aca="false">IFERROR(VALUE(LEFT($A62,4)),"")</f>
        <v>2024</v>
      </c>
      <c r="C62" s="17" t="n">
        <f aca="false">IFERROR(VALUE(RIGHT($A62,2)),"")</f>
        <v>3</v>
      </c>
      <c r="D62" s="17" t="n">
        <f aca="false">IFERROR(ROUNDUP($C62/3,0),"")</f>
        <v>1</v>
      </c>
      <c r="E62" s="11" t="str">
        <f aca="false">TRIM('수출입 실적(성질별_수출)'!C66)</f>
        <v>다. 기계류와 정밀기기</v>
      </c>
      <c r="F62" s="18" t="n">
        <f aca="false">IFERROR(VALUE(SUBSTITUTE(TRIM('수출입 실적(성질별_수출)'!D66),",","")),"")</f>
        <v>375224.1</v>
      </c>
      <c r="G62" s="19" t="n">
        <f aca="false">IFERROR(VALUE(SUBSTITUTE(TRIM('수출입 실적(성질별_수출)'!E66),",","")),"")</f>
        <v>5975535</v>
      </c>
    </row>
    <row r="63" customFormat="false" ht="15" hidden="false" customHeight="true" outlineLevel="0" collapsed="false">
      <c r="A63" s="11" t="str">
        <f aca="false">TRIM('수출입 실적(성질별_수출)'!A67)</f>
        <v>2024.03</v>
      </c>
      <c r="B63" s="17" t="n">
        <f aca="false">IFERROR(VALUE(LEFT($A63,4)),"")</f>
        <v>2024</v>
      </c>
      <c r="C63" s="17" t="n">
        <f aca="false">IFERROR(VALUE(RIGHT($A63,2)),"")</f>
        <v>3</v>
      </c>
      <c r="D63" s="17" t="n">
        <f aca="false">IFERROR(ROUNDUP($C63/3,0),"")</f>
        <v>1</v>
      </c>
      <c r="E63" s="11" t="str">
        <f aca="false">TRIM('수출입 실적(성질별_수출)'!C67)</f>
        <v>라. 전기, 전자제품</v>
      </c>
      <c r="F63" s="18" t="n">
        <f aca="false">IFERROR(VALUE(SUBSTITUTE(TRIM('수출입 실적(성질별_수출)'!D67),",","")),"")</f>
        <v>240057</v>
      </c>
      <c r="G63" s="19" t="n">
        <f aca="false">IFERROR(VALUE(SUBSTITUTE(TRIM('수출입 실적(성질별_수출)'!E67),",","")),"")</f>
        <v>18465510</v>
      </c>
    </row>
    <row r="64" customFormat="false" ht="15" hidden="false" customHeight="true" outlineLevel="0" collapsed="false">
      <c r="A64" s="11" t="str">
        <f aca="false">TRIM('수출입 실적(성질별_수출)'!A68)</f>
        <v>2024.03</v>
      </c>
      <c r="B64" s="17" t="n">
        <f aca="false">IFERROR(VALUE(LEFT($A64,4)),"")</f>
        <v>2024</v>
      </c>
      <c r="C64" s="17" t="n">
        <f aca="false">IFERROR(VALUE(RIGHT($A64,2)),"")</f>
        <v>3</v>
      </c>
      <c r="D64" s="17" t="n">
        <f aca="false">IFERROR(ROUNDUP($C64/3,0),"")</f>
        <v>1</v>
      </c>
      <c r="E64" s="11" t="str">
        <f aca="false">TRIM('수출입 실적(성질별_수출)'!C68)</f>
        <v>마. 수송장비</v>
      </c>
      <c r="F64" s="18" t="n">
        <f aca="false">IFERROR(VALUE(SUBSTITUTE(TRIM('수출입 실적(성질별_수출)'!D68),",","")),"")</f>
        <v>1989735.1</v>
      </c>
      <c r="G64" s="19" t="n">
        <f aca="false">IFERROR(VALUE(SUBSTITUTE(TRIM('수출입 실적(성질별_수출)'!E68),",","")),"")</f>
        <v>10303783</v>
      </c>
    </row>
    <row r="65" customFormat="false" ht="15" hidden="false" customHeight="true" outlineLevel="0" collapsed="false">
      <c r="A65" s="11" t="str">
        <f aca="false">TRIM('수출입 실적(성질별_수출)'!A69)</f>
        <v>2024.03</v>
      </c>
      <c r="B65" s="17" t="n">
        <f aca="false">IFERROR(VALUE(LEFT($A65,4)),"")</f>
        <v>2024</v>
      </c>
      <c r="C65" s="17" t="n">
        <f aca="false">IFERROR(VALUE(RIGHT($A65,2)),"")</f>
        <v>3</v>
      </c>
      <c r="D65" s="17" t="n">
        <f aca="false">IFERROR(ROUNDUP($C65/3,0),"")</f>
        <v>1</v>
      </c>
      <c r="E65" s="11" t="str">
        <f aca="false">TRIM('수출입 실적(성질별_수출)'!C69)</f>
        <v>바. 기 타</v>
      </c>
      <c r="F65" s="18" t="n">
        <f aca="false">IFERROR(VALUE(SUBSTITUTE(TRIM('수출입 실적(성질별_수출)'!D69),",","")),"")</f>
        <v>65489.7</v>
      </c>
      <c r="G65" s="19" t="n">
        <f aca="false">IFERROR(VALUE(SUBSTITUTE(TRIM('수출입 실적(성질별_수출)'!E69),",","")),"")</f>
        <v>1463938</v>
      </c>
    </row>
    <row r="66" customFormat="false" ht="15" hidden="false" customHeight="true" outlineLevel="0" collapsed="false">
      <c r="A66" s="11" t="str">
        <f aca="false">TRIM('수출입 실적(성질별_수출)'!A70)</f>
        <v>2024.04</v>
      </c>
      <c r="B66" s="17" t="n">
        <f aca="false">IFERROR(VALUE(LEFT($A66,4)),"")</f>
        <v>2024</v>
      </c>
      <c r="C66" s="17" t="n">
        <f aca="false">IFERROR(VALUE(RIGHT($A66,2)),"")</f>
        <v>4</v>
      </c>
      <c r="D66" s="17" t="n">
        <f aca="false">IFERROR(ROUNDUP($C66/3,0),"")</f>
        <v>2</v>
      </c>
      <c r="E66" s="11" t="str">
        <f aca="false">TRIM('수출입 실적(성질별_수출)'!C70)</f>
        <v>1. 식료 및 직접소비재</v>
      </c>
      <c r="F66" s="18" t="n">
        <f aca="false">IFERROR(VALUE(SUBSTITUTE(TRIM('수출입 실적(성질별_수출)'!D70),",","")),"")</f>
        <v>385494.3</v>
      </c>
      <c r="G66" s="19" t="n">
        <f aca="false">IFERROR(VALUE(SUBSTITUTE(TRIM('수출입 실적(성질별_수출)'!E70),",","")),"")</f>
        <v>1036998</v>
      </c>
    </row>
    <row r="67" customFormat="false" ht="15" hidden="false" customHeight="true" outlineLevel="0" collapsed="false">
      <c r="A67" s="11" t="str">
        <f aca="false">TRIM('수출입 실적(성질별_수출)'!A71)</f>
        <v>2024.04</v>
      </c>
      <c r="B67" s="17" t="n">
        <f aca="false">IFERROR(VALUE(LEFT($A67,4)),"")</f>
        <v>2024</v>
      </c>
      <c r="C67" s="17" t="n">
        <f aca="false">IFERROR(VALUE(RIGHT($A67,2)),"")</f>
        <v>4</v>
      </c>
      <c r="D67" s="17" t="n">
        <f aca="false">IFERROR(ROUNDUP($C67/3,0),"")</f>
        <v>2</v>
      </c>
      <c r="E67" s="11" t="str">
        <f aca="false">TRIM('수출입 실적(성질별_수출)'!C71)</f>
        <v>2. 원료 및 연료</v>
      </c>
      <c r="F67" s="18" t="n">
        <f aca="false">IFERROR(VALUE(SUBSTITUTE(TRIM('수출입 실적(성질별_수출)'!D71),",","")),"")</f>
        <v>6081974.5</v>
      </c>
      <c r="G67" s="19" t="n">
        <f aca="false">IFERROR(VALUE(SUBSTITUTE(TRIM('수출입 실적(성질별_수출)'!E71),",","")),"")</f>
        <v>5106982</v>
      </c>
    </row>
    <row r="68" customFormat="false" ht="15" hidden="false" customHeight="true" outlineLevel="0" collapsed="false">
      <c r="A68" s="11" t="str">
        <f aca="false">TRIM('수출입 실적(성질별_수출)'!A72)</f>
        <v>2024.04</v>
      </c>
      <c r="B68" s="17" t="n">
        <f aca="false">IFERROR(VALUE(LEFT($A68,4)),"")</f>
        <v>2024</v>
      </c>
      <c r="C68" s="17" t="n">
        <f aca="false">IFERROR(VALUE(RIGHT($A68,2)),"")</f>
        <v>4</v>
      </c>
      <c r="D68" s="17" t="n">
        <f aca="false">IFERROR(ROUNDUP($C68/3,0),"")</f>
        <v>2</v>
      </c>
      <c r="E68" s="11" t="str">
        <f aca="false">TRIM('수출입 실적(성질별_수출)'!C72)</f>
        <v>3. 경공업품</v>
      </c>
      <c r="F68" s="18" t="n">
        <f aca="false">IFERROR(VALUE(SUBSTITUTE(TRIM('수출입 실적(성질별_수출)'!D72),",","")),"")</f>
        <v>908341</v>
      </c>
      <c r="G68" s="19" t="n">
        <f aca="false">IFERROR(VALUE(SUBSTITUTE(TRIM('수출입 실적(성질별_수출)'!E72),",","")),"")</f>
        <v>3119443</v>
      </c>
    </row>
    <row r="69" customFormat="false" ht="15" hidden="false" customHeight="true" outlineLevel="0" collapsed="false">
      <c r="A69" s="11" t="str">
        <f aca="false">TRIM('수출입 실적(성질별_수출)'!A73)</f>
        <v>2024.04</v>
      </c>
      <c r="B69" s="17" t="n">
        <f aca="false">IFERROR(VALUE(LEFT($A69,4)),"")</f>
        <v>2024</v>
      </c>
      <c r="C69" s="17" t="n">
        <f aca="false">IFERROR(VALUE(RIGHT($A69,2)),"")</f>
        <v>4</v>
      </c>
      <c r="D69" s="17" t="n">
        <f aca="false">IFERROR(ROUNDUP($C69/3,0),"")</f>
        <v>2</v>
      </c>
      <c r="E69" s="11" t="str">
        <f aca="false">TRIM('수출입 실적(성질별_수출)'!C73)</f>
        <v>가. 섬유원료</v>
      </c>
      <c r="F69" s="18" t="n">
        <f aca="false">IFERROR(VALUE(SUBSTITUTE(TRIM('수출입 실적(성질별_수출)'!D73),",","")),"")</f>
        <v>64470.5</v>
      </c>
      <c r="G69" s="19" t="n">
        <f aca="false">IFERROR(VALUE(SUBSTITUTE(TRIM('수출입 실적(성질별_수출)'!E73),",","")),"")</f>
        <v>97972</v>
      </c>
    </row>
    <row r="70" customFormat="false" ht="15" hidden="false" customHeight="true" outlineLevel="0" collapsed="false">
      <c r="A70" s="11" t="str">
        <f aca="false">TRIM('수출입 실적(성질별_수출)'!A74)</f>
        <v>2024.04</v>
      </c>
      <c r="B70" s="17" t="n">
        <f aca="false">IFERROR(VALUE(LEFT($A70,4)),"")</f>
        <v>2024</v>
      </c>
      <c r="C70" s="17" t="n">
        <f aca="false">IFERROR(VALUE(RIGHT($A70,2)),"")</f>
        <v>4</v>
      </c>
      <c r="D70" s="17" t="n">
        <f aca="false">IFERROR(ROUNDUP($C70/3,0),"")</f>
        <v>2</v>
      </c>
      <c r="E70" s="11" t="str">
        <f aca="false">TRIM('수출입 실적(성질별_수출)'!C74)</f>
        <v>나. 섬유사</v>
      </c>
      <c r="F70" s="18" t="n">
        <f aca="false">IFERROR(VALUE(SUBSTITUTE(TRIM('수출입 실적(성질별_수출)'!D74),",","")),"")</f>
        <v>21659</v>
      </c>
      <c r="G70" s="19" t="n">
        <f aca="false">IFERROR(VALUE(SUBSTITUTE(TRIM('수출입 실적(성질별_수출)'!E74),",","")),"")</f>
        <v>78308</v>
      </c>
    </row>
    <row r="71" customFormat="false" ht="15" hidden="false" customHeight="true" outlineLevel="0" collapsed="false">
      <c r="A71" s="11" t="str">
        <f aca="false">TRIM('수출입 실적(성질별_수출)'!A75)</f>
        <v>2024.04</v>
      </c>
      <c r="B71" s="17" t="n">
        <f aca="false">IFERROR(VALUE(LEFT($A71,4)),"")</f>
        <v>2024</v>
      </c>
      <c r="C71" s="17" t="n">
        <f aca="false">IFERROR(VALUE(RIGHT($A71,2)),"")</f>
        <v>4</v>
      </c>
      <c r="D71" s="17" t="n">
        <f aca="false">IFERROR(ROUNDUP($C71/3,0),"")</f>
        <v>2</v>
      </c>
      <c r="E71" s="11" t="str">
        <f aca="false">TRIM('수출입 실적(성질별_수출)'!C75)</f>
        <v>다. 직 물</v>
      </c>
      <c r="F71" s="18" t="n">
        <f aca="false">IFERROR(VALUE(SUBSTITUTE(TRIM('수출입 실적(성질별_수출)'!D75),",","")),"")</f>
        <v>33907.8</v>
      </c>
      <c r="G71" s="19" t="n">
        <f aca="false">IFERROR(VALUE(SUBSTITUTE(TRIM('수출입 실적(성질별_수출)'!E75),",","")),"")</f>
        <v>329510</v>
      </c>
    </row>
    <row r="72" customFormat="false" ht="15" hidden="false" customHeight="true" outlineLevel="0" collapsed="false">
      <c r="A72" s="11" t="str">
        <f aca="false">TRIM('수출입 실적(성질별_수출)'!A76)</f>
        <v>2024.04</v>
      </c>
      <c r="B72" s="17" t="n">
        <f aca="false">IFERROR(VALUE(LEFT($A72,4)),"")</f>
        <v>2024</v>
      </c>
      <c r="C72" s="17" t="n">
        <f aca="false">IFERROR(VALUE(RIGHT($A72,2)),"")</f>
        <v>4</v>
      </c>
      <c r="D72" s="17" t="n">
        <f aca="false">IFERROR(ROUNDUP($C72/3,0),"")</f>
        <v>2</v>
      </c>
      <c r="E72" s="11" t="str">
        <f aca="false">TRIM('수출입 실적(성질별_수출)'!C76)</f>
        <v>라. 기타 섬유제품</v>
      </c>
      <c r="F72" s="18" t="n">
        <f aca="false">IFERROR(VALUE(SUBSTITUTE(TRIM('수출입 실적(성질별_수출)'!D76),",","")),"")</f>
        <v>25548</v>
      </c>
      <c r="G72" s="19" t="n">
        <f aca="false">IFERROR(VALUE(SUBSTITUTE(TRIM('수출입 실적(성질별_수출)'!E76),",","")),"")</f>
        <v>212715</v>
      </c>
    </row>
    <row r="73" customFormat="false" ht="15" hidden="false" customHeight="true" outlineLevel="0" collapsed="false">
      <c r="A73" s="11" t="str">
        <f aca="false">TRIM('수출입 실적(성질별_수출)'!A77)</f>
        <v>2024.04</v>
      </c>
      <c r="B73" s="17" t="n">
        <f aca="false">IFERROR(VALUE(LEFT($A73,4)),"")</f>
        <v>2024</v>
      </c>
      <c r="C73" s="17" t="n">
        <f aca="false">IFERROR(VALUE(RIGHT($A73,2)),"")</f>
        <v>4</v>
      </c>
      <c r="D73" s="17" t="n">
        <f aca="false">IFERROR(ROUNDUP($C73/3,0),"")</f>
        <v>2</v>
      </c>
      <c r="E73" s="11" t="str">
        <f aca="false">TRIM('수출입 실적(성질별_수출)'!C77)</f>
        <v>마. 의 류</v>
      </c>
      <c r="F73" s="18" t="n">
        <f aca="false">IFERROR(VALUE(SUBSTITUTE(TRIM('수출입 실적(성질별_수출)'!D77),",","")),"")</f>
        <v>5926.5</v>
      </c>
      <c r="G73" s="19" t="n">
        <f aca="false">IFERROR(VALUE(SUBSTITUTE(TRIM('수출입 실적(성질별_수출)'!E77),",","")),"")</f>
        <v>159754</v>
      </c>
    </row>
    <row r="74" customFormat="false" ht="15" hidden="false" customHeight="true" outlineLevel="0" collapsed="false">
      <c r="A74" s="11" t="str">
        <f aca="false">TRIM('수출입 실적(성질별_수출)'!A78)</f>
        <v>2024.04</v>
      </c>
      <c r="B74" s="17" t="n">
        <f aca="false">IFERROR(VALUE(LEFT($A74,4)),"")</f>
        <v>2024</v>
      </c>
      <c r="C74" s="17" t="n">
        <f aca="false">IFERROR(VALUE(RIGHT($A74,2)),"")</f>
        <v>4</v>
      </c>
      <c r="D74" s="17" t="n">
        <f aca="false">IFERROR(ROUNDUP($C74/3,0),"")</f>
        <v>2</v>
      </c>
      <c r="E74" s="11" t="str">
        <f aca="false">TRIM('수출입 실적(성질별_수출)'!C78)</f>
        <v>바. 목제품</v>
      </c>
      <c r="F74" s="18" t="n">
        <f aca="false">IFERROR(VALUE(SUBSTITUTE(TRIM('수출입 실적(성질별_수출)'!D78),",","")),"")</f>
        <v>16811</v>
      </c>
      <c r="G74" s="19" t="n">
        <f aca="false">IFERROR(VALUE(SUBSTITUTE(TRIM('수출입 실적(성질별_수출)'!E78),",","")),"")</f>
        <v>100550</v>
      </c>
    </row>
    <row r="75" customFormat="false" ht="15" hidden="false" customHeight="true" outlineLevel="0" collapsed="false">
      <c r="A75" s="11" t="str">
        <f aca="false">TRIM('수출입 실적(성질별_수출)'!A79)</f>
        <v>2024.04</v>
      </c>
      <c r="B75" s="17" t="n">
        <f aca="false">IFERROR(VALUE(LEFT($A75,4)),"")</f>
        <v>2024</v>
      </c>
      <c r="C75" s="17" t="n">
        <f aca="false">IFERROR(VALUE(RIGHT($A75,2)),"")</f>
        <v>4</v>
      </c>
      <c r="D75" s="17" t="n">
        <f aca="false">IFERROR(ROUNDUP($C75/3,0),"")</f>
        <v>2</v>
      </c>
      <c r="E75" s="11" t="str">
        <f aca="false">TRIM('수출입 실적(성질별_수출)'!C79)</f>
        <v>사. 가죽, 고무 및 신발류</v>
      </c>
      <c r="F75" s="18" t="n">
        <f aca="false">IFERROR(VALUE(SUBSTITUTE(TRIM('수출입 실적(성질별_수출)'!D79),",","")),"")</f>
        <v>79955.4</v>
      </c>
      <c r="G75" s="19" t="n">
        <f aca="false">IFERROR(VALUE(SUBSTITUTE(TRIM('수출입 실적(성질별_수출)'!E79),",","")),"")</f>
        <v>442402</v>
      </c>
    </row>
    <row r="76" customFormat="false" ht="15" hidden="false" customHeight="true" outlineLevel="0" collapsed="false">
      <c r="A76" s="11" t="str">
        <f aca="false">TRIM('수출입 실적(성질별_수출)'!A80)</f>
        <v>2024.04</v>
      </c>
      <c r="B76" s="17" t="n">
        <f aca="false">IFERROR(VALUE(LEFT($A76,4)),"")</f>
        <v>2024</v>
      </c>
      <c r="C76" s="17" t="n">
        <f aca="false">IFERROR(VALUE(RIGHT($A76,2)),"")</f>
        <v>4</v>
      </c>
      <c r="D76" s="17" t="n">
        <f aca="false">IFERROR(ROUNDUP($C76/3,0),"")</f>
        <v>2</v>
      </c>
      <c r="E76" s="11" t="str">
        <f aca="false">TRIM('수출입 실적(성질별_수출)'!C80)</f>
        <v>아. 귀금속 및 보석류</v>
      </c>
      <c r="F76" s="18" t="n">
        <f aca="false">IFERROR(VALUE(SUBSTITUTE(TRIM('수출입 실적(성질별_수출)'!D80),",","")),"")</f>
        <v>385.7</v>
      </c>
      <c r="G76" s="19" t="n">
        <f aca="false">IFERROR(VALUE(SUBSTITUTE(TRIM('수출입 실적(성질별_수출)'!E80),",","")),"")</f>
        <v>246870</v>
      </c>
    </row>
    <row r="77" customFormat="false" ht="15" hidden="false" customHeight="true" outlineLevel="0" collapsed="false">
      <c r="A77" s="11" t="str">
        <f aca="false">TRIM('수출입 실적(성질별_수출)'!A81)</f>
        <v>2024.04</v>
      </c>
      <c r="B77" s="17" t="n">
        <f aca="false">IFERROR(VALUE(LEFT($A77,4)),"")</f>
        <v>2024</v>
      </c>
      <c r="C77" s="17" t="n">
        <f aca="false">IFERROR(VALUE(RIGHT($A77,2)),"")</f>
        <v>4</v>
      </c>
      <c r="D77" s="17" t="n">
        <f aca="false">IFERROR(ROUNDUP($C77/3,0),"")</f>
        <v>2</v>
      </c>
      <c r="E77" s="11" t="str">
        <f aca="false">TRIM('수출입 실적(성질별_수출)'!C81)</f>
        <v>자. 기타 비금속 광물제품</v>
      </c>
      <c r="F77" s="18" t="n">
        <f aca="false">IFERROR(VALUE(SUBSTITUTE(TRIM('수출입 실적(성질별_수출)'!D81),",","")),"")</f>
        <v>241281.3</v>
      </c>
      <c r="G77" s="19" t="n">
        <f aca="false">IFERROR(VALUE(SUBSTITUTE(TRIM('수출입 실적(성질별_수출)'!E81),",","")),"")</f>
        <v>213583</v>
      </c>
    </row>
    <row r="78" customFormat="false" ht="15" hidden="false" customHeight="true" outlineLevel="0" collapsed="false">
      <c r="A78" s="11" t="str">
        <f aca="false">TRIM('수출입 실적(성질별_수출)'!A82)</f>
        <v>2024.04</v>
      </c>
      <c r="B78" s="17" t="n">
        <f aca="false">IFERROR(VALUE(LEFT($A78,4)),"")</f>
        <v>2024</v>
      </c>
      <c r="C78" s="17" t="n">
        <f aca="false">IFERROR(VALUE(RIGHT($A78,2)),"")</f>
        <v>4</v>
      </c>
      <c r="D78" s="17" t="n">
        <f aca="false">IFERROR(ROUNDUP($C78/3,0),"")</f>
        <v>2</v>
      </c>
      <c r="E78" s="11" t="str">
        <f aca="false">TRIM('수출입 실적(성질별_수출)'!C82)</f>
        <v>차. 완구, 운동용구 및 악기</v>
      </c>
      <c r="F78" s="18" t="n">
        <f aca="false">IFERROR(VALUE(SUBSTITUTE(TRIM('수출입 실적(성질별_수출)'!D82),",","")),"")</f>
        <v>2266.5</v>
      </c>
      <c r="G78" s="19" t="n">
        <f aca="false">IFERROR(VALUE(SUBSTITUTE(TRIM('수출입 실적(성질별_수출)'!E82),",","")),"")</f>
        <v>46361</v>
      </c>
    </row>
    <row r="79" customFormat="false" ht="15" hidden="false" customHeight="true" outlineLevel="0" collapsed="false">
      <c r="A79" s="11" t="str">
        <f aca="false">TRIM('수출입 실적(성질별_수출)'!A83)</f>
        <v>2024.04</v>
      </c>
      <c r="B79" s="17" t="n">
        <f aca="false">IFERROR(VALUE(LEFT($A79,4)),"")</f>
        <v>2024</v>
      </c>
      <c r="C79" s="17" t="n">
        <f aca="false">IFERROR(VALUE(RIGHT($A79,2)),"")</f>
        <v>4</v>
      </c>
      <c r="D79" s="17" t="n">
        <f aca="false">IFERROR(ROUNDUP($C79/3,0),"")</f>
        <v>2</v>
      </c>
      <c r="E79" s="11" t="str">
        <f aca="false">TRIM('수출입 실적(성질별_수출)'!C83)</f>
        <v>카. 기 타</v>
      </c>
      <c r="F79" s="18" t="n">
        <f aca="false">IFERROR(VALUE(SUBSTITUTE(TRIM('수출입 실적(성질별_수출)'!D83),",","")),"")</f>
        <v>416129.3</v>
      </c>
      <c r="G79" s="19" t="n">
        <f aca="false">IFERROR(VALUE(SUBSTITUTE(TRIM('수출입 실적(성질별_수출)'!E83),",","")),"")</f>
        <v>1191419</v>
      </c>
    </row>
    <row r="80" customFormat="false" ht="15" hidden="false" customHeight="true" outlineLevel="0" collapsed="false">
      <c r="A80" s="11" t="str">
        <f aca="false">TRIM('수출입 실적(성질별_수출)'!A84)</f>
        <v>2024.04</v>
      </c>
      <c r="B80" s="17" t="n">
        <f aca="false">IFERROR(VALUE(LEFT($A80,4)),"")</f>
        <v>2024</v>
      </c>
      <c r="C80" s="17" t="n">
        <f aca="false">IFERROR(VALUE(RIGHT($A80,2)),"")</f>
        <v>4</v>
      </c>
      <c r="D80" s="17" t="n">
        <f aca="false">IFERROR(ROUNDUP($C80/3,0),"")</f>
        <v>2</v>
      </c>
      <c r="E80" s="11" t="str">
        <f aca="false">TRIM('수출입 실적(성질별_수출)'!C84)</f>
        <v>4. 중화학 공업품</v>
      </c>
      <c r="F80" s="18" t="n">
        <f aca="false">IFERROR(VALUE(SUBSTITUTE(TRIM('수출입 실적(성질별_수출)'!D84),",","")),"")</f>
        <v>9115679.5</v>
      </c>
      <c r="G80" s="19" t="n">
        <f aca="false">IFERROR(VALUE(SUBSTITUTE(TRIM('수출입 실적(성질별_수출)'!E84),",","")),"")</f>
        <v>46884877</v>
      </c>
    </row>
    <row r="81" customFormat="false" ht="15" hidden="false" customHeight="true" outlineLevel="0" collapsed="false">
      <c r="A81" s="11" t="str">
        <f aca="false">TRIM('수출입 실적(성질별_수출)'!A85)</f>
        <v>2024.04</v>
      </c>
      <c r="B81" s="17" t="n">
        <f aca="false">IFERROR(VALUE(LEFT($A81,4)),"")</f>
        <v>2024</v>
      </c>
      <c r="C81" s="17" t="n">
        <f aca="false">IFERROR(VALUE(RIGHT($A81,2)),"")</f>
        <v>4</v>
      </c>
      <c r="D81" s="17" t="n">
        <f aca="false">IFERROR(ROUNDUP($C81/3,0),"")</f>
        <v>2</v>
      </c>
      <c r="E81" s="11" t="str">
        <f aca="false">TRIM('수출입 실적(성질별_수출)'!C85)</f>
        <v>가. 화공품</v>
      </c>
      <c r="F81" s="18" t="n">
        <f aca="false">IFERROR(VALUE(SUBSTITUTE(TRIM('수출입 실적(성질별_수출)'!D85),",","")),"")</f>
        <v>4084776.5</v>
      </c>
      <c r="G81" s="19" t="n">
        <f aca="false">IFERROR(VALUE(SUBSTITUTE(TRIM('수출입 실적(성질별_수출)'!E85),",","")),"")</f>
        <v>7565509</v>
      </c>
    </row>
    <row r="82" customFormat="false" ht="15" hidden="false" customHeight="true" outlineLevel="0" collapsed="false">
      <c r="A82" s="11" t="str">
        <f aca="false">TRIM('수출입 실적(성질별_수출)'!A86)</f>
        <v>2024.04</v>
      </c>
      <c r="B82" s="17" t="n">
        <f aca="false">IFERROR(VALUE(LEFT($A82,4)),"")</f>
        <v>2024</v>
      </c>
      <c r="C82" s="17" t="n">
        <f aca="false">IFERROR(VALUE(RIGHT($A82,2)),"")</f>
        <v>4</v>
      </c>
      <c r="D82" s="17" t="n">
        <f aca="false">IFERROR(ROUNDUP($C82/3,0),"")</f>
        <v>2</v>
      </c>
      <c r="E82" s="11" t="str">
        <f aca="false">TRIM('수출입 실적(성질별_수출)'!C86)</f>
        <v>나. 철강제품</v>
      </c>
      <c r="F82" s="18" t="n">
        <f aca="false">IFERROR(VALUE(SUBSTITUTE(TRIM('수출입 실적(성질별_수출)'!D86),",","")),"")</f>
        <v>2533453.2</v>
      </c>
      <c r="G82" s="19" t="n">
        <f aca="false">IFERROR(VALUE(SUBSTITUTE(TRIM('수출입 실적(성질별_수출)'!E86),",","")),"")</f>
        <v>4043924</v>
      </c>
    </row>
    <row r="83" customFormat="false" ht="15" hidden="false" customHeight="true" outlineLevel="0" collapsed="false">
      <c r="A83" s="11" t="str">
        <f aca="false">TRIM('수출입 실적(성질별_수출)'!A87)</f>
        <v>2024.04</v>
      </c>
      <c r="B83" s="17" t="n">
        <f aca="false">IFERROR(VALUE(LEFT($A83,4)),"")</f>
        <v>2024</v>
      </c>
      <c r="C83" s="17" t="n">
        <f aca="false">IFERROR(VALUE(RIGHT($A83,2)),"")</f>
        <v>4</v>
      </c>
      <c r="D83" s="17" t="n">
        <f aca="false">IFERROR(ROUNDUP($C83/3,0),"")</f>
        <v>2</v>
      </c>
      <c r="E83" s="11" t="str">
        <f aca="false">TRIM('수출입 실적(성질별_수출)'!C87)</f>
        <v>다. 기계류와 정밀기기</v>
      </c>
      <c r="F83" s="18" t="n">
        <f aca="false">IFERROR(VALUE(SUBSTITUTE(TRIM('수출입 실적(성질별_수출)'!D87),",","")),"")</f>
        <v>390424.2</v>
      </c>
      <c r="G83" s="19" t="n">
        <f aca="false">IFERROR(VALUE(SUBSTITUTE(TRIM('수출입 실적(성질별_수출)'!E87),",","")),"")</f>
        <v>6330074</v>
      </c>
    </row>
    <row r="84" customFormat="false" ht="15" hidden="false" customHeight="true" outlineLevel="0" collapsed="false">
      <c r="A84" s="11" t="str">
        <f aca="false">TRIM('수출입 실적(성질별_수출)'!A88)</f>
        <v>2024.04</v>
      </c>
      <c r="B84" s="17" t="n">
        <f aca="false">IFERROR(VALUE(LEFT($A84,4)),"")</f>
        <v>2024</v>
      </c>
      <c r="C84" s="17" t="n">
        <f aca="false">IFERROR(VALUE(RIGHT($A84,2)),"")</f>
        <v>4</v>
      </c>
      <c r="D84" s="17" t="n">
        <f aca="false">IFERROR(ROUNDUP($C84/3,0),"")</f>
        <v>2</v>
      </c>
      <c r="E84" s="11" t="str">
        <f aca="false">TRIM('수출입 실적(성질별_수출)'!C88)</f>
        <v>라. 전기, 전자제품</v>
      </c>
      <c r="F84" s="18" t="n">
        <f aca="false">IFERROR(VALUE(SUBSTITUTE(TRIM('수출입 실적(성질별_수출)'!D88),",","")),"")</f>
        <v>239050.4</v>
      </c>
      <c r="G84" s="19" t="n">
        <f aca="false">IFERROR(VALUE(SUBSTITUTE(TRIM('수출입 실적(성질별_수출)'!E88),",","")),"")</f>
        <v>16640970</v>
      </c>
    </row>
    <row r="85" customFormat="false" ht="15" hidden="false" customHeight="true" outlineLevel="0" collapsed="false">
      <c r="A85" s="11" t="str">
        <f aca="false">TRIM('수출입 실적(성질별_수출)'!A89)</f>
        <v>2024.04</v>
      </c>
      <c r="B85" s="17" t="n">
        <f aca="false">IFERROR(VALUE(LEFT($A85,4)),"")</f>
        <v>2024</v>
      </c>
      <c r="C85" s="17" t="n">
        <f aca="false">IFERROR(VALUE(RIGHT($A85,2)),"")</f>
        <v>4</v>
      </c>
      <c r="D85" s="17" t="n">
        <f aca="false">IFERROR(ROUNDUP($C85/3,0),"")</f>
        <v>2</v>
      </c>
      <c r="E85" s="11" t="str">
        <f aca="false">TRIM('수출입 실적(성질별_수출)'!C89)</f>
        <v>마. 수송장비</v>
      </c>
      <c r="F85" s="18" t="n">
        <f aca="false">IFERROR(VALUE(SUBSTITUTE(TRIM('수출입 실적(성질별_수출)'!D89),",","")),"")</f>
        <v>1794428.2</v>
      </c>
      <c r="G85" s="19" t="n">
        <f aca="false">IFERROR(VALUE(SUBSTITUTE(TRIM('수출입 실적(성질별_수출)'!E89),",","")),"")</f>
        <v>10494776</v>
      </c>
    </row>
    <row r="86" customFormat="false" ht="15" hidden="false" customHeight="true" outlineLevel="0" collapsed="false">
      <c r="A86" s="11" t="str">
        <f aca="false">TRIM('수출입 실적(성질별_수출)'!A90)</f>
        <v>2024.04</v>
      </c>
      <c r="B86" s="17" t="n">
        <f aca="false">IFERROR(VALUE(LEFT($A86,4)),"")</f>
        <v>2024</v>
      </c>
      <c r="C86" s="17" t="n">
        <f aca="false">IFERROR(VALUE(RIGHT($A86,2)),"")</f>
        <v>4</v>
      </c>
      <c r="D86" s="17" t="n">
        <f aca="false">IFERROR(ROUNDUP($C86/3,0),"")</f>
        <v>2</v>
      </c>
      <c r="E86" s="11" t="str">
        <f aca="false">TRIM('수출입 실적(성질별_수출)'!C90)</f>
        <v>바. 기 타</v>
      </c>
      <c r="F86" s="18" t="n">
        <f aca="false">IFERROR(VALUE(SUBSTITUTE(TRIM('수출입 실적(성질별_수출)'!D90),",","")),"")</f>
        <v>73547</v>
      </c>
      <c r="G86" s="19" t="n">
        <f aca="false">IFERROR(VALUE(SUBSTITUTE(TRIM('수출입 실적(성질별_수출)'!E90),",","")),"")</f>
        <v>1809623</v>
      </c>
    </row>
    <row r="87" customFormat="false" ht="15" hidden="false" customHeight="true" outlineLevel="0" collapsed="false">
      <c r="A87" s="11" t="str">
        <f aca="false">TRIM('수출입 실적(성질별_수출)'!A91)</f>
        <v>2024.05</v>
      </c>
      <c r="B87" s="17" t="n">
        <f aca="false">IFERROR(VALUE(LEFT($A87,4)),"")</f>
        <v>2024</v>
      </c>
      <c r="C87" s="17" t="n">
        <f aca="false">IFERROR(VALUE(RIGHT($A87,2)),"")</f>
        <v>5</v>
      </c>
      <c r="D87" s="17" t="n">
        <f aca="false">IFERROR(ROUNDUP($C87/3,0),"")</f>
        <v>2</v>
      </c>
      <c r="E87" s="11" t="str">
        <f aca="false">TRIM('수출입 실적(성질별_수출)'!C91)</f>
        <v>1. 식료 및 직접소비재</v>
      </c>
      <c r="F87" s="18" t="n">
        <f aca="false">IFERROR(VALUE(SUBSTITUTE(TRIM('수출입 실적(성질별_수출)'!D91),",","")),"")</f>
        <v>383248.5</v>
      </c>
      <c r="G87" s="19" t="n">
        <f aca="false">IFERROR(VALUE(SUBSTITUTE(TRIM('수출입 실적(성질별_수출)'!E91),",","")),"")</f>
        <v>975287</v>
      </c>
    </row>
    <row r="88" customFormat="false" ht="15" hidden="false" customHeight="true" outlineLevel="0" collapsed="false">
      <c r="A88" s="11" t="str">
        <f aca="false">TRIM('수출입 실적(성질별_수출)'!A92)</f>
        <v>2024.05</v>
      </c>
      <c r="B88" s="17" t="n">
        <f aca="false">IFERROR(VALUE(LEFT($A88,4)),"")</f>
        <v>2024</v>
      </c>
      <c r="C88" s="17" t="n">
        <f aca="false">IFERROR(VALUE(RIGHT($A88,2)),"")</f>
        <v>5</v>
      </c>
      <c r="D88" s="17" t="n">
        <f aca="false">IFERROR(ROUNDUP($C88/3,0),"")</f>
        <v>2</v>
      </c>
      <c r="E88" s="11" t="str">
        <f aca="false">TRIM('수출입 실적(성질별_수출)'!C92)</f>
        <v>2. 원료 및 연료</v>
      </c>
      <c r="F88" s="18" t="n">
        <f aca="false">IFERROR(VALUE(SUBSTITUTE(TRIM('수출입 실적(성질별_수출)'!D92),",","")),"")</f>
        <v>6655505</v>
      </c>
      <c r="G88" s="19" t="n">
        <f aca="false">IFERROR(VALUE(SUBSTITUTE(TRIM('수출입 실적(성질별_수출)'!E92),",","")),"")</f>
        <v>5465061</v>
      </c>
    </row>
    <row r="89" customFormat="false" ht="15" hidden="false" customHeight="true" outlineLevel="0" collapsed="false">
      <c r="A89" s="11" t="str">
        <f aca="false">TRIM('수출입 실적(성질별_수출)'!A93)</f>
        <v>2024.05</v>
      </c>
      <c r="B89" s="17" t="n">
        <f aca="false">IFERROR(VALUE(LEFT($A89,4)),"")</f>
        <v>2024</v>
      </c>
      <c r="C89" s="17" t="n">
        <f aca="false">IFERROR(VALUE(RIGHT($A89,2)),"")</f>
        <v>5</v>
      </c>
      <c r="D89" s="17" t="n">
        <f aca="false">IFERROR(ROUNDUP($C89/3,0),"")</f>
        <v>2</v>
      </c>
      <c r="E89" s="11" t="str">
        <f aca="false">TRIM('수출입 실적(성질별_수출)'!C93)</f>
        <v>3. 경공업품</v>
      </c>
      <c r="F89" s="18" t="n">
        <f aca="false">IFERROR(VALUE(SUBSTITUTE(TRIM('수출입 실적(성질별_수출)'!D93),",","")),"")</f>
        <v>944399.7</v>
      </c>
      <c r="G89" s="19" t="n">
        <f aca="false">IFERROR(VALUE(SUBSTITUTE(TRIM('수출입 실적(성질별_수출)'!E93),",","")),"")</f>
        <v>3134334</v>
      </c>
    </row>
    <row r="90" customFormat="false" ht="15" hidden="false" customHeight="true" outlineLevel="0" collapsed="false">
      <c r="A90" s="11" t="str">
        <f aca="false">TRIM('수출입 실적(성질별_수출)'!A94)</f>
        <v>2024.05</v>
      </c>
      <c r="B90" s="17" t="n">
        <f aca="false">IFERROR(VALUE(LEFT($A90,4)),"")</f>
        <v>2024</v>
      </c>
      <c r="C90" s="17" t="n">
        <f aca="false">IFERROR(VALUE(RIGHT($A90,2)),"")</f>
        <v>5</v>
      </c>
      <c r="D90" s="17" t="n">
        <f aca="false">IFERROR(ROUNDUP($C90/3,0),"")</f>
        <v>2</v>
      </c>
      <c r="E90" s="11" t="str">
        <f aca="false">TRIM('수출입 실적(성질별_수출)'!C94)</f>
        <v>가. 섬유원료</v>
      </c>
      <c r="F90" s="18" t="n">
        <f aca="false">IFERROR(VALUE(SUBSTITUTE(TRIM('수출입 실적(성질별_수출)'!D94),",","")),"")</f>
        <v>61721.8</v>
      </c>
      <c r="G90" s="19" t="n">
        <f aca="false">IFERROR(VALUE(SUBSTITUTE(TRIM('수출입 실적(성질별_수출)'!E94),",","")),"")</f>
        <v>94565</v>
      </c>
    </row>
    <row r="91" customFormat="false" ht="15" hidden="false" customHeight="true" outlineLevel="0" collapsed="false">
      <c r="A91" s="11" t="str">
        <f aca="false">TRIM('수출입 실적(성질별_수출)'!A95)</f>
        <v>2024.05</v>
      </c>
      <c r="B91" s="17" t="n">
        <f aca="false">IFERROR(VALUE(LEFT($A91,4)),"")</f>
        <v>2024</v>
      </c>
      <c r="C91" s="17" t="n">
        <f aca="false">IFERROR(VALUE(RIGHT($A91,2)),"")</f>
        <v>5</v>
      </c>
      <c r="D91" s="17" t="n">
        <f aca="false">IFERROR(ROUNDUP($C91/3,0),"")</f>
        <v>2</v>
      </c>
      <c r="E91" s="11" t="str">
        <f aca="false">TRIM('수출입 실적(성질별_수출)'!C95)</f>
        <v>나. 섬유사</v>
      </c>
      <c r="F91" s="18" t="n">
        <f aca="false">IFERROR(VALUE(SUBSTITUTE(TRIM('수출입 실적(성질별_수출)'!D95),",","")),"")</f>
        <v>21290.7</v>
      </c>
      <c r="G91" s="19" t="n">
        <f aca="false">IFERROR(VALUE(SUBSTITUTE(TRIM('수출입 실적(성질별_수출)'!E95),",","")),"")</f>
        <v>75399</v>
      </c>
    </row>
    <row r="92" customFormat="false" ht="15" hidden="false" customHeight="true" outlineLevel="0" collapsed="false">
      <c r="A92" s="11" t="str">
        <f aca="false">TRIM('수출입 실적(성질별_수출)'!A96)</f>
        <v>2024.05</v>
      </c>
      <c r="B92" s="17" t="n">
        <f aca="false">IFERROR(VALUE(LEFT($A92,4)),"")</f>
        <v>2024</v>
      </c>
      <c r="C92" s="17" t="n">
        <f aca="false">IFERROR(VALUE(RIGHT($A92,2)),"")</f>
        <v>5</v>
      </c>
      <c r="D92" s="17" t="n">
        <f aca="false">IFERROR(ROUNDUP($C92/3,0),"")</f>
        <v>2</v>
      </c>
      <c r="E92" s="11" t="str">
        <f aca="false">TRIM('수출입 실적(성질별_수출)'!C96)</f>
        <v>다. 직 물</v>
      </c>
      <c r="F92" s="18" t="n">
        <f aca="false">IFERROR(VALUE(SUBSTITUTE(TRIM('수출입 실적(성질별_수출)'!D96),",","")),"")</f>
        <v>33725.7</v>
      </c>
      <c r="G92" s="19" t="n">
        <f aca="false">IFERROR(VALUE(SUBSTITUTE(TRIM('수출입 실적(성질별_수출)'!E96),",","")),"")</f>
        <v>336529</v>
      </c>
    </row>
    <row r="93" customFormat="false" ht="15" hidden="false" customHeight="true" outlineLevel="0" collapsed="false">
      <c r="A93" s="11" t="str">
        <f aca="false">TRIM('수출입 실적(성질별_수출)'!A97)</f>
        <v>2024.05</v>
      </c>
      <c r="B93" s="17" t="n">
        <f aca="false">IFERROR(VALUE(LEFT($A93,4)),"")</f>
        <v>2024</v>
      </c>
      <c r="C93" s="17" t="n">
        <f aca="false">IFERROR(VALUE(RIGHT($A93,2)),"")</f>
        <v>5</v>
      </c>
      <c r="D93" s="17" t="n">
        <f aca="false">IFERROR(ROUNDUP($C93/3,0),"")</f>
        <v>2</v>
      </c>
      <c r="E93" s="11" t="str">
        <f aca="false">TRIM('수출입 실적(성질별_수출)'!C97)</f>
        <v>라. 기타 섬유제품</v>
      </c>
      <c r="F93" s="18" t="n">
        <f aca="false">IFERROR(VALUE(SUBSTITUTE(TRIM('수출입 실적(성질별_수출)'!D97),",","")),"")</f>
        <v>25679.5</v>
      </c>
      <c r="G93" s="19" t="n">
        <f aca="false">IFERROR(VALUE(SUBSTITUTE(TRIM('수출입 실적(성질별_수출)'!E97),",","")),"")</f>
        <v>219371</v>
      </c>
    </row>
    <row r="94" customFormat="false" ht="15" hidden="false" customHeight="true" outlineLevel="0" collapsed="false">
      <c r="A94" s="11" t="str">
        <f aca="false">TRIM('수출입 실적(성질별_수출)'!A98)</f>
        <v>2024.05</v>
      </c>
      <c r="B94" s="17" t="n">
        <f aca="false">IFERROR(VALUE(LEFT($A94,4)),"")</f>
        <v>2024</v>
      </c>
      <c r="C94" s="17" t="n">
        <f aca="false">IFERROR(VALUE(RIGHT($A94,2)),"")</f>
        <v>5</v>
      </c>
      <c r="D94" s="17" t="n">
        <f aca="false">IFERROR(ROUNDUP($C94/3,0),"")</f>
        <v>2</v>
      </c>
      <c r="E94" s="11" t="str">
        <f aca="false">TRIM('수출입 실적(성질별_수출)'!C98)</f>
        <v>마. 의 류</v>
      </c>
      <c r="F94" s="18" t="n">
        <f aca="false">IFERROR(VALUE(SUBSTITUTE(TRIM('수출입 실적(성질별_수출)'!D98),",","")),"")</f>
        <v>6607</v>
      </c>
      <c r="G94" s="19" t="n">
        <f aca="false">IFERROR(VALUE(SUBSTITUTE(TRIM('수출입 실적(성질별_수출)'!E98),",","")),"")</f>
        <v>172054</v>
      </c>
    </row>
    <row r="95" customFormat="false" ht="15" hidden="false" customHeight="true" outlineLevel="0" collapsed="false">
      <c r="A95" s="11" t="str">
        <f aca="false">TRIM('수출입 실적(성질별_수출)'!A99)</f>
        <v>2024.05</v>
      </c>
      <c r="B95" s="17" t="n">
        <f aca="false">IFERROR(VALUE(LEFT($A95,4)),"")</f>
        <v>2024</v>
      </c>
      <c r="C95" s="17" t="n">
        <f aca="false">IFERROR(VALUE(RIGHT($A95,2)),"")</f>
        <v>5</v>
      </c>
      <c r="D95" s="17" t="n">
        <f aca="false">IFERROR(ROUNDUP($C95/3,0),"")</f>
        <v>2</v>
      </c>
      <c r="E95" s="11" t="str">
        <f aca="false">TRIM('수출입 실적(성질별_수출)'!C99)</f>
        <v>바. 목제품</v>
      </c>
      <c r="F95" s="18" t="n">
        <f aca="false">IFERROR(VALUE(SUBSTITUTE(TRIM('수출입 실적(성질별_수출)'!D99),",","")),"")</f>
        <v>18432.3</v>
      </c>
      <c r="G95" s="19" t="n">
        <f aca="false">IFERROR(VALUE(SUBSTITUTE(TRIM('수출입 실적(성질별_수출)'!E99),",","")),"")</f>
        <v>102027</v>
      </c>
    </row>
    <row r="96" customFormat="false" ht="15" hidden="false" customHeight="true" outlineLevel="0" collapsed="false">
      <c r="A96" s="11" t="str">
        <f aca="false">TRIM('수출입 실적(성질별_수출)'!A100)</f>
        <v>2024.05</v>
      </c>
      <c r="B96" s="17" t="n">
        <f aca="false">IFERROR(VALUE(LEFT($A96,4)),"")</f>
        <v>2024</v>
      </c>
      <c r="C96" s="17" t="n">
        <f aca="false">IFERROR(VALUE(RIGHT($A96,2)),"")</f>
        <v>5</v>
      </c>
      <c r="D96" s="17" t="n">
        <f aca="false">IFERROR(ROUNDUP($C96/3,0),"")</f>
        <v>2</v>
      </c>
      <c r="E96" s="11" t="str">
        <f aca="false">TRIM('수출입 실적(성질별_수출)'!C100)</f>
        <v>사. 가죽, 고무 및 신발류</v>
      </c>
      <c r="F96" s="18" t="n">
        <f aca="false">IFERROR(VALUE(SUBSTITUTE(TRIM('수출입 실적(성질별_수출)'!D100),",","")),"")</f>
        <v>82634.6</v>
      </c>
      <c r="G96" s="19" t="n">
        <f aca="false">IFERROR(VALUE(SUBSTITUTE(TRIM('수출입 실적(성질별_수출)'!E100),",","")),"")</f>
        <v>482295</v>
      </c>
    </row>
    <row r="97" customFormat="false" ht="15" hidden="false" customHeight="true" outlineLevel="0" collapsed="false">
      <c r="A97" s="11" t="str">
        <f aca="false">TRIM('수출입 실적(성질별_수출)'!A101)</f>
        <v>2024.05</v>
      </c>
      <c r="B97" s="17" t="n">
        <f aca="false">IFERROR(VALUE(LEFT($A97,4)),"")</f>
        <v>2024</v>
      </c>
      <c r="C97" s="17" t="n">
        <f aca="false">IFERROR(VALUE(RIGHT($A97,2)),"")</f>
        <v>5</v>
      </c>
      <c r="D97" s="17" t="n">
        <f aca="false">IFERROR(ROUNDUP($C97/3,0),"")</f>
        <v>2</v>
      </c>
      <c r="E97" s="11" t="str">
        <f aca="false">TRIM('수출입 실적(성질별_수출)'!C101)</f>
        <v>아. 귀금속 및 보석류</v>
      </c>
      <c r="F97" s="18" t="n">
        <f aca="false">IFERROR(VALUE(SUBSTITUTE(TRIM('수출입 실적(성질별_수출)'!D101),",","")),"")</f>
        <v>434.5</v>
      </c>
      <c r="G97" s="19" t="n">
        <f aca="false">IFERROR(VALUE(SUBSTITUTE(TRIM('수출입 실적(성질별_수출)'!E101),",","")),"")</f>
        <v>376118</v>
      </c>
    </row>
    <row r="98" customFormat="false" ht="15" hidden="false" customHeight="true" outlineLevel="0" collapsed="false">
      <c r="A98" s="11" t="str">
        <f aca="false">TRIM('수출입 실적(성질별_수출)'!A102)</f>
        <v>2024.05</v>
      </c>
      <c r="B98" s="17" t="n">
        <f aca="false">IFERROR(VALUE(LEFT($A98,4)),"")</f>
        <v>2024</v>
      </c>
      <c r="C98" s="17" t="n">
        <f aca="false">IFERROR(VALUE(RIGHT($A98,2)),"")</f>
        <v>5</v>
      </c>
      <c r="D98" s="17" t="n">
        <f aca="false">IFERROR(ROUNDUP($C98/3,0),"")</f>
        <v>2</v>
      </c>
      <c r="E98" s="11" t="str">
        <f aca="false">TRIM('수출입 실적(성질별_수출)'!C102)</f>
        <v>자. 기타 비금속 광물제품</v>
      </c>
      <c r="F98" s="18" t="n">
        <f aca="false">IFERROR(VALUE(SUBSTITUTE(TRIM('수출입 실적(성질별_수출)'!D102),",","")),"")</f>
        <v>281269.4</v>
      </c>
      <c r="G98" s="19" t="n">
        <f aca="false">IFERROR(VALUE(SUBSTITUTE(TRIM('수출입 실적(성질별_수출)'!E102),",","")),"")</f>
        <v>219572</v>
      </c>
    </row>
    <row r="99" customFormat="false" ht="15" hidden="false" customHeight="true" outlineLevel="0" collapsed="false">
      <c r="A99" s="11" t="str">
        <f aca="false">TRIM('수출입 실적(성질별_수출)'!A103)</f>
        <v>2024.05</v>
      </c>
      <c r="B99" s="17" t="n">
        <f aca="false">IFERROR(VALUE(LEFT($A99,4)),"")</f>
        <v>2024</v>
      </c>
      <c r="C99" s="17" t="n">
        <f aca="false">IFERROR(VALUE(RIGHT($A99,2)),"")</f>
        <v>5</v>
      </c>
      <c r="D99" s="17" t="n">
        <f aca="false">IFERROR(ROUNDUP($C99/3,0),"")</f>
        <v>2</v>
      </c>
      <c r="E99" s="11" t="str">
        <f aca="false">TRIM('수출입 실적(성질별_수출)'!C103)</f>
        <v>차. 완구, 운동용구 및 악기</v>
      </c>
      <c r="F99" s="18" t="n">
        <f aca="false">IFERROR(VALUE(SUBSTITUTE(TRIM('수출입 실적(성질별_수출)'!D103),",","")),"")</f>
        <v>2245.7</v>
      </c>
      <c r="G99" s="19" t="n">
        <f aca="false">IFERROR(VALUE(SUBSTITUTE(TRIM('수출입 실적(성질별_수출)'!E103),",","")),"")</f>
        <v>46762</v>
      </c>
    </row>
    <row r="100" customFormat="false" ht="15" hidden="false" customHeight="true" outlineLevel="0" collapsed="false">
      <c r="A100" s="11" t="str">
        <f aca="false">TRIM('수출입 실적(성질별_수출)'!A104)</f>
        <v>2024.05</v>
      </c>
      <c r="B100" s="17" t="n">
        <f aca="false">IFERROR(VALUE(LEFT($A100,4)),"")</f>
        <v>2024</v>
      </c>
      <c r="C100" s="17" t="n">
        <f aca="false">IFERROR(VALUE(RIGHT($A100,2)),"")</f>
        <v>5</v>
      </c>
      <c r="D100" s="17" t="n">
        <f aca="false">IFERROR(ROUNDUP($C100/3,0),"")</f>
        <v>2</v>
      </c>
      <c r="E100" s="11" t="str">
        <f aca="false">TRIM('수출입 실적(성질별_수출)'!C104)</f>
        <v>카. 기 타</v>
      </c>
      <c r="F100" s="18" t="n">
        <f aca="false">IFERROR(VALUE(SUBSTITUTE(TRIM('수출입 실적(성질별_수출)'!D104),",","")),"")</f>
        <v>410358.5</v>
      </c>
      <c r="G100" s="19" t="n">
        <f aca="false">IFERROR(VALUE(SUBSTITUTE(TRIM('수출입 실적(성질별_수출)'!E104),",","")),"")</f>
        <v>1009640</v>
      </c>
    </row>
    <row r="101" customFormat="false" ht="15" hidden="false" customHeight="true" outlineLevel="0" collapsed="false">
      <c r="A101" s="11" t="str">
        <f aca="false">TRIM('수출입 실적(성질별_수출)'!A105)</f>
        <v>2024.05</v>
      </c>
      <c r="B101" s="17" t="n">
        <f aca="false">IFERROR(VALUE(LEFT($A101,4)),"")</f>
        <v>2024</v>
      </c>
      <c r="C101" s="17" t="n">
        <f aca="false">IFERROR(VALUE(RIGHT($A101,2)),"")</f>
        <v>5</v>
      </c>
      <c r="D101" s="17" t="n">
        <f aca="false">IFERROR(ROUNDUP($C101/3,0),"")</f>
        <v>2</v>
      </c>
      <c r="E101" s="11" t="str">
        <f aca="false">TRIM('수출입 실적(성질별_수출)'!C105)</f>
        <v>4. 중화학 공업품</v>
      </c>
      <c r="F101" s="18" t="n">
        <f aca="false">IFERROR(VALUE(SUBSTITUTE(TRIM('수출입 실적(성질별_수출)'!D105),",","")),"")</f>
        <v>8810645.2</v>
      </c>
      <c r="G101" s="19" t="n">
        <f aca="false">IFERROR(VALUE(SUBSTITUTE(TRIM('수출입 실적(성질별_수출)'!E105),",","")),"")</f>
        <v>48445875</v>
      </c>
    </row>
    <row r="102" customFormat="false" ht="15" hidden="false" customHeight="true" outlineLevel="0" collapsed="false">
      <c r="A102" s="11" t="str">
        <f aca="false">TRIM('수출입 실적(성질별_수출)'!A106)</f>
        <v>2024.05</v>
      </c>
      <c r="B102" s="17" t="n">
        <f aca="false">IFERROR(VALUE(LEFT($A102,4)),"")</f>
        <v>2024</v>
      </c>
      <c r="C102" s="17" t="n">
        <f aca="false">IFERROR(VALUE(RIGHT($A102,2)),"")</f>
        <v>5</v>
      </c>
      <c r="D102" s="17" t="n">
        <f aca="false">IFERROR(ROUNDUP($C102/3,0),"")</f>
        <v>2</v>
      </c>
      <c r="E102" s="11" t="str">
        <f aca="false">TRIM('수출입 실적(성질별_수출)'!C106)</f>
        <v>가. 화공품</v>
      </c>
      <c r="F102" s="18" t="n">
        <f aca="false">IFERROR(VALUE(SUBSTITUTE(TRIM('수출입 실적(성질별_수출)'!D106),",","")),"")</f>
        <v>3749384.8</v>
      </c>
      <c r="G102" s="19" t="n">
        <f aca="false">IFERROR(VALUE(SUBSTITUTE(TRIM('수출입 실적(성질별_수출)'!E106),",","")),"")</f>
        <v>7205886</v>
      </c>
    </row>
    <row r="103" customFormat="false" ht="15" hidden="false" customHeight="true" outlineLevel="0" collapsed="false">
      <c r="A103" s="11" t="str">
        <f aca="false">TRIM('수출입 실적(성질별_수출)'!A107)</f>
        <v>2024.05</v>
      </c>
      <c r="B103" s="17" t="n">
        <f aca="false">IFERROR(VALUE(LEFT($A103,4)),"")</f>
        <v>2024</v>
      </c>
      <c r="C103" s="17" t="n">
        <f aca="false">IFERROR(VALUE(RIGHT($A103,2)),"")</f>
        <v>5</v>
      </c>
      <c r="D103" s="17" t="n">
        <f aca="false">IFERROR(ROUNDUP($C103/3,0),"")</f>
        <v>2</v>
      </c>
      <c r="E103" s="11" t="str">
        <f aca="false">TRIM('수출입 실적(성질별_수출)'!C107)</f>
        <v>나. 철강제품</v>
      </c>
      <c r="F103" s="18" t="n">
        <f aca="false">IFERROR(VALUE(SUBSTITUTE(TRIM('수출입 실적(성질별_수출)'!D107),",","")),"")</f>
        <v>2692849.2</v>
      </c>
      <c r="G103" s="19" t="n">
        <f aca="false">IFERROR(VALUE(SUBSTITUTE(TRIM('수출입 실적(성질별_수출)'!E107),",","")),"")</f>
        <v>4187795</v>
      </c>
    </row>
    <row r="104" customFormat="false" ht="15" hidden="false" customHeight="true" outlineLevel="0" collapsed="false">
      <c r="A104" s="11" t="str">
        <f aca="false">TRIM('수출입 실적(성질별_수출)'!A108)</f>
        <v>2024.05</v>
      </c>
      <c r="B104" s="17" t="n">
        <f aca="false">IFERROR(VALUE(LEFT($A104,4)),"")</f>
        <v>2024</v>
      </c>
      <c r="C104" s="17" t="n">
        <f aca="false">IFERROR(VALUE(RIGHT($A104,2)),"")</f>
        <v>5</v>
      </c>
      <c r="D104" s="17" t="n">
        <f aca="false">IFERROR(ROUNDUP($C104/3,0),"")</f>
        <v>2</v>
      </c>
      <c r="E104" s="11" t="str">
        <f aca="false">TRIM('수출입 실적(성질별_수출)'!C108)</f>
        <v>다. 기계류와 정밀기기</v>
      </c>
      <c r="F104" s="18" t="n">
        <f aca="false">IFERROR(VALUE(SUBSTITUTE(TRIM('수출입 실적(성질별_수출)'!D108),",","")),"")</f>
        <v>383330.3</v>
      </c>
      <c r="G104" s="19" t="n">
        <f aca="false">IFERROR(VALUE(SUBSTITUTE(TRIM('수출입 실적(성질별_수출)'!E108),",","")),"")</f>
        <v>6193310</v>
      </c>
    </row>
    <row r="105" customFormat="false" ht="15" hidden="false" customHeight="true" outlineLevel="0" collapsed="false">
      <c r="A105" s="11" t="str">
        <f aca="false">TRIM('수출입 실적(성질별_수출)'!A109)</f>
        <v>2024.05</v>
      </c>
      <c r="B105" s="17" t="n">
        <f aca="false">IFERROR(VALUE(LEFT($A105,4)),"")</f>
        <v>2024</v>
      </c>
      <c r="C105" s="17" t="n">
        <f aca="false">IFERROR(VALUE(RIGHT($A105,2)),"")</f>
        <v>5</v>
      </c>
      <c r="D105" s="17" t="n">
        <f aca="false">IFERROR(ROUNDUP($C105/3,0),"")</f>
        <v>2</v>
      </c>
      <c r="E105" s="11" t="str">
        <f aca="false">TRIM('수출입 실적(성질별_수출)'!C109)</f>
        <v>라. 전기, 전자제품</v>
      </c>
      <c r="F105" s="18" t="n">
        <f aca="false">IFERROR(VALUE(SUBSTITUTE(TRIM('수출입 실적(성질별_수출)'!D109),",","")),"")</f>
        <v>235543.8</v>
      </c>
      <c r="G105" s="19" t="n">
        <f aca="false">IFERROR(VALUE(SUBSTITUTE(TRIM('수출입 실적(성질별_수출)'!E109),",","")),"")</f>
        <v>18659897</v>
      </c>
    </row>
    <row r="106" customFormat="false" ht="15" hidden="false" customHeight="true" outlineLevel="0" collapsed="false">
      <c r="A106" s="11" t="str">
        <f aca="false">TRIM('수출입 실적(성질별_수출)'!A110)</f>
        <v>2024.05</v>
      </c>
      <c r="B106" s="17" t="n">
        <f aca="false">IFERROR(VALUE(LEFT($A106,4)),"")</f>
        <v>2024</v>
      </c>
      <c r="C106" s="17" t="n">
        <f aca="false">IFERROR(VALUE(RIGHT($A106,2)),"")</f>
        <v>5</v>
      </c>
      <c r="D106" s="17" t="n">
        <f aca="false">IFERROR(ROUNDUP($C106/3,0),"")</f>
        <v>2</v>
      </c>
      <c r="E106" s="11" t="str">
        <f aca="false">TRIM('수출입 실적(성질별_수출)'!C110)</f>
        <v>마. 수송장비</v>
      </c>
      <c r="F106" s="18" t="n">
        <f aca="false">IFERROR(VALUE(SUBSTITUTE(TRIM('수출입 실적(성질별_수출)'!D110),",","")),"")</f>
        <v>1679409.9</v>
      </c>
      <c r="G106" s="19" t="n">
        <f aca="false">IFERROR(VALUE(SUBSTITUTE(TRIM('수출입 실적(성질별_수출)'!E110),",","")),"")</f>
        <v>10582428</v>
      </c>
    </row>
    <row r="107" customFormat="false" ht="15" hidden="false" customHeight="true" outlineLevel="0" collapsed="false">
      <c r="A107" s="11" t="str">
        <f aca="false">TRIM('수출입 실적(성질별_수출)'!A111)</f>
        <v>2024.05</v>
      </c>
      <c r="B107" s="17" t="n">
        <f aca="false">IFERROR(VALUE(LEFT($A107,4)),"")</f>
        <v>2024</v>
      </c>
      <c r="C107" s="17" t="n">
        <f aca="false">IFERROR(VALUE(RIGHT($A107,2)),"")</f>
        <v>5</v>
      </c>
      <c r="D107" s="17" t="n">
        <f aca="false">IFERROR(ROUNDUP($C107/3,0),"")</f>
        <v>2</v>
      </c>
      <c r="E107" s="11" t="str">
        <f aca="false">TRIM('수출입 실적(성질별_수출)'!C111)</f>
        <v>바. 기 타</v>
      </c>
      <c r="F107" s="18" t="n">
        <f aca="false">IFERROR(VALUE(SUBSTITUTE(TRIM('수출입 실적(성질별_수출)'!D111),",","")),"")</f>
        <v>70127.2</v>
      </c>
      <c r="G107" s="19" t="n">
        <f aca="false">IFERROR(VALUE(SUBSTITUTE(TRIM('수출입 실적(성질별_수출)'!E111),",","")),"")</f>
        <v>1616560</v>
      </c>
    </row>
    <row r="108" customFormat="false" ht="15" hidden="false" customHeight="true" outlineLevel="0" collapsed="false">
      <c r="A108" s="11" t="str">
        <f aca="false">TRIM('수출입 실적(성질별_수출)'!A112)</f>
        <v>2024.06</v>
      </c>
      <c r="B108" s="17" t="n">
        <f aca="false">IFERROR(VALUE(LEFT($A108,4)),"")</f>
        <v>2024</v>
      </c>
      <c r="C108" s="17" t="n">
        <f aca="false">IFERROR(VALUE(RIGHT($A108,2)),"")</f>
        <v>6</v>
      </c>
      <c r="D108" s="17" t="n">
        <f aca="false">IFERROR(ROUNDUP($C108/3,0),"")</f>
        <v>2</v>
      </c>
      <c r="E108" s="11" t="str">
        <f aca="false">TRIM('수출입 실적(성질별_수출)'!C112)</f>
        <v>1. 식료 및 직접소비재</v>
      </c>
      <c r="F108" s="18" t="n">
        <f aca="false">IFERROR(VALUE(SUBSTITUTE(TRIM('수출입 실적(성질별_수출)'!D112),",","")),"")</f>
        <v>326543.1</v>
      </c>
      <c r="G108" s="19" t="n">
        <f aca="false">IFERROR(VALUE(SUBSTITUTE(TRIM('수출입 실적(성질별_수출)'!E112),",","")),"")</f>
        <v>938120</v>
      </c>
    </row>
    <row r="109" customFormat="false" ht="15" hidden="false" customHeight="true" outlineLevel="0" collapsed="false">
      <c r="A109" s="11" t="str">
        <f aca="false">TRIM('수출입 실적(성질별_수출)'!A113)</f>
        <v>2024.06</v>
      </c>
      <c r="B109" s="17" t="n">
        <f aca="false">IFERROR(VALUE(LEFT($A109,4)),"")</f>
        <v>2024</v>
      </c>
      <c r="C109" s="17" t="n">
        <f aca="false">IFERROR(VALUE(RIGHT($A109,2)),"")</f>
        <v>6</v>
      </c>
      <c r="D109" s="17" t="n">
        <f aca="false">IFERROR(ROUNDUP($C109/3,0),"")</f>
        <v>2</v>
      </c>
      <c r="E109" s="11" t="str">
        <f aca="false">TRIM('수출입 실적(성질별_수출)'!C113)</f>
        <v>2. 원료 및 연료</v>
      </c>
      <c r="F109" s="18" t="n">
        <f aca="false">IFERROR(VALUE(SUBSTITUTE(TRIM('수출입 실적(성질별_수출)'!D113),",","")),"")</f>
        <v>5535064.9</v>
      </c>
      <c r="G109" s="19" t="n">
        <f aca="false">IFERROR(VALUE(SUBSTITUTE(TRIM('수출입 실적(성질별_수출)'!E113),",","")),"")</f>
        <v>4622158</v>
      </c>
    </row>
    <row r="110" customFormat="false" ht="15" hidden="false" customHeight="true" outlineLevel="0" collapsed="false">
      <c r="A110" s="11" t="str">
        <f aca="false">TRIM('수출입 실적(성질별_수출)'!A114)</f>
        <v>2024.06</v>
      </c>
      <c r="B110" s="17" t="n">
        <f aca="false">IFERROR(VALUE(LEFT($A110,4)),"")</f>
        <v>2024</v>
      </c>
      <c r="C110" s="17" t="n">
        <f aca="false">IFERROR(VALUE(RIGHT($A110,2)),"")</f>
        <v>6</v>
      </c>
      <c r="D110" s="17" t="n">
        <f aca="false">IFERROR(ROUNDUP($C110/3,0),"")</f>
        <v>2</v>
      </c>
      <c r="E110" s="11" t="str">
        <f aca="false">TRIM('수출입 실적(성질별_수출)'!C114)</f>
        <v>3. 경공업품</v>
      </c>
      <c r="F110" s="18" t="n">
        <f aca="false">IFERROR(VALUE(SUBSTITUTE(TRIM('수출입 실적(성질별_수출)'!D114),",","")),"")</f>
        <v>753610</v>
      </c>
      <c r="G110" s="19" t="n">
        <f aca="false">IFERROR(VALUE(SUBSTITUTE(TRIM('수출입 실적(성질별_수출)'!E114),",","")),"")</f>
        <v>2809892</v>
      </c>
    </row>
    <row r="111" customFormat="false" ht="15" hidden="false" customHeight="true" outlineLevel="0" collapsed="false">
      <c r="A111" s="11" t="str">
        <f aca="false">TRIM('수출입 실적(성질별_수출)'!A115)</f>
        <v>2024.06</v>
      </c>
      <c r="B111" s="17" t="n">
        <f aca="false">IFERROR(VALUE(LEFT($A111,4)),"")</f>
        <v>2024</v>
      </c>
      <c r="C111" s="17" t="n">
        <f aca="false">IFERROR(VALUE(RIGHT($A111,2)),"")</f>
        <v>6</v>
      </c>
      <c r="D111" s="17" t="n">
        <f aca="false">IFERROR(ROUNDUP($C111/3,0),"")</f>
        <v>2</v>
      </c>
      <c r="E111" s="11" t="str">
        <f aca="false">TRIM('수출입 실적(성질별_수출)'!C115)</f>
        <v>가. 섬유원료</v>
      </c>
      <c r="F111" s="18" t="n">
        <f aca="false">IFERROR(VALUE(SUBSTITUTE(TRIM('수출입 실적(성질별_수출)'!D115),",","")),"")</f>
        <v>56753.5</v>
      </c>
      <c r="G111" s="19" t="n">
        <f aca="false">IFERROR(VALUE(SUBSTITUTE(TRIM('수출입 실적(성질별_수출)'!E115),",","")),"")</f>
        <v>87722</v>
      </c>
    </row>
    <row r="112" customFormat="false" ht="15" hidden="false" customHeight="true" outlineLevel="0" collapsed="false">
      <c r="A112" s="11" t="str">
        <f aca="false">TRIM('수출입 실적(성질별_수출)'!A116)</f>
        <v>2024.06</v>
      </c>
      <c r="B112" s="17" t="n">
        <f aca="false">IFERROR(VALUE(LEFT($A112,4)),"")</f>
        <v>2024</v>
      </c>
      <c r="C112" s="17" t="n">
        <f aca="false">IFERROR(VALUE(RIGHT($A112,2)),"")</f>
        <v>6</v>
      </c>
      <c r="D112" s="17" t="n">
        <f aca="false">IFERROR(ROUNDUP($C112/3,0),"")</f>
        <v>2</v>
      </c>
      <c r="E112" s="11" t="str">
        <f aca="false">TRIM('수출입 실적(성질별_수출)'!C116)</f>
        <v>나. 섬유사</v>
      </c>
      <c r="F112" s="18" t="n">
        <f aca="false">IFERROR(VALUE(SUBSTITUTE(TRIM('수출입 실적(성질별_수출)'!D116),",","")),"")</f>
        <v>19513.8</v>
      </c>
      <c r="G112" s="19" t="n">
        <f aca="false">IFERROR(VALUE(SUBSTITUTE(TRIM('수출입 실적(성질별_수출)'!E116),",","")),"")</f>
        <v>70190</v>
      </c>
    </row>
    <row r="113" customFormat="false" ht="15" hidden="false" customHeight="true" outlineLevel="0" collapsed="false">
      <c r="A113" s="11" t="str">
        <f aca="false">TRIM('수출입 실적(성질별_수출)'!A117)</f>
        <v>2024.06</v>
      </c>
      <c r="B113" s="17" t="n">
        <f aca="false">IFERROR(VALUE(LEFT($A113,4)),"")</f>
        <v>2024</v>
      </c>
      <c r="C113" s="17" t="n">
        <f aca="false">IFERROR(VALUE(RIGHT($A113,2)),"")</f>
        <v>6</v>
      </c>
      <c r="D113" s="17" t="n">
        <f aca="false">IFERROR(ROUNDUP($C113/3,0),"")</f>
        <v>2</v>
      </c>
      <c r="E113" s="11" t="str">
        <f aca="false">TRIM('수출입 실적(성질별_수출)'!C117)</f>
        <v>다. 직 물</v>
      </c>
      <c r="F113" s="18" t="n">
        <f aca="false">IFERROR(VALUE(SUBSTITUTE(TRIM('수출입 실적(성질별_수출)'!D117),",","")),"")</f>
        <v>31694.9</v>
      </c>
      <c r="G113" s="19" t="n">
        <f aca="false">IFERROR(VALUE(SUBSTITUTE(TRIM('수출입 실적(성질별_수출)'!E117),",","")),"")</f>
        <v>301150</v>
      </c>
    </row>
    <row r="114" customFormat="false" ht="15" hidden="false" customHeight="true" outlineLevel="0" collapsed="false">
      <c r="A114" s="11" t="str">
        <f aca="false">TRIM('수출입 실적(성질별_수출)'!A118)</f>
        <v>2024.06</v>
      </c>
      <c r="B114" s="17" t="n">
        <f aca="false">IFERROR(VALUE(LEFT($A114,4)),"")</f>
        <v>2024</v>
      </c>
      <c r="C114" s="17" t="n">
        <f aca="false">IFERROR(VALUE(RIGHT($A114,2)),"")</f>
        <v>6</v>
      </c>
      <c r="D114" s="17" t="n">
        <f aca="false">IFERROR(ROUNDUP($C114/3,0),"")</f>
        <v>2</v>
      </c>
      <c r="E114" s="11" t="str">
        <f aca="false">TRIM('수출입 실적(성질별_수출)'!C118)</f>
        <v>라. 기타 섬유제품</v>
      </c>
      <c r="F114" s="18" t="n">
        <f aca="false">IFERROR(VALUE(SUBSTITUTE(TRIM('수출입 실적(성질별_수출)'!D118),",","")),"")</f>
        <v>23982.3</v>
      </c>
      <c r="G114" s="19" t="n">
        <f aca="false">IFERROR(VALUE(SUBSTITUTE(TRIM('수출입 실적(성질별_수출)'!E118),",","")),"")</f>
        <v>196552</v>
      </c>
    </row>
    <row r="115" customFormat="false" ht="15" hidden="false" customHeight="true" outlineLevel="0" collapsed="false">
      <c r="A115" s="11" t="str">
        <f aca="false">TRIM('수출입 실적(성질별_수출)'!A119)</f>
        <v>2024.06</v>
      </c>
      <c r="B115" s="17" t="n">
        <f aca="false">IFERROR(VALUE(LEFT($A115,4)),"")</f>
        <v>2024</v>
      </c>
      <c r="C115" s="17" t="n">
        <f aca="false">IFERROR(VALUE(RIGHT($A115,2)),"")</f>
        <v>6</v>
      </c>
      <c r="D115" s="17" t="n">
        <f aca="false">IFERROR(ROUNDUP($C115/3,0),"")</f>
        <v>2</v>
      </c>
      <c r="E115" s="11" t="str">
        <f aca="false">TRIM('수출입 실적(성질별_수출)'!C119)</f>
        <v>마. 의 류</v>
      </c>
      <c r="F115" s="18" t="n">
        <f aca="false">IFERROR(VALUE(SUBSTITUTE(TRIM('수출입 실적(성질별_수출)'!D119),",","")),"")</f>
        <v>5872.4</v>
      </c>
      <c r="G115" s="19" t="n">
        <f aca="false">IFERROR(VALUE(SUBSTITUTE(TRIM('수출입 실적(성질별_수출)'!E119),",","")),"")</f>
        <v>160527</v>
      </c>
    </row>
    <row r="116" customFormat="false" ht="15" hidden="false" customHeight="true" outlineLevel="0" collapsed="false">
      <c r="A116" s="11" t="str">
        <f aca="false">TRIM('수출입 실적(성질별_수출)'!A120)</f>
        <v>2024.06</v>
      </c>
      <c r="B116" s="17" t="n">
        <f aca="false">IFERROR(VALUE(LEFT($A116,4)),"")</f>
        <v>2024</v>
      </c>
      <c r="C116" s="17" t="n">
        <f aca="false">IFERROR(VALUE(RIGHT($A116,2)),"")</f>
        <v>6</v>
      </c>
      <c r="D116" s="17" t="n">
        <f aca="false">IFERROR(ROUNDUP($C116/3,0),"")</f>
        <v>2</v>
      </c>
      <c r="E116" s="11" t="str">
        <f aca="false">TRIM('수출입 실적(성질별_수출)'!C120)</f>
        <v>바. 목제품</v>
      </c>
      <c r="F116" s="18" t="n">
        <f aca="false">IFERROR(VALUE(SUBSTITUTE(TRIM('수출입 실적(성질별_수출)'!D120),",","")),"")</f>
        <v>16131.6</v>
      </c>
      <c r="G116" s="19" t="n">
        <f aca="false">IFERROR(VALUE(SUBSTITUTE(TRIM('수출입 실적(성질별_수출)'!E120),",","")),"")</f>
        <v>91673</v>
      </c>
    </row>
    <row r="117" customFormat="false" ht="15" hidden="false" customHeight="true" outlineLevel="0" collapsed="false">
      <c r="A117" s="11" t="str">
        <f aca="false">TRIM('수출입 실적(성질별_수출)'!A121)</f>
        <v>2024.06</v>
      </c>
      <c r="B117" s="17" t="n">
        <f aca="false">IFERROR(VALUE(LEFT($A117,4)),"")</f>
        <v>2024</v>
      </c>
      <c r="C117" s="17" t="n">
        <f aca="false">IFERROR(VALUE(RIGHT($A117,2)),"")</f>
        <v>6</v>
      </c>
      <c r="D117" s="17" t="n">
        <f aca="false">IFERROR(ROUNDUP($C117/3,0),"")</f>
        <v>2</v>
      </c>
      <c r="E117" s="11" t="str">
        <f aca="false">TRIM('수출입 실적(성질별_수출)'!C121)</f>
        <v>사. 가죽, 고무 및 신발류</v>
      </c>
      <c r="F117" s="18" t="n">
        <f aca="false">IFERROR(VALUE(SUBSTITUTE(TRIM('수출입 실적(성질별_수출)'!D121),",","")),"")</f>
        <v>75921.1</v>
      </c>
      <c r="G117" s="19" t="n">
        <f aca="false">IFERROR(VALUE(SUBSTITUTE(TRIM('수출입 실적(성질별_수출)'!E121),",","")),"")</f>
        <v>443004</v>
      </c>
    </row>
    <row r="118" customFormat="false" ht="15" hidden="false" customHeight="true" outlineLevel="0" collapsed="false">
      <c r="A118" s="11" t="str">
        <f aca="false">TRIM('수출입 실적(성질별_수출)'!A122)</f>
        <v>2024.06</v>
      </c>
      <c r="B118" s="17" t="n">
        <f aca="false">IFERROR(VALUE(LEFT($A118,4)),"")</f>
        <v>2024</v>
      </c>
      <c r="C118" s="17" t="n">
        <f aca="false">IFERROR(VALUE(RIGHT($A118,2)),"")</f>
        <v>6</v>
      </c>
      <c r="D118" s="17" t="n">
        <f aca="false">IFERROR(ROUNDUP($C118/3,0),"")</f>
        <v>2</v>
      </c>
      <c r="E118" s="11" t="str">
        <f aca="false">TRIM('수출입 실적(성질별_수출)'!C122)</f>
        <v>아. 귀금속 및 보석류</v>
      </c>
      <c r="F118" s="18" t="n">
        <f aca="false">IFERROR(VALUE(SUBSTITUTE(TRIM('수출입 실적(성질별_수출)'!D122),",","")),"")</f>
        <v>337.8</v>
      </c>
      <c r="G118" s="19" t="n">
        <f aca="false">IFERROR(VALUE(SUBSTITUTE(TRIM('수출입 실적(성질별_수출)'!E122),",","")),"")</f>
        <v>272507</v>
      </c>
    </row>
    <row r="119" customFormat="false" ht="15" hidden="false" customHeight="true" outlineLevel="0" collapsed="false">
      <c r="A119" s="11" t="str">
        <f aca="false">TRIM('수출입 실적(성질별_수출)'!A123)</f>
        <v>2024.06</v>
      </c>
      <c r="B119" s="17" t="n">
        <f aca="false">IFERROR(VALUE(LEFT($A119,4)),"")</f>
        <v>2024</v>
      </c>
      <c r="C119" s="17" t="n">
        <f aca="false">IFERROR(VALUE(RIGHT($A119,2)),"")</f>
        <v>6</v>
      </c>
      <c r="D119" s="17" t="n">
        <f aca="false">IFERROR(ROUNDUP($C119/3,0),"")</f>
        <v>2</v>
      </c>
      <c r="E119" s="11" t="str">
        <f aca="false">TRIM('수출입 실적(성질별_수출)'!C123)</f>
        <v>자. 기타 비금속 광물제품</v>
      </c>
      <c r="F119" s="18" t="n">
        <f aca="false">IFERROR(VALUE(SUBSTITUTE(TRIM('수출입 실적(성질별_수출)'!D123),",","")),"")</f>
        <v>160383.5</v>
      </c>
      <c r="G119" s="19" t="n">
        <f aca="false">IFERROR(VALUE(SUBSTITUTE(TRIM('수출입 실적(성질별_수출)'!E123),",","")),"")</f>
        <v>207037</v>
      </c>
    </row>
    <row r="120" customFormat="false" ht="15" hidden="false" customHeight="true" outlineLevel="0" collapsed="false">
      <c r="A120" s="11" t="str">
        <f aca="false">TRIM('수출입 실적(성질별_수출)'!A124)</f>
        <v>2024.06</v>
      </c>
      <c r="B120" s="17" t="n">
        <f aca="false">IFERROR(VALUE(LEFT($A120,4)),"")</f>
        <v>2024</v>
      </c>
      <c r="C120" s="17" t="n">
        <f aca="false">IFERROR(VALUE(RIGHT($A120,2)),"")</f>
        <v>6</v>
      </c>
      <c r="D120" s="17" t="n">
        <f aca="false">IFERROR(ROUNDUP($C120/3,0),"")</f>
        <v>2</v>
      </c>
      <c r="E120" s="11" t="str">
        <f aca="false">TRIM('수출입 실적(성질별_수출)'!C124)</f>
        <v>차. 완구, 운동용구 및 악기</v>
      </c>
      <c r="F120" s="18" t="n">
        <f aca="false">IFERROR(VALUE(SUBSTITUTE(TRIM('수출입 실적(성질별_수출)'!D124),",","")),"")</f>
        <v>2399.2</v>
      </c>
      <c r="G120" s="19" t="n">
        <f aca="false">IFERROR(VALUE(SUBSTITUTE(TRIM('수출입 실적(성질별_수출)'!E124),",","")),"")</f>
        <v>50304</v>
      </c>
    </row>
    <row r="121" customFormat="false" ht="15" hidden="false" customHeight="true" outlineLevel="0" collapsed="false">
      <c r="A121" s="11" t="str">
        <f aca="false">TRIM('수출입 실적(성질별_수출)'!A125)</f>
        <v>2024.06</v>
      </c>
      <c r="B121" s="17" t="n">
        <f aca="false">IFERROR(VALUE(LEFT($A121,4)),"")</f>
        <v>2024</v>
      </c>
      <c r="C121" s="17" t="n">
        <f aca="false">IFERROR(VALUE(RIGHT($A121,2)),"")</f>
        <v>6</v>
      </c>
      <c r="D121" s="17" t="n">
        <f aca="false">IFERROR(ROUNDUP($C121/3,0),"")</f>
        <v>2</v>
      </c>
      <c r="E121" s="11" t="str">
        <f aca="false">TRIM('수출입 실적(성질별_수출)'!C125)</f>
        <v>카. 기 타</v>
      </c>
      <c r="F121" s="18" t="n">
        <f aca="false">IFERROR(VALUE(SUBSTITUTE(TRIM('수출입 실적(성질별_수출)'!D125),",","")),"")</f>
        <v>360619.9</v>
      </c>
      <c r="G121" s="19" t="n">
        <f aca="false">IFERROR(VALUE(SUBSTITUTE(TRIM('수출입 실적(성질별_수출)'!E125),",","")),"")</f>
        <v>929225</v>
      </c>
    </row>
    <row r="122" customFormat="false" ht="15" hidden="false" customHeight="true" outlineLevel="0" collapsed="false">
      <c r="A122" s="11" t="str">
        <f aca="false">TRIM('수출입 실적(성질별_수출)'!A126)</f>
        <v>2024.06</v>
      </c>
      <c r="B122" s="17" t="n">
        <f aca="false">IFERROR(VALUE(LEFT($A122,4)),"")</f>
        <v>2024</v>
      </c>
      <c r="C122" s="17" t="n">
        <f aca="false">IFERROR(VALUE(RIGHT($A122,2)),"")</f>
        <v>6</v>
      </c>
      <c r="D122" s="17" t="n">
        <f aca="false">IFERROR(ROUNDUP($C122/3,0),"")</f>
        <v>2</v>
      </c>
      <c r="E122" s="11" t="str">
        <f aca="false">TRIM('수출입 실적(성질별_수출)'!C126)</f>
        <v>4. 중화학 공업품</v>
      </c>
      <c r="F122" s="18" t="n">
        <f aca="false">IFERROR(VALUE(SUBSTITUTE(TRIM('수출입 실적(성질별_수출)'!D126),",","")),"")</f>
        <v>8026216.6</v>
      </c>
      <c r="G122" s="19" t="n">
        <f aca="false">IFERROR(VALUE(SUBSTITUTE(TRIM('수출입 실적(성질별_수출)'!E126),",","")),"")</f>
        <v>48971465</v>
      </c>
    </row>
    <row r="123" customFormat="false" ht="15" hidden="false" customHeight="true" outlineLevel="0" collapsed="false">
      <c r="A123" s="11" t="str">
        <f aca="false">TRIM('수출입 실적(성질별_수출)'!A127)</f>
        <v>2024.06</v>
      </c>
      <c r="B123" s="17" t="n">
        <f aca="false">IFERROR(VALUE(LEFT($A123,4)),"")</f>
        <v>2024</v>
      </c>
      <c r="C123" s="17" t="n">
        <f aca="false">IFERROR(VALUE(RIGHT($A123,2)),"")</f>
        <v>6</v>
      </c>
      <c r="D123" s="17" t="n">
        <f aca="false">IFERROR(ROUNDUP($C123/3,0),"")</f>
        <v>2</v>
      </c>
      <c r="E123" s="11" t="str">
        <f aca="false">TRIM('수출입 실적(성질별_수출)'!C127)</f>
        <v>가. 화공품</v>
      </c>
      <c r="F123" s="18" t="n">
        <f aca="false">IFERROR(VALUE(SUBSTITUTE(TRIM('수출입 실적(성질별_수출)'!D127),",","")),"")</f>
        <v>3464201.6</v>
      </c>
      <c r="G123" s="19" t="n">
        <f aca="false">IFERROR(VALUE(SUBSTITUTE(TRIM('수출입 실적(성질별_수출)'!E127),",","")),"")</f>
        <v>6898380</v>
      </c>
    </row>
    <row r="124" customFormat="false" ht="15" hidden="false" customHeight="true" outlineLevel="0" collapsed="false">
      <c r="A124" s="11" t="str">
        <f aca="false">TRIM('수출입 실적(성질별_수출)'!A128)</f>
        <v>2024.06</v>
      </c>
      <c r="B124" s="17" t="n">
        <f aca="false">IFERROR(VALUE(LEFT($A124,4)),"")</f>
        <v>2024</v>
      </c>
      <c r="C124" s="17" t="n">
        <f aca="false">IFERROR(VALUE(RIGHT($A124,2)),"")</f>
        <v>6</v>
      </c>
      <c r="D124" s="17" t="n">
        <f aca="false">IFERROR(ROUNDUP($C124/3,0),"")</f>
        <v>2</v>
      </c>
      <c r="E124" s="11" t="str">
        <f aca="false">TRIM('수출입 실적(성질별_수출)'!C128)</f>
        <v>나. 철강제품</v>
      </c>
      <c r="F124" s="18" t="n">
        <f aca="false">IFERROR(VALUE(SUBSTITUTE(TRIM('수출입 실적(성질별_수출)'!D128),",","")),"")</f>
        <v>2434675.6</v>
      </c>
      <c r="G124" s="19" t="n">
        <f aca="false">IFERROR(VALUE(SUBSTITUTE(TRIM('수출입 실적(성질별_수출)'!E128),",","")),"")</f>
        <v>3802935</v>
      </c>
    </row>
    <row r="125" customFormat="false" ht="15" hidden="false" customHeight="true" outlineLevel="0" collapsed="false">
      <c r="A125" s="11" t="str">
        <f aca="false">TRIM('수출입 실적(성질별_수출)'!A129)</f>
        <v>2024.06</v>
      </c>
      <c r="B125" s="17" t="n">
        <f aca="false">IFERROR(VALUE(LEFT($A125,4)),"")</f>
        <v>2024</v>
      </c>
      <c r="C125" s="17" t="n">
        <f aca="false">IFERROR(VALUE(RIGHT($A125,2)),"")</f>
        <v>6</v>
      </c>
      <c r="D125" s="17" t="n">
        <f aca="false">IFERROR(ROUNDUP($C125/3,0),"")</f>
        <v>2</v>
      </c>
      <c r="E125" s="11" t="str">
        <f aca="false">TRIM('수출입 실적(성질별_수출)'!C129)</f>
        <v>다. 기계류와 정밀기기</v>
      </c>
      <c r="F125" s="18" t="n">
        <f aca="false">IFERROR(VALUE(SUBSTITUTE(TRIM('수출입 실적(성질별_수출)'!D129),",","")),"")</f>
        <v>349681.7</v>
      </c>
      <c r="G125" s="19" t="n">
        <f aca="false">IFERROR(VALUE(SUBSTITUTE(TRIM('수출입 실적(성질별_수출)'!E129),",","")),"")</f>
        <v>5993618</v>
      </c>
    </row>
    <row r="126" customFormat="false" ht="15" hidden="false" customHeight="true" outlineLevel="0" collapsed="false">
      <c r="A126" s="11" t="str">
        <f aca="false">TRIM('수출입 실적(성질별_수출)'!A130)</f>
        <v>2024.06</v>
      </c>
      <c r="B126" s="17" t="n">
        <f aca="false">IFERROR(VALUE(LEFT($A126,4)),"")</f>
        <v>2024</v>
      </c>
      <c r="C126" s="17" t="n">
        <f aca="false">IFERROR(VALUE(RIGHT($A126,2)),"")</f>
        <v>6</v>
      </c>
      <c r="D126" s="17" t="n">
        <f aca="false">IFERROR(ROUNDUP($C126/3,0),"")</f>
        <v>2</v>
      </c>
      <c r="E126" s="11" t="str">
        <f aca="false">TRIM('수출입 실적(성질별_수출)'!C130)</f>
        <v>라. 전기, 전자제품</v>
      </c>
      <c r="F126" s="18" t="n">
        <f aca="false">IFERROR(VALUE(SUBSTITUTE(TRIM('수출입 실적(성질별_수출)'!D130),",","")),"")</f>
        <v>243247.4</v>
      </c>
      <c r="G126" s="19" t="n">
        <f aca="false">IFERROR(VALUE(SUBSTITUTE(TRIM('수출입 실적(성질별_수출)'!E130),",","")),"")</f>
        <v>20880679</v>
      </c>
    </row>
    <row r="127" customFormat="false" ht="15" hidden="false" customHeight="true" outlineLevel="0" collapsed="false">
      <c r="A127" s="11" t="str">
        <f aca="false">TRIM('수출입 실적(성질별_수출)'!A131)</f>
        <v>2024.06</v>
      </c>
      <c r="B127" s="17" t="n">
        <f aca="false">IFERROR(VALUE(LEFT($A127,4)),"")</f>
        <v>2024</v>
      </c>
      <c r="C127" s="17" t="n">
        <f aca="false">IFERROR(VALUE(RIGHT($A127,2)),"")</f>
        <v>6</v>
      </c>
      <c r="D127" s="17" t="n">
        <f aca="false">IFERROR(ROUNDUP($C127/3,0),"")</f>
        <v>2</v>
      </c>
      <c r="E127" s="11" t="str">
        <f aca="false">TRIM('수출입 실적(성질별_수출)'!C131)</f>
        <v>마. 수송장비</v>
      </c>
      <c r="F127" s="18" t="n">
        <f aca="false">IFERROR(VALUE(SUBSTITUTE(TRIM('수출입 실적(성질별_수출)'!D131),",","")),"")</f>
        <v>1469690.8</v>
      </c>
      <c r="G127" s="19" t="n">
        <f aca="false">IFERROR(VALUE(SUBSTITUTE(TRIM('수출입 실적(성질별_수출)'!E131),",","")),"")</f>
        <v>9662518</v>
      </c>
    </row>
    <row r="128" customFormat="false" ht="15" hidden="false" customHeight="true" outlineLevel="0" collapsed="false">
      <c r="A128" s="11" t="str">
        <f aca="false">TRIM('수출입 실적(성질별_수출)'!A132)</f>
        <v>2024.06</v>
      </c>
      <c r="B128" s="17" t="n">
        <f aca="false">IFERROR(VALUE(LEFT($A128,4)),"")</f>
        <v>2024</v>
      </c>
      <c r="C128" s="17" t="n">
        <f aca="false">IFERROR(VALUE(RIGHT($A128,2)),"")</f>
        <v>6</v>
      </c>
      <c r="D128" s="17" t="n">
        <f aca="false">IFERROR(ROUNDUP($C128/3,0),"")</f>
        <v>2</v>
      </c>
      <c r="E128" s="11" t="str">
        <f aca="false">TRIM('수출입 실적(성질별_수출)'!C132)</f>
        <v>바. 기 타</v>
      </c>
      <c r="F128" s="18" t="n">
        <f aca="false">IFERROR(VALUE(SUBSTITUTE(TRIM('수출입 실적(성질별_수출)'!D132),",","")),"")</f>
        <v>64719.5</v>
      </c>
      <c r="G128" s="19" t="n">
        <f aca="false">IFERROR(VALUE(SUBSTITUTE(TRIM('수출입 실적(성질별_수출)'!E132),",","")),"")</f>
        <v>1733335</v>
      </c>
    </row>
    <row r="129" customFormat="false" ht="15" hidden="false" customHeight="true" outlineLevel="0" collapsed="false">
      <c r="A129" s="11" t="str">
        <f aca="false">TRIM('수출입 실적(성질별_수출)'!A133)</f>
        <v>2024.07</v>
      </c>
      <c r="B129" s="17" t="n">
        <f aca="false">IFERROR(VALUE(LEFT($A129,4)),"")</f>
        <v>2024</v>
      </c>
      <c r="C129" s="17" t="n">
        <f aca="false">IFERROR(VALUE(RIGHT($A129,2)),"")</f>
        <v>7</v>
      </c>
      <c r="D129" s="17" t="n">
        <f aca="false">IFERROR(ROUNDUP($C129/3,0),"")</f>
        <v>3</v>
      </c>
      <c r="E129" s="11" t="str">
        <f aca="false">TRIM('수출입 실적(성질별_수출)'!C133)</f>
        <v>1. 식료 및 직접소비재</v>
      </c>
      <c r="F129" s="18" t="n">
        <f aca="false">IFERROR(VALUE(SUBSTITUTE(TRIM('수출입 실적(성질별_수출)'!D133),",","")),"")</f>
        <v>378558.3</v>
      </c>
      <c r="G129" s="19" t="n">
        <f aca="false">IFERROR(VALUE(SUBSTITUTE(TRIM('수출입 실적(성질별_수출)'!E133),",","")),"")</f>
        <v>1035638</v>
      </c>
    </row>
    <row r="130" customFormat="false" ht="15" hidden="false" customHeight="true" outlineLevel="0" collapsed="false">
      <c r="A130" s="11" t="str">
        <f aca="false">TRIM('수출입 실적(성질별_수출)'!A134)</f>
        <v>2024.07</v>
      </c>
      <c r="B130" s="17" t="n">
        <f aca="false">IFERROR(VALUE(LEFT($A130,4)),"")</f>
        <v>2024</v>
      </c>
      <c r="C130" s="17" t="n">
        <f aca="false">IFERROR(VALUE(RIGHT($A130,2)),"")</f>
        <v>7</v>
      </c>
      <c r="D130" s="17" t="n">
        <f aca="false">IFERROR(ROUNDUP($C130/3,0),"")</f>
        <v>3</v>
      </c>
      <c r="E130" s="11" t="str">
        <f aca="false">TRIM('수출입 실적(성질별_수출)'!C134)</f>
        <v>2. 원료 및 연료</v>
      </c>
      <c r="F130" s="18" t="n">
        <f aca="false">IFERROR(VALUE(SUBSTITUTE(TRIM('수출입 실적(성질별_수출)'!D134),",","")),"")</f>
        <v>6609524.7</v>
      </c>
      <c r="G130" s="19" t="n">
        <f aca="false">IFERROR(VALUE(SUBSTITUTE(TRIM('수출입 실적(성질별_수출)'!E134),",","")),"")</f>
        <v>5451035</v>
      </c>
    </row>
    <row r="131" customFormat="false" ht="15" hidden="false" customHeight="true" outlineLevel="0" collapsed="false">
      <c r="A131" s="11" t="str">
        <f aca="false">TRIM('수출입 실적(성질별_수출)'!A135)</f>
        <v>2024.07</v>
      </c>
      <c r="B131" s="17" t="n">
        <f aca="false">IFERROR(VALUE(LEFT($A131,4)),"")</f>
        <v>2024</v>
      </c>
      <c r="C131" s="17" t="n">
        <f aca="false">IFERROR(VALUE(RIGHT($A131,2)),"")</f>
        <v>7</v>
      </c>
      <c r="D131" s="17" t="n">
        <f aca="false">IFERROR(ROUNDUP($C131/3,0),"")</f>
        <v>3</v>
      </c>
      <c r="E131" s="11" t="str">
        <f aca="false">TRIM('수출입 실적(성질별_수출)'!C135)</f>
        <v>3. 경공업품</v>
      </c>
      <c r="F131" s="18" t="n">
        <f aca="false">IFERROR(VALUE(SUBSTITUTE(TRIM('수출입 실적(성질별_수출)'!D135),",","")),"")</f>
        <v>969268.5</v>
      </c>
      <c r="G131" s="19" t="n">
        <f aca="false">IFERROR(VALUE(SUBSTITUTE(TRIM('수출입 실적(성질별_수출)'!E135),",","")),"")</f>
        <v>3073707</v>
      </c>
    </row>
    <row r="132" customFormat="false" ht="15" hidden="false" customHeight="true" outlineLevel="0" collapsed="false">
      <c r="A132" s="11" t="str">
        <f aca="false">TRIM('수출입 실적(성질별_수출)'!A136)</f>
        <v>2024.07</v>
      </c>
      <c r="B132" s="17" t="n">
        <f aca="false">IFERROR(VALUE(LEFT($A132,4)),"")</f>
        <v>2024</v>
      </c>
      <c r="C132" s="17" t="n">
        <f aca="false">IFERROR(VALUE(RIGHT($A132,2)),"")</f>
        <v>7</v>
      </c>
      <c r="D132" s="17" t="n">
        <f aca="false">IFERROR(ROUNDUP($C132/3,0),"")</f>
        <v>3</v>
      </c>
      <c r="E132" s="11" t="str">
        <f aca="false">TRIM('수출입 실적(성질별_수출)'!C136)</f>
        <v>가. 섬유원료</v>
      </c>
      <c r="F132" s="18" t="n">
        <f aca="false">IFERROR(VALUE(SUBSTITUTE(TRIM('수출입 실적(성질별_수출)'!D136),",","")),"")</f>
        <v>57537.9</v>
      </c>
      <c r="G132" s="19" t="n">
        <f aca="false">IFERROR(VALUE(SUBSTITUTE(TRIM('수출입 실적(성질별_수출)'!E136),",","")),"")</f>
        <v>91884</v>
      </c>
    </row>
    <row r="133" customFormat="false" ht="15" hidden="false" customHeight="true" outlineLevel="0" collapsed="false">
      <c r="A133" s="11" t="str">
        <f aca="false">TRIM('수출입 실적(성질별_수출)'!A137)</f>
        <v>2024.07</v>
      </c>
      <c r="B133" s="17" t="n">
        <f aca="false">IFERROR(VALUE(LEFT($A133,4)),"")</f>
        <v>2024</v>
      </c>
      <c r="C133" s="17" t="n">
        <f aca="false">IFERROR(VALUE(RIGHT($A133,2)),"")</f>
        <v>7</v>
      </c>
      <c r="D133" s="17" t="n">
        <f aca="false">IFERROR(ROUNDUP($C133/3,0),"")</f>
        <v>3</v>
      </c>
      <c r="E133" s="11" t="str">
        <f aca="false">TRIM('수출입 실적(성질별_수출)'!C137)</f>
        <v>나. 섬유사</v>
      </c>
      <c r="F133" s="18" t="n">
        <f aca="false">IFERROR(VALUE(SUBSTITUTE(TRIM('수출입 실적(성질별_수출)'!D137),",","")),"")</f>
        <v>21010.5</v>
      </c>
      <c r="G133" s="19" t="n">
        <f aca="false">IFERROR(VALUE(SUBSTITUTE(TRIM('수출입 실적(성질별_수출)'!E137),",","")),"")</f>
        <v>71326</v>
      </c>
    </row>
    <row r="134" customFormat="false" ht="15" hidden="false" customHeight="true" outlineLevel="0" collapsed="false">
      <c r="A134" s="11" t="str">
        <f aca="false">TRIM('수출입 실적(성질별_수출)'!A138)</f>
        <v>2024.07</v>
      </c>
      <c r="B134" s="17" t="n">
        <f aca="false">IFERROR(VALUE(LEFT($A134,4)),"")</f>
        <v>2024</v>
      </c>
      <c r="C134" s="17" t="n">
        <f aca="false">IFERROR(VALUE(RIGHT($A134,2)),"")</f>
        <v>7</v>
      </c>
      <c r="D134" s="17" t="n">
        <f aca="false">IFERROR(ROUNDUP($C134/3,0),"")</f>
        <v>3</v>
      </c>
      <c r="E134" s="11" t="str">
        <f aca="false">TRIM('수출입 실적(성질별_수출)'!C138)</f>
        <v>다. 직 물</v>
      </c>
      <c r="F134" s="18" t="n">
        <f aca="false">IFERROR(VALUE(SUBSTITUTE(TRIM('수출입 실적(성질별_수출)'!D138),",","")),"")</f>
        <v>33737</v>
      </c>
      <c r="G134" s="19" t="n">
        <f aca="false">IFERROR(VALUE(SUBSTITUTE(TRIM('수출입 실적(성질별_수출)'!E138),",","")),"")</f>
        <v>315023</v>
      </c>
    </row>
    <row r="135" customFormat="false" ht="15" hidden="false" customHeight="true" outlineLevel="0" collapsed="false">
      <c r="A135" s="11" t="str">
        <f aca="false">TRIM('수출입 실적(성질별_수출)'!A139)</f>
        <v>2024.07</v>
      </c>
      <c r="B135" s="17" t="n">
        <f aca="false">IFERROR(VALUE(LEFT($A135,4)),"")</f>
        <v>2024</v>
      </c>
      <c r="C135" s="17" t="n">
        <f aca="false">IFERROR(VALUE(RIGHT($A135,2)),"")</f>
        <v>7</v>
      </c>
      <c r="D135" s="17" t="n">
        <f aca="false">IFERROR(ROUNDUP($C135/3,0),"")</f>
        <v>3</v>
      </c>
      <c r="E135" s="11" t="str">
        <f aca="false">TRIM('수출입 실적(성질별_수출)'!C139)</f>
        <v>라. 기타 섬유제품</v>
      </c>
      <c r="F135" s="18" t="n">
        <f aca="false">IFERROR(VALUE(SUBSTITUTE(TRIM('수출입 실적(성질별_수출)'!D139),",","")),"")</f>
        <v>24504.2</v>
      </c>
      <c r="G135" s="19" t="n">
        <f aca="false">IFERROR(VALUE(SUBSTITUTE(TRIM('수출입 실적(성질별_수출)'!E139),",","")),"")</f>
        <v>197081</v>
      </c>
    </row>
    <row r="136" customFormat="false" ht="15" hidden="false" customHeight="true" outlineLevel="0" collapsed="false">
      <c r="A136" s="11" t="str">
        <f aca="false">TRIM('수출입 실적(성질별_수출)'!A140)</f>
        <v>2024.07</v>
      </c>
      <c r="B136" s="17" t="n">
        <f aca="false">IFERROR(VALUE(LEFT($A136,4)),"")</f>
        <v>2024</v>
      </c>
      <c r="C136" s="17" t="n">
        <f aca="false">IFERROR(VALUE(RIGHT($A136,2)),"")</f>
        <v>7</v>
      </c>
      <c r="D136" s="17" t="n">
        <f aca="false">IFERROR(ROUNDUP($C136/3,0),"")</f>
        <v>3</v>
      </c>
      <c r="E136" s="11" t="str">
        <f aca="false">TRIM('수출입 실적(성질별_수출)'!C140)</f>
        <v>마. 의 류</v>
      </c>
      <c r="F136" s="18" t="n">
        <f aca="false">IFERROR(VALUE(SUBSTITUTE(TRIM('수출입 실적(성질별_수출)'!D140),",","")),"")</f>
        <v>5708.6</v>
      </c>
      <c r="G136" s="19" t="n">
        <f aca="false">IFERROR(VALUE(SUBSTITUTE(TRIM('수출입 실적(성질별_수출)'!E140),",","")),"")</f>
        <v>155386</v>
      </c>
    </row>
    <row r="137" customFormat="false" ht="15" hidden="false" customHeight="true" outlineLevel="0" collapsed="false">
      <c r="A137" s="11" t="str">
        <f aca="false">TRIM('수출입 실적(성질별_수출)'!A141)</f>
        <v>2024.07</v>
      </c>
      <c r="B137" s="17" t="n">
        <f aca="false">IFERROR(VALUE(LEFT($A137,4)),"")</f>
        <v>2024</v>
      </c>
      <c r="C137" s="17" t="n">
        <f aca="false">IFERROR(VALUE(RIGHT($A137,2)),"")</f>
        <v>7</v>
      </c>
      <c r="D137" s="17" t="n">
        <f aca="false">IFERROR(ROUNDUP($C137/3,0),"")</f>
        <v>3</v>
      </c>
      <c r="E137" s="11" t="str">
        <f aca="false">TRIM('수출입 실적(성질별_수출)'!C141)</f>
        <v>바. 목제품</v>
      </c>
      <c r="F137" s="18" t="n">
        <f aca="false">IFERROR(VALUE(SUBSTITUTE(TRIM('수출입 실적(성질별_수출)'!D141),",","")),"")</f>
        <v>17529.9</v>
      </c>
      <c r="G137" s="19" t="n">
        <f aca="false">IFERROR(VALUE(SUBSTITUTE(TRIM('수출입 실적(성질별_수출)'!E141),",","")),"")</f>
        <v>103871</v>
      </c>
    </row>
    <row r="138" customFormat="false" ht="15" hidden="false" customHeight="true" outlineLevel="0" collapsed="false">
      <c r="A138" s="11" t="str">
        <f aca="false">TRIM('수출입 실적(성질별_수출)'!A142)</f>
        <v>2024.07</v>
      </c>
      <c r="B138" s="17" t="n">
        <f aca="false">IFERROR(VALUE(LEFT($A138,4)),"")</f>
        <v>2024</v>
      </c>
      <c r="C138" s="17" t="n">
        <f aca="false">IFERROR(VALUE(RIGHT($A138,2)),"")</f>
        <v>7</v>
      </c>
      <c r="D138" s="17" t="n">
        <f aca="false">IFERROR(ROUNDUP($C138/3,0),"")</f>
        <v>3</v>
      </c>
      <c r="E138" s="11" t="str">
        <f aca="false">TRIM('수출입 실적(성질별_수출)'!C142)</f>
        <v>사. 가죽, 고무 및 신발류</v>
      </c>
      <c r="F138" s="18" t="n">
        <f aca="false">IFERROR(VALUE(SUBSTITUTE(TRIM('수출입 실적(성질별_수출)'!D142),",","")),"")</f>
        <v>86712.6</v>
      </c>
      <c r="G138" s="19" t="n">
        <f aca="false">IFERROR(VALUE(SUBSTITUTE(TRIM('수출입 실적(성질별_수출)'!E142),",","")),"")</f>
        <v>496133</v>
      </c>
    </row>
    <row r="139" customFormat="false" ht="15" hidden="false" customHeight="true" outlineLevel="0" collapsed="false">
      <c r="A139" s="11" t="str">
        <f aca="false">TRIM('수출입 실적(성질별_수출)'!A143)</f>
        <v>2024.07</v>
      </c>
      <c r="B139" s="17" t="n">
        <f aca="false">IFERROR(VALUE(LEFT($A139,4)),"")</f>
        <v>2024</v>
      </c>
      <c r="C139" s="17" t="n">
        <f aca="false">IFERROR(VALUE(RIGHT($A139,2)),"")</f>
        <v>7</v>
      </c>
      <c r="D139" s="17" t="n">
        <f aca="false">IFERROR(ROUNDUP($C139/3,0),"")</f>
        <v>3</v>
      </c>
      <c r="E139" s="11" t="str">
        <f aca="false">TRIM('수출입 실적(성질별_수출)'!C143)</f>
        <v>아. 귀금속 및 보석류</v>
      </c>
      <c r="F139" s="18" t="n">
        <f aca="false">IFERROR(VALUE(SUBSTITUTE(TRIM('수출입 실적(성질별_수출)'!D143),",","")),"")</f>
        <v>410.5</v>
      </c>
      <c r="G139" s="19" t="n">
        <f aca="false">IFERROR(VALUE(SUBSTITUTE(TRIM('수출입 실적(성질별_수출)'!E143),",","")),"")</f>
        <v>374409</v>
      </c>
    </row>
    <row r="140" customFormat="false" ht="15" hidden="false" customHeight="true" outlineLevel="0" collapsed="false">
      <c r="A140" s="11" t="str">
        <f aca="false">TRIM('수출입 실적(성질별_수출)'!A144)</f>
        <v>2024.07</v>
      </c>
      <c r="B140" s="17" t="n">
        <f aca="false">IFERROR(VALUE(LEFT($A140,4)),"")</f>
        <v>2024</v>
      </c>
      <c r="C140" s="17" t="n">
        <f aca="false">IFERROR(VALUE(RIGHT($A140,2)),"")</f>
        <v>7</v>
      </c>
      <c r="D140" s="17" t="n">
        <f aca="false">IFERROR(ROUNDUP($C140/3,0),"")</f>
        <v>3</v>
      </c>
      <c r="E140" s="11" t="str">
        <f aca="false">TRIM('수출입 실적(성질별_수출)'!C144)</f>
        <v>자. 기타 비금속 광물제품</v>
      </c>
      <c r="F140" s="18" t="n">
        <f aca="false">IFERROR(VALUE(SUBSTITUTE(TRIM('수출입 실적(성질별_수출)'!D144),",","")),"")</f>
        <v>358757.1</v>
      </c>
      <c r="G140" s="19" t="n">
        <f aca="false">IFERROR(VALUE(SUBSTITUTE(TRIM('수출입 실적(성질별_수출)'!E144),",","")),"")</f>
        <v>223156</v>
      </c>
    </row>
    <row r="141" customFormat="false" ht="15" hidden="false" customHeight="true" outlineLevel="0" collapsed="false">
      <c r="A141" s="11" t="str">
        <f aca="false">TRIM('수출입 실적(성질별_수출)'!A145)</f>
        <v>2024.07</v>
      </c>
      <c r="B141" s="17" t="n">
        <f aca="false">IFERROR(VALUE(LEFT($A141,4)),"")</f>
        <v>2024</v>
      </c>
      <c r="C141" s="17" t="n">
        <f aca="false">IFERROR(VALUE(RIGHT($A141,2)),"")</f>
        <v>7</v>
      </c>
      <c r="D141" s="17" t="n">
        <f aca="false">IFERROR(ROUNDUP($C141/3,0),"")</f>
        <v>3</v>
      </c>
      <c r="E141" s="11" t="str">
        <f aca="false">TRIM('수출입 실적(성질별_수출)'!C145)</f>
        <v>차. 완구, 운동용구 및 악기</v>
      </c>
      <c r="F141" s="18" t="n">
        <f aca="false">IFERROR(VALUE(SUBSTITUTE(TRIM('수출입 실적(성질별_수출)'!D145),",","")),"")</f>
        <v>2467.3</v>
      </c>
      <c r="G141" s="19" t="n">
        <f aca="false">IFERROR(VALUE(SUBSTITUTE(TRIM('수출입 실적(성질별_수출)'!E145),",","")),"")</f>
        <v>51807</v>
      </c>
    </row>
    <row r="142" customFormat="false" ht="15" hidden="false" customHeight="true" outlineLevel="0" collapsed="false">
      <c r="A142" s="11" t="str">
        <f aca="false">TRIM('수출입 실적(성질별_수출)'!A146)</f>
        <v>2024.07</v>
      </c>
      <c r="B142" s="17" t="n">
        <f aca="false">IFERROR(VALUE(LEFT($A142,4)),"")</f>
        <v>2024</v>
      </c>
      <c r="C142" s="17" t="n">
        <f aca="false">IFERROR(VALUE(RIGHT($A142,2)),"")</f>
        <v>7</v>
      </c>
      <c r="D142" s="17" t="n">
        <f aca="false">IFERROR(ROUNDUP($C142/3,0),"")</f>
        <v>3</v>
      </c>
      <c r="E142" s="11" t="str">
        <f aca="false">TRIM('수출입 실적(성질별_수출)'!C146)</f>
        <v>카. 기 타</v>
      </c>
      <c r="F142" s="18" t="n">
        <f aca="false">IFERROR(VALUE(SUBSTITUTE(TRIM('수출입 실적(성질별_수출)'!D146),",","")),"")</f>
        <v>360892.9</v>
      </c>
      <c r="G142" s="19" t="n">
        <f aca="false">IFERROR(VALUE(SUBSTITUTE(TRIM('수출입 실적(성질별_수출)'!E146),",","")),"")</f>
        <v>993632</v>
      </c>
    </row>
    <row r="143" customFormat="false" ht="15" hidden="false" customHeight="true" outlineLevel="0" collapsed="false">
      <c r="A143" s="11" t="str">
        <f aca="false">TRIM('수출입 실적(성질별_수출)'!A147)</f>
        <v>2024.07</v>
      </c>
      <c r="B143" s="17" t="n">
        <f aca="false">IFERROR(VALUE(LEFT($A143,4)),"")</f>
        <v>2024</v>
      </c>
      <c r="C143" s="17" t="n">
        <f aca="false">IFERROR(VALUE(RIGHT($A143,2)),"")</f>
        <v>7</v>
      </c>
      <c r="D143" s="17" t="n">
        <f aca="false">IFERROR(ROUNDUP($C143/3,0),"")</f>
        <v>3</v>
      </c>
      <c r="E143" s="11" t="str">
        <f aca="false">TRIM('수출입 실적(성질별_수출)'!C147)</f>
        <v>4. 중화학 공업품</v>
      </c>
      <c r="F143" s="18" t="n">
        <f aca="false">IFERROR(VALUE(SUBSTITUTE(TRIM('수출입 실적(성질별_수출)'!D147),",","")),"")</f>
        <v>8739761.8</v>
      </c>
      <c r="G143" s="19" t="n">
        <f aca="false">IFERROR(VALUE(SUBSTITUTE(TRIM('수출입 실적(성질별_수출)'!E147),",","")),"")</f>
        <v>47898408</v>
      </c>
    </row>
    <row r="144" customFormat="false" ht="15" hidden="false" customHeight="true" outlineLevel="0" collapsed="false">
      <c r="A144" s="11" t="str">
        <f aca="false">TRIM('수출입 실적(성질별_수출)'!A148)</f>
        <v>2024.07</v>
      </c>
      <c r="B144" s="17" t="n">
        <f aca="false">IFERROR(VALUE(LEFT($A144,4)),"")</f>
        <v>2024</v>
      </c>
      <c r="C144" s="17" t="n">
        <f aca="false">IFERROR(VALUE(RIGHT($A144,2)),"")</f>
        <v>7</v>
      </c>
      <c r="D144" s="17" t="n">
        <f aca="false">IFERROR(ROUNDUP($C144/3,0),"")</f>
        <v>3</v>
      </c>
      <c r="E144" s="11" t="str">
        <f aca="false">TRIM('수출입 실적(성질별_수출)'!C148)</f>
        <v>가. 화공품</v>
      </c>
      <c r="F144" s="18" t="n">
        <f aca="false">IFERROR(VALUE(SUBSTITUTE(TRIM('수출입 실적(성질별_수출)'!D148),",","")),"")</f>
        <v>4056097.1</v>
      </c>
      <c r="G144" s="19" t="n">
        <f aca="false">IFERROR(VALUE(SUBSTITUTE(TRIM('수출입 실적(성질별_수출)'!E148),",","")),"")</f>
        <v>7186133</v>
      </c>
    </row>
    <row r="145" customFormat="false" ht="15" hidden="false" customHeight="true" outlineLevel="0" collapsed="false">
      <c r="A145" s="11" t="str">
        <f aca="false">TRIM('수출입 실적(성질별_수출)'!A149)</f>
        <v>2024.07</v>
      </c>
      <c r="B145" s="17" t="n">
        <f aca="false">IFERROR(VALUE(LEFT($A145,4)),"")</f>
        <v>2024</v>
      </c>
      <c r="C145" s="17" t="n">
        <f aca="false">IFERROR(VALUE(RIGHT($A145,2)),"")</f>
        <v>7</v>
      </c>
      <c r="D145" s="17" t="n">
        <f aca="false">IFERROR(ROUNDUP($C145/3,0),"")</f>
        <v>3</v>
      </c>
      <c r="E145" s="11" t="str">
        <f aca="false">TRIM('수출입 실적(성질별_수출)'!C149)</f>
        <v>나. 철강제품</v>
      </c>
      <c r="F145" s="18" t="n">
        <f aca="false">IFERROR(VALUE(SUBSTITUTE(TRIM('수출입 실적(성질별_수출)'!D149),",","")),"")</f>
        <v>2726665.7</v>
      </c>
      <c r="G145" s="19" t="n">
        <f aca="false">IFERROR(VALUE(SUBSTITUTE(TRIM('수출입 실적(성질별_수출)'!E149),",","")),"")</f>
        <v>4164877</v>
      </c>
    </row>
    <row r="146" customFormat="false" ht="15" hidden="false" customHeight="true" outlineLevel="0" collapsed="false">
      <c r="A146" s="11" t="str">
        <f aca="false">TRIM('수출입 실적(성질별_수출)'!A150)</f>
        <v>2024.07</v>
      </c>
      <c r="B146" s="17" t="n">
        <f aca="false">IFERROR(VALUE(LEFT($A146,4)),"")</f>
        <v>2024</v>
      </c>
      <c r="C146" s="17" t="n">
        <f aca="false">IFERROR(VALUE(RIGHT($A146,2)),"")</f>
        <v>7</v>
      </c>
      <c r="D146" s="17" t="n">
        <f aca="false">IFERROR(ROUNDUP($C146/3,0),"")</f>
        <v>3</v>
      </c>
      <c r="E146" s="11" t="str">
        <f aca="false">TRIM('수출입 실적(성질별_수출)'!C150)</f>
        <v>다. 기계류와 정밀기기</v>
      </c>
      <c r="F146" s="18" t="n">
        <f aca="false">IFERROR(VALUE(SUBSTITUTE(TRIM('수출입 실적(성질별_수출)'!D150),",","")),"")</f>
        <v>394991.5</v>
      </c>
      <c r="G146" s="19" t="n">
        <f aca="false">IFERROR(VALUE(SUBSTITUTE(TRIM('수출입 실적(성질별_수출)'!E150),",","")),"")</f>
        <v>6908720</v>
      </c>
    </row>
    <row r="147" customFormat="false" ht="15" hidden="false" customHeight="true" outlineLevel="0" collapsed="false">
      <c r="A147" s="11" t="str">
        <f aca="false">TRIM('수출입 실적(성질별_수출)'!A151)</f>
        <v>2024.07</v>
      </c>
      <c r="B147" s="17" t="n">
        <f aca="false">IFERROR(VALUE(LEFT($A147,4)),"")</f>
        <v>2024</v>
      </c>
      <c r="C147" s="17" t="n">
        <f aca="false">IFERROR(VALUE(RIGHT($A147,2)),"")</f>
        <v>7</v>
      </c>
      <c r="D147" s="17" t="n">
        <f aca="false">IFERROR(ROUNDUP($C147/3,0),"")</f>
        <v>3</v>
      </c>
      <c r="E147" s="11" t="str">
        <f aca="false">TRIM('수출입 실적(성질별_수출)'!C151)</f>
        <v>라. 전기, 전자제품</v>
      </c>
      <c r="F147" s="18" t="n">
        <f aca="false">IFERROR(VALUE(SUBSTITUTE(TRIM('수출입 실적(성질별_수출)'!D151),",","")),"")</f>
        <v>257011.6</v>
      </c>
      <c r="G147" s="19" t="n">
        <f aca="false">IFERROR(VALUE(SUBSTITUTE(TRIM('수출입 실적(성질별_수출)'!E151),",","")),"")</f>
        <v>19061503</v>
      </c>
    </row>
    <row r="148" customFormat="false" ht="15" hidden="false" customHeight="true" outlineLevel="0" collapsed="false">
      <c r="A148" s="11" t="str">
        <f aca="false">TRIM('수출입 실적(성질별_수출)'!A152)</f>
        <v>2024.07</v>
      </c>
      <c r="B148" s="17" t="n">
        <f aca="false">IFERROR(VALUE(LEFT($A148,4)),"")</f>
        <v>2024</v>
      </c>
      <c r="C148" s="17" t="n">
        <f aca="false">IFERROR(VALUE(RIGHT($A148,2)),"")</f>
        <v>7</v>
      </c>
      <c r="D148" s="17" t="n">
        <f aca="false">IFERROR(ROUNDUP($C148/3,0),"")</f>
        <v>3</v>
      </c>
      <c r="E148" s="11" t="str">
        <f aca="false">TRIM('수출입 실적(성질별_수출)'!C152)</f>
        <v>마. 수송장비</v>
      </c>
      <c r="F148" s="18" t="n">
        <f aca="false">IFERROR(VALUE(SUBSTITUTE(TRIM('수출입 실적(성질별_수출)'!D152),",","")),"")</f>
        <v>1229784.7</v>
      </c>
      <c r="G148" s="19" t="n">
        <f aca="false">IFERROR(VALUE(SUBSTITUTE(TRIM('수출입 실적(성질별_수출)'!E152),",","")),"")</f>
        <v>8669854</v>
      </c>
    </row>
    <row r="149" customFormat="false" ht="15" hidden="false" customHeight="true" outlineLevel="0" collapsed="false">
      <c r="A149" s="11" t="str">
        <f aca="false">TRIM('수출입 실적(성질별_수출)'!A153)</f>
        <v>2024.07</v>
      </c>
      <c r="B149" s="17" t="n">
        <f aca="false">IFERROR(VALUE(LEFT($A149,4)),"")</f>
        <v>2024</v>
      </c>
      <c r="C149" s="17" t="n">
        <f aca="false">IFERROR(VALUE(RIGHT($A149,2)),"")</f>
        <v>7</v>
      </c>
      <c r="D149" s="17" t="n">
        <f aca="false">IFERROR(ROUNDUP($C149/3,0),"")</f>
        <v>3</v>
      </c>
      <c r="E149" s="11" t="str">
        <f aca="false">TRIM('수출입 실적(성질별_수출)'!C153)</f>
        <v>바. 기 타</v>
      </c>
      <c r="F149" s="18" t="n">
        <f aca="false">IFERROR(VALUE(SUBSTITUTE(TRIM('수출입 실적(성질별_수출)'!D153),",","")),"")</f>
        <v>75211.3</v>
      </c>
      <c r="G149" s="19" t="n">
        <f aca="false">IFERROR(VALUE(SUBSTITUTE(TRIM('수출입 실적(성질별_수출)'!E153),",","")),"")</f>
        <v>1907321</v>
      </c>
    </row>
    <row r="150" customFormat="false" ht="15" hidden="false" customHeight="true" outlineLevel="0" collapsed="false">
      <c r="A150" s="11" t="str">
        <f aca="false">TRIM('수출입 실적(성질별_수출)'!A154)</f>
        <v>2024.08</v>
      </c>
      <c r="B150" s="17" t="n">
        <f aca="false">IFERROR(VALUE(LEFT($A150,4)),"")</f>
        <v>2024</v>
      </c>
      <c r="C150" s="17" t="n">
        <f aca="false">IFERROR(VALUE(RIGHT($A150,2)),"")</f>
        <v>8</v>
      </c>
      <c r="D150" s="17" t="n">
        <f aca="false">IFERROR(ROUNDUP($C150/3,0),"")</f>
        <v>3</v>
      </c>
      <c r="E150" s="11" t="str">
        <f aca="false">TRIM('수출입 실적(성질별_수출)'!C154)</f>
        <v>1. 식료 및 직접소비재</v>
      </c>
      <c r="F150" s="18" t="n">
        <f aca="false">IFERROR(VALUE(SUBSTITUTE(TRIM('수출입 실적(성질별_수출)'!D154),",","")),"")</f>
        <v>343036.3</v>
      </c>
      <c r="G150" s="19" t="n">
        <f aca="false">IFERROR(VALUE(SUBSTITUTE(TRIM('수출입 실적(성질별_수출)'!E154),",","")),"")</f>
        <v>929598</v>
      </c>
    </row>
    <row r="151" customFormat="false" ht="15" hidden="false" customHeight="true" outlineLevel="0" collapsed="false">
      <c r="A151" s="11" t="str">
        <f aca="false">TRIM('수출입 실적(성질별_수출)'!A155)</f>
        <v>2024.08</v>
      </c>
      <c r="B151" s="17" t="n">
        <f aca="false">IFERROR(VALUE(LEFT($A151,4)),"")</f>
        <v>2024</v>
      </c>
      <c r="C151" s="17" t="n">
        <f aca="false">IFERROR(VALUE(RIGHT($A151,2)),"")</f>
        <v>8</v>
      </c>
      <c r="D151" s="17" t="n">
        <f aca="false">IFERROR(ROUNDUP($C151/3,0),"")</f>
        <v>3</v>
      </c>
      <c r="E151" s="11" t="str">
        <f aca="false">TRIM('수출입 실적(성질별_수출)'!C155)</f>
        <v>2. 원료 및 연료</v>
      </c>
      <c r="F151" s="18" t="n">
        <f aca="false">IFERROR(VALUE(SUBSTITUTE(TRIM('수출입 실적(성질별_수출)'!D155),",","")),"")</f>
        <v>6809193</v>
      </c>
      <c r="G151" s="19" t="n">
        <f aca="false">IFERROR(VALUE(SUBSTITUTE(TRIM('수출입 실적(성질별_수출)'!E155),",","")),"")</f>
        <v>5373593</v>
      </c>
    </row>
    <row r="152" customFormat="false" ht="15" hidden="false" customHeight="true" outlineLevel="0" collapsed="false">
      <c r="A152" s="11" t="str">
        <f aca="false">TRIM('수출입 실적(성질별_수출)'!A156)</f>
        <v>2024.08</v>
      </c>
      <c r="B152" s="17" t="n">
        <f aca="false">IFERROR(VALUE(LEFT($A152,4)),"")</f>
        <v>2024</v>
      </c>
      <c r="C152" s="17" t="n">
        <f aca="false">IFERROR(VALUE(RIGHT($A152,2)),"")</f>
        <v>8</v>
      </c>
      <c r="D152" s="17" t="n">
        <f aca="false">IFERROR(ROUNDUP($C152/3,0),"")</f>
        <v>3</v>
      </c>
      <c r="E152" s="11" t="str">
        <f aca="false">TRIM('수출입 실적(성질별_수출)'!C156)</f>
        <v>3. 경공업품</v>
      </c>
      <c r="F152" s="18" t="n">
        <f aca="false">IFERROR(VALUE(SUBSTITUTE(TRIM('수출입 실적(성질별_수출)'!D156),",","")),"")</f>
        <v>799145.8</v>
      </c>
      <c r="G152" s="19" t="n">
        <f aca="false">IFERROR(VALUE(SUBSTITUTE(TRIM('수출입 실적(성질별_수출)'!E156),",","")),"")</f>
        <v>2859876</v>
      </c>
    </row>
    <row r="153" customFormat="false" ht="15" hidden="false" customHeight="true" outlineLevel="0" collapsed="false">
      <c r="A153" s="11" t="str">
        <f aca="false">TRIM('수출입 실적(성질별_수출)'!A157)</f>
        <v>2024.08</v>
      </c>
      <c r="B153" s="17" t="n">
        <f aca="false">IFERROR(VALUE(LEFT($A153,4)),"")</f>
        <v>2024</v>
      </c>
      <c r="C153" s="17" t="n">
        <f aca="false">IFERROR(VALUE(RIGHT($A153,2)),"")</f>
        <v>8</v>
      </c>
      <c r="D153" s="17" t="n">
        <f aca="false">IFERROR(ROUNDUP($C153/3,0),"")</f>
        <v>3</v>
      </c>
      <c r="E153" s="11" t="str">
        <f aca="false">TRIM('수출입 실적(성질별_수출)'!C157)</f>
        <v>가. 섬유원료</v>
      </c>
      <c r="F153" s="18" t="n">
        <f aca="false">IFERROR(VALUE(SUBSTITUTE(TRIM('수출입 실적(성질별_수출)'!D157),",","")),"")</f>
        <v>56576.3</v>
      </c>
      <c r="G153" s="19" t="n">
        <f aca="false">IFERROR(VALUE(SUBSTITUTE(TRIM('수출입 실적(성질별_수출)'!E157),",","")),"")</f>
        <v>87790</v>
      </c>
    </row>
    <row r="154" customFormat="false" ht="15" hidden="false" customHeight="true" outlineLevel="0" collapsed="false">
      <c r="A154" s="11" t="str">
        <f aca="false">TRIM('수출입 실적(성질별_수출)'!A158)</f>
        <v>2024.08</v>
      </c>
      <c r="B154" s="17" t="n">
        <f aca="false">IFERROR(VALUE(LEFT($A154,4)),"")</f>
        <v>2024</v>
      </c>
      <c r="C154" s="17" t="n">
        <f aca="false">IFERROR(VALUE(RIGHT($A154,2)),"")</f>
        <v>8</v>
      </c>
      <c r="D154" s="17" t="n">
        <f aca="false">IFERROR(ROUNDUP($C154/3,0),"")</f>
        <v>3</v>
      </c>
      <c r="E154" s="11" t="str">
        <f aca="false">TRIM('수출입 실적(성질별_수출)'!C158)</f>
        <v>나. 섬유사</v>
      </c>
      <c r="F154" s="18" t="n">
        <f aca="false">IFERROR(VALUE(SUBSTITUTE(TRIM('수출입 실적(성질별_수출)'!D158),",","")),"")</f>
        <v>16594.1</v>
      </c>
      <c r="G154" s="19" t="n">
        <f aca="false">IFERROR(VALUE(SUBSTITUTE(TRIM('수출입 실적(성질별_수출)'!E158),",","")),"")</f>
        <v>60140</v>
      </c>
    </row>
    <row r="155" customFormat="false" ht="15" hidden="false" customHeight="true" outlineLevel="0" collapsed="false">
      <c r="A155" s="11" t="str">
        <f aca="false">TRIM('수출입 실적(성질별_수출)'!A159)</f>
        <v>2024.08</v>
      </c>
      <c r="B155" s="17" t="n">
        <f aca="false">IFERROR(VALUE(LEFT($A155,4)),"")</f>
        <v>2024</v>
      </c>
      <c r="C155" s="17" t="n">
        <f aca="false">IFERROR(VALUE(RIGHT($A155,2)),"")</f>
        <v>8</v>
      </c>
      <c r="D155" s="17" t="n">
        <f aca="false">IFERROR(ROUNDUP($C155/3,0),"")</f>
        <v>3</v>
      </c>
      <c r="E155" s="11" t="str">
        <f aca="false">TRIM('수출입 실적(성질별_수출)'!C159)</f>
        <v>다. 직 물</v>
      </c>
      <c r="F155" s="18" t="n">
        <f aca="false">IFERROR(VALUE(SUBSTITUTE(TRIM('수출입 실적(성질별_수출)'!D159),",","")),"")</f>
        <v>29216.9</v>
      </c>
      <c r="G155" s="19" t="n">
        <f aca="false">IFERROR(VALUE(SUBSTITUTE(TRIM('수출입 실적(성질별_수출)'!E159),",","")),"")</f>
        <v>279043</v>
      </c>
    </row>
    <row r="156" customFormat="false" ht="15" hidden="false" customHeight="true" outlineLevel="0" collapsed="false">
      <c r="A156" s="11" t="str">
        <f aca="false">TRIM('수출입 실적(성질별_수출)'!A160)</f>
        <v>2024.08</v>
      </c>
      <c r="B156" s="17" t="n">
        <f aca="false">IFERROR(VALUE(LEFT($A156,4)),"")</f>
        <v>2024</v>
      </c>
      <c r="C156" s="17" t="n">
        <f aca="false">IFERROR(VALUE(RIGHT($A156,2)),"")</f>
        <v>8</v>
      </c>
      <c r="D156" s="17" t="n">
        <f aca="false">IFERROR(ROUNDUP($C156/3,0),"")</f>
        <v>3</v>
      </c>
      <c r="E156" s="11" t="str">
        <f aca="false">TRIM('수출입 실적(성질별_수출)'!C160)</f>
        <v>라. 기타 섬유제품</v>
      </c>
      <c r="F156" s="18" t="n">
        <f aca="false">IFERROR(VALUE(SUBSTITUTE(TRIM('수출입 실적(성질별_수출)'!D160),",","")),"")</f>
        <v>21489.8</v>
      </c>
      <c r="G156" s="19" t="n">
        <f aca="false">IFERROR(VALUE(SUBSTITUTE(TRIM('수출입 실적(성질별_수출)'!E160),",","")),"")</f>
        <v>175707</v>
      </c>
    </row>
    <row r="157" customFormat="false" ht="15" hidden="false" customHeight="true" outlineLevel="0" collapsed="false">
      <c r="A157" s="11" t="str">
        <f aca="false">TRIM('수출입 실적(성질별_수출)'!A161)</f>
        <v>2024.08</v>
      </c>
      <c r="B157" s="17" t="n">
        <f aca="false">IFERROR(VALUE(LEFT($A157,4)),"")</f>
        <v>2024</v>
      </c>
      <c r="C157" s="17" t="n">
        <f aca="false">IFERROR(VALUE(RIGHT($A157,2)),"")</f>
        <v>8</v>
      </c>
      <c r="D157" s="17" t="n">
        <f aca="false">IFERROR(ROUNDUP($C157/3,0),"")</f>
        <v>3</v>
      </c>
      <c r="E157" s="11" t="str">
        <f aca="false">TRIM('수출입 실적(성질별_수출)'!C161)</f>
        <v>마. 의 류</v>
      </c>
      <c r="F157" s="18" t="n">
        <f aca="false">IFERROR(VALUE(SUBSTITUTE(TRIM('수출입 실적(성질별_수출)'!D161),",","")),"")</f>
        <v>4982.3</v>
      </c>
      <c r="G157" s="19" t="n">
        <f aca="false">IFERROR(VALUE(SUBSTITUTE(TRIM('수출입 실적(성질별_수출)'!E161),",","")),"")</f>
        <v>137210</v>
      </c>
    </row>
    <row r="158" customFormat="false" ht="15" hidden="false" customHeight="true" outlineLevel="0" collapsed="false">
      <c r="A158" s="11" t="str">
        <f aca="false">TRIM('수출입 실적(성질별_수출)'!A162)</f>
        <v>2024.08</v>
      </c>
      <c r="B158" s="17" t="n">
        <f aca="false">IFERROR(VALUE(LEFT($A158,4)),"")</f>
        <v>2024</v>
      </c>
      <c r="C158" s="17" t="n">
        <f aca="false">IFERROR(VALUE(RIGHT($A158,2)),"")</f>
        <v>8</v>
      </c>
      <c r="D158" s="17" t="n">
        <f aca="false">IFERROR(ROUNDUP($C158/3,0),"")</f>
        <v>3</v>
      </c>
      <c r="E158" s="11" t="str">
        <f aca="false">TRIM('수출입 실적(성질별_수출)'!C162)</f>
        <v>바. 목제품</v>
      </c>
      <c r="F158" s="18" t="n">
        <f aca="false">IFERROR(VALUE(SUBSTITUTE(TRIM('수출입 실적(성질별_수출)'!D162),",","")),"")</f>
        <v>17578.2</v>
      </c>
      <c r="G158" s="19" t="n">
        <f aca="false">IFERROR(VALUE(SUBSTITUTE(TRIM('수출입 실적(성질별_수출)'!E162),",","")),"")</f>
        <v>100609</v>
      </c>
    </row>
    <row r="159" customFormat="false" ht="15" hidden="false" customHeight="true" outlineLevel="0" collapsed="false">
      <c r="A159" s="11" t="str">
        <f aca="false">TRIM('수출입 실적(성질별_수출)'!A163)</f>
        <v>2024.08</v>
      </c>
      <c r="B159" s="17" t="n">
        <f aca="false">IFERROR(VALUE(LEFT($A159,4)),"")</f>
        <v>2024</v>
      </c>
      <c r="C159" s="17" t="n">
        <f aca="false">IFERROR(VALUE(RIGHT($A159,2)),"")</f>
        <v>8</v>
      </c>
      <c r="D159" s="17" t="n">
        <f aca="false">IFERROR(ROUNDUP($C159/3,0),"")</f>
        <v>3</v>
      </c>
      <c r="E159" s="11" t="str">
        <f aca="false">TRIM('수출입 실적(성질별_수출)'!C163)</f>
        <v>사. 가죽, 고무 및 신발류</v>
      </c>
      <c r="F159" s="18" t="n">
        <f aca="false">IFERROR(VALUE(SUBSTITUTE(TRIM('수출입 실적(성질별_수출)'!D163),",","")),"")</f>
        <v>69612.5</v>
      </c>
      <c r="G159" s="19" t="n">
        <f aca="false">IFERROR(VALUE(SUBSTITUTE(TRIM('수출입 실적(성질별_수출)'!E163),",","")),"")</f>
        <v>393930</v>
      </c>
    </row>
    <row r="160" customFormat="false" ht="15" hidden="false" customHeight="true" outlineLevel="0" collapsed="false">
      <c r="A160" s="11" t="str">
        <f aca="false">TRIM('수출입 실적(성질별_수출)'!A164)</f>
        <v>2024.08</v>
      </c>
      <c r="B160" s="17" t="n">
        <f aca="false">IFERROR(VALUE(LEFT($A160,4)),"")</f>
        <v>2024</v>
      </c>
      <c r="C160" s="17" t="n">
        <f aca="false">IFERROR(VALUE(RIGHT($A160,2)),"")</f>
        <v>8</v>
      </c>
      <c r="D160" s="17" t="n">
        <f aca="false">IFERROR(ROUNDUP($C160/3,0),"")</f>
        <v>3</v>
      </c>
      <c r="E160" s="11" t="str">
        <f aca="false">TRIM('수출입 실적(성질별_수출)'!C164)</f>
        <v>아. 귀금속 및 보석류</v>
      </c>
      <c r="F160" s="18" t="n">
        <f aca="false">IFERROR(VALUE(SUBSTITUTE(TRIM('수출입 실적(성질별_수출)'!D164),",","")),"")</f>
        <v>366.3</v>
      </c>
      <c r="G160" s="19" t="n">
        <f aca="false">IFERROR(VALUE(SUBSTITUTE(TRIM('수출입 실적(성질별_수출)'!E164),",","")),"")</f>
        <v>332597</v>
      </c>
    </row>
    <row r="161" customFormat="false" ht="15" hidden="false" customHeight="true" outlineLevel="0" collapsed="false">
      <c r="A161" s="11" t="str">
        <f aca="false">TRIM('수출입 실적(성질별_수출)'!A165)</f>
        <v>2024.08</v>
      </c>
      <c r="B161" s="17" t="n">
        <f aca="false">IFERROR(VALUE(LEFT($A161,4)),"")</f>
        <v>2024</v>
      </c>
      <c r="C161" s="17" t="n">
        <f aca="false">IFERROR(VALUE(RIGHT($A161,2)),"")</f>
        <v>8</v>
      </c>
      <c r="D161" s="17" t="n">
        <f aca="false">IFERROR(ROUNDUP($C161/3,0),"")</f>
        <v>3</v>
      </c>
      <c r="E161" s="11" t="str">
        <f aca="false">TRIM('수출입 실적(성질별_수출)'!C165)</f>
        <v>자. 기타 비금속 광물제품</v>
      </c>
      <c r="F161" s="18" t="n">
        <f aca="false">IFERROR(VALUE(SUBSTITUTE(TRIM('수출입 실적(성질별_수출)'!D165),",","")),"")</f>
        <v>250510.5</v>
      </c>
      <c r="G161" s="19" t="n">
        <f aca="false">IFERROR(VALUE(SUBSTITUTE(TRIM('수출입 실적(성질별_수출)'!E165),",","")),"")</f>
        <v>208809</v>
      </c>
    </row>
    <row r="162" customFormat="false" ht="15" hidden="false" customHeight="true" outlineLevel="0" collapsed="false">
      <c r="A162" s="11" t="str">
        <f aca="false">TRIM('수출입 실적(성질별_수출)'!A166)</f>
        <v>2024.08</v>
      </c>
      <c r="B162" s="17" t="n">
        <f aca="false">IFERROR(VALUE(LEFT($A162,4)),"")</f>
        <v>2024</v>
      </c>
      <c r="C162" s="17" t="n">
        <f aca="false">IFERROR(VALUE(RIGHT($A162,2)),"")</f>
        <v>8</v>
      </c>
      <c r="D162" s="17" t="n">
        <f aca="false">IFERROR(ROUNDUP($C162/3,0),"")</f>
        <v>3</v>
      </c>
      <c r="E162" s="11" t="str">
        <f aca="false">TRIM('수출입 실적(성질별_수출)'!C166)</f>
        <v>차. 완구, 운동용구 및 악기</v>
      </c>
      <c r="F162" s="18" t="n">
        <f aca="false">IFERROR(VALUE(SUBSTITUTE(TRIM('수출입 실적(성질별_수출)'!D166),",","")),"")</f>
        <v>2254.8</v>
      </c>
      <c r="G162" s="19" t="n">
        <f aca="false">IFERROR(VALUE(SUBSTITUTE(TRIM('수출입 실적(성질별_수출)'!E166),",","")),"")</f>
        <v>43816</v>
      </c>
    </row>
    <row r="163" customFormat="false" ht="15" hidden="false" customHeight="true" outlineLevel="0" collapsed="false">
      <c r="A163" s="11" t="str">
        <f aca="false">TRIM('수출입 실적(성질별_수출)'!A167)</f>
        <v>2024.08</v>
      </c>
      <c r="B163" s="17" t="n">
        <f aca="false">IFERROR(VALUE(LEFT($A163,4)),"")</f>
        <v>2024</v>
      </c>
      <c r="C163" s="17" t="n">
        <f aca="false">IFERROR(VALUE(RIGHT($A163,2)),"")</f>
        <v>8</v>
      </c>
      <c r="D163" s="17" t="n">
        <f aca="false">IFERROR(ROUNDUP($C163/3,0),"")</f>
        <v>3</v>
      </c>
      <c r="E163" s="11" t="str">
        <f aca="false">TRIM('수출입 실적(성질별_수출)'!C167)</f>
        <v>카. 기 타</v>
      </c>
      <c r="F163" s="18" t="n">
        <f aca="false">IFERROR(VALUE(SUBSTITUTE(TRIM('수출입 실적(성질별_수출)'!D167),",","")),"")</f>
        <v>329964</v>
      </c>
      <c r="G163" s="19" t="n">
        <f aca="false">IFERROR(VALUE(SUBSTITUTE(TRIM('수출입 실적(성질별_수출)'!E167),",","")),"")</f>
        <v>1040224</v>
      </c>
    </row>
    <row r="164" customFormat="false" ht="15" hidden="false" customHeight="true" outlineLevel="0" collapsed="false">
      <c r="A164" s="11" t="str">
        <f aca="false">TRIM('수출입 실적(성질별_수출)'!A168)</f>
        <v>2024.08</v>
      </c>
      <c r="B164" s="17" t="n">
        <f aca="false">IFERROR(VALUE(LEFT($A164,4)),"")</f>
        <v>2024</v>
      </c>
      <c r="C164" s="17" t="n">
        <f aca="false">IFERROR(VALUE(RIGHT($A164,2)),"")</f>
        <v>8</v>
      </c>
      <c r="D164" s="17" t="n">
        <f aca="false">IFERROR(ROUNDUP($C164/3,0),"")</f>
        <v>3</v>
      </c>
      <c r="E164" s="11" t="str">
        <f aca="false">TRIM('수출입 실적(성질별_수출)'!C168)</f>
        <v>4. 중화학 공업품</v>
      </c>
      <c r="F164" s="18" t="n">
        <f aca="false">IFERROR(VALUE(SUBSTITUTE(TRIM('수출입 실적(성질별_수출)'!D168),",","")),"")</f>
        <v>9118665.8</v>
      </c>
      <c r="G164" s="19" t="n">
        <f aca="false">IFERROR(VALUE(SUBSTITUTE(TRIM('수출입 실적(성질별_수출)'!E168),",","")),"")</f>
        <v>48479858</v>
      </c>
    </row>
    <row r="165" customFormat="false" ht="15" hidden="false" customHeight="true" outlineLevel="0" collapsed="false">
      <c r="A165" s="11" t="str">
        <f aca="false">TRIM('수출입 실적(성질별_수출)'!A169)</f>
        <v>2024.08</v>
      </c>
      <c r="B165" s="17" t="n">
        <f aca="false">IFERROR(VALUE(LEFT($A165,4)),"")</f>
        <v>2024</v>
      </c>
      <c r="C165" s="17" t="n">
        <f aca="false">IFERROR(VALUE(RIGHT($A165,2)),"")</f>
        <v>8</v>
      </c>
      <c r="D165" s="17" t="n">
        <f aca="false">IFERROR(ROUNDUP($C165/3,0),"")</f>
        <v>3</v>
      </c>
      <c r="E165" s="11" t="str">
        <f aca="false">TRIM('수출입 실적(성질별_수출)'!C169)</f>
        <v>가. 화공품</v>
      </c>
      <c r="F165" s="18" t="n">
        <f aca="false">IFERROR(VALUE(SUBSTITUTE(TRIM('수출입 실적(성질별_수출)'!D169),",","")),"")</f>
        <v>3944880.9</v>
      </c>
      <c r="G165" s="19" t="n">
        <f aca="false">IFERROR(VALUE(SUBSTITUTE(TRIM('수출입 실적(성질별_수출)'!E169),",","")),"")</f>
        <v>7043811</v>
      </c>
    </row>
    <row r="166" customFormat="false" ht="15" hidden="false" customHeight="true" outlineLevel="0" collapsed="false">
      <c r="A166" s="11" t="str">
        <f aca="false">TRIM('수출입 실적(성질별_수출)'!A170)</f>
        <v>2024.08</v>
      </c>
      <c r="B166" s="17" t="n">
        <f aca="false">IFERROR(VALUE(LEFT($A166,4)),"")</f>
        <v>2024</v>
      </c>
      <c r="C166" s="17" t="n">
        <f aca="false">IFERROR(VALUE(RIGHT($A166,2)),"")</f>
        <v>8</v>
      </c>
      <c r="D166" s="17" t="n">
        <f aca="false">IFERROR(ROUNDUP($C166/3,0),"")</f>
        <v>3</v>
      </c>
      <c r="E166" s="11" t="str">
        <f aca="false">TRIM('수출입 실적(성질별_수출)'!C170)</f>
        <v>나. 철강제품</v>
      </c>
      <c r="F166" s="18" t="n">
        <f aca="false">IFERROR(VALUE(SUBSTITUTE(TRIM('수출입 실적(성질별_수출)'!D170),",","")),"")</f>
        <v>2807605.8</v>
      </c>
      <c r="G166" s="19" t="n">
        <f aca="false">IFERROR(VALUE(SUBSTITUTE(TRIM('수출입 실적(성질별_수출)'!E170),",","")),"")</f>
        <v>4035867</v>
      </c>
    </row>
    <row r="167" customFormat="false" ht="15" hidden="false" customHeight="true" outlineLevel="0" collapsed="false">
      <c r="A167" s="11" t="str">
        <f aca="false">TRIM('수출입 실적(성질별_수출)'!A171)</f>
        <v>2024.08</v>
      </c>
      <c r="B167" s="17" t="n">
        <f aca="false">IFERROR(VALUE(LEFT($A167,4)),"")</f>
        <v>2024</v>
      </c>
      <c r="C167" s="17" t="n">
        <f aca="false">IFERROR(VALUE(RIGHT($A167,2)),"")</f>
        <v>8</v>
      </c>
      <c r="D167" s="17" t="n">
        <f aca="false">IFERROR(ROUNDUP($C167/3,0),"")</f>
        <v>3</v>
      </c>
      <c r="E167" s="11" t="str">
        <f aca="false">TRIM('수출입 실적(성질별_수출)'!C171)</f>
        <v>다. 기계류와 정밀기기</v>
      </c>
      <c r="F167" s="18" t="n">
        <f aca="false">IFERROR(VALUE(SUBSTITUTE(TRIM('수출입 실적(성질별_수출)'!D171),",","")),"")</f>
        <v>315891.5</v>
      </c>
      <c r="G167" s="19" t="n">
        <f aca="false">IFERROR(VALUE(SUBSTITUTE(TRIM('수출입 실적(성질별_수출)'!E171),",","")),"")</f>
        <v>5736433</v>
      </c>
    </row>
    <row r="168" customFormat="false" ht="15" hidden="false" customHeight="true" outlineLevel="0" collapsed="false">
      <c r="A168" s="11" t="str">
        <f aca="false">TRIM('수출입 실적(성질별_수출)'!A172)</f>
        <v>2024.08</v>
      </c>
      <c r="B168" s="17" t="n">
        <f aca="false">IFERROR(VALUE(LEFT($A168,4)),"")</f>
        <v>2024</v>
      </c>
      <c r="C168" s="17" t="n">
        <f aca="false">IFERROR(VALUE(RIGHT($A168,2)),"")</f>
        <v>8</v>
      </c>
      <c r="D168" s="17" t="n">
        <f aca="false">IFERROR(ROUNDUP($C168/3,0),"")</f>
        <v>3</v>
      </c>
      <c r="E168" s="11" t="str">
        <f aca="false">TRIM('수출입 실적(성질별_수출)'!C172)</f>
        <v>라. 전기, 전자제품</v>
      </c>
      <c r="F168" s="18" t="n">
        <f aca="false">IFERROR(VALUE(SUBSTITUTE(TRIM('수출입 실적(성질별_수출)'!D172),",","")),"")</f>
        <v>218155.1</v>
      </c>
      <c r="G168" s="19" t="n">
        <f aca="false">IFERROR(VALUE(SUBSTITUTE(TRIM('수출입 실적(성질별_수출)'!E172),",","")),"")</f>
        <v>20177487</v>
      </c>
    </row>
    <row r="169" customFormat="false" ht="15" hidden="false" customHeight="true" outlineLevel="0" collapsed="false">
      <c r="A169" s="11" t="str">
        <f aca="false">TRIM('수출입 실적(성질별_수출)'!A173)</f>
        <v>2024.08</v>
      </c>
      <c r="B169" s="17" t="n">
        <f aca="false">IFERROR(VALUE(LEFT($A169,4)),"")</f>
        <v>2024</v>
      </c>
      <c r="C169" s="17" t="n">
        <f aca="false">IFERROR(VALUE(RIGHT($A169,2)),"")</f>
        <v>8</v>
      </c>
      <c r="D169" s="17" t="n">
        <f aca="false">IFERROR(ROUNDUP($C169/3,0),"")</f>
        <v>3</v>
      </c>
      <c r="E169" s="11" t="str">
        <f aca="false">TRIM('수출입 실적(성질별_수출)'!C173)</f>
        <v>마. 수송장비</v>
      </c>
      <c r="F169" s="18" t="n">
        <f aca="false">IFERROR(VALUE(SUBSTITUTE(TRIM('수출입 실적(성질별_수출)'!D173),",","")),"")</f>
        <v>1768277.4</v>
      </c>
      <c r="G169" s="19" t="n">
        <f aca="false">IFERROR(VALUE(SUBSTITUTE(TRIM('수출입 실적(성질별_수출)'!E173),",","")),"")</f>
        <v>9764559</v>
      </c>
    </row>
    <row r="170" customFormat="false" ht="15" hidden="false" customHeight="true" outlineLevel="0" collapsed="false">
      <c r="A170" s="11" t="str">
        <f aca="false">TRIM('수출입 실적(성질별_수출)'!A174)</f>
        <v>2024.08</v>
      </c>
      <c r="B170" s="17" t="n">
        <f aca="false">IFERROR(VALUE(LEFT($A170,4)),"")</f>
        <v>2024</v>
      </c>
      <c r="C170" s="17" t="n">
        <f aca="false">IFERROR(VALUE(RIGHT($A170,2)),"")</f>
        <v>8</v>
      </c>
      <c r="D170" s="17" t="n">
        <f aca="false">IFERROR(ROUNDUP($C170/3,0),"")</f>
        <v>3</v>
      </c>
      <c r="E170" s="11" t="str">
        <f aca="false">TRIM('수출입 실적(성질별_수출)'!C174)</f>
        <v>바. 기 타</v>
      </c>
      <c r="F170" s="18" t="n">
        <f aca="false">IFERROR(VALUE(SUBSTITUTE(TRIM('수출입 실적(성질별_수출)'!D174),",","")),"")</f>
        <v>63855.2</v>
      </c>
      <c r="G170" s="19" t="n">
        <f aca="false">IFERROR(VALUE(SUBSTITUTE(TRIM('수출입 실적(성질별_수출)'!E174),",","")),"")</f>
        <v>1721700</v>
      </c>
    </row>
    <row r="171" customFormat="false" ht="15" hidden="false" customHeight="true" outlineLevel="0" collapsed="false">
      <c r="A171" s="11" t="str">
        <f aca="false">TRIM('수출입 실적(성질별_수출)'!A175)</f>
        <v>2024.09</v>
      </c>
      <c r="B171" s="17" t="n">
        <f aca="false">IFERROR(VALUE(LEFT($A171,4)),"")</f>
        <v>2024</v>
      </c>
      <c r="C171" s="17" t="n">
        <f aca="false">IFERROR(VALUE(RIGHT($A171,2)),"")</f>
        <v>9</v>
      </c>
      <c r="D171" s="17" t="n">
        <f aca="false">IFERROR(ROUNDUP($C171/3,0),"")</f>
        <v>3</v>
      </c>
      <c r="E171" s="11" t="str">
        <f aca="false">TRIM('수출입 실적(성질별_수출)'!C175)</f>
        <v>1. 식료 및 직접소비재</v>
      </c>
      <c r="F171" s="18" t="n">
        <f aca="false">IFERROR(VALUE(SUBSTITUTE(TRIM('수출입 실적(성질별_수출)'!D175),",","")),"")</f>
        <v>364883.3</v>
      </c>
      <c r="G171" s="19" t="n">
        <f aca="false">IFERROR(VALUE(SUBSTITUTE(TRIM('수출입 실적(성질별_수출)'!E175),",","")),"")</f>
        <v>939280</v>
      </c>
    </row>
    <row r="172" customFormat="false" ht="15" hidden="false" customHeight="true" outlineLevel="0" collapsed="false">
      <c r="A172" s="11" t="str">
        <f aca="false">TRIM('수출입 실적(성질별_수출)'!A176)</f>
        <v>2024.09</v>
      </c>
      <c r="B172" s="17" t="n">
        <f aca="false">IFERROR(VALUE(LEFT($A172,4)),"")</f>
        <v>2024</v>
      </c>
      <c r="C172" s="17" t="n">
        <f aca="false">IFERROR(VALUE(RIGHT($A172,2)),"")</f>
        <v>9</v>
      </c>
      <c r="D172" s="17" t="n">
        <f aca="false">IFERROR(ROUNDUP($C172/3,0),"")</f>
        <v>3</v>
      </c>
      <c r="E172" s="11" t="str">
        <f aca="false">TRIM('수출입 실적(성질별_수출)'!C176)</f>
        <v>2. 원료 및 연료</v>
      </c>
      <c r="F172" s="18" t="n">
        <f aca="false">IFERROR(VALUE(SUBSTITUTE(TRIM('수출입 실적(성질별_수출)'!D176),",","")),"")</f>
        <v>6560585.8</v>
      </c>
      <c r="G172" s="19" t="n">
        <f aca="false">IFERROR(VALUE(SUBSTITUTE(TRIM('수출입 실적(성질별_수출)'!E176),",","")),"")</f>
        <v>4934553</v>
      </c>
    </row>
    <row r="173" customFormat="false" ht="15" hidden="false" customHeight="true" outlineLevel="0" collapsed="false">
      <c r="A173" s="11" t="str">
        <f aca="false">TRIM('수출입 실적(성질별_수출)'!A177)</f>
        <v>2024.09</v>
      </c>
      <c r="B173" s="17" t="n">
        <f aca="false">IFERROR(VALUE(LEFT($A173,4)),"")</f>
        <v>2024</v>
      </c>
      <c r="C173" s="17" t="n">
        <f aca="false">IFERROR(VALUE(RIGHT($A173,2)),"")</f>
        <v>9</v>
      </c>
      <c r="D173" s="17" t="n">
        <f aca="false">IFERROR(ROUNDUP($C173/3,0),"")</f>
        <v>3</v>
      </c>
      <c r="E173" s="11" t="str">
        <f aca="false">TRIM('수출입 실적(성질별_수출)'!C177)</f>
        <v>3. 경공업품</v>
      </c>
      <c r="F173" s="18" t="n">
        <f aca="false">IFERROR(VALUE(SUBSTITUTE(TRIM('수출입 실적(성질별_수출)'!D177),",","")),"")</f>
        <v>841415.4</v>
      </c>
      <c r="G173" s="19" t="n">
        <f aca="false">IFERROR(VALUE(SUBSTITUTE(TRIM('수출입 실적(성질별_수출)'!E177),",","")),"")</f>
        <v>2708171</v>
      </c>
    </row>
    <row r="174" customFormat="false" ht="15" hidden="false" customHeight="true" outlineLevel="0" collapsed="false">
      <c r="A174" s="11" t="str">
        <f aca="false">TRIM('수출입 실적(성질별_수출)'!A178)</f>
        <v>2024.09</v>
      </c>
      <c r="B174" s="17" t="n">
        <f aca="false">IFERROR(VALUE(LEFT($A174,4)),"")</f>
        <v>2024</v>
      </c>
      <c r="C174" s="17" t="n">
        <f aca="false">IFERROR(VALUE(RIGHT($A174,2)),"")</f>
        <v>9</v>
      </c>
      <c r="D174" s="17" t="n">
        <f aca="false">IFERROR(ROUNDUP($C174/3,0),"")</f>
        <v>3</v>
      </c>
      <c r="E174" s="11" t="str">
        <f aca="false">TRIM('수출입 실적(성질별_수출)'!C178)</f>
        <v>가. 섬유원료</v>
      </c>
      <c r="F174" s="18" t="n">
        <f aca="false">IFERROR(VALUE(SUBSTITUTE(TRIM('수출입 실적(성질별_수출)'!D178),",","")),"")</f>
        <v>54086.5</v>
      </c>
      <c r="G174" s="19" t="n">
        <f aca="false">IFERROR(VALUE(SUBSTITUTE(TRIM('수출입 실적(성질별_수출)'!E178),",","")),"")</f>
        <v>82621</v>
      </c>
    </row>
    <row r="175" customFormat="false" ht="15" hidden="false" customHeight="true" outlineLevel="0" collapsed="false">
      <c r="A175" s="11" t="str">
        <f aca="false">TRIM('수출입 실적(성질별_수출)'!A179)</f>
        <v>2024.09</v>
      </c>
      <c r="B175" s="17" t="n">
        <f aca="false">IFERROR(VALUE(LEFT($A175,4)),"")</f>
        <v>2024</v>
      </c>
      <c r="C175" s="17" t="n">
        <f aca="false">IFERROR(VALUE(RIGHT($A175,2)),"")</f>
        <v>9</v>
      </c>
      <c r="D175" s="17" t="n">
        <f aca="false">IFERROR(ROUNDUP($C175/3,0),"")</f>
        <v>3</v>
      </c>
      <c r="E175" s="11" t="str">
        <f aca="false">TRIM('수출입 실적(성질별_수출)'!C179)</f>
        <v>나. 섬유사</v>
      </c>
      <c r="F175" s="18" t="n">
        <f aca="false">IFERROR(VALUE(SUBSTITUTE(TRIM('수출입 실적(성질별_수출)'!D179),",","")),"")</f>
        <v>18155.9</v>
      </c>
      <c r="G175" s="19" t="n">
        <f aca="false">IFERROR(VALUE(SUBSTITUTE(TRIM('수출입 실적(성질별_수출)'!E179),",","")),"")</f>
        <v>61636</v>
      </c>
    </row>
    <row r="176" customFormat="false" ht="15" hidden="false" customHeight="true" outlineLevel="0" collapsed="false">
      <c r="A176" s="11" t="str">
        <f aca="false">TRIM('수출입 실적(성질별_수출)'!A180)</f>
        <v>2024.09</v>
      </c>
      <c r="B176" s="17" t="n">
        <f aca="false">IFERROR(VALUE(LEFT($A176,4)),"")</f>
        <v>2024</v>
      </c>
      <c r="C176" s="17" t="n">
        <f aca="false">IFERROR(VALUE(RIGHT($A176,2)),"")</f>
        <v>9</v>
      </c>
      <c r="D176" s="17" t="n">
        <f aca="false">IFERROR(ROUNDUP($C176/3,0),"")</f>
        <v>3</v>
      </c>
      <c r="E176" s="11" t="str">
        <f aca="false">TRIM('수출입 실적(성질별_수출)'!C180)</f>
        <v>다. 직 물</v>
      </c>
      <c r="F176" s="18" t="n">
        <f aca="false">IFERROR(VALUE(SUBSTITUTE(TRIM('수출입 실적(성질별_수출)'!D180),",","")),"")</f>
        <v>28761.6</v>
      </c>
      <c r="G176" s="19" t="n">
        <f aca="false">IFERROR(VALUE(SUBSTITUTE(TRIM('수출입 실적(성질별_수출)'!E180),",","")),"")</f>
        <v>280989</v>
      </c>
    </row>
    <row r="177" customFormat="false" ht="15" hidden="false" customHeight="true" outlineLevel="0" collapsed="false">
      <c r="A177" s="11" t="str">
        <f aca="false">TRIM('수출입 실적(성질별_수출)'!A181)</f>
        <v>2024.09</v>
      </c>
      <c r="B177" s="17" t="n">
        <f aca="false">IFERROR(VALUE(LEFT($A177,4)),"")</f>
        <v>2024</v>
      </c>
      <c r="C177" s="17" t="n">
        <f aca="false">IFERROR(VALUE(RIGHT($A177,2)),"")</f>
        <v>9</v>
      </c>
      <c r="D177" s="17" t="n">
        <f aca="false">IFERROR(ROUNDUP($C177/3,0),"")</f>
        <v>3</v>
      </c>
      <c r="E177" s="11" t="str">
        <f aca="false">TRIM('수출입 실적(성질별_수출)'!C181)</f>
        <v>라. 기타 섬유제품</v>
      </c>
      <c r="F177" s="18" t="n">
        <f aca="false">IFERROR(VALUE(SUBSTITUTE(TRIM('수출입 실적(성질별_수출)'!D181),",","")),"")</f>
        <v>22189.5</v>
      </c>
      <c r="G177" s="19" t="n">
        <f aca="false">IFERROR(VALUE(SUBSTITUTE(TRIM('수출입 실적(성질별_수출)'!E181),",","")),"")</f>
        <v>179477</v>
      </c>
    </row>
    <row r="178" customFormat="false" ht="15" hidden="false" customHeight="true" outlineLevel="0" collapsed="false">
      <c r="A178" s="11" t="str">
        <f aca="false">TRIM('수출입 실적(성질별_수출)'!A182)</f>
        <v>2024.09</v>
      </c>
      <c r="B178" s="17" t="n">
        <f aca="false">IFERROR(VALUE(LEFT($A178,4)),"")</f>
        <v>2024</v>
      </c>
      <c r="C178" s="17" t="n">
        <f aca="false">IFERROR(VALUE(RIGHT($A178,2)),"")</f>
        <v>9</v>
      </c>
      <c r="D178" s="17" t="n">
        <f aca="false">IFERROR(ROUNDUP($C178/3,0),"")</f>
        <v>3</v>
      </c>
      <c r="E178" s="11" t="str">
        <f aca="false">TRIM('수출입 실적(성질별_수출)'!C182)</f>
        <v>마. 의 류</v>
      </c>
      <c r="F178" s="18" t="n">
        <f aca="false">IFERROR(VALUE(SUBSTITUTE(TRIM('수출입 실적(성질별_수출)'!D182),",","")),"")</f>
        <v>5500.6</v>
      </c>
      <c r="G178" s="19" t="n">
        <f aca="false">IFERROR(VALUE(SUBSTITUTE(TRIM('수출입 실적(성질별_수출)'!E182),",","")),"")</f>
        <v>149036</v>
      </c>
    </row>
    <row r="179" customFormat="false" ht="15" hidden="false" customHeight="true" outlineLevel="0" collapsed="false">
      <c r="A179" s="11" t="str">
        <f aca="false">TRIM('수출입 실적(성질별_수출)'!A183)</f>
        <v>2024.09</v>
      </c>
      <c r="B179" s="17" t="n">
        <f aca="false">IFERROR(VALUE(LEFT($A179,4)),"")</f>
        <v>2024</v>
      </c>
      <c r="C179" s="17" t="n">
        <f aca="false">IFERROR(VALUE(RIGHT($A179,2)),"")</f>
        <v>9</v>
      </c>
      <c r="D179" s="17" t="n">
        <f aca="false">IFERROR(ROUNDUP($C179/3,0),"")</f>
        <v>3</v>
      </c>
      <c r="E179" s="11" t="str">
        <f aca="false">TRIM('수출입 실적(성질별_수출)'!C183)</f>
        <v>바. 목제품</v>
      </c>
      <c r="F179" s="18" t="n">
        <f aca="false">IFERROR(VALUE(SUBSTITUTE(TRIM('수출입 실적(성질별_수출)'!D183),",","")),"")</f>
        <v>15689.8</v>
      </c>
      <c r="G179" s="19" t="n">
        <f aca="false">IFERROR(VALUE(SUBSTITUTE(TRIM('수출입 실적(성질별_수출)'!E183),",","")),"")</f>
        <v>93227</v>
      </c>
    </row>
    <row r="180" customFormat="false" ht="15" hidden="false" customHeight="true" outlineLevel="0" collapsed="false">
      <c r="A180" s="11" t="str">
        <f aca="false">TRIM('수출입 실적(성질별_수출)'!A184)</f>
        <v>2024.09</v>
      </c>
      <c r="B180" s="17" t="n">
        <f aca="false">IFERROR(VALUE(LEFT($A180,4)),"")</f>
        <v>2024</v>
      </c>
      <c r="C180" s="17" t="n">
        <f aca="false">IFERROR(VALUE(RIGHT($A180,2)),"")</f>
        <v>9</v>
      </c>
      <c r="D180" s="17" t="n">
        <f aca="false">IFERROR(ROUNDUP($C180/3,0),"")</f>
        <v>3</v>
      </c>
      <c r="E180" s="11" t="str">
        <f aca="false">TRIM('수출입 실적(성질별_수출)'!C184)</f>
        <v>사. 가죽, 고무 및 신발류</v>
      </c>
      <c r="F180" s="18" t="n">
        <f aca="false">IFERROR(VALUE(SUBSTITUTE(TRIM('수출입 실적(성질별_수출)'!D184),",","")),"")</f>
        <v>61275.2</v>
      </c>
      <c r="G180" s="19" t="n">
        <f aca="false">IFERROR(VALUE(SUBSTITUTE(TRIM('수출입 실적(성질별_수출)'!E184),",","")),"")</f>
        <v>346236</v>
      </c>
    </row>
    <row r="181" customFormat="false" ht="15" hidden="false" customHeight="true" outlineLevel="0" collapsed="false">
      <c r="A181" s="11" t="str">
        <f aca="false">TRIM('수출입 실적(성질별_수출)'!A185)</f>
        <v>2024.09</v>
      </c>
      <c r="B181" s="17" t="n">
        <f aca="false">IFERROR(VALUE(LEFT($A181,4)),"")</f>
        <v>2024</v>
      </c>
      <c r="C181" s="17" t="n">
        <f aca="false">IFERROR(VALUE(RIGHT($A181,2)),"")</f>
        <v>9</v>
      </c>
      <c r="D181" s="17" t="n">
        <f aca="false">IFERROR(ROUNDUP($C181/3,0),"")</f>
        <v>3</v>
      </c>
      <c r="E181" s="11" t="str">
        <f aca="false">TRIM('수출입 실적(성질별_수출)'!C185)</f>
        <v>아. 귀금속 및 보석류</v>
      </c>
      <c r="F181" s="18" t="n">
        <f aca="false">IFERROR(VALUE(SUBSTITUTE(TRIM('수출입 실적(성질별_수출)'!D185),",","")),"")</f>
        <v>352.6</v>
      </c>
      <c r="G181" s="19" t="n">
        <f aca="false">IFERROR(VALUE(SUBSTITUTE(TRIM('수출입 실적(성질별_수출)'!E185),",","")),"")</f>
        <v>317311</v>
      </c>
    </row>
    <row r="182" customFormat="false" ht="15" hidden="false" customHeight="true" outlineLevel="0" collapsed="false">
      <c r="A182" s="11" t="str">
        <f aca="false">TRIM('수출입 실적(성질별_수출)'!A186)</f>
        <v>2024.09</v>
      </c>
      <c r="B182" s="17" t="n">
        <f aca="false">IFERROR(VALUE(LEFT($A182,4)),"")</f>
        <v>2024</v>
      </c>
      <c r="C182" s="17" t="n">
        <f aca="false">IFERROR(VALUE(RIGHT($A182,2)),"")</f>
        <v>9</v>
      </c>
      <c r="D182" s="17" t="n">
        <f aca="false">IFERROR(ROUNDUP($C182/3,0),"")</f>
        <v>3</v>
      </c>
      <c r="E182" s="11" t="str">
        <f aca="false">TRIM('수출입 실적(성질별_수출)'!C186)</f>
        <v>자. 기타 비금속 광물제품</v>
      </c>
      <c r="F182" s="18" t="n">
        <f aca="false">IFERROR(VALUE(SUBSTITUTE(TRIM('수출입 실적(성질별_수출)'!D186),",","")),"")</f>
        <v>307448.3</v>
      </c>
      <c r="G182" s="19" t="n">
        <f aca="false">IFERROR(VALUE(SUBSTITUTE(TRIM('수출입 실적(성질별_수출)'!E186),",","")),"")</f>
        <v>197325</v>
      </c>
    </row>
    <row r="183" customFormat="false" ht="15" hidden="false" customHeight="true" outlineLevel="0" collapsed="false">
      <c r="A183" s="11" t="str">
        <f aca="false">TRIM('수출입 실적(성질별_수출)'!A187)</f>
        <v>2024.09</v>
      </c>
      <c r="B183" s="17" t="n">
        <f aca="false">IFERROR(VALUE(LEFT($A183,4)),"")</f>
        <v>2024</v>
      </c>
      <c r="C183" s="17" t="n">
        <f aca="false">IFERROR(VALUE(RIGHT($A183,2)),"")</f>
        <v>9</v>
      </c>
      <c r="D183" s="17" t="n">
        <f aca="false">IFERROR(ROUNDUP($C183/3,0),"")</f>
        <v>3</v>
      </c>
      <c r="E183" s="11" t="str">
        <f aca="false">TRIM('수출입 실적(성질별_수출)'!C187)</f>
        <v>차. 완구, 운동용구 및 악기</v>
      </c>
      <c r="F183" s="18" t="n">
        <f aca="false">IFERROR(VALUE(SUBSTITUTE(TRIM('수출입 실적(성질별_수출)'!D187),",","")),"")</f>
        <v>2183.7</v>
      </c>
      <c r="G183" s="19" t="n">
        <f aca="false">IFERROR(VALUE(SUBSTITUTE(TRIM('수출입 실적(성질별_수출)'!E187),",","")),"")</f>
        <v>46176</v>
      </c>
    </row>
    <row r="184" customFormat="false" ht="15" hidden="false" customHeight="true" outlineLevel="0" collapsed="false">
      <c r="A184" s="11" t="str">
        <f aca="false">TRIM('수출입 실적(성질별_수출)'!A188)</f>
        <v>2024.09</v>
      </c>
      <c r="B184" s="17" t="n">
        <f aca="false">IFERROR(VALUE(LEFT($A184,4)),"")</f>
        <v>2024</v>
      </c>
      <c r="C184" s="17" t="n">
        <f aca="false">IFERROR(VALUE(RIGHT($A184,2)),"")</f>
        <v>9</v>
      </c>
      <c r="D184" s="17" t="n">
        <f aca="false">IFERROR(ROUNDUP($C184/3,0),"")</f>
        <v>3</v>
      </c>
      <c r="E184" s="11" t="str">
        <f aca="false">TRIM('수출입 실적(성질별_수출)'!C188)</f>
        <v>카. 기 타</v>
      </c>
      <c r="F184" s="18" t="n">
        <f aca="false">IFERROR(VALUE(SUBSTITUTE(TRIM('수출입 실적(성질별_수출)'!D188),",","")),"")</f>
        <v>325771.7</v>
      </c>
      <c r="G184" s="19" t="n">
        <f aca="false">IFERROR(VALUE(SUBSTITUTE(TRIM('수출입 실적(성질별_수출)'!E188),",","")),"")</f>
        <v>954138</v>
      </c>
    </row>
    <row r="185" customFormat="false" ht="15" hidden="false" customHeight="true" outlineLevel="0" collapsed="false">
      <c r="A185" s="11" t="str">
        <f aca="false">TRIM('수출입 실적(성질별_수출)'!A189)</f>
        <v>2024.09</v>
      </c>
      <c r="B185" s="17" t="n">
        <f aca="false">IFERROR(VALUE(LEFT($A185,4)),"")</f>
        <v>2024</v>
      </c>
      <c r="C185" s="17" t="n">
        <f aca="false">IFERROR(VALUE(RIGHT($A185,2)),"")</f>
        <v>9</v>
      </c>
      <c r="D185" s="17" t="n">
        <f aca="false">IFERROR(ROUNDUP($C185/3,0),"")</f>
        <v>3</v>
      </c>
      <c r="E185" s="11" t="str">
        <f aca="false">TRIM('수출입 실적(성질별_수출)'!C189)</f>
        <v>4. 중화학 공업품</v>
      </c>
      <c r="F185" s="18" t="n">
        <f aca="false">IFERROR(VALUE(SUBSTITUTE(TRIM('수출입 실적(성질별_수출)'!D189),",","")),"")</f>
        <v>8682890.8</v>
      </c>
      <c r="G185" s="19" t="n">
        <f aca="false">IFERROR(VALUE(SUBSTITUTE(TRIM('수출입 실적(성질별_수출)'!E189),",","")),"")</f>
        <v>49962689</v>
      </c>
    </row>
    <row r="186" customFormat="false" ht="15" hidden="false" customHeight="true" outlineLevel="0" collapsed="false">
      <c r="A186" s="11" t="str">
        <f aca="false">TRIM('수출입 실적(성질별_수출)'!A190)</f>
        <v>2024.09</v>
      </c>
      <c r="B186" s="17" t="n">
        <f aca="false">IFERROR(VALUE(LEFT($A186,4)),"")</f>
        <v>2024</v>
      </c>
      <c r="C186" s="17" t="n">
        <f aca="false">IFERROR(VALUE(RIGHT($A186,2)),"")</f>
        <v>9</v>
      </c>
      <c r="D186" s="17" t="n">
        <f aca="false">IFERROR(ROUNDUP($C186/3,0),"")</f>
        <v>3</v>
      </c>
      <c r="E186" s="11" t="str">
        <f aca="false">TRIM('수출입 실적(성질별_수출)'!C190)</f>
        <v>가. 화공품</v>
      </c>
      <c r="F186" s="18" t="n">
        <f aca="false">IFERROR(VALUE(SUBSTITUTE(TRIM('수출입 실적(성질별_수출)'!D190),",","")),"")</f>
        <v>3813832.2</v>
      </c>
      <c r="G186" s="19" t="n">
        <f aca="false">IFERROR(VALUE(SUBSTITUTE(TRIM('수출입 실적(성질별_수출)'!E190),",","")),"")</f>
        <v>6548541</v>
      </c>
    </row>
    <row r="187" customFormat="false" ht="15" hidden="false" customHeight="true" outlineLevel="0" collapsed="false">
      <c r="A187" s="11" t="str">
        <f aca="false">TRIM('수출입 실적(성질별_수출)'!A191)</f>
        <v>2024.09</v>
      </c>
      <c r="B187" s="17" t="n">
        <f aca="false">IFERROR(VALUE(LEFT($A187,4)),"")</f>
        <v>2024</v>
      </c>
      <c r="C187" s="17" t="n">
        <f aca="false">IFERROR(VALUE(RIGHT($A187,2)),"")</f>
        <v>9</v>
      </c>
      <c r="D187" s="17" t="n">
        <f aca="false">IFERROR(ROUNDUP($C187/3,0),"")</f>
        <v>3</v>
      </c>
      <c r="E187" s="11" t="str">
        <f aca="false">TRIM('수출입 실적(성질별_수출)'!C191)</f>
        <v>나. 철강제품</v>
      </c>
      <c r="F187" s="18" t="n">
        <f aca="false">IFERROR(VALUE(SUBSTITUTE(TRIM('수출입 실적(성질별_수출)'!D191),",","")),"")</f>
        <v>2672744.6</v>
      </c>
      <c r="G187" s="19" t="n">
        <f aca="false">IFERROR(VALUE(SUBSTITUTE(TRIM('수출입 실적(성질별_수출)'!E191),",","")),"")</f>
        <v>3908378</v>
      </c>
    </row>
    <row r="188" customFormat="false" ht="15" hidden="false" customHeight="true" outlineLevel="0" collapsed="false">
      <c r="A188" s="11" t="str">
        <f aca="false">TRIM('수출입 실적(성질별_수출)'!A192)</f>
        <v>2024.09</v>
      </c>
      <c r="B188" s="17" t="n">
        <f aca="false">IFERROR(VALUE(LEFT($A188,4)),"")</f>
        <v>2024</v>
      </c>
      <c r="C188" s="17" t="n">
        <f aca="false">IFERROR(VALUE(RIGHT($A188,2)),"")</f>
        <v>9</v>
      </c>
      <c r="D188" s="17" t="n">
        <f aca="false">IFERROR(ROUNDUP($C188/3,0),"")</f>
        <v>3</v>
      </c>
      <c r="E188" s="11" t="str">
        <f aca="false">TRIM('수출입 실적(성질별_수출)'!C192)</f>
        <v>다. 기계류와 정밀기기</v>
      </c>
      <c r="F188" s="18" t="n">
        <f aca="false">IFERROR(VALUE(SUBSTITUTE(TRIM('수출입 실적(성질별_수출)'!D192),",","")),"")</f>
        <v>324404</v>
      </c>
      <c r="G188" s="19" t="n">
        <f aca="false">IFERROR(VALUE(SUBSTITUTE(TRIM('수출입 실적(성질별_수출)'!E192),",","")),"")</f>
        <v>5636524</v>
      </c>
    </row>
    <row r="189" customFormat="false" ht="15" hidden="false" customHeight="true" outlineLevel="0" collapsed="false">
      <c r="A189" s="11" t="str">
        <f aca="false">TRIM('수출입 실적(성질별_수출)'!A193)</f>
        <v>2024.09</v>
      </c>
      <c r="B189" s="17" t="n">
        <f aca="false">IFERROR(VALUE(LEFT($A189,4)),"")</f>
        <v>2024</v>
      </c>
      <c r="C189" s="17" t="n">
        <f aca="false">IFERROR(VALUE(RIGHT($A189,2)),"")</f>
        <v>9</v>
      </c>
      <c r="D189" s="17" t="n">
        <f aca="false">IFERROR(ROUNDUP($C189/3,0),"")</f>
        <v>3</v>
      </c>
      <c r="E189" s="11" t="str">
        <f aca="false">TRIM('수출입 실적(성질별_수출)'!C193)</f>
        <v>라. 전기, 전자제품</v>
      </c>
      <c r="F189" s="18" t="n">
        <f aca="false">IFERROR(VALUE(SUBSTITUTE(TRIM('수출입 실적(성질별_수출)'!D193),",","")),"")</f>
        <v>225980.8</v>
      </c>
      <c r="G189" s="19" t="n">
        <f aca="false">IFERROR(VALUE(SUBSTITUTE(TRIM('수출입 실적(성질별_수출)'!E193),",","")),"")</f>
        <v>21993953</v>
      </c>
    </row>
    <row r="190" customFormat="false" ht="15" hidden="false" customHeight="true" outlineLevel="0" collapsed="false">
      <c r="A190" s="11" t="str">
        <f aca="false">TRIM('수출입 실적(성질별_수출)'!A194)</f>
        <v>2024.09</v>
      </c>
      <c r="B190" s="17" t="n">
        <f aca="false">IFERROR(VALUE(LEFT($A190,4)),"")</f>
        <v>2024</v>
      </c>
      <c r="C190" s="17" t="n">
        <f aca="false">IFERROR(VALUE(RIGHT($A190,2)),"")</f>
        <v>9</v>
      </c>
      <c r="D190" s="17" t="n">
        <f aca="false">IFERROR(ROUNDUP($C190/3,0),"")</f>
        <v>3</v>
      </c>
      <c r="E190" s="11" t="str">
        <f aca="false">TRIM('수출입 실적(성질별_수출)'!C194)</f>
        <v>마. 수송장비</v>
      </c>
      <c r="F190" s="18" t="n">
        <f aca="false">IFERROR(VALUE(SUBSTITUTE(TRIM('수출입 실적(성질별_수출)'!D194),",","")),"")</f>
        <v>1574475.3</v>
      </c>
      <c r="G190" s="19" t="n">
        <f aca="false">IFERROR(VALUE(SUBSTITUTE(TRIM('수출입 실적(성질별_수출)'!E194),",","")),"")</f>
        <v>9692967</v>
      </c>
    </row>
    <row r="191" customFormat="false" ht="15" hidden="false" customHeight="true" outlineLevel="0" collapsed="false">
      <c r="A191" s="11" t="str">
        <f aca="false">TRIM('수출입 실적(성질별_수출)'!A195)</f>
        <v>2024.09</v>
      </c>
      <c r="B191" s="17" t="n">
        <f aca="false">IFERROR(VALUE(LEFT($A191,4)),"")</f>
        <v>2024</v>
      </c>
      <c r="C191" s="17" t="n">
        <f aca="false">IFERROR(VALUE(RIGHT($A191,2)),"")</f>
        <v>9</v>
      </c>
      <c r="D191" s="17" t="n">
        <f aca="false">IFERROR(ROUNDUP($C191/3,0),"")</f>
        <v>3</v>
      </c>
      <c r="E191" s="11" t="str">
        <f aca="false">TRIM('수출입 실적(성질별_수출)'!C195)</f>
        <v>바. 기 타</v>
      </c>
      <c r="F191" s="18" t="n">
        <f aca="false">IFERROR(VALUE(SUBSTITUTE(TRIM('수출입 실적(성질별_수출)'!D195),",","")),"")</f>
        <v>71453.9</v>
      </c>
      <c r="G191" s="19" t="n">
        <f aca="false">IFERROR(VALUE(SUBSTITUTE(TRIM('수출입 실적(성질별_수출)'!E195),",","")),"")</f>
        <v>2182327</v>
      </c>
    </row>
    <row r="192" customFormat="false" ht="15" hidden="false" customHeight="true" outlineLevel="0" collapsed="false">
      <c r="A192" s="11" t="str">
        <f aca="false">TRIM('수출입 실적(성질별_수출)'!A196)</f>
        <v>2024.10</v>
      </c>
      <c r="B192" s="17" t="n">
        <f aca="false">IFERROR(VALUE(LEFT($A192,4)),"")</f>
        <v>2024</v>
      </c>
      <c r="C192" s="17" t="n">
        <f aca="false">IFERROR(VALUE(RIGHT($A192,2)),"")</f>
        <v>10</v>
      </c>
      <c r="D192" s="17" t="n">
        <f aca="false">IFERROR(ROUNDUP($C192/3,0),"")</f>
        <v>4</v>
      </c>
      <c r="E192" s="11" t="str">
        <f aca="false">TRIM('수출입 실적(성질별_수출)'!C196)</f>
        <v>1. 식료 및 직접소비재</v>
      </c>
      <c r="F192" s="18" t="n">
        <f aca="false">IFERROR(VALUE(SUBSTITUTE(TRIM('수출입 실적(성질별_수출)'!D196),",","")),"")</f>
        <v>365730.9</v>
      </c>
      <c r="G192" s="19" t="n">
        <f aca="false">IFERROR(VALUE(SUBSTITUTE(TRIM('수출입 실적(성질별_수출)'!E196),",","")),"")</f>
        <v>1036469</v>
      </c>
    </row>
    <row r="193" customFormat="false" ht="15" hidden="false" customHeight="true" outlineLevel="0" collapsed="false">
      <c r="A193" s="11" t="str">
        <f aca="false">TRIM('수출입 실적(성질별_수출)'!A197)</f>
        <v>2024.10</v>
      </c>
      <c r="B193" s="17" t="n">
        <f aca="false">IFERROR(VALUE(LEFT($A193,4)),"")</f>
        <v>2024</v>
      </c>
      <c r="C193" s="17" t="n">
        <f aca="false">IFERROR(VALUE(RIGHT($A193,2)),"")</f>
        <v>10</v>
      </c>
      <c r="D193" s="17" t="n">
        <f aca="false">IFERROR(ROUNDUP($C193/3,0),"")</f>
        <v>4</v>
      </c>
      <c r="E193" s="11" t="str">
        <f aca="false">TRIM('수출입 실적(성질별_수출)'!C197)</f>
        <v>2. 원료 및 연료</v>
      </c>
      <c r="F193" s="18" t="n">
        <f aca="false">IFERROR(VALUE(SUBSTITUTE(TRIM('수출입 실적(성질별_수출)'!D197),",","")),"")</f>
        <v>5680479.4</v>
      </c>
      <c r="G193" s="19" t="n">
        <f aca="false">IFERROR(VALUE(SUBSTITUTE(TRIM('수출입 실적(성질별_수출)'!E197),",","")),"")</f>
        <v>4328714</v>
      </c>
    </row>
    <row r="194" customFormat="false" ht="15" hidden="false" customHeight="true" outlineLevel="0" collapsed="false">
      <c r="A194" s="11" t="str">
        <f aca="false">TRIM('수출입 실적(성질별_수출)'!A198)</f>
        <v>2024.10</v>
      </c>
      <c r="B194" s="17" t="n">
        <f aca="false">IFERROR(VALUE(LEFT($A194,4)),"")</f>
        <v>2024</v>
      </c>
      <c r="C194" s="17" t="n">
        <f aca="false">IFERROR(VALUE(RIGHT($A194,2)),"")</f>
        <v>10</v>
      </c>
      <c r="D194" s="17" t="n">
        <f aca="false">IFERROR(ROUNDUP($C194/3,0),"")</f>
        <v>4</v>
      </c>
      <c r="E194" s="11" t="str">
        <f aca="false">TRIM('수출입 실적(성질별_수출)'!C198)</f>
        <v>3. 경공업품</v>
      </c>
      <c r="F194" s="18" t="n">
        <f aca="false">IFERROR(VALUE(SUBSTITUTE(TRIM('수출입 실적(성질별_수출)'!D198),",","")),"")</f>
        <v>931082.8</v>
      </c>
      <c r="G194" s="19" t="n">
        <f aca="false">IFERROR(VALUE(SUBSTITUTE(TRIM('수출입 실적(성질별_수출)'!E198),",","")),"")</f>
        <v>2763713</v>
      </c>
    </row>
    <row r="195" customFormat="false" ht="15" hidden="false" customHeight="true" outlineLevel="0" collapsed="false">
      <c r="A195" s="11" t="str">
        <f aca="false">TRIM('수출입 실적(성질별_수출)'!A199)</f>
        <v>2024.10</v>
      </c>
      <c r="B195" s="17" t="n">
        <f aca="false">IFERROR(VALUE(LEFT($A195,4)),"")</f>
        <v>2024</v>
      </c>
      <c r="C195" s="17" t="n">
        <f aca="false">IFERROR(VALUE(RIGHT($A195,2)),"")</f>
        <v>10</v>
      </c>
      <c r="D195" s="17" t="n">
        <f aca="false">IFERROR(ROUNDUP($C195/3,0),"")</f>
        <v>4</v>
      </c>
      <c r="E195" s="11" t="str">
        <f aca="false">TRIM('수출입 실적(성질별_수출)'!C199)</f>
        <v>가. 섬유원료</v>
      </c>
      <c r="F195" s="18" t="n">
        <f aca="false">IFERROR(VALUE(SUBSTITUTE(TRIM('수출입 실적(성질별_수출)'!D199),",","")),"")</f>
        <v>55456</v>
      </c>
      <c r="G195" s="19" t="n">
        <f aca="false">IFERROR(VALUE(SUBSTITUTE(TRIM('수출입 실적(성질별_수출)'!E199),",","")),"")</f>
        <v>83776</v>
      </c>
    </row>
    <row r="196" customFormat="false" ht="15" hidden="false" customHeight="true" outlineLevel="0" collapsed="false">
      <c r="A196" s="11" t="str">
        <f aca="false">TRIM('수출입 실적(성질별_수출)'!A200)</f>
        <v>2024.10</v>
      </c>
      <c r="B196" s="17" t="n">
        <f aca="false">IFERROR(VALUE(LEFT($A196,4)),"")</f>
        <v>2024</v>
      </c>
      <c r="C196" s="17" t="n">
        <f aca="false">IFERROR(VALUE(RIGHT($A196,2)),"")</f>
        <v>10</v>
      </c>
      <c r="D196" s="17" t="n">
        <f aca="false">IFERROR(ROUNDUP($C196/3,0),"")</f>
        <v>4</v>
      </c>
      <c r="E196" s="11" t="str">
        <f aca="false">TRIM('수출입 실적(성질별_수출)'!C200)</f>
        <v>나. 섬유사</v>
      </c>
      <c r="F196" s="18" t="n">
        <f aca="false">IFERROR(VALUE(SUBSTITUTE(TRIM('수출입 실적(성질별_수출)'!D200),",","")),"")</f>
        <v>18076.9</v>
      </c>
      <c r="G196" s="19" t="n">
        <f aca="false">IFERROR(VALUE(SUBSTITUTE(TRIM('수출입 실적(성질별_수출)'!E200),",","")),"")</f>
        <v>65883</v>
      </c>
    </row>
    <row r="197" customFormat="false" ht="15" hidden="false" customHeight="true" outlineLevel="0" collapsed="false">
      <c r="A197" s="11" t="str">
        <f aca="false">TRIM('수출입 실적(성질별_수출)'!A201)</f>
        <v>2024.10</v>
      </c>
      <c r="B197" s="17" t="n">
        <f aca="false">IFERROR(VALUE(LEFT($A197,4)),"")</f>
        <v>2024</v>
      </c>
      <c r="C197" s="17" t="n">
        <f aca="false">IFERROR(VALUE(RIGHT($A197,2)),"")</f>
        <v>10</v>
      </c>
      <c r="D197" s="17" t="n">
        <f aca="false">IFERROR(ROUNDUP($C197/3,0),"")</f>
        <v>4</v>
      </c>
      <c r="E197" s="11" t="str">
        <f aca="false">TRIM('수출입 실적(성질별_수출)'!C201)</f>
        <v>다. 직 물</v>
      </c>
      <c r="F197" s="18" t="n">
        <f aca="false">IFERROR(VALUE(SUBSTITUTE(TRIM('수출입 실적(성질별_수출)'!D201),",","")),"")</f>
        <v>30532.3</v>
      </c>
      <c r="G197" s="19" t="n">
        <f aca="false">IFERROR(VALUE(SUBSTITUTE(TRIM('수출입 실적(성질별_수출)'!E201),",","")),"")</f>
        <v>294747</v>
      </c>
    </row>
    <row r="198" customFormat="false" ht="15" hidden="false" customHeight="true" outlineLevel="0" collapsed="false">
      <c r="A198" s="11" t="str">
        <f aca="false">TRIM('수출입 실적(성질별_수출)'!A202)</f>
        <v>2024.10</v>
      </c>
      <c r="B198" s="17" t="n">
        <f aca="false">IFERROR(VALUE(LEFT($A198,4)),"")</f>
        <v>2024</v>
      </c>
      <c r="C198" s="17" t="n">
        <f aca="false">IFERROR(VALUE(RIGHT($A198,2)),"")</f>
        <v>10</v>
      </c>
      <c r="D198" s="17" t="n">
        <f aca="false">IFERROR(ROUNDUP($C198/3,0),"")</f>
        <v>4</v>
      </c>
      <c r="E198" s="11" t="str">
        <f aca="false">TRIM('수출입 실적(성질별_수출)'!C202)</f>
        <v>라. 기타 섬유제품</v>
      </c>
      <c r="F198" s="18" t="n">
        <f aca="false">IFERROR(VALUE(SUBSTITUTE(TRIM('수출입 실적(성질별_수출)'!D202),",","")),"")</f>
        <v>22501.2</v>
      </c>
      <c r="G198" s="19" t="n">
        <f aca="false">IFERROR(VALUE(SUBSTITUTE(TRIM('수출입 실적(성질별_수출)'!E202),",","")),"")</f>
        <v>186467</v>
      </c>
    </row>
    <row r="199" customFormat="false" ht="15" hidden="false" customHeight="true" outlineLevel="0" collapsed="false">
      <c r="A199" s="11" t="str">
        <f aca="false">TRIM('수출입 실적(성질별_수출)'!A203)</f>
        <v>2024.10</v>
      </c>
      <c r="B199" s="17" t="n">
        <f aca="false">IFERROR(VALUE(LEFT($A199,4)),"")</f>
        <v>2024</v>
      </c>
      <c r="C199" s="17" t="n">
        <f aca="false">IFERROR(VALUE(RIGHT($A199,2)),"")</f>
        <v>10</v>
      </c>
      <c r="D199" s="17" t="n">
        <f aca="false">IFERROR(ROUNDUP($C199/3,0),"")</f>
        <v>4</v>
      </c>
      <c r="E199" s="11" t="str">
        <f aca="false">TRIM('수출입 실적(성질별_수출)'!C203)</f>
        <v>마. 의 류</v>
      </c>
      <c r="F199" s="18" t="n">
        <f aca="false">IFERROR(VALUE(SUBSTITUTE(TRIM('수출입 실적(성질별_수출)'!D203),",","")),"")</f>
        <v>6418.1</v>
      </c>
      <c r="G199" s="19" t="n">
        <f aca="false">IFERROR(VALUE(SUBSTITUTE(TRIM('수출입 실적(성질별_수출)'!E203),",","")),"")</f>
        <v>169441</v>
      </c>
    </row>
    <row r="200" customFormat="false" ht="15" hidden="false" customHeight="true" outlineLevel="0" collapsed="false">
      <c r="A200" s="11" t="str">
        <f aca="false">TRIM('수출입 실적(성질별_수출)'!A204)</f>
        <v>2024.10</v>
      </c>
      <c r="B200" s="17" t="n">
        <f aca="false">IFERROR(VALUE(LEFT($A200,4)),"")</f>
        <v>2024</v>
      </c>
      <c r="C200" s="17" t="n">
        <f aca="false">IFERROR(VALUE(RIGHT($A200,2)),"")</f>
        <v>10</v>
      </c>
      <c r="D200" s="17" t="n">
        <f aca="false">IFERROR(ROUNDUP($C200/3,0),"")</f>
        <v>4</v>
      </c>
      <c r="E200" s="11" t="str">
        <f aca="false">TRIM('수출입 실적(성질별_수출)'!C204)</f>
        <v>바. 목제품</v>
      </c>
      <c r="F200" s="18" t="n">
        <f aca="false">IFERROR(VALUE(SUBSTITUTE(TRIM('수출입 실적(성질별_수출)'!D204),",","")),"")</f>
        <v>19070</v>
      </c>
      <c r="G200" s="19" t="n">
        <f aca="false">IFERROR(VALUE(SUBSTITUTE(TRIM('수출입 실적(성질별_수출)'!E204),",","")),"")</f>
        <v>110208</v>
      </c>
    </row>
    <row r="201" customFormat="false" ht="15" hidden="false" customHeight="true" outlineLevel="0" collapsed="false">
      <c r="A201" s="11" t="str">
        <f aca="false">TRIM('수출입 실적(성질별_수출)'!A205)</f>
        <v>2024.10</v>
      </c>
      <c r="B201" s="17" t="n">
        <f aca="false">IFERROR(VALUE(LEFT($A201,4)),"")</f>
        <v>2024</v>
      </c>
      <c r="C201" s="17" t="n">
        <f aca="false">IFERROR(VALUE(RIGHT($A201,2)),"")</f>
        <v>10</v>
      </c>
      <c r="D201" s="17" t="n">
        <f aca="false">IFERROR(ROUNDUP($C201/3,0),"")</f>
        <v>4</v>
      </c>
      <c r="E201" s="11" t="str">
        <f aca="false">TRIM('수출입 실적(성질별_수출)'!C205)</f>
        <v>사. 가죽, 고무 및 신발류</v>
      </c>
      <c r="F201" s="18" t="n">
        <f aca="false">IFERROR(VALUE(SUBSTITUTE(TRIM('수출입 실적(성질별_수출)'!D205),",","")),"")</f>
        <v>68754.6</v>
      </c>
      <c r="G201" s="19" t="n">
        <f aca="false">IFERROR(VALUE(SUBSTITUTE(TRIM('수출입 실적(성질별_수출)'!E205),",","")),"")</f>
        <v>376538</v>
      </c>
    </row>
    <row r="202" customFormat="false" ht="15" hidden="false" customHeight="true" outlineLevel="0" collapsed="false">
      <c r="A202" s="11" t="str">
        <f aca="false">TRIM('수출입 실적(성질별_수출)'!A206)</f>
        <v>2024.10</v>
      </c>
      <c r="B202" s="17" t="n">
        <f aca="false">IFERROR(VALUE(LEFT($A202,4)),"")</f>
        <v>2024</v>
      </c>
      <c r="C202" s="17" t="n">
        <f aca="false">IFERROR(VALUE(RIGHT($A202,2)),"")</f>
        <v>10</v>
      </c>
      <c r="D202" s="17" t="n">
        <f aca="false">IFERROR(ROUNDUP($C202/3,0),"")</f>
        <v>4</v>
      </c>
      <c r="E202" s="11" t="str">
        <f aca="false">TRIM('수출입 실적(성질별_수출)'!C206)</f>
        <v>아. 귀금속 및 보석류</v>
      </c>
      <c r="F202" s="18" t="n">
        <f aca="false">IFERROR(VALUE(SUBSTITUTE(TRIM('수출입 실적(성질별_수출)'!D206),",","")),"")</f>
        <v>362.4</v>
      </c>
      <c r="G202" s="19" t="n">
        <f aca="false">IFERROR(VALUE(SUBSTITUTE(TRIM('수출입 실적(성질별_수출)'!E206),",","")),"")</f>
        <v>218033</v>
      </c>
    </row>
    <row r="203" customFormat="false" ht="15" hidden="false" customHeight="true" outlineLevel="0" collapsed="false">
      <c r="A203" s="11" t="str">
        <f aca="false">TRIM('수출입 실적(성질별_수출)'!A207)</f>
        <v>2024.10</v>
      </c>
      <c r="B203" s="17" t="n">
        <f aca="false">IFERROR(VALUE(LEFT($A203,4)),"")</f>
        <v>2024</v>
      </c>
      <c r="C203" s="17" t="n">
        <f aca="false">IFERROR(VALUE(RIGHT($A203,2)),"")</f>
        <v>10</v>
      </c>
      <c r="D203" s="17" t="n">
        <f aca="false">IFERROR(ROUNDUP($C203/3,0),"")</f>
        <v>4</v>
      </c>
      <c r="E203" s="11" t="str">
        <f aca="false">TRIM('수출입 실적(성질별_수출)'!C207)</f>
        <v>자. 기타 비금속 광물제품</v>
      </c>
      <c r="F203" s="18" t="n">
        <f aca="false">IFERROR(VALUE(SUBSTITUTE(TRIM('수출입 실적(성질별_수출)'!D207),",","")),"")</f>
        <v>333671.5</v>
      </c>
      <c r="G203" s="19" t="n">
        <f aca="false">IFERROR(VALUE(SUBSTITUTE(TRIM('수출입 실적(성질별_수출)'!E207),",","")),"")</f>
        <v>213180</v>
      </c>
    </row>
    <row r="204" customFormat="false" ht="15" hidden="false" customHeight="true" outlineLevel="0" collapsed="false">
      <c r="A204" s="11" t="str">
        <f aca="false">TRIM('수출입 실적(성질별_수출)'!A208)</f>
        <v>2024.10</v>
      </c>
      <c r="B204" s="17" t="n">
        <f aca="false">IFERROR(VALUE(LEFT($A204,4)),"")</f>
        <v>2024</v>
      </c>
      <c r="C204" s="17" t="n">
        <f aca="false">IFERROR(VALUE(RIGHT($A204,2)),"")</f>
        <v>10</v>
      </c>
      <c r="D204" s="17" t="n">
        <f aca="false">IFERROR(ROUNDUP($C204/3,0),"")</f>
        <v>4</v>
      </c>
      <c r="E204" s="11" t="str">
        <f aca="false">TRIM('수출입 실적(성질별_수출)'!C208)</f>
        <v>차. 완구, 운동용구 및 악기</v>
      </c>
      <c r="F204" s="18" t="n">
        <f aca="false">IFERROR(VALUE(SUBSTITUTE(TRIM('수출입 실적(성질별_수출)'!D208),",","")),"")</f>
        <v>2675.6</v>
      </c>
      <c r="G204" s="19" t="n">
        <f aca="false">IFERROR(VALUE(SUBSTITUTE(TRIM('수출입 실적(성질별_수출)'!E208),",","")),"")</f>
        <v>51830</v>
      </c>
    </row>
    <row r="205" customFormat="false" ht="15" hidden="false" customHeight="true" outlineLevel="0" collapsed="false">
      <c r="A205" s="11" t="str">
        <f aca="false">TRIM('수출입 실적(성질별_수출)'!A209)</f>
        <v>2024.10</v>
      </c>
      <c r="B205" s="17" t="n">
        <f aca="false">IFERROR(VALUE(LEFT($A205,4)),"")</f>
        <v>2024</v>
      </c>
      <c r="C205" s="17" t="n">
        <f aca="false">IFERROR(VALUE(RIGHT($A205,2)),"")</f>
        <v>10</v>
      </c>
      <c r="D205" s="17" t="n">
        <f aca="false">IFERROR(ROUNDUP($C205/3,0),"")</f>
        <v>4</v>
      </c>
      <c r="E205" s="11" t="str">
        <f aca="false">TRIM('수출입 실적(성질별_수출)'!C209)</f>
        <v>카. 기 타</v>
      </c>
      <c r="F205" s="18" t="n">
        <f aca="false">IFERROR(VALUE(SUBSTITUTE(TRIM('수출입 실적(성질별_수출)'!D209),",","")),"")</f>
        <v>373564.1</v>
      </c>
      <c r="G205" s="19" t="n">
        <f aca="false">IFERROR(VALUE(SUBSTITUTE(TRIM('수출입 실적(성질별_수출)'!E209),",","")),"")</f>
        <v>993610</v>
      </c>
    </row>
    <row r="206" customFormat="false" ht="15" hidden="false" customHeight="true" outlineLevel="0" collapsed="false">
      <c r="A206" s="11" t="str">
        <f aca="false">TRIM('수출입 실적(성질별_수출)'!A210)</f>
        <v>2024.10</v>
      </c>
      <c r="B206" s="17" t="n">
        <f aca="false">IFERROR(VALUE(LEFT($A206,4)),"")</f>
        <v>2024</v>
      </c>
      <c r="C206" s="17" t="n">
        <f aca="false">IFERROR(VALUE(RIGHT($A206,2)),"")</f>
        <v>10</v>
      </c>
      <c r="D206" s="17" t="n">
        <f aca="false">IFERROR(ROUNDUP($C206/3,0),"")</f>
        <v>4</v>
      </c>
      <c r="E206" s="11" t="str">
        <f aca="false">TRIM('수출입 실적(성질별_수출)'!C210)</f>
        <v>4. 중화학 공업품</v>
      </c>
      <c r="F206" s="18" t="n">
        <f aca="false">IFERROR(VALUE(SUBSTITUTE(TRIM('수출입 실적(성질별_수출)'!D210),",","")),"")</f>
        <v>9017570.5</v>
      </c>
      <c r="G206" s="19" t="n">
        <f aca="false">IFERROR(VALUE(SUBSTITUTE(TRIM('수출입 실적(성질별_수출)'!E210),",","")),"")</f>
        <v>49371296</v>
      </c>
    </row>
    <row r="207" customFormat="false" ht="15" hidden="false" customHeight="true" outlineLevel="0" collapsed="false">
      <c r="A207" s="11" t="str">
        <f aca="false">TRIM('수출입 실적(성질별_수출)'!A211)</f>
        <v>2024.10</v>
      </c>
      <c r="B207" s="17" t="n">
        <f aca="false">IFERROR(VALUE(LEFT($A207,4)),"")</f>
        <v>2024</v>
      </c>
      <c r="C207" s="17" t="n">
        <f aca="false">IFERROR(VALUE(RIGHT($A207,2)),"")</f>
        <v>10</v>
      </c>
      <c r="D207" s="17" t="n">
        <f aca="false">IFERROR(ROUNDUP($C207/3,0),"")</f>
        <v>4</v>
      </c>
      <c r="E207" s="11" t="str">
        <f aca="false">TRIM('수출입 실적(성질별_수출)'!C211)</f>
        <v>가. 화공품</v>
      </c>
      <c r="F207" s="18" t="n">
        <f aca="false">IFERROR(VALUE(SUBSTITUTE(TRIM('수출입 실적(성질별_수출)'!D211),",","")),"")</f>
        <v>3921462.8</v>
      </c>
      <c r="G207" s="19" t="n">
        <f aca="false">IFERROR(VALUE(SUBSTITUTE(TRIM('수출입 실적(성질별_수출)'!E211),",","")),"")</f>
        <v>6714217</v>
      </c>
    </row>
    <row r="208" customFormat="false" ht="15" hidden="false" customHeight="true" outlineLevel="0" collapsed="false">
      <c r="A208" s="11" t="str">
        <f aca="false">TRIM('수출입 실적(성질별_수출)'!A212)</f>
        <v>2024.10</v>
      </c>
      <c r="B208" s="17" t="n">
        <f aca="false">IFERROR(VALUE(LEFT($A208,4)),"")</f>
        <v>2024</v>
      </c>
      <c r="C208" s="17" t="n">
        <f aca="false">IFERROR(VALUE(RIGHT($A208,2)),"")</f>
        <v>10</v>
      </c>
      <c r="D208" s="17" t="n">
        <f aca="false">IFERROR(ROUNDUP($C208/3,0),"")</f>
        <v>4</v>
      </c>
      <c r="E208" s="11" t="str">
        <f aca="false">TRIM('수출입 실적(성질별_수출)'!C212)</f>
        <v>나. 철강제품</v>
      </c>
      <c r="F208" s="18" t="n">
        <f aca="false">IFERROR(VALUE(SUBSTITUTE(TRIM('수출입 실적(성질별_수출)'!D212),",","")),"")</f>
        <v>2791169.4</v>
      </c>
      <c r="G208" s="19" t="n">
        <f aca="false">IFERROR(VALUE(SUBSTITUTE(TRIM('수출입 실적(성질별_수출)'!E212),",","")),"")</f>
        <v>4074297</v>
      </c>
    </row>
    <row r="209" customFormat="false" ht="15" hidden="false" customHeight="true" outlineLevel="0" collapsed="false">
      <c r="A209" s="11" t="str">
        <f aca="false">TRIM('수출입 실적(성질별_수출)'!A213)</f>
        <v>2024.10</v>
      </c>
      <c r="B209" s="17" t="n">
        <f aca="false">IFERROR(VALUE(LEFT($A209,4)),"")</f>
        <v>2024</v>
      </c>
      <c r="C209" s="17" t="n">
        <f aca="false">IFERROR(VALUE(RIGHT($A209,2)),"")</f>
        <v>10</v>
      </c>
      <c r="D209" s="17" t="n">
        <f aca="false">IFERROR(ROUNDUP($C209/3,0),"")</f>
        <v>4</v>
      </c>
      <c r="E209" s="11" t="str">
        <f aca="false">TRIM('수출입 실적(성질별_수출)'!C213)</f>
        <v>다. 기계류와 정밀기기</v>
      </c>
      <c r="F209" s="18" t="n">
        <f aca="false">IFERROR(VALUE(SUBSTITUTE(TRIM('수출입 실적(성질별_수출)'!D213),",","")),"")</f>
        <v>325731.4</v>
      </c>
      <c r="G209" s="19" t="n">
        <f aca="false">IFERROR(VALUE(SUBSTITUTE(TRIM('수출입 실적(성질별_수출)'!E213),",","")),"")</f>
        <v>5720320</v>
      </c>
    </row>
    <row r="210" customFormat="false" ht="15" hidden="false" customHeight="true" outlineLevel="0" collapsed="false">
      <c r="A210" s="11" t="str">
        <f aca="false">TRIM('수출입 실적(성질별_수출)'!A214)</f>
        <v>2024.10</v>
      </c>
      <c r="B210" s="17" t="n">
        <f aca="false">IFERROR(VALUE(LEFT($A210,4)),"")</f>
        <v>2024</v>
      </c>
      <c r="C210" s="17" t="n">
        <f aca="false">IFERROR(VALUE(RIGHT($A210,2)),"")</f>
        <v>10</v>
      </c>
      <c r="D210" s="17" t="n">
        <f aca="false">IFERROR(ROUNDUP($C210/3,0),"")</f>
        <v>4</v>
      </c>
      <c r="E210" s="11" t="str">
        <f aca="false">TRIM('수출입 실적(성질별_수출)'!C214)</f>
        <v>라. 전기, 전자제품</v>
      </c>
      <c r="F210" s="18" t="n">
        <f aca="false">IFERROR(VALUE(SUBSTITUTE(TRIM('수출입 실적(성질별_수출)'!D214),",","")),"")</f>
        <v>227819.7</v>
      </c>
      <c r="G210" s="19" t="n">
        <f aca="false">IFERROR(VALUE(SUBSTITUTE(TRIM('수출입 실적(성질별_수출)'!E214),",","")),"")</f>
        <v>20471723</v>
      </c>
    </row>
    <row r="211" customFormat="false" ht="15" hidden="false" customHeight="true" outlineLevel="0" collapsed="false">
      <c r="A211" s="11" t="str">
        <f aca="false">TRIM('수출입 실적(성질별_수출)'!A215)</f>
        <v>2024.10</v>
      </c>
      <c r="B211" s="17" t="n">
        <f aca="false">IFERROR(VALUE(LEFT($A211,4)),"")</f>
        <v>2024</v>
      </c>
      <c r="C211" s="17" t="n">
        <f aca="false">IFERROR(VALUE(RIGHT($A211,2)),"")</f>
        <v>10</v>
      </c>
      <c r="D211" s="17" t="n">
        <f aca="false">IFERROR(ROUNDUP($C211/3,0),"")</f>
        <v>4</v>
      </c>
      <c r="E211" s="11" t="str">
        <f aca="false">TRIM('수출입 실적(성질별_수출)'!C215)</f>
        <v>마. 수송장비</v>
      </c>
      <c r="F211" s="18" t="n">
        <f aca="false">IFERROR(VALUE(SUBSTITUTE(TRIM('수출입 실적(성질별_수출)'!D215),",","")),"")</f>
        <v>1678487</v>
      </c>
      <c r="G211" s="19" t="n">
        <f aca="false">IFERROR(VALUE(SUBSTITUTE(TRIM('수출입 실적(성질별_수출)'!E215),",","")),"")</f>
        <v>10495595</v>
      </c>
    </row>
    <row r="212" customFormat="false" ht="15" hidden="false" customHeight="true" outlineLevel="0" collapsed="false">
      <c r="A212" s="11" t="str">
        <f aca="false">TRIM('수출입 실적(성질별_수출)'!A216)</f>
        <v>2024.10</v>
      </c>
      <c r="B212" s="17" t="n">
        <f aca="false">IFERROR(VALUE(LEFT($A212,4)),"")</f>
        <v>2024</v>
      </c>
      <c r="C212" s="17" t="n">
        <f aca="false">IFERROR(VALUE(RIGHT($A212,2)),"")</f>
        <v>10</v>
      </c>
      <c r="D212" s="17" t="n">
        <f aca="false">IFERROR(ROUNDUP($C212/3,0),"")</f>
        <v>4</v>
      </c>
      <c r="E212" s="11" t="str">
        <f aca="false">TRIM('수출입 실적(성질별_수출)'!C216)</f>
        <v>바. 기 타</v>
      </c>
      <c r="F212" s="18" t="n">
        <f aca="false">IFERROR(VALUE(SUBSTITUTE(TRIM('수출입 실적(성질별_수출)'!D216),",","")),"")</f>
        <v>72900.2</v>
      </c>
      <c r="G212" s="19" t="n">
        <f aca="false">IFERROR(VALUE(SUBSTITUTE(TRIM('수출입 실적(성질별_수출)'!E216),",","")),"")</f>
        <v>1895144</v>
      </c>
    </row>
    <row r="213" customFormat="false" ht="15" hidden="false" customHeight="true" outlineLevel="0" collapsed="false">
      <c r="A213" s="11" t="str">
        <f aca="false">TRIM('수출입 실적(성질별_수출)'!A217)</f>
        <v>2024.11</v>
      </c>
      <c r="B213" s="17" t="n">
        <f aca="false">IFERROR(VALUE(LEFT($A213,4)),"")</f>
        <v>2024</v>
      </c>
      <c r="C213" s="17" t="n">
        <f aca="false">IFERROR(VALUE(RIGHT($A213,2)),"")</f>
        <v>11</v>
      </c>
      <c r="D213" s="17" t="n">
        <f aca="false">IFERROR(ROUNDUP($C213/3,0),"")</f>
        <v>4</v>
      </c>
      <c r="E213" s="11" t="str">
        <f aca="false">TRIM('수출입 실적(성질별_수출)'!C217)</f>
        <v>1. 식료 및 직접소비재</v>
      </c>
      <c r="F213" s="18" t="n">
        <f aca="false">IFERROR(VALUE(SUBSTITUTE(TRIM('수출입 실적(성질별_수출)'!D217),",","")),"")</f>
        <v>357587.7</v>
      </c>
      <c r="G213" s="19" t="n">
        <f aca="false">IFERROR(VALUE(SUBSTITUTE(TRIM('수출입 실적(성질별_수출)'!E217),",","")),"")</f>
        <v>1014150</v>
      </c>
    </row>
    <row r="214" customFormat="false" ht="15" hidden="false" customHeight="true" outlineLevel="0" collapsed="false">
      <c r="A214" s="11" t="str">
        <f aca="false">TRIM('수출입 실적(성질별_수출)'!A218)</f>
        <v>2024.11</v>
      </c>
      <c r="B214" s="17" t="n">
        <f aca="false">IFERROR(VALUE(LEFT($A214,4)),"")</f>
        <v>2024</v>
      </c>
      <c r="C214" s="17" t="n">
        <f aca="false">IFERROR(VALUE(RIGHT($A214,2)),"")</f>
        <v>11</v>
      </c>
      <c r="D214" s="17" t="n">
        <f aca="false">IFERROR(ROUNDUP($C214/3,0),"")</f>
        <v>4</v>
      </c>
      <c r="E214" s="11" t="str">
        <f aca="false">TRIM('수출입 실적(성질별_수출)'!C218)</f>
        <v>2. 원료 및 연료</v>
      </c>
      <c r="F214" s="18" t="n">
        <f aca="false">IFERROR(VALUE(SUBSTITUTE(TRIM('수출입 실적(성질별_수출)'!D218),",","")),"")</f>
        <v>6088938.4</v>
      </c>
      <c r="G214" s="19" t="n">
        <f aca="false">IFERROR(VALUE(SUBSTITUTE(TRIM('수출입 실적(성질별_수출)'!E218),",","")),"")</f>
        <v>4489618</v>
      </c>
    </row>
    <row r="215" customFormat="false" ht="15" hidden="false" customHeight="true" outlineLevel="0" collapsed="false">
      <c r="A215" s="11" t="str">
        <f aca="false">TRIM('수출입 실적(성질별_수출)'!A219)</f>
        <v>2024.11</v>
      </c>
      <c r="B215" s="17" t="n">
        <f aca="false">IFERROR(VALUE(LEFT($A215,4)),"")</f>
        <v>2024</v>
      </c>
      <c r="C215" s="17" t="n">
        <f aca="false">IFERROR(VALUE(RIGHT($A215,2)),"")</f>
        <v>11</v>
      </c>
      <c r="D215" s="17" t="n">
        <f aca="false">IFERROR(ROUNDUP($C215/3,0),"")</f>
        <v>4</v>
      </c>
      <c r="E215" s="11" t="str">
        <f aca="false">TRIM('수출입 실적(성질별_수출)'!C219)</f>
        <v>3. 경공업품</v>
      </c>
      <c r="F215" s="18" t="n">
        <f aca="false">IFERROR(VALUE(SUBSTITUTE(TRIM('수출입 실적(성질별_수출)'!D219),",","")),"")</f>
        <v>951042.2</v>
      </c>
      <c r="G215" s="19" t="n">
        <f aca="false">IFERROR(VALUE(SUBSTITUTE(TRIM('수출입 실적(성질별_수출)'!E219),",","")),"")</f>
        <v>2826443</v>
      </c>
    </row>
    <row r="216" customFormat="false" ht="15" hidden="false" customHeight="true" outlineLevel="0" collapsed="false">
      <c r="A216" s="11" t="str">
        <f aca="false">TRIM('수출입 실적(성질별_수출)'!A220)</f>
        <v>2024.11</v>
      </c>
      <c r="B216" s="17" t="n">
        <f aca="false">IFERROR(VALUE(LEFT($A216,4)),"")</f>
        <v>2024</v>
      </c>
      <c r="C216" s="17" t="n">
        <f aca="false">IFERROR(VALUE(RIGHT($A216,2)),"")</f>
        <v>11</v>
      </c>
      <c r="D216" s="17" t="n">
        <f aca="false">IFERROR(ROUNDUP($C216/3,0),"")</f>
        <v>4</v>
      </c>
      <c r="E216" s="11" t="str">
        <f aca="false">TRIM('수출입 실적(성질별_수출)'!C220)</f>
        <v>가. 섬유원료</v>
      </c>
      <c r="F216" s="18" t="n">
        <f aca="false">IFERROR(VALUE(SUBSTITUTE(TRIM('수출입 실적(성질별_수출)'!D220),",","")),"")</f>
        <v>55024.7</v>
      </c>
      <c r="G216" s="19" t="n">
        <f aca="false">IFERROR(VALUE(SUBSTITUTE(TRIM('수출입 실적(성질별_수출)'!E220),",","")),"")</f>
        <v>80443</v>
      </c>
    </row>
    <row r="217" customFormat="false" ht="15" hidden="false" customHeight="true" outlineLevel="0" collapsed="false">
      <c r="A217" s="11" t="str">
        <f aca="false">TRIM('수출입 실적(성질별_수출)'!A221)</f>
        <v>2024.11</v>
      </c>
      <c r="B217" s="17" t="n">
        <f aca="false">IFERROR(VALUE(LEFT($A217,4)),"")</f>
        <v>2024</v>
      </c>
      <c r="C217" s="17" t="n">
        <f aca="false">IFERROR(VALUE(RIGHT($A217,2)),"")</f>
        <v>11</v>
      </c>
      <c r="D217" s="17" t="n">
        <f aca="false">IFERROR(ROUNDUP($C217/3,0),"")</f>
        <v>4</v>
      </c>
      <c r="E217" s="11" t="str">
        <f aca="false">TRIM('수출입 실적(성질별_수출)'!C221)</f>
        <v>나. 섬유사</v>
      </c>
      <c r="F217" s="18" t="n">
        <f aca="false">IFERROR(VALUE(SUBSTITUTE(TRIM('수출입 실적(성질별_수출)'!D221),",","")),"")</f>
        <v>18110</v>
      </c>
      <c r="G217" s="19" t="n">
        <f aca="false">IFERROR(VALUE(SUBSTITUTE(TRIM('수출입 실적(성질별_수출)'!E221),",","")),"")</f>
        <v>65296</v>
      </c>
    </row>
    <row r="218" customFormat="false" ht="15" hidden="false" customHeight="true" outlineLevel="0" collapsed="false">
      <c r="A218" s="11" t="str">
        <f aca="false">TRIM('수출입 실적(성질별_수출)'!A222)</f>
        <v>2024.11</v>
      </c>
      <c r="B218" s="17" t="n">
        <f aca="false">IFERROR(VALUE(LEFT($A218,4)),"")</f>
        <v>2024</v>
      </c>
      <c r="C218" s="17" t="n">
        <f aca="false">IFERROR(VALUE(RIGHT($A218,2)),"")</f>
        <v>11</v>
      </c>
      <c r="D218" s="17" t="n">
        <f aca="false">IFERROR(ROUNDUP($C218/3,0),"")</f>
        <v>4</v>
      </c>
      <c r="E218" s="11" t="str">
        <f aca="false">TRIM('수출입 실적(성질별_수출)'!C222)</f>
        <v>다. 직 물</v>
      </c>
      <c r="F218" s="18" t="n">
        <f aca="false">IFERROR(VALUE(SUBSTITUTE(TRIM('수출입 실적(성질별_수출)'!D222),",","")),"")</f>
        <v>32483</v>
      </c>
      <c r="G218" s="19" t="n">
        <f aca="false">IFERROR(VALUE(SUBSTITUTE(TRIM('수출입 실적(성질별_수출)'!E222),",","")),"")</f>
        <v>331516</v>
      </c>
    </row>
    <row r="219" customFormat="false" ht="15" hidden="false" customHeight="true" outlineLevel="0" collapsed="false">
      <c r="A219" s="11" t="str">
        <f aca="false">TRIM('수출입 실적(성질별_수출)'!A223)</f>
        <v>2024.11</v>
      </c>
      <c r="B219" s="17" t="n">
        <f aca="false">IFERROR(VALUE(LEFT($A219,4)),"")</f>
        <v>2024</v>
      </c>
      <c r="C219" s="17" t="n">
        <f aca="false">IFERROR(VALUE(RIGHT($A219,2)),"")</f>
        <v>11</v>
      </c>
      <c r="D219" s="17" t="n">
        <f aca="false">IFERROR(ROUNDUP($C219/3,0),"")</f>
        <v>4</v>
      </c>
      <c r="E219" s="11" t="str">
        <f aca="false">TRIM('수출입 실적(성질별_수출)'!C223)</f>
        <v>라. 기타 섬유제품</v>
      </c>
      <c r="F219" s="18" t="n">
        <f aca="false">IFERROR(VALUE(SUBSTITUTE(TRIM('수출입 실적(성질별_수출)'!D223),",","")),"")</f>
        <v>23845.7</v>
      </c>
      <c r="G219" s="19" t="n">
        <f aca="false">IFERROR(VALUE(SUBSTITUTE(TRIM('수출입 실적(성질별_수출)'!E223),",","")),"")</f>
        <v>202634</v>
      </c>
    </row>
    <row r="220" customFormat="false" ht="15" hidden="false" customHeight="true" outlineLevel="0" collapsed="false">
      <c r="A220" s="11" t="str">
        <f aca="false">TRIM('수출입 실적(성질별_수출)'!A224)</f>
        <v>2024.11</v>
      </c>
      <c r="B220" s="17" t="n">
        <f aca="false">IFERROR(VALUE(LEFT($A220,4)),"")</f>
        <v>2024</v>
      </c>
      <c r="C220" s="17" t="n">
        <f aca="false">IFERROR(VALUE(RIGHT($A220,2)),"")</f>
        <v>11</v>
      </c>
      <c r="D220" s="17" t="n">
        <f aca="false">IFERROR(ROUNDUP($C220/3,0),"")</f>
        <v>4</v>
      </c>
      <c r="E220" s="11" t="str">
        <f aca="false">TRIM('수출입 실적(성질별_수출)'!C224)</f>
        <v>마. 의 류</v>
      </c>
      <c r="F220" s="18" t="n">
        <f aca="false">IFERROR(VALUE(SUBSTITUTE(TRIM('수출입 실적(성질별_수출)'!D224),",","")),"")</f>
        <v>7366.5</v>
      </c>
      <c r="G220" s="19" t="n">
        <f aca="false">IFERROR(VALUE(SUBSTITUTE(TRIM('수출입 실적(성질별_수출)'!E224),",","")),"")</f>
        <v>190426</v>
      </c>
    </row>
    <row r="221" customFormat="false" ht="15" hidden="false" customHeight="true" outlineLevel="0" collapsed="false">
      <c r="A221" s="11" t="str">
        <f aca="false">TRIM('수출입 실적(성질별_수출)'!A225)</f>
        <v>2024.11</v>
      </c>
      <c r="B221" s="17" t="n">
        <f aca="false">IFERROR(VALUE(LEFT($A221,4)),"")</f>
        <v>2024</v>
      </c>
      <c r="C221" s="17" t="n">
        <f aca="false">IFERROR(VALUE(RIGHT($A221,2)),"")</f>
        <v>11</v>
      </c>
      <c r="D221" s="17" t="n">
        <f aca="false">IFERROR(ROUNDUP($C221/3,0),"")</f>
        <v>4</v>
      </c>
      <c r="E221" s="11" t="str">
        <f aca="false">TRIM('수출입 실적(성질별_수출)'!C225)</f>
        <v>바. 목제품</v>
      </c>
      <c r="F221" s="18" t="n">
        <f aca="false">IFERROR(VALUE(SUBSTITUTE(TRIM('수출입 실적(성질별_수출)'!D225),",","")),"")</f>
        <v>17756</v>
      </c>
      <c r="G221" s="19" t="n">
        <f aca="false">IFERROR(VALUE(SUBSTITUTE(TRIM('수출입 실적(성질별_수출)'!E225),",","")),"")</f>
        <v>103201</v>
      </c>
    </row>
    <row r="222" customFormat="false" ht="15" hidden="false" customHeight="true" outlineLevel="0" collapsed="false">
      <c r="A222" s="11" t="str">
        <f aca="false">TRIM('수출입 실적(성질별_수출)'!A226)</f>
        <v>2024.11</v>
      </c>
      <c r="B222" s="17" t="n">
        <f aca="false">IFERROR(VALUE(LEFT($A222,4)),"")</f>
        <v>2024</v>
      </c>
      <c r="C222" s="17" t="n">
        <f aca="false">IFERROR(VALUE(RIGHT($A222,2)),"")</f>
        <v>11</v>
      </c>
      <c r="D222" s="17" t="n">
        <f aca="false">IFERROR(ROUNDUP($C222/3,0),"")</f>
        <v>4</v>
      </c>
      <c r="E222" s="11" t="str">
        <f aca="false">TRIM('수출입 실적(성질별_수출)'!C226)</f>
        <v>사. 가죽, 고무 및 신발류</v>
      </c>
      <c r="F222" s="18" t="n">
        <f aca="false">IFERROR(VALUE(SUBSTITUTE(TRIM('수출입 실적(성질별_수출)'!D226),",","")),"")</f>
        <v>70788.1</v>
      </c>
      <c r="G222" s="19" t="n">
        <f aca="false">IFERROR(VALUE(SUBSTITUTE(TRIM('수출입 실적(성질별_수출)'!E226),",","")),"")</f>
        <v>397070</v>
      </c>
    </row>
    <row r="223" customFormat="false" ht="15" hidden="false" customHeight="true" outlineLevel="0" collapsed="false">
      <c r="A223" s="11" t="str">
        <f aca="false">TRIM('수출입 실적(성질별_수출)'!A227)</f>
        <v>2024.11</v>
      </c>
      <c r="B223" s="17" t="n">
        <f aca="false">IFERROR(VALUE(LEFT($A223,4)),"")</f>
        <v>2024</v>
      </c>
      <c r="C223" s="17" t="n">
        <f aca="false">IFERROR(VALUE(RIGHT($A223,2)),"")</f>
        <v>11</v>
      </c>
      <c r="D223" s="17" t="n">
        <f aca="false">IFERROR(ROUNDUP($C223/3,0),"")</f>
        <v>4</v>
      </c>
      <c r="E223" s="11" t="str">
        <f aca="false">TRIM('수출입 실적(성질별_수출)'!C227)</f>
        <v>아. 귀금속 및 보석류</v>
      </c>
      <c r="F223" s="18" t="n">
        <f aca="false">IFERROR(VALUE(SUBSTITUTE(TRIM('수출입 실적(성질별_수출)'!D227),",","")),"")</f>
        <v>395</v>
      </c>
      <c r="G223" s="19" t="n">
        <f aca="false">IFERROR(VALUE(SUBSTITUTE(TRIM('수출입 실적(성질별_수출)'!E227),",","")),"")</f>
        <v>272277</v>
      </c>
    </row>
    <row r="224" customFormat="false" ht="15" hidden="false" customHeight="true" outlineLevel="0" collapsed="false">
      <c r="A224" s="11" t="str">
        <f aca="false">TRIM('수출입 실적(성질별_수출)'!A228)</f>
        <v>2024.11</v>
      </c>
      <c r="B224" s="17" t="n">
        <f aca="false">IFERROR(VALUE(LEFT($A224,4)),"")</f>
        <v>2024</v>
      </c>
      <c r="C224" s="17" t="n">
        <f aca="false">IFERROR(VALUE(RIGHT($A224,2)),"")</f>
        <v>11</v>
      </c>
      <c r="D224" s="17" t="n">
        <f aca="false">IFERROR(ROUNDUP($C224/3,0),"")</f>
        <v>4</v>
      </c>
      <c r="E224" s="11" t="str">
        <f aca="false">TRIM('수출입 실적(성질별_수출)'!C228)</f>
        <v>자. 기타 비금속 광물제품</v>
      </c>
      <c r="F224" s="18" t="n">
        <f aca="false">IFERROR(VALUE(SUBSTITUTE(TRIM('수출입 실적(성질별_수출)'!D228),",","")),"")</f>
        <v>391083.4</v>
      </c>
      <c r="G224" s="19" t="n">
        <f aca="false">IFERROR(VALUE(SUBSTITUTE(TRIM('수출입 실적(성질별_수출)'!E228),",","")),"")</f>
        <v>201483</v>
      </c>
    </row>
    <row r="225" customFormat="false" ht="15" hidden="false" customHeight="true" outlineLevel="0" collapsed="false">
      <c r="A225" s="11" t="str">
        <f aca="false">TRIM('수출입 실적(성질별_수출)'!A229)</f>
        <v>2024.11</v>
      </c>
      <c r="B225" s="17" t="n">
        <f aca="false">IFERROR(VALUE(LEFT($A225,4)),"")</f>
        <v>2024</v>
      </c>
      <c r="C225" s="17" t="n">
        <f aca="false">IFERROR(VALUE(RIGHT($A225,2)),"")</f>
        <v>11</v>
      </c>
      <c r="D225" s="17" t="n">
        <f aca="false">IFERROR(ROUNDUP($C225/3,0),"")</f>
        <v>4</v>
      </c>
      <c r="E225" s="11" t="str">
        <f aca="false">TRIM('수출입 실적(성질별_수출)'!C229)</f>
        <v>차. 완구, 운동용구 및 악기</v>
      </c>
      <c r="F225" s="18" t="n">
        <f aca="false">IFERROR(VALUE(SUBSTITUTE(TRIM('수출입 실적(성질별_수출)'!D229),",","")),"")</f>
        <v>2326.4</v>
      </c>
      <c r="G225" s="19" t="n">
        <f aca="false">IFERROR(VALUE(SUBSTITUTE(TRIM('수출입 실적(성질별_수출)'!E229),",","")),"")</f>
        <v>48759</v>
      </c>
    </row>
    <row r="226" customFormat="false" ht="15" hidden="false" customHeight="true" outlineLevel="0" collapsed="false">
      <c r="A226" s="11" t="str">
        <f aca="false">TRIM('수출입 실적(성질별_수출)'!A230)</f>
        <v>2024.11</v>
      </c>
      <c r="B226" s="17" t="n">
        <f aca="false">IFERROR(VALUE(LEFT($A226,4)),"")</f>
        <v>2024</v>
      </c>
      <c r="C226" s="17" t="n">
        <f aca="false">IFERROR(VALUE(RIGHT($A226,2)),"")</f>
        <v>11</v>
      </c>
      <c r="D226" s="17" t="n">
        <f aca="false">IFERROR(ROUNDUP($C226/3,0),"")</f>
        <v>4</v>
      </c>
      <c r="E226" s="11" t="str">
        <f aca="false">TRIM('수출입 실적(성질별_수출)'!C230)</f>
        <v>카. 기 타</v>
      </c>
      <c r="F226" s="18" t="n">
        <f aca="false">IFERROR(VALUE(SUBSTITUTE(TRIM('수출입 실적(성질별_수출)'!D230),",","")),"")</f>
        <v>331863.4</v>
      </c>
      <c r="G226" s="19" t="n">
        <f aca="false">IFERROR(VALUE(SUBSTITUTE(TRIM('수출입 실적(성질별_수출)'!E230),",","")),"")</f>
        <v>933339</v>
      </c>
    </row>
    <row r="227" customFormat="false" ht="15" hidden="false" customHeight="true" outlineLevel="0" collapsed="false">
      <c r="A227" s="11" t="str">
        <f aca="false">TRIM('수출입 실적(성질별_수출)'!A231)</f>
        <v>2024.11</v>
      </c>
      <c r="B227" s="17" t="n">
        <f aca="false">IFERROR(VALUE(LEFT($A227,4)),"")</f>
        <v>2024</v>
      </c>
      <c r="C227" s="17" t="n">
        <f aca="false">IFERROR(VALUE(RIGHT($A227,2)),"")</f>
        <v>11</v>
      </c>
      <c r="D227" s="17" t="n">
        <f aca="false">IFERROR(ROUNDUP($C227/3,0),"")</f>
        <v>4</v>
      </c>
      <c r="E227" s="11" t="str">
        <f aca="false">TRIM('수출입 실적(성질별_수출)'!C231)</f>
        <v>4. 중화학 공업품</v>
      </c>
      <c r="F227" s="18" t="n">
        <f aca="false">IFERROR(VALUE(SUBSTITUTE(TRIM('수출입 실적(성질별_수출)'!D231),",","")),"")</f>
        <v>8496387.7</v>
      </c>
      <c r="G227" s="19" t="n">
        <f aca="false">IFERROR(VALUE(SUBSTITUTE(TRIM('수출입 실적(성질별_수출)'!E231),",","")),"")</f>
        <v>47958418</v>
      </c>
    </row>
    <row r="228" customFormat="false" ht="15" hidden="false" customHeight="true" outlineLevel="0" collapsed="false">
      <c r="A228" s="11" t="str">
        <f aca="false">TRIM('수출입 실적(성질별_수출)'!A232)</f>
        <v>2024.11</v>
      </c>
      <c r="B228" s="17" t="n">
        <f aca="false">IFERROR(VALUE(LEFT($A228,4)),"")</f>
        <v>2024</v>
      </c>
      <c r="C228" s="17" t="n">
        <f aca="false">IFERROR(VALUE(RIGHT($A228,2)),"")</f>
        <v>11</v>
      </c>
      <c r="D228" s="17" t="n">
        <f aca="false">IFERROR(ROUNDUP($C228/3,0),"")</f>
        <v>4</v>
      </c>
      <c r="E228" s="11" t="str">
        <f aca="false">TRIM('수출입 실적(성질별_수출)'!C232)</f>
        <v>가. 화공품</v>
      </c>
      <c r="F228" s="18" t="n">
        <f aca="false">IFERROR(VALUE(SUBSTITUTE(TRIM('수출입 실적(성질별_수출)'!D232),",","")),"")</f>
        <v>3546544.6</v>
      </c>
      <c r="G228" s="19" t="n">
        <f aca="false">IFERROR(VALUE(SUBSTITUTE(TRIM('수출입 실적(성질별_수출)'!E232),",","")),"")</f>
        <v>6427064</v>
      </c>
    </row>
    <row r="229" customFormat="false" ht="15" hidden="false" customHeight="true" outlineLevel="0" collapsed="false">
      <c r="A229" s="11" t="str">
        <f aca="false">TRIM('수출입 실적(성질별_수출)'!A233)</f>
        <v>2024.11</v>
      </c>
      <c r="B229" s="17" t="n">
        <f aca="false">IFERROR(VALUE(LEFT($A229,4)),"")</f>
        <v>2024</v>
      </c>
      <c r="C229" s="17" t="n">
        <f aca="false">IFERROR(VALUE(RIGHT($A229,2)),"")</f>
        <v>11</v>
      </c>
      <c r="D229" s="17" t="n">
        <f aca="false">IFERROR(ROUNDUP($C229/3,0),"")</f>
        <v>4</v>
      </c>
      <c r="E229" s="11" t="str">
        <f aca="false">TRIM('수출입 실적(성질별_수출)'!C233)</f>
        <v>나. 철강제품</v>
      </c>
      <c r="F229" s="18" t="n">
        <f aca="false">IFERROR(VALUE(SUBSTITUTE(TRIM('수출입 실적(성질별_수출)'!D233),",","")),"")</f>
        <v>2767476.1</v>
      </c>
      <c r="G229" s="19" t="n">
        <f aca="false">IFERROR(VALUE(SUBSTITUTE(TRIM('수출입 실적(성질별_수출)'!E233),",","")),"")</f>
        <v>3872988</v>
      </c>
    </row>
    <row r="230" customFormat="false" ht="15" hidden="false" customHeight="true" outlineLevel="0" collapsed="false">
      <c r="A230" s="11" t="str">
        <f aca="false">TRIM('수출입 실적(성질별_수출)'!A234)</f>
        <v>2024.11</v>
      </c>
      <c r="B230" s="17" t="n">
        <f aca="false">IFERROR(VALUE(LEFT($A230,4)),"")</f>
        <v>2024</v>
      </c>
      <c r="C230" s="17" t="n">
        <f aca="false">IFERROR(VALUE(RIGHT($A230,2)),"")</f>
        <v>11</v>
      </c>
      <c r="D230" s="17" t="n">
        <f aca="false">IFERROR(ROUNDUP($C230/3,0),"")</f>
        <v>4</v>
      </c>
      <c r="E230" s="11" t="str">
        <f aca="false">TRIM('수출입 실적(성질별_수출)'!C234)</f>
        <v>다. 기계류와 정밀기기</v>
      </c>
      <c r="F230" s="18" t="n">
        <f aca="false">IFERROR(VALUE(SUBSTITUTE(TRIM('수출입 실적(성질별_수출)'!D234),",","")),"")</f>
        <v>328684.3</v>
      </c>
      <c r="G230" s="19" t="n">
        <f aca="false">IFERROR(VALUE(SUBSTITUTE(TRIM('수출입 실적(성질별_수출)'!E234),",","")),"")</f>
        <v>5902942</v>
      </c>
    </row>
    <row r="231" customFormat="false" ht="15" hidden="false" customHeight="true" outlineLevel="0" collapsed="false">
      <c r="A231" s="11" t="str">
        <f aca="false">TRIM('수출입 실적(성질별_수출)'!A235)</f>
        <v>2024.11</v>
      </c>
      <c r="B231" s="17" t="n">
        <f aca="false">IFERROR(VALUE(LEFT($A231,4)),"")</f>
        <v>2024</v>
      </c>
      <c r="C231" s="17" t="n">
        <f aca="false">IFERROR(VALUE(RIGHT($A231,2)),"")</f>
        <v>11</v>
      </c>
      <c r="D231" s="17" t="n">
        <f aca="false">IFERROR(ROUNDUP($C231/3,0),"")</f>
        <v>4</v>
      </c>
      <c r="E231" s="11" t="str">
        <f aca="false">TRIM('수출입 실적(성질별_수출)'!C235)</f>
        <v>라. 전기, 전자제품</v>
      </c>
      <c r="F231" s="18" t="n">
        <f aca="false">IFERROR(VALUE(SUBSTITUTE(TRIM('수출입 실적(성질별_수출)'!D235),",","")),"")</f>
        <v>214798.2</v>
      </c>
      <c r="G231" s="19" t="n">
        <f aca="false">IFERROR(VALUE(SUBSTITUTE(TRIM('수출입 실적(성질별_수출)'!E235),",","")),"")</f>
        <v>20062945</v>
      </c>
    </row>
    <row r="232" customFormat="false" ht="15" hidden="false" customHeight="true" outlineLevel="0" collapsed="false">
      <c r="A232" s="11" t="str">
        <f aca="false">TRIM('수출입 실적(성질별_수출)'!A236)</f>
        <v>2024.11</v>
      </c>
      <c r="B232" s="17" t="n">
        <f aca="false">IFERROR(VALUE(LEFT($A232,4)),"")</f>
        <v>2024</v>
      </c>
      <c r="C232" s="17" t="n">
        <f aca="false">IFERROR(VALUE(RIGHT($A232,2)),"")</f>
        <v>11</v>
      </c>
      <c r="D232" s="17" t="n">
        <f aca="false">IFERROR(ROUNDUP($C232/3,0),"")</f>
        <v>4</v>
      </c>
      <c r="E232" s="11" t="str">
        <f aca="false">TRIM('수출입 실적(성질별_수출)'!C236)</f>
        <v>마. 수송장비</v>
      </c>
      <c r="F232" s="18" t="n">
        <f aca="false">IFERROR(VALUE(SUBSTITUTE(TRIM('수출입 실적(성질별_수출)'!D236),",","")),"")</f>
        <v>1569263.1</v>
      </c>
      <c r="G232" s="19" t="n">
        <f aca="false">IFERROR(VALUE(SUBSTITUTE(TRIM('수출입 실적(성질별_수출)'!E236),",","")),"")</f>
        <v>9977654</v>
      </c>
    </row>
    <row r="233" customFormat="false" ht="15" hidden="false" customHeight="true" outlineLevel="0" collapsed="false">
      <c r="A233" s="11" t="str">
        <f aca="false">TRIM('수출입 실적(성질별_수출)'!A237)</f>
        <v>2024.11</v>
      </c>
      <c r="B233" s="17" t="n">
        <f aca="false">IFERROR(VALUE(LEFT($A233,4)),"")</f>
        <v>2024</v>
      </c>
      <c r="C233" s="17" t="n">
        <f aca="false">IFERROR(VALUE(RIGHT($A233,2)),"")</f>
        <v>11</v>
      </c>
      <c r="D233" s="17" t="n">
        <f aca="false">IFERROR(ROUNDUP($C233/3,0),"")</f>
        <v>4</v>
      </c>
      <c r="E233" s="11" t="str">
        <f aca="false">TRIM('수출입 실적(성질별_수출)'!C237)</f>
        <v>바. 기 타</v>
      </c>
      <c r="F233" s="18" t="n">
        <f aca="false">IFERROR(VALUE(SUBSTITUTE(TRIM('수출입 실적(성질별_수출)'!D237),",","")),"")</f>
        <v>69621.4</v>
      </c>
      <c r="G233" s="19" t="n">
        <f aca="false">IFERROR(VALUE(SUBSTITUTE(TRIM('수출입 실적(성질별_수출)'!E237),",","")),"")</f>
        <v>1714826</v>
      </c>
    </row>
    <row r="234" customFormat="false" ht="15" hidden="false" customHeight="true" outlineLevel="0" collapsed="false">
      <c r="A234" s="11" t="str">
        <f aca="false">TRIM('수출입 실적(성질별_수출)'!A238)</f>
        <v>2024.12</v>
      </c>
      <c r="B234" s="17" t="n">
        <f aca="false">IFERROR(VALUE(LEFT($A234,4)),"")</f>
        <v>2024</v>
      </c>
      <c r="C234" s="17" t="n">
        <f aca="false">IFERROR(VALUE(RIGHT($A234,2)),"")</f>
        <v>12</v>
      </c>
      <c r="D234" s="17" t="n">
        <f aca="false">IFERROR(ROUNDUP($C234/3,0),"")</f>
        <v>4</v>
      </c>
      <c r="E234" s="11" t="str">
        <f aca="false">TRIM('수출입 실적(성질별_수출)'!C238)</f>
        <v>1. 식료 및 직접소비재</v>
      </c>
      <c r="F234" s="18" t="n">
        <f aca="false">IFERROR(VALUE(SUBSTITUTE(TRIM('수출입 실적(성질별_수출)'!D238),",","")),"")</f>
        <v>360572.8</v>
      </c>
      <c r="G234" s="19" t="n">
        <f aca="false">IFERROR(VALUE(SUBSTITUTE(TRIM('수출입 실적(성질별_수출)'!E238),",","")),"")</f>
        <v>1047968</v>
      </c>
    </row>
    <row r="235" customFormat="false" ht="15" hidden="false" customHeight="true" outlineLevel="0" collapsed="false">
      <c r="A235" s="11" t="str">
        <f aca="false">TRIM('수출입 실적(성질별_수출)'!A239)</f>
        <v>2024.12</v>
      </c>
      <c r="B235" s="17" t="n">
        <f aca="false">IFERROR(VALUE(LEFT($A235,4)),"")</f>
        <v>2024</v>
      </c>
      <c r="C235" s="17" t="n">
        <f aca="false">IFERROR(VALUE(RIGHT($A235,2)),"")</f>
        <v>12</v>
      </c>
      <c r="D235" s="17" t="n">
        <f aca="false">IFERROR(ROUNDUP($C235/3,0),"")</f>
        <v>4</v>
      </c>
      <c r="E235" s="11" t="str">
        <f aca="false">TRIM('수출입 실적(성질별_수출)'!C239)</f>
        <v>2. 원료 및 연료</v>
      </c>
      <c r="F235" s="18" t="n">
        <f aca="false">IFERROR(VALUE(SUBSTITUTE(TRIM('수출입 실적(성질별_수출)'!D239),",","")),"")</f>
        <v>6657453.1</v>
      </c>
      <c r="G235" s="19" t="n">
        <f aca="false">IFERROR(VALUE(SUBSTITUTE(TRIM('수출입 실적(성질별_수출)'!E239),",","")),"")</f>
        <v>4944064</v>
      </c>
    </row>
    <row r="236" customFormat="false" ht="15" hidden="false" customHeight="true" outlineLevel="0" collapsed="false">
      <c r="A236" s="11" t="str">
        <f aca="false">TRIM('수출입 실적(성질별_수출)'!A240)</f>
        <v>2024.12</v>
      </c>
      <c r="B236" s="17" t="n">
        <f aca="false">IFERROR(VALUE(LEFT($A236,4)),"")</f>
        <v>2024</v>
      </c>
      <c r="C236" s="17" t="n">
        <f aca="false">IFERROR(VALUE(RIGHT($A236,2)),"")</f>
        <v>12</v>
      </c>
      <c r="D236" s="17" t="n">
        <f aca="false">IFERROR(ROUNDUP($C236/3,0),"")</f>
        <v>4</v>
      </c>
      <c r="E236" s="11" t="str">
        <f aca="false">TRIM('수출입 실적(성질별_수출)'!C240)</f>
        <v>3. 경공업품</v>
      </c>
      <c r="F236" s="18" t="n">
        <f aca="false">IFERROR(VALUE(SUBSTITUTE(TRIM('수출입 실적(성질별_수출)'!D240),",","")),"")</f>
        <v>966666.7</v>
      </c>
      <c r="G236" s="19" t="n">
        <f aca="false">IFERROR(VALUE(SUBSTITUTE(TRIM('수출입 실적(성질별_수출)'!E240),",","")),"")</f>
        <v>2796674</v>
      </c>
    </row>
    <row r="237" customFormat="false" ht="15" hidden="false" customHeight="true" outlineLevel="0" collapsed="false">
      <c r="A237" s="11" t="str">
        <f aca="false">TRIM('수출입 실적(성질별_수출)'!A241)</f>
        <v>2024.12</v>
      </c>
      <c r="B237" s="17" t="n">
        <f aca="false">IFERROR(VALUE(LEFT($A237,4)),"")</f>
        <v>2024</v>
      </c>
      <c r="C237" s="17" t="n">
        <f aca="false">IFERROR(VALUE(RIGHT($A237,2)),"")</f>
        <v>12</v>
      </c>
      <c r="D237" s="17" t="n">
        <f aca="false">IFERROR(ROUNDUP($C237/3,0),"")</f>
        <v>4</v>
      </c>
      <c r="E237" s="11" t="str">
        <f aca="false">TRIM('수출입 실적(성질별_수출)'!C241)</f>
        <v>가. 섬유원료</v>
      </c>
      <c r="F237" s="18" t="n">
        <f aca="false">IFERROR(VALUE(SUBSTITUTE(TRIM('수출입 실적(성질별_수출)'!D241),",","")),"")</f>
        <v>57977.6</v>
      </c>
      <c r="G237" s="19" t="n">
        <f aca="false">IFERROR(VALUE(SUBSTITUTE(TRIM('수출입 실적(성질별_수출)'!E241),",","")),"")</f>
        <v>84401</v>
      </c>
    </row>
    <row r="238" customFormat="false" ht="15" hidden="false" customHeight="true" outlineLevel="0" collapsed="false">
      <c r="A238" s="11" t="str">
        <f aca="false">TRIM('수출입 실적(성질별_수출)'!A242)</f>
        <v>2024.12</v>
      </c>
      <c r="B238" s="17" t="n">
        <f aca="false">IFERROR(VALUE(LEFT($A238,4)),"")</f>
        <v>2024</v>
      </c>
      <c r="C238" s="17" t="n">
        <f aca="false">IFERROR(VALUE(RIGHT($A238,2)),"")</f>
        <v>12</v>
      </c>
      <c r="D238" s="17" t="n">
        <f aca="false">IFERROR(ROUNDUP($C238/3,0),"")</f>
        <v>4</v>
      </c>
      <c r="E238" s="11" t="str">
        <f aca="false">TRIM('수출입 실적(성질별_수출)'!C242)</f>
        <v>나. 섬유사</v>
      </c>
      <c r="F238" s="18" t="n">
        <f aca="false">IFERROR(VALUE(SUBSTITUTE(TRIM('수출입 실적(성질별_수출)'!D242),",","")),"")</f>
        <v>19837.5</v>
      </c>
      <c r="G238" s="19" t="n">
        <f aca="false">IFERROR(VALUE(SUBSTITUTE(TRIM('수출입 실적(성질별_수출)'!E242),",","")),"")</f>
        <v>68370</v>
      </c>
    </row>
    <row r="239" customFormat="false" ht="15" hidden="false" customHeight="true" outlineLevel="0" collapsed="false">
      <c r="A239" s="11" t="str">
        <f aca="false">TRIM('수출입 실적(성질별_수출)'!A243)</f>
        <v>2024.12</v>
      </c>
      <c r="B239" s="17" t="n">
        <f aca="false">IFERROR(VALUE(LEFT($A239,4)),"")</f>
        <v>2024</v>
      </c>
      <c r="C239" s="17" t="n">
        <f aca="false">IFERROR(VALUE(RIGHT($A239,2)),"")</f>
        <v>12</v>
      </c>
      <c r="D239" s="17" t="n">
        <f aca="false">IFERROR(ROUNDUP($C239/3,0),"")</f>
        <v>4</v>
      </c>
      <c r="E239" s="11" t="str">
        <f aca="false">TRIM('수출입 실적(성질별_수출)'!C243)</f>
        <v>다. 직 물</v>
      </c>
      <c r="F239" s="18" t="n">
        <f aca="false">IFERROR(VALUE(SUBSTITUTE(TRIM('수출입 실적(성질별_수출)'!D243),",","")),"")</f>
        <v>32579.9</v>
      </c>
      <c r="G239" s="19" t="n">
        <f aca="false">IFERROR(VALUE(SUBSTITUTE(TRIM('수출입 실적(성질별_수출)'!E243),",","")),"")</f>
        <v>311593</v>
      </c>
    </row>
    <row r="240" customFormat="false" ht="15" hidden="false" customHeight="true" outlineLevel="0" collapsed="false">
      <c r="A240" s="11" t="str">
        <f aca="false">TRIM('수출입 실적(성질별_수출)'!A244)</f>
        <v>2024.12</v>
      </c>
      <c r="B240" s="17" t="n">
        <f aca="false">IFERROR(VALUE(LEFT($A240,4)),"")</f>
        <v>2024</v>
      </c>
      <c r="C240" s="17" t="n">
        <f aca="false">IFERROR(VALUE(RIGHT($A240,2)),"")</f>
        <v>12</v>
      </c>
      <c r="D240" s="17" t="n">
        <f aca="false">IFERROR(ROUNDUP($C240/3,0),"")</f>
        <v>4</v>
      </c>
      <c r="E240" s="11" t="str">
        <f aca="false">TRIM('수출입 실적(성질별_수출)'!C244)</f>
        <v>라. 기타 섬유제품</v>
      </c>
      <c r="F240" s="18" t="n">
        <f aca="false">IFERROR(VALUE(SUBSTITUTE(TRIM('수출입 실적(성질별_수출)'!D244),",","")),"")</f>
        <v>23075.7</v>
      </c>
      <c r="G240" s="19" t="n">
        <f aca="false">IFERROR(VALUE(SUBSTITUTE(TRIM('수출입 실적(성질별_수출)'!E244),",","")),"")</f>
        <v>191103</v>
      </c>
    </row>
    <row r="241" customFormat="false" ht="15" hidden="false" customHeight="true" outlineLevel="0" collapsed="false">
      <c r="A241" s="11" t="str">
        <f aca="false">TRIM('수출입 실적(성질별_수출)'!A245)</f>
        <v>2024.12</v>
      </c>
      <c r="B241" s="17" t="n">
        <f aca="false">IFERROR(VALUE(LEFT($A241,4)),"")</f>
        <v>2024</v>
      </c>
      <c r="C241" s="17" t="n">
        <f aca="false">IFERROR(VALUE(RIGHT($A241,2)),"")</f>
        <v>12</v>
      </c>
      <c r="D241" s="17" t="n">
        <f aca="false">IFERROR(ROUNDUP($C241/3,0),"")</f>
        <v>4</v>
      </c>
      <c r="E241" s="11" t="str">
        <f aca="false">TRIM('수출입 실적(성질별_수출)'!C245)</f>
        <v>마. 의 류</v>
      </c>
      <c r="F241" s="18" t="n">
        <f aca="false">IFERROR(VALUE(SUBSTITUTE(TRIM('수출입 실적(성질별_수출)'!D245),",","")),"")</f>
        <v>7047.2</v>
      </c>
      <c r="G241" s="19" t="n">
        <f aca="false">IFERROR(VALUE(SUBSTITUTE(TRIM('수출입 실적(성질별_수출)'!E245),",","")),"")</f>
        <v>182146</v>
      </c>
    </row>
    <row r="242" customFormat="false" ht="15" hidden="false" customHeight="true" outlineLevel="0" collapsed="false">
      <c r="A242" s="11" t="str">
        <f aca="false">TRIM('수출입 실적(성질별_수출)'!A246)</f>
        <v>2024.12</v>
      </c>
      <c r="B242" s="17" t="n">
        <f aca="false">IFERROR(VALUE(LEFT($A242,4)),"")</f>
        <v>2024</v>
      </c>
      <c r="C242" s="17" t="n">
        <f aca="false">IFERROR(VALUE(RIGHT($A242,2)),"")</f>
        <v>12</v>
      </c>
      <c r="D242" s="17" t="n">
        <f aca="false">IFERROR(ROUNDUP($C242/3,0),"")</f>
        <v>4</v>
      </c>
      <c r="E242" s="11" t="str">
        <f aca="false">TRIM('수출입 실적(성질별_수출)'!C246)</f>
        <v>바. 목제품</v>
      </c>
      <c r="F242" s="18" t="n">
        <f aca="false">IFERROR(VALUE(SUBSTITUTE(TRIM('수출입 실적(성질별_수출)'!D246),",","")),"")</f>
        <v>16887.4</v>
      </c>
      <c r="G242" s="19" t="n">
        <f aca="false">IFERROR(VALUE(SUBSTITUTE(TRIM('수출입 실적(성질별_수출)'!E246),",","")),"")</f>
        <v>100267</v>
      </c>
    </row>
    <row r="243" customFormat="false" ht="15" hidden="false" customHeight="true" outlineLevel="0" collapsed="false">
      <c r="A243" s="11" t="str">
        <f aca="false">TRIM('수출입 실적(성질별_수출)'!A247)</f>
        <v>2024.12</v>
      </c>
      <c r="B243" s="17" t="n">
        <f aca="false">IFERROR(VALUE(LEFT($A243,4)),"")</f>
        <v>2024</v>
      </c>
      <c r="C243" s="17" t="n">
        <f aca="false">IFERROR(VALUE(RIGHT($A243,2)),"")</f>
        <v>12</v>
      </c>
      <c r="D243" s="17" t="n">
        <f aca="false">IFERROR(ROUNDUP($C243/3,0),"")</f>
        <v>4</v>
      </c>
      <c r="E243" s="11" t="str">
        <f aca="false">TRIM('수출입 실적(성질별_수출)'!C247)</f>
        <v>사. 가죽, 고무 및 신발류</v>
      </c>
      <c r="F243" s="18" t="n">
        <f aca="false">IFERROR(VALUE(SUBSTITUTE(TRIM('수출입 실적(성질별_수출)'!D247),",","")),"")</f>
        <v>72189.6</v>
      </c>
      <c r="G243" s="19" t="n">
        <f aca="false">IFERROR(VALUE(SUBSTITUTE(TRIM('수출입 실적(성질별_수출)'!E247),",","")),"")</f>
        <v>401706</v>
      </c>
    </row>
    <row r="244" customFormat="false" ht="15" hidden="false" customHeight="true" outlineLevel="0" collapsed="false">
      <c r="A244" s="11" t="str">
        <f aca="false">TRIM('수출입 실적(성질별_수출)'!A248)</f>
        <v>2024.12</v>
      </c>
      <c r="B244" s="17" t="n">
        <f aca="false">IFERROR(VALUE(LEFT($A244,4)),"")</f>
        <v>2024</v>
      </c>
      <c r="C244" s="17" t="n">
        <f aca="false">IFERROR(VALUE(RIGHT($A244,2)),"")</f>
        <v>12</v>
      </c>
      <c r="D244" s="17" t="n">
        <f aca="false">IFERROR(ROUNDUP($C244/3,0),"")</f>
        <v>4</v>
      </c>
      <c r="E244" s="11" t="str">
        <f aca="false">TRIM('수출입 실적(성질별_수출)'!C248)</f>
        <v>아. 귀금속 및 보석류</v>
      </c>
      <c r="F244" s="18" t="n">
        <f aca="false">IFERROR(VALUE(SUBSTITUTE(TRIM('수출입 실적(성질별_수출)'!D248),",","")),"")</f>
        <v>309.4</v>
      </c>
      <c r="G244" s="19" t="n">
        <f aca="false">IFERROR(VALUE(SUBSTITUTE(TRIM('수출입 실적(성질별_수출)'!E248),",","")),"")</f>
        <v>267903</v>
      </c>
    </row>
    <row r="245" customFormat="false" ht="15" hidden="false" customHeight="true" outlineLevel="0" collapsed="false">
      <c r="A245" s="11" t="str">
        <f aca="false">TRIM('수출입 실적(성질별_수출)'!A249)</f>
        <v>2024.12</v>
      </c>
      <c r="B245" s="17" t="n">
        <f aca="false">IFERROR(VALUE(LEFT($A245,4)),"")</f>
        <v>2024</v>
      </c>
      <c r="C245" s="17" t="n">
        <f aca="false">IFERROR(VALUE(RIGHT($A245,2)),"")</f>
        <v>12</v>
      </c>
      <c r="D245" s="17" t="n">
        <f aca="false">IFERROR(ROUNDUP($C245/3,0),"")</f>
        <v>4</v>
      </c>
      <c r="E245" s="11" t="str">
        <f aca="false">TRIM('수출입 실적(성질별_수출)'!C249)</f>
        <v>자. 기타 비금속 광물제품</v>
      </c>
      <c r="F245" s="18" t="n">
        <f aca="false">IFERROR(VALUE(SUBSTITUTE(TRIM('수출입 실적(성질별_수출)'!D249),",","")),"")</f>
        <v>367578.5</v>
      </c>
      <c r="G245" s="19" t="n">
        <f aca="false">IFERROR(VALUE(SUBSTITUTE(TRIM('수출입 실적(성질별_수출)'!E249),",","")),"")</f>
        <v>210605</v>
      </c>
    </row>
    <row r="246" customFormat="false" ht="15" hidden="false" customHeight="true" outlineLevel="0" collapsed="false">
      <c r="A246" s="11" t="str">
        <f aca="false">TRIM('수출입 실적(성질별_수출)'!A250)</f>
        <v>2024.12</v>
      </c>
      <c r="B246" s="17" t="n">
        <f aca="false">IFERROR(VALUE(LEFT($A246,4)),"")</f>
        <v>2024</v>
      </c>
      <c r="C246" s="17" t="n">
        <f aca="false">IFERROR(VALUE(RIGHT($A246,2)),"")</f>
        <v>12</v>
      </c>
      <c r="D246" s="17" t="n">
        <f aca="false">IFERROR(ROUNDUP($C246/3,0),"")</f>
        <v>4</v>
      </c>
      <c r="E246" s="11" t="str">
        <f aca="false">TRIM('수출입 실적(성질별_수출)'!C250)</f>
        <v>차. 완구, 운동용구 및 악기</v>
      </c>
      <c r="F246" s="18" t="n">
        <f aca="false">IFERROR(VALUE(SUBSTITUTE(TRIM('수출입 실적(성질별_수출)'!D250),",","")),"")</f>
        <v>2277.5</v>
      </c>
      <c r="G246" s="19" t="n">
        <f aca="false">IFERROR(VALUE(SUBSTITUTE(TRIM('수출입 실적(성질별_수출)'!E250),",","")),"")</f>
        <v>56697</v>
      </c>
    </row>
    <row r="247" customFormat="false" ht="15" hidden="false" customHeight="true" outlineLevel="0" collapsed="false">
      <c r="A247" s="11" t="str">
        <f aca="false">TRIM('수출입 실적(성질별_수출)'!A251)</f>
        <v>2024.12</v>
      </c>
      <c r="B247" s="17" t="n">
        <f aca="false">IFERROR(VALUE(LEFT($A247,4)),"")</f>
        <v>2024</v>
      </c>
      <c r="C247" s="17" t="n">
        <f aca="false">IFERROR(VALUE(RIGHT($A247,2)),"")</f>
        <v>12</v>
      </c>
      <c r="D247" s="17" t="n">
        <f aca="false">IFERROR(ROUNDUP($C247/3,0),"")</f>
        <v>4</v>
      </c>
      <c r="E247" s="11" t="str">
        <f aca="false">TRIM('수출입 실적(성질별_수출)'!C251)</f>
        <v>카. 기 타</v>
      </c>
      <c r="F247" s="18" t="n">
        <f aca="false">IFERROR(VALUE(SUBSTITUTE(TRIM('수출입 실적(성질별_수출)'!D251),",","")),"")</f>
        <v>366906.6</v>
      </c>
      <c r="G247" s="19" t="n">
        <f aca="false">IFERROR(VALUE(SUBSTITUTE(TRIM('수출입 실적(성질별_수출)'!E251),",","")),"")</f>
        <v>921881</v>
      </c>
    </row>
    <row r="248" customFormat="false" ht="15" hidden="false" customHeight="true" outlineLevel="0" collapsed="false">
      <c r="A248" s="11" t="str">
        <f aca="false">TRIM('수출입 실적(성질별_수출)'!A252)</f>
        <v>2024.12</v>
      </c>
      <c r="B248" s="17" t="n">
        <f aca="false">IFERROR(VALUE(LEFT($A248,4)),"")</f>
        <v>2024</v>
      </c>
      <c r="C248" s="17" t="n">
        <f aca="false">IFERROR(VALUE(RIGHT($A248,2)),"")</f>
        <v>12</v>
      </c>
      <c r="D248" s="17" t="n">
        <f aca="false">IFERROR(ROUNDUP($C248/3,0),"")</f>
        <v>4</v>
      </c>
      <c r="E248" s="11" t="str">
        <f aca="false">TRIM('수출입 실적(성질별_수출)'!C252)</f>
        <v>4. 중화학 공업품</v>
      </c>
      <c r="F248" s="18" t="n">
        <f aca="false">IFERROR(VALUE(SUBSTITUTE(TRIM('수출입 실적(성질별_수출)'!D252),",","")),"")</f>
        <v>9635598.8</v>
      </c>
      <c r="G248" s="19" t="n">
        <f aca="false">IFERROR(VALUE(SUBSTITUTE(TRIM('수출입 실적(성질별_수출)'!E252),",","")),"")</f>
        <v>52570544</v>
      </c>
    </row>
    <row r="249" customFormat="false" ht="15" hidden="false" customHeight="true" outlineLevel="0" collapsed="false">
      <c r="A249" s="11" t="str">
        <f aca="false">TRIM('수출입 실적(성질별_수출)'!A253)</f>
        <v>2024.12</v>
      </c>
      <c r="B249" s="17" t="n">
        <f aca="false">IFERROR(VALUE(LEFT($A249,4)),"")</f>
        <v>2024</v>
      </c>
      <c r="C249" s="17" t="n">
        <f aca="false">IFERROR(VALUE(RIGHT($A249,2)),"")</f>
        <v>12</v>
      </c>
      <c r="D249" s="17" t="n">
        <f aca="false">IFERROR(ROUNDUP($C249/3,0),"")</f>
        <v>4</v>
      </c>
      <c r="E249" s="11" t="str">
        <f aca="false">TRIM('수출입 실적(성질별_수출)'!C253)</f>
        <v>가. 화공품</v>
      </c>
      <c r="F249" s="18" t="n">
        <f aca="false">IFERROR(VALUE(SUBSTITUTE(TRIM('수출입 실적(성질별_수출)'!D253),",","")),"")</f>
        <v>4107159.9</v>
      </c>
      <c r="G249" s="19" t="n">
        <f aca="false">IFERROR(VALUE(SUBSTITUTE(TRIM('수출입 실적(성질별_수출)'!E253),",","")),"")</f>
        <v>6771468</v>
      </c>
    </row>
    <row r="250" customFormat="false" ht="15" hidden="false" customHeight="true" outlineLevel="0" collapsed="false">
      <c r="A250" s="11" t="str">
        <f aca="false">TRIM('수출입 실적(성질별_수출)'!A254)</f>
        <v>2024.12</v>
      </c>
      <c r="B250" s="17" t="n">
        <f aca="false">IFERROR(VALUE(LEFT($A250,4)),"")</f>
        <v>2024</v>
      </c>
      <c r="C250" s="17" t="n">
        <f aca="false">IFERROR(VALUE(RIGHT($A250,2)),"")</f>
        <v>12</v>
      </c>
      <c r="D250" s="17" t="n">
        <f aca="false">IFERROR(ROUNDUP($C250/3,0),"")</f>
        <v>4</v>
      </c>
      <c r="E250" s="11" t="str">
        <f aca="false">TRIM('수출입 실적(성질별_수출)'!C254)</f>
        <v>나. 철강제품</v>
      </c>
      <c r="F250" s="18" t="n">
        <f aca="false">IFERROR(VALUE(SUBSTITUTE(TRIM('수출입 실적(성질별_수출)'!D254),",","")),"")</f>
        <v>2936222.8</v>
      </c>
      <c r="G250" s="19" t="n">
        <f aca="false">IFERROR(VALUE(SUBSTITUTE(TRIM('수출입 실적(성질별_수출)'!E254),",","")),"")</f>
        <v>4093382</v>
      </c>
    </row>
    <row r="251" customFormat="false" ht="15" hidden="false" customHeight="true" outlineLevel="0" collapsed="false">
      <c r="A251" s="11" t="str">
        <f aca="false">TRIM('수출입 실적(성질별_수출)'!A255)</f>
        <v>2024.12</v>
      </c>
      <c r="B251" s="17" t="n">
        <f aca="false">IFERROR(VALUE(LEFT($A251,4)),"")</f>
        <v>2024</v>
      </c>
      <c r="C251" s="17" t="n">
        <f aca="false">IFERROR(VALUE(RIGHT($A251,2)),"")</f>
        <v>12</v>
      </c>
      <c r="D251" s="17" t="n">
        <f aca="false">IFERROR(ROUNDUP($C251/3,0),"")</f>
        <v>4</v>
      </c>
      <c r="E251" s="11" t="str">
        <f aca="false">TRIM('수출입 실적(성질별_수출)'!C255)</f>
        <v>다. 기계류와 정밀기기</v>
      </c>
      <c r="F251" s="18" t="n">
        <f aca="false">IFERROR(VALUE(SUBSTITUTE(TRIM('수출입 실적(성질별_수출)'!D255),",","")),"")</f>
        <v>358802.1</v>
      </c>
      <c r="G251" s="19" t="n">
        <f aca="false">IFERROR(VALUE(SUBSTITUTE(TRIM('수출입 실적(성질별_수출)'!E255),",","")),"")</f>
        <v>6218296</v>
      </c>
    </row>
    <row r="252" customFormat="false" ht="15" hidden="false" customHeight="true" outlineLevel="0" collapsed="false">
      <c r="A252" s="11" t="str">
        <f aca="false">TRIM('수출입 실적(성질별_수출)'!A256)</f>
        <v>2024.12</v>
      </c>
      <c r="B252" s="17" t="n">
        <f aca="false">IFERROR(VALUE(LEFT($A252,4)),"")</f>
        <v>2024</v>
      </c>
      <c r="C252" s="17" t="n">
        <f aca="false">IFERROR(VALUE(RIGHT($A252,2)),"")</f>
        <v>12</v>
      </c>
      <c r="D252" s="17" t="n">
        <f aca="false">IFERROR(ROUNDUP($C252/3,0),"")</f>
        <v>4</v>
      </c>
      <c r="E252" s="11" t="str">
        <f aca="false">TRIM('수출입 실적(성질별_수출)'!C256)</f>
        <v>라. 전기, 전자제품</v>
      </c>
      <c r="F252" s="18" t="n">
        <f aca="false">IFERROR(VALUE(SUBSTITUTE(TRIM('수출입 실적(성질별_수출)'!D256),",","")),"")</f>
        <v>236482.7</v>
      </c>
      <c r="G252" s="19" t="n">
        <f aca="false">IFERROR(VALUE(SUBSTITUTE(TRIM('수출입 실적(성질별_수출)'!E256),",","")),"")</f>
        <v>22354371</v>
      </c>
    </row>
    <row r="253" customFormat="false" ht="15" hidden="false" customHeight="true" outlineLevel="0" collapsed="false">
      <c r="A253" s="11" t="str">
        <f aca="false">TRIM('수출입 실적(성질별_수출)'!A257)</f>
        <v>2024.12</v>
      </c>
      <c r="B253" s="17" t="n">
        <f aca="false">IFERROR(VALUE(LEFT($A253,4)),"")</f>
        <v>2024</v>
      </c>
      <c r="C253" s="17" t="n">
        <f aca="false">IFERROR(VALUE(RIGHT($A253,2)),"")</f>
        <v>12</v>
      </c>
      <c r="D253" s="17" t="n">
        <f aca="false">IFERROR(ROUNDUP($C253/3,0),"")</f>
        <v>4</v>
      </c>
      <c r="E253" s="11" t="str">
        <f aca="false">TRIM('수출입 실적(성질별_수출)'!C257)</f>
        <v>마. 수송장비</v>
      </c>
      <c r="F253" s="18" t="n">
        <f aca="false">IFERROR(VALUE(SUBSTITUTE(TRIM('수출입 실적(성질별_수출)'!D257),",","")),"")</f>
        <v>1929576</v>
      </c>
      <c r="G253" s="19" t="n">
        <f aca="false">IFERROR(VALUE(SUBSTITUTE(TRIM('수출입 실적(성질별_수출)'!E257),",","")),"")</f>
        <v>11116518</v>
      </c>
    </row>
    <row r="254" customFormat="false" ht="15" hidden="false" customHeight="true" outlineLevel="0" collapsed="false">
      <c r="A254" s="11" t="str">
        <f aca="false">TRIM('수출입 실적(성질별_수출)'!A258)</f>
        <v>2024.12</v>
      </c>
      <c r="B254" s="17" t="n">
        <f aca="false">IFERROR(VALUE(LEFT($A254,4)),"")</f>
        <v>2024</v>
      </c>
      <c r="C254" s="17" t="n">
        <f aca="false">IFERROR(VALUE(RIGHT($A254,2)),"")</f>
        <v>12</v>
      </c>
      <c r="D254" s="17" t="n">
        <f aca="false">IFERROR(ROUNDUP($C254/3,0),"")</f>
        <v>4</v>
      </c>
      <c r="E254" s="11" t="str">
        <f aca="false">TRIM('수출입 실적(성질별_수출)'!C258)</f>
        <v>바. 기 타</v>
      </c>
      <c r="F254" s="18" t="n">
        <f aca="false">IFERROR(VALUE(SUBSTITUTE(TRIM('수출입 실적(성질별_수출)'!D258),",","")),"")</f>
        <v>67355.3</v>
      </c>
      <c r="G254" s="19" t="n">
        <f aca="false">IFERROR(VALUE(SUBSTITUTE(TRIM('수출입 실적(성질별_수출)'!E258),",","")),"")</f>
        <v>2016508</v>
      </c>
    </row>
    <row r="255" customFormat="false" ht="15" hidden="false" customHeight="true" outlineLevel="0" collapsed="false">
      <c r="A255" s="11" t="str">
        <f aca="false">TRIM('수출입 실적(성질별_수출)'!A259)</f>
        <v>2025.01</v>
      </c>
      <c r="B255" s="17" t="n">
        <f aca="false">IFERROR(VALUE(LEFT($A255,4)),"")</f>
        <v>2025</v>
      </c>
      <c r="C255" s="17" t="n">
        <f aca="false">IFERROR(VALUE(RIGHT($A255,2)),"")</f>
        <v>1</v>
      </c>
      <c r="D255" s="17" t="n">
        <f aca="false">IFERROR(ROUNDUP($C255/3,0),"")</f>
        <v>1</v>
      </c>
      <c r="E255" s="11" t="str">
        <f aca="false">TRIM('수출입 실적(성질별_수출)'!C259)</f>
        <v>1. 식료 및 직접소비재</v>
      </c>
      <c r="F255" s="18" t="n">
        <f aca="false">IFERROR(VALUE(SUBSTITUTE(TRIM('수출입 실적(성질별_수출)'!D259),",","")),"")</f>
        <v>291911</v>
      </c>
      <c r="G255" s="19" t="n">
        <f aca="false">IFERROR(VALUE(SUBSTITUTE(TRIM('수출입 실적(성질별_수출)'!E259),",","")),"")</f>
        <v>845494</v>
      </c>
    </row>
    <row r="256" customFormat="false" ht="15" hidden="false" customHeight="true" outlineLevel="0" collapsed="false">
      <c r="A256" s="11" t="str">
        <f aca="false">TRIM('수출입 실적(성질별_수출)'!A260)</f>
        <v>2025.01</v>
      </c>
      <c r="B256" s="17" t="n">
        <f aca="false">IFERROR(VALUE(LEFT($A256,4)),"")</f>
        <v>2025</v>
      </c>
      <c r="C256" s="17" t="n">
        <f aca="false">IFERROR(VALUE(RIGHT($A256,2)),"")</f>
        <v>1</v>
      </c>
      <c r="D256" s="17" t="n">
        <f aca="false">IFERROR(ROUNDUP($C256/3,0),"")</f>
        <v>1</v>
      </c>
      <c r="E256" s="11" t="str">
        <f aca="false">TRIM('수출입 실적(성질별_수출)'!C260)</f>
        <v>2. 원료 및 연료</v>
      </c>
      <c r="F256" s="18" t="n">
        <f aca="false">IFERROR(VALUE(SUBSTITUTE(TRIM('수출입 실적(성질별_수출)'!D260),",","")),"")</f>
        <v>5564057.8</v>
      </c>
      <c r="G256" s="19" t="n">
        <f aca="false">IFERROR(VALUE(SUBSTITUTE(TRIM('수출입 실적(성질별_수출)'!E260),",","")),"")</f>
        <v>4217118</v>
      </c>
    </row>
    <row r="257" customFormat="false" ht="15" hidden="false" customHeight="true" outlineLevel="0" collapsed="false">
      <c r="A257" s="11" t="str">
        <f aca="false">TRIM('수출입 실적(성질별_수출)'!A261)</f>
        <v>2025.01</v>
      </c>
      <c r="B257" s="17" t="n">
        <f aca="false">IFERROR(VALUE(LEFT($A257,4)),"")</f>
        <v>2025</v>
      </c>
      <c r="C257" s="17" t="n">
        <f aca="false">IFERROR(VALUE(RIGHT($A257,2)),"")</f>
        <v>1</v>
      </c>
      <c r="D257" s="17" t="n">
        <f aca="false">IFERROR(ROUNDUP($C257/3,0),"")</f>
        <v>1</v>
      </c>
      <c r="E257" s="11" t="str">
        <f aca="false">TRIM('수출입 실적(성질별_수출)'!C261)</f>
        <v>3. 경공업품</v>
      </c>
      <c r="F257" s="18" t="n">
        <f aca="false">IFERROR(VALUE(SUBSTITUTE(TRIM('수출입 실적(성질별_수출)'!D261),",","")),"")</f>
        <v>850551.9</v>
      </c>
      <c r="G257" s="19" t="n">
        <f aca="false">IFERROR(VALUE(SUBSTITUTE(TRIM('수출입 실적(성질별_수출)'!E261),",","")),"")</f>
        <v>2443890</v>
      </c>
    </row>
    <row r="258" customFormat="false" ht="15" hidden="false" customHeight="true" outlineLevel="0" collapsed="false">
      <c r="A258" s="11" t="str">
        <f aca="false">TRIM('수출입 실적(성질별_수출)'!A262)</f>
        <v>2025.01</v>
      </c>
      <c r="B258" s="17" t="n">
        <f aca="false">IFERROR(VALUE(LEFT($A258,4)),"")</f>
        <v>2025</v>
      </c>
      <c r="C258" s="17" t="n">
        <f aca="false">IFERROR(VALUE(RIGHT($A258,2)),"")</f>
        <v>1</v>
      </c>
      <c r="D258" s="17" t="n">
        <f aca="false">IFERROR(ROUNDUP($C258/3,0),"")</f>
        <v>1</v>
      </c>
      <c r="E258" s="11" t="str">
        <f aca="false">TRIM('수출입 실적(성질별_수출)'!C262)</f>
        <v>가. 섬유원료</v>
      </c>
      <c r="F258" s="18" t="n">
        <f aca="false">IFERROR(VALUE(SUBSTITUTE(TRIM('수출입 실적(성질별_수출)'!D262),",","")),"")</f>
        <v>51662</v>
      </c>
      <c r="G258" s="19" t="n">
        <f aca="false">IFERROR(VALUE(SUBSTITUTE(TRIM('수출입 실적(성질별_수출)'!E262),",","")),"")</f>
        <v>77004</v>
      </c>
    </row>
    <row r="259" customFormat="false" ht="15" hidden="false" customHeight="true" outlineLevel="0" collapsed="false">
      <c r="A259" s="11" t="str">
        <f aca="false">TRIM('수출입 실적(성질별_수출)'!A263)</f>
        <v>2025.01</v>
      </c>
      <c r="B259" s="17" t="n">
        <f aca="false">IFERROR(VALUE(LEFT($A259,4)),"")</f>
        <v>2025</v>
      </c>
      <c r="C259" s="17" t="n">
        <f aca="false">IFERROR(VALUE(RIGHT($A259,2)),"")</f>
        <v>1</v>
      </c>
      <c r="D259" s="17" t="n">
        <f aca="false">IFERROR(ROUNDUP($C259/3,0),"")</f>
        <v>1</v>
      </c>
      <c r="E259" s="11" t="str">
        <f aca="false">TRIM('수출입 실적(성질별_수출)'!C263)</f>
        <v>나. 섬유사</v>
      </c>
      <c r="F259" s="18" t="n">
        <f aca="false">IFERROR(VALUE(SUBSTITUTE(TRIM('수출입 실적(성질별_수출)'!D263),",","")),"")</f>
        <v>17074.6</v>
      </c>
      <c r="G259" s="19" t="n">
        <f aca="false">IFERROR(VALUE(SUBSTITUTE(TRIM('수출입 실적(성질별_수출)'!E263),",","")),"")</f>
        <v>58470</v>
      </c>
    </row>
    <row r="260" customFormat="false" ht="15" hidden="false" customHeight="true" outlineLevel="0" collapsed="false">
      <c r="A260" s="11" t="str">
        <f aca="false">TRIM('수출입 실적(성질별_수출)'!A264)</f>
        <v>2025.01</v>
      </c>
      <c r="B260" s="17" t="n">
        <f aca="false">IFERROR(VALUE(LEFT($A260,4)),"")</f>
        <v>2025</v>
      </c>
      <c r="C260" s="17" t="n">
        <f aca="false">IFERROR(VALUE(RIGHT($A260,2)),"")</f>
        <v>1</v>
      </c>
      <c r="D260" s="17" t="n">
        <f aca="false">IFERROR(ROUNDUP($C260/3,0),"")</f>
        <v>1</v>
      </c>
      <c r="E260" s="11" t="str">
        <f aca="false">TRIM('수출입 실적(성질별_수출)'!C264)</f>
        <v>다. 직 물</v>
      </c>
      <c r="F260" s="18" t="n">
        <f aca="false">IFERROR(VALUE(SUBSTITUTE(TRIM('수출입 실적(성질별_수출)'!D264),",","")),"")</f>
        <v>27683.3</v>
      </c>
      <c r="G260" s="19" t="n">
        <f aca="false">IFERROR(VALUE(SUBSTITUTE(TRIM('수출입 실적(성질별_수출)'!E264),",","")),"")</f>
        <v>259146</v>
      </c>
    </row>
    <row r="261" customFormat="false" ht="15" hidden="false" customHeight="true" outlineLevel="0" collapsed="false">
      <c r="A261" s="11" t="str">
        <f aca="false">TRIM('수출입 실적(성질별_수출)'!A265)</f>
        <v>2025.01</v>
      </c>
      <c r="B261" s="17" t="n">
        <f aca="false">IFERROR(VALUE(LEFT($A261,4)),"")</f>
        <v>2025</v>
      </c>
      <c r="C261" s="17" t="n">
        <f aca="false">IFERROR(VALUE(RIGHT($A261,2)),"")</f>
        <v>1</v>
      </c>
      <c r="D261" s="17" t="n">
        <f aca="false">IFERROR(ROUNDUP($C261/3,0),"")</f>
        <v>1</v>
      </c>
      <c r="E261" s="11" t="str">
        <f aca="false">TRIM('수출입 실적(성질별_수출)'!C265)</f>
        <v>라. 기타 섬유제품</v>
      </c>
      <c r="F261" s="18" t="n">
        <f aca="false">IFERROR(VALUE(SUBSTITUTE(TRIM('수출입 실적(성질별_수출)'!D265),",","")),"")</f>
        <v>19915.9</v>
      </c>
      <c r="G261" s="19" t="n">
        <f aca="false">IFERROR(VALUE(SUBSTITUTE(TRIM('수출입 실적(성질별_수출)'!E265),",","")),"")</f>
        <v>158212</v>
      </c>
    </row>
    <row r="262" customFormat="false" ht="15" hidden="false" customHeight="true" outlineLevel="0" collapsed="false">
      <c r="A262" s="11" t="str">
        <f aca="false">TRIM('수출입 실적(성질별_수출)'!A266)</f>
        <v>2025.01</v>
      </c>
      <c r="B262" s="17" t="n">
        <f aca="false">IFERROR(VALUE(LEFT($A262,4)),"")</f>
        <v>2025</v>
      </c>
      <c r="C262" s="17" t="n">
        <f aca="false">IFERROR(VALUE(RIGHT($A262,2)),"")</f>
        <v>1</v>
      </c>
      <c r="D262" s="17" t="n">
        <f aca="false">IFERROR(ROUNDUP($C262/3,0),"")</f>
        <v>1</v>
      </c>
      <c r="E262" s="11" t="str">
        <f aca="false">TRIM('수출입 실적(성질별_수출)'!C266)</f>
        <v>마. 의 류</v>
      </c>
      <c r="F262" s="18" t="n">
        <f aca="false">IFERROR(VALUE(SUBSTITUTE(TRIM('수출입 실적(성질별_수출)'!D266),",","")),"")</f>
        <v>4976.6</v>
      </c>
      <c r="G262" s="19" t="n">
        <f aca="false">IFERROR(VALUE(SUBSTITUTE(TRIM('수출입 실적(성질별_수출)'!E266),",","")),"")</f>
        <v>125396</v>
      </c>
    </row>
    <row r="263" customFormat="false" ht="15" hidden="false" customHeight="true" outlineLevel="0" collapsed="false">
      <c r="A263" s="11" t="str">
        <f aca="false">TRIM('수출입 실적(성질별_수출)'!A267)</f>
        <v>2025.01</v>
      </c>
      <c r="B263" s="17" t="n">
        <f aca="false">IFERROR(VALUE(LEFT($A263,4)),"")</f>
        <v>2025</v>
      </c>
      <c r="C263" s="17" t="n">
        <f aca="false">IFERROR(VALUE(RIGHT($A263,2)),"")</f>
        <v>1</v>
      </c>
      <c r="D263" s="17" t="n">
        <f aca="false">IFERROR(ROUNDUP($C263/3,0),"")</f>
        <v>1</v>
      </c>
      <c r="E263" s="11" t="str">
        <f aca="false">TRIM('수출입 실적(성질별_수출)'!C267)</f>
        <v>바. 목제품</v>
      </c>
      <c r="F263" s="18" t="n">
        <f aca="false">IFERROR(VALUE(SUBSTITUTE(TRIM('수출입 실적(성질별_수출)'!D267),",","")),"")</f>
        <v>14907.5</v>
      </c>
      <c r="G263" s="19" t="n">
        <f aca="false">IFERROR(VALUE(SUBSTITUTE(TRIM('수출입 실적(성질별_수출)'!E267),",","")),"")</f>
        <v>81070</v>
      </c>
    </row>
    <row r="264" customFormat="false" ht="15" hidden="false" customHeight="true" outlineLevel="0" collapsed="false">
      <c r="A264" s="11" t="str">
        <f aca="false">TRIM('수출입 실적(성질별_수출)'!A268)</f>
        <v>2025.01</v>
      </c>
      <c r="B264" s="17" t="n">
        <f aca="false">IFERROR(VALUE(LEFT($A264,4)),"")</f>
        <v>2025</v>
      </c>
      <c r="C264" s="17" t="n">
        <f aca="false">IFERROR(VALUE(RIGHT($A264,2)),"")</f>
        <v>1</v>
      </c>
      <c r="D264" s="17" t="n">
        <f aca="false">IFERROR(ROUNDUP($C264/3,0),"")</f>
        <v>1</v>
      </c>
      <c r="E264" s="11" t="str">
        <f aca="false">TRIM('수출입 실적(성질별_수출)'!C268)</f>
        <v>사. 가죽, 고무 및 신발류</v>
      </c>
      <c r="F264" s="18" t="n">
        <f aca="false">IFERROR(VALUE(SUBSTITUTE(TRIM('수출입 실적(성질별_수출)'!D268),",","")),"")</f>
        <v>70212.9</v>
      </c>
      <c r="G264" s="19" t="n">
        <f aca="false">IFERROR(VALUE(SUBSTITUTE(TRIM('수출입 실적(성질별_수출)'!E268),",","")),"")</f>
        <v>381884</v>
      </c>
    </row>
    <row r="265" customFormat="false" ht="15" hidden="false" customHeight="true" outlineLevel="0" collapsed="false">
      <c r="A265" s="11" t="str">
        <f aca="false">TRIM('수출입 실적(성질별_수출)'!A269)</f>
        <v>2025.01</v>
      </c>
      <c r="B265" s="17" t="n">
        <f aca="false">IFERROR(VALUE(LEFT($A265,4)),"")</f>
        <v>2025</v>
      </c>
      <c r="C265" s="17" t="n">
        <f aca="false">IFERROR(VALUE(RIGHT($A265,2)),"")</f>
        <v>1</v>
      </c>
      <c r="D265" s="17" t="n">
        <f aca="false">IFERROR(ROUNDUP($C265/3,0),"")</f>
        <v>1</v>
      </c>
      <c r="E265" s="11" t="str">
        <f aca="false">TRIM('수출입 실적(성질별_수출)'!C269)</f>
        <v>아. 귀금속 및 보석류</v>
      </c>
      <c r="F265" s="18" t="n">
        <f aca="false">IFERROR(VALUE(SUBSTITUTE(TRIM('수출입 실적(성질별_수출)'!D269),",","")),"")</f>
        <v>388.5</v>
      </c>
      <c r="G265" s="19" t="n">
        <f aca="false">IFERROR(VALUE(SUBSTITUTE(TRIM('수출입 실적(성질별_수출)'!E269),",","")),"")</f>
        <v>267386</v>
      </c>
    </row>
    <row r="266" customFormat="false" ht="15" hidden="false" customHeight="true" outlineLevel="0" collapsed="false">
      <c r="A266" s="11" t="str">
        <f aca="false">TRIM('수출입 실적(성질별_수출)'!A270)</f>
        <v>2025.01</v>
      </c>
      <c r="B266" s="17" t="n">
        <f aca="false">IFERROR(VALUE(LEFT($A266,4)),"")</f>
        <v>2025</v>
      </c>
      <c r="C266" s="17" t="n">
        <f aca="false">IFERROR(VALUE(RIGHT($A266,2)),"")</f>
        <v>1</v>
      </c>
      <c r="D266" s="17" t="n">
        <f aca="false">IFERROR(ROUNDUP($C266/3,0),"")</f>
        <v>1</v>
      </c>
      <c r="E266" s="11" t="str">
        <f aca="false">TRIM('수출입 실적(성질별_수출)'!C270)</f>
        <v>자. 기타 비금속 광물제품</v>
      </c>
      <c r="F266" s="18" t="n">
        <f aca="false">IFERROR(VALUE(SUBSTITUTE(TRIM('수출입 실적(성질별_수출)'!D270),",","")),"")</f>
        <v>312313.3</v>
      </c>
      <c r="G266" s="19" t="n">
        <f aca="false">IFERROR(VALUE(SUBSTITUTE(TRIM('수출입 실적(성질별_수출)'!E270),",","")),"")</f>
        <v>192040</v>
      </c>
    </row>
    <row r="267" customFormat="false" ht="15" hidden="false" customHeight="true" outlineLevel="0" collapsed="false">
      <c r="A267" s="11" t="str">
        <f aca="false">TRIM('수출입 실적(성질별_수출)'!A271)</f>
        <v>2025.01</v>
      </c>
      <c r="B267" s="17" t="n">
        <f aca="false">IFERROR(VALUE(LEFT($A267,4)),"")</f>
        <v>2025</v>
      </c>
      <c r="C267" s="17" t="n">
        <f aca="false">IFERROR(VALUE(RIGHT($A267,2)),"")</f>
        <v>1</v>
      </c>
      <c r="D267" s="17" t="n">
        <f aca="false">IFERROR(ROUNDUP($C267/3,0),"")</f>
        <v>1</v>
      </c>
      <c r="E267" s="11" t="str">
        <f aca="false">TRIM('수출입 실적(성질별_수출)'!C271)</f>
        <v>차. 완구, 운동용구 및 악기</v>
      </c>
      <c r="F267" s="18" t="n">
        <f aca="false">IFERROR(VALUE(SUBSTITUTE(TRIM('수출입 실적(성질별_수출)'!D271),",","")),"")</f>
        <v>2130.9</v>
      </c>
      <c r="G267" s="19" t="n">
        <f aca="false">IFERROR(VALUE(SUBSTITUTE(TRIM('수출입 실적(성질별_수출)'!E271),",","")),"")</f>
        <v>43560</v>
      </c>
    </row>
    <row r="268" customFormat="false" ht="15" hidden="false" customHeight="true" outlineLevel="0" collapsed="false">
      <c r="A268" s="11" t="str">
        <f aca="false">TRIM('수출입 실적(성질별_수출)'!A272)</f>
        <v>2025.01</v>
      </c>
      <c r="B268" s="17" t="n">
        <f aca="false">IFERROR(VALUE(LEFT($A268,4)),"")</f>
        <v>2025</v>
      </c>
      <c r="C268" s="17" t="n">
        <f aca="false">IFERROR(VALUE(RIGHT($A268,2)),"")</f>
        <v>1</v>
      </c>
      <c r="D268" s="17" t="n">
        <f aca="false">IFERROR(ROUNDUP($C268/3,0),"")</f>
        <v>1</v>
      </c>
      <c r="E268" s="11" t="str">
        <f aca="false">TRIM('수출입 실적(성질별_수출)'!C272)</f>
        <v>카. 기 타</v>
      </c>
      <c r="F268" s="18" t="n">
        <f aca="false">IFERROR(VALUE(SUBSTITUTE(TRIM('수출입 실적(성질별_수출)'!D272),",","")),"")</f>
        <v>329286.6</v>
      </c>
      <c r="G268" s="19" t="n">
        <f aca="false">IFERROR(VALUE(SUBSTITUTE(TRIM('수출입 실적(성질별_수출)'!E272),",","")),"")</f>
        <v>799722</v>
      </c>
    </row>
    <row r="269" customFormat="false" ht="15" hidden="false" customHeight="true" outlineLevel="0" collapsed="false">
      <c r="A269" s="11" t="str">
        <f aca="false">TRIM('수출입 실적(성질별_수출)'!A273)</f>
        <v>2025.01</v>
      </c>
      <c r="B269" s="17" t="n">
        <f aca="false">IFERROR(VALUE(LEFT($A269,4)),"")</f>
        <v>2025</v>
      </c>
      <c r="C269" s="17" t="n">
        <f aca="false">IFERROR(VALUE(RIGHT($A269,2)),"")</f>
        <v>1</v>
      </c>
      <c r="D269" s="17" t="n">
        <f aca="false">IFERROR(ROUNDUP($C269/3,0),"")</f>
        <v>1</v>
      </c>
      <c r="E269" s="11" t="str">
        <f aca="false">TRIM('수출입 실적(성질별_수출)'!C273)</f>
        <v>4. 중화학 공업품</v>
      </c>
      <c r="F269" s="18" t="n">
        <f aca="false">IFERROR(VALUE(SUBSTITUTE(TRIM('수출입 실적(성질별_수출)'!D273),",","")),"")</f>
        <v>8279781</v>
      </c>
      <c r="G269" s="19" t="n">
        <f aca="false">IFERROR(VALUE(SUBSTITUTE(TRIM('수출입 실적(성질별_수출)'!E273),",","")),"")</f>
        <v>41670482</v>
      </c>
    </row>
    <row r="270" customFormat="false" ht="15" hidden="false" customHeight="true" outlineLevel="0" collapsed="false">
      <c r="A270" s="11" t="str">
        <f aca="false">TRIM('수출입 실적(성질별_수출)'!A274)</f>
        <v>2025.01</v>
      </c>
      <c r="B270" s="17" t="n">
        <f aca="false">IFERROR(VALUE(LEFT($A270,4)),"")</f>
        <v>2025</v>
      </c>
      <c r="C270" s="17" t="n">
        <f aca="false">IFERROR(VALUE(RIGHT($A270,2)),"")</f>
        <v>1</v>
      </c>
      <c r="D270" s="17" t="n">
        <f aca="false">IFERROR(ROUNDUP($C270/3,0),"")</f>
        <v>1</v>
      </c>
      <c r="E270" s="11" t="str">
        <f aca="false">TRIM('수출입 실적(성질별_수출)'!C274)</f>
        <v>가. 화공품</v>
      </c>
      <c r="F270" s="18" t="n">
        <f aca="false">IFERROR(VALUE(SUBSTITUTE(TRIM('수출입 실적(성질별_수출)'!D274),",","")),"")</f>
        <v>3662573.2</v>
      </c>
      <c r="G270" s="19" t="n">
        <f aca="false">IFERROR(VALUE(SUBSTITUTE(TRIM('수출입 실적(성질별_수출)'!E274),",","")),"")</f>
        <v>6185060</v>
      </c>
    </row>
    <row r="271" customFormat="false" ht="15" hidden="false" customHeight="true" outlineLevel="0" collapsed="false">
      <c r="A271" s="11" t="str">
        <f aca="false">TRIM('수출입 실적(성질별_수출)'!A275)</f>
        <v>2025.01</v>
      </c>
      <c r="B271" s="17" t="n">
        <f aca="false">IFERROR(VALUE(LEFT($A271,4)),"")</f>
        <v>2025</v>
      </c>
      <c r="C271" s="17" t="n">
        <f aca="false">IFERROR(VALUE(RIGHT($A271,2)),"")</f>
        <v>1</v>
      </c>
      <c r="D271" s="17" t="n">
        <f aca="false">IFERROR(ROUNDUP($C271/3,0),"")</f>
        <v>1</v>
      </c>
      <c r="E271" s="11" t="str">
        <f aca="false">TRIM('수출입 실적(성질별_수출)'!C275)</f>
        <v>나. 철강제품</v>
      </c>
      <c r="F271" s="18" t="n">
        <f aca="false">IFERROR(VALUE(SUBSTITUTE(TRIM('수출입 실적(성질별_수출)'!D275),",","")),"")</f>
        <v>2709623.4</v>
      </c>
      <c r="G271" s="19" t="n">
        <f aca="false">IFERROR(VALUE(SUBSTITUTE(TRIM('수출입 실적(성질별_수출)'!E275),",","")),"")</f>
        <v>3731804</v>
      </c>
    </row>
    <row r="272" customFormat="false" ht="15" hidden="false" customHeight="true" outlineLevel="0" collapsed="false">
      <c r="A272" s="11" t="str">
        <f aca="false">TRIM('수출입 실적(성질별_수출)'!A276)</f>
        <v>2025.01</v>
      </c>
      <c r="B272" s="17" t="n">
        <f aca="false">IFERROR(VALUE(LEFT($A272,4)),"")</f>
        <v>2025</v>
      </c>
      <c r="C272" s="17" t="n">
        <f aca="false">IFERROR(VALUE(RIGHT($A272,2)),"")</f>
        <v>1</v>
      </c>
      <c r="D272" s="17" t="n">
        <f aca="false">IFERROR(ROUNDUP($C272/3,0),"")</f>
        <v>1</v>
      </c>
      <c r="E272" s="11" t="str">
        <f aca="false">TRIM('수출입 실적(성질별_수출)'!C276)</f>
        <v>다. 기계류와 정밀기기</v>
      </c>
      <c r="F272" s="18" t="n">
        <f aca="false">IFERROR(VALUE(SUBSTITUTE(TRIM('수출입 실적(성질별_수출)'!D276),",","")),"")</f>
        <v>311686.9</v>
      </c>
      <c r="G272" s="19" t="n">
        <f aca="false">IFERROR(VALUE(SUBSTITUTE(TRIM('수출입 실적(성질별_수출)'!E276),",","")),"")</f>
        <v>4881354</v>
      </c>
    </row>
    <row r="273" customFormat="false" ht="15" hidden="false" customHeight="true" outlineLevel="0" collapsed="false">
      <c r="A273" s="11" t="str">
        <f aca="false">TRIM('수출입 실적(성질별_수출)'!A277)</f>
        <v>2025.01</v>
      </c>
      <c r="B273" s="17" t="n">
        <f aca="false">IFERROR(VALUE(LEFT($A273,4)),"")</f>
        <v>2025</v>
      </c>
      <c r="C273" s="17" t="n">
        <f aca="false">IFERROR(VALUE(RIGHT($A273,2)),"")</f>
        <v>1</v>
      </c>
      <c r="D273" s="17" t="n">
        <f aca="false">IFERROR(ROUNDUP($C273/3,0),"")</f>
        <v>1</v>
      </c>
      <c r="E273" s="11" t="str">
        <f aca="false">TRIM('수출입 실적(성질별_수출)'!C277)</f>
        <v>라. 전기, 전자제품</v>
      </c>
      <c r="F273" s="18" t="n">
        <f aca="false">IFERROR(VALUE(SUBSTITUTE(TRIM('수출입 실적(성질별_수출)'!D277),",","")),"")</f>
        <v>195338.7</v>
      </c>
      <c r="G273" s="19" t="n">
        <f aca="false">IFERROR(VALUE(SUBSTITUTE(TRIM('수출입 실적(성질별_수출)'!E277),",","")),"")</f>
        <v>16025153</v>
      </c>
    </row>
    <row r="274" customFormat="false" ht="15" hidden="false" customHeight="true" outlineLevel="0" collapsed="false">
      <c r="A274" s="11" t="str">
        <f aca="false">TRIM('수출입 실적(성질별_수출)'!A278)</f>
        <v>2025.01</v>
      </c>
      <c r="B274" s="17" t="n">
        <f aca="false">IFERROR(VALUE(LEFT($A274,4)),"")</f>
        <v>2025</v>
      </c>
      <c r="C274" s="17" t="n">
        <f aca="false">IFERROR(VALUE(RIGHT($A274,2)),"")</f>
        <v>1</v>
      </c>
      <c r="D274" s="17" t="n">
        <f aca="false">IFERROR(ROUNDUP($C274/3,0),"")</f>
        <v>1</v>
      </c>
      <c r="E274" s="11" t="str">
        <f aca="false">TRIM('수출입 실적(성질별_수출)'!C278)</f>
        <v>마. 수송장비</v>
      </c>
      <c r="F274" s="18" t="n">
        <f aca="false">IFERROR(VALUE(SUBSTITUTE(TRIM('수출입 실적(성질별_수출)'!D278),",","")),"")</f>
        <v>1346407.3</v>
      </c>
      <c r="G274" s="19" t="n">
        <f aca="false">IFERROR(VALUE(SUBSTITUTE(TRIM('수출입 실적(성질별_수출)'!E278),",","")),"")</f>
        <v>9319434</v>
      </c>
    </row>
    <row r="275" customFormat="false" ht="15" hidden="false" customHeight="true" outlineLevel="0" collapsed="false">
      <c r="A275" s="11" t="str">
        <f aca="false">TRIM('수출입 실적(성질별_수출)'!A279)</f>
        <v>2025.01</v>
      </c>
      <c r="B275" s="17" t="n">
        <f aca="false">IFERROR(VALUE(LEFT($A275,4)),"")</f>
        <v>2025</v>
      </c>
      <c r="C275" s="17" t="n">
        <f aca="false">IFERROR(VALUE(RIGHT($A275,2)),"")</f>
        <v>1</v>
      </c>
      <c r="D275" s="17" t="n">
        <f aca="false">IFERROR(ROUNDUP($C275/3,0),"")</f>
        <v>1</v>
      </c>
      <c r="E275" s="11" t="str">
        <f aca="false">TRIM('수출입 실적(성질별_수출)'!C279)</f>
        <v>바. 기 타</v>
      </c>
      <c r="F275" s="18" t="n">
        <f aca="false">IFERROR(VALUE(SUBSTITUTE(TRIM('수출입 실적(성질별_수출)'!D279),",","")),"")</f>
        <v>54151.6</v>
      </c>
      <c r="G275" s="19" t="n">
        <f aca="false">IFERROR(VALUE(SUBSTITUTE(TRIM('수출입 실적(성질별_수출)'!E279),",","")),"")</f>
        <v>1527677</v>
      </c>
    </row>
    <row r="276" customFormat="false" ht="15" hidden="false" customHeight="true" outlineLevel="0" collapsed="false">
      <c r="A276" s="11" t="str">
        <f aca="false">TRIM('수출입 실적(성질별_수출)'!A280)</f>
        <v>2025.02</v>
      </c>
      <c r="B276" s="17" t="n">
        <f aca="false">IFERROR(VALUE(LEFT($A276,4)),"")</f>
        <v>2025</v>
      </c>
      <c r="C276" s="17" t="n">
        <f aca="false">IFERROR(VALUE(RIGHT($A276,2)),"")</f>
        <v>2</v>
      </c>
      <c r="D276" s="17" t="n">
        <f aca="false">IFERROR(ROUNDUP($C276/3,0),"")</f>
        <v>1</v>
      </c>
      <c r="E276" s="11" t="str">
        <f aca="false">TRIM('수출입 실적(성질별_수출)'!C280)</f>
        <v>1. 식료 및 직접소비재</v>
      </c>
      <c r="F276" s="18" t="n">
        <f aca="false">IFERROR(VALUE(SUBSTITUTE(TRIM('수출입 실적(성질별_수출)'!D280),",","")),"")</f>
        <v>330470.3</v>
      </c>
      <c r="G276" s="19" t="n">
        <f aca="false">IFERROR(VALUE(SUBSTITUTE(TRIM('수출입 실적(성질별_수출)'!E280),",","")),"")</f>
        <v>999036</v>
      </c>
    </row>
    <row r="277" customFormat="false" ht="15" hidden="false" customHeight="true" outlineLevel="0" collapsed="false">
      <c r="A277" s="11" t="str">
        <f aca="false">TRIM('수출입 실적(성질별_수출)'!A281)</f>
        <v>2025.02</v>
      </c>
      <c r="B277" s="17" t="n">
        <f aca="false">IFERROR(VALUE(LEFT($A277,4)),"")</f>
        <v>2025</v>
      </c>
      <c r="C277" s="17" t="n">
        <f aca="false">IFERROR(VALUE(RIGHT($A277,2)),"")</f>
        <v>2</v>
      </c>
      <c r="D277" s="17" t="n">
        <f aca="false">IFERROR(ROUNDUP($C277/3,0),"")</f>
        <v>1</v>
      </c>
      <c r="E277" s="11" t="str">
        <f aca="false">TRIM('수출입 실적(성질별_수출)'!C281)</f>
        <v>2. 원료 및 연료</v>
      </c>
      <c r="F277" s="18" t="n">
        <f aca="false">IFERROR(VALUE(SUBSTITUTE(TRIM('수출입 실적(성질별_수출)'!D281),",","")),"")</f>
        <v>6238505.1</v>
      </c>
      <c r="G277" s="19" t="n">
        <f aca="false">IFERROR(VALUE(SUBSTITUTE(TRIM('수출입 실적(성질별_수출)'!E281),",","")),"")</f>
        <v>4637327</v>
      </c>
    </row>
    <row r="278" customFormat="false" ht="15" hidden="false" customHeight="true" outlineLevel="0" collapsed="false">
      <c r="A278" s="11" t="str">
        <f aca="false">TRIM('수출입 실적(성질별_수출)'!A282)</f>
        <v>2025.02</v>
      </c>
      <c r="B278" s="17" t="n">
        <f aca="false">IFERROR(VALUE(LEFT($A278,4)),"")</f>
        <v>2025</v>
      </c>
      <c r="C278" s="17" t="n">
        <f aca="false">IFERROR(VALUE(RIGHT($A278,2)),"")</f>
        <v>2</v>
      </c>
      <c r="D278" s="17" t="n">
        <f aca="false">IFERROR(ROUNDUP($C278/3,0),"")</f>
        <v>1</v>
      </c>
      <c r="E278" s="11" t="str">
        <f aca="false">TRIM('수출입 실적(성질별_수출)'!C282)</f>
        <v>3. 경공업품</v>
      </c>
      <c r="F278" s="18" t="n">
        <f aca="false">IFERROR(VALUE(SUBSTITUTE(TRIM('수출입 실적(성질별_수출)'!D282),",","")),"")</f>
        <v>978282.6</v>
      </c>
      <c r="G278" s="19" t="n">
        <f aca="false">IFERROR(VALUE(SUBSTITUTE(TRIM('수출입 실적(성질별_수출)'!E282),",","")),"")</f>
        <v>2843243</v>
      </c>
    </row>
    <row r="279" customFormat="false" ht="15" hidden="false" customHeight="true" outlineLevel="0" collapsed="false">
      <c r="A279" s="11" t="str">
        <f aca="false">TRIM('수출입 실적(성질별_수출)'!A283)</f>
        <v>2025.02</v>
      </c>
      <c r="B279" s="17" t="n">
        <f aca="false">IFERROR(VALUE(LEFT($A279,4)),"")</f>
        <v>2025</v>
      </c>
      <c r="C279" s="17" t="n">
        <f aca="false">IFERROR(VALUE(RIGHT($A279,2)),"")</f>
        <v>2</v>
      </c>
      <c r="D279" s="17" t="n">
        <f aca="false">IFERROR(ROUNDUP($C279/3,0),"")</f>
        <v>1</v>
      </c>
      <c r="E279" s="11" t="str">
        <f aca="false">TRIM('수출입 실적(성질별_수출)'!C283)</f>
        <v>가. 섬유원료</v>
      </c>
      <c r="F279" s="18" t="n">
        <f aca="false">IFERROR(VALUE(SUBSTITUTE(TRIM('수출입 실적(성질별_수출)'!D283),",","")),"")</f>
        <v>61576.7</v>
      </c>
      <c r="G279" s="19" t="n">
        <f aca="false">IFERROR(VALUE(SUBSTITUTE(TRIM('수출입 실적(성질별_수출)'!E283),",","")),"")</f>
        <v>89985</v>
      </c>
    </row>
    <row r="280" customFormat="false" ht="15" hidden="false" customHeight="true" outlineLevel="0" collapsed="false">
      <c r="A280" s="11" t="str">
        <f aca="false">TRIM('수출입 실적(성질별_수출)'!A284)</f>
        <v>2025.02</v>
      </c>
      <c r="B280" s="17" t="n">
        <f aca="false">IFERROR(VALUE(LEFT($A280,4)),"")</f>
        <v>2025</v>
      </c>
      <c r="C280" s="17" t="n">
        <f aca="false">IFERROR(VALUE(RIGHT($A280,2)),"")</f>
        <v>2</v>
      </c>
      <c r="D280" s="17" t="n">
        <f aca="false">IFERROR(ROUNDUP($C280/3,0),"")</f>
        <v>1</v>
      </c>
      <c r="E280" s="11" t="str">
        <f aca="false">TRIM('수출입 실적(성질별_수출)'!C284)</f>
        <v>나. 섬유사</v>
      </c>
      <c r="F280" s="18" t="n">
        <f aca="false">IFERROR(VALUE(SUBSTITUTE(TRIM('수출입 실적(성질별_수출)'!D284),",","")),"")</f>
        <v>19591.2</v>
      </c>
      <c r="G280" s="19" t="n">
        <f aca="false">IFERROR(VALUE(SUBSTITUTE(TRIM('수출입 실적(성질별_수출)'!E284),",","")),"")</f>
        <v>64958</v>
      </c>
    </row>
    <row r="281" customFormat="false" ht="15" hidden="false" customHeight="true" outlineLevel="0" collapsed="false">
      <c r="A281" s="11" t="str">
        <f aca="false">TRIM('수출입 실적(성질별_수출)'!A285)</f>
        <v>2025.02</v>
      </c>
      <c r="B281" s="17" t="n">
        <f aca="false">IFERROR(VALUE(LEFT($A281,4)),"")</f>
        <v>2025</v>
      </c>
      <c r="C281" s="17" t="n">
        <f aca="false">IFERROR(VALUE(RIGHT($A281,2)),"")</f>
        <v>2</v>
      </c>
      <c r="D281" s="17" t="n">
        <f aca="false">IFERROR(ROUNDUP($C281/3,0),"")</f>
        <v>1</v>
      </c>
      <c r="E281" s="11" t="str">
        <f aca="false">TRIM('수출입 실적(성질별_수출)'!C285)</f>
        <v>다. 직 물</v>
      </c>
      <c r="F281" s="18" t="n">
        <f aca="false">IFERROR(VALUE(SUBSTITUTE(TRIM('수출입 실적(성질별_수출)'!D285),",","")),"")</f>
        <v>30346.2</v>
      </c>
      <c r="G281" s="19" t="n">
        <f aca="false">IFERROR(VALUE(SUBSTITUTE(TRIM('수출입 실적(성질별_수출)'!E285),",","")),"")</f>
        <v>283260</v>
      </c>
    </row>
    <row r="282" customFormat="false" ht="15" hidden="false" customHeight="true" outlineLevel="0" collapsed="false">
      <c r="A282" s="11" t="str">
        <f aca="false">TRIM('수출입 실적(성질별_수출)'!A286)</f>
        <v>2025.02</v>
      </c>
      <c r="B282" s="17" t="n">
        <f aca="false">IFERROR(VALUE(LEFT($A282,4)),"")</f>
        <v>2025</v>
      </c>
      <c r="C282" s="17" t="n">
        <f aca="false">IFERROR(VALUE(RIGHT($A282,2)),"")</f>
        <v>2</v>
      </c>
      <c r="D282" s="17" t="n">
        <f aca="false">IFERROR(ROUNDUP($C282/3,0),"")</f>
        <v>1</v>
      </c>
      <c r="E282" s="11" t="str">
        <f aca="false">TRIM('수출입 실적(성질별_수출)'!C286)</f>
        <v>라. 기타 섬유제품</v>
      </c>
      <c r="F282" s="18" t="n">
        <f aca="false">IFERROR(VALUE(SUBSTITUTE(TRIM('수출입 실적(성질별_수출)'!D286),",","")),"")</f>
        <v>22260.7</v>
      </c>
      <c r="G282" s="19" t="n">
        <f aca="false">IFERROR(VALUE(SUBSTITUTE(TRIM('수출입 실적(성질별_수출)'!E286),",","")),"")</f>
        <v>177504</v>
      </c>
    </row>
    <row r="283" customFormat="false" ht="15" hidden="false" customHeight="true" outlineLevel="0" collapsed="false">
      <c r="A283" s="11" t="str">
        <f aca="false">TRIM('수출입 실적(성질별_수출)'!A287)</f>
        <v>2025.02</v>
      </c>
      <c r="B283" s="17" t="n">
        <f aca="false">IFERROR(VALUE(LEFT($A283,4)),"")</f>
        <v>2025</v>
      </c>
      <c r="C283" s="17" t="n">
        <f aca="false">IFERROR(VALUE(RIGHT($A283,2)),"")</f>
        <v>2</v>
      </c>
      <c r="D283" s="17" t="n">
        <f aca="false">IFERROR(ROUNDUP($C283/3,0),"")</f>
        <v>1</v>
      </c>
      <c r="E283" s="11" t="str">
        <f aca="false">TRIM('수출입 실적(성질별_수출)'!C287)</f>
        <v>마. 의 류</v>
      </c>
      <c r="F283" s="18" t="n">
        <f aca="false">IFERROR(VALUE(SUBSTITUTE(TRIM('수출입 실적(성질별_수출)'!D287),",","")),"")</f>
        <v>5151.2</v>
      </c>
      <c r="G283" s="19" t="n">
        <f aca="false">IFERROR(VALUE(SUBSTITUTE(TRIM('수출입 실적(성질별_수출)'!E287),",","")),"")</f>
        <v>140020</v>
      </c>
    </row>
    <row r="284" customFormat="false" ht="15" hidden="false" customHeight="true" outlineLevel="0" collapsed="false">
      <c r="A284" s="11" t="str">
        <f aca="false">TRIM('수출입 실적(성질별_수출)'!A288)</f>
        <v>2025.02</v>
      </c>
      <c r="B284" s="17" t="n">
        <f aca="false">IFERROR(VALUE(LEFT($A284,4)),"")</f>
        <v>2025</v>
      </c>
      <c r="C284" s="17" t="n">
        <f aca="false">IFERROR(VALUE(RIGHT($A284,2)),"")</f>
        <v>2</v>
      </c>
      <c r="D284" s="17" t="n">
        <f aca="false">IFERROR(ROUNDUP($C284/3,0),"")</f>
        <v>1</v>
      </c>
      <c r="E284" s="11" t="str">
        <f aca="false">TRIM('수출입 실적(성질별_수출)'!C288)</f>
        <v>바. 목제품</v>
      </c>
      <c r="F284" s="18" t="n">
        <f aca="false">IFERROR(VALUE(SUBSTITUTE(TRIM('수출입 실적(성질별_수출)'!D288),",","")),"")</f>
        <v>16545.1</v>
      </c>
      <c r="G284" s="19" t="n">
        <f aca="false">IFERROR(VALUE(SUBSTITUTE(TRIM('수출입 실적(성질별_수출)'!E288),",","")),"")</f>
        <v>93249</v>
      </c>
    </row>
    <row r="285" customFormat="false" ht="15" hidden="false" customHeight="true" outlineLevel="0" collapsed="false">
      <c r="A285" s="11" t="str">
        <f aca="false">TRIM('수출입 실적(성질별_수출)'!A289)</f>
        <v>2025.02</v>
      </c>
      <c r="B285" s="17" t="n">
        <f aca="false">IFERROR(VALUE(LEFT($A285,4)),"")</f>
        <v>2025</v>
      </c>
      <c r="C285" s="17" t="n">
        <f aca="false">IFERROR(VALUE(RIGHT($A285,2)),"")</f>
        <v>2</v>
      </c>
      <c r="D285" s="17" t="n">
        <f aca="false">IFERROR(ROUNDUP($C285/3,0),"")</f>
        <v>1</v>
      </c>
      <c r="E285" s="11" t="str">
        <f aca="false">TRIM('수출입 실적(성질별_수출)'!C289)</f>
        <v>사. 가죽, 고무 및 신발류</v>
      </c>
      <c r="F285" s="18" t="n">
        <f aca="false">IFERROR(VALUE(SUBSTITUTE(TRIM('수출입 실적(성질별_수출)'!D289),",","")),"")</f>
        <v>76596.3</v>
      </c>
      <c r="G285" s="19" t="n">
        <f aca="false">IFERROR(VALUE(SUBSTITUTE(TRIM('수출입 실적(성질별_수출)'!E289),",","")),"")</f>
        <v>413496</v>
      </c>
    </row>
    <row r="286" customFormat="false" ht="15" hidden="false" customHeight="true" outlineLevel="0" collapsed="false">
      <c r="A286" s="11" t="str">
        <f aca="false">TRIM('수출입 실적(성질별_수출)'!A290)</f>
        <v>2025.02</v>
      </c>
      <c r="B286" s="17" t="n">
        <f aca="false">IFERROR(VALUE(LEFT($A286,4)),"")</f>
        <v>2025</v>
      </c>
      <c r="C286" s="17" t="n">
        <f aca="false">IFERROR(VALUE(RIGHT($A286,2)),"")</f>
        <v>2</v>
      </c>
      <c r="D286" s="17" t="n">
        <f aca="false">IFERROR(ROUNDUP($C286/3,0),"")</f>
        <v>1</v>
      </c>
      <c r="E286" s="11" t="str">
        <f aca="false">TRIM('수출입 실적(성질별_수출)'!C290)</f>
        <v>아. 귀금속 및 보석류</v>
      </c>
      <c r="F286" s="18" t="n">
        <f aca="false">IFERROR(VALUE(SUBSTITUTE(TRIM('수출입 실적(성질별_수출)'!D290),",","")),"")</f>
        <v>290.4</v>
      </c>
      <c r="G286" s="19" t="n">
        <f aca="false">IFERROR(VALUE(SUBSTITUTE(TRIM('수출입 실적(성질별_수출)'!E290),",","")),"")</f>
        <v>343477</v>
      </c>
    </row>
    <row r="287" customFormat="false" ht="15" hidden="false" customHeight="true" outlineLevel="0" collapsed="false">
      <c r="A287" s="11" t="str">
        <f aca="false">TRIM('수출입 실적(성질별_수출)'!A291)</f>
        <v>2025.02</v>
      </c>
      <c r="B287" s="17" t="n">
        <f aca="false">IFERROR(VALUE(LEFT($A287,4)),"")</f>
        <v>2025</v>
      </c>
      <c r="C287" s="17" t="n">
        <f aca="false">IFERROR(VALUE(RIGHT($A287,2)),"")</f>
        <v>2</v>
      </c>
      <c r="D287" s="17" t="n">
        <f aca="false">IFERROR(ROUNDUP($C287/3,0),"")</f>
        <v>1</v>
      </c>
      <c r="E287" s="11" t="str">
        <f aca="false">TRIM('수출입 실적(성질별_수출)'!C291)</f>
        <v>자. 기타 비금속 광물제품</v>
      </c>
      <c r="F287" s="18" t="n">
        <f aca="false">IFERROR(VALUE(SUBSTITUTE(TRIM('수출입 실적(성질별_수출)'!D291),",","")),"")</f>
        <v>337082.6</v>
      </c>
      <c r="G287" s="19" t="n">
        <f aca="false">IFERROR(VALUE(SUBSTITUTE(TRIM('수출입 실적(성질별_수출)'!E291),",","")),"")</f>
        <v>198937</v>
      </c>
    </row>
    <row r="288" customFormat="false" ht="15" hidden="false" customHeight="true" outlineLevel="0" collapsed="false">
      <c r="A288" s="11" t="str">
        <f aca="false">TRIM('수출입 실적(성질별_수출)'!A292)</f>
        <v>2025.02</v>
      </c>
      <c r="B288" s="17" t="n">
        <f aca="false">IFERROR(VALUE(LEFT($A288,4)),"")</f>
        <v>2025</v>
      </c>
      <c r="C288" s="17" t="n">
        <f aca="false">IFERROR(VALUE(RIGHT($A288,2)),"")</f>
        <v>2</v>
      </c>
      <c r="D288" s="17" t="n">
        <f aca="false">IFERROR(ROUNDUP($C288/3,0),"")</f>
        <v>1</v>
      </c>
      <c r="E288" s="11" t="str">
        <f aca="false">TRIM('수출입 실적(성질별_수출)'!C292)</f>
        <v>차. 완구, 운동용구 및 악기</v>
      </c>
      <c r="F288" s="18" t="n">
        <f aca="false">IFERROR(VALUE(SUBSTITUTE(TRIM('수출입 실적(성질별_수출)'!D292),",","")),"")</f>
        <v>2533.5</v>
      </c>
      <c r="G288" s="19" t="n">
        <f aca="false">IFERROR(VALUE(SUBSTITUTE(TRIM('수출입 실적(성질별_수출)'!E292),",","")),"")</f>
        <v>48516</v>
      </c>
    </row>
    <row r="289" customFormat="false" ht="15" hidden="false" customHeight="true" outlineLevel="0" collapsed="false">
      <c r="A289" s="11" t="str">
        <f aca="false">TRIM('수출입 실적(성질별_수출)'!A293)</f>
        <v>2025.02</v>
      </c>
      <c r="B289" s="17" t="n">
        <f aca="false">IFERROR(VALUE(LEFT($A289,4)),"")</f>
        <v>2025</v>
      </c>
      <c r="C289" s="17" t="n">
        <f aca="false">IFERROR(VALUE(RIGHT($A289,2)),"")</f>
        <v>2</v>
      </c>
      <c r="D289" s="17" t="n">
        <f aca="false">IFERROR(ROUNDUP($C289/3,0),"")</f>
        <v>1</v>
      </c>
      <c r="E289" s="11" t="str">
        <f aca="false">TRIM('수출입 실적(성질별_수출)'!C293)</f>
        <v>카. 기 타</v>
      </c>
      <c r="F289" s="18" t="n">
        <f aca="false">IFERROR(VALUE(SUBSTITUTE(TRIM('수출입 실적(성질별_수출)'!D293),",","")),"")</f>
        <v>406308.8</v>
      </c>
      <c r="G289" s="19" t="n">
        <f aca="false">IFERROR(VALUE(SUBSTITUTE(TRIM('수출입 실적(성질별_수출)'!E293),",","")),"")</f>
        <v>989840</v>
      </c>
    </row>
    <row r="290" customFormat="false" ht="15" hidden="false" customHeight="true" outlineLevel="0" collapsed="false">
      <c r="A290" s="11" t="str">
        <f aca="false">TRIM('수출입 실적(성질별_수출)'!A294)</f>
        <v>2025.02</v>
      </c>
      <c r="B290" s="17" t="n">
        <f aca="false">IFERROR(VALUE(LEFT($A290,4)),"")</f>
        <v>2025</v>
      </c>
      <c r="C290" s="17" t="n">
        <f aca="false">IFERROR(VALUE(RIGHT($A290,2)),"")</f>
        <v>2</v>
      </c>
      <c r="D290" s="17" t="n">
        <f aca="false">IFERROR(ROUNDUP($C290/3,0),"")</f>
        <v>1</v>
      </c>
      <c r="E290" s="11" t="str">
        <f aca="false">TRIM('수출입 실적(성질별_수출)'!C294)</f>
        <v>4. 중화학 공업품</v>
      </c>
      <c r="F290" s="18" t="n">
        <f aca="false">IFERROR(VALUE(SUBSTITUTE(TRIM('수출입 실적(성질별_수출)'!D294),",","")),"")</f>
        <v>8604637</v>
      </c>
      <c r="G290" s="19" t="n">
        <f aca="false">IFERROR(VALUE(SUBSTITUTE(TRIM('수출입 실적(성질별_수출)'!E294),",","")),"")</f>
        <v>43812695</v>
      </c>
    </row>
    <row r="291" customFormat="false" ht="15" hidden="false" customHeight="true" outlineLevel="0" collapsed="false">
      <c r="A291" s="11" t="str">
        <f aca="false">TRIM('수출입 실적(성질별_수출)'!A295)</f>
        <v>2025.02</v>
      </c>
      <c r="B291" s="17" t="n">
        <f aca="false">IFERROR(VALUE(LEFT($A291,4)),"")</f>
        <v>2025</v>
      </c>
      <c r="C291" s="17" t="n">
        <f aca="false">IFERROR(VALUE(RIGHT($A291,2)),"")</f>
        <v>2</v>
      </c>
      <c r="D291" s="17" t="n">
        <f aca="false">IFERROR(ROUNDUP($C291/3,0),"")</f>
        <v>1</v>
      </c>
      <c r="E291" s="11" t="str">
        <f aca="false">TRIM('수출입 실적(성질별_수출)'!C295)</f>
        <v>가. 화공품</v>
      </c>
      <c r="F291" s="18" t="n">
        <f aca="false">IFERROR(VALUE(SUBSTITUTE(TRIM('수출입 실적(성질별_수출)'!D295),",","")),"")</f>
        <v>3820860.9</v>
      </c>
      <c r="G291" s="19" t="n">
        <f aca="false">IFERROR(VALUE(SUBSTITUTE(TRIM('수출입 실적(성질별_수출)'!E295),",","")),"")</f>
        <v>6730305</v>
      </c>
    </row>
    <row r="292" customFormat="false" ht="15" hidden="false" customHeight="true" outlineLevel="0" collapsed="false">
      <c r="A292" s="11" t="str">
        <f aca="false">TRIM('수출입 실적(성질별_수출)'!A296)</f>
        <v>2025.02</v>
      </c>
      <c r="B292" s="17" t="n">
        <f aca="false">IFERROR(VALUE(LEFT($A292,4)),"")</f>
        <v>2025</v>
      </c>
      <c r="C292" s="17" t="n">
        <f aca="false">IFERROR(VALUE(RIGHT($A292,2)),"")</f>
        <v>2</v>
      </c>
      <c r="D292" s="17" t="n">
        <f aca="false">IFERROR(ROUNDUP($C292/3,0),"")</f>
        <v>1</v>
      </c>
      <c r="E292" s="11" t="str">
        <f aca="false">TRIM('수출입 실적(성질별_수출)'!C296)</f>
        <v>나. 철강제품</v>
      </c>
      <c r="F292" s="18" t="n">
        <f aca="false">IFERROR(VALUE(SUBSTITUTE(TRIM('수출입 실적(성질별_수출)'!D296),",","")),"")</f>
        <v>2666260.2</v>
      </c>
      <c r="G292" s="19" t="n">
        <f aca="false">IFERROR(VALUE(SUBSTITUTE(TRIM('수출입 실적(성질별_수출)'!E296),",","")),"")</f>
        <v>3778184</v>
      </c>
    </row>
    <row r="293" customFormat="false" ht="15" hidden="false" customHeight="true" outlineLevel="0" collapsed="false">
      <c r="A293" s="11" t="str">
        <f aca="false">TRIM('수출입 실적(성질별_수출)'!A297)</f>
        <v>2025.02</v>
      </c>
      <c r="B293" s="17" t="n">
        <f aca="false">IFERROR(VALUE(LEFT($A293,4)),"")</f>
        <v>2025</v>
      </c>
      <c r="C293" s="17" t="n">
        <f aca="false">IFERROR(VALUE(RIGHT($A293,2)),"")</f>
        <v>2</v>
      </c>
      <c r="D293" s="17" t="n">
        <f aca="false">IFERROR(ROUNDUP($C293/3,0),"")</f>
        <v>1</v>
      </c>
      <c r="E293" s="11" t="str">
        <f aca="false">TRIM('수출입 실적(성질별_수출)'!C297)</f>
        <v>다. 기계류와 정밀기기</v>
      </c>
      <c r="F293" s="18" t="n">
        <f aca="false">IFERROR(VALUE(SUBSTITUTE(TRIM('수출입 실적(성질별_수출)'!D297),",","")),"")</f>
        <v>349632</v>
      </c>
      <c r="G293" s="19" t="n">
        <f aca="false">IFERROR(VALUE(SUBSTITUTE(TRIM('수출입 실적(성질별_수출)'!E297),",","")),"")</f>
        <v>5679089</v>
      </c>
    </row>
    <row r="294" customFormat="false" ht="15" hidden="false" customHeight="true" outlineLevel="0" collapsed="false">
      <c r="A294" s="11" t="str">
        <f aca="false">TRIM('수출입 실적(성질별_수출)'!A298)</f>
        <v>2025.02</v>
      </c>
      <c r="B294" s="17" t="n">
        <f aca="false">IFERROR(VALUE(LEFT($A294,4)),"")</f>
        <v>2025</v>
      </c>
      <c r="C294" s="17" t="n">
        <f aca="false">IFERROR(VALUE(RIGHT($A294,2)),"")</f>
        <v>2</v>
      </c>
      <c r="D294" s="17" t="n">
        <f aca="false">IFERROR(ROUNDUP($C294/3,0),"")</f>
        <v>1</v>
      </c>
      <c r="E294" s="11" t="str">
        <f aca="false">TRIM('수출입 실적(성질별_수출)'!C298)</f>
        <v>라. 전기, 전자제품</v>
      </c>
      <c r="F294" s="18" t="n">
        <f aca="false">IFERROR(VALUE(SUBSTITUTE(TRIM('수출입 실적(성질별_수출)'!D298),",","")),"")</f>
        <v>238300.6</v>
      </c>
      <c r="G294" s="19" t="n">
        <f aca="false">IFERROR(VALUE(SUBSTITUTE(TRIM('수출입 실적(성질별_수출)'!E298),",","")),"")</f>
        <v>16319141</v>
      </c>
    </row>
    <row r="295" customFormat="false" ht="15" hidden="false" customHeight="true" outlineLevel="0" collapsed="false">
      <c r="A295" s="11" t="str">
        <f aca="false">TRIM('수출입 실적(성질별_수출)'!A299)</f>
        <v>2025.02</v>
      </c>
      <c r="B295" s="17" t="n">
        <f aca="false">IFERROR(VALUE(LEFT($A295,4)),"")</f>
        <v>2025</v>
      </c>
      <c r="C295" s="17" t="n">
        <f aca="false">IFERROR(VALUE(RIGHT($A295,2)),"")</f>
        <v>2</v>
      </c>
      <c r="D295" s="17" t="n">
        <f aca="false">IFERROR(ROUNDUP($C295/3,0),"")</f>
        <v>1</v>
      </c>
      <c r="E295" s="11" t="str">
        <f aca="false">TRIM('수출입 실적(성질별_수출)'!C299)</f>
        <v>마. 수송장비</v>
      </c>
      <c r="F295" s="18" t="n">
        <f aca="false">IFERROR(VALUE(SUBSTITUTE(TRIM('수출입 실적(성질별_수출)'!D299),",","")),"")</f>
        <v>1468663</v>
      </c>
      <c r="G295" s="19" t="n">
        <f aca="false">IFERROR(VALUE(SUBSTITUTE(TRIM('수출입 실적(성질별_수출)'!E299),",","")),"")</f>
        <v>9576774</v>
      </c>
    </row>
    <row r="296" customFormat="false" ht="15" hidden="false" customHeight="true" outlineLevel="0" collapsed="false">
      <c r="A296" s="11" t="str">
        <f aca="false">TRIM('수출입 실적(성질별_수출)'!A300)</f>
        <v>2025.02</v>
      </c>
      <c r="B296" s="17" t="n">
        <f aca="false">IFERROR(VALUE(LEFT($A296,4)),"")</f>
        <v>2025</v>
      </c>
      <c r="C296" s="17" t="n">
        <f aca="false">IFERROR(VALUE(RIGHT($A296,2)),"")</f>
        <v>2</v>
      </c>
      <c r="D296" s="17" t="n">
        <f aca="false">IFERROR(ROUNDUP($C296/3,0),"")</f>
        <v>1</v>
      </c>
      <c r="E296" s="11" t="str">
        <f aca="false">TRIM('수출입 실적(성질별_수출)'!C300)</f>
        <v>바. 기 타</v>
      </c>
      <c r="F296" s="18" t="n">
        <f aca="false">IFERROR(VALUE(SUBSTITUTE(TRIM('수출입 실적(성질별_수출)'!D300),",","")),"")</f>
        <v>60920.3</v>
      </c>
      <c r="G296" s="19" t="n">
        <f aca="false">IFERROR(VALUE(SUBSTITUTE(TRIM('수출입 실적(성질별_수출)'!E300),",","")),"")</f>
        <v>1729202</v>
      </c>
    </row>
    <row r="297" customFormat="false" ht="15" hidden="false" customHeight="true" outlineLevel="0" collapsed="false">
      <c r="A297" s="11" t="str">
        <f aca="false">TRIM('수출입 실적(성질별_수출)'!A301)</f>
        <v>2025.03</v>
      </c>
      <c r="B297" s="17" t="n">
        <f aca="false">IFERROR(VALUE(LEFT($A297,4)),"")</f>
        <v>2025</v>
      </c>
      <c r="C297" s="17" t="n">
        <f aca="false">IFERROR(VALUE(RIGHT($A297,2)),"")</f>
        <v>3</v>
      </c>
      <c r="D297" s="17" t="n">
        <f aca="false">IFERROR(ROUNDUP($C297/3,0),"")</f>
        <v>1</v>
      </c>
      <c r="E297" s="11" t="str">
        <f aca="false">TRIM('수출입 실적(성질별_수출)'!C301)</f>
        <v>1. 식료 및 직접소비재</v>
      </c>
      <c r="F297" s="18" t="n">
        <f aca="false">IFERROR(VALUE(SUBSTITUTE(TRIM('수출입 실적(성질별_수출)'!D301),",","")),"")</f>
        <v>342666</v>
      </c>
      <c r="G297" s="19" t="n">
        <f aca="false">IFERROR(VALUE(SUBSTITUTE(TRIM('수출입 실적(성질별_수출)'!E301),",","")),"")</f>
        <v>1007486</v>
      </c>
    </row>
    <row r="298" customFormat="false" ht="15" hidden="false" customHeight="true" outlineLevel="0" collapsed="false">
      <c r="A298" s="11" t="str">
        <f aca="false">TRIM('수출입 실적(성질별_수출)'!A302)</f>
        <v>2025.03</v>
      </c>
      <c r="B298" s="17" t="n">
        <f aca="false">IFERROR(VALUE(LEFT($A298,4)),"")</f>
        <v>2025</v>
      </c>
      <c r="C298" s="17" t="n">
        <f aca="false">IFERROR(VALUE(RIGHT($A298,2)),"")</f>
        <v>3</v>
      </c>
      <c r="D298" s="17" t="n">
        <f aca="false">IFERROR(ROUNDUP($C298/3,0),"")</f>
        <v>1</v>
      </c>
      <c r="E298" s="11" t="str">
        <f aca="false">TRIM('수출입 실적(성질별_수출)'!C302)</f>
        <v>2. 원료 및 연료</v>
      </c>
      <c r="F298" s="18" t="n">
        <f aca="false">IFERROR(VALUE(SUBSTITUTE(TRIM('수출입 실적(성질별_수출)'!D302),",","")),"")</f>
        <v>5534551.5</v>
      </c>
      <c r="G298" s="19" t="n">
        <f aca="false">IFERROR(VALUE(SUBSTITUTE(TRIM('수출입 실적(성질별_수출)'!E302),",","")),"")</f>
        <v>4081553</v>
      </c>
    </row>
    <row r="299" customFormat="false" ht="15" hidden="false" customHeight="true" outlineLevel="0" collapsed="false">
      <c r="A299" s="11" t="str">
        <f aca="false">TRIM('수출입 실적(성질별_수출)'!A303)</f>
        <v>2025.03</v>
      </c>
      <c r="B299" s="17" t="n">
        <f aca="false">IFERROR(VALUE(LEFT($A299,4)),"")</f>
        <v>2025</v>
      </c>
      <c r="C299" s="17" t="n">
        <f aca="false">IFERROR(VALUE(RIGHT($A299,2)),"")</f>
        <v>3</v>
      </c>
      <c r="D299" s="17" t="n">
        <f aca="false">IFERROR(ROUNDUP($C299/3,0),"")</f>
        <v>1</v>
      </c>
      <c r="E299" s="11" t="str">
        <f aca="false">TRIM('수출입 실적(성질별_수출)'!C303)</f>
        <v>3. 경공업품</v>
      </c>
      <c r="F299" s="18" t="n">
        <f aca="false">IFERROR(VALUE(SUBSTITUTE(TRIM('수출입 실적(성질별_수출)'!D303),",","")),"")</f>
        <v>970876.7</v>
      </c>
      <c r="G299" s="19" t="n">
        <f aca="false">IFERROR(VALUE(SUBSTITUTE(TRIM('수출입 실적(성질별_수출)'!E303),",","")),"")</f>
        <v>2767033</v>
      </c>
    </row>
    <row r="300" customFormat="false" ht="15" hidden="false" customHeight="true" outlineLevel="0" collapsed="false">
      <c r="A300" s="11" t="str">
        <f aca="false">TRIM('수출입 실적(성질별_수출)'!A304)</f>
        <v>2025.03</v>
      </c>
      <c r="B300" s="17" t="n">
        <f aca="false">IFERROR(VALUE(LEFT($A300,4)),"")</f>
        <v>2025</v>
      </c>
      <c r="C300" s="17" t="n">
        <f aca="false">IFERROR(VALUE(RIGHT($A300,2)),"")</f>
        <v>3</v>
      </c>
      <c r="D300" s="17" t="n">
        <f aca="false">IFERROR(ROUNDUP($C300/3,0),"")</f>
        <v>1</v>
      </c>
      <c r="E300" s="11" t="str">
        <f aca="false">TRIM('수출입 실적(성질별_수출)'!C304)</f>
        <v>가. 섬유원료</v>
      </c>
      <c r="F300" s="18" t="n">
        <f aca="false">IFERROR(VALUE(SUBSTITUTE(TRIM('수출입 실적(성질별_수출)'!D304),",","")),"")</f>
        <v>57406.3</v>
      </c>
      <c r="G300" s="19" t="n">
        <f aca="false">IFERROR(VALUE(SUBSTITUTE(TRIM('수출입 실적(성질별_수출)'!E304),",","")),"")</f>
        <v>83447</v>
      </c>
    </row>
    <row r="301" customFormat="false" ht="15" hidden="false" customHeight="true" outlineLevel="0" collapsed="false">
      <c r="A301" s="11" t="str">
        <f aca="false">TRIM('수출입 실적(성질별_수출)'!A305)</f>
        <v>2025.03</v>
      </c>
      <c r="B301" s="17" t="n">
        <f aca="false">IFERROR(VALUE(LEFT($A301,4)),"")</f>
        <v>2025</v>
      </c>
      <c r="C301" s="17" t="n">
        <f aca="false">IFERROR(VALUE(RIGHT($A301,2)),"")</f>
        <v>3</v>
      </c>
      <c r="D301" s="17" t="n">
        <f aca="false">IFERROR(ROUNDUP($C301/3,0),"")</f>
        <v>1</v>
      </c>
      <c r="E301" s="11" t="str">
        <f aca="false">TRIM('수출입 실적(성질별_수출)'!C305)</f>
        <v>나. 섬유사</v>
      </c>
      <c r="F301" s="18" t="n">
        <f aca="false">IFERROR(VALUE(SUBSTITUTE(TRIM('수출입 실적(성질별_수출)'!D305),",","")),"")</f>
        <v>18139.9</v>
      </c>
      <c r="G301" s="19" t="n">
        <f aca="false">IFERROR(VALUE(SUBSTITUTE(TRIM('수출입 실적(성질별_수출)'!E305),",","")),"")</f>
        <v>61952</v>
      </c>
    </row>
    <row r="302" customFormat="false" ht="15" hidden="false" customHeight="true" outlineLevel="0" collapsed="false">
      <c r="A302" s="11" t="str">
        <f aca="false">TRIM('수출입 실적(성질별_수출)'!A306)</f>
        <v>2025.03</v>
      </c>
      <c r="B302" s="17" t="n">
        <f aca="false">IFERROR(VALUE(LEFT($A302,4)),"")</f>
        <v>2025</v>
      </c>
      <c r="C302" s="17" t="n">
        <f aca="false">IFERROR(VALUE(RIGHT($A302,2)),"")</f>
        <v>3</v>
      </c>
      <c r="D302" s="17" t="n">
        <f aca="false">IFERROR(ROUNDUP($C302/3,0),"")</f>
        <v>1</v>
      </c>
      <c r="E302" s="11" t="str">
        <f aca="false">TRIM('수출입 실적(성질별_수출)'!C306)</f>
        <v>다. 직 물</v>
      </c>
      <c r="F302" s="18" t="n">
        <f aca="false">IFERROR(VALUE(SUBSTITUTE(TRIM('수출입 실적(성질별_수출)'!D306),",","")),"")</f>
        <v>30629.2</v>
      </c>
      <c r="G302" s="19" t="n">
        <f aca="false">IFERROR(VALUE(SUBSTITUTE(TRIM('수출입 실적(성질별_수출)'!E306),",","")),"")</f>
        <v>282964</v>
      </c>
    </row>
    <row r="303" customFormat="false" ht="15" hidden="false" customHeight="true" outlineLevel="0" collapsed="false">
      <c r="A303" s="11" t="str">
        <f aca="false">TRIM('수출입 실적(성질별_수출)'!A307)</f>
        <v>2025.03</v>
      </c>
      <c r="B303" s="17" t="n">
        <f aca="false">IFERROR(VALUE(LEFT($A303,4)),"")</f>
        <v>2025</v>
      </c>
      <c r="C303" s="17" t="n">
        <f aca="false">IFERROR(VALUE(RIGHT($A303,2)),"")</f>
        <v>3</v>
      </c>
      <c r="D303" s="17" t="n">
        <f aca="false">IFERROR(ROUNDUP($C303/3,0),"")</f>
        <v>1</v>
      </c>
      <c r="E303" s="11" t="str">
        <f aca="false">TRIM('수출입 실적(성질별_수출)'!C307)</f>
        <v>라. 기타 섬유제품</v>
      </c>
      <c r="F303" s="18" t="n">
        <f aca="false">IFERROR(VALUE(SUBSTITUTE(TRIM('수출입 실적(성질별_수출)'!D307),",","")),"")</f>
        <v>23186.3</v>
      </c>
      <c r="G303" s="19" t="n">
        <f aca="false">IFERROR(VALUE(SUBSTITUTE(TRIM('수출입 실적(성질별_수출)'!E307),",","")),"")</f>
        <v>184304</v>
      </c>
    </row>
    <row r="304" customFormat="false" ht="15" hidden="false" customHeight="true" outlineLevel="0" collapsed="false">
      <c r="A304" s="11" t="str">
        <f aca="false">TRIM('수출입 실적(성질별_수출)'!A308)</f>
        <v>2025.03</v>
      </c>
      <c r="B304" s="17" t="n">
        <f aca="false">IFERROR(VALUE(LEFT($A304,4)),"")</f>
        <v>2025</v>
      </c>
      <c r="C304" s="17" t="n">
        <f aca="false">IFERROR(VALUE(RIGHT($A304,2)),"")</f>
        <v>3</v>
      </c>
      <c r="D304" s="17" t="n">
        <f aca="false">IFERROR(ROUNDUP($C304/3,0),"")</f>
        <v>1</v>
      </c>
      <c r="E304" s="11" t="str">
        <f aca="false">TRIM('수출입 실적(성질별_수출)'!C308)</f>
        <v>마. 의 류</v>
      </c>
      <c r="F304" s="18" t="n">
        <f aca="false">IFERROR(VALUE(SUBSTITUTE(TRIM('수출입 실적(성질별_수출)'!D308),",","")),"")</f>
        <v>5474.7</v>
      </c>
      <c r="G304" s="19" t="n">
        <f aca="false">IFERROR(VALUE(SUBSTITUTE(TRIM('수출입 실적(성질별_수출)'!E308),",","")),"")</f>
        <v>151966</v>
      </c>
    </row>
    <row r="305" customFormat="false" ht="15" hidden="false" customHeight="true" outlineLevel="0" collapsed="false">
      <c r="A305" s="11" t="str">
        <f aca="false">TRIM('수출입 실적(성질별_수출)'!A309)</f>
        <v>2025.03</v>
      </c>
      <c r="B305" s="17" t="n">
        <f aca="false">IFERROR(VALUE(LEFT($A305,4)),"")</f>
        <v>2025</v>
      </c>
      <c r="C305" s="17" t="n">
        <f aca="false">IFERROR(VALUE(RIGHT($A305,2)),"")</f>
        <v>3</v>
      </c>
      <c r="D305" s="17" t="n">
        <f aca="false">IFERROR(ROUNDUP($C305/3,0),"")</f>
        <v>1</v>
      </c>
      <c r="E305" s="11" t="str">
        <f aca="false">TRIM('수출입 실적(성질별_수출)'!C309)</f>
        <v>바. 목제품</v>
      </c>
      <c r="F305" s="18" t="n">
        <f aca="false">IFERROR(VALUE(SUBSTITUTE(TRIM('수출입 실적(성질별_수출)'!D309),",","")),"")</f>
        <v>18076.2</v>
      </c>
      <c r="G305" s="19" t="n">
        <f aca="false">IFERROR(VALUE(SUBSTITUTE(TRIM('수출입 실적(성질별_수출)'!E309),",","")),"")</f>
        <v>102054</v>
      </c>
    </row>
    <row r="306" customFormat="false" ht="15" hidden="false" customHeight="true" outlineLevel="0" collapsed="false">
      <c r="A306" s="11" t="str">
        <f aca="false">TRIM('수출입 실적(성질별_수출)'!A310)</f>
        <v>2025.03</v>
      </c>
      <c r="B306" s="17" t="n">
        <f aca="false">IFERROR(VALUE(LEFT($A306,4)),"")</f>
        <v>2025</v>
      </c>
      <c r="C306" s="17" t="n">
        <f aca="false">IFERROR(VALUE(RIGHT($A306,2)),"")</f>
        <v>3</v>
      </c>
      <c r="D306" s="17" t="n">
        <f aca="false">IFERROR(ROUNDUP($C306/3,0),"")</f>
        <v>1</v>
      </c>
      <c r="E306" s="11" t="str">
        <f aca="false">TRIM('수출입 실적(성질별_수출)'!C310)</f>
        <v>사. 가죽, 고무 및 신발류</v>
      </c>
      <c r="F306" s="18" t="n">
        <f aca="false">IFERROR(VALUE(SUBSTITUTE(TRIM('수출입 실적(성질별_수출)'!D310),",","")),"")</f>
        <v>77569.6</v>
      </c>
      <c r="G306" s="19" t="n">
        <f aca="false">IFERROR(VALUE(SUBSTITUTE(TRIM('수출입 실적(성질별_수출)'!E310),",","")),"")</f>
        <v>418959</v>
      </c>
    </row>
    <row r="307" customFormat="false" ht="15" hidden="false" customHeight="true" outlineLevel="0" collapsed="false">
      <c r="A307" s="11" t="str">
        <f aca="false">TRIM('수출입 실적(성질별_수출)'!A311)</f>
        <v>2025.03</v>
      </c>
      <c r="B307" s="17" t="n">
        <f aca="false">IFERROR(VALUE(LEFT($A307,4)),"")</f>
        <v>2025</v>
      </c>
      <c r="C307" s="17" t="n">
        <f aca="false">IFERROR(VALUE(RIGHT($A307,2)),"")</f>
        <v>3</v>
      </c>
      <c r="D307" s="17" t="n">
        <f aca="false">IFERROR(ROUNDUP($C307/3,0),"")</f>
        <v>1</v>
      </c>
      <c r="E307" s="11" t="str">
        <f aca="false">TRIM('수출입 실적(성질별_수출)'!C311)</f>
        <v>아. 귀금속 및 보석류</v>
      </c>
      <c r="F307" s="18" t="n">
        <f aca="false">IFERROR(VALUE(SUBSTITUTE(TRIM('수출입 실적(성질별_수출)'!D311),",","")),"")</f>
        <v>278.7</v>
      </c>
      <c r="G307" s="19" t="n">
        <f aca="false">IFERROR(VALUE(SUBSTITUTE(TRIM('수출입 실적(성질별_수출)'!E311),",","")),"")</f>
        <v>285405</v>
      </c>
    </row>
    <row r="308" customFormat="false" ht="15" hidden="false" customHeight="true" outlineLevel="0" collapsed="false">
      <c r="A308" s="11" t="str">
        <f aca="false">TRIM('수출입 실적(성질별_수출)'!A312)</f>
        <v>2025.03</v>
      </c>
      <c r="B308" s="17" t="n">
        <f aca="false">IFERROR(VALUE(LEFT($A308,4)),"")</f>
        <v>2025</v>
      </c>
      <c r="C308" s="17" t="n">
        <f aca="false">IFERROR(VALUE(RIGHT($A308,2)),"")</f>
        <v>3</v>
      </c>
      <c r="D308" s="17" t="n">
        <f aca="false">IFERROR(ROUNDUP($C308/3,0),"")</f>
        <v>1</v>
      </c>
      <c r="E308" s="11" t="str">
        <f aca="false">TRIM('수출입 실적(성질별_수출)'!C312)</f>
        <v>자. 기타 비금속 광물제품</v>
      </c>
      <c r="F308" s="18" t="n">
        <f aca="false">IFERROR(VALUE(SUBSTITUTE(TRIM('수출입 실적(성질별_수출)'!D312),",","")),"")</f>
        <v>367001.3</v>
      </c>
      <c r="G308" s="19" t="n">
        <f aca="false">IFERROR(VALUE(SUBSTITUTE(TRIM('수출입 실적(성질별_수출)'!E312),",","")),"")</f>
        <v>195080</v>
      </c>
    </row>
    <row r="309" customFormat="false" ht="15" hidden="false" customHeight="true" outlineLevel="0" collapsed="false">
      <c r="A309" s="11" t="str">
        <f aca="false">TRIM('수출입 실적(성질별_수출)'!A313)</f>
        <v>2025.03</v>
      </c>
      <c r="B309" s="17" t="n">
        <f aca="false">IFERROR(VALUE(LEFT($A309,4)),"")</f>
        <v>2025</v>
      </c>
      <c r="C309" s="17" t="n">
        <f aca="false">IFERROR(VALUE(RIGHT($A309,2)),"")</f>
        <v>3</v>
      </c>
      <c r="D309" s="17" t="n">
        <f aca="false">IFERROR(ROUNDUP($C309/3,0),"")</f>
        <v>1</v>
      </c>
      <c r="E309" s="11" t="str">
        <f aca="false">TRIM('수출입 실적(성질별_수출)'!C313)</f>
        <v>차. 완구, 운동용구 및 악기</v>
      </c>
      <c r="F309" s="18" t="n">
        <f aca="false">IFERROR(VALUE(SUBSTITUTE(TRIM('수출입 실적(성질별_수출)'!D313),",","")),"")</f>
        <v>2265.5</v>
      </c>
      <c r="G309" s="19" t="n">
        <f aca="false">IFERROR(VALUE(SUBSTITUTE(TRIM('수출입 실적(성질별_수출)'!E313),",","")),"")</f>
        <v>49110</v>
      </c>
    </row>
    <row r="310" customFormat="false" ht="15" hidden="false" customHeight="true" outlineLevel="0" collapsed="false">
      <c r="A310" s="11" t="str">
        <f aca="false">TRIM('수출입 실적(성질별_수출)'!A314)</f>
        <v>2025.03</v>
      </c>
      <c r="B310" s="17" t="n">
        <f aca="false">IFERROR(VALUE(LEFT($A310,4)),"")</f>
        <v>2025</v>
      </c>
      <c r="C310" s="17" t="n">
        <f aca="false">IFERROR(VALUE(RIGHT($A310,2)),"")</f>
        <v>3</v>
      </c>
      <c r="D310" s="17" t="n">
        <f aca="false">IFERROR(ROUNDUP($C310/3,0),"")</f>
        <v>1</v>
      </c>
      <c r="E310" s="11" t="str">
        <f aca="false">TRIM('수출입 실적(성질별_수출)'!C314)</f>
        <v>카. 기 타</v>
      </c>
      <c r="F310" s="18" t="n">
        <f aca="false">IFERROR(VALUE(SUBSTITUTE(TRIM('수출입 실적(성질별_수출)'!D314),",","")),"")</f>
        <v>370849</v>
      </c>
      <c r="G310" s="19" t="n">
        <f aca="false">IFERROR(VALUE(SUBSTITUTE(TRIM('수출입 실적(성질별_수출)'!E314),",","")),"")</f>
        <v>951791</v>
      </c>
    </row>
    <row r="311" customFormat="false" ht="15" hidden="false" customHeight="true" outlineLevel="0" collapsed="false">
      <c r="A311" s="11" t="str">
        <f aca="false">TRIM('수출입 실적(성질별_수출)'!A315)</f>
        <v>2025.03</v>
      </c>
      <c r="B311" s="17" t="n">
        <f aca="false">IFERROR(VALUE(LEFT($A311,4)),"")</f>
        <v>2025</v>
      </c>
      <c r="C311" s="17" t="n">
        <f aca="false">IFERROR(VALUE(RIGHT($A311,2)),"")</f>
        <v>3</v>
      </c>
      <c r="D311" s="17" t="n">
        <f aca="false">IFERROR(ROUNDUP($C311/3,0),"")</f>
        <v>1</v>
      </c>
      <c r="E311" s="11" t="str">
        <f aca="false">TRIM('수출입 실적(성질별_수출)'!C315)</f>
        <v>4. 중화학 공업품</v>
      </c>
      <c r="F311" s="18" t="n">
        <f aca="false">IFERROR(VALUE(SUBSTITUTE(TRIM('수출입 실적(성질별_수출)'!D315),",","")),"")</f>
        <v>8853965.3</v>
      </c>
      <c r="G311" s="19" t="n">
        <f aca="false">IFERROR(VALUE(SUBSTITUTE(TRIM('수출입 실적(성질별_수출)'!E315),",","")),"")</f>
        <v>50208489</v>
      </c>
    </row>
    <row r="312" customFormat="false" ht="15" hidden="false" customHeight="true" outlineLevel="0" collapsed="false">
      <c r="A312" s="11" t="str">
        <f aca="false">TRIM('수출입 실적(성질별_수출)'!A316)</f>
        <v>2025.03</v>
      </c>
      <c r="B312" s="17" t="n">
        <f aca="false">IFERROR(VALUE(LEFT($A312,4)),"")</f>
        <v>2025</v>
      </c>
      <c r="C312" s="17" t="n">
        <f aca="false">IFERROR(VALUE(RIGHT($A312,2)),"")</f>
        <v>3</v>
      </c>
      <c r="D312" s="17" t="n">
        <f aca="false">IFERROR(ROUNDUP($C312/3,0),"")</f>
        <v>1</v>
      </c>
      <c r="E312" s="11" t="str">
        <f aca="false">TRIM('수출입 실적(성질별_수출)'!C316)</f>
        <v>가. 화공품</v>
      </c>
      <c r="F312" s="18" t="n">
        <f aca="false">IFERROR(VALUE(SUBSTITUTE(TRIM('수출입 실적(성질별_수출)'!D316),",","")),"")</f>
        <v>3620148.3</v>
      </c>
      <c r="G312" s="19" t="n">
        <f aca="false">IFERROR(VALUE(SUBSTITUTE(TRIM('수출입 실적(성질별_수출)'!E316),",","")),"")</f>
        <v>6674941</v>
      </c>
    </row>
    <row r="313" customFormat="false" ht="15" hidden="false" customHeight="true" outlineLevel="0" collapsed="false">
      <c r="A313" s="11" t="str">
        <f aca="false">TRIM('수출입 실적(성질별_수출)'!A317)</f>
        <v>2025.03</v>
      </c>
      <c r="B313" s="17" t="n">
        <f aca="false">IFERROR(VALUE(LEFT($A313,4)),"")</f>
        <v>2025</v>
      </c>
      <c r="C313" s="17" t="n">
        <f aca="false">IFERROR(VALUE(RIGHT($A313,2)),"")</f>
        <v>3</v>
      </c>
      <c r="D313" s="17" t="n">
        <f aca="false">IFERROR(ROUNDUP($C313/3,0),"")</f>
        <v>1</v>
      </c>
      <c r="E313" s="11" t="str">
        <f aca="false">TRIM('수출입 실적(성질별_수출)'!C317)</f>
        <v>나. 철강제품</v>
      </c>
      <c r="F313" s="18" t="n">
        <f aca="false">IFERROR(VALUE(SUBSTITUTE(TRIM('수출입 실적(성질별_수출)'!D317),",","")),"")</f>
        <v>2627738.5</v>
      </c>
      <c r="G313" s="19" t="n">
        <f aca="false">IFERROR(VALUE(SUBSTITUTE(TRIM('수출입 실적(성질별_수출)'!E317),",","")),"")</f>
        <v>3874596</v>
      </c>
    </row>
    <row r="314" customFormat="false" ht="15" hidden="false" customHeight="true" outlineLevel="0" collapsed="false">
      <c r="A314" s="11" t="str">
        <f aca="false">TRIM('수출입 실적(성질별_수출)'!A318)</f>
        <v>2025.03</v>
      </c>
      <c r="B314" s="17" t="n">
        <f aca="false">IFERROR(VALUE(LEFT($A314,4)),"")</f>
        <v>2025</v>
      </c>
      <c r="C314" s="17" t="n">
        <f aca="false">IFERROR(VALUE(RIGHT($A314,2)),"")</f>
        <v>3</v>
      </c>
      <c r="D314" s="17" t="n">
        <f aca="false">IFERROR(ROUNDUP($C314/3,0),"")</f>
        <v>1</v>
      </c>
      <c r="E314" s="11" t="str">
        <f aca="false">TRIM('수출입 실적(성질별_수출)'!C318)</f>
        <v>다. 기계류와 정밀기기</v>
      </c>
      <c r="F314" s="18" t="n">
        <f aca="false">IFERROR(VALUE(SUBSTITUTE(TRIM('수출입 실적(성질별_수출)'!D318),",","")),"")</f>
        <v>368158.8</v>
      </c>
      <c r="G314" s="19" t="n">
        <f aca="false">IFERROR(VALUE(SUBSTITUTE(TRIM('수출입 실적(성질별_수출)'!E318),",","")),"")</f>
        <v>6050031</v>
      </c>
    </row>
    <row r="315" customFormat="false" ht="15" hidden="false" customHeight="true" outlineLevel="0" collapsed="false">
      <c r="A315" s="11" t="str">
        <f aca="false">TRIM('수출입 실적(성질별_수출)'!A319)</f>
        <v>2025.03</v>
      </c>
      <c r="B315" s="17" t="n">
        <f aca="false">IFERROR(VALUE(LEFT($A315,4)),"")</f>
        <v>2025</v>
      </c>
      <c r="C315" s="17" t="n">
        <f aca="false">IFERROR(VALUE(RIGHT($A315,2)),"")</f>
        <v>3</v>
      </c>
      <c r="D315" s="17" t="n">
        <f aca="false">IFERROR(ROUNDUP($C315/3,0),"")</f>
        <v>1</v>
      </c>
      <c r="E315" s="11" t="str">
        <f aca="false">TRIM('수출입 실적(성질별_수출)'!C319)</f>
        <v>라. 전기, 전자제품</v>
      </c>
      <c r="F315" s="18" t="n">
        <f aca="false">IFERROR(VALUE(SUBSTITUTE(TRIM('수출입 실적(성질별_수출)'!D319),",","")),"")</f>
        <v>242712.6</v>
      </c>
      <c r="G315" s="19" t="n">
        <f aca="false">IFERROR(VALUE(SUBSTITUTE(TRIM('수출입 실적(성질별_수출)'!E319),",","")),"")</f>
        <v>20350815</v>
      </c>
    </row>
    <row r="316" customFormat="false" ht="15" hidden="false" customHeight="true" outlineLevel="0" collapsed="false">
      <c r="A316" s="11" t="str">
        <f aca="false">TRIM('수출입 실적(성질별_수출)'!A320)</f>
        <v>2025.03</v>
      </c>
      <c r="B316" s="17" t="n">
        <f aca="false">IFERROR(VALUE(LEFT($A316,4)),"")</f>
        <v>2025</v>
      </c>
      <c r="C316" s="17" t="n">
        <f aca="false">IFERROR(VALUE(RIGHT($A316,2)),"")</f>
        <v>3</v>
      </c>
      <c r="D316" s="17" t="n">
        <f aca="false">IFERROR(ROUNDUP($C316/3,0),"")</f>
        <v>1</v>
      </c>
      <c r="E316" s="11" t="str">
        <f aca="false">TRIM('수출입 실적(성질별_수출)'!C320)</f>
        <v>마. 수송장비</v>
      </c>
      <c r="F316" s="18" t="n">
        <f aca="false">IFERROR(VALUE(SUBSTITUTE(TRIM('수출입 실적(성질별_수출)'!D320),",","")),"")</f>
        <v>1925611.8</v>
      </c>
      <c r="G316" s="19" t="n">
        <f aca="false">IFERROR(VALUE(SUBSTITUTE(TRIM('수출입 실적(성질별_수출)'!E320),",","")),"")</f>
        <v>11399373</v>
      </c>
    </row>
    <row r="317" customFormat="false" ht="15" hidden="false" customHeight="true" outlineLevel="0" collapsed="false">
      <c r="A317" s="11" t="str">
        <f aca="false">TRIM('수출입 실적(성질별_수출)'!A321)</f>
        <v>2025.03</v>
      </c>
      <c r="B317" s="17" t="n">
        <f aca="false">IFERROR(VALUE(LEFT($A317,4)),"")</f>
        <v>2025</v>
      </c>
      <c r="C317" s="17" t="n">
        <f aca="false">IFERROR(VALUE(RIGHT($A317,2)),"")</f>
        <v>3</v>
      </c>
      <c r="D317" s="17" t="n">
        <f aca="false">IFERROR(ROUNDUP($C317/3,0),"")</f>
        <v>1</v>
      </c>
      <c r="E317" s="11" t="str">
        <f aca="false">TRIM('수출입 실적(성질별_수출)'!C321)</f>
        <v>바. 기 타</v>
      </c>
      <c r="F317" s="18" t="n">
        <f aca="false">IFERROR(VALUE(SUBSTITUTE(TRIM('수출입 실적(성질별_수출)'!D321),",","")),"")</f>
        <v>69595.2</v>
      </c>
      <c r="G317" s="19" t="n">
        <f aca="false">IFERROR(VALUE(SUBSTITUTE(TRIM('수출입 실적(성질별_수출)'!E321),",","")),"")</f>
        <v>1858734</v>
      </c>
    </row>
    <row r="318" customFormat="false" ht="15" hidden="false" customHeight="true" outlineLevel="0" collapsed="false">
      <c r="A318" s="11" t="str">
        <f aca="false">TRIM('수출입 실적(성질별_수출)'!A322)</f>
        <v>2025.04</v>
      </c>
      <c r="B318" s="17" t="n">
        <f aca="false">IFERROR(VALUE(LEFT($A318,4)),"")</f>
        <v>2025</v>
      </c>
      <c r="C318" s="17" t="n">
        <f aca="false">IFERROR(VALUE(RIGHT($A318,2)),"")</f>
        <v>4</v>
      </c>
      <c r="D318" s="17" t="n">
        <f aca="false">IFERROR(ROUNDUP($C318/3,0),"")</f>
        <v>2</v>
      </c>
      <c r="E318" s="11" t="str">
        <f aca="false">TRIM('수출입 실적(성질별_수출)'!C322)</f>
        <v>1. 식료 및 직접소비재</v>
      </c>
      <c r="F318" s="18" t="n">
        <f aca="false">IFERROR(VALUE(SUBSTITUTE(TRIM('수출입 실적(성질별_수출)'!D322),",","")),"")</f>
        <v>402173.7</v>
      </c>
      <c r="G318" s="19" t="n">
        <f aca="false">IFERROR(VALUE(SUBSTITUTE(TRIM('수출입 실적(성질별_수출)'!E322),",","")),"")</f>
        <v>1120286</v>
      </c>
    </row>
    <row r="319" customFormat="false" ht="15" hidden="false" customHeight="true" outlineLevel="0" collapsed="false">
      <c r="A319" s="11" t="str">
        <f aca="false">TRIM('수출입 실적(성질별_수출)'!A323)</f>
        <v>2025.04</v>
      </c>
      <c r="B319" s="17" t="n">
        <f aca="false">IFERROR(VALUE(LEFT($A319,4)),"")</f>
        <v>2025</v>
      </c>
      <c r="C319" s="17" t="n">
        <f aca="false">IFERROR(VALUE(RIGHT($A319,2)),"")</f>
        <v>4</v>
      </c>
      <c r="D319" s="17" t="n">
        <f aca="false">IFERROR(ROUNDUP($C319/3,0),"")</f>
        <v>2</v>
      </c>
      <c r="E319" s="11" t="str">
        <f aca="false">TRIM('수출입 실적(성질별_수출)'!C323)</f>
        <v>2. 원료 및 연료</v>
      </c>
      <c r="F319" s="18" t="n">
        <f aca="false">IFERROR(VALUE(SUBSTITUTE(TRIM('수출입 실적(성질별_수출)'!D323),",","")),"")</f>
        <v>6612331.2</v>
      </c>
      <c r="G319" s="19" t="n">
        <f aca="false">IFERROR(VALUE(SUBSTITUTE(TRIM('수출입 실적(성질별_수출)'!E323),",","")),"")</f>
        <v>4532206</v>
      </c>
    </row>
    <row r="320" customFormat="false" ht="15" hidden="false" customHeight="true" outlineLevel="0" collapsed="false">
      <c r="A320" s="11" t="str">
        <f aca="false">TRIM('수출입 실적(성질별_수출)'!A324)</f>
        <v>2025.04</v>
      </c>
      <c r="B320" s="17" t="n">
        <f aca="false">IFERROR(VALUE(LEFT($A320,4)),"")</f>
        <v>2025</v>
      </c>
      <c r="C320" s="17" t="n">
        <f aca="false">IFERROR(VALUE(RIGHT($A320,2)),"")</f>
        <v>4</v>
      </c>
      <c r="D320" s="17" t="n">
        <f aca="false">IFERROR(ROUNDUP($C320/3,0),"")</f>
        <v>2</v>
      </c>
      <c r="E320" s="11" t="str">
        <f aca="false">TRIM('수출입 실적(성질별_수출)'!C324)</f>
        <v>3. 경공업품</v>
      </c>
      <c r="F320" s="18" t="n">
        <f aca="false">IFERROR(VALUE(SUBSTITUTE(TRIM('수출입 실적(성질별_수출)'!D324),",","")),"")</f>
        <v>1232639.9</v>
      </c>
      <c r="G320" s="19" t="n">
        <f aca="false">IFERROR(VALUE(SUBSTITUTE(TRIM('수출입 실적(성질별_수출)'!E324),",","")),"")</f>
        <v>3148358</v>
      </c>
    </row>
    <row r="321" customFormat="false" ht="15" hidden="false" customHeight="true" outlineLevel="0" collapsed="false">
      <c r="A321" s="11" t="str">
        <f aca="false">TRIM('수출입 실적(성질별_수출)'!A325)</f>
        <v>2025.04</v>
      </c>
      <c r="B321" s="17" t="n">
        <f aca="false">IFERROR(VALUE(LEFT($A321,4)),"")</f>
        <v>2025</v>
      </c>
      <c r="C321" s="17" t="n">
        <f aca="false">IFERROR(VALUE(RIGHT($A321,2)),"")</f>
        <v>4</v>
      </c>
      <c r="D321" s="17" t="n">
        <f aca="false">IFERROR(ROUNDUP($C321/3,0),"")</f>
        <v>2</v>
      </c>
      <c r="E321" s="11" t="str">
        <f aca="false">TRIM('수출입 실적(성질별_수출)'!C325)</f>
        <v>가. 섬유원료</v>
      </c>
      <c r="F321" s="18" t="n">
        <f aca="false">IFERROR(VALUE(SUBSTITUTE(TRIM('수출입 실적(성질별_수출)'!D325),",","")),"")</f>
        <v>62419.2</v>
      </c>
      <c r="G321" s="19" t="n">
        <f aca="false">IFERROR(VALUE(SUBSTITUTE(TRIM('수출입 실적(성질별_수출)'!E325),",","")),"")</f>
        <v>95271</v>
      </c>
    </row>
    <row r="322" customFormat="false" ht="15" hidden="false" customHeight="true" outlineLevel="0" collapsed="false">
      <c r="A322" s="11" t="str">
        <f aca="false">TRIM('수출입 실적(성질별_수출)'!A326)</f>
        <v>2025.04</v>
      </c>
      <c r="B322" s="17" t="n">
        <f aca="false">IFERROR(VALUE(LEFT($A322,4)),"")</f>
        <v>2025</v>
      </c>
      <c r="C322" s="17" t="n">
        <f aca="false">IFERROR(VALUE(RIGHT($A322,2)),"")</f>
        <v>4</v>
      </c>
      <c r="D322" s="17" t="n">
        <f aca="false">IFERROR(ROUNDUP($C322/3,0),"")</f>
        <v>2</v>
      </c>
      <c r="E322" s="11" t="str">
        <f aca="false">TRIM('수출입 실적(성질별_수출)'!C326)</f>
        <v>나. 섬유사</v>
      </c>
      <c r="F322" s="18" t="n">
        <f aca="false">IFERROR(VALUE(SUBSTITUTE(TRIM('수출입 실적(성질별_수출)'!D326),",","")),"")</f>
        <v>19657.7</v>
      </c>
      <c r="G322" s="19" t="n">
        <f aca="false">IFERROR(VALUE(SUBSTITUTE(TRIM('수출입 실적(성질별_수출)'!E326),",","")),"")</f>
        <v>70373</v>
      </c>
    </row>
    <row r="323" customFormat="false" ht="15" hidden="false" customHeight="true" outlineLevel="0" collapsed="false">
      <c r="A323" s="11" t="str">
        <f aca="false">TRIM('수출입 실적(성질별_수출)'!A327)</f>
        <v>2025.04</v>
      </c>
      <c r="B323" s="17" t="n">
        <f aca="false">IFERROR(VALUE(LEFT($A323,4)),"")</f>
        <v>2025</v>
      </c>
      <c r="C323" s="17" t="n">
        <f aca="false">IFERROR(VALUE(RIGHT($A323,2)),"")</f>
        <v>4</v>
      </c>
      <c r="D323" s="17" t="n">
        <f aca="false">IFERROR(ROUNDUP($C323/3,0),"")</f>
        <v>2</v>
      </c>
      <c r="E323" s="11" t="str">
        <f aca="false">TRIM('수출입 실적(성질별_수출)'!C327)</f>
        <v>다. 직 물</v>
      </c>
      <c r="F323" s="18" t="n">
        <f aca="false">IFERROR(VALUE(SUBSTITUTE(TRIM('수출입 실적(성질별_수출)'!D327),",","")),"")</f>
        <v>32939.9</v>
      </c>
      <c r="G323" s="19" t="n">
        <f aca="false">IFERROR(VALUE(SUBSTITUTE(TRIM('수출입 실적(성질별_수출)'!E327),",","")),"")</f>
        <v>312143</v>
      </c>
    </row>
    <row r="324" customFormat="false" ht="15" hidden="false" customHeight="true" outlineLevel="0" collapsed="false">
      <c r="A324" s="11" t="str">
        <f aca="false">TRIM('수출입 실적(성질별_수출)'!A328)</f>
        <v>2025.04</v>
      </c>
      <c r="B324" s="17" t="n">
        <f aca="false">IFERROR(VALUE(LEFT($A324,4)),"")</f>
        <v>2025</v>
      </c>
      <c r="C324" s="17" t="n">
        <f aca="false">IFERROR(VALUE(RIGHT($A324,2)),"")</f>
        <v>4</v>
      </c>
      <c r="D324" s="17" t="n">
        <f aca="false">IFERROR(ROUNDUP($C324/3,0),"")</f>
        <v>2</v>
      </c>
      <c r="E324" s="11" t="str">
        <f aca="false">TRIM('수출입 실적(성질별_수출)'!C328)</f>
        <v>라. 기타 섬유제품</v>
      </c>
      <c r="F324" s="18" t="n">
        <f aca="false">IFERROR(VALUE(SUBSTITUTE(TRIM('수출입 실적(성질별_수출)'!D328),",","")),"")</f>
        <v>25840.2</v>
      </c>
      <c r="G324" s="19" t="n">
        <f aca="false">IFERROR(VALUE(SUBSTITUTE(TRIM('수출입 실적(성질별_수출)'!E328),",","")),"")</f>
        <v>208059</v>
      </c>
    </row>
    <row r="325" customFormat="false" ht="15" hidden="false" customHeight="true" outlineLevel="0" collapsed="false">
      <c r="A325" s="11" t="str">
        <f aca="false">TRIM('수출입 실적(성질별_수출)'!A329)</f>
        <v>2025.04</v>
      </c>
      <c r="B325" s="17" t="n">
        <f aca="false">IFERROR(VALUE(LEFT($A325,4)),"")</f>
        <v>2025</v>
      </c>
      <c r="C325" s="17" t="n">
        <f aca="false">IFERROR(VALUE(RIGHT($A325,2)),"")</f>
        <v>4</v>
      </c>
      <c r="D325" s="17" t="n">
        <f aca="false">IFERROR(ROUNDUP($C325/3,0),"")</f>
        <v>2</v>
      </c>
      <c r="E325" s="11" t="str">
        <f aca="false">TRIM('수출입 실적(성질별_수출)'!C329)</f>
        <v>마. 의 류</v>
      </c>
      <c r="F325" s="18" t="n">
        <f aca="false">IFERROR(VALUE(SUBSTITUTE(TRIM('수출입 실적(성질별_수출)'!D329),",","")),"")</f>
        <v>6290</v>
      </c>
      <c r="G325" s="19" t="n">
        <f aca="false">IFERROR(VALUE(SUBSTITUTE(TRIM('수출입 실적(성질별_수출)'!E329),",","")),"")</f>
        <v>165402</v>
      </c>
    </row>
    <row r="326" customFormat="false" ht="15" hidden="false" customHeight="true" outlineLevel="0" collapsed="false">
      <c r="A326" s="11" t="str">
        <f aca="false">TRIM('수출입 실적(성질별_수출)'!A330)</f>
        <v>2025.04</v>
      </c>
      <c r="B326" s="17" t="n">
        <f aca="false">IFERROR(VALUE(LEFT($A326,4)),"")</f>
        <v>2025</v>
      </c>
      <c r="C326" s="17" t="n">
        <f aca="false">IFERROR(VALUE(RIGHT($A326,2)),"")</f>
        <v>4</v>
      </c>
      <c r="D326" s="17" t="n">
        <f aca="false">IFERROR(ROUNDUP($C326/3,0),"")</f>
        <v>2</v>
      </c>
      <c r="E326" s="11" t="str">
        <f aca="false">TRIM('수출입 실적(성질별_수출)'!C330)</f>
        <v>바. 목제품</v>
      </c>
      <c r="F326" s="18" t="n">
        <f aca="false">IFERROR(VALUE(SUBSTITUTE(TRIM('수출입 실적(성질별_수출)'!D330),",","")),"")</f>
        <v>18823</v>
      </c>
      <c r="G326" s="19" t="n">
        <f aca="false">IFERROR(VALUE(SUBSTITUTE(TRIM('수출입 실적(성질별_수출)'!E330),",","")),"")</f>
        <v>105406</v>
      </c>
    </row>
    <row r="327" customFormat="false" ht="15" hidden="false" customHeight="true" outlineLevel="0" collapsed="false">
      <c r="A327" s="11" t="str">
        <f aca="false">TRIM('수출입 실적(성질별_수출)'!A331)</f>
        <v>2025.04</v>
      </c>
      <c r="B327" s="17" t="n">
        <f aca="false">IFERROR(VALUE(LEFT($A327,4)),"")</f>
        <v>2025</v>
      </c>
      <c r="C327" s="17" t="n">
        <f aca="false">IFERROR(VALUE(RIGHT($A327,2)),"")</f>
        <v>4</v>
      </c>
      <c r="D327" s="17" t="n">
        <f aca="false">IFERROR(ROUNDUP($C327/3,0),"")</f>
        <v>2</v>
      </c>
      <c r="E327" s="11" t="str">
        <f aca="false">TRIM('수출입 실적(성질별_수출)'!C331)</f>
        <v>사. 가죽, 고무 및 신발류</v>
      </c>
      <c r="F327" s="18" t="n">
        <f aca="false">IFERROR(VALUE(SUBSTITUTE(TRIM('수출입 실적(성질별_수출)'!D331),",","")),"")</f>
        <v>80630.3</v>
      </c>
      <c r="G327" s="19" t="n">
        <f aca="false">IFERROR(VALUE(SUBSTITUTE(TRIM('수출입 실적(성질별_수출)'!E331),",","")),"")</f>
        <v>464042</v>
      </c>
    </row>
    <row r="328" customFormat="false" ht="15" hidden="false" customHeight="true" outlineLevel="0" collapsed="false">
      <c r="A328" s="11" t="str">
        <f aca="false">TRIM('수출입 실적(성질별_수출)'!A332)</f>
        <v>2025.04</v>
      </c>
      <c r="B328" s="17" t="n">
        <f aca="false">IFERROR(VALUE(LEFT($A328,4)),"")</f>
        <v>2025</v>
      </c>
      <c r="C328" s="17" t="n">
        <f aca="false">IFERROR(VALUE(RIGHT($A328,2)),"")</f>
        <v>4</v>
      </c>
      <c r="D328" s="17" t="n">
        <f aca="false">IFERROR(ROUNDUP($C328/3,0),"")</f>
        <v>2</v>
      </c>
      <c r="E328" s="11" t="str">
        <f aca="false">TRIM('수출입 실적(성질별_수출)'!C332)</f>
        <v>아. 귀금속 및 보석류</v>
      </c>
      <c r="F328" s="18" t="n">
        <f aca="false">IFERROR(VALUE(SUBSTITUTE(TRIM('수출입 실적(성질별_수출)'!D332),",","")),"")</f>
        <v>313.4</v>
      </c>
      <c r="G328" s="19" t="n">
        <f aca="false">IFERROR(VALUE(SUBSTITUTE(TRIM('수출입 실적(성질별_수출)'!E332),",","")),"")</f>
        <v>419455</v>
      </c>
    </row>
    <row r="329" customFormat="false" ht="15" hidden="false" customHeight="true" outlineLevel="0" collapsed="false">
      <c r="A329" s="11" t="str">
        <f aca="false">TRIM('수출입 실적(성질별_수출)'!A333)</f>
        <v>2025.04</v>
      </c>
      <c r="B329" s="17" t="n">
        <f aca="false">IFERROR(VALUE(LEFT($A329,4)),"")</f>
        <v>2025</v>
      </c>
      <c r="C329" s="17" t="n">
        <f aca="false">IFERROR(VALUE(RIGHT($A329,2)),"")</f>
        <v>4</v>
      </c>
      <c r="D329" s="17" t="n">
        <f aca="false">IFERROR(ROUNDUP($C329/3,0),"")</f>
        <v>2</v>
      </c>
      <c r="E329" s="11" t="str">
        <f aca="false">TRIM('수출입 실적(성질별_수출)'!C333)</f>
        <v>자. 기타 비금속 광물제품</v>
      </c>
      <c r="F329" s="18" t="n">
        <f aca="false">IFERROR(VALUE(SUBSTITUTE(TRIM('수출입 실적(성질별_수출)'!D333),",","")),"")</f>
        <v>565519.3</v>
      </c>
      <c r="G329" s="19" t="n">
        <f aca="false">IFERROR(VALUE(SUBSTITUTE(TRIM('수출입 실적(성질별_수출)'!E333),",","")),"")</f>
        <v>223645</v>
      </c>
    </row>
    <row r="330" customFormat="false" ht="15" hidden="false" customHeight="true" outlineLevel="0" collapsed="false">
      <c r="A330" s="11" t="str">
        <f aca="false">TRIM('수출입 실적(성질별_수출)'!A334)</f>
        <v>2025.04</v>
      </c>
      <c r="B330" s="17" t="n">
        <f aca="false">IFERROR(VALUE(LEFT($A330,4)),"")</f>
        <v>2025</v>
      </c>
      <c r="C330" s="17" t="n">
        <f aca="false">IFERROR(VALUE(RIGHT($A330,2)),"")</f>
        <v>4</v>
      </c>
      <c r="D330" s="17" t="n">
        <f aca="false">IFERROR(ROUNDUP($C330/3,0),"")</f>
        <v>2</v>
      </c>
      <c r="E330" s="11" t="str">
        <f aca="false">TRIM('수출입 실적(성질별_수출)'!C334)</f>
        <v>차. 완구, 운동용구 및 악기</v>
      </c>
      <c r="F330" s="18" t="n">
        <f aca="false">IFERROR(VALUE(SUBSTITUTE(TRIM('수출입 실적(성질별_수출)'!D334),",","")),"")</f>
        <v>2477.2</v>
      </c>
      <c r="G330" s="19" t="n">
        <f aca="false">IFERROR(VALUE(SUBSTITUTE(TRIM('수출입 실적(성질별_수출)'!E334),",","")),"")</f>
        <v>51276</v>
      </c>
    </row>
    <row r="331" customFormat="false" ht="15" hidden="false" customHeight="true" outlineLevel="0" collapsed="false">
      <c r="A331" s="11" t="str">
        <f aca="false">TRIM('수출입 실적(성질별_수출)'!A335)</f>
        <v>2025.04</v>
      </c>
      <c r="B331" s="17" t="n">
        <f aca="false">IFERROR(VALUE(LEFT($A331,4)),"")</f>
        <v>2025</v>
      </c>
      <c r="C331" s="17" t="n">
        <f aca="false">IFERROR(VALUE(RIGHT($A331,2)),"")</f>
        <v>4</v>
      </c>
      <c r="D331" s="17" t="n">
        <f aca="false">IFERROR(ROUNDUP($C331/3,0),"")</f>
        <v>2</v>
      </c>
      <c r="E331" s="11" t="str">
        <f aca="false">TRIM('수출입 실적(성질별_수출)'!C335)</f>
        <v>카. 기 타</v>
      </c>
      <c r="F331" s="18" t="n">
        <f aca="false">IFERROR(VALUE(SUBSTITUTE(TRIM('수출입 실적(성질별_수출)'!D335),",","")),"")</f>
        <v>417729.6</v>
      </c>
      <c r="G331" s="19" t="n">
        <f aca="false">IFERROR(VALUE(SUBSTITUTE(TRIM('수출입 실적(성질별_수출)'!E335),",","")),"")</f>
        <v>1033287</v>
      </c>
    </row>
    <row r="332" customFormat="false" ht="15" hidden="false" customHeight="true" outlineLevel="0" collapsed="false">
      <c r="A332" s="11" t="str">
        <f aca="false">TRIM('수출입 실적(성질별_수출)'!A336)</f>
        <v>2025.04</v>
      </c>
      <c r="B332" s="17" t="n">
        <f aca="false">IFERROR(VALUE(LEFT($A332,4)),"")</f>
        <v>2025</v>
      </c>
      <c r="C332" s="17" t="n">
        <f aca="false">IFERROR(VALUE(RIGHT($A332,2)),"")</f>
        <v>4</v>
      </c>
      <c r="D332" s="17" t="n">
        <f aca="false">IFERROR(ROUNDUP($C332/3,0),"")</f>
        <v>2</v>
      </c>
      <c r="E332" s="11" t="str">
        <f aca="false">TRIM('수출입 실적(성질별_수출)'!C336)</f>
        <v>4. 중화학 공업품</v>
      </c>
      <c r="F332" s="18" t="n">
        <f aca="false">IFERROR(VALUE(SUBSTITUTE(TRIM('수출입 실적(성질별_수출)'!D336),",","")),"")</f>
        <v>9280660.1</v>
      </c>
      <c r="G332" s="19" t="n">
        <f aca="false">IFERROR(VALUE(SUBSTITUTE(TRIM('수출입 실적(성질별_수출)'!E336),",","")),"")</f>
        <v>49234895</v>
      </c>
    </row>
    <row r="333" customFormat="false" ht="15" hidden="false" customHeight="true" outlineLevel="0" collapsed="false">
      <c r="A333" s="11" t="str">
        <f aca="false">TRIM('수출입 실적(성질별_수출)'!A337)</f>
        <v>2025.04</v>
      </c>
      <c r="B333" s="17" t="n">
        <f aca="false">IFERROR(VALUE(LEFT($A333,4)),"")</f>
        <v>2025</v>
      </c>
      <c r="C333" s="17" t="n">
        <f aca="false">IFERROR(VALUE(RIGHT($A333,2)),"")</f>
        <v>4</v>
      </c>
      <c r="D333" s="17" t="n">
        <f aca="false">IFERROR(ROUNDUP($C333/3,0),"")</f>
        <v>2</v>
      </c>
      <c r="E333" s="11" t="str">
        <f aca="false">TRIM('수출입 실적(성질별_수출)'!C337)</f>
        <v>가. 화공품</v>
      </c>
      <c r="F333" s="18" t="n">
        <f aca="false">IFERROR(VALUE(SUBSTITUTE(TRIM('수출입 실적(성질별_수출)'!D337),",","")),"")</f>
        <v>3897926.5</v>
      </c>
      <c r="G333" s="19" t="n">
        <f aca="false">IFERROR(VALUE(SUBSTITUTE(TRIM('수출입 실적(성질별_수출)'!E337),",","")),"")</f>
        <v>6959463</v>
      </c>
    </row>
    <row r="334" customFormat="false" ht="15" hidden="false" customHeight="true" outlineLevel="0" collapsed="false">
      <c r="A334" s="11" t="str">
        <f aca="false">TRIM('수출입 실적(성질별_수출)'!A338)</f>
        <v>2025.04</v>
      </c>
      <c r="B334" s="17" t="n">
        <f aca="false">IFERROR(VALUE(LEFT($A334,4)),"")</f>
        <v>2025</v>
      </c>
      <c r="C334" s="17" t="n">
        <f aca="false">IFERROR(VALUE(RIGHT($A334,2)),"")</f>
        <v>4</v>
      </c>
      <c r="D334" s="17" t="n">
        <f aca="false">IFERROR(ROUNDUP($C334/3,0),"")</f>
        <v>2</v>
      </c>
      <c r="E334" s="11" t="str">
        <f aca="false">TRIM('수출입 실적(성질별_수출)'!C338)</f>
        <v>나. 철강제품</v>
      </c>
      <c r="F334" s="18" t="n">
        <f aca="false">IFERROR(VALUE(SUBSTITUTE(TRIM('수출입 실적(성질별_수출)'!D338),",","")),"")</f>
        <v>3013194</v>
      </c>
      <c r="G334" s="19" t="n">
        <f aca="false">IFERROR(VALUE(SUBSTITUTE(TRIM('수출입 실적(성질별_수출)'!E338),",","")),"")</f>
        <v>4360393</v>
      </c>
    </row>
    <row r="335" customFormat="false" ht="15" hidden="false" customHeight="true" outlineLevel="0" collapsed="false">
      <c r="A335" s="11" t="str">
        <f aca="false">TRIM('수출입 실적(성질별_수출)'!A339)</f>
        <v>2025.04</v>
      </c>
      <c r="B335" s="17" t="n">
        <f aca="false">IFERROR(VALUE(LEFT($A335,4)),"")</f>
        <v>2025</v>
      </c>
      <c r="C335" s="17" t="n">
        <f aca="false">IFERROR(VALUE(RIGHT($A335,2)),"")</f>
        <v>4</v>
      </c>
      <c r="D335" s="17" t="n">
        <f aca="false">IFERROR(ROUNDUP($C335/3,0),"")</f>
        <v>2</v>
      </c>
      <c r="E335" s="11" t="str">
        <f aca="false">TRIM('수출입 실적(성질별_수출)'!C339)</f>
        <v>다. 기계류와 정밀기기</v>
      </c>
      <c r="F335" s="18" t="n">
        <f aca="false">IFERROR(VALUE(SUBSTITUTE(TRIM('수출입 실적(성질별_수출)'!D339),",","")),"")</f>
        <v>402873.4</v>
      </c>
      <c r="G335" s="19" t="n">
        <f aca="false">IFERROR(VALUE(SUBSTITUTE(TRIM('수출입 실적(성질별_수출)'!E339),",","")),"")</f>
        <v>6411232</v>
      </c>
    </row>
    <row r="336" customFormat="false" ht="15" hidden="false" customHeight="true" outlineLevel="0" collapsed="false">
      <c r="A336" s="11" t="str">
        <f aca="false">TRIM('수출입 실적(성질별_수출)'!A340)</f>
        <v>2025.04</v>
      </c>
      <c r="B336" s="17" t="n">
        <f aca="false">IFERROR(VALUE(LEFT($A336,4)),"")</f>
        <v>2025</v>
      </c>
      <c r="C336" s="17" t="n">
        <f aca="false">IFERROR(VALUE(RIGHT($A336,2)),"")</f>
        <v>4</v>
      </c>
      <c r="D336" s="17" t="n">
        <f aca="false">IFERROR(ROUNDUP($C336/3,0),"")</f>
        <v>2</v>
      </c>
      <c r="E336" s="11" t="str">
        <f aca="false">TRIM('수출입 실적(성질별_수출)'!C340)</f>
        <v>라. 전기, 전자제품</v>
      </c>
      <c r="F336" s="18" t="n">
        <f aca="false">IFERROR(VALUE(SUBSTITUTE(TRIM('수출입 실적(성질별_수출)'!D340),",","")),"")</f>
        <v>263507.9</v>
      </c>
      <c r="G336" s="19" t="n">
        <f aca="false">IFERROR(VALUE(SUBSTITUTE(TRIM('수출입 실적(성질별_수출)'!E340),",","")),"")</f>
        <v>18681042</v>
      </c>
    </row>
    <row r="337" customFormat="false" ht="15" hidden="false" customHeight="true" outlineLevel="0" collapsed="false">
      <c r="A337" s="11" t="str">
        <f aca="false">TRIM('수출입 실적(성질별_수출)'!A341)</f>
        <v>2025.04</v>
      </c>
      <c r="B337" s="17" t="n">
        <f aca="false">IFERROR(VALUE(LEFT($A337,4)),"")</f>
        <v>2025</v>
      </c>
      <c r="C337" s="17" t="n">
        <f aca="false">IFERROR(VALUE(RIGHT($A337,2)),"")</f>
        <v>4</v>
      </c>
      <c r="D337" s="17" t="n">
        <f aca="false">IFERROR(ROUNDUP($C337/3,0),"")</f>
        <v>2</v>
      </c>
      <c r="E337" s="11" t="str">
        <f aca="false">TRIM('수출입 실적(성질별_수출)'!C341)</f>
        <v>마. 수송장비</v>
      </c>
      <c r="F337" s="18" t="n">
        <f aca="false">IFERROR(VALUE(SUBSTITUTE(TRIM('수출입 실적(성질별_수출)'!D341),",","")),"")</f>
        <v>1630528.2</v>
      </c>
      <c r="G337" s="19" t="n">
        <f aca="false">IFERROR(VALUE(SUBSTITUTE(TRIM('수출입 실적(성질별_수출)'!E341),",","")),"")</f>
        <v>10715839</v>
      </c>
    </row>
    <row r="338" customFormat="false" ht="15" hidden="false" customHeight="true" outlineLevel="0" collapsed="false">
      <c r="A338" s="11" t="str">
        <f aca="false">TRIM('수출입 실적(성질별_수출)'!A342)</f>
        <v>2025.04</v>
      </c>
      <c r="B338" s="17" t="n">
        <f aca="false">IFERROR(VALUE(LEFT($A338,4)),"")</f>
        <v>2025</v>
      </c>
      <c r="C338" s="17" t="n">
        <f aca="false">IFERROR(VALUE(RIGHT($A338,2)),"")</f>
        <v>4</v>
      </c>
      <c r="D338" s="17" t="n">
        <f aca="false">IFERROR(ROUNDUP($C338/3,0),"")</f>
        <v>2</v>
      </c>
      <c r="E338" s="11" t="str">
        <f aca="false">TRIM('수출입 실적(성질별_수출)'!C342)</f>
        <v>바. 기 타</v>
      </c>
      <c r="F338" s="18" t="n">
        <f aca="false">IFERROR(VALUE(SUBSTITUTE(TRIM('수출입 실적(성질별_수출)'!D342),",","")),"")</f>
        <v>72630</v>
      </c>
      <c r="G338" s="19" t="n">
        <f aca="false">IFERROR(VALUE(SUBSTITUTE(TRIM('수출입 실적(성질별_수출)'!E342),",","")),"")</f>
        <v>2106925</v>
      </c>
    </row>
    <row r="339" customFormat="false" ht="15" hidden="false" customHeight="true" outlineLevel="0" collapsed="false">
      <c r="A339" s="11" t="str">
        <f aca="false">TRIM('수출입 실적(성질별_수출)'!A343)</f>
        <v>2025.05</v>
      </c>
      <c r="B339" s="17" t="n">
        <f aca="false">IFERROR(VALUE(LEFT($A339,4)),"")</f>
        <v>2025</v>
      </c>
      <c r="C339" s="17" t="n">
        <f aca="false">IFERROR(VALUE(RIGHT($A339,2)),"")</f>
        <v>5</v>
      </c>
      <c r="D339" s="17" t="n">
        <f aca="false">IFERROR(ROUNDUP($C339/3,0),"")</f>
        <v>2</v>
      </c>
      <c r="E339" s="11" t="str">
        <f aca="false">TRIM('수출입 실적(성질별_수출)'!C343)</f>
        <v>1. 식료 및 직접소비재</v>
      </c>
      <c r="F339" s="18" t="n">
        <f aca="false">IFERROR(VALUE(SUBSTITUTE(TRIM('수출입 실적(성질별_수출)'!D343),",","")),"")</f>
        <v>368977.9</v>
      </c>
      <c r="G339" s="19" t="n">
        <f aca="false">IFERROR(VALUE(SUBSTITUTE(TRIM('수출입 실적(성질별_수출)'!E343),",","")),"")</f>
        <v>1030401</v>
      </c>
    </row>
    <row r="340" customFormat="false" ht="15" hidden="false" customHeight="true" outlineLevel="0" collapsed="false">
      <c r="A340" s="11" t="str">
        <f aca="false">TRIM('수출입 실적(성질별_수출)'!A344)</f>
        <v>2025.05</v>
      </c>
      <c r="B340" s="17" t="n">
        <f aca="false">IFERROR(VALUE(LEFT($A340,4)),"")</f>
        <v>2025</v>
      </c>
      <c r="C340" s="17" t="n">
        <f aca="false">IFERROR(VALUE(RIGHT($A340,2)),"")</f>
        <v>5</v>
      </c>
      <c r="D340" s="17" t="n">
        <f aca="false">IFERROR(ROUNDUP($C340/3,0),"")</f>
        <v>2</v>
      </c>
      <c r="E340" s="11" t="str">
        <f aca="false">TRIM('수출입 실적(성질별_수출)'!C344)</f>
        <v>2. 원료 및 연료</v>
      </c>
      <c r="F340" s="18" t="n">
        <f aca="false">IFERROR(VALUE(SUBSTITUTE(TRIM('수출입 실적(성질별_수출)'!D344),",","")),"")</f>
        <v>6567077.1</v>
      </c>
      <c r="G340" s="19" t="n">
        <f aca="false">IFERROR(VALUE(SUBSTITUTE(TRIM('수출입 실적(성질별_수출)'!E344),",","")),"")</f>
        <v>4410634</v>
      </c>
    </row>
    <row r="341" customFormat="false" ht="15" hidden="false" customHeight="true" outlineLevel="0" collapsed="false">
      <c r="A341" s="11" t="str">
        <f aca="false">TRIM('수출입 실적(성질별_수출)'!A345)</f>
        <v>2025.05</v>
      </c>
      <c r="B341" s="17" t="n">
        <f aca="false">IFERROR(VALUE(LEFT($A341,4)),"")</f>
        <v>2025</v>
      </c>
      <c r="C341" s="17" t="n">
        <f aca="false">IFERROR(VALUE(RIGHT($A341,2)),"")</f>
        <v>5</v>
      </c>
      <c r="D341" s="17" t="n">
        <f aca="false">IFERROR(ROUNDUP($C341/3,0),"")</f>
        <v>2</v>
      </c>
      <c r="E341" s="11" t="str">
        <f aca="false">TRIM('수출입 실적(성질별_수출)'!C345)</f>
        <v>3. 경공업품</v>
      </c>
      <c r="F341" s="18" t="n">
        <f aca="false">IFERROR(VALUE(SUBSTITUTE(TRIM('수출입 실적(성질별_수출)'!D345),",","")),"")</f>
        <v>1040787</v>
      </c>
      <c r="G341" s="19" t="n">
        <f aca="false">IFERROR(VALUE(SUBSTITUTE(TRIM('수출입 실적(성질별_수출)'!E345),",","")),"")</f>
        <v>3029705</v>
      </c>
    </row>
    <row r="342" customFormat="false" ht="15" hidden="false" customHeight="true" outlineLevel="0" collapsed="false">
      <c r="A342" s="11" t="str">
        <f aca="false">TRIM('수출입 실적(성질별_수출)'!A346)</f>
        <v>2025.05</v>
      </c>
      <c r="B342" s="17" t="n">
        <f aca="false">IFERROR(VALUE(LEFT($A342,4)),"")</f>
        <v>2025</v>
      </c>
      <c r="C342" s="17" t="n">
        <f aca="false">IFERROR(VALUE(RIGHT($A342,2)),"")</f>
        <v>5</v>
      </c>
      <c r="D342" s="17" t="n">
        <f aca="false">IFERROR(ROUNDUP($C342/3,0),"")</f>
        <v>2</v>
      </c>
      <c r="E342" s="11" t="str">
        <f aca="false">TRIM('수출입 실적(성질별_수출)'!C346)</f>
        <v>가. 섬유원료</v>
      </c>
      <c r="F342" s="18" t="n">
        <f aca="false">IFERROR(VALUE(SUBSTITUTE(TRIM('수출입 실적(성질별_수출)'!D346),",","")),"")</f>
        <v>52277.6</v>
      </c>
      <c r="G342" s="19" t="n">
        <f aca="false">IFERROR(VALUE(SUBSTITUTE(TRIM('수출입 실적(성질별_수출)'!E346),",","")),"")</f>
        <v>81431</v>
      </c>
    </row>
    <row r="343" customFormat="false" ht="15" hidden="false" customHeight="true" outlineLevel="0" collapsed="false">
      <c r="A343" s="11" t="str">
        <f aca="false">TRIM('수출입 실적(성질별_수출)'!A347)</f>
        <v>2025.05</v>
      </c>
      <c r="B343" s="17" t="n">
        <f aca="false">IFERROR(VALUE(LEFT($A343,4)),"")</f>
        <v>2025</v>
      </c>
      <c r="C343" s="17" t="n">
        <f aca="false">IFERROR(VALUE(RIGHT($A343,2)),"")</f>
        <v>5</v>
      </c>
      <c r="D343" s="17" t="n">
        <f aca="false">IFERROR(ROUNDUP($C343/3,0),"")</f>
        <v>2</v>
      </c>
      <c r="E343" s="11" t="str">
        <f aca="false">TRIM('수출입 실적(성질별_수출)'!C347)</f>
        <v>나. 섬유사</v>
      </c>
      <c r="F343" s="18" t="n">
        <f aca="false">IFERROR(VALUE(SUBSTITUTE(TRIM('수출입 실적(성질별_수출)'!D347),",","")),"")</f>
        <v>18296.9</v>
      </c>
      <c r="G343" s="19" t="n">
        <f aca="false">IFERROR(VALUE(SUBSTITUTE(TRIM('수출입 실적(성질별_수출)'!E347),",","")),"")</f>
        <v>68160</v>
      </c>
    </row>
    <row r="344" customFormat="false" ht="15" hidden="false" customHeight="true" outlineLevel="0" collapsed="false">
      <c r="A344" s="11" t="str">
        <f aca="false">TRIM('수출입 실적(성질별_수출)'!A348)</f>
        <v>2025.05</v>
      </c>
      <c r="B344" s="17" t="n">
        <f aca="false">IFERROR(VALUE(LEFT($A344,4)),"")</f>
        <v>2025</v>
      </c>
      <c r="C344" s="17" t="n">
        <f aca="false">IFERROR(VALUE(RIGHT($A344,2)),"")</f>
        <v>5</v>
      </c>
      <c r="D344" s="17" t="n">
        <f aca="false">IFERROR(ROUNDUP($C344/3,0),"")</f>
        <v>2</v>
      </c>
      <c r="E344" s="11" t="str">
        <f aca="false">TRIM('수출입 실적(성질별_수출)'!C348)</f>
        <v>다. 직 물</v>
      </c>
      <c r="F344" s="18" t="n">
        <f aca="false">IFERROR(VALUE(SUBSTITUTE(TRIM('수출입 실적(성질별_수출)'!D348),",","")),"")</f>
        <v>28838.2</v>
      </c>
      <c r="G344" s="19" t="n">
        <f aca="false">IFERROR(VALUE(SUBSTITUTE(TRIM('수출입 실적(성질별_수출)'!E348),",","")),"")</f>
        <v>284602</v>
      </c>
    </row>
    <row r="345" customFormat="false" ht="15" hidden="false" customHeight="true" outlineLevel="0" collapsed="false">
      <c r="A345" s="11" t="str">
        <f aca="false">TRIM('수출입 실적(성질별_수출)'!A349)</f>
        <v>2025.05</v>
      </c>
      <c r="B345" s="17" t="n">
        <f aca="false">IFERROR(VALUE(LEFT($A345,4)),"")</f>
        <v>2025</v>
      </c>
      <c r="C345" s="17" t="n">
        <f aca="false">IFERROR(VALUE(RIGHT($A345,2)),"")</f>
        <v>5</v>
      </c>
      <c r="D345" s="17" t="n">
        <f aca="false">IFERROR(ROUNDUP($C345/3,0),"")</f>
        <v>2</v>
      </c>
      <c r="E345" s="11" t="str">
        <f aca="false">TRIM('수출입 실적(성질별_수출)'!C349)</f>
        <v>라. 기타 섬유제품</v>
      </c>
      <c r="F345" s="18" t="n">
        <f aca="false">IFERROR(VALUE(SUBSTITUTE(TRIM('수출입 실적(성질별_수출)'!D349),",","")),"")</f>
        <v>23439.3</v>
      </c>
      <c r="G345" s="19" t="n">
        <f aca="false">IFERROR(VALUE(SUBSTITUTE(TRIM('수출입 실적(성질별_수출)'!E349),",","")),"")</f>
        <v>189050</v>
      </c>
    </row>
    <row r="346" customFormat="false" ht="15" hidden="false" customHeight="true" outlineLevel="0" collapsed="false">
      <c r="A346" s="11" t="str">
        <f aca="false">TRIM('수출입 실적(성질별_수출)'!A350)</f>
        <v>2025.05</v>
      </c>
      <c r="B346" s="17" t="n">
        <f aca="false">IFERROR(VALUE(LEFT($A346,4)),"")</f>
        <v>2025</v>
      </c>
      <c r="C346" s="17" t="n">
        <f aca="false">IFERROR(VALUE(RIGHT($A346,2)),"")</f>
        <v>5</v>
      </c>
      <c r="D346" s="17" t="n">
        <f aca="false">IFERROR(ROUNDUP($C346/3,0),"")</f>
        <v>2</v>
      </c>
      <c r="E346" s="11" t="str">
        <f aca="false">TRIM('수출입 실적(성질별_수출)'!C350)</f>
        <v>마. 의 류</v>
      </c>
      <c r="F346" s="18" t="n">
        <f aca="false">IFERROR(VALUE(SUBSTITUTE(TRIM('수출입 실적(성질별_수출)'!D350),",","")),"")</f>
        <v>6097.3</v>
      </c>
      <c r="G346" s="19" t="n">
        <f aca="false">IFERROR(VALUE(SUBSTITUTE(TRIM('수출입 실적(성질별_수출)'!E350),",","")),"")</f>
        <v>169252</v>
      </c>
    </row>
    <row r="347" customFormat="false" ht="15" hidden="false" customHeight="true" outlineLevel="0" collapsed="false">
      <c r="A347" s="11" t="str">
        <f aca="false">TRIM('수출입 실적(성질별_수출)'!A351)</f>
        <v>2025.05</v>
      </c>
      <c r="B347" s="17" t="n">
        <f aca="false">IFERROR(VALUE(LEFT($A347,4)),"")</f>
        <v>2025</v>
      </c>
      <c r="C347" s="17" t="n">
        <f aca="false">IFERROR(VALUE(RIGHT($A347,2)),"")</f>
        <v>5</v>
      </c>
      <c r="D347" s="17" t="n">
        <f aca="false">IFERROR(ROUNDUP($C347/3,0),"")</f>
        <v>2</v>
      </c>
      <c r="E347" s="11" t="str">
        <f aca="false">TRIM('수출입 실적(성질별_수출)'!C351)</f>
        <v>바. 목제품</v>
      </c>
      <c r="F347" s="18" t="n">
        <f aca="false">IFERROR(VALUE(SUBSTITUTE(TRIM('수출입 실적(성질별_수출)'!D351),",","")),"")</f>
        <v>16429.8</v>
      </c>
      <c r="G347" s="19" t="n">
        <f aca="false">IFERROR(VALUE(SUBSTITUTE(TRIM('수출입 실적(성질별_수출)'!E351),",","")),"")</f>
        <v>96349</v>
      </c>
    </row>
    <row r="348" customFormat="false" ht="15" hidden="false" customHeight="true" outlineLevel="0" collapsed="false">
      <c r="A348" s="11" t="str">
        <f aca="false">TRIM('수출입 실적(성질별_수출)'!A352)</f>
        <v>2025.05</v>
      </c>
      <c r="B348" s="17" t="n">
        <f aca="false">IFERROR(VALUE(LEFT($A348,4)),"")</f>
        <v>2025</v>
      </c>
      <c r="C348" s="17" t="n">
        <f aca="false">IFERROR(VALUE(RIGHT($A348,2)),"")</f>
        <v>5</v>
      </c>
      <c r="D348" s="17" t="n">
        <f aca="false">IFERROR(ROUNDUP($C348/3,0),"")</f>
        <v>2</v>
      </c>
      <c r="E348" s="11" t="str">
        <f aca="false">TRIM('수출입 실적(성질별_수출)'!C352)</f>
        <v>사. 가죽, 고무 및 신발류</v>
      </c>
      <c r="F348" s="18" t="n">
        <f aca="false">IFERROR(VALUE(SUBSTITUTE(TRIM('수출입 실적(성질별_수출)'!D352),",","")),"")</f>
        <v>79696.4</v>
      </c>
      <c r="G348" s="19" t="n">
        <f aca="false">IFERROR(VALUE(SUBSTITUTE(TRIM('수출입 실적(성질별_수출)'!E352),",","")),"")</f>
        <v>460739</v>
      </c>
    </row>
    <row r="349" customFormat="false" ht="15" hidden="false" customHeight="true" outlineLevel="0" collapsed="false">
      <c r="A349" s="11" t="str">
        <f aca="false">TRIM('수출입 실적(성질별_수출)'!A353)</f>
        <v>2025.05</v>
      </c>
      <c r="B349" s="17" t="n">
        <f aca="false">IFERROR(VALUE(LEFT($A349,4)),"")</f>
        <v>2025</v>
      </c>
      <c r="C349" s="17" t="n">
        <f aca="false">IFERROR(VALUE(RIGHT($A349,2)),"")</f>
        <v>5</v>
      </c>
      <c r="D349" s="17" t="n">
        <f aca="false">IFERROR(ROUNDUP($C349/3,0),"")</f>
        <v>2</v>
      </c>
      <c r="E349" s="11" t="str">
        <f aca="false">TRIM('수출입 실적(성질별_수출)'!C353)</f>
        <v>아. 귀금속 및 보석류</v>
      </c>
      <c r="F349" s="18" t="n">
        <f aca="false">IFERROR(VALUE(SUBSTITUTE(TRIM('수출입 실적(성질별_수출)'!D353),",","")),"")</f>
        <v>315.4</v>
      </c>
      <c r="G349" s="19" t="n">
        <f aca="false">IFERROR(VALUE(SUBSTITUTE(TRIM('수출입 실적(성질별_수출)'!E353),",","")),"")</f>
        <v>469846</v>
      </c>
    </row>
    <row r="350" customFormat="false" ht="15" hidden="false" customHeight="true" outlineLevel="0" collapsed="false">
      <c r="A350" s="11" t="str">
        <f aca="false">TRIM('수출입 실적(성질별_수출)'!A354)</f>
        <v>2025.05</v>
      </c>
      <c r="B350" s="17" t="n">
        <f aca="false">IFERROR(VALUE(LEFT($A350,4)),"")</f>
        <v>2025</v>
      </c>
      <c r="C350" s="17" t="n">
        <f aca="false">IFERROR(VALUE(RIGHT($A350,2)),"")</f>
        <v>5</v>
      </c>
      <c r="D350" s="17" t="n">
        <f aca="false">IFERROR(ROUNDUP($C350/3,0),"")</f>
        <v>2</v>
      </c>
      <c r="E350" s="11" t="str">
        <f aca="false">TRIM('수출입 실적(성질별_수출)'!C354)</f>
        <v>자. 기타 비금속 광물제품</v>
      </c>
      <c r="F350" s="18" t="n">
        <f aca="false">IFERROR(VALUE(SUBSTITUTE(TRIM('수출입 실적(성질별_수출)'!D354),",","")),"")</f>
        <v>440601.2</v>
      </c>
      <c r="G350" s="19" t="n">
        <f aca="false">IFERROR(VALUE(SUBSTITUTE(TRIM('수출입 실적(성질별_수출)'!E354),",","")),"")</f>
        <v>205487</v>
      </c>
    </row>
    <row r="351" customFormat="false" ht="15" hidden="false" customHeight="true" outlineLevel="0" collapsed="false">
      <c r="A351" s="11" t="str">
        <f aca="false">TRIM('수출입 실적(성질별_수출)'!A355)</f>
        <v>2025.05</v>
      </c>
      <c r="B351" s="17" t="n">
        <f aca="false">IFERROR(VALUE(LEFT($A351,4)),"")</f>
        <v>2025</v>
      </c>
      <c r="C351" s="17" t="n">
        <f aca="false">IFERROR(VALUE(RIGHT($A351,2)),"")</f>
        <v>5</v>
      </c>
      <c r="D351" s="17" t="n">
        <f aca="false">IFERROR(ROUNDUP($C351/3,0),"")</f>
        <v>2</v>
      </c>
      <c r="E351" s="11" t="str">
        <f aca="false">TRIM('수출입 실적(성질별_수출)'!C355)</f>
        <v>차. 완구, 운동용구 및 악기</v>
      </c>
      <c r="F351" s="18" t="n">
        <f aca="false">IFERROR(VALUE(SUBSTITUTE(TRIM('수출입 실적(성질별_수출)'!D355),",","")),"")</f>
        <v>2342</v>
      </c>
      <c r="G351" s="19" t="n">
        <f aca="false">IFERROR(VALUE(SUBSTITUTE(TRIM('수출입 실적(성질별_수출)'!E355),",","")),"")</f>
        <v>50437</v>
      </c>
    </row>
    <row r="352" customFormat="false" ht="15" hidden="false" customHeight="true" outlineLevel="0" collapsed="false">
      <c r="A352" s="11" t="str">
        <f aca="false">TRIM('수출입 실적(성질별_수출)'!A356)</f>
        <v>2025.05</v>
      </c>
      <c r="B352" s="17" t="n">
        <f aca="false">IFERROR(VALUE(LEFT($A352,4)),"")</f>
        <v>2025</v>
      </c>
      <c r="C352" s="17" t="n">
        <f aca="false">IFERROR(VALUE(RIGHT($A352,2)),"")</f>
        <v>5</v>
      </c>
      <c r="D352" s="17" t="n">
        <f aca="false">IFERROR(ROUNDUP($C352/3,0),"")</f>
        <v>2</v>
      </c>
      <c r="E352" s="11" t="str">
        <f aca="false">TRIM('수출입 실적(성질별_수출)'!C356)</f>
        <v>카. 기 타</v>
      </c>
      <c r="F352" s="18" t="n">
        <f aca="false">IFERROR(VALUE(SUBSTITUTE(TRIM('수출입 실적(성질별_수출)'!D356),",","")),"")</f>
        <v>372452.8</v>
      </c>
      <c r="G352" s="19" t="n">
        <f aca="false">IFERROR(VALUE(SUBSTITUTE(TRIM('수출입 실적(성질별_수출)'!E356),",","")),"")</f>
        <v>954354</v>
      </c>
    </row>
    <row r="353" customFormat="false" ht="15" hidden="false" customHeight="true" outlineLevel="0" collapsed="false">
      <c r="A353" s="11" t="str">
        <f aca="false">TRIM('수출입 실적(성질별_수출)'!A357)</f>
        <v>2025.05</v>
      </c>
      <c r="B353" s="17" t="n">
        <f aca="false">IFERROR(VALUE(LEFT($A353,4)),"")</f>
        <v>2025</v>
      </c>
      <c r="C353" s="17" t="n">
        <f aca="false">IFERROR(VALUE(RIGHT($A353,2)),"")</f>
        <v>5</v>
      </c>
      <c r="D353" s="17" t="n">
        <f aca="false">IFERROR(ROUNDUP($C353/3,0),"")</f>
        <v>2</v>
      </c>
      <c r="E353" s="11" t="str">
        <f aca="false">TRIM('수출입 실적(성질별_수출)'!C357)</f>
        <v>4. 중화학 공업품</v>
      </c>
      <c r="F353" s="18" t="n">
        <f aca="false">IFERROR(VALUE(SUBSTITUTE(TRIM('수출입 실적(성질별_수출)'!D357),",","")),"")</f>
        <v>8596620.9</v>
      </c>
      <c r="G353" s="19" t="n">
        <f aca="false">IFERROR(VALUE(SUBSTITUTE(TRIM('수출입 실적(성질별_수출)'!E357),",","")),"")</f>
        <v>48790323</v>
      </c>
    </row>
    <row r="354" customFormat="false" ht="15" hidden="false" customHeight="true" outlineLevel="0" collapsed="false">
      <c r="A354" s="11" t="str">
        <f aca="false">TRIM('수출입 실적(성질별_수출)'!A358)</f>
        <v>2025.05</v>
      </c>
      <c r="B354" s="17" t="n">
        <f aca="false">IFERROR(VALUE(LEFT($A354,4)),"")</f>
        <v>2025</v>
      </c>
      <c r="C354" s="17" t="n">
        <f aca="false">IFERROR(VALUE(RIGHT($A354,2)),"")</f>
        <v>5</v>
      </c>
      <c r="D354" s="17" t="n">
        <f aca="false">IFERROR(ROUNDUP($C354/3,0),"")</f>
        <v>2</v>
      </c>
      <c r="E354" s="11" t="str">
        <f aca="false">TRIM('수출입 실적(성질별_수출)'!C358)</f>
        <v>가. 화공품</v>
      </c>
      <c r="F354" s="18" t="n">
        <f aca="false">IFERROR(VALUE(SUBSTITUTE(TRIM('수출입 실적(성질별_수출)'!D358),",","")),"")</f>
        <v>3526161.1</v>
      </c>
      <c r="G354" s="19" t="n">
        <f aca="false">IFERROR(VALUE(SUBSTITUTE(TRIM('수출입 실적(성질별_수출)'!E358),",","")),"")</f>
        <v>6315526</v>
      </c>
    </row>
    <row r="355" customFormat="false" ht="15" hidden="false" customHeight="true" outlineLevel="0" collapsed="false">
      <c r="A355" s="11" t="str">
        <f aca="false">TRIM('수출입 실적(성질별_수출)'!A359)</f>
        <v>2025.05</v>
      </c>
      <c r="B355" s="17" t="n">
        <f aca="false">IFERROR(VALUE(LEFT($A355,4)),"")</f>
        <v>2025</v>
      </c>
      <c r="C355" s="17" t="n">
        <f aca="false">IFERROR(VALUE(RIGHT($A355,2)),"")</f>
        <v>5</v>
      </c>
      <c r="D355" s="17" t="n">
        <f aca="false">IFERROR(ROUNDUP($C355/3,0),"")</f>
        <v>2</v>
      </c>
      <c r="E355" s="11" t="str">
        <f aca="false">TRIM('수출입 실적(성질별_수출)'!C359)</f>
        <v>나. 철강제품</v>
      </c>
      <c r="F355" s="18" t="n">
        <f aca="false">IFERROR(VALUE(SUBSTITUTE(TRIM('수출입 실적(성질별_수출)'!D359),",","")),"")</f>
        <v>2646342.5</v>
      </c>
      <c r="G355" s="19" t="n">
        <f aca="false">IFERROR(VALUE(SUBSTITUTE(TRIM('수출입 실적(성질별_수출)'!E359),",","")),"")</f>
        <v>3789307</v>
      </c>
    </row>
    <row r="356" customFormat="false" ht="15" hidden="false" customHeight="true" outlineLevel="0" collapsed="false">
      <c r="A356" s="11" t="str">
        <f aca="false">TRIM('수출입 실적(성질별_수출)'!A360)</f>
        <v>2025.05</v>
      </c>
      <c r="B356" s="17" t="n">
        <f aca="false">IFERROR(VALUE(LEFT($A356,4)),"")</f>
        <v>2025</v>
      </c>
      <c r="C356" s="17" t="n">
        <f aca="false">IFERROR(VALUE(RIGHT($A356,2)),"")</f>
        <v>5</v>
      </c>
      <c r="D356" s="17" t="n">
        <f aca="false">IFERROR(ROUNDUP($C356/3,0),"")</f>
        <v>2</v>
      </c>
      <c r="E356" s="11" t="str">
        <f aca="false">TRIM('수출입 실적(성질별_수출)'!C360)</f>
        <v>다. 기계류와 정밀기기</v>
      </c>
      <c r="F356" s="18" t="n">
        <f aca="false">IFERROR(VALUE(SUBSTITUTE(TRIM('수출입 실적(성질별_수출)'!D360),",","")),"")</f>
        <v>355412.8</v>
      </c>
      <c r="G356" s="19" t="n">
        <f aca="false">IFERROR(VALUE(SUBSTITUTE(TRIM('수출입 실적(성질별_수출)'!E360),",","")),"")</f>
        <v>5874413</v>
      </c>
    </row>
    <row r="357" customFormat="false" ht="15" hidden="false" customHeight="true" outlineLevel="0" collapsed="false">
      <c r="A357" s="11" t="str">
        <f aca="false">TRIM('수출입 실적(성질별_수출)'!A361)</f>
        <v>2025.05</v>
      </c>
      <c r="B357" s="17" t="n">
        <f aca="false">IFERROR(VALUE(LEFT($A357,4)),"")</f>
        <v>2025</v>
      </c>
      <c r="C357" s="17" t="n">
        <f aca="false">IFERROR(VALUE(RIGHT($A357,2)),"")</f>
        <v>5</v>
      </c>
      <c r="D357" s="17" t="n">
        <f aca="false">IFERROR(ROUNDUP($C357/3,0),"")</f>
        <v>2</v>
      </c>
      <c r="E357" s="11" t="str">
        <f aca="false">TRIM('수출입 실적(성질별_수출)'!C361)</f>
        <v>라. 전기, 전자제품</v>
      </c>
      <c r="F357" s="18" t="n">
        <f aca="false">IFERROR(VALUE(SUBSTITUTE(TRIM('수출입 실적(성질별_수출)'!D361),",","")),"")</f>
        <v>221951.9</v>
      </c>
      <c r="G357" s="19" t="n">
        <f aca="false">IFERROR(VALUE(SUBSTITUTE(TRIM('수출입 실적(성질별_수출)'!E361),",","")),"")</f>
        <v>20664289</v>
      </c>
    </row>
    <row r="358" customFormat="false" ht="15" hidden="false" customHeight="true" outlineLevel="0" collapsed="false">
      <c r="A358" s="11" t="str">
        <f aca="false">TRIM('수출입 실적(성질별_수출)'!A362)</f>
        <v>2025.05</v>
      </c>
      <c r="B358" s="17" t="n">
        <f aca="false">IFERROR(VALUE(LEFT($A358,4)),"")</f>
        <v>2025</v>
      </c>
      <c r="C358" s="17" t="n">
        <f aca="false">IFERROR(VALUE(RIGHT($A358,2)),"")</f>
        <v>5</v>
      </c>
      <c r="D358" s="17" t="n">
        <f aca="false">IFERROR(ROUNDUP($C358/3,0),"")</f>
        <v>2</v>
      </c>
      <c r="E358" s="11" t="str">
        <f aca="false">TRIM('수출입 실적(성질별_수출)'!C362)</f>
        <v>마. 수송장비</v>
      </c>
      <c r="F358" s="18" t="n">
        <f aca="false">IFERROR(VALUE(SUBSTITUTE(TRIM('수출입 실적(성질별_수출)'!D362),",","")),"")</f>
        <v>1777846.2</v>
      </c>
      <c r="G358" s="19" t="n">
        <f aca="false">IFERROR(VALUE(SUBSTITUTE(TRIM('수출입 실적(성질별_수출)'!E362),",","")),"")</f>
        <v>10376891</v>
      </c>
    </row>
    <row r="359" customFormat="false" ht="15" hidden="false" customHeight="true" outlineLevel="0" collapsed="false">
      <c r="A359" s="11" t="str">
        <f aca="false">TRIM('수출입 실적(성질별_수출)'!A363)</f>
        <v>2025.05</v>
      </c>
      <c r="B359" s="17" t="n">
        <f aca="false">IFERROR(VALUE(LEFT($A359,4)),"")</f>
        <v>2025</v>
      </c>
      <c r="C359" s="17" t="n">
        <f aca="false">IFERROR(VALUE(RIGHT($A359,2)),"")</f>
        <v>5</v>
      </c>
      <c r="D359" s="17" t="n">
        <f aca="false">IFERROR(ROUNDUP($C359/3,0),"")</f>
        <v>2</v>
      </c>
      <c r="E359" s="11" t="str">
        <f aca="false">TRIM('수출입 실적(성질별_수출)'!C363)</f>
        <v>바. 기 타</v>
      </c>
      <c r="F359" s="18" t="n">
        <f aca="false">IFERROR(VALUE(SUBSTITUTE(TRIM('수출입 실적(성질별_수출)'!D363),",","")),"")</f>
        <v>68906.4</v>
      </c>
      <c r="G359" s="19" t="n">
        <f aca="false">IFERROR(VALUE(SUBSTITUTE(TRIM('수출입 실적(성질별_수출)'!E363),",","")),"")</f>
        <v>1769896</v>
      </c>
    </row>
    <row r="360" customFormat="false" ht="15" hidden="false" customHeight="true" outlineLevel="0" collapsed="false">
      <c r="A360" s="11" t="str">
        <f aca="false">TRIM('수출입 실적(성질별_수출)'!A364)</f>
        <v>2025.06</v>
      </c>
      <c r="B360" s="17" t="n">
        <f aca="false">IFERROR(VALUE(LEFT($A360,4)),"")</f>
        <v>2025</v>
      </c>
      <c r="C360" s="17" t="n">
        <f aca="false">IFERROR(VALUE(RIGHT($A360,2)),"")</f>
        <v>6</v>
      </c>
      <c r="D360" s="17" t="n">
        <f aca="false">IFERROR(ROUNDUP($C360/3,0),"")</f>
        <v>2</v>
      </c>
      <c r="E360" s="11" t="str">
        <f aca="false">TRIM('수출입 실적(성질별_수출)'!C364)</f>
        <v>1. 식료 및 직접소비재</v>
      </c>
      <c r="F360" s="18" t="n">
        <f aca="false">IFERROR(VALUE(SUBSTITUTE(TRIM('수출입 실적(성질별_수출)'!D364),",","")),"")</f>
        <v>340172</v>
      </c>
      <c r="G360" s="19" t="n">
        <f aca="false">IFERROR(VALUE(SUBSTITUTE(TRIM('수출입 실적(성질별_수출)'!E364),",","")),"")</f>
        <v>992676</v>
      </c>
    </row>
    <row r="361" customFormat="false" ht="15" hidden="false" customHeight="true" outlineLevel="0" collapsed="false">
      <c r="A361" s="11" t="str">
        <f aca="false">TRIM('수출입 실적(성질별_수출)'!A365)</f>
        <v>2025.06</v>
      </c>
      <c r="B361" s="17" t="n">
        <f aca="false">IFERROR(VALUE(LEFT($A361,4)),"")</f>
        <v>2025</v>
      </c>
      <c r="C361" s="17" t="n">
        <f aca="false">IFERROR(VALUE(RIGHT($A361,2)),"")</f>
        <v>6</v>
      </c>
      <c r="D361" s="17" t="n">
        <f aca="false">IFERROR(ROUNDUP($C361/3,0),"")</f>
        <v>2</v>
      </c>
      <c r="E361" s="11" t="str">
        <f aca="false">TRIM('수출입 실적(성질별_수출)'!C365)</f>
        <v>2. 원료 및 연료</v>
      </c>
      <c r="F361" s="18" t="n">
        <f aca="false">IFERROR(VALUE(SUBSTITUTE(TRIM('수출입 실적(성질별_수출)'!D365),",","")),"")</f>
        <v>6467676.8</v>
      </c>
      <c r="G361" s="19" t="n">
        <f aca="false">IFERROR(VALUE(SUBSTITUTE(TRIM('수출입 실적(성질별_수출)'!E365),",","")),"")</f>
        <v>4633952</v>
      </c>
    </row>
    <row r="362" customFormat="false" ht="15" hidden="false" customHeight="true" outlineLevel="0" collapsed="false">
      <c r="A362" s="11" t="str">
        <f aca="false">TRIM('수출입 실적(성질별_수출)'!A366)</f>
        <v>2025.06</v>
      </c>
      <c r="B362" s="17" t="n">
        <f aca="false">IFERROR(VALUE(LEFT($A362,4)),"")</f>
        <v>2025</v>
      </c>
      <c r="C362" s="17" t="n">
        <f aca="false">IFERROR(VALUE(RIGHT($A362,2)),"")</f>
        <v>6</v>
      </c>
      <c r="D362" s="17" t="n">
        <f aca="false">IFERROR(ROUNDUP($C362/3,0),"")</f>
        <v>2</v>
      </c>
      <c r="E362" s="11" t="str">
        <f aca="false">TRIM('수출입 실적(성질별_수출)'!C366)</f>
        <v>3. 경공업품</v>
      </c>
      <c r="F362" s="18" t="n">
        <f aca="false">IFERROR(VALUE(SUBSTITUTE(TRIM('수출입 실적(성질별_수출)'!D366),",","")),"")</f>
        <v>865404.2</v>
      </c>
      <c r="G362" s="19" t="n">
        <f aca="false">IFERROR(VALUE(SUBSTITUTE(TRIM('수출입 실적(성질별_수출)'!E366),",","")),"")</f>
        <v>2963407</v>
      </c>
    </row>
    <row r="363" customFormat="false" ht="15" hidden="false" customHeight="true" outlineLevel="0" collapsed="false">
      <c r="A363" s="11" t="str">
        <f aca="false">TRIM('수출입 실적(성질별_수출)'!A367)</f>
        <v>2025.06</v>
      </c>
      <c r="B363" s="17" t="n">
        <f aca="false">IFERROR(VALUE(LEFT($A363,4)),"")</f>
        <v>2025</v>
      </c>
      <c r="C363" s="17" t="n">
        <f aca="false">IFERROR(VALUE(RIGHT($A363,2)),"")</f>
        <v>6</v>
      </c>
      <c r="D363" s="17" t="n">
        <f aca="false">IFERROR(ROUNDUP($C363/3,0),"")</f>
        <v>2</v>
      </c>
      <c r="E363" s="11" t="str">
        <f aca="false">TRIM('수출입 실적(성질별_수출)'!C367)</f>
        <v>가. 섬유원료</v>
      </c>
      <c r="F363" s="18" t="n">
        <f aca="false">IFERROR(VALUE(SUBSTITUTE(TRIM('수출입 실적(성질별_수출)'!D367),",","")),"")</f>
        <v>43698.8</v>
      </c>
      <c r="G363" s="19" t="n">
        <f aca="false">IFERROR(VALUE(SUBSTITUTE(TRIM('수출입 실적(성질별_수출)'!E367),",","")),"")</f>
        <v>69428</v>
      </c>
    </row>
    <row r="364" customFormat="false" ht="15" hidden="false" customHeight="true" outlineLevel="0" collapsed="false">
      <c r="A364" s="11" t="str">
        <f aca="false">TRIM('수출입 실적(성질별_수출)'!A368)</f>
        <v>2025.06</v>
      </c>
      <c r="B364" s="17" t="n">
        <f aca="false">IFERROR(VALUE(LEFT($A364,4)),"")</f>
        <v>2025</v>
      </c>
      <c r="C364" s="17" t="n">
        <f aca="false">IFERROR(VALUE(RIGHT($A364,2)),"")</f>
        <v>6</v>
      </c>
      <c r="D364" s="17" t="n">
        <f aca="false">IFERROR(ROUNDUP($C364/3,0),"")</f>
        <v>2</v>
      </c>
      <c r="E364" s="11" t="str">
        <f aca="false">TRIM('수출입 실적(성질별_수출)'!C368)</f>
        <v>나. 섬유사</v>
      </c>
      <c r="F364" s="18" t="n">
        <f aca="false">IFERROR(VALUE(SUBSTITUTE(TRIM('수출입 실적(성질별_수출)'!D368),",","")),"")</f>
        <v>16257.4</v>
      </c>
      <c r="G364" s="19" t="n">
        <f aca="false">IFERROR(VALUE(SUBSTITUTE(TRIM('수출입 실적(성질별_수출)'!E368),",","")),"")</f>
        <v>61158</v>
      </c>
    </row>
    <row r="365" customFormat="false" ht="15" hidden="false" customHeight="true" outlineLevel="0" collapsed="false">
      <c r="A365" s="11" t="str">
        <f aca="false">TRIM('수출입 실적(성질별_수출)'!A369)</f>
        <v>2025.06</v>
      </c>
      <c r="B365" s="17" t="n">
        <f aca="false">IFERROR(VALUE(LEFT($A365,4)),"")</f>
        <v>2025</v>
      </c>
      <c r="C365" s="17" t="n">
        <f aca="false">IFERROR(VALUE(RIGHT($A365,2)),"")</f>
        <v>6</v>
      </c>
      <c r="D365" s="17" t="n">
        <f aca="false">IFERROR(ROUNDUP($C365/3,0),"")</f>
        <v>2</v>
      </c>
      <c r="E365" s="11" t="str">
        <f aca="false">TRIM('수출입 실적(성질별_수출)'!C369)</f>
        <v>다. 직 물</v>
      </c>
      <c r="F365" s="18" t="n">
        <f aca="false">IFERROR(VALUE(SUBSTITUTE(TRIM('수출입 실적(성질별_수출)'!D369),",","")),"")</f>
        <v>27729.1</v>
      </c>
      <c r="G365" s="19" t="n">
        <f aca="false">IFERROR(VALUE(SUBSTITUTE(TRIM('수출입 실적(성질별_수출)'!E369),",","")),"")</f>
        <v>267923</v>
      </c>
    </row>
    <row r="366" customFormat="false" ht="15" hidden="false" customHeight="true" outlineLevel="0" collapsed="false">
      <c r="A366" s="11" t="str">
        <f aca="false">TRIM('수출입 실적(성질별_수출)'!A370)</f>
        <v>2025.06</v>
      </c>
      <c r="B366" s="17" t="n">
        <f aca="false">IFERROR(VALUE(LEFT($A366,4)),"")</f>
        <v>2025</v>
      </c>
      <c r="C366" s="17" t="n">
        <f aca="false">IFERROR(VALUE(RIGHT($A366,2)),"")</f>
        <v>6</v>
      </c>
      <c r="D366" s="17" t="n">
        <f aca="false">IFERROR(ROUNDUP($C366/3,0),"")</f>
        <v>2</v>
      </c>
      <c r="E366" s="11" t="str">
        <f aca="false">TRIM('수출입 실적(성질별_수출)'!C370)</f>
        <v>라. 기타 섬유제품</v>
      </c>
      <c r="F366" s="18" t="n">
        <f aca="false">IFERROR(VALUE(SUBSTITUTE(TRIM('수출입 실적(성질별_수출)'!D370),",","")),"")</f>
        <v>22464.5</v>
      </c>
      <c r="G366" s="19" t="n">
        <f aca="false">IFERROR(VALUE(SUBSTITUTE(TRIM('수출입 실적(성질별_수출)'!E370),",","")),"")</f>
        <v>183363</v>
      </c>
    </row>
    <row r="367" customFormat="false" ht="15" hidden="false" customHeight="true" outlineLevel="0" collapsed="false">
      <c r="A367" s="11" t="str">
        <f aca="false">TRIM('수출입 실적(성질별_수출)'!A371)</f>
        <v>2025.06</v>
      </c>
      <c r="B367" s="17" t="n">
        <f aca="false">IFERROR(VALUE(LEFT($A367,4)),"")</f>
        <v>2025</v>
      </c>
      <c r="C367" s="17" t="n">
        <f aca="false">IFERROR(VALUE(RIGHT($A367,2)),"")</f>
        <v>6</v>
      </c>
      <c r="D367" s="17" t="n">
        <f aca="false">IFERROR(ROUNDUP($C367/3,0),"")</f>
        <v>2</v>
      </c>
      <c r="E367" s="11" t="str">
        <f aca="false">TRIM('수출입 실적(성질별_수출)'!C371)</f>
        <v>마. 의 류</v>
      </c>
      <c r="F367" s="18" t="n">
        <f aca="false">IFERROR(VALUE(SUBSTITUTE(TRIM('수출입 실적(성질별_수출)'!D371),",","")),"")</f>
        <v>5713.1</v>
      </c>
      <c r="G367" s="19" t="n">
        <f aca="false">IFERROR(VALUE(SUBSTITUTE(TRIM('수출입 실적(성질별_수출)'!E371),",","")),"")</f>
        <v>161652</v>
      </c>
    </row>
    <row r="368" customFormat="false" ht="15" hidden="false" customHeight="true" outlineLevel="0" collapsed="false">
      <c r="A368" s="11" t="str">
        <f aca="false">TRIM('수출입 실적(성질별_수출)'!A372)</f>
        <v>2025.06</v>
      </c>
      <c r="B368" s="17" t="n">
        <f aca="false">IFERROR(VALUE(LEFT($A368,4)),"")</f>
        <v>2025</v>
      </c>
      <c r="C368" s="17" t="n">
        <f aca="false">IFERROR(VALUE(RIGHT($A368,2)),"")</f>
        <v>6</v>
      </c>
      <c r="D368" s="17" t="n">
        <f aca="false">IFERROR(ROUNDUP($C368/3,0),"")</f>
        <v>2</v>
      </c>
      <c r="E368" s="11" t="str">
        <f aca="false">TRIM('수출입 실적(성질별_수출)'!C372)</f>
        <v>바. 목제품</v>
      </c>
      <c r="F368" s="18" t="n">
        <f aca="false">IFERROR(VALUE(SUBSTITUTE(TRIM('수출입 실적(성질별_수출)'!D372),",","")),"")</f>
        <v>16587.5</v>
      </c>
      <c r="G368" s="19" t="n">
        <f aca="false">IFERROR(VALUE(SUBSTITUTE(TRIM('수출입 실적(성질별_수출)'!E372),",","")),"")</f>
        <v>95539</v>
      </c>
    </row>
    <row r="369" customFormat="false" ht="15" hidden="false" customHeight="true" outlineLevel="0" collapsed="false">
      <c r="A369" s="11" t="str">
        <f aca="false">TRIM('수출입 실적(성질별_수출)'!A373)</f>
        <v>2025.06</v>
      </c>
      <c r="B369" s="17" t="n">
        <f aca="false">IFERROR(VALUE(LEFT($A369,4)),"")</f>
        <v>2025</v>
      </c>
      <c r="C369" s="17" t="n">
        <f aca="false">IFERROR(VALUE(RIGHT($A369,2)),"")</f>
        <v>6</v>
      </c>
      <c r="D369" s="17" t="n">
        <f aca="false">IFERROR(ROUNDUP($C369/3,0),"")</f>
        <v>2</v>
      </c>
      <c r="E369" s="11" t="str">
        <f aca="false">TRIM('수출입 실적(성질별_수출)'!C373)</f>
        <v>사. 가죽, 고무 및 신발류</v>
      </c>
      <c r="F369" s="18" t="n">
        <f aca="false">IFERROR(VALUE(SUBSTITUTE(TRIM('수출입 실적(성질별_수출)'!D373),",","")),"")</f>
        <v>74856.6</v>
      </c>
      <c r="G369" s="19" t="n">
        <f aca="false">IFERROR(VALUE(SUBSTITUTE(TRIM('수출입 실적(성질별_수출)'!E373),",","")),"")</f>
        <v>424242</v>
      </c>
    </row>
    <row r="370" customFormat="false" ht="15" hidden="false" customHeight="true" outlineLevel="0" collapsed="false">
      <c r="A370" s="11" t="str">
        <f aca="false">TRIM('수출입 실적(성질별_수출)'!A374)</f>
        <v>2025.06</v>
      </c>
      <c r="B370" s="17" t="n">
        <f aca="false">IFERROR(VALUE(LEFT($A370,4)),"")</f>
        <v>2025</v>
      </c>
      <c r="C370" s="17" t="n">
        <f aca="false">IFERROR(VALUE(RIGHT($A370,2)),"")</f>
        <v>6</v>
      </c>
      <c r="D370" s="17" t="n">
        <f aca="false">IFERROR(ROUNDUP($C370/3,0),"")</f>
        <v>2</v>
      </c>
      <c r="E370" s="11" t="str">
        <f aca="false">TRIM('수출입 실적(성질별_수출)'!C374)</f>
        <v>아. 귀금속 및 보석류</v>
      </c>
      <c r="F370" s="18" t="n">
        <f aca="false">IFERROR(VALUE(SUBSTITUTE(TRIM('수출입 실적(성질별_수출)'!D374),",","")),"")</f>
        <v>324.5</v>
      </c>
      <c r="G370" s="19" t="n">
        <f aca="false">IFERROR(VALUE(SUBSTITUTE(TRIM('수출입 실적(성질별_수출)'!E374),",","")),"")</f>
        <v>535201</v>
      </c>
    </row>
    <row r="371" customFormat="false" ht="15" hidden="false" customHeight="true" outlineLevel="0" collapsed="false">
      <c r="A371" s="11" t="str">
        <f aca="false">TRIM('수출입 실적(성질별_수출)'!A375)</f>
        <v>2025.06</v>
      </c>
      <c r="B371" s="17" t="n">
        <f aca="false">IFERROR(VALUE(LEFT($A371,4)),"")</f>
        <v>2025</v>
      </c>
      <c r="C371" s="17" t="n">
        <f aca="false">IFERROR(VALUE(RIGHT($A371,2)),"")</f>
        <v>6</v>
      </c>
      <c r="D371" s="17" t="n">
        <f aca="false">IFERROR(ROUNDUP($C371/3,0),"")</f>
        <v>2</v>
      </c>
      <c r="E371" s="11" t="str">
        <f aca="false">TRIM('수출입 실적(성질별_수출)'!C375)</f>
        <v>자. 기타 비금속 광물제품</v>
      </c>
      <c r="F371" s="18" t="n">
        <f aca="false">IFERROR(VALUE(SUBSTITUTE(TRIM('수출입 실적(성질별_수출)'!D375),",","")),"")</f>
        <v>309634.6</v>
      </c>
      <c r="G371" s="19" t="n">
        <f aca="false">IFERROR(VALUE(SUBSTITUTE(TRIM('수출입 실적(성질별_수출)'!E375),",","")),"")</f>
        <v>202554</v>
      </c>
    </row>
    <row r="372" customFormat="false" ht="15" hidden="false" customHeight="true" outlineLevel="0" collapsed="false">
      <c r="A372" s="11" t="str">
        <f aca="false">TRIM('수출입 실적(성질별_수출)'!A376)</f>
        <v>2025.06</v>
      </c>
      <c r="B372" s="17" t="n">
        <f aca="false">IFERROR(VALUE(LEFT($A372,4)),"")</f>
        <v>2025</v>
      </c>
      <c r="C372" s="17" t="n">
        <f aca="false">IFERROR(VALUE(RIGHT($A372,2)),"")</f>
        <v>6</v>
      </c>
      <c r="D372" s="17" t="n">
        <f aca="false">IFERROR(ROUNDUP($C372/3,0),"")</f>
        <v>2</v>
      </c>
      <c r="E372" s="11" t="str">
        <f aca="false">TRIM('수출입 실적(성질별_수출)'!C376)</f>
        <v>차. 완구, 운동용구 및 악기</v>
      </c>
      <c r="F372" s="18" t="n">
        <f aca="false">IFERROR(VALUE(SUBSTITUTE(TRIM('수출입 실적(성질별_수출)'!D376),",","")),"")</f>
        <v>2487.4</v>
      </c>
      <c r="G372" s="19" t="n">
        <f aca="false">IFERROR(VALUE(SUBSTITUTE(TRIM('수출입 실적(성질별_수출)'!E376),",","")),"")</f>
        <v>56899</v>
      </c>
    </row>
    <row r="373" customFormat="false" ht="15" hidden="false" customHeight="true" outlineLevel="0" collapsed="false">
      <c r="A373" s="11" t="str">
        <f aca="false">TRIM('수출입 실적(성질별_수출)'!A377)</f>
        <v>2025.06</v>
      </c>
      <c r="B373" s="17" t="n">
        <f aca="false">IFERROR(VALUE(LEFT($A373,4)),"")</f>
        <v>2025</v>
      </c>
      <c r="C373" s="17" t="n">
        <f aca="false">IFERROR(VALUE(RIGHT($A373,2)),"")</f>
        <v>6</v>
      </c>
      <c r="D373" s="17" t="n">
        <f aca="false">IFERROR(ROUNDUP($C373/3,0),"")</f>
        <v>2</v>
      </c>
      <c r="E373" s="11" t="str">
        <f aca="false">TRIM('수출입 실적(성질별_수출)'!C377)</f>
        <v>카. 기 타</v>
      </c>
      <c r="F373" s="18" t="n">
        <f aca="false">IFERROR(VALUE(SUBSTITUTE(TRIM('수출입 실적(성질별_수출)'!D377),",","")),"")</f>
        <v>345650.8</v>
      </c>
      <c r="G373" s="19" t="n">
        <f aca="false">IFERROR(VALUE(SUBSTITUTE(TRIM('수출입 실적(성질별_수출)'!E377),",","")),"")</f>
        <v>905447</v>
      </c>
    </row>
    <row r="374" customFormat="false" ht="15" hidden="false" customHeight="true" outlineLevel="0" collapsed="false">
      <c r="A374" s="11" t="str">
        <f aca="false">TRIM('수출입 실적(성질별_수출)'!A378)</f>
        <v>2025.06</v>
      </c>
      <c r="B374" s="17" t="n">
        <f aca="false">IFERROR(VALUE(LEFT($A374,4)),"")</f>
        <v>2025</v>
      </c>
      <c r="C374" s="17" t="n">
        <f aca="false">IFERROR(VALUE(RIGHT($A374,2)),"")</f>
        <v>6</v>
      </c>
      <c r="D374" s="17" t="n">
        <f aca="false">IFERROR(ROUNDUP($C374/3,0),"")</f>
        <v>2</v>
      </c>
      <c r="E374" s="11" t="str">
        <f aca="false">TRIM('수출입 실적(성질별_수출)'!C378)</f>
        <v>4. 중화학 공업품</v>
      </c>
      <c r="F374" s="18" t="n">
        <f aca="false">IFERROR(VALUE(SUBSTITUTE(TRIM('수출입 실적(성질별_수출)'!D378),",","")),"")</f>
        <v>8547904.1</v>
      </c>
      <c r="G374" s="19" t="n">
        <f aca="false">IFERROR(VALUE(SUBSTITUTE(TRIM('수출입 실적(성질별_수출)'!E378),",","")),"")</f>
        <v>51243762</v>
      </c>
    </row>
    <row r="375" customFormat="false" ht="15" hidden="false" customHeight="true" outlineLevel="0" collapsed="false">
      <c r="A375" s="11" t="str">
        <f aca="false">TRIM('수출입 실적(성질별_수출)'!A379)</f>
        <v>2025.06</v>
      </c>
      <c r="B375" s="17" t="n">
        <f aca="false">IFERROR(VALUE(LEFT($A375,4)),"")</f>
        <v>2025</v>
      </c>
      <c r="C375" s="17" t="n">
        <f aca="false">IFERROR(VALUE(RIGHT($A375,2)),"")</f>
        <v>6</v>
      </c>
      <c r="D375" s="17" t="n">
        <f aca="false">IFERROR(ROUNDUP($C375/3,0),"")</f>
        <v>2</v>
      </c>
      <c r="E375" s="11" t="str">
        <f aca="false">TRIM('수출입 실적(성질별_수출)'!C379)</f>
        <v>가. 화공품</v>
      </c>
      <c r="F375" s="18" t="n">
        <f aca="false">IFERROR(VALUE(SUBSTITUTE(TRIM('수출입 실적(성질별_수출)'!D379),",","")),"")</f>
        <v>3705969.5</v>
      </c>
      <c r="G375" s="19" t="n">
        <f aca="false">IFERROR(VALUE(SUBSTITUTE(TRIM('수출입 실적(성질별_수출)'!E379),",","")),"")</f>
        <v>6649574</v>
      </c>
    </row>
    <row r="376" customFormat="false" ht="15" hidden="false" customHeight="true" outlineLevel="0" collapsed="false">
      <c r="A376" s="11" t="str">
        <f aca="false">TRIM('수출입 실적(성질별_수출)'!A380)</f>
        <v>2025.06</v>
      </c>
      <c r="B376" s="17" t="n">
        <f aca="false">IFERROR(VALUE(LEFT($A376,4)),"")</f>
        <v>2025</v>
      </c>
      <c r="C376" s="17" t="n">
        <f aca="false">IFERROR(VALUE(RIGHT($A376,2)),"")</f>
        <v>6</v>
      </c>
      <c r="D376" s="17" t="n">
        <f aca="false">IFERROR(ROUNDUP($C376/3,0),"")</f>
        <v>2</v>
      </c>
      <c r="E376" s="11" t="str">
        <f aca="false">TRIM('수출입 실적(성질별_수출)'!C380)</f>
        <v>나. 철강제품</v>
      </c>
      <c r="F376" s="18" t="n">
        <f aca="false">IFERROR(VALUE(SUBSTITUTE(TRIM('수출입 실적(성질별_수출)'!D380),",","")),"")</f>
        <v>2433009.3</v>
      </c>
      <c r="G376" s="19" t="n">
        <f aca="false">IFERROR(VALUE(SUBSTITUTE(TRIM('수출입 실적(성질별_수출)'!E380),",","")),"")</f>
        <v>3694192</v>
      </c>
    </row>
    <row r="377" customFormat="false" ht="15" hidden="false" customHeight="true" outlineLevel="0" collapsed="false">
      <c r="A377" s="11" t="str">
        <f aca="false">TRIM('수출입 실적(성질별_수출)'!A381)</f>
        <v>2025.06</v>
      </c>
      <c r="B377" s="17" t="n">
        <f aca="false">IFERROR(VALUE(LEFT($A377,4)),"")</f>
        <v>2025</v>
      </c>
      <c r="C377" s="17" t="n">
        <f aca="false">IFERROR(VALUE(RIGHT($A377,2)),"")</f>
        <v>6</v>
      </c>
      <c r="D377" s="17" t="n">
        <f aca="false">IFERROR(ROUNDUP($C377/3,0),"")</f>
        <v>2</v>
      </c>
      <c r="E377" s="11" t="str">
        <f aca="false">TRIM('수출입 실적(성질별_수출)'!C381)</f>
        <v>다. 기계류와 정밀기기</v>
      </c>
      <c r="F377" s="18" t="n">
        <f aca="false">IFERROR(VALUE(SUBSTITUTE(TRIM('수출입 실적(성질별_수출)'!D381),",","")),"")</f>
        <v>345911.4</v>
      </c>
      <c r="G377" s="19" t="n">
        <f aca="false">IFERROR(VALUE(SUBSTITUTE(TRIM('수출입 실적(성질별_수출)'!E381),",","")),"")</f>
        <v>6030989</v>
      </c>
    </row>
    <row r="378" customFormat="false" ht="15" hidden="false" customHeight="true" outlineLevel="0" collapsed="false">
      <c r="A378" s="11" t="str">
        <f aca="false">TRIM('수출입 실적(성질별_수출)'!A382)</f>
        <v>2025.06</v>
      </c>
      <c r="B378" s="17" t="n">
        <f aca="false">IFERROR(VALUE(LEFT($A378,4)),"")</f>
        <v>2025</v>
      </c>
      <c r="C378" s="17" t="n">
        <f aca="false">IFERROR(VALUE(RIGHT($A378,2)),"")</f>
        <v>6</v>
      </c>
      <c r="D378" s="17" t="n">
        <f aca="false">IFERROR(ROUNDUP($C378/3,0),"")</f>
        <v>2</v>
      </c>
      <c r="E378" s="11" t="str">
        <f aca="false">TRIM('수출입 실적(성질별_수출)'!C382)</f>
        <v>라. 전기, 전자제품</v>
      </c>
      <c r="F378" s="18" t="n">
        <f aca="false">IFERROR(VALUE(SUBSTITUTE(TRIM('수출입 실적(성질별_수출)'!D382),",","")),"")</f>
        <v>236396.7</v>
      </c>
      <c r="G378" s="19" t="n">
        <f aca="false">IFERROR(VALUE(SUBSTITUTE(TRIM('수출입 실적(성질별_수출)'!E382),",","")),"")</f>
        <v>21960767</v>
      </c>
    </row>
    <row r="379" customFormat="false" ht="15" hidden="false" customHeight="true" outlineLevel="0" collapsed="false">
      <c r="A379" s="11" t="str">
        <f aca="false">TRIM('수출입 실적(성질별_수출)'!A383)</f>
        <v>2025.06</v>
      </c>
      <c r="B379" s="17" t="n">
        <f aca="false">IFERROR(VALUE(LEFT($A379,4)),"")</f>
        <v>2025</v>
      </c>
      <c r="C379" s="17" t="n">
        <f aca="false">IFERROR(VALUE(RIGHT($A379,2)),"")</f>
        <v>6</v>
      </c>
      <c r="D379" s="17" t="n">
        <f aca="false">IFERROR(ROUNDUP($C379/3,0),"")</f>
        <v>2</v>
      </c>
      <c r="E379" s="11" t="str">
        <f aca="false">TRIM('수출입 실적(성질별_수출)'!C383)</f>
        <v>마. 수송장비</v>
      </c>
      <c r="F379" s="18" t="n">
        <f aca="false">IFERROR(VALUE(SUBSTITUTE(TRIM('수출입 실적(성질별_수출)'!D383),",","")),"")</f>
        <v>1754145.2</v>
      </c>
      <c r="G379" s="19" t="n">
        <f aca="false">IFERROR(VALUE(SUBSTITUTE(TRIM('수출입 실적(성질별_수출)'!E383),",","")),"")</f>
        <v>10712362</v>
      </c>
    </row>
    <row r="380" customFormat="false" ht="15" hidden="false" customHeight="true" outlineLevel="0" collapsed="false">
      <c r="A380" s="11" t="str">
        <f aca="false">TRIM('수출입 실적(성질별_수출)'!A384)</f>
        <v>2025.06</v>
      </c>
      <c r="B380" s="17" t="n">
        <f aca="false">IFERROR(VALUE(LEFT($A380,4)),"")</f>
        <v>2025</v>
      </c>
      <c r="C380" s="17" t="n">
        <f aca="false">IFERROR(VALUE(RIGHT($A380,2)),"")</f>
        <v>6</v>
      </c>
      <c r="D380" s="17" t="n">
        <f aca="false">IFERROR(ROUNDUP($C380/3,0),"")</f>
        <v>2</v>
      </c>
      <c r="E380" s="11" t="str">
        <f aca="false">TRIM('수출입 실적(성질별_수출)'!C384)</f>
        <v>바. 기 타</v>
      </c>
      <c r="F380" s="18" t="n">
        <f aca="false">IFERROR(VALUE(SUBSTITUTE(TRIM('수출입 실적(성질별_수출)'!D384),",","")),"")</f>
        <v>72472</v>
      </c>
      <c r="G380" s="19" t="n">
        <f aca="false">IFERROR(VALUE(SUBSTITUTE(TRIM('수출입 실적(성질별_수출)'!E384),",","")),"")</f>
        <v>2195878</v>
      </c>
    </row>
    <row r="381" customFormat="false" ht="15" hidden="false" customHeight="true" outlineLevel="0" collapsed="false">
      <c r="A381" s="11" t="str">
        <f aca="false">TRIM('수출입 실적(성질별_수출)'!A385)</f>
        <v>2025.07</v>
      </c>
      <c r="B381" s="17" t="n">
        <f aca="false">IFERROR(VALUE(LEFT($A381,4)),"")</f>
        <v>2025</v>
      </c>
      <c r="C381" s="17" t="n">
        <f aca="false">IFERROR(VALUE(RIGHT($A381,2)),"")</f>
        <v>7</v>
      </c>
      <c r="D381" s="17" t="n">
        <f aca="false">IFERROR(ROUNDUP($C381/3,0),"")</f>
        <v>3</v>
      </c>
      <c r="E381" s="11" t="str">
        <f aca="false">TRIM('수출입 실적(성질별_수출)'!C385)</f>
        <v>1. 식료 및 직접소비재</v>
      </c>
      <c r="F381" s="18" t="n">
        <f aca="false">IFERROR(VALUE(SUBSTITUTE(TRIM('수출입 실적(성질별_수출)'!D385),",","")),"")</f>
        <v>364758.4</v>
      </c>
      <c r="G381" s="19" t="n">
        <f aca="false">IFERROR(VALUE(SUBSTITUTE(TRIM('수출입 실적(성질별_수출)'!E385),",","")),"")</f>
        <v>1054480</v>
      </c>
    </row>
    <row r="382" customFormat="false" ht="15" hidden="false" customHeight="true" outlineLevel="0" collapsed="false">
      <c r="A382" s="11" t="str">
        <f aca="false">TRIM('수출입 실적(성질별_수출)'!A386)</f>
        <v>2025.07</v>
      </c>
      <c r="B382" s="17" t="n">
        <f aca="false">IFERROR(VALUE(LEFT($A382,4)),"")</f>
        <v>2025</v>
      </c>
      <c r="C382" s="17" t="n">
        <f aca="false">IFERROR(VALUE(RIGHT($A382,2)),"")</f>
        <v>7</v>
      </c>
      <c r="D382" s="17" t="n">
        <f aca="false">IFERROR(ROUNDUP($C382/3,0),"")</f>
        <v>3</v>
      </c>
      <c r="E382" s="11" t="str">
        <f aca="false">TRIM('수출입 실적(성질별_수출)'!C386)</f>
        <v>2. 원료 및 연료</v>
      </c>
      <c r="F382" s="18" t="n">
        <f aca="false">IFERROR(VALUE(SUBSTITUTE(TRIM('수출입 실적(성질별_수출)'!D386),",","")),"")</f>
        <v>7025246.5</v>
      </c>
      <c r="G382" s="19" t="n">
        <f aca="false">IFERROR(VALUE(SUBSTITUTE(TRIM('수출입 실적(성질별_수출)'!E386),",","")),"")</f>
        <v>5238632</v>
      </c>
    </row>
    <row r="383" customFormat="false" ht="15" hidden="false" customHeight="true" outlineLevel="0" collapsed="false">
      <c r="A383" s="11" t="str">
        <f aca="false">TRIM('수출입 실적(성질별_수출)'!A387)</f>
        <v>2025.07</v>
      </c>
      <c r="B383" s="17" t="n">
        <f aca="false">IFERROR(VALUE(LEFT($A383,4)),"")</f>
        <v>2025</v>
      </c>
      <c r="C383" s="17" t="n">
        <f aca="false">IFERROR(VALUE(RIGHT($A383,2)),"")</f>
        <v>7</v>
      </c>
      <c r="D383" s="17" t="n">
        <f aca="false">IFERROR(ROUNDUP($C383/3,0),"")</f>
        <v>3</v>
      </c>
      <c r="E383" s="11" t="str">
        <f aca="false">TRIM('수출입 실적(성질별_수출)'!C387)</f>
        <v>3. 경공업품</v>
      </c>
      <c r="F383" s="18" t="n">
        <f aca="false">IFERROR(VALUE(SUBSTITUTE(TRIM('수출입 실적(성질별_수출)'!D387),",","")),"")</f>
        <v>1037978.6</v>
      </c>
      <c r="G383" s="19" t="n">
        <f aca="false">IFERROR(VALUE(SUBSTITUTE(TRIM('수출입 실적(성질별_수출)'!E387),",","")),"")</f>
        <v>3056603</v>
      </c>
    </row>
    <row r="384" customFormat="false" ht="15" hidden="false" customHeight="true" outlineLevel="0" collapsed="false">
      <c r="A384" s="11" t="str">
        <f aca="false">TRIM('수출입 실적(성질별_수출)'!A388)</f>
        <v>2025.07</v>
      </c>
      <c r="B384" s="17" t="n">
        <f aca="false">IFERROR(VALUE(LEFT($A384,4)),"")</f>
        <v>2025</v>
      </c>
      <c r="C384" s="17" t="n">
        <f aca="false">IFERROR(VALUE(RIGHT($A384,2)),"")</f>
        <v>7</v>
      </c>
      <c r="D384" s="17" t="n">
        <f aca="false">IFERROR(ROUNDUP($C384/3,0),"")</f>
        <v>3</v>
      </c>
      <c r="E384" s="11" t="str">
        <f aca="false">TRIM('수출입 실적(성질별_수출)'!C388)</f>
        <v>가. 섬유원료</v>
      </c>
      <c r="F384" s="18" t="n">
        <f aca="false">IFERROR(VALUE(SUBSTITUTE(TRIM('수출입 실적(성질별_수출)'!D388),",","")),"")</f>
        <v>50502.7</v>
      </c>
      <c r="G384" s="19" t="n">
        <f aca="false">IFERROR(VALUE(SUBSTITUTE(TRIM('수출입 실적(성질별_수출)'!E388),",","")),"")</f>
        <v>78073</v>
      </c>
    </row>
    <row r="385" customFormat="false" ht="15" hidden="false" customHeight="true" outlineLevel="0" collapsed="false">
      <c r="A385" s="11" t="str">
        <f aca="false">TRIM('수출입 실적(성질별_수출)'!A389)</f>
        <v>2025.07</v>
      </c>
      <c r="B385" s="17" t="n">
        <f aca="false">IFERROR(VALUE(LEFT($A385,4)),"")</f>
        <v>2025</v>
      </c>
      <c r="C385" s="17" t="n">
        <f aca="false">IFERROR(VALUE(RIGHT($A385,2)),"")</f>
        <v>7</v>
      </c>
      <c r="D385" s="17" t="n">
        <f aca="false">IFERROR(ROUNDUP($C385/3,0),"")</f>
        <v>3</v>
      </c>
      <c r="E385" s="11" t="str">
        <f aca="false">TRIM('수출입 실적(성질별_수출)'!C389)</f>
        <v>나. 섬유사</v>
      </c>
      <c r="F385" s="18" t="n">
        <f aca="false">IFERROR(VALUE(SUBSTITUTE(TRIM('수출입 실적(성질별_수출)'!D389),",","")),"")</f>
        <v>17708.1</v>
      </c>
      <c r="G385" s="19" t="n">
        <f aca="false">IFERROR(VALUE(SUBSTITUTE(TRIM('수출입 실적(성질별_수출)'!E389),",","")),"")</f>
        <v>61635</v>
      </c>
    </row>
    <row r="386" customFormat="false" ht="15" hidden="false" customHeight="true" outlineLevel="0" collapsed="false">
      <c r="A386" s="11" t="str">
        <f aca="false">TRIM('수출입 실적(성질별_수출)'!A390)</f>
        <v>2025.07</v>
      </c>
      <c r="B386" s="17" t="n">
        <f aca="false">IFERROR(VALUE(LEFT($A386,4)),"")</f>
        <v>2025</v>
      </c>
      <c r="C386" s="17" t="n">
        <f aca="false">IFERROR(VALUE(RIGHT($A386,2)),"")</f>
        <v>7</v>
      </c>
      <c r="D386" s="17" t="n">
        <f aca="false">IFERROR(ROUNDUP($C386/3,0),"")</f>
        <v>3</v>
      </c>
      <c r="E386" s="11" t="str">
        <f aca="false">TRIM('수출입 실적(성질별_수출)'!C390)</f>
        <v>다. 직 물</v>
      </c>
      <c r="F386" s="18" t="n">
        <f aca="false">IFERROR(VALUE(SUBSTITUTE(TRIM('수출입 실적(성질별_수출)'!D390),",","")),"")</f>
        <v>31011.9</v>
      </c>
      <c r="G386" s="19" t="n">
        <f aca="false">IFERROR(VALUE(SUBSTITUTE(TRIM('수출입 실적(성질별_수출)'!E390),",","")),"")</f>
        <v>295501</v>
      </c>
    </row>
    <row r="387" customFormat="false" ht="15" hidden="false" customHeight="true" outlineLevel="0" collapsed="false">
      <c r="A387" s="11" t="str">
        <f aca="false">TRIM('수출입 실적(성질별_수출)'!A391)</f>
        <v>2025.07</v>
      </c>
      <c r="B387" s="17" t="n">
        <f aca="false">IFERROR(VALUE(LEFT($A387,4)),"")</f>
        <v>2025</v>
      </c>
      <c r="C387" s="17" t="n">
        <f aca="false">IFERROR(VALUE(RIGHT($A387,2)),"")</f>
        <v>7</v>
      </c>
      <c r="D387" s="17" t="n">
        <f aca="false">IFERROR(ROUNDUP($C387/3,0),"")</f>
        <v>3</v>
      </c>
      <c r="E387" s="11" t="str">
        <f aca="false">TRIM('수출입 실적(성질별_수출)'!C391)</f>
        <v>라. 기타 섬유제품</v>
      </c>
      <c r="F387" s="18" t="n">
        <f aca="false">IFERROR(VALUE(SUBSTITUTE(TRIM('수출입 실적(성질별_수출)'!D391),",","")),"")</f>
        <v>23359.8</v>
      </c>
      <c r="G387" s="19" t="n">
        <f aca="false">IFERROR(VALUE(SUBSTITUTE(TRIM('수출입 실적(성질별_수출)'!E391),",","")),"")</f>
        <v>180643</v>
      </c>
    </row>
    <row r="388" customFormat="false" ht="15" hidden="false" customHeight="true" outlineLevel="0" collapsed="false">
      <c r="A388" s="11" t="str">
        <f aca="false">TRIM('수출입 실적(성질별_수출)'!A392)</f>
        <v>2025.07</v>
      </c>
      <c r="B388" s="17" t="n">
        <f aca="false">IFERROR(VALUE(LEFT($A388,4)),"")</f>
        <v>2025</v>
      </c>
      <c r="C388" s="17" t="n">
        <f aca="false">IFERROR(VALUE(RIGHT($A388,2)),"")</f>
        <v>7</v>
      </c>
      <c r="D388" s="17" t="n">
        <f aca="false">IFERROR(ROUNDUP($C388/3,0),"")</f>
        <v>3</v>
      </c>
      <c r="E388" s="11" t="str">
        <f aca="false">TRIM('수출입 실적(성질별_수출)'!C392)</f>
        <v>마. 의 류</v>
      </c>
      <c r="F388" s="18" t="n">
        <f aca="false">IFERROR(VALUE(SUBSTITUTE(TRIM('수출입 실적(성질별_수출)'!D392),",","")),"")</f>
        <v>5332.1</v>
      </c>
      <c r="G388" s="19" t="n">
        <f aca="false">IFERROR(VALUE(SUBSTITUTE(TRIM('수출입 실적(성질별_수출)'!E392),",","")),"")</f>
        <v>157969</v>
      </c>
    </row>
    <row r="389" customFormat="false" ht="15" hidden="false" customHeight="true" outlineLevel="0" collapsed="false">
      <c r="A389" s="11" t="str">
        <f aca="false">TRIM('수출입 실적(성질별_수출)'!A393)</f>
        <v>2025.07</v>
      </c>
      <c r="B389" s="17" t="n">
        <f aca="false">IFERROR(VALUE(LEFT($A389,4)),"")</f>
        <v>2025</v>
      </c>
      <c r="C389" s="17" t="n">
        <f aca="false">IFERROR(VALUE(RIGHT($A389,2)),"")</f>
        <v>7</v>
      </c>
      <c r="D389" s="17" t="n">
        <f aca="false">IFERROR(ROUNDUP($C389/3,0),"")</f>
        <v>3</v>
      </c>
      <c r="E389" s="11" t="str">
        <f aca="false">TRIM('수출입 실적(성질별_수출)'!C393)</f>
        <v>바. 목제품</v>
      </c>
      <c r="F389" s="18" t="n">
        <f aca="false">IFERROR(VALUE(SUBSTITUTE(TRIM('수출입 실적(성질별_수출)'!D393),",","")),"")</f>
        <v>18219.8</v>
      </c>
      <c r="G389" s="19" t="n">
        <f aca="false">IFERROR(VALUE(SUBSTITUTE(TRIM('수출입 실적(성질별_수출)'!E393),",","")),"")</f>
        <v>107535</v>
      </c>
    </row>
    <row r="390" customFormat="false" ht="15" hidden="false" customHeight="true" outlineLevel="0" collapsed="false">
      <c r="A390" s="11" t="str">
        <f aca="false">TRIM('수출입 실적(성질별_수출)'!A394)</f>
        <v>2025.07</v>
      </c>
      <c r="B390" s="17" t="n">
        <f aca="false">IFERROR(VALUE(LEFT($A390,4)),"")</f>
        <v>2025</v>
      </c>
      <c r="C390" s="17" t="n">
        <f aca="false">IFERROR(VALUE(RIGHT($A390,2)),"")</f>
        <v>7</v>
      </c>
      <c r="D390" s="17" t="n">
        <f aca="false">IFERROR(ROUNDUP($C390/3,0),"")</f>
        <v>3</v>
      </c>
      <c r="E390" s="11" t="str">
        <f aca="false">TRIM('수출입 실적(성질별_수출)'!C394)</f>
        <v>사. 가죽, 고무 및 신발류</v>
      </c>
      <c r="F390" s="18" t="n">
        <f aca="false">IFERROR(VALUE(SUBSTITUTE(TRIM('수출입 실적(성질별_수출)'!D394),",","")),"")</f>
        <v>72701.4</v>
      </c>
      <c r="G390" s="19" t="n">
        <f aca="false">IFERROR(VALUE(SUBSTITUTE(TRIM('수출입 실적(성질별_수출)'!E394),",","")),"")</f>
        <v>428978</v>
      </c>
    </row>
    <row r="391" customFormat="false" ht="15" hidden="false" customHeight="true" outlineLevel="0" collapsed="false">
      <c r="A391" s="11" t="str">
        <f aca="false">TRIM('수출입 실적(성질별_수출)'!A395)</f>
        <v>2025.07</v>
      </c>
      <c r="B391" s="17" t="n">
        <f aca="false">IFERROR(VALUE(LEFT($A391,4)),"")</f>
        <v>2025</v>
      </c>
      <c r="C391" s="17" t="n">
        <f aca="false">IFERROR(VALUE(RIGHT($A391,2)),"")</f>
        <v>7</v>
      </c>
      <c r="D391" s="17" t="n">
        <f aca="false">IFERROR(ROUNDUP($C391/3,0),"")</f>
        <v>3</v>
      </c>
      <c r="E391" s="11" t="str">
        <f aca="false">TRIM('수출입 실적(성질별_수출)'!C395)</f>
        <v>아. 귀금속 및 보석류</v>
      </c>
      <c r="F391" s="18" t="n">
        <f aca="false">IFERROR(VALUE(SUBSTITUTE(TRIM('수출입 실적(성질별_수출)'!D395),",","")),"")</f>
        <v>403.3</v>
      </c>
      <c r="G391" s="19" t="n">
        <f aca="false">IFERROR(VALUE(SUBSTITUTE(TRIM('수출입 실적(성질별_수출)'!E395),",","")),"")</f>
        <v>472994</v>
      </c>
    </row>
    <row r="392" customFormat="false" ht="15" hidden="false" customHeight="true" outlineLevel="0" collapsed="false">
      <c r="A392" s="11" t="str">
        <f aca="false">TRIM('수출입 실적(성질별_수출)'!A396)</f>
        <v>2025.07</v>
      </c>
      <c r="B392" s="17" t="n">
        <f aca="false">IFERROR(VALUE(LEFT($A392,4)),"")</f>
        <v>2025</v>
      </c>
      <c r="C392" s="17" t="n">
        <f aca="false">IFERROR(VALUE(RIGHT($A392,2)),"")</f>
        <v>7</v>
      </c>
      <c r="D392" s="17" t="n">
        <f aca="false">IFERROR(ROUNDUP($C392/3,0),"")</f>
        <v>3</v>
      </c>
      <c r="E392" s="11" t="str">
        <f aca="false">TRIM('수출입 실적(성질별_수출)'!C396)</f>
        <v>자. 기타 비금속 광물제품</v>
      </c>
      <c r="F392" s="18" t="n">
        <f aca="false">IFERROR(VALUE(SUBSTITUTE(TRIM('수출입 실적(성질별_수출)'!D396),",","")),"")</f>
        <v>432871.3</v>
      </c>
      <c r="G392" s="19" t="n">
        <f aca="false">IFERROR(VALUE(SUBSTITUTE(TRIM('수출입 실적(성질별_수출)'!E396),",","")),"")</f>
        <v>219904</v>
      </c>
    </row>
    <row r="393" customFormat="false" ht="15" hidden="false" customHeight="true" outlineLevel="0" collapsed="false">
      <c r="A393" s="11" t="str">
        <f aca="false">TRIM('수출입 실적(성질별_수출)'!A397)</f>
        <v>2025.07</v>
      </c>
      <c r="B393" s="17" t="n">
        <f aca="false">IFERROR(VALUE(LEFT($A393,4)),"")</f>
        <v>2025</v>
      </c>
      <c r="C393" s="17" t="n">
        <f aca="false">IFERROR(VALUE(RIGHT($A393,2)),"")</f>
        <v>7</v>
      </c>
      <c r="D393" s="17" t="n">
        <f aca="false">IFERROR(ROUNDUP($C393/3,0),"")</f>
        <v>3</v>
      </c>
      <c r="E393" s="11" t="str">
        <f aca="false">TRIM('수출입 실적(성질별_수출)'!C397)</f>
        <v>차. 완구, 운동용구 및 악기</v>
      </c>
      <c r="F393" s="18" t="n">
        <f aca="false">IFERROR(VALUE(SUBSTITUTE(TRIM('수출입 실적(성질별_수출)'!D397),",","")),"")</f>
        <v>2519.1</v>
      </c>
      <c r="G393" s="19" t="n">
        <f aca="false">IFERROR(VALUE(SUBSTITUTE(TRIM('수출입 실적(성질별_수출)'!E397),",","")),"")</f>
        <v>56421</v>
      </c>
    </row>
    <row r="394" customFormat="false" ht="15" hidden="false" customHeight="true" outlineLevel="0" collapsed="false">
      <c r="A394" s="11" t="str">
        <f aca="false">TRIM('수출입 실적(성질별_수출)'!A398)</f>
        <v>2025.07</v>
      </c>
      <c r="B394" s="17" t="n">
        <f aca="false">IFERROR(VALUE(LEFT($A394,4)),"")</f>
        <v>2025</v>
      </c>
      <c r="C394" s="17" t="n">
        <f aca="false">IFERROR(VALUE(RIGHT($A394,2)),"")</f>
        <v>7</v>
      </c>
      <c r="D394" s="17" t="n">
        <f aca="false">IFERROR(ROUNDUP($C394/3,0),"")</f>
        <v>3</v>
      </c>
      <c r="E394" s="11" t="str">
        <f aca="false">TRIM('수출입 실적(성질별_수출)'!C398)</f>
        <v>카. 기 타</v>
      </c>
      <c r="F394" s="18" t="n">
        <f aca="false">IFERROR(VALUE(SUBSTITUTE(TRIM('수출입 실적(성질별_수출)'!D398),",","")),"")</f>
        <v>383349</v>
      </c>
      <c r="G394" s="19" t="n">
        <f aca="false">IFERROR(VALUE(SUBSTITUTE(TRIM('수출입 실적(성질별_수출)'!E398),",","")),"")</f>
        <v>996950</v>
      </c>
    </row>
    <row r="395" customFormat="false" ht="15" hidden="false" customHeight="true" outlineLevel="0" collapsed="false">
      <c r="A395" s="11" t="str">
        <f aca="false">TRIM('수출입 실적(성질별_수출)'!A399)</f>
        <v>2025.07</v>
      </c>
      <c r="B395" s="17" t="n">
        <f aca="false">IFERROR(VALUE(LEFT($A395,4)),"")</f>
        <v>2025</v>
      </c>
      <c r="C395" s="17" t="n">
        <f aca="false">IFERROR(VALUE(RIGHT($A395,2)),"")</f>
        <v>7</v>
      </c>
      <c r="D395" s="17" t="n">
        <f aca="false">IFERROR(ROUNDUP($C395/3,0),"")</f>
        <v>3</v>
      </c>
      <c r="E395" s="11" t="str">
        <f aca="false">TRIM('수출입 실적(성질별_수출)'!C399)</f>
        <v>4. 중화학 공업품</v>
      </c>
      <c r="F395" s="18" t="n">
        <f aca="false">IFERROR(VALUE(SUBSTITUTE(TRIM('수출입 실적(성질별_수출)'!D399),",","")),"")</f>
        <v>9152854.8</v>
      </c>
      <c r="G395" s="19" t="n">
        <f aca="false">IFERROR(VALUE(SUBSTITUTE(TRIM('수출입 실적(성질별_수출)'!E399),",","")),"")</f>
        <v>51374607</v>
      </c>
    </row>
    <row r="396" customFormat="false" ht="15" hidden="false" customHeight="true" outlineLevel="0" collapsed="false">
      <c r="A396" s="11" t="str">
        <f aca="false">TRIM('수출입 실적(성질별_수출)'!A400)</f>
        <v>2025.07</v>
      </c>
      <c r="B396" s="17" t="n">
        <f aca="false">IFERROR(VALUE(LEFT($A396,4)),"")</f>
        <v>2025</v>
      </c>
      <c r="C396" s="17" t="n">
        <f aca="false">IFERROR(VALUE(RIGHT($A396,2)),"")</f>
        <v>7</v>
      </c>
      <c r="D396" s="17" t="n">
        <f aca="false">IFERROR(ROUNDUP($C396/3,0),"")</f>
        <v>3</v>
      </c>
      <c r="E396" s="11" t="str">
        <f aca="false">TRIM('수출입 실적(성질별_수출)'!C400)</f>
        <v>가. 화공품</v>
      </c>
      <c r="F396" s="18" t="n">
        <f aca="false">IFERROR(VALUE(SUBSTITUTE(TRIM('수출입 실적(성질별_수출)'!D400),",","")),"")</f>
        <v>4035225.8</v>
      </c>
      <c r="G396" s="19" t="n">
        <f aca="false">IFERROR(VALUE(SUBSTITUTE(TRIM('수출입 실적(성질별_수출)'!E400),",","")),"")</f>
        <v>6699693</v>
      </c>
    </row>
    <row r="397" customFormat="false" ht="15" hidden="false" customHeight="true" outlineLevel="0" collapsed="false">
      <c r="A397" s="11" t="str">
        <f aca="false">TRIM('수출입 실적(성질별_수출)'!A401)</f>
        <v>2025.07</v>
      </c>
      <c r="B397" s="17" t="n">
        <f aca="false">IFERROR(VALUE(LEFT($A397,4)),"")</f>
        <v>2025</v>
      </c>
      <c r="C397" s="17" t="n">
        <f aca="false">IFERROR(VALUE(RIGHT($A397,2)),"")</f>
        <v>7</v>
      </c>
      <c r="D397" s="17" t="n">
        <f aca="false">IFERROR(ROUNDUP($C397/3,0),"")</f>
        <v>3</v>
      </c>
      <c r="E397" s="11" t="str">
        <f aca="false">TRIM('수출입 실적(성질별_수출)'!C401)</f>
        <v>나. 철강제품</v>
      </c>
      <c r="F397" s="18" t="n">
        <f aca="false">IFERROR(VALUE(SUBSTITUTE(TRIM('수출입 실적(성질별_수출)'!D401),",","")),"")</f>
        <v>2816711.9</v>
      </c>
      <c r="G397" s="19" t="n">
        <f aca="false">IFERROR(VALUE(SUBSTITUTE(TRIM('수출입 실적(성질별_수출)'!E401),",","")),"")</f>
        <v>4188696</v>
      </c>
    </row>
    <row r="398" customFormat="false" ht="15" hidden="false" customHeight="true" outlineLevel="0" collapsed="false">
      <c r="A398" s="11" t="str">
        <f aca="false">TRIM('수출입 실적(성질별_수출)'!A402)</f>
        <v>2025.07</v>
      </c>
      <c r="B398" s="17" t="n">
        <f aca="false">IFERROR(VALUE(LEFT($A398,4)),"")</f>
        <v>2025</v>
      </c>
      <c r="C398" s="17" t="n">
        <f aca="false">IFERROR(VALUE(RIGHT($A398,2)),"")</f>
        <v>7</v>
      </c>
      <c r="D398" s="17" t="n">
        <f aca="false">IFERROR(ROUNDUP($C398/3,0),"")</f>
        <v>3</v>
      </c>
      <c r="E398" s="11" t="str">
        <f aca="false">TRIM('수출입 실적(성질별_수출)'!C402)</f>
        <v>다. 기계류와 정밀기기</v>
      </c>
      <c r="F398" s="18" t="n">
        <f aca="false">IFERROR(VALUE(SUBSTITUTE(TRIM('수출입 실적(성질별_수출)'!D402),",","")),"")</f>
        <v>383429</v>
      </c>
      <c r="G398" s="19" t="n">
        <f aca="false">IFERROR(VALUE(SUBSTITUTE(TRIM('수출입 실적(성질별_수출)'!E402),",","")),"")</f>
        <v>6328940</v>
      </c>
    </row>
    <row r="399" customFormat="false" ht="15" hidden="false" customHeight="true" outlineLevel="0" collapsed="false">
      <c r="A399" s="11" t="str">
        <f aca="false">TRIM('수출입 실적(성질별_수출)'!A403)</f>
        <v>2025.07</v>
      </c>
      <c r="B399" s="17" t="n">
        <f aca="false">IFERROR(VALUE(LEFT($A399,4)),"")</f>
        <v>2025</v>
      </c>
      <c r="C399" s="17" t="n">
        <f aca="false">IFERROR(VALUE(RIGHT($A399,2)),"")</f>
        <v>7</v>
      </c>
      <c r="D399" s="17" t="n">
        <f aca="false">IFERROR(ROUNDUP($C399/3,0),"")</f>
        <v>3</v>
      </c>
      <c r="E399" s="11" t="str">
        <f aca="false">TRIM('수출입 실적(성질별_수출)'!C403)</f>
        <v>라. 전기, 전자제품</v>
      </c>
      <c r="F399" s="18" t="n">
        <f aca="false">IFERROR(VALUE(SUBSTITUTE(TRIM('수출입 실적(성질별_수출)'!D403),",","")),"")</f>
        <v>249849.5</v>
      </c>
      <c r="G399" s="19" t="n">
        <f aca="false">IFERROR(VALUE(SUBSTITUTE(TRIM('수출입 실적(성질별_수출)'!E403),",","")),"")</f>
        <v>22054413</v>
      </c>
    </row>
    <row r="400" customFormat="false" ht="15" hidden="false" customHeight="true" outlineLevel="0" collapsed="false">
      <c r="A400" s="11" t="str">
        <f aca="false">TRIM('수출입 실적(성질별_수출)'!A404)</f>
        <v>2025.07</v>
      </c>
      <c r="B400" s="17" t="n">
        <f aca="false">IFERROR(VALUE(LEFT($A400,4)),"")</f>
        <v>2025</v>
      </c>
      <c r="C400" s="17" t="n">
        <f aca="false">IFERROR(VALUE(RIGHT($A400,2)),"")</f>
        <v>7</v>
      </c>
      <c r="D400" s="17" t="n">
        <f aca="false">IFERROR(ROUNDUP($C400/3,0),"")</f>
        <v>3</v>
      </c>
      <c r="E400" s="11" t="str">
        <f aca="false">TRIM('수출입 실적(성질별_수출)'!C404)</f>
        <v>마. 수송장비</v>
      </c>
      <c r="F400" s="18" t="n">
        <f aca="false">IFERROR(VALUE(SUBSTITUTE(TRIM('수출입 실적(성질별_수출)'!D404),",","")),"")</f>
        <v>1599509.8</v>
      </c>
      <c r="G400" s="19" t="n">
        <f aca="false">IFERROR(VALUE(SUBSTITUTE(TRIM('수출입 실적(성질별_수출)'!E404),",","")),"")</f>
        <v>10047917</v>
      </c>
    </row>
    <row r="401" customFormat="false" ht="15" hidden="false" customHeight="true" outlineLevel="0" collapsed="false">
      <c r="A401" s="11" t="str">
        <f aca="false">TRIM('수출입 실적(성질별_수출)'!A405)</f>
        <v>2025.07</v>
      </c>
      <c r="B401" s="17" t="n">
        <f aca="false">IFERROR(VALUE(LEFT($A401,4)),"")</f>
        <v>2025</v>
      </c>
      <c r="C401" s="17" t="n">
        <f aca="false">IFERROR(VALUE(RIGHT($A401,2)),"")</f>
        <v>7</v>
      </c>
      <c r="D401" s="17" t="n">
        <f aca="false">IFERROR(ROUNDUP($C401/3,0),"")</f>
        <v>3</v>
      </c>
      <c r="E401" s="11" t="str">
        <f aca="false">TRIM('수출입 실적(성질별_수출)'!C405)</f>
        <v>바. 기 타</v>
      </c>
      <c r="F401" s="18" t="n">
        <f aca="false">IFERROR(VALUE(SUBSTITUTE(TRIM('수출입 실적(성질별_수출)'!D405),",","")),"")</f>
        <v>68128.9</v>
      </c>
      <c r="G401" s="19" t="n">
        <f aca="false">IFERROR(VALUE(SUBSTITUTE(TRIM('수출입 실적(성질별_수출)'!E405),",","")),"")</f>
        <v>2054949</v>
      </c>
    </row>
    <row r="402" customFormat="false" ht="15" hidden="false" customHeight="true" outlineLevel="0" collapsed="false">
      <c r="A402" s="11" t="str">
        <f aca="false">TRIM('수출입 실적(성질별_수출)'!A406)</f>
        <v>2025.08</v>
      </c>
      <c r="B402" s="17" t="n">
        <f aca="false">IFERROR(VALUE(LEFT($A402,4)),"")</f>
        <v>2025</v>
      </c>
      <c r="C402" s="17" t="n">
        <f aca="false">IFERROR(VALUE(RIGHT($A402,2)),"")</f>
        <v>8</v>
      </c>
      <c r="D402" s="17" t="n">
        <f aca="false">IFERROR(ROUNDUP($C402/3,0),"")</f>
        <v>3</v>
      </c>
      <c r="E402" s="11" t="str">
        <f aca="false">TRIM('수출입 실적(성질별_수출)'!C406)</f>
        <v>1. 식료 및 직접소비재</v>
      </c>
      <c r="F402" s="18" t="n">
        <f aca="false">IFERROR(VALUE(SUBSTITUTE(TRIM('수출입 실적(성질별_수출)'!D406),",","")),"")</f>
        <v>352123.5</v>
      </c>
      <c r="G402" s="19" t="n">
        <f aca="false">IFERROR(VALUE(SUBSTITUTE(TRIM('수출입 실적(성질별_수출)'!E406),",","")),"")</f>
        <v>954742</v>
      </c>
    </row>
    <row r="403" customFormat="false" ht="15" hidden="false" customHeight="true" outlineLevel="0" collapsed="false">
      <c r="A403" s="11" t="str">
        <f aca="false">TRIM('수출입 실적(성질별_수출)'!A407)</f>
        <v>2025.08</v>
      </c>
      <c r="B403" s="17" t="n">
        <f aca="false">IFERROR(VALUE(LEFT($A403,4)),"")</f>
        <v>2025</v>
      </c>
      <c r="C403" s="17" t="n">
        <f aca="false">IFERROR(VALUE(RIGHT($A403,2)),"")</f>
        <v>8</v>
      </c>
      <c r="D403" s="17" t="n">
        <f aca="false">IFERROR(ROUNDUP($C403/3,0),"")</f>
        <v>3</v>
      </c>
      <c r="E403" s="11" t="str">
        <f aca="false">TRIM('수출입 실적(성질별_수출)'!C407)</f>
        <v>2. 원료 및 연료</v>
      </c>
      <c r="F403" s="18" t="n">
        <f aca="false">IFERROR(VALUE(SUBSTITUTE(TRIM('수출입 실적(성질별_수출)'!D407),",","")),"")</f>
        <v>6973050.2</v>
      </c>
      <c r="G403" s="19" t="n">
        <f aca="false">IFERROR(VALUE(SUBSTITUTE(TRIM('수출입 실적(성질별_수출)'!E407),",","")),"")</f>
        <v>4996545</v>
      </c>
    </row>
    <row r="404" customFormat="false" ht="15" hidden="false" customHeight="true" outlineLevel="0" collapsed="false">
      <c r="A404" s="11" t="str">
        <f aca="false">TRIM('수출입 실적(성질별_수출)'!A408)</f>
        <v>2025.08</v>
      </c>
      <c r="B404" s="17" t="n">
        <f aca="false">IFERROR(VALUE(LEFT($A404,4)),"")</f>
        <v>2025</v>
      </c>
      <c r="C404" s="17" t="n">
        <f aca="false">IFERROR(VALUE(RIGHT($A404,2)),"")</f>
        <v>8</v>
      </c>
      <c r="D404" s="17" t="n">
        <f aca="false">IFERROR(ROUNDUP($C404/3,0),"")</f>
        <v>3</v>
      </c>
      <c r="E404" s="11" t="str">
        <f aca="false">TRIM('수출입 실적(성질별_수출)'!C408)</f>
        <v>3. 경공업품</v>
      </c>
      <c r="F404" s="18" t="n">
        <f aca="false">IFERROR(VALUE(SUBSTITUTE(TRIM('수출입 실적(성질별_수출)'!D408),",","")),"")</f>
        <v>1058051.1</v>
      </c>
      <c r="G404" s="19" t="n">
        <f aca="false">IFERROR(VALUE(SUBSTITUTE(TRIM('수출입 실적(성질별_수출)'!E408),",","")),"")</f>
        <v>2683825</v>
      </c>
    </row>
    <row r="405" customFormat="false" ht="15" hidden="false" customHeight="true" outlineLevel="0" collapsed="false">
      <c r="A405" s="11" t="str">
        <f aca="false">TRIM('수출입 실적(성질별_수출)'!A409)</f>
        <v>2025.08</v>
      </c>
      <c r="B405" s="17" t="n">
        <f aca="false">IFERROR(VALUE(LEFT($A405,4)),"")</f>
        <v>2025</v>
      </c>
      <c r="C405" s="17" t="n">
        <f aca="false">IFERROR(VALUE(RIGHT($A405,2)),"")</f>
        <v>8</v>
      </c>
      <c r="D405" s="17" t="n">
        <f aca="false">IFERROR(ROUNDUP($C405/3,0),"")</f>
        <v>3</v>
      </c>
      <c r="E405" s="11" t="str">
        <f aca="false">TRIM('수출입 실적(성질별_수출)'!C409)</f>
        <v>가. 섬유원료</v>
      </c>
      <c r="F405" s="18" t="n">
        <f aca="false">IFERROR(VALUE(SUBSTITUTE(TRIM('수출입 실적(성질별_수출)'!D409),",","")),"")</f>
        <v>46408.7</v>
      </c>
      <c r="G405" s="19" t="n">
        <f aca="false">IFERROR(VALUE(SUBSTITUTE(TRIM('수출입 실적(성질별_수출)'!E409),",","")),"")</f>
        <v>70526</v>
      </c>
    </row>
    <row r="406" customFormat="false" ht="15" hidden="false" customHeight="true" outlineLevel="0" collapsed="false">
      <c r="A406" s="11" t="str">
        <f aca="false">TRIM('수출입 실적(성질별_수출)'!A410)</f>
        <v>2025.08</v>
      </c>
      <c r="B406" s="17" t="n">
        <f aca="false">IFERROR(VALUE(LEFT($A406,4)),"")</f>
        <v>2025</v>
      </c>
      <c r="C406" s="17" t="n">
        <f aca="false">IFERROR(VALUE(RIGHT($A406,2)),"")</f>
        <v>8</v>
      </c>
      <c r="D406" s="17" t="n">
        <f aca="false">IFERROR(ROUNDUP($C406/3,0),"")</f>
        <v>3</v>
      </c>
      <c r="E406" s="11" t="str">
        <f aca="false">TRIM('수출입 실적(성질별_수출)'!C410)</f>
        <v>나. 섬유사</v>
      </c>
      <c r="F406" s="18" t="n">
        <f aca="false">IFERROR(VALUE(SUBSTITUTE(TRIM('수출입 실적(성질별_수출)'!D410),",","")),"")</f>
        <v>15334</v>
      </c>
      <c r="G406" s="19" t="n">
        <f aca="false">IFERROR(VALUE(SUBSTITUTE(TRIM('수출입 실적(성질별_수출)'!E410),",","")),"")</f>
        <v>52844</v>
      </c>
    </row>
    <row r="407" customFormat="false" ht="15" hidden="false" customHeight="true" outlineLevel="0" collapsed="false">
      <c r="A407" s="11" t="str">
        <f aca="false">TRIM('수출입 실적(성질별_수출)'!A411)</f>
        <v>2025.08</v>
      </c>
      <c r="B407" s="17" t="n">
        <f aca="false">IFERROR(VALUE(LEFT($A407,4)),"")</f>
        <v>2025</v>
      </c>
      <c r="C407" s="17" t="n">
        <f aca="false">IFERROR(VALUE(RIGHT($A407,2)),"")</f>
        <v>8</v>
      </c>
      <c r="D407" s="17" t="n">
        <f aca="false">IFERROR(ROUNDUP($C407/3,0),"")</f>
        <v>3</v>
      </c>
      <c r="E407" s="11" t="str">
        <f aca="false">TRIM('수출입 실적(성질별_수출)'!C411)</f>
        <v>다. 직 물</v>
      </c>
      <c r="F407" s="18" t="n">
        <f aca="false">IFERROR(VALUE(SUBSTITUTE(TRIM('수출입 실적(성질별_수출)'!D411),",","")),"")</f>
        <v>24686.9</v>
      </c>
      <c r="G407" s="19" t="n">
        <f aca="false">IFERROR(VALUE(SUBSTITUTE(TRIM('수출입 실적(성질별_수출)'!E411),",","")),"")</f>
        <v>234377</v>
      </c>
    </row>
    <row r="408" customFormat="false" ht="15" hidden="false" customHeight="true" outlineLevel="0" collapsed="false">
      <c r="A408" s="11" t="str">
        <f aca="false">TRIM('수출입 실적(성질별_수출)'!A412)</f>
        <v>2025.08</v>
      </c>
      <c r="B408" s="17" t="n">
        <f aca="false">IFERROR(VALUE(LEFT($A408,4)),"")</f>
        <v>2025</v>
      </c>
      <c r="C408" s="17" t="n">
        <f aca="false">IFERROR(VALUE(RIGHT($A408,2)),"")</f>
        <v>8</v>
      </c>
      <c r="D408" s="17" t="n">
        <f aca="false">IFERROR(ROUNDUP($C408/3,0),"")</f>
        <v>3</v>
      </c>
      <c r="E408" s="11" t="str">
        <f aca="false">TRIM('수출입 실적(성질별_수출)'!C412)</f>
        <v>라. 기타 섬유제품</v>
      </c>
      <c r="F408" s="18" t="n">
        <f aca="false">IFERROR(VALUE(SUBSTITUTE(TRIM('수출입 실적(성질별_수출)'!D412),",","")),"")</f>
        <v>18725.8</v>
      </c>
      <c r="G408" s="19" t="n">
        <f aca="false">IFERROR(VALUE(SUBSTITUTE(TRIM('수출입 실적(성질별_수출)'!E412),",","")),"")</f>
        <v>148333</v>
      </c>
    </row>
    <row r="409" customFormat="false" ht="15" hidden="false" customHeight="true" outlineLevel="0" collapsed="false">
      <c r="A409" s="11" t="str">
        <f aca="false">TRIM('수출입 실적(성질별_수출)'!A413)</f>
        <v>2025.08</v>
      </c>
      <c r="B409" s="17" t="n">
        <f aca="false">IFERROR(VALUE(LEFT($A409,4)),"")</f>
        <v>2025</v>
      </c>
      <c r="C409" s="17" t="n">
        <f aca="false">IFERROR(VALUE(RIGHT($A409,2)),"")</f>
        <v>8</v>
      </c>
      <c r="D409" s="17" t="n">
        <f aca="false">IFERROR(ROUNDUP($C409/3,0),"")</f>
        <v>3</v>
      </c>
      <c r="E409" s="11" t="str">
        <f aca="false">TRIM('수출입 실적(성질별_수출)'!C413)</f>
        <v>마. 의 류</v>
      </c>
      <c r="F409" s="18" t="n">
        <f aca="false">IFERROR(VALUE(SUBSTITUTE(TRIM('수출입 실적(성질별_수출)'!D413),",","")),"")</f>
        <v>5086.4</v>
      </c>
      <c r="G409" s="19" t="n">
        <f aca="false">IFERROR(VALUE(SUBSTITUTE(TRIM('수출입 실적(성질별_수출)'!E413),",","")),"")</f>
        <v>138589</v>
      </c>
    </row>
    <row r="410" customFormat="false" ht="15" hidden="false" customHeight="true" outlineLevel="0" collapsed="false">
      <c r="A410" s="11" t="str">
        <f aca="false">TRIM('수출입 실적(성질별_수출)'!A414)</f>
        <v>2025.08</v>
      </c>
      <c r="B410" s="17" t="n">
        <f aca="false">IFERROR(VALUE(LEFT($A410,4)),"")</f>
        <v>2025</v>
      </c>
      <c r="C410" s="17" t="n">
        <f aca="false">IFERROR(VALUE(RIGHT($A410,2)),"")</f>
        <v>8</v>
      </c>
      <c r="D410" s="17" t="n">
        <f aca="false">IFERROR(ROUNDUP($C410/3,0),"")</f>
        <v>3</v>
      </c>
      <c r="E410" s="11" t="str">
        <f aca="false">TRIM('수출입 실적(성질별_수출)'!C414)</f>
        <v>바. 목제품</v>
      </c>
      <c r="F410" s="18" t="n">
        <f aca="false">IFERROR(VALUE(SUBSTITUTE(TRIM('수출입 실적(성질별_수출)'!D414),",","")),"")</f>
        <v>16415.8</v>
      </c>
      <c r="G410" s="19" t="n">
        <f aca="false">IFERROR(VALUE(SUBSTITUTE(TRIM('수출입 실적(성질별_수출)'!E414),",","")),"")</f>
        <v>91898</v>
      </c>
    </row>
    <row r="411" customFormat="false" ht="15" hidden="false" customHeight="true" outlineLevel="0" collapsed="false">
      <c r="A411" s="11" t="str">
        <f aca="false">TRIM('수출입 실적(성질별_수출)'!A415)</f>
        <v>2025.08</v>
      </c>
      <c r="B411" s="17" t="n">
        <f aca="false">IFERROR(VALUE(LEFT($A411,4)),"")</f>
        <v>2025</v>
      </c>
      <c r="C411" s="17" t="n">
        <f aca="false">IFERROR(VALUE(RIGHT($A411,2)),"")</f>
        <v>8</v>
      </c>
      <c r="D411" s="17" t="n">
        <f aca="false">IFERROR(ROUNDUP($C411/3,0),"")</f>
        <v>3</v>
      </c>
      <c r="E411" s="11" t="str">
        <f aca="false">TRIM('수출입 실적(성질별_수출)'!C415)</f>
        <v>사. 가죽, 고무 및 신발류</v>
      </c>
      <c r="F411" s="18" t="n">
        <f aca="false">IFERROR(VALUE(SUBSTITUTE(TRIM('수출입 실적(성질별_수출)'!D415),",","")),"")</f>
        <v>58085.8</v>
      </c>
      <c r="G411" s="19" t="n">
        <f aca="false">IFERROR(VALUE(SUBSTITUTE(TRIM('수출입 실적(성질별_수출)'!E415),",","")),"")</f>
        <v>325645</v>
      </c>
    </row>
    <row r="412" customFormat="false" ht="15" hidden="false" customHeight="true" outlineLevel="0" collapsed="false">
      <c r="A412" s="11" t="str">
        <f aca="false">TRIM('수출입 실적(성질별_수출)'!A416)</f>
        <v>2025.08</v>
      </c>
      <c r="B412" s="17" t="n">
        <f aca="false">IFERROR(VALUE(LEFT($A412,4)),"")</f>
        <v>2025</v>
      </c>
      <c r="C412" s="17" t="n">
        <f aca="false">IFERROR(VALUE(RIGHT($A412,2)),"")</f>
        <v>8</v>
      </c>
      <c r="D412" s="17" t="n">
        <f aca="false">IFERROR(ROUNDUP($C412/3,0),"")</f>
        <v>3</v>
      </c>
      <c r="E412" s="11" t="str">
        <f aca="false">TRIM('수출입 실적(성질별_수출)'!C416)</f>
        <v>아. 귀금속 및 보석류</v>
      </c>
      <c r="F412" s="18" t="n">
        <f aca="false">IFERROR(VALUE(SUBSTITUTE(TRIM('수출입 실적(성질별_수출)'!D416),",","")),"")</f>
        <v>316.4</v>
      </c>
      <c r="G412" s="19" t="n">
        <f aca="false">IFERROR(VALUE(SUBSTITUTE(TRIM('수출입 실적(성질별_수출)'!E416),",","")),"")</f>
        <v>491288</v>
      </c>
    </row>
    <row r="413" customFormat="false" ht="15" hidden="false" customHeight="true" outlineLevel="0" collapsed="false">
      <c r="A413" s="11" t="str">
        <f aca="false">TRIM('수출입 실적(성질별_수출)'!A417)</f>
        <v>2025.08</v>
      </c>
      <c r="B413" s="17" t="n">
        <f aca="false">IFERROR(VALUE(LEFT($A413,4)),"")</f>
        <v>2025</v>
      </c>
      <c r="C413" s="17" t="n">
        <f aca="false">IFERROR(VALUE(RIGHT($A413,2)),"")</f>
        <v>8</v>
      </c>
      <c r="D413" s="17" t="n">
        <f aca="false">IFERROR(ROUNDUP($C413/3,0),"")</f>
        <v>3</v>
      </c>
      <c r="E413" s="11" t="str">
        <f aca="false">TRIM('수출입 실적(성질별_수출)'!C417)</f>
        <v>자. 기타 비금속 광물제품</v>
      </c>
      <c r="F413" s="18" t="n">
        <f aca="false">IFERROR(VALUE(SUBSTITUTE(TRIM('수출입 실적(성질별_수출)'!D417),",","")),"")</f>
        <v>521680.5</v>
      </c>
      <c r="G413" s="19" t="n">
        <f aca="false">IFERROR(VALUE(SUBSTITUTE(TRIM('수출입 실적(성질별_수출)'!E417),",","")),"")</f>
        <v>200229</v>
      </c>
    </row>
    <row r="414" customFormat="false" ht="15" hidden="false" customHeight="true" outlineLevel="0" collapsed="false">
      <c r="A414" s="11" t="str">
        <f aca="false">TRIM('수출입 실적(성질별_수출)'!A418)</f>
        <v>2025.08</v>
      </c>
      <c r="B414" s="17" t="n">
        <f aca="false">IFERROR(VALUE(LEFT($A414,4)),"")</f>
        <v>2025</v>
      </c>
      <c r="C414" s="17" t="n">
        <f aca="false">IFERROR(VALUE(RIGHT($A414,2)),"")</f>
        <v>8</v>
      </c>
      <c r="D414" s="17" t="n">
        <f aca="false">IFERROR(ROUNDUP($C414/3,0),"")</f>
        <v>3</v>
      </c>
      <c r="E414" s="11" t="str">
        <f aca="false">TRIM('수출입 실적(성질별_수출)'!C418)</f>
        <v>차. 완구, 운동용구 및 악기</v>
      </c>
      <c r="F414" s="18" t="n">
        <f aca="false">IFERROR(VALUE(SUBSTITUTE(TRIM('수출입 실적(성질별_수출)'!D418),",","")),"")</f>
        <v>2407.3</v>
      </c>
      <c r="G414" s="19" t="n">
        <f aca="false">IFERROR(VALUE(SUBSTITUTE(TRIM('수출입 실적(성질별_수출)'!E418),",","")),"")</f>
        <v>48331</v>
      </c>
    </row>
    <row r="415" customFormat="false" ht="15" hidden="false" customHeight="true" outlineLevel="0" collapsed="false">
      <c r="A415" s="11" t="str">
        <f aca="false">TRIM('수출입 실적(성질별_수출)'!A419)</f>
        <v>2025.08</v>
      </c>
      <c r="B415" s="17" t="n">
        <f aca="false">IFERROR(VALUE(LEFT($A415,4)),"")</f>
        <v>2025</v>
      </c>
      <c r="C415" s="17" t="n">
        <f aca="false">IFERROR(VALUE(RIGHT($A415,2)),"")</f>
        <v>8</v>
      </c>
      <c r="D415" s="17" t="n">
        <f aca="false">IFERROR(ROUNDUP($C415/3,0),"")</f>
        <v>3</v>
      </c>
      <c r="E415" s="11" t="str">
        <f aca="false">TRIM('수출입 실적(성질별_수출)'!C419)</f>
        <v>카. 기 타</v>
      </c>
      <c r="F415" s="18" t="n">
        <f aca="false">IFERROR(VALUE(SUBSTITUTE(TRIM('수출입 실적(성질별_수출)'!D419),",","")),"")</f>
        <v>348903.5</v>
      </c>
      <c r="G415" s="19" t="n">
        <f aca="false">IFERROR(VALUE(SUBSTITUTE(TRIM('수출입 실적(성질별_수출)'!E419),",","")),"")</f>
        <v>881765</v>
      </c>
    </row>
    <row r="416" customFormat="false" ht="15" hidden="false" customHeight="true" outlineLevel="0" collapsed="false">
      <c r="A416" s="11" t="str">
        <f aca="false">TRIM('수출입 실적(성질별_수출)'!A420)</f>
        <v>2025.08</v>
      </c>
      <c r="B416" s="17" t="n">
        <f aca="false">IFERROR(VALUE(LEFT($A416,4)),"")</f>
        <v>2025</v>
      </c>
      <c r="C416" s="17" t="n">
        <f aca="false">IFERROR(VALUE(RIGHT($A416,2)),"")</f>
        <v>8</v>
      </c>
      <c r="D416" s="17" t="n">
        <f aca="false">IFERROR(ROUNDUP($C416/3,0),"")</f>
        <v>3</v>
      </c>
      <c r="E416" s="11" t="str">
        <f aca="false">TRIM('수출입 실적(성질별_수출)'!C420)</f>
        <v>4. 중화학 공업품</v>
      </c>
      <c r="F416" s="18" t="n">
        <f aca="false">IFERROR(VALUE(SUBSTITUTE(TRIM('수출입 실적(성질별_수출)'!D420),",","")),"")</f>
        <v>8735449.1</v>
      </c>
      <c r="G416" s="19" t="n">
        <f aca="false">IFERROR(VALUE(SUBSTITUTE(TRIM('수출입 실적(성질별_수출)'!E420),",","")),"")</f>
        <v>49624221</v>
      </c>
    </row>
    <row r="417" customFormat="false" ht="15" hidden="false" customHeight="true" outlineLevel="0" collapsed="false">
      <c r="A417" s="11" t="str">
        <f aca="false">TRIM('수출입 실적(성질별_수출)'!A421)</f>
        <v>2025.08</v>
      </c>
      <c r="B417" s="17" t="n">
        <f aca="false">IFERROR(VALUE(LEFT($A417,4)),"")</f>
        <v>2025</v>
      </c>
      <c r="C417" s="17" t="n">
        <f aca="false">IFERROR(VALUE(RIGHT($A417,2)),"")</f>
        <v>8</v>
      </c>
      <c r="D417" s="17" t="n">
        <f aca="false">IFERROR(ROUNDUP($C417/3,0),"")</f>
        <v>3</v>
      </c>
      <c r="E417" s="11" t="str">
        <f aca="false">TRIM('수출입 실적(성질별_수출)'!C421)</f>
        <v>가. 화공품</v>
      </c>
      <c r="F417" s="18" t="n">
        <f aca="false">IFERROR(VALUE(SUBSTITUTE(TRIM('수출입 실적(성질별_수출)'!D421),",","")),"")</f>
        <v>3786449.2</v>
      </c>
      <c r="G417" s="19" t="n">
        <f aca="false">IFERROR(VALUE(SUBSTITUTE(TRIM('수출입 실적(성질별_수출)'!E421),",","")),"")</f>
        <v>6276342</v>
      </c>
    </row>
    <row r="418" customFormat="false" ht="15" hidden="false" customHeight="true" outlineLevel="0" collapsed="false">
      <c r="A418" s="11" t="str">
        <f aca="false">TRIM('수출입 실적(성질별_수출)'!A422)</f>
        <v>2025.08</v>
      </c>
      <c r="B418" s="17" t="n">
        <f aca="false">IFERROR(VALUE(LEFT($A418,4)),"")</f>
        <v>2025</v>
      </c>
      <c r="C418" s="17" t="n">
        <f aca="false">IFERROR(VALUE(RIGHT($A418,2)),"")</f>
        <v>8</v>
      </c>
      <c r="D418" s="17" t="n">
        <f aca="false">IFERROR(ROUNDUP($C418/3,0),"")</f>
        <v>3</v>
      </c>
      <c r="E418" s="11" t="str">
        <f aca="false">TRIM('수출입 실적(성질별_수출)'!C422)</f>
        <v>나. 철강제품</v>
      </c>
      <c r="F418" s="18" t="n">
        <f aca="false">IFERROR(VALUE(SUBSTITUTE(TRIM('수출입 실적(성질별_수출)'!D422),",","")),"")</f>
        <v>2537762.9</v>
      </c>
      <c r="G418" s="19" t="n">
        <f aca="false">IFERROR(VALUE(SUBSTITUTE(TRIM('수출입 실적(성질별_수출)'!E422),",","")),"")</f>
        <v>3560149</v>
      </c>
    </row>
    <row r="419" customFormat="false" ht="15" hidden="false" customHeight="true" outlineLevel="0" collapsed="false">
      <c r="A419" s="11" t="str">
        <f aca="false">TRIM('수출입 실적(성질별_수출)'!A423)</f>
        <v>2025.08</v>
      </c>
      <c r="B419" s="17" t="n">
        <f aca="false">IFERROR(VALUE(LEFT($A419,4)),"")</f>
        <v>2025</v>
      </c>
      <c r="C419" s="17" t="n">
        <f aca="false">IFERROR(VALUE(RIGHT($A419,2)),"")</f>
        <v>8</v>
      </c>
      <c r="D419" s="17" t="n">
        <f aca="false">IFERROR(ROUNDUP($C419/3,0),"")</f>
        <v>3</v>
      </c>
      <c r="E419" s="11" t="str">
        <f aca="false">TRIM('수출입 실적(성질별_수출)'!C423)</f>
        <v>다. 기계류와 정밀기기</v>
      </c>
      <c r="F419" s="18" t="n">
        <f aca="false">IFERROR(VALUE(SUBSTITUTE(TRIM('수출입 실적(성질별_수출)'!D423),",","")),"")</f>
        <v>315230.6</v>
      </c>
      <c r="G419" s="19" t="n">
        <f aca="false">IFERROR(VALUE(SUBSTITUTE(TRIM('수출입 실적(성질별_수출)'!E423),",","")),"")</f>
        <v>5245973</v>
      </c>
    </row>
    <row r="420" customFormat="false" ht="15" hidden="false" customHeight="true" outlineLevel="0" collapsed="false">
      <c r="A420" s="11" t="str">
        <f aca="false">TRIM('수출입 실적(성질별_수출)'!A424)</f>
        <v>2025.08</v>
      </c>
      <c r="B420" s="17" t="n">
        <f aca="false">IFERROR(VALUE(LEFT($A420,4)),"")</f>
        <v>2025</v>
      </c>
      <c r="C420" s="17" t="n">
        <f aca="false">IFERROR(VALUE(RIGHT($A420,2)),"")</f>
        <v>8</v>
      </c>
      <c r="D420" s="17" t="n">
        <f aca="false">IFERROR(ROUNDUP($C420/3,0),"")</f>
        <v>3</v>
      </c>
      <c r="E420" s="11" t="str">
        <f aca="false">TRIM('수출입 실적(성질별_수출)'!C424)</f>
        <v>라. 전기, 전자제품</v>
      </c>
      <c r="F420" s="18" t="n">
        <f aca="false">IFERROR(VALUE(SUBSTITUTE(TRIM('수출입 실적(성질별_수출)'!D424),",","")),"")</f>
        <v>204576.1</v>
      </c>
      <c r="G420" s="19" t="n">
        <f aca="false">IFERROR(VALUE(SUBSTITUTE(TRIM('수출입 실적(성질별_수출)'!E424),",","")),"")</f>
        <v>22635594</v>
      </c>
    </row>
    <row r="421" customFormat="false" ht="15" hidden="false" customHeight="true" outlineLevel="0" collapsed="false">
      <c r="A421" s="11" t="str">
        <f aca="false">TRIM('수출입 실적(성질별_수출)'!A425)</f>
        <v>2025.08</v>
      </c>
      <c r="B421" s="17" t="n">
        <f aca="false">IFERROR(VALUE(LEFT($A421,4)),"")</f>
        <v>2025</v>
      </c>
      <c r="C421" s="17" t="n">
        <f aca="false">IFERROR(VALUE(RIGHT($A421,2)),"")</f>
        <v>8</v>
      </c>
      <c r="D421" s="17" t="n">
        <f aca="false">IFERROR(ROUNDUP($C421/3,0),"")</f>
        <v>3</v>
      </c>
      <c r="E421" s="11" t="str">
        <f aca="false">TRIM('수출입 실적(성질별_수출)'!C425)</f>
        <v>마. 수송장비</v>
      </c>
      <c r="F421" s="18" t="n">
        <f aca="false">IFERROR(VALUE(SUBSTITUTE(TRIM('수출입 실적(성질별_수출)'!D425),",","")),"")</f>
        <v>1829410.2</v>
      </c>
      <c r="G421" s="19" t="n">
        <f aca="false">IFERROR(VALUE(SUBSTITUTE(TRIM('수출입 실적(성질별_수출)'!E425),",","")),"")</f>
        <v>10380351</v>
      </c>
    </row>
    <row r="422" customFormat="false" ht="15" hidden="false" customHeight="true" outlineLevel="0" collapsed="false">
      <c r="A422" s="11" t="str">
        <f aca="false">TRIM('수출입 실적(성질별_수출)'!A426)</f>
        <v>2025.08</v>
      </c>
      <c r="B422" s="17" t="n">
        <f aca="false">IFERROR(VALUE(LEFT($A422,4)),"")</f>
        <v>2025</v>
      </c>
      <c r="C422" s="17" t="n">
        <f aca="false">IFERROR(VALUE(RIGHT($A422,2)),"")</f>
        <v>8</v>
      </c>
      <c r="D422" s="17" t="n">
        <f aca="false">IFERROR(ROUNDUP($C422/3,0),"")</f>
        <v>3</v>
      </c>
      <c r="E422" s="11" t="str">
        <f aca="false">TRIM('수출입 실적(성질별_수출)'!C426)</f>
        <v>바. 기 타</v>
      </c>
      <c r="F422" s="18" t="n">
        <f aca="false">IFERROR(VALUE(SUBSTITUTE(TRIM('수출입 실적(성질별_수출)'!D426),",","")),"")</f>
        <v>62020</v>
      </c>
      <c r="G422" s="19" t="n">
        <f aca="false">IFERROR(VALUE(SUBSTITUTE(TRIM('수출입 실적(성질별_수출)'!E426),",","")),"")</f>
        <v>1525811</v>
      </c>
    </row>
    <row r="423" customFormat="false" ht="15" hidden="false" customHeight="true" outlineLevel="0" collapsed="false">
      <c r="A423" s="11" t="str">
        <f aca="false">TRIM('수출입 실적(성질별_수출)'!A427)</f>
        <v>2025.09</v>
      </c>
      <c r="B423" s="17" t="n">
        <f aca="false">IFERROR(VALUE(LEFT($A423,4)),"")</f>
        <v>2025</v>
      </c>
      <c r="C423" s="17" t="n">
        <f aca="false">IFERROR(VALUE(RIGHT($A423,2)),"")</f>
        <v>9</v>
      </c>
      <c r="D423" s="17" t="n">
        <f aca="false">IFERROR(ROUNDUP($C423/3,0),"")</f>
        <v>3</v>
      </c>
      <c r="E423" s="11" t="str">
        <f aca="false">TRIM('수출입 실적(성질별_수출)'!C427)</f>
        <v>1. 식료 및 직접소비재</v>
      </c>
      <c r="F423" s="18" t="n">
        <f aca="false">IFERROR(VALUE(SUBSTITUTE(TRIM('수출입 실적(성질별_수출)'!D427),",","")),"")</f>
        <v>454799.7</v>
      </c>
      <c r="G423" s="19" t="n">
        <f aca="false">IFERROR(VALUE(SUBSTITUTE(TRIM('수출입 실적(성질별_수출)'!E427),",","")),"")</f>
        <v>1156240</v>
      </c>
    </row>
    <row r="424" customFormat="false" ht="15" hidden="false" customHeight="true" outlineLevel="0" collapsed="false">
      <c r="A424" s="11" t="str">
        <f aca="false">TRIM('수출입 실적(성질별_수출)'!A428)</f>
        <v>2025.09</v>
      </c>
      <c r="B424" s="17" t="n">
        <f aca="false">IFERROR(VALUE(LEFT($A424,4)),"")</f>
        <v>2025</v>
      </c>
      <c r="C424" s="17" t="n">
        <f aca="false">IFERROR(VALUE(RIGHT($A424,2)),"")</f>
        <v>9</v>
      </c>
      <c r="D424" s="17" t="n">
        <f aca="false">IFERROR(ROUNDUP($C424/3,0),"")</f>
        <v>3</v>
      </c>
      <c r="E424" s="11" t="str">
        <f aca="false">TRIM('수출입 실적(성질별_수출)'!C428)</f>
        <v>2. 원료 및 연료</v>
      </c>
      <c r="F424" s="18" t="n">
        <f aca="false">IFERROR(VALUE(SUBSTITUTE(TRIM('수출입 실적(성질별_수출)'!D428),",","")),"")</f>
        <v>7037857.4</v>
      </c>
      <c r="G424" s="19" t="n">
        <f aca="false">IFERROR(VALUE(SUBSTITUTE(TRIM('수출입 실적(성질별_수출)'!E428),",","")),"")</f>
        <v>5082762</v>
      </c>
    </row>
    <row r="425" customFormat="false" ht="15" hidden="false" customHeight="true" outlineLevel="0" collapsed="false">
      <c r="A425" s="11" t="str">
        <f aca="false">TRIM('수출입 실적(성질별_수출)'!A429)</f>
        <v>2025.09</v>
      </c>
      <c r="B425" s="17" t="n">
        <f aca="false">IFERROR(VALUE(LEFT($A425,4)),"")</f>
        <v>2025</v>
      </c>
      <c r="C425" s="17" t="n">
        <f aca="false">IFERROR(VALUE(RIGHT($A425,2)),"")</f>
        <v>9</v>
      </c>
      <c r="D425" s="17" t="n">
        <f aca="false">IFERROR(ROUNDUP($C425/3,0),"")</f>
        <v>3</v>
      </c>
      <c r="E425" s="11" t="str">
        <f aca="false">TRIM('수출입 실적(성질별_수출)'!C429)</f>
        <v>3. 경공업품</v>
      </c>
      <c r="F425" s="18" t="n">
        <f aca="false">IFERROR(VALUE(SUBSTITUTE(TRIM('수출입 실적(성질별_수출)'!D429),",","")),"")</f>
        <v>1047709.3</v>
      </c>
      <c r="G425" s="19" t="n">
        <f aca="false">IFERROR(VALUE(SUBSTITUTE(TRIM('수출입 실적(성질별_수출)'!E429),",","")),"")</f>
        <v>3031835</v>
      </c>
    </row>
    <row r="426" customFormat="false" ht="15" hidden="false" customHeight="true" outlineLevel="0" collapsed="false">
      <c r="A426" s="11" t="str">
        <f aca="false">TRIM('수출입 실적(성질별_수출)'!A430)</f>
        <v>2025.09</v>
      </c>
      <c r="B426" s="17" t="n">
        <f aca="false">IFERROR(VALUE(LEFT($A426,4)),"")</f>
        <v>2025</v>
      </c>
      <c r="C426" s="17" t="n">
        <f aca="false">IFERROR(VALUE(RIGHT($A426,2)),"")</f>
        <v>9</v>
      </c>
      <c r="D426" s="17" t="n">
        <f aca="false">IFERROR(ROUNDUP($C426/3,0),"")</f>
        <v>3</v>
      </c>
      <c r="E426" s="11" t="str">
        <f aca="false">TRIM('수출입 실적(성질별_수출)'!C430)</f>
        <v>가. 섬유원료</v>
      </c>
      <c r="F426" s="18" t="n">
        <f aca="false">IFERROR(VALUE(SUBSTITUTE(TRIM('수출입 실적(성질별_수출)'!D430),",","")),"")</f>
        <v>55612.5</v>
      </c>
      <c r="G426" s="19" t="n">
        <f aca="false">IFERROR(VALUE(SUBSTITUTE(TRIM('수출입 실적(성질별_수출)'!E430),",","")),"")</f>
        <v>86826</v>
      </c>
    </row>
    <row r="427" customFormat="false" ht="15" hidden="false" customHeight="true" outlineLevel="0" collapsed="false">
      <c r="A427" s="11" t="str">
        <f aca="false">TRIM('수출입 실적(성질별_수출)'!A431)</f>
        <v>2025.09</v>
      </c>
      <c r="B427" s="17" t="n">
        <f aca="false">IFERROR(VALUE(LEFT($A427,4)),"")</f>
        <v>2025</v>
      </c>
      <c r="C427" s="17" t="n">
        <f aca="false">IFERROR(VALUE(RIGHT($A427,2)),"")</f>
        <v>9</v>
      </c>
      <c r="D427" s="17" t="n">
        <f aca="false">IFERROR(ROUNDUP($C427/3,0),"")</f>
        <v>3</v>
      </c>
      <c r="E427" s="11" t="str">
        <f aca="false">TRIM('수출입 실적(성질별_수출)'!C431)</f>
        <v>나. 섬유사</v>
      </c>
      <c r="F427" s="18" t="n">
        <f aca="false">IFERROR(VALUE(SUBSTITUTE(TRIM('수출입 실적(성질별_수출)'!D431),",","")),"")</f>
        <v>18941.8</v>
      </c>
      <c r="G427" s="19" t="n">
        <f aca="false">IFERROR(VALUE(SUBSTITUTE(TRIM('수출입 실적(성질별_수출)'!E431),",","")),"")</f>
        <v>60604</v>
      </c>
    </row>
    <row r="428" customFormat="false" ht="15" hidden="false" customHeight="true" outlineLevel="0" collapsed="false">
      <c r="A428" s="11" t="str">
        <f aca="false">TRIM('수출입 실적(성질별_수출)'!A432)</f>
        <v>2025.09</v>
      </c>
      <c r="B428" s="17" t="n">
        <f aca="false">IFERROR(VALUE(LEFT($A428,4)),"")</f>
        <v>2025</v>
      </c>
      <c r="C428" s="17" t="n">
        <f aca="false">IFERROR(VALUE(RIGHT($A428,2)),"")</f>
        <v>9</v>
      </c>
      <c r="D428" s="17" t="n">
        <f aca="false">IFERROR(ROUNDUP($C428/3,0),"")</f>
        <v>3</v>
      </c>
      <c r="E428" s="11" t="str">
        <f aca="false">TRIM('수출입 실적(성질별_수출)'!C432)</f>
        <v>다. 직 물</v>
      </c>
      <c r="F428" s="18" t="n">
        <f aca="false">IFERROR(VALUE(SUBSTITUTE(TRIM('수출입 실적(성질별_수출)'!D432),",","")),"")</f>
        <v>30594.4</v>
      </c>
      <c r="G428" s="19" t="n">
        <f aca="false">IFERROR(VALUE(SUBSTITUTE(TRIM('수출입 실적(성질별_수출)'!E432),",","")),"")</f>
        <v>297769</v>
      </c>
    </row>
    <row r="429" customFormat="false" ht="15" hidden="false" customHeight="true" outlineLevel="0" collapsed="false">
      <c r="A429" s="11" t="str">
        <f aca="false">TRIM('수출입 실적(성질별_수출)'!A433)</f>
        <v>2025.09</v>
      </c>
      <c r="B429" s="17" t="n">
        <f aca="false">IFERROR(VALUE(LEFT($A429,4)),"")</f>
        <v>2025</v>
      </c>
      <c r="C429" s="17" t="n">
        <f aca="false">IFERROR(VALUE(RIGHT($A429,2)),"")</f>
        <v>9</v>
      </c>
      <c r="D429" s="17" t="n">
        <f aca="false">IFERROR(ROUNDUP($C429/3,0),"")</f>
        <v>3</v>
      </c>
      <c r="E429" s="11" t="str">
        <f aca="false">TRIM('수출입 실적(성질별_수출)'!C433)</f>
        <v>라. 기타 섬유제품</v>
      </c>
      <c r="F429" s="18" t="n">
        <f aca="false">IFERROR(VALUE(SUBSTITUTE(TRIM('수출입 실적(성질별_수출)'!D433),",","")),"")</f>
        <v>25400.7</v>
      </c>
      <c r="G429" s="19" t="n">
        <f aca="false">IFERROR(VALUE(SUBSTITUTE(TRIM('수출입 실적(성질별_수출)'!E433),",","")),"")</f>
        <v>192634</v>
      </c>
    </row>
    <row r="430" customFormat="false" ht="15" hidden="false" customHeight="true" outlineLevel="0" collapsed="false">
      <c r="A430" s="11" t="str">
        <f aca="false">TRIM('수출입 실적(성질별_수출)'!A434)</f>
        <v>2025.09</v>
      </c>
      <c r="B430" s="17" t="n">
        <f aca="false">IFERROR(VALUE(LEFT($A430,4)),"")</f>
        <v>2025</v>
      </c>
      <c r="C430" s="17" t="n">
        <f aca="false">IFERROR(VALUE(RIGHT($A430,2)),"")</f>
        <v>9</v>
      </c>
      <c r="D430" s="17" t="n">
        <f aca="false">IFERROR(ROUNDUP($C430/3,0),"")</f>
        <v>3</v>
      </c>
      <c r="E430" s="11" t="str">
        <f aca="false">TRIM('수출입 실적(성질별_수출)'!C434)</f>
        <v>마. 의 류</v>
      </c>
      <c r="F430" s="18" t="n">
        <f aca="false">IFERROR(VALUE(SUBSTITUTE(TRIM('수출입 실적(성질별_수출)'!D434),",","")),"")</f>
        <v>6024.4</v>
      </c>
      <c r="G430" s="19" t="n">
        <f aca="false">IFERROR(VALUE(SUBSTITUTE(TRIM('수출입 실적(성질별_수출)'!E434),",","")),"")</f>
        <v>175374</v>
      </c>
    </row>
    <row r="431" customFormat="false" ht="15" hidden="false" customHeight="true" outlineLevel="0" collapsed="false">
      <c r="A431" s="11" t="str">
        <f aca="false">TRIM('수출입 실적(성질별_수출)'!A435)</f>
        <v>2025.09</v>
      </c>
      <c r="B431" s="17" t="n">
        <f aca="false">IFERROR(VALUE(LEFT($A431,4)),"")</f>
        <v>2025</v>
      </c>
      <c r="C431" s="17" t="n">
        <f aca="false">IFERROR(VALUE(RIGHT($A431,2)),"")</f>
        <v>9</v>
      </c>
      <c r="D431" s="17" t="n">
        <f aca="false">IFERROR(ROUNDUP($C431/3,0),"")</f>
        <v>3</v>
      </c>
      <c r="E431" s="11" t="str">
        <f aca="false">TRIM('수출입 실적(성질별_수출)'!C435)</f>
        <v>바. 목제품</v>
      </c>
      <c r="F431" s="18" t="n">
        <f aca="false">IFERROR(VALUE(SUBSTITUTE(TRIM('수출입 실적(성질별_수출)'!D435),",","")),"")</f>
        <v>18746.3</v>
      </c>
      <c r="G431" s="19" t="n">
        <f aca="false">IFERROR(VALUE(SUBSTITUTE(TRIM('수출입 실적(성질별_수출)'!E435),",","")),"")</f>
        <v>107136</v>
      </c>
    </row>
    <row r="432" customFormat="false" ht="15" hidden="false" customHeight="true" outlineLevel="0" collapsed="false">
      <c r="A432" s="11" t="str">
        <f aca="false">TRIM('수출입 실적(성질별_수출)'!A436)</f>
        <v>2025.09</v>
      </c>
      <c r="B432" s="17" t="n">
        <f aca="false">IFERROR(VALUE(LEFT($A432,4)),"")</f>
        <v>2025</v>
      </c>
      <c r="C432" s="17" t="n">
        <f aca="false">IFERROR(VALUE(RIGHT($A432,2)),"")</f>
        <v>9</v>
      </c>
      <c r="D432" s="17" t="n">
        <f aca="false">IFERROR(ROUNDUP($C432/3,0),"")</f>
        <v>3</v>
      </c>
      <c r="E432" s="11" t="str">
        <f aca="false">TRIM('수출입 실적(성질별_수출)'!C436)</f>
        <v>사. 가죽, 고무 및 신발류</v>
      </c>
      <c r="F432" s="18" t="n">
        <f aca="false">IFERROR(VALUE(SUBSTITUTE(TRIM('수출입 실적(성질별_수출)'!D436),",","")),"")</f>
        <v>68051.3</v>
      </c>
      <c r="G432" s="19" t="n">
        <f aca="false">IFERROR(VALUE(SUBSTITUTE(TRIM('수출입 실적(성질별_수출)'!E436),",","")),"")</f>
        <v>374780</v>
      </c>
    </row>
    <row r="433" customFormat="false" ht="15" hidden="false" customHeight="true" outlineLevel="0" collapsed="false">
      <c r="A433" s="11" t="str">
        <f aca="false">TRIM('수출입 실적(성질별_수출)'!A437)</f>
        <v>2025.09</v>
      </c>
      <c r="B433" s="17" t="n">
        <f aca="false">IFERROR(VALUE(LEFT($A433,4)),"")</f>
        <v>2025</v>
      </c>
      <c r="C433" s="17" t="n">
        <f aca="false">IFERROR(VALUE(RIGHT($A433,2)),"")</f>
        <v>9</v>
      </c>
      <c r="D433" s="17" t="n">
        <f aca="false">IFERROR(ROUNDUP($C433/3,0),"")</f>
        <v>3</v>
      </c>
      <c r="E433" s="11" t="str">
        <f aca="false">TRIM('수출입 실적(성질별_수출)'!C437)</f>
        <v>아. 귀금속 및 보석류</v>
      </c>
      <c r="F433" s="18" t="n">
        <f aca="false">IFERROR(VALUE(SUBSTITUTE(TRIM('수출입 실적(성질별_수출)'!D437),",","")),"")</f>
        <v>333.7</v>
      </c>
      <c r="G433" s="19" t="n">
        <f aca="false">IFERROR(VALUE(SUBSTITUTE(TRIM('수출입 실적(성질별_수출)'!E437),",","")),"")</f>
        <v>380169</v>
      </c>
    </row>
    <row r="434" customFormat="false" ht="15" hidden="false" customHeight="true" outlineLevel="0" collapsed="false">
      <c r="A434" s="11" t="str">
        <f aca="false">TRIM('수출입 실적(성질별_수출)'!A438)</f>
        <v>2025.09</v>
      </c>
      <c r="B434" s="17" t="n">
        <f aca="false">IFERROR(VALUE(LEFT($A434,4)),"")</f>
        <v>2025</v>
      </c>
      <c r="C434" s="17" t="n">
        <f aca="false">IFERROR(VALUE(RIGHT($A434,2)),"")</f>
        <v>9</v>
      </c>
      <c r="D434" s="17" t="n">
        <f aca="false">IFERROR(ROUNDUP($C434/3,0),"")</f>
        <v>3</v>
      </c>
      <c r="E434" s="11" t="str">
        <f aca="false">TRIM('수출입 실적(성질별_수출)'!C438)</f>
        <v>자. 기타 비금속 광물제품</v>
      </c>
      <c r="F434" s="18" t="n">
        <f aca="false">IFERROR(VALUE(SUBSTITUTE(TRIM('수출입 실적(성질별_수출)'!D438),",","")),"")</f>
        <v>432439.7</v>
      </c>
      <c r="G434" s="19" t="n">
        <f aca="false">IFERROR(VALUE(SUBSTITUTE(TRIM('수출입 실적(성질별_수출)'!E438),",","")),"")</f>
        <v>217241</v>
      </c>
    </row>
    <row r="435" customFormat="false" ht="15" hidden="false" customHeight="true" outlineLevel="0" collapsed="false">
      <c r="A435" s="11" t="str">
        <f aca="false">TRIM('수출입 실적(성질별_수출)'!A439)</f>
        <v>2025.09</v>
      </c>
      <c r="B435" s="17" t="n">
        <f aca="false">IFERROR(VALUE(LEFT($A435,4)),"")</f>
        <v>2025</v>
      </c>
      <c r="C435" s="17" t="n">
        <f aca="false">IFERROR(VALUE(RIGHT($A435,2)),"")</f>
        <v>9</v>
      </c>
      <c r="D435" s="17" t="n">
        <f aca="false">IFERROR(ROUNDUP($C435/3,0),"")</f>
        <v>3</v>
      </c>
      <c r="E435" s="11" t="str">
        <f aca="false">TRIM('수출입 실적(성질별_수출)'!C439)</f>
        <v>차. 완구, 운동용구 및 악기</v>
      </c>
      <c r="F435" s="18" t="n">
        <f aca="false">IFERROR(VALUE(SUBSTITUTE(TRIM('수출입 실적(성질별_수출)'!D439),",","")),"")</f>
        <v>2937.8</v>
      </c>
      <c r="G435" s="19" t="n">
        <f aca="false">IFERROR(VALUE(SUBSTITUTE(TRIM('수출입 실적(성질별_수출)'!E439),",","")),"")</f>
        <v>67873</v>
      </c>
    </row>
    <row r="436" customFormat="false" ht="15" hidden="false" customHeight="true" outlineLevel="0" collapsed="false">
      <c r="A436" s="11" t="str">
        <f aca="false">TRIM('수출입 실적(성질별_수출)'!A440)</f>
        <v>2025.09</v>
      </c>
      <c r="B436" s="17" t="n">
        <f aca="false">IFERROR(VALUE(LEFT($A436,4)),"")</f>
        <v>2025</v>
      </c>
      <c r="C436" s="17" t="n">
        <f aca="false">IFERROR(VALUE(RIGHT($A436,2)),"")</f>
        <v>9</v>
      </c>
      <c r="D436" s="17" t="n">
        <f aca="false">IFERROR(ROUNDUP($C436/3,0),"")</f>
        <v>3</v>
      </c>
      <c r="E436" s="11" t="str">
        <f aca="false">TRIM('수출입 실적(성질별_수출)'!C440)</f>
        <v>카. 기 타</v>
      </c>
      <c r="F436" s="18" t="n">
        <f aca="false">IFERROR(VALUE(SUBSTITUTE(TRIM('수출입 실적(성질별_수출)'!D440),",","")),"")</f>
        <v>388626.7</v>
      </c>
      <c r="G436" s="19" t="n">
        <f aca="false">IFERROR(VALUE(SUBSTITUTE(TRIM('수출입 실적(성질별_수출)'!E440),",","")),"")</f>
        <v>1071430</v>
      </c>
    </row>
    <row r="437" customFormat="false" ht="15" hidden="false" customHeight="true" outlineLevel="0" collapsed="false">
      <c r="A437" s="11" t="str">
        <f aca="false">TRIM('수출입 실적(성질별_수출)'!A441)</f>
        <v>2025.09</v>
      </c>
      <c r="B437" s="17" t="n">
        <f aca="false">IFERROR(VALUE(LEFT($A437,4)),"")</f>
        <v>2025</v>
      </c>
      <c r="C437" s="17" t="n">
        <f aca="false">IFERROR(VALUE(RIGHT($A437,2)),"")</f>
        <v>9</v>
      </c>
      <c r="D437" s="17" t="n">
        <f aca="false">IFERROR(ROUNDUP($C437/3,0),"")</f>
        <v>3</v>
      </c>
      <c r="E437" s="11" t="str">
        <f aca="false">TRIM('수출입 실적(성질별_수출)'!C441)</f>
        <v>4. 중화학 공업품</v>
      </c>
      <c r="F437" s="18" t="n">
        <f aca="false">IFERROR(VALUE(SUBSTITUTE(TRIM('수출입 실적(성질별_수출)'!D441),",","")),"")</f>
        <v>9536336.8</v>
      </c>
      <c r="G437" s="19" t="n">
        <f aca="false">IFERROR(VALUE(SUBSTITUTE(TRIM('수출입 실적(성질별_수출)'!E441),",","")),"")</f>
        <v>56633281</v>
      </c>
    </row>
    <row r="438" customFormat="false" ht="15" hidden="false" customHeight="true" outlineLevel="0" collapsed="false">
      <c r="A438" s="11" t="str">
        <f aca="false">TRIM('수출입 실적(성질별_수출)'!A442)</f>
        <v>2025.09</v>
      </c>
      <c r="B438" s="17" t="n">
        <f aca="false">IFERROR(VALUE(LEFT($A438,4)),"")</f>
        <v>2025</v>
      </c>
      <c r="C438" s="17" t="n">
        <f aca="false">IFERROR(VALUE(RIGHT($A438,2)),"")</f>
        <v>9</v>
      </c>
      <c r="D438" s="17" t="n">
        <f aca="false">IFERROR(ROUNDUP($C438/3,0),"")</f>
        <v>3</v>
      </c>
      <c r="E438" s="11" t="str">
        <f aca="false">TRIM('수출입 실적(성질별_수출)'!C442)</f>
        <v>가. 화공품</v>
      </c>
      <c r="F438" s="18" t="n">
        <f aca="false">IFERROR(VALUE(SUBSTITUTE(TRIM('수출입 실적(성질별_수출)'!D442),",","")),"")</f>
        <v>4078775.2</v>
      </c>
      <c r="G438" s="19" t="n">
        <f aca="false">IFERROR(VALUE(SUBSTITUTE(TRIM('수출입 실적(성질별_수출)'!E442),",","")),"")</f>
        <v>7224691</v>
      </c>
    </row>
    <row r="439" customFormat="false" ht="15" hidden="false" customHeight="true" outlineLevel="0" collapsed="false">
      <c r="A439" s="11" t="str">
        <f aca="false">TRIM('수출입 실적(성질별_수출)'!A443)</f>
        <v>2025.09</v>
      </c>
      <c r="B439" s="17" t="n">
        <f aca="false">IFERROR(VALUE(LEFT($A439,4)),"")</f>
        <v>2025</v>
      </c>
      <c r="C439" s="17" t="n">
        <f aca="false">IFERROR(VALUE(RIGHT($A439,2)),"")</f>
        <v>9</v>
      </c>
      <c r="D439" s="17" t="n">
        <f aca="false">IFERROR(ROUNDUP($C439/3,0),"")</f>
        <v>3</v>
      </c>
      <c r="E439" s="11" t="str">
        <f aca="false">TRIM('수출입 실적(성질별_수출)'!C443)</f>
        <v>나. 철강제품</v>
      </c>
      <c r="F439" s="18" t="n">
        <f aca="false">IFERROR(VALUE(SUBSTITUTE(TRIM('수출입 실적(성질별_수출)'!D443),",","")),"")</f>
        <v>2875989.9</v>
      </c>
      <c r="G439" s="19" t="n">
        <f aca="false">IFERROR(VALUE(SUBSTITUTE(TRIM('수출입 실적(성질별_수출)'!E443),",","")),"")</f>
        <v>4010790</v>
      </c>
    </row>
    <row r="440" customFormat="false" ht="15" hidden="false" customHeight="true" outlineLevel="0" collapsed="false">
      <c r="A440" s="11" t="str">
        <f aca="false">TRIM('수출입 실적(성질별_수출)'!A444)</f>
        <v>2025.09</v>
      </c>
      <c r="B440" s="17" t="n">
        <f aca="false">IFERROR(VALUE(LEFT($A440,4)),"")</f>
        <v>2025</v>
      </c>
      <c r="C440" s="17" t="n">
        <f aca="false">IFERROR(VALUE(RIGHT($A440,2)),"")</f>
        <v>9</v>
      </c>
      <c r="D440" s="17" t="n">
        <f aca="false">IFERROR(ROUNDUP($C440/3,0),"")</f>
        <v>3</v>
      </c>
      <c r="E440" s="11" t="str">
        <f aca="false">TRIM('수출입 실적(성질별_수출)'!C444)</f>
        <v>다. 기계류와 정밀기기</v>
      </c>
      <c r="F440" s="18" t="n">
        <f aca="false">IFERROR(VALUE(SUBSTITUTE(TRIM('수출입 실적(성질별_수출)'!D444),",","")),"")</f>
        <v>388590</v>
      </c>
      <c r="G440" s="19" t="n">
        <f aca="false">IFERROR(VALUE(SUBSTITUTE(TRIM('수출입 실적(성질별_수출)'!E444),",","")),"")</f>
        <v>6199108</v>
      </c>
    </row>
    <row r="441" customFormat="false" ht="15" hidden="false" customHeight="true" outlineLevel="0" collapsed="false">
      <c r="A441" s="11" t="str">
        <f aca="false">TRIM('수출입 실적(성질별_수출)'!A445)</f>
        <v>2025.09</v>
      </c>
      <c r="B441" s="17" t="n">
        <f aca="false">IFERROR(VALUE(LEFT($A441,4)),"")</f>
        <v>2025</v>
      </c>
      <c r="C441" s="17" t="n">
        <f aca="false">IFERROR(VALUE(RIGHT($A441,2)),"")</f>
        <v>9</v>
      </c>
      <c r="D441" s="17" t="n">
        <f aca="false">IFERROR(ROUNDUP($C441/3,0),"")</f>
        <v>3</v>
      </c>
      <c r="E441" s="11" t="str">
        <f aca="false">TRIM('수출입 실적(성질별_수출)'!C445)</f>
        <v>라. 전기, 전자제품</v>
      </c>
      <c r="F441" s="18" t="n">
        <f aca="false">IFERROR(VALUE(SUBSTITUTE(TRIM('수출입 실적(성질별_수출)'!D445),",","")),"")</f>
        <v>256728.5</v>
      </c>
      <c r="G441" s="19" t="n">
        <f aca="false">IFERROR(VALUE(SUBSTITUTE(TRIM('수출입 실적(성질별_수출)'!E445),",","")),"")</f>
        <v>25056049</v>
      </c>
    </row>
    <row r="442" customFormat="false" ht="15" hidden="false" customHeight="true" outlineLevel="0" collapsed="false">
      <c r="A442" s="11" t="str">
        <f aca="false">TRIM('수출입 실적(성질별_수출)'!A446)</f>
        <v>2025.09</v>
      </c>
      <c r="B442" s="17" t="n">
        <f aca="false">IFERROR(VALUE(LEFT($A442,4)),"")</f>
        <v>2025</v>
      </c>
      <c r="C442" s="17" t="n">
        <f aca="false">IFERROR(VALUE(RIGHT($A442,2)),"")</f>
        <v>9</v>
      </c>
      <c r="D442" s="17" t="n">
        <f aca="false">IFERROR(ROUNDUP($C442/3,0),"")</f>
        <v>3</v>
      </c>
      <c r="E442" s="11" t="str">
        <f aca="false">TRIM('수출입 실적(성질별_수출)'!C446)</f>
        <v>마. 수송장비</v>
      </c>
      <c r="F442" s="18" t="n">
        <f aca="false">IFERROR(VALUE(SUBSTITUTE(TRIM('수출입 실적(성질별_수출)'!D446),",","")),"")</f>
        <v>1849499.8</v>
      </c>
      <c r="G442" s="19" t="n">
        <f aca="false">IFERROR(VALUE(SUBSTITUTE(TRIM('수출입 실적(성질별_수출)'!E446),",","")),"")</f>
        <v>11419883</v>
      </c>
    </row>
    <row r="443" customFormat="false" ht="15" hidden="false" customHeight="true" outlineLevel="0" collapsed="false">
      <c r="A443" s="11" t="str">
        <f aca="false">TRIM('수출입 실적(성질별_수출)'!A447)</f>
        <v>2025.09</v>
      </c>
      <c r="B443" s="17" t="n">
        <f aca="false">IFERROR(VALUE(LEFT($A443,4)),"")</f>
        <v>2025</v>
      </c>
      <c r="C443" s="17" t="n">
        <f aca="false">IFERROR(VALUE(RIGHT($A443,2)),"")</f>
        <v>9</v>
      </c>
      <c r="D443" s="17" t="n">
        <f aca="false">IFERROR(ROUNDUP($C443/3,0),"")</f>
        <v>3</v>
      </c>
      <c r="E443" s="11" t="str">
        <f aca="false">TRIM('수출입 실적(성질별_수출)'!C447)</f>
        <v>바. 기 타</v>
      </c>
      <c r="F443" s="18" t="n">
        <f aca="false">IFERROR(VALUE(SUBSTITUTE(TRIM('수출입 실적(성질별_수출)'!D447),",","")),"")</f>
        <v>86753.3</v>
      </c>
      <c r="G443" s="19" t="n">
        <f aca="false">IFERROR(VALUE(SUBSTITUTE(TRIM('수출입 실적(성질별_수출)'!E447),",","")),"")</f>
        <v>2722758</v>
      </c>
    </row>
    <row r="444" customFormat="false" ht="15" hidden="false" customHeight="true" outlineLevel="0" collapsed="false">
      <c r="A444" s="11" t="str">
        <f aca="false">TRIM('수출입 실적(성질별_수출)'!A448)</f>
        <v>2025.10</v>
      </c>
      <c r="B444" s="17" t="n">
        <f aca="false">IFERROR(VALUE(LEFT($A444,4)),"")</f>
        <v>2025</v>
      </c>
      <c r="C444" s="17" t="n">
        <f aca="false">IFERROR(VALUE(RIGHT($A444,2)),"")</f>
        <v>10</v>
      </c>
      <c r="D444" s="17" t="n">
        <f aca="false">IFERROR(ROUNDUP($C444/3,0),"")</f>
        <v>4</v>
      </c>
      <c r="E444" s="11" t="str">
        <f aca="false">TRIM('수출입 실적(성질별_수출)'!C448)</f>
        <v>1. 식료 및 직접소비재</v>
      </c>
      <c r="F444" s="18" t="n">
        <f aca="false">IFERROR(VALUE(SUBSTITUTE(TRIM('수출입 실적(성질별_수출)'!D448),",","")),"")</f>
        <v>345299.3</v>
      </c>
      <c r="G444" s="19" t="n">
        <f aca="false">IFERROR(VALUE(SUBSTITUTE(TRIM('수출입 실적(성질별_수출)'!E448),",","")),"")</f>
        <v>982583</v>
      </c>
    </row>
    <row r="445" customFormat="false" ht="15" hidden="false" customHeight="true" outlineLevel="0" collapsed="false">
      <c r="A445" s="11" t="str">
        <f aca="false">TRIM('수출입 실적(성질별_수출)'!A449)</f>
        <v>2025.10</v>
      </c>
      <c r="B445" s="17" t="n">
        <f aca="false">IFERROR(VALUE(LEFT($A445,4)),"")</f>
        <v>2025</v>
      </c>
      <c r="C445" s="17" t="n">
        <f aca="false">IFERROR(VALUE(RIGHT($A445,2)),"")</f>
        <v>10</v>
      </c>
      <c r="D445" s="17" t="n">
        <f aca="false">IFERROR(ROUNDUP($C445/3,0),"")</f>
        <v>4</v>
      </c>
      <c r="E445" s="11" t="str">
        <f aca="false">TRIM('수출입 실적(성질별_수출)'!C449)</f>
        <v>2. 원료 및 연료</v>
      </c>
      <c r="F445" s="18" t="n">
        <f aca="false">IFERROR(VALUE(SUBSTITUTE(TRIM('수출입 실적(성질별_수출)'!D449),",","")),"")</f>
        <v>6391271.1</v>
      </c>
      <c r="G445" s="19" t="n">
        <f aca="false">IFERROR(VALUE(SUBSTITUTE(TRIM('수출입 실적(성질별_수출)'!E449),",","")),"")</f>
        <v>4636820</v>
      </c>
    </row>
    <row r="446" customFormat="false" ht="15" hidden="false" customHeight="true" outlineLevel="0" collapsed="false">
      <c r="A446" s="11" t="str">
        <f aca="false">TRIM('수출입 실적(성질별_수출)'!A450)</f>
        <v>2025.10</v>
      </c>
      <c r="B446" s="17" t="n">
        <f aca="false">IFERROR(VALUE(LEFT($A446,4)),"")</f>
        <v>2025</v>
      </c>
      <c r="C446" s="17" t="n">
        <f aca="false">IFERROR(VALUE(RIGHT($A446,2)),"")</f>
        <v>10</v>
      </c>
      <c r="D446" s="17" t="n">
        <f aca="false">IFERROR(ROUNDUP($C446/3,0),"")</f>
        <v>4</v>
      </c>
      <c r="E446" s="11" t="str">
        <f aca="false">TRIM('수출입 실적(성질별_수출)'!C450)</f>
        <v>3. 경공업품</v>
      </c>
      <c r="F446" s="18" t="n">
        <f aca="false">IFERROR(VALUE(SUBSTITUTE(TRIM('수출입 실적(성질별_수출)'!D450),",","")),"")</f>
        <v>1008726.9</v>
      </c>
      <c r="G446" s="19" t="n">
        <f aca="false">IFERROR(VALUE(SUBSTITUTE(TRIM('수출입 실적(성질별_수출)'!E450),",","")),"")</f>
        <v>2949713</v>
      </c>
    </row>
    <row r="447" customFormat="false" ht="15" hidden="false" customHeight="true" outlineLevel="0" collapsed="false">
      <c r="A447" s="11" t="str">
        <f aca="false">TRIM('수출입 실적(성질별_수출)'!A451)</f>
        <v>2025.10</v>
      </c>
      <c r="B447" s="17" t="n">
        <f aca="false">IFERROR(VALUE(LEFT($A447,4)),"")</f>
        <v>2025</v>
      </c>
      <c r="C447" s="17" t="n">
        <f aca="false">IFERROR(VALUE(RIGHT($A447,2)),"")</f>
        <v>10</v>
      </c>
      <c r="D447" s="17" t="n">
        <f aca="false">IFERROR(ROUNDUP($C447/3,0),"")</f>
        <v>4</v>
      </c>
      <c r="E447" s="11" t="str">
        <f aca="false">TRIM('수출입 실적(성질별_수출)'!C451)</f>
        <v>가. 섬유원료</v>
      </c>
      <c r="F447" s="18" t="n">
        <f aca="false">IFERROR(VALUE(SUBSTITUTE(TRIM('수출입 실적(성질별_수출)'!D451),",","")),"")</f>
        <v>47617.9</v>
      </c>
      <c r="G447" s="19" t="n">
        <f aca="false">IFERROR(VALUE(SUBSTITUTE(TRIM('수출입 실적(성질별_수출)'!E451),",","")),"")</f>
        <v>69889</v>
      </c>
    </row>
    <row r="448" customFormat="false" ht="15" hidden="false" customHeight="true" outlineLevel="0" collapsed="false">
      <c r="A448" s="11" t="str">
        <f aca="false">TRIM('수출입 실적(성질별_수출)'!A452)</f>
        <v>2025.10</v>
      </c>
      <c r="B448" s="17" t="n">
        <f aca="false">IFERROR(VALUE(LEFT($A448,4)),"")</f>
        <v>2025</v>
      </c>
      <c r="C448" s="17" t="n">
        <f aca="false">IFERROR(VALUE(RIGHT($A448,2)),"")</f>
        <v>10</v>
      </c>
      <c r="D448" s="17" t="n">
        <f aca="false">IFERROR(ROUNDUP($C448/3,0),"")</f>
        <v>4</v>
      </c>
      <c r="E448" s="11" t="str">
        <f aca="false">TRIM('수출입 실적(성질별_수출)'!C452)</f>
        <v>나. 섬유사</v>
      </c>
      <c r="F448" s="18" t="n">
        <f aca="false">IFERROR(VALUE(SUBSTITUTE(TRIM('수출입 실적(성질별_수출)'!D452),",","")),"")</f>
        <v>15382.6</v>
      </c>
      <c r="G448" s="19" t="n">
        <f aca="false">IFERROR(VALUE(SUBSTITUTE(TRIM('수출입 실적(성질별_수출)'!E452),",","")),"")</f>
        <v>56424</v>
      </c>
    </row>
    <row r="449" customFormat="false" ht="15" hidden="false" customHeight="true" outlineLevel="0" collapsed="false">
      <c r="A449" s="11" t="str">
        <f aca="false">TRIM('수출입 실적(성질별_수출)'!A453)</f>
        <v>2025.10</v>
      </c>
      <c r="B449" s="17" t="n">
        <f aca="false">IFERROR(VALUE(LEFT($A449,4)),"")</f>
        <v>2025</v>
      </c>
      <c r="C449" s="17" t="n">
        <f aca="false">IFERROR(VALUE(RIGHT($A449,2)),"")</f>
        <v>10</v>
      </c>
      <c r="D449" s="17" t="n">
        <f aca="false">IFERROR(ROUNDUP($C449/3,0),"")</f>
        <v>4</v>
      </c>
      <c r="E449" s="11" t="str">
        <f aca="false">TRIM('수출입 실적(성질별_수출)'!C453)</f>
        <v>다. 직 물</v>
      </c>
      <c r="F449" s="18" t="n">
        <f aca="false">IFERROR(VALUE(SUBSTITUTE(TRIM('수출입 실적(성질별_수출)'!D453),",","")),"")</f>
        <v>24313.9</v>
      </c>
      <c r="G449" s="19" t="n">
        <f aca="false">IFERROR(VALUE(SUBSTITUTE(TRIM('수출입 실적(성질별_수출)'!E453),",","")),"")</f>
        <v>240323</v>
      </c>
    </row>
    <row r="450" customFormat="false" ht="15" hidden="false" customHeight="true" outlineLevel="0" collapsed="false">
      <c r="A450" s="11" t="str">
        <f aca="false">TRIM('수출입 실적(성질별_수출)'!A454)</f>
        <v>2025.10</v>
      </c>
      <c r="B450" s="17" t="n">
        <f aca="false">IFERROR(VALUE(LEFT($A450,4)),"")</f>
        <v>2025</v>
      </c>
      <c r="C450" s="17" t="n">
        <f aca="false">IFERROR(VALUE(RIGHT($A450,2)),"")</f>
        <v>10</v>
      </c>
      <c r="D450" s="17" t="n">
        <f aca="false">IFERROR(ROUNDUP($C450/3,0),"")</f>
        <v>4</v>
      </c>
      <c r="E450" s="11" t="str">
        <f aca="false">TRIM('수출입 실적(성질별_수출)'!C454)</f>
        <v>라. 기타 섬유제품</v>
      </c>
      <c r="F450" s="18" t="n">
        <f aca="false">IFERROR(VALUE(SUBSTITUTE(TRIM('수출입 실적(성질별_수출)'!D454),",","")),"")</f>
        <v>19103</v>
      </c>
      <c r="G450" s="19" t="n">
        <f aca="false">IFERROR(VALUE(SUBSTITUTE(TRIM('수출입 실적(성질별_수출)'!E454),",","")),"")</f>
        <v>150173</v>
      </c>
    </row>
    <row r="451" customFormat="false" ht="15" hidden="false" customHeight="true" outlineLevel="0" collapsed="false">
      <c r="A451" s="11" t="str">
        <f aca="false">TRIM('수출입 실적(성질별_수출)'!A455)</f>
        <v>2025.10</v>
      </c>
      <c r="B451" s="17" t="n">
        <f aca="false">IFERROR(VALUE(LEFT($A451,4)),"")</f>
        <v>2025</v>
      </c>
      <c r="C451" s="17" t="n">
        <f aca="false">IFERROR(VALUE(RIGHT($A451,2)),"")</f>
        <v>10</v>
      </c>
      <c r="D451" s="17" t="n">
        <f aca="false">IFERROR(ROUNDUP($C451/3,0),"")</f>
        <v>4</v>
      </c>
      <c r="E451" s="11" t="str">
        <f aca="false">TRIM('수출입 실적(성질별_수출)'!C455)</f>
        <v>마. 의 류</v>
      </c>
      <c r="F451" s="18" t="n">
        <f aca="false">IFERROR(VALUE(SUBSTITUTE(TRIM('수출입 실적(성질별_수출)'!D455),",","")),"")</f>
        <v>5632.5</v>
      </c>
      <c r="G451" s="19" t="n">
        <f aca="false">IFERROR(VALUE(SUBSTITUTE(TRIM('수출입 실적(성질별_수출)'!E455),",","")),"")</f>
        <v>153647</v>
      </c>
    </row>
    <row r="452" customFormat="false" ht="15" hidden="false" customHeight="true" outlineLevel="0" collapsed="false">
      <c r="A452" s="11" t="str">
        <f aca="false">TRIM('수출입 실적(성질별_수출)'!A456)</f>
        <v>2025.10</v>
      </c>
      <c r="B452" s="17" t="n">
        <f aca="false">IFERROR(VALUE(LEFT($A452,4)),"")</f>
        <v>2025</v>
      </c>
      <c r="C452" s="17" t="n">
        <f aca="false">IFERROR(VALUE(RIGHT($A452,2)),"")</f>
        <v>10</v>
      </c>
      <c r="D452" s="17" t="n">
        <f aca="false">IFERROR(ROUNDUP($C452/3,0),"")</f>
        <v>4</v>
      </c>
      <c r="E452" s="11" t="str">
        <f aca="false">TRIM('수출입 실적(성질별_수출)'!C456)</f>
        <v>바. 목제품</v>
      </c>
      <c r="F452" s="18" t="n">
        <f aca="false">IFERROR(VALUE(SUBSTITUTE(TRIM('수출입 실적(성질별_수출)'!D456),",","")),"")</f>
        <v>14615.5</v>
      </c>
      <c r="G452" s="19" t="n">
        <f aca="false">IFERROR(VALUE(SUBSTITUTE(TRIM('수출입 실적(성질별_수출)'!E456),",","")),"")</f>
        <v>84319</v>
      </c>
    </row>
    <row r="453" customFormat="false" ht="15" hidden="false" customHeight="true" outlineLevel="0" collapsed="false">
      <c r="A453" s="11" t="str">
        <f aca="false">TRIM('수출입 실적(성질별_수출)'!A457)</f>
        <v>2025.10</v>
      </c>
      <c r="B453" s="17" t="n">
        <f aca="false">IFERROR(VALUE(LEFT($A453,4)),"")</f>
        <v>2025</v>
      </c>
      <c r="C453" s="17" t="n">
        <f aca="false">IFERROR(VALUE(RIGHT($A453,2)),"")</f>
        <v>10</v>
      </c>
      <c r="D453" s="17" t="n">
        <f aca="false">IFERROR(ROUNDUP($C453/3,0),"")</f>
        <v>4</v>
      </c>
      <c r="E453" s="11" t="str">
        <f aca="false">TRIM('수출입 실적(성질별_수출)'!C457)</f>
        <v>사. 가죽, 고무 및 신발류</v>
      </c>
      <c r="F453" s="18" t="n">
        <f aca="false">IFERROR(VALUE(SUBSTITUTE(TRIM('수출입 실적(성질별_수출)'!D457),",","")),"")</f>
        <v>58308.4</v>
      </c>
      <c r="G453" s="19" t="n">
        <f aca="false">IFERROR(VALUE(SUBSTITUTE(TRIM('수출입 실적(성질별_수출)'!E457),",","")),"")</f>
        <v>320184</v>
      </c>
    </row>
    <row r="454" customFormat="false" ht="15" hidden="false" customHeight="true" outlineLevel="0" collapsed="false">
      <c r="A454" s="11" t="str">
        <f aca="false">TRIM('수출입 실적(성질별_수출)'!A458)</f>
        <v>2025.10</v>
      </c>
      <c r="B454" s="17" t="n">
        <f aca="false">IFERROR(VALUE(LEFT($A454,4)),"")</f>
        <v>2025</v>
      </c>
      <c r="C454" s="17" t="n">
        <f aca="false">IFERROR(VALUE(RIGHT($A454,2)),"")</f>
        <v>10</v>
      </c>
      <c r="D454" s="17" t="n">
        <f aca="false">IFERROR(ROUNDUP($C454/3,0),"")</f>
        <v>4</v>
      </c>
      <c r="E454" s="11" t="str">
        <f aca="false">TRIM('수출입 실적(성질별_수출)'!C458)</f>
        <v>아. 귀금속 및 보석류</v>
      </c>
      <c r="F454" s="18" t="n">
        <f aca="false">IFERROR(VALUE(SUBSTITUTE(TRIM('수출입 실적(성질별_수출)'!D458),",","")),"")</f>
        <v>253.4</v>
      </c>
      <c r="G454" s="19" t="n">
        <f aca="false">IFERROR(VALUE(SUBSTITUTE(TRIM('수출입 실적(성질별_수출)'!E458),",","")),"")</f>
        <v>561464</v>
      </c>
    </row>
    <row r="455" customFormat="false" ht="15" hidden="false" customHeight="true" outlineLevel="0" collapsed="false">
      <c r="A455" s="11" t="str">
        <f aca="false">TRIM('수출입 실적(성질별_수출)'!A459)</f>
        <v>2025.10</v>
      </c>
      <c r="B455" s="17" t="n">
        <f aca="false">IFERROR(VALUE(LEFT($A455,4)),"")</f>
        <v>2025</v>
      </c>
      <c r="C455" s="17" t="n">
        <f aca="false">IFERROR(VALUE(RIGHT($A455,2)),"")</f>
        <v>10</v>
      </c>
      <c r="D455" s="17" t="n">
        <f aca="false">IFERROR(ROUNDUP($C455/3,0),"")</f>
        <v>4</v>
      </c>
      <c r="E455" s="11" t="str">
        <f aca="false">TRIM('수출입 실적(성질별_수출)'!C459)</f>
        <v>자. 기타 비금속 광물제품</v>
      </c>
      <c r="F455" s="18" t="n">
        <f aca="false">IFERROR(VALUE(SUBSTITUTE(TRIM('수출입 실적(성질별_수출)'!D459),",","")),"")</f>
        <v>482242</v>
      </c>
      <c r="G455" s="19" t="n">
        <f aca="false">IFERROR(VALUE(SUBSTITUTE(TRIM('수출입 실적(성질별_수출)'!E459),",","")),"")</f>
        <v>199948</v>
      </c>
    </row>
    <row r="456" customFormat="false" ht="15" hidden="false" customHeight="true" outlineLevel="0" collapsed="false">
      <c r="A456" s="11" t="str">
        <f aca="false">TRIM('수출입 실적(성질별_수출)'!A460)</f>
        <v>2025.10</v>
      </c>
      <c r="B456" s="17" t="n">
        <f aca="false">IFERROR(VALUE(LEFT($A456,4)),"")</f>
        <v>2025</v>
      </c>
      <c r="C456" s="17" t="n">
        <f aca="false">IFERROR(VALUE(RIGHT($A456,2)),"")</f>
        <v>10</v>
      </c>
      <c r="D456" s="17" t="n">
        <f aca="false">IFERROR(ROUNDUP($C456/3,0),"")</f>
        <v>4</v>
      </c>
      <c r="E456" s="11" t="str">
        <f aca="false">TRIM('수출입 실적(성질별_수출)'!C460)</f>
        <v>차. 완구, 운동용구 및 악기</v>
      </c>
      <c r="F456" s="18" t="n">
        <f aca="false">IFERROR(VALUE(SUBSTITUTE(TRIM('수출입 실적(성질별_수출)'!D460),",","")),"")</f>
        <v>2195.6</v>
      </c>
      <c r="G456" s="19" t="n">
        <f aca="false">IFERROR(VALUE(SUBSTITUTE(TRIM('수출입 실적(성질별_수출)'!E460),",","")),"")</f>
        <v>49895</v>
      </c>
    </row>
    <row r="457" customFormat="false" ht="15" hidden="false" customHeight="true" outlineLevel="0" collapsed="false">
      <c r="A457" s="11" t="str">
        <f aca="false">TRIM('수출입 실적(성질별_수출)'!A461)</f>
        <v>2025.10</v>
      </c>
      <c r="B457" s="17" t="n">
        <f aca="false">IFERROR(VALUE(LEFT($A457,4)),"")</f>
        <v>2025</v>
      </c>
      <c r="C457" s="17" t="n">
        <f aca="false">IFERROR(VALUE(RIGHT($A457,2)),"")</f>
        <v>10</v>
      </c>
      <c r="D457" s="17" t="n">
        <f aca="false">IFERROR(ROUNDUP($C457/3,0),"")</f>
        <v>4</v>
      </c>
      <c r="E457" s="11" t="str">
        <f aca="false">TRIM('수출입 실적(성질별_수출)'!C461)</f>
        <v>카. 기 타</v>
      </c>
      <c r="F457" s="18" t="n">
        <f aca="false">IFERROR(VALUE(SUBSTITUTE(TRIM('수출입 실적(성질별_수출)'!D461),",","")),"")</f>
        <v>339062.1</v>
      </c>
      <c r="G457" s="19" t="n">
        <f aca="false">IFERROR(VALUE(SUBSTITUTE(TRIM('수출입 실적(성질별_수출)'!E461),",","")),"")</f>
        <v>1063447</v>
      </c>
    </row>
    <row r="458" customFormat="false" ht="15" hidden="false" customHeight="true" outlineLevel="0" collapsed="false">
      <c r="A458" s="11" t="str">
        <f aca="false">TRIM('수출입 실적(성질별_수출)'!A462)</f>
        <v>2025.10</v>
      </c>
      <c r="B458" s="17" t="n">
        <f aca="false">IFERROR(VALUE(LEFT($A458,4)),"")</f>
        <v>2025</v>
      </c>
      <c r="C458" s="17" t="n">
        <f aca="false">IFERROR(VALUE(RIGHT($A458,2)),"")</f>
        <v>10</v>
      </c>
      <c r="D458" s="17" t="n">
        <f aca="false">IFERROR(ROUNDUP($C458/3,0),"")</f>
        <v>4</v>
      </c>
      <c r="E458" s="11" t="str">
        <f aca="false">TRIM('수출입 실적(성질별_수출)'!C462)</f>
        <v>4. 중화학 공업품</v>
      </c>
      <c r="F458" s="18" t="n">
        <f aca="false">IFERROR(VALUE(SUBSTITUTE(TRIM('수출입 실적(성질별_수출)'!D462),",","")),"")</f>
        <v>8272020.7</v>
      </c>
      <c r="G458" s="19" t="n">
        <f aca="false">IFERROR(VALUE(SUBSTITUTE(TRIM('수출입 실적(성질별_수출)'!E462),",","")),"")</f>
        <v>50942462</v>
      </c>
    </row>
    <row r="459" customFormat="false" ht="15" hidden="false" customHeight="true" outlineLevel="0" collapsed="false">
      <c r="A459" s="11" t="str">
        <f aca="false">TRIM('수출입 실적(성질별_수출)'!A463)</f>
        <v>2025.10</v>
      </c>
      <c r="B459" s="17" t="n">
        <f aca="false">IFERROR(VALUE(LEFT($A459,4)),"")</f>
        <v>2025</v>
      </c>
      <c r="C459" s="17" t="n">
        <f aca="false">IFERROR(VALUE(RIGHT($A459,2)),"")</f>
        <v>10</v>
      </c>
      <c r="D459" s="17" t="n">
        <f aca="false">IFERROR(ROUNDUP($C459/3,0),"")</f>
        <v>4</v>
      </c>
      <c r="E459" s="11" t="str">
        <f aca="false">TRIM('수출입 실적(성질별_수출)'!C463)</f>
        <v>가. 화공품</v>
      </c>
      <c r="F459" s="18" t="n">
        <f aca="false">IFERROR(VALUE(SUBSTITUTE(TRIM('수출입 실적(성질별_수출)'!D463),",","")),"")</f>
        <v>3597889.8</v>
      </c>
      <c r="G459" s="19" t="n">
        <f aca="false">IFERROR(VALUE(SUBSTITUTE(TRIM('수출입 실적(성질별_수출)'!E463),",","")),"")</f>
        <v>5826215</v>
      </c>
    </row>
    <row r="460" customFormat="false" ht="15" hidden="false" customHeight="true" outlineLevel="0" collapsed="false">
      <c r="A460" s="11" t="str">
        <f aca="false">TRIM('수출입 실적(성질별_수출)'!A464)</f>
        <v>2025.10</v>
      </c>
      <c r="B460" s="17" t="n">
        <f aca="false">IFERROR(VALUE(LEFT($A460,4)),"")</f>
        <v>2025</v>
      </c>
      <c r="C460" s="17" t="n">
        <f aca="false">IFERROR(VALUE(RIGHT($A460,2)),"")</f>
        <v>10</v>
      </c>
      <c r="D460" s="17" t="n">
        <f aca="false">IFERROR(ROUNDUP($C460/3,0),"")</f>
        <v>4</v>
      </c>
      <c r="E460" s="11" t="str">
        <f aca="false">TRIM('수출입 실적(성질별_수출)'!C464)</f>
        <v>나. 철강제품</v>
      </c>
      <c r="F460" s="18" t="n">
        <f aca="false">IFERROR(VALUE(SUBSTITUTE(TRIM('수출입 실적(성질별_수출)'!D464),",","")),"")</f>
        <v>2460899.2</v>
      </c>
      <c r="G460" s="19" t="n">
        <f aca="false">IFERROR(VALUE(SUBSTITUTE(TRIM('수출입 실적(성질별_수출)'!E464),",","")),"")</f>
        <v>3497302</v>
      </c>
    </row>
    <row r="461" customFormat="false" ht="15" hidden="false" customHeight="true" outlineLevel="0" collapsed="false">
      <c r="A461" s="11" t="str">
        <f aca="false">TRIM('수출입 실적(성질별_수출)'!A465)</f>
        <v>2025.10</v>
      </c>
      <c r="B461" s="17" t="n">
        <f aca="false">IFERROR(VALUE(LEFT($A461,4)),"")</f>
        <v>2025</v>
      </c>
      <c r="C461" s="17" t="n">
        <f aca="false">IFERROR(VALUE(RIGHT($A461,2)),"")</f>
        <v>10</v>
      </c>
      <c r="D461" s="17" t="n">
        <f aca="false">IFERROR(ROUNDUP($C461/3,0),"")</f>
        <v>4</v>
      </c>
      <c r="E461" s="11" t="str">
        <f aca="false">TRIM('수출입 실적(성질별_수출)'!C465)</f>
        <v>다. 기계류와 정밀기기</v>
      </c>
      <c r="F461" s="18" t="n">
        <f aca="false">IFERROR(VALUE(SUBSTITUTE(TRIM('수출입 실적(성질별_수출)'!D465),",","")),"")</f>
        <v>296144.9</v>
      </c>
      <c r="G461" s="19" t="n">
        <f aca="false">IFERROR(VALUE(SUBSTITUTE(TRIM('수출입 실적(성질별_수출)'!E465),",","")),"")</f>
        <v>5008382</v>
      </c>
    </row>
    <row r="462" customFormat="false" ht="15" hidden="false" customHeight="true" outlineLevel="0" collapsed="false">
      <c r="A462" s="11" t="str">
        <f aca="false">TRIM('수출입 실적(성질별_수출)'!A466)</f>
        <v>2025.10</v>
      </c>
      <c r="B462" s="17" t="n">
        <f aca="false">IFERROR(VALUE(LEFT($A462,4)),"")</f>
        <v>2025</v>
      </c>
      <c r="C462" s="17" t="n">
        <f aca="false">IFERROR(VALUE(RIGHT($A462,2)),"")</f>
        <v>10</v>
      </c>
      <c r="D462" s="17" t="n">
        <f aca="false">IFERROR(ROUNDUP($C462/3,0),"")</f>
        <v>4</v>
      </c>
      <c r="E462" s="11" t="str">
        <f aca="false">TRIM('수출입 실적(성질별_수출)'!C466)</f>
        <v>라. 전기, 전자제품</v>
      </c>
      <c r="F462" s="18" t="n">
        <f aca="false">IFERROR(VALUE(SUBSTITUTE(TRIM('수출입 실적(성질별_수출)'!D466),",","")),"")</f>
        <v>196652.6</v>
      </c>
      <c r="G462" s="19" t="n">
        <f aca="false">IFERROR(VALUE(SUBSTITUTE(TRIM('수출입 실적(성질별_수출)'!E466),",","")),"")</f>
        <v>23014194</v>
      </c>
    </row>
    <row r="463" customFormat="false" ht="15" hidden="false" customHeight="true" outlineLevel="0" collapsed="false">
      <c r="A463" s="11" t="str">
        <f aca="false">TRIM('수출입 실적(성질별_수출)'!A467)</f>
        <v>2025.10</v>
      </c>
      <c r="B463" s="17" t="n">
        <f aca="false">IFERROR(VALUE(LEFT($A463,4)),"")</f>
        <v>2025</v>
      </c>
      <c r="C463" s="17" t="n">
        <f aca="false">IFERROR(VALUE(RIGHT($A463,2)),"")</f>
        <v>10</v>
      </c>
      <c r="D463" s="17" t="n">
        <f aca="false">IFERROR(ROUNDUP($C463/3,0),"")</f>
        <v>4</v>
      </c>
      <c r="E463" s="11" t="str">
        <f aca="false">TRIM('수출입 실적(성질별_수출)'!C467)</f>
        <v>마. 수송장비</v>
      </c>
      <c r="F463" s="18" t="n">
        <f aca="false">IFERROR(VALUE(SUBSTITUTE(TRIM('수출입 실적(성질별_수출)'!D467),",","")),"")</f>
        <v>1655446.1</v>
      </c>
      <c r="G463" s="19" t="n">
        <f aca="false">IFERROR(VALUE(SUBSTITUTE(TRIM('수출입 실적(성질별_수출)'!E467),",","")),"")</f>
        <v>11989564</v>
      </c>
    </row>
    <row r="464" customFormat="false" ht="15" hidden="false" customHeight="true" outlineLevel="0" collapsed="false">
      <c r="A464" s="11" t="str">
        <f aca="false">TRIM('수출입 실적(성질별_수출)'!A468)</f>
        <v>2025.10</v>
      </c>
      <c r="B464" s="17" t="n">
        <f aca="false">IFERROR(VALUE(LEFT($A464,4)),"")</f>
        <v>2025</v>
      </c>
      <c r="C464" s="17" t="n">
        <f aca="false">IFERROR(VALUE(RIGHT($A464,2)),"")</f>
        <v>10</v>
      </c>
      <c r="D464" s="17" t="n">
        <f aca="false">IFERROR(ROUNDUP($C464/3,0),"")</f>
        <v>4</v>
      </c>
      <c r="E464" s="11" t="str">
        <f aca="false">TRIM('수출입 실적(성질별_수출)'!C468)</f>
        <v>바. 기 타</v>
      </c>
      <c r="F464" s="18" t="n">
        <f aca="false">IFERROR(VALUE(SUBSTITUTE(TRIM('수출입 실적(성질별_수출)'!D468),",","")),"")</f>
        <v>64988</v>
      </c>
      <c r="G464" s="19" t="n">
        <f aca="false">IFERROR(VALUE(SUBSTITUTE(TRIM('수출입 실적(성질별_수출)'!E468),",","")),"")</f>
        <v>1606805</v>
      </c>
    </row>
    <row r="465" customFormat="false" ht="15" hidden="false" customHeight="true" outlineLevel="0" collapsed="false">
      <c r="A465" s="11" t="str">
        <f aca="false">TRIM('수출입 실적(성질별_수출)'!A469)</f>
        <v>2025.11</v>
      </c>
      <c r="B465" s="17" t="n">
        <f aca="false">IFERROR(VALUE(LEFT($A465,4)),"")</f>
        <v>2025</v>
      </c>
      <c r="C465" s="17" t="n">
        <f aca="false">IFERROR(VALUE(RIGHT($A465,2)),"")</f>
        <v>11</v>
      </c>
      <c r="D465" s="17" t="n">
        <f aca="false">IFERROR(ROUNDUP($C465/3,0),"")</f>
        <v>4</v>
      </c>
      <c r="E465" s="11" t="str">
        <f aca="false">TRIM('수출입 실적(성질별_수출)'!C469)</f>
        <v>1. 식료 및 직접소비재</v>
      </c>
      <c r="F465" s="18" t="n">
        <f aca="false">IFERROR(VALUE(SUBSTITUTE(TRIM('수출입 실적(성질별_수출)'!D469),",","")),"")</f>
        <v>357943.4</v>
      </c>
      <c r="G465" s="19" t="n">
        <f aca="false">IFERROR(VALUE(SUBSTITUTE(TRIM('수출입 실적(성질별_수출)'!E469),",","")),"")</f>
        <v>1035914</v>
      </c>
    </row>
    <row r="466" customFormat="false" ht="15" hidden="false" customHeight="true" outlineLevel="0" collapsed="false">
      <c r="A466" s="11" t="str">
        <f aca="false">TRIM('수출입 실적(성질별_수출)'!A470)</f>
        <v>2025.11</v>
      </c>
      <c r="B466" s="17" t="n">
        <f aca="false">IFERROR(VALUE(LEFT($A466,4)),"")</f>
        <v>2025</v>
      </c>
      <c r="C466" s="17" t="n">
        <f aca="false">IFERROR(VALUE(RIGHT($A466,2)),"")</f>
        <v>11</v>
      </c>
      <c r="D466" s="17" t="n">
        <f aca="false">IFERROR(ROUNDUP($C466/3,0),"")</f>
        <v>4</v>
      </c>
      <c r="E466" s="11" t="str">
        <f aca="false">TRIM('수출입 실적(성질별_수출)'!C470)</f>
        <v>2. 원료 및 연료</v>
      </c>
      <c r="F466" s="18" t="n">
        <f aca="false">IFERROR(VALUE(SUBSTITUTE(TRIM('수출입 실적(성질별_수출)'!D470),",","")),"")</f>
        <v>5575488</v>
      </c>
      <c r="G466" s="19" t="n">
        <f aca="false">IFERROR(VALUE(SUBSTITUTE(TRIM('수출입 실적(성질별_수출)'!E470),",","")),"")</f>
        <v>4182136</v>
      </c>
    </row>
    <row r="467" customFormat="false" ht="15" hidden="false" customHeight="true" outlineLevel="0" collapsed="false">
      <c r="A467" s="11" t="str">
        <f aca="false">TRIM('수출입 실적(성질별_수출)'!A471)</f>
        <v>2025.11</v>
      </c>
      <c r="B467" s="17" t="n">
        <f aca="false">IFERROR(VALUE(LEFT($A467,4)),"")</f>
        <v>2025</v>
      </c>
      <c r="C467" s="17" t="n">
        <f aca="false">IFERROR(VALUE(RIGHT($A467,2)),"")</f>
        <v>11</v>
      </c>
      <c r="D467" s="17" t="n">
        <f aca="false">IFERROR(ROUNDUP($C467/3,0),"")</f>
        <v>4</v>
      </c>
      <c r="E467" s="11" t="str">
        <f aca="false">TRIM('수출입 실적(성질별_수출)'!C471)</f>
        <v>3. 경공업품</v>
      </c>
      <c r="F467" s="18" t="n">
        <f aca="false">IFERROR(VALUE(SUBSTITUTE(TRIM('수출입 실적(성질별_수출)'!D471),",","")),"")</f>
        <v>878460.7</v>
      </c>
      <c r="G467" s="19" t="n">
        <f aca="false">IFERROR(VALUE(SUBSTITUTE(TRIM('수출입 실적(성질별_수출)'!E471),",","")),"")</f>
        <v>3211353</v>
      </c>
    </row>
    <row r="468" customFormat="false" ht="15" hidden="false" customHeight="true" outlineLevel="0" collapsed="false">
      <c r="A468" s="11" t="str">
        <f aca="false">TRIM('수출입 실적(성질별_수출)'!A472)</f>
        <v>2025.11</v>
      </c>
      <c r="B468" s="17" t="n">
        <f aca="false">IFERROR(VALUE(LEFT($A468,4)),"")</f>
        <v>2025</v>
      </c>
      <c r="C468" s="17" t="n">
        <f aca="false">IFERROR(VALUE(RIGHT($A468,2)),"")</f>
        <v>11</v>
      </c>
      <c r="D468" s="17" t="n">
        <f aca="false">IFERROR(ROUNDUP($C468/3,0),"")</f>
        <v>4</v>
      </c>
      <c r="E468" s="11" t="str">
        <f aca="false">TRIM('수출입 실적(성질별_수출)'!C472)</f>
        <v>가. 섬유원료</v>
      </c>
      <c r="F468" s="18" t="n">
        <f aca="false">IFERROR(VALUE(SUBSTITUTE(TRIM('수출입 실적(성질별_수출)'!D472),",","")),"")</f>
        <v>51469.9</v>
      </c>
      <c r="G468" s="19" t="n">
        <f aca="false">IFERROR(VALUE(SUBSTITUTE(TRIM('수출입 실적(성질별_수출)'!E472),",","")),"")</f>
        <v>75207</v>
      </c>
    </row>
    <row r="469" customFormat="false" ht="15" hidden="false" customHeight="true" outlineLevel="0" collapsed="false">
      <c r="A469" s="11" t="str">
        <f aca="false">TRIM('수출입 실적(성질별_수출)'!A473)</f>
        <v>2025.11</v>
      </c>
      <c r="B469" s="17" t="n">
        <f aca="false">IFERROR(VALUE(LEFT($A469,4)),"")</f>
        <v>2025</v>
      </c>
      <c r="C469" s="17" t="n">
        <f aca="false">IFERROR(VALUE(RIGHT($A469,2)),"")</f>
        <v>11</v>
      </c>
      <c r="D469" s="17" t="n">
        <f aca="false">IFERROR(ROUNDUP($C469/3,0),"")</f>
        <v>4</v>
      </c>
      <c r="E469" s="11" t="str">
        <f aca="false">TRIM('수출입 실적(성질별_수출)'!C473)</f>
        <v>나. 섬유사</v>
      </c>
      <c r="F469" s="18" t="n">
        <f aca="false">IFERROR(VALUE(SUBSTITUTE(TRIM('수출입 실적(성질별_수출)'!D473),",","")),"")</f>
        <v>15822.2</v>
      </c>
      <c r="G469" s="19" t="n">
        <f aca="false">IFERROR(VALUE(SUBSTITUTE(TRIM('수출입 실적(성질별_수출)'!E473),",","")),"")</f>
        <v>57459</v>
      </c>
    </row>
    <row r="470" customFormat="false" ht="15" hidden="false" customHeight="true" outlineLevel="0" collapsed="false">
      <c r="A470" s="11" t="str">
        <f aca="false">TRIM('수출입 실적(성질별_수출)'!A474)</f>
        <v>2025.11</v>
      </c>
      <c r="B470" s="17" t="n">
        <f aca="false">IFERROR(VALUE(LEFT($A470,4)),"")</f>
        <v>2025</v>
      </c>
      <c r="C470" s="17" t="n">
        <f aca="false">IFERROR(VALUE(RIGHT($A470,2)),"")</f>
        <v>11</v>
      </c>
      <c r="D470" s="17" t="n">
        <f aca="false">IFERROR(ROUNDUP($C470/3,0),"")</f>
        <v>4</v>
      </c>
      <c r="E470" s="11" t="str">
        <f aca="false">TRIM('수출입 실적(성질별_수출)'!C474)</f>
        <v>다. 직 물</v>
      </c>
      <c r="F470" s="18" t="n">
        <f aca="false">IFERROR(VALUE(SUBSTITUTE(TRIM('수출입 실적(성질별_수출)'!D474),",","")),"")</f>
        <v>27631.5</v>
      </c>
      <c r="G470" s="19" t="n">
        <f aca="false">IFERROR(VALUE(SUBSTITUTE(TRIM('수출입 실적(성질별_수출)'!E474),",","")),"")</f>
        <v>278451</v>
      </c>
    </row>
    <row r="471" customFormat="false" ht="15" hidden="false" customHeight="true" outlineLevel="0" collapsed="false">
      <c r="A471" s="11" t="str">
        <f aca="false">TRIM('수출입 실적(성질별_수출)'!A475)</f>
        <v>2025.11</v>
      </c>
      <c r="B471" s="17" t="n">
        <f aca="false">IFERROR(VALUE(LEFT($A471,4)),"")</f>
        <v>2025</v>
      </c>
      <c r="C471" s="17" t="n">
        <f aca="false">IFERROR(VALUE(RIGHT($A471,2)),"")</f>
        <v>11</v>
      </c>
      <c r="D471" s="17" t="n">
        <f aca="false">IFERROR(ROUNDUP($C471/3,0),"")</f>
        <v>4</v>
      </c>
      <c r="E471" s="11" t="str">
        <f aca="false">TRIM('수출입 실적(성질별_수출)'!C475)</f>
        <v>라. 기타 섬유제품</v>
      </c>
      <c r="F471" s="18" t="n">
        <f aca="false">IFERROR(VALUE(SUBSTITUTE(TRIM('수출입 실적(성질별_수출)'!D475),",","")),"")</f>
        <v>21156.2</v>
      </c>
      <c r="G471" s="19" t="n">
        <f aca="false">IFERROR(VALUE(SUBSTITUTE(TRIM('수출입 실적(성질별_수출)'!E475),",","")),"")</f>
        <v>162683</v>
      </c>
    </row>
    <row r="472" customFormat="false" ht="15" hidden="false" customHeight="true" outlineLevel="0" collapsed="false">
      <c r="A472" s="11" t="str">
        <f aca="false">TRIM('수출입 실적(성질별_수출)'!A476)</f>
        <v>2025.11</v>
      </c>
      <c r="B472" s="17" t="n">
        <f aca="false">IFERROR(VALUE(LEFT($A472,4)),"")</f>
        <v>2025</v>
      </c>
      <c r="C472" s="17" t="n">
        <f aca="false">IFERROR(VALUE(RIGHT($A472,2)),"")</f>
        <v>11</v>
      </c>
      <c r="D472" s="17" t="n">
        <f aca="false">IFERROR(ROUNDUP($C472/3,0),"")</f>
        <v>4</v>
      </c>
      <c r="E472" s="11" t="str">
        <f aca="false">TRIM('수출입 실적(성질별_수출)'!C476)</f>
        <v>마. 의 류</v>
      </c>
      <c r="F472" s="18" t="n">
        <f aca="false">IFERROR(VALUE(SUBSTITUTE(TRIM('수출입 실적(성질별_수출)'!D476),",","")),"")</f>
        <v>7153.9</v>
      </c>
      <c r="G472" s="19" t="n">
        <f aca="false">IFERROR(VALUE(SUBSTITUTE(TRIM('수출입 실적(성질별_수출)'!E476),",","")),"")</f>
        <v>195650</v>
      </c>
    </row>
    <row r="473" customFormat="false" ht="15" hidden="false" customHeight="true" outlineLevel="0" collapsed="false">
      <c r="A473" s="11" t="str">
        <f aca="false">TRIM('수출입 실적(성질별_수출)'!A477)</f>
        <v>2025.11</v>
      </c>
      <c r="B473" s="17" t="n">
        <f aca="false">IFERROR(VALUE(LEFT($A473,4)),"")</f>
        <v>2025</v>
      </c>
      <c r="C473" s="17" t="n">
        <f aca="false">IFERROR(VALUE(RIGHT($A473,2)),"")</f>
        <v>11</v>
      </c>
      <c r="D473" s="17" t="n">
        <f aca="false">IFERROR(ROUNDUP($C473/3,0),"")</f>
        <v>4</v>
      </c>
      <c r="E473" s="11" t="str">
        <f aca="false">TRIM('수출입 실적(성질별_수출)'!C477)</f>
        <v>바. 목제품</v>
      </c>
      <c r="F473" s="18" t="n">
        <f aca="false">IFERROR(VALUE(SUBSTITUTE(TRIM('수출입 실적(성질별_수출)'!D477),",","")),"")</f>
        <v>15421.6</v>
      </c>
      <c r="G473" s="19" t="n">
        <f aca="false">IFERROR(VALUE(SUBSTITUTE(TRIM('수출입 실적(성질별_수출)'!E477),",","")),"")</f>
        <v>92810</v>
      </c>
    </row>
    <row r="474" customFormat="false" ht="15" hidden="false" customHeight="true" outlineLevel="0" collapsed="false">
      <c r="A474" s="11" t="str">
        <f aca="false">TRIM('수출입 실적(성질별_수출)'!A478)</f>
        <v>2025.11</v>
      </c>
      <c r="B474" s="17" t="n">
        <f aca="false">IFERROR(VALUE(LEFT($A474,4)),"")</f>
        <v>2025</v>
      </c>
      <c r="C474" s="17" t="n">
        <f aca="false">IFERROR(VALUE(RIGHT($A474,2)),"")</f>
        <v>11</v>
      </c>
      <c r="D474" s="17" t="n">
        <f aca="false">IFERROR(ROUNDUP($C474/3,0),"")</f>
        <v>4</v>
      </c>
      <c r="E474" s="11" t="str">
        <f aca="false">TRIM('수출입 실적(성질별_수출)'!C478)</f>
        <v>사. 가죽, 고무 및 신발류</v>
      </c>
      <c r="F474" s="18" t="n">
        <f aca="false">IFERROR(VALUE(SUBSTITUTE(TRIM('수출입 실적(성질별_수출)'!D478),",","")),"")</f>
        <v>61504.2</v>
      </c>
      <c r="G474" s="19" t="n">
        <f aca="false">IFERROR(VALUE(SUBSTITUTE(TRIM('수출입 실적(성질별_수출)'!E478),",","")),"")</f>
        <v>334273</v>
      </c>
    </row>
    <row r="475" customFormat="false" ht="15" hidden="false" customHeight="true" outlineLevel="0" collapsed="false">
      <c r="A475" s="11" t="str">
        <f aca="false">TRIM('수출입 실적(성질별_수출)'!A479)</f>
        <v>2025.11</v>
      </c>
      <c r="B475" s="17" t="n">
        <f aca="false">IFERROR(VALUE(LEFT($A475,4)),"")</f>
        <v>2025</v>
      </c>
      <c r="C475" s="17" t="n">
        <f aca="false">IFERROR(VALUE(RIGHT($A475,2)),"")</f>
        <v>11</v>
      </c>
      <c r="D475" s="17" t="n">
        <f aca="false">IFERROR(ROUNDUP($C475/3,0),"")</f>
        <v>4</v>
      </c>
      <c r="E475" s="11" t="str">
        <f aca="false">TRIM('수출입 실적(성질별_수출)'!C479)</f>
        <v>아. 귀금속 및 보석류</v>
      </c>
      <c r="F475" s="18" t="n">
        <f aca="false">IFERROR(VALUE(SUBSTITUTE(TRIM('수출입 실적(성질별_수출)'!D479),",","")),"")</f>
        <v>292.1</v>
      </c>
      <c r="G475" s="19" t="n">
        <f aca="false">IFERROR(VALUE(SUBSTITUTE(TRIM('수출입 실적(성질별_수출)'!E479),",","")),"")</f>
        <v>597065</v>
      </c>
    </row>
    <row r="476" customFormat="false" ht="15" hidden="false" customHeight="true" outlineLevel="0" collapsed="false">
      <c r="A476" s="11" t="str">
        <f aca="false">TRIM('수출입 실적(성질별_수출)'!A480)</f>
        <v>2025.11</v>
      </c>
      <c r="B476" s="17" t="n">
        <f aca="false">IFERROR(VALUE(LEFT($A476,4)),"")</f>
        <v>2025</v>
      </c>
      <c r="C476" s="17" t="n">
        <f aca="false">IFERROR(VALUE(RIGHT($A476,2)),"")</f>
        <v>11</v>
      </c>
      <c r="D476" s="17" t="n">
        <f aca="false">IFERROR(ROUNDUP($C476/3,0),"")</f>
        <v>4</v>
      </c>
      <c r="E476" s="11" t="str">
        <f aca="false">TRIM('수출입 실적(성질별_수출)'!C480)</f>
        <v>자. 기타 비금속 광물제품</v>
      </c>
      <c r="F476" s="18" t="n">
        <f aca="false">IFERROR(VALUE(SUBSTITUTE(TRIM('수출입 실적(성질별_수출)'!D480),",","")),"")</f>
        <v>334320.9</v>
      </c>
      <c r="G476" s="19" t="n">
        <f aca="false">IFERROR(VALUE(SUBSTITUTE(TRIM('수출입 실적(성질별_수출)'!E480),",","")),"")</f>
        <v>194095</v>
      </c>
    </row>
    <row r="477" customFormat="false" ht="15" hidden="false" customHeight="true" outlineLevel="0" collapsed="false">
      <c r="A477" s="11" t="str">
        <f aca="false">TRIM('수출입 실적(성질별_수출)'!A481)</f>
        <v>2025.11</v>
      </c>
      <c r="B477" s="17" t="n">
        <f aca="false">IFERROR(VALUE(LEFT($A477,4)),"")</f>
        <v>2025</v>
      </c>
      <c r="C477" s="17" t="n">
        <f aca="false">IFERROR(VALUE(RIGHT($A477,2)),"")</f>
        <v>11</v>
      </c>
      <c r="D477" s="17" t="n">
        <f aca="false">IFERROR(ROUNDUP($C477/3,0),"")</f>
        <v>4</v>
      </c>
      <c r="E477" s="11" t="str">
        <f aca="false">TRIM('수출입 실적(성질별_수출)'!C481)</f>
        <v>차. 완구, 운동용구 및 악기</v>
      </c>
      <c r="F477" s="18" t="n">
        <f aca="false">IFERROR(VALUE(SUBSTITUTE(TRIM('수출입 실적(성질별_수출)'!D481),",","")),"")</f>
        <v>2513.5</v>
      </c>
      <c r="G477" s="19" t="n">
        <f aca="false">IFERROR(VALUE(SUBSTITUTE(TRIM('수출입 실적(성질별_수출)'!E481),",","")),"")</f>
        <v>56309</v>
      </c>
    </row>
    <row r="478" customFormat="false" ht="15" hidden="false" customHeight="true" outlineLevel="0" collapsed="false">
      <c r="A478" s="11" t="str">
        <f aca="false">TRIM('수출입 실적(성질별_수출)'!A482)</f>
        <v>2025.11</v>
      </c>
      <c r="B478" s="17" t="n">
        <f aca="false">IFERROR(VALUE(LEFT($A478,4)),"")</f>
        <v>2025</v>
      </c>
      <c r="C478" s="17" t="n">
        <f aca="false">IFERROR(VALUE(RIGHT($A478,2)),"")</f>
        <v>11</v>
      </c>
      <c r="D478" s="17" t="n">
        <f aca="false">IFERROR(ROUNDUP($C478/3,0),"")</f>
        <v>4</v>
      </c>
      <c r="E478" s="11" t="str">
        <f aca="false">TRIM('수출입 실적(성질별_수출)'!C482)</f>
        <v>카. 기 타</v>
      </c>
      <c r="F478" s="18" t="n">
        <f aca="false">IFERROR(VALUE(SUBSTITUTE(TRIM('수출입 실적(성질별_수출)'!D482),",","")),"")</f>
        <v>341174.7</v>
      </c>
      <c r="G478" s="19" t="n">
        <f aca="false">IFERROR(VALUE(SUBSTITUTE(TRIM('수출입 실적(성질별_수출)'!E482),",","")),"")</f>
        <v>1167352</v>
      </c>
    </row>
    <row r="479" customFormat="false" ht="15" hidden="false" customHeight="true" outlineLevel="0" collapsed="false">
      <c r="A479" s="11" t="str">
        <f aca="false">TRIM('수출입 실적(성질별_수출)'!A483)</f>
        <v>2025.11</v>
      </c>
      <c r="B479" s="17" t="n">
        <f aca="false">IFERROR(VALUE(LEFT($A479,4)),"")</f>
        <v>2025</v>
      </c>
      <c r="C479" s="17" t="n">
        <f aca="false">IFERROR(VALUE(RIGHT($A479,2)),"")</f>
        <v>11</v>
      </c>
      <c r="D479" s="17" t="n">
        <f aca="false">IFERROR(ROUNDUP($C479/3,0),"")</f>
        <v>4</v>
      </c>
      <c r="E479" s="11" t="str">
        <f aca="false">TRIM('수출입 실적(성질별_수출)'!C483)</f>
        <v>4. 중화학 공업품</v>
      </c>
      <c r="F479" s="18" t="n">
        <f aca="false">IFERROR(VALUE(SUBSTITUTE(TRIM('수출입 실적(성질별_수출)'!D483),",","")),"")</f>
        <v>7793204.3</v>
      </c>
      <c r="G479" s="19" t="n">
        <f aca="false">IFERROR(VALUE(SUBSTITUTE(TRIM('수출입 실적(성질별_수출)'!E483),",","")),"")</f>
        <v>52323214</v>
      </c>
    </row>
    <row r="480" customFormat="false" ht="15" hidden="false" customHeight="true" outlineLevel="0" collapsed="false">
      <c r="A480" s="11" t="str">
        <f aca="false">TRIM('수출입 실적(성질별_수출)'!A484)</f>
        <v>2025.11</v>
      </c>
      <c r="B480" s="17" t="n">
        <f aca="false">IFERROR(VALUE(LEFT($A480,4)),"")</f>
        <v>2025</v>
      </c>
      <c r="C480" s="17" t="n">
        <f aca="false">IFERROR(VALUE(RIGHT($A480,2)),"")</f>
        <v>11</v>
      </c>
      <c r="D480" s="17" t="n">
        <f aca="false">IFERROR(ROUNDUP($C480/3,0),"")</f>
        <v>4</v>
      </c>
      <c r="E480" s="11" t="str">
        <f aca="false">TRIM('수출입 실적(성질별_수출)'!C484)</f>
        <v>가. 화공품</v>
      </c>
      <c r="F480" s="18" t="n">
        <f aca="false">IFERROR(VALUE(SUBSTITUTE(TRIM('수출입 실적(성질별_수출)'!D484),",","")),"")</f>
        <v>3604621</v>
      </c>
      <c r="G480" s="19" t="n">
        <f aca="false">IFERROR(VALUE(SUBSTITUTE(TRIM('수출입 실적(성질별_수출)'!E484),",","")),"")</f>
        <v>6022876</v>
      </c>
    </row>
    <row r="481" customFormat="false" ht="15" hidden="false" customHeight="true" outlineLevel="0" collapsed="false">
      <c r="A481" s="11" t="str">
        <f aca="false">TRIM('수출입 실적(성질별_수출)'!A485)</f>
        <v>2025.11</v>
      </c>
      <c r="B481" s="17" t="n">
        <f aca="false">IFERROR(VALUE(LEFT($A481,4)),"")</f>
        <v>2025</v>
      </c>
      <c r="C481" s="17" t="n">
        <f aca="false">IFERROR(VALUE(RIGHT($A481,2)),"")</f>
        <v>11</v>
      </c>
      <c r="D481" s="17" t="n">
        <f aca="false">IFERROR(ROUNDUP($C481/3,0),"")</f>
        <v>4</v>
      </c>
      <c r="E481" s="11" t="str">
        <f aca="false">TRIM('수출입 실적(성질별_수출)'!C485)</f>
        <v>나. 철강제품</v>
      </c>
      <c r="F481" s="18" t="n">
        <f aca="false">IFERROR(VALUE(SUBSTITUTE(TRIM('수출입 실적(성질별_수출)'!D485),",","")),"")</f>
        <v>2359552.9</v>
      </c>
      <c r="G481" s="19" t="n">
        <f aca="false">IFERROR(VALUE(SUBSTITUTE(TRIM('수출입 실적(성질별_수출)'!E485),",","")),"")</f>
        <v>3480452</v>
      </c>
    </row>
    <row r="482" customFormat="false" ht="15" hidden="false" customHeight="true" outlineLevel="0" collapsed="false">
      <c r="A482" s="11" t="str">
        <f aca="false">TRIM('수출입 실적(성질별_수출)'!A486)</f>
        <v>2025.11</v>
      </c>
      <c r="B482" s="17" t="n">
        <f aca="false">IFERROR(VALUE(LEFT($A482,4)),"")</f>
        <v>2025</v>
      </c>
      <c r="C482" s="17" t="n">
        <f aca="false">IFERROR(VALUE(RIGHT($A482,2)),"")</f>
        <v>11</v>
      </c>
      <c r="D482" s="17" t="n">
        <f aca="false">IFERROR(ROUNDUP($C482/3,0),"")</f>
        <v>4</v>
      </c>
      <c r="E482" s="11" t="str">
        <f aca="false">TRIM('수출입 실적(성질별_수출)'!C486)</f>
        <v>다. 기계류와 정밀기기</v>
      </c>
      <c r="F482" s="18" t="n">
        <f aca="false">IFERROR(VALUE(SUBSTITUTE(TRIM('수출입 실적(성질별_수출)'!D486),",","")),"")</f>
        <v>351927.9</v>
      </c>
      <c r="G482" s="19" t="n">
        <f aca="false">IFERROR(VALUE(SUBSTITUTE(TRIM('수출입 실적(성질별_수출)'!E486),",","")),"")</f>
        <v>5822852</v>
      </c>
    </row>
    <row r="483" customFormat="false" ht="15" hidden="false" customHeight="true" outlineLevel="0" collapsed="false">
      <c r="A483" s="11" t="str">
        <f aca="false">TRIM('수출입 실적(성질별_수출)'!A487)</f>
        <v>2025.11</v>
      </c>
      <c r="B483" s="17" t="n">
        <f aca="false">IFERROR(VALUE(LEFT($A483,4)),"")</f>
        <v>2025</v>
      </c>
      <c r="C483" s="17" t="n">
        <f aca="false">IFERROR(VALUE(RIGHT($A483,2)),"")</f>
        <v>11</v>
      </c>
      <c r="D483" s="17" t="n">
        <f aca="false">IFERROR(ROUNDUP($C483/3,0),"")</f>
        <v>4</v>
      </c>
      <c r="E483" s="11" t="str">
        <f aca="false">TRIM('수출입 실적(성질별_수출)'!C487)</f>
        <v>라. 전기, 전자제품</v>
      </c>
      <c r="F483" s="18" t="n">
        <f aca="false">IFERROR(VALUE(SUBSTITUTE(TRIM('수출입 실적(성질별_수출)'!D487),",","")),"")</f>
        <v>223659.8</v>
      </c>
      <c r="G483" s="19" t="n">
        <f aca="false">IFERROR(VALUE(SUBSTITUTE(TRIM('수출입 실적(성질별_수출)'!E487),",","")),"")</f>
        <v>25157276</v>
      </c>
    </row>
    <row r="484" customFormat="false" ht="15" hidden="false" customHeight="true" outlineLevel="0" collapsed="false">
      <c r="A484" s="11" t="str">
        <f aca="false">TRIM('수출입 실적(성질별_수출)'!A488)</f>
        <v>2025.11</v>
      </c>
      <c r="B484" s="17" t="n">
        <f aca="false">IFERROR(VALUE(LEFT($A484,4)),"")</f>
        <v>2025</v>
      </c>
      <c r="C484" s="17" t="n">
        <f aca="false">IFERROR(VALUE(RIGHT($A484,2)),"")</f>
        <v>11</v>
      </c>
      <c r="D484" s="17" t="n">
        <f aca="false">IFERROR(ROUNDUP($C484/3,0),"")</f>
        <v>4</v>
      </c>
      <c r="E484" s="11" t="str">
        <f aca="false">TRIM('수출입 실적(성질별_수출)'!C488)</f>
        <v>마. 수송장비</v>
      </c>
      <c r="F484" s="18" t="n">
        <f aca="false">IFERROR(VALUE(SUBSTITUTE(TRIM('수출입 실적(성질별_수출)'!D488),",","")),"")</f>
        <v>1186299.8</v>
      </c>
      <c r="G484" s="19" t="n">
        <f aca="false">IFERROR(VALUE(SUBSTITUTE(TRIM('수출입 실적(성질별_수출)'!E488),",","")),"")</f>
        <v>9965178</v>
      </c>
    </row>
    <row r="485" customFormat="false" ht="15" hidden="false" customHeight="true" outlineLevel="0" collapsed="false">
      <c r="A485" s="11" t="str">
        <f aca="false">TRIM('수출입 실적(성질별_수출)'!A489)</f>
        <v>2025.11</v>
      </c>
      <c r="B485" s="17" t="n">
        <f aca="false">IFERROR(VALUE(LEFT($A485,4)),"")</f>
        <v>2025</v>
      </c>
      <c r="C485" s="17" t="n">
        <f aca="false">IFERROR(VALUE(RIGHT($A485,2)),"")</f>
        <v>11</v>
      </c>
      <c r="D485" s="17" t="n">
        <f aca="false">IFERROR(ROUNDUP($C485/3,0),"")</f>
        <v>4</v>
      </c>
      <c r="E485" s="11" t="str">
        <f aca="false">TRIM('수출입 실적(성질별_수출)'!C489)</f>
        <v>바. 기 타</v>
      </c>
      <c r="F485" s="18" t="n">
        <f aca="false">IFERROR(VALUE(SUBSTITUTE(TRIM('수출입 실적(성질별_수출)'!D489),",","")),"")</f>
        <v>67143</v>
      </c>
      <c r="G485" s="19" t="n">
        <f aca="false">IFERROR(VALUE(SUBSTITUTE(TRIM('수출입 실적(성질별_수출)'!E489),",","")),"")</f>
        <v>1874581</v>
      </c>
    </row>
    <row r="486" customFormat="false" ht="15" hidden="false" customHeight="true" outlineLevel="0" collapsed="false">
      <c r="A486" s="11" t="str">
        <f aca="false">TRIM('수출입 실적(성질별_수출)'!A490)</f>
        <v>2025.12</v>
      </c>
      <c r="B486" s="17" t="n">
        <f aca="false">IFERROR(VALUE(LEFT($A486,4)),"")</f>
        <v>2025</v>
      </c>
      <c r="C486" s="17" t="n">
        <f aca="false">IFERROR(VALUE(RIGHT($A486,2)),"")</f>
        <v>12</v>
      </c>
      <c r="D486" s="17" t="n">
        <f aca="false">IFERROR(ROUNDUP($C486/3,0),"")</f>
        <v>4</v>
      </c>
      <c r="E486" s="11" t="str">
        <f aca="false">TRIM('수출입 실적(성질별_수출)'!C490)</f>
        <v>1. 식료 및 직접소비재</v>
      </c>
      <c r="F486" s="18" t="n">
        <f aca="false">IFERROR(VALUE(SUBSTITUTE(TRIM('수출입 실적(성질별_수출)'!D490),",","")),"")</f>
        <v>387523.7</v>
      </c>
      <c r="G486" s="19" t="n">
        <f aca="false">IFERROR(VALUE(SUBSTITUTE(TRIM('수출입 실적(성질별_수출)'!E490),",","")),"")</f>
        <v>1124957</v>
      </c>
    </row>
    <row r="487" customFormat="false" ht="15" hidden="false" customHeight="true" outlineLevel="0" collapsed="false">
      <c r="A487" s="11" t="str">
        <f aca="false">TRIM('수출입 실적(성질별_수출)'!A491)</f>
        <v>2025.12</v>
      </c>
      <c r="B487" s="17" t="n">
        <f aca="false">IFERROR(VALUE(LEFT($A487,4)),"")</f>
        <v>2025</v>
      </c>
      <c r="C487" s="17" t="n">
        <f aca="false">IFERROR(VALUE(RIGHT($A487,2)),"")</f>
        <v>12</v>
      </c>
      <c r="D487" s="17" t="n">
        <f aca="false">IFERROR(ROUNDUP($C487/3,0),"")</f>
        <v>4</v>
      </c>
      <c r="E487" s="11" t="str">
        <f aca="false">TRIM('수출입 실적(성질별_수출)'!C491)</f>
        <v>2. 원료 및 연료</v>
      </c>
      <c r="F487" s="18" t="n">
        <f aca="false">IFERROR(VALUE(SUBSTITUTE(TRIM('수출입 실적(성질별_수출)'!D491),",","")),"")</f>
        <v>7196816.5</v>
      </c>
      <c r="G487" s="19" t="n">
        <f aca="false">IFERROR(VALUE(SUBSTITUTE(TRIM('수출입 실적(성질별_수출)'!E491),",","")),"")</f>
        <v>5215225</v>
      </c>
    </row>
    <row r="488" customFormat="false" ht="15" hidden="false" customHeight="true" outlineLevel="0" collapsed="false">
      <c r="A488" s="11" t="str">
        <f aca="false">TRIM('수출입 실적(성질별_수출)'!A492)</f>
        <v>2025.12</v>
      </c>
      <c r="B488" s="17" t="n">
        <f aca="false">IFERROR(VALUE(LEFT($A488,4)),"")</f>
        <v>2025</v>
      </c>
      <c r="C488" s="17" t="n">
        <f aca="false">IFERROR(VALUE(RIGHT($A488,2)),"")</f>
        <v>12</v>
      </c>
      <c r="D488" s="17" t="n">
        <f aca="false">IFERROR(ROUNDUP($C488/3,0),"")</f>
        <v>4</v>
      </c>
      <c r="E488" s="11" t="str">
        <f aca="false">TRIM('수출입 실적(성질별_수출)'!C492)</f>
        <v>3. 경공업품</v>
      </c>
      <c r="F488" s="18" t="n">
        <f aca="false">IFERROR(VALUE(SUBSTITUTE(TRIM('수출입 실적(성질별_수출)'!D492),",","")),"")</f>
        <v>1073682.1</v>
      </c>
      <c r="G488" s="19" t="n">
        <f aca="false">IFERROR(VALUE(SUBSTITUTE(TRIM('수출입 실적(성질별_수출)'!E492),",","")),"")</f>
        <v>3167101</v>
      </c>
    </row>
    <row r="489" customFormat="false" ht="15" hidden="false" customHeight="true" outlineLevel="0" collapsed="false">
      <c r="A489" s="11" t="str">
        <f aca="false">TRIM('수출입 실적(성질별_수출)'!A493)</f>
        <v>2025.12</v>
      </c>
      <c r="B489" s="17" t="n">
        <f aca="false">IFERROR(VALUE(LEFT($A489,4)),"")</f>
        <v>2025</v>
      </c>
      <c r="C489" s="17" t="n">
        <f aca="false">IFERROR(VALUE(RIGHT($A489,2)),"")</f>
        <v>12</v>
      </c>
      <c r="D489" s="17" t="n">
        <f aca="false">IFERROR(ROUNDUP($C489/3,0),"")</f>
        <v>4</v>
      </c>
      <c r="E489" s="11" t="str">
        <f aca="false">TRIM('수출입 실적(성질별_수출)'!C493)</f>
        <v>가. 섬유원료</v>
      </c>
      <c r="F489" s="18" t="n">
        <f aca="false">IFERROR(VALUE(SUBSTITUTE(TRIM('수출입 실적(성질별_수출)'!D493),",","")),"")</f>
        <v>53501.1</v>
      </c>
      <c r="G489" s="19" t="n">
        <f aca="false">IFERROR(VALUE(SUBSTITUTE(TRIM('수출입 실적(성질별_수출)'!E493),",","")),"")</f>
        <v>81994</v>
      </c>
    </row>
    <row r="490" customFormat="false" ht="15" hidden="false" customHeight="true" outlineLevel="0" collapsed="false">
      <c r="A490" s="11" t="str">
        <f aca="false">TRIM('수출입 실적(성질별_수출)'!A494)</f>
        <v>2025.12</v>
      </c>
      <c r="B490" s="17" t="n">
        <f aca="false">IFERROR(VALUE(LEFT($A490,4)),"")</f>
        <v>2025</v>
      </c>
      <c r="C490" s="17" t="n">
        <f aca="false">IFERROR(VALUE(RIGHT($A490,2)),"")</f>
        <v>12</v>
      </c>
      <c r="D490" s="17" t="n">
        <f aca="false">IFERROR(ROUNDUP($C490/3,0),"")</f>
        <v>4</v>
      </c>
      <c r="E490" s="11" t="str">
        <f aca="false">TRIM('수출입 실적(성질별_수출)'!C494)</f>
        <v>나. 섬유사</v>
      </c>
      <c r="F490" s="18" t="n">
        <f aca="false">IFERROR(VALUE(SUBSTITUTE(TRIM('수출입 실적(성질별_수출)'!D494),",","")),"")</f>
        <v>17177.9</v>
      </c>
      <c r="G490" s="19" t="n">
        <f aca="false">IFERROR(VALUE(SUBSTITUTE(TRIM('수출입 실적(성질별_수출)'!E494),",","")),"")</f>
        <v>62419</v>
      </c>
    </row>
    <row r="491" customFormat="false" ht="15" hidden="false" customHeight="true" outlineLevel="0" collapsed="false">
      <c r="A491" s="11" t="str">
        <f aca="false">TRIM('수출입 실적(성질별_수출)'!A495)</f>
        <v>2025.12</v>
      </c>
      <c r="B491" s="17" t="n">
        <f aca="false">IFERROR(VALUE(LEFT($A491,4)),"")</f>
        <v>2025</v>
      </c>
      <c r="C491" s="17" t="n">
        <f aca="false">IFERROR(VALUE(RIGHT($A491,2)),"")</f>
        <v>12</v>
      </c>
      <c r="D491" s="17" t="n">
        <f aca="false">IFERROR(ROUNDUP($C491/3,0),"")</f>
        <v>4</v>
      </c>
      <c r="E491" s="11" t="str">
        <f aca="false">TRIM('수출입 실적(성질별_수출)'!C495)</f>
        <v>다. 직 물</v>
      </c>
      <c r="F491" s="18" t="n">
        <f aca="false">IFERROR(VALUE(SUBSTITUTE(TRIM('수출입 실적(성질별_수출)'!D495),",","")),"")</f>
        <v>31909.2</v>
      </c>
      <c r="G491" s="19" t="n">
        <f aca="false">IFERROR(VALUE(SUBSTITUTE(TRIM('수출입 실적(성질별_수출)'!E495),",","")),"")</f>
        <v>309823</v>
      </c>
    </row>
    <row r="492" customFormat="false" ht="15" hidden="false" customHeight="true" outlineLevel="0" collapsed="false">
      <c r="A492" s="11" t="str">
        <f aca="false">TRIM('수출입 실적(성질별_수출)'!A496)</f>
        <v>2025.12</v>
      </c>
      <c r="B492" s="17" t="n">
        <f aca="false">IFERROR(VALUE(LEFT($A492,4)),"")</f>
        <v>2025</v>
      </c>
      <c r="C492" s="17" t="n">
        <f aca="false">IFERROR(VALUE(RIGHT($A492,2)),"")</f>
        <v>12</v>
      </c>
      <c r="D492" s="17" t="n">
        <f aca="false">IFERROR(ROUNDUP($C492/3,0),"")</f>
        <v>4</v>
      </c>
      <c r="E492" s="11" t="str">
        <f aca="false">TRIM('수출입 실적(성질별_수출)'!C496)</f>
        <v>라. 기타 섬유제품</v>
      </c>
      <c r="F492" s="18" t="n">
        <f aca="false">IFERROR(VALUE(SUBSTITUTE(TRIM('수출입 실적(성질별_수출)'!D496),",","")),"")</f>
        <v>24477.9</v>
      </c>
      <c r="G492" s="19" t="n">
        <f aca="false">IFERROR(VALUE(SUBSTITUTE(TRIM('수출입 실적(성질별_수출)'!E496),",","")),"")</f>
        <v>187873</v>
      </c>
    </row>
    <row r="493" customFormat="false" ht="15" hidden="false" customHeight="true" outlineLevel="0" collapsed="false">
      <c r="A493" s="11" t="str">
        <f aca="false">TRIM('수출입 실적(성질별_수출)'!A497)</f>
        <v>2025.12</v>
      </c>
      <c r="B493" s="17" t="n">
        <f aca="false">IFERROR(VALUE(LEFT($A493,4)),"")</f>
        <v>2025</v>
      </c>
      <c r="C493" s="17" t="n">
        <f aca="false">IFERROR(VALUE(RIGHT($A493,2)),"")</f>
        <v>12</v>
      </c>
      <c r="D493" s="17" t="n">
        <f aca="false">IFERROR(ROUNDUP($C493/3,0),"")</f>
        <v>4</v>
      </c>
      <c r="E493" s="11" t="str">
        <f aca="false">TRIM('수출입 실적(성질별_수출)'!C497)</f>
        <v>마. 의 류</v>
      </c>
      <c r="F493" s="18" t="n">
        <f aca="false">IFERROR(VALUE(SUBSTITUTE(TRIM('수출입 실적(성질별_수출)'!D497),",","")),"")</f>
        <v>6872.8</v>
      </c>
      <c r="G493" s="19" t="n">
        <f aca="false">IFERROR(VALUE(SUBSTITUTE(TRIM('수출입 실적(성질별_수출)'!E497),",","")),"")</f>
        <v>195433</v>
      </c>
    </row>
    <row r="494" customFormat="false" ht="15" hidden="false" customHeight="true" outlineLevel="0" collapsed="false">
      <c r="A494" s="11" t="str">
        <f aca="false">TRIM('수출입 실적(성질별_수출)'!A498)</f>
        <v>2025.12</v>
      </c>
      <c r="B494" s="17" t="n">
        <f aca="false">IFERROR(VALUE(LEFT($A494,4)),"")</f>
        <v>2025</v>
      </c>
      <c r="C494" s="17" t="n">
        <f aca="false">IFERROR(VALUE(RIGHT($A494,2)),"")</f>
        <v>12</v>
      </c>
      <c r="D494" s="17" t="n">
        <f aca="false">IFERROR(ROUNDUP($C494/3,0),"")</f>
        <v>4</v>
      </c>
      <c r="E494" s="11" t="str">
        <f aca="false">TRIM('수출입 실적(성질별_수출)'!C498)</f>
        <v>바. 목제품</v>
      </c>
      <c r="F494" s="18" t="n">
        <f aca="false">IFERROR(VALUE(SUBSTITUTE(TRIM('수출입 실적(성질별_수출)'!D498),",","")),"")</f>
        <v>17964.1</v>
      </c>
      <c r="G494" s="19" t="n">
        <f aca="false">IFERROR(VALUE(SUBSTITUTE(TRIM('수출입 실적(성질별_수출)'!E498),",","")),"")</f>
        <v>111019</v>
      </c>
    </row>
    <row r="495" customFormat="false" ht="15" hidden="false" customHeight="true" outlineLevel="0" collapsed="false">
      <c r="A495" s="11" t="str">
        <f aca="false">TRIM('수출입 실적(성질별_수출)'!A499)</f>
        <v>2025.12</v>
      </c>
      <c r="B495" s="17" t="n">
        <f aca="false">IFERROR(VALUE(LEFT($A495,4)),"")</f>
        <v>2025</v>
      </c>
      <c r="C495" s="17" t="n">
        <f aca="false">IFERROR(VALUE(RIGHT($A495,2)),"")</f>
        <v>12</v>
      </c>
      <c r="D495" s="17" t="n">
        <f aca="false">IFERROR(ROUNDUP($C495/3,0),"")</f>
        <v>4</v>
      </c>
      <c r="E495" s="11" t="str">
        <f aca="false">TRIM('수출입 실적(성질별_수출)'!C499)</f>
        <v>사. 가죽, 고무 및 신발류</v>
      </c>
      <c r="F495" s="18" t="n">
        <f aca="false">IFERROR(VALUE(SUBSTITUTE(TRIM('수출입 실적(성질별_수출)'!D499),",","")),"")</f>
        <v>70942.4</v>
      </c>
      <c r="G495" s="19" t="n">
        <f aca="false">IFERROR(VALUE(SUBSTITUTE(TRIM('수출입 실적(성질별_수출)'!E499),",","")),"")</f>
        <v>405025</v>
      </c>
    </row>
    <row r="496" customFormat="false" ht="15" hidden="false" customHeight="true" outlineLevel="0" collapsed="false">
      <c r="A496" s="11" t="str">
        <f aca="false">TRIM('수출입 실적(성질별_수출)'!A500)</f>
        <v>2025.12</v>
      </c>
      <c r="B496" s="17" t="n">
        <f aca="false">IFERROR(VALUE(LEFT($A496,4)),"")</f>
        <v>2025</v>
      </c>
      <c r="C496" s="17" t="n">
        <f aca="false">IFERROR(VALUE(RIGHT($A496,2)),"")</f>
        <v>12</v>
      </c>
      <c r="D496" s="17" t="n">
        <f aca="false">IFERROR(ROUNDUP($C496/3,0),"")</f>
        <v>4</v>
      </c>
      <c r="E496" s="11" t="str">
        <f aca="false">TRIM('수출입 실적(성질별_수출)'!C500)</f>
        <v>아. 귀금속 및 보석류</v>
      </c>
      <c r="F496" s="18" t="n">
        <f aca="false">IFERROR(VALUE(SUBSTITUTE(TRIM('수출입 실적(성질별_수출)'!D500),",","")),"")</f>
        <v>314.1</v>
      </c>
      <c r="G496" s="19" t="n">
        <f aca="false">IFERROR(VALUE(SUBSTITUTE(TRIM('수출입 실적(성질별_수출)'!E500),",","")),"")</f>
        <v>490209</v>
      </c>
    </row>
    <row r="497" customFormat="false" ht="15" hidden="false" customHeight="true" outlineLevel="0" collapsed="false">
      <c r="A497" s="11" t="str">
        <f aca="false">TRIM('수출입 실적(성질별_수출)'!A501)</f>
        <v>2025.12</v>
      </c>
      <c r="B497" s="17" t="n">
        <f aca="false">IFERROR(VALUE(LEFT($A497,4)),"")</f>
        <v>2025</v>
      </c>
      <c r="C497" s="17" t="n">
        <f aca="false">IFERROR(VALUE(RIGHT($A497,2)),"")</f>
        <v>12</v>
      </c>
      <c r="D497" s="17" t="n">
        <f aca="false">IFERROR(ROUNDUP($C497/3,0),"")</f>
        <v>4</v>
      </c>
      <c r="E497" s="11" t="str">
        <f aca="false">TRIM('수출입 실적(성질별_수출)'!C501)</f>
        <v>자. 기타 비금속 광물제품</v>
      </c>
      <c r="F497" s="18" t="n">
        <f aca="false">IFERROR(VALUE(SUBSTITUTE(TRIM('수출입 실적(성질별_수출)'!D501),",","")),"")</f>
        <v>467376.1</v>
      </c>
      <c r="G497" s="19" t="n">
        <f aca="false">IFERROR(VALUE(SUBSTITUTE(TRIM('수출입 실적(성질별_수출)'!E501),",","")),"")</f>
        <v>214106</v>
      </c>
    </row>
    <row r="498" customFormat="false" ht="15" hidden="false" customHeight="true" outlineLevel="0" collapsed="false">
      <c r="A498" s="11" t="str">
        <f aca="false">TRIM('수출입 실적(성질별_수출)'!A502)</f>
        <v>2025.12</v>
      </c>
      <c r="B498" s="17" t="n">
        <f aca="false">IFERROR(VALUE(LEFT($A498,4)),"")</f>
        <v>2025</v>
      </c>
      <c r="C498" s="17" t="n">
        <f aca="false">IFERROR(VALUE(RIGHT($A498,2)),"")</f>
        <v>12</v>
      </c>
      <c r="D498" s="17" t="n">
        <f aca="false">IFERROR(ROUNDUP($C498/3,0),"")</f>
        <v>4</v>
      </c>
      <c r="E498" s="11" t="str">
        <f aca="false">TRIM('수출입 실적(성질별_수출)'!C502)</f>
        <v>차. 완구, 운동용구 및 악기</v>
      </c>
      <c r="F498" s="18" t="n">
        <f aca="false">IFERROR(VALUE(SUBSTITUTE(TRIM('수출입 실적(성질별_수출)'!D502),",","")),"")</f>
        <v>2686.5</v>
      </c>
      <c r="G498" s="19" t="n">
        <f aca="false">IFERROR(VALUE(SUBSTITUTE(TRIM('수출입 실적(성질별_수출)'!E502),",","")),"")</f>
        <v>58457</v>
      </c>
    </row>
    <row r="499" customFormat="false" ht="15" hidden="false" customHeight="true" outlineLevel="0" collapsed="false">
      <c r="A499" s="11" t="str">
        <f aca="false">TRIM('수출입 실적(성질별_수출)'!A503)</f>
        <v>2025.12</v>
      </c>
      <c r="B499" s="17" t="n">
        <f aca="false">IFERROR(VALUE(LEFT($A499,4)),"")</f>
        <v>2025</v>
      </c>
      <c r="C499" s="17" t="n">
        <f aca="false">IFERROR(VALUE(RIGHT($A499,2)),"")</f>
        <v>12</v>
      </c>
      <c r="D499" s="17" t="n">
        <f aca="false">IFERROR(ROUNDUP($C499/3,0),"")</f>
        <v>4</v>
      </c>
      <c r="E499" s="11" t="str">
        <f aca="false">TRIM('수출입 실적(성질별_수출)'!C503)</f>
        <v>카. 기 타</v>
      </c>
      <c r="F499" s="18" t="n">
        <f aca="false">IFERROR(VALUE(SUBSTITUTE(TRIM('수출입 실적(성질별_수출)'!D503),",","")),"")</f>
        <v>380460.1</v>
      </c>
      <c r="G499" s="19" t="n">
        <f aca="false">IFERROR(VALUE(SUBSTITUTE(TRIM('수출입 실적(성질별_수출)'!E503),",","")),"")</f>
        <v>1050743</v>
      </c>
    </row>
    <row r="500" customFormat="false" ht="15" hidden="false" customHeight="true" outlineLevel="0" collapsed="false">
      <c r="A500" s="11" t="str">
        <f aca="false">TRIM('수출입 실적(성질별_수출)'!A504)</f>
        <v>2025.12</v>
      </c>
      <c r="B500" s="17" t="n">
        <f aca="false">IFERROR(VALUE(LEFT($A500,4)),"")</f>
        <v>2025</v>
      </c>
      <c r="C500" s="17" t="n">
        <f aca="false">IFERROR(VALUE(RIGHT($A500,2)),"")</f>
        <v>12</v>
      </c>
      <c r="D500" s="17" t="n">
        <f aca="false">IFERROR(ROUNDUP($C500/3,0),"")</f>
        <v>4</v>
      </c>
      <c r="E500" s="11" t="str">
        <f aca="false">TRIM('수출입 실적(성질별_수출)'!C504)</f>
        <v>4. 중화학 공업품</v>
      </c>
      <c r="F500" s="18" t="n">
        <f aca="false">IFERROR(VALUE(SUBSTITUTE(TRIM('수출입 실적(성질별_수출)'!D504),",","")),"")</f>
        <v>9319873.3</v>
      </c>
      <c r="G500" s="19" t="n">
        <f aca="false">IFERROR(VALUE(SUBSTITUTE(TRIM('수출입 실적(성질별_수출)'!E504),",","")),"")</f>
        <v>60006340</v>
      </c>
    </row>
    <row r="501" customFormat="false" ht="15" hidden="false" customHeight="true" outlineLevel="0" collapsed="false">
      <c r="A501" s="11" t="str">
        <f aca="false">TRIM('수출입 실적(성질별_수출)'!A505)</f>
        <v>2025.12</v>
      </c>
      <c r="B501" s="17" t="n">
        <f aca="false">IFERROR(VALUE(LEFT($A501,4)),"")</f>
        <v>2025</v>
      </c>
      <c r="C501" s="17" t="n">
        <f aca="false">IFERROR(VALUE(RIGHT($A501,2)),"")</f>
        <v>12</v>
      </c>
      <c r="D501" s="17" t="n">
        <f aca="false">IFERROR(ROUNDUP($C501/3,0),"")</f>
        <v>4</v>
      </c>
      <c r="E501" s="11" t="str">
        <f aca="false">TRIM('수출입 실적(성질별_수출)'!C505)</f>
        <v>가. 화공품</v>
      </c>
      <c r="F501" s="18" t="n">
        <f aca="false">IFERROR(VALUE(SUBSTITUTE(TRIM('수출입 실적(성질별_수출)'!D505),",","")),"")</f>
        <v>4155290.9</v>
      </c>
      <c r="G501" s="19" t="n">
        <f aca="false">IFERROR(VALUE(SUBSTITUTE(TRIM('수출입 실적(성질별_수출)'!E505),",","")),"")</f>
        <v>6774079</v>
      </c>
    </row>
    <row r="502" customFormat="false" ht="15" hidden="false" customHeight="true" outlineLevel="0" collapsed="false">
      <c r="A502" s="11" t="str">
        <f aca="false">TRIM('수출입 실적(성질별_수출)'!A506)</f>
        <v>2025.12</v>
      </c>
      <c r="B502" s="17" t="n">
        <f aca="false">IFERROR(VALUE(LEFT($A502,4)),"")</f>
        <v>2025</v>
      </c>
      <c r="C502" s="17" t="n">
        <f aca="false">IFERROR(VALUE(RIGHT($A502,2)),"")</f>
        <v>12</v>
      </c>
      <c r="D502" s="17" t="n">
        <f aca="false">IFERROR(ROUNDUP($C502/3,0),"")</f>
        <v>4</v>
      </c>
      <c r="E502" s="11" t="str">
        <f aca="false">TRIM('수출입 실적(성질별_수출)'!C506)</f>
        <v>나. 철강제품</v>
      </c>
      <c r="F502" s="18" t="n">
        <f aca="false">IFERROR(VALUE(SUBSTITUTE(TRIM('수출입 실적(성질별_수출)'!D506),",","")),"")</f>
        <v>2747806.6</v>
      </c>
      <c r="G502" s="19" t="n">
        <f aca="false">IFERROR(VALUE(SUBSTITUTE(TRIM('수출입 실적(성질별_수출)'!E506),",","")),"")</f>
        <v>4021349</v>
      </c>
    </row>
    <row r="503" customFormat="false" ht="15" hidden="false" customHeight="true" outlineLevel="0" collapsed="false">
      <c r="A503" s="11" t="str">
        <f aca="false">TRIM('수출입 실적(성질별_수출)'!A507)</f>
        <v>2025.12</v>
      </c>
      <c r="B503" s="17" t="n">
        <f aca="false">IFERROR(VALUE(LEFT($A503,4)),"")</f>
        <v>2025</v>
      </c>
      <c r="C503" s="17" t="n">
        <f aca="false">IFERROR(VALUE(RIGHT($A503,2)),"")</f>
        <v>12</v>
      </c>
      <c r="D503" s="17" t="n">
        <f aca="false">IFERROR(ROUNDUP($C503/3,0),"")</f>
        <v>4</v>
      </c>
      <c r="E503" s="11" t="str">
        <f aca="false">TRIM('수출입 실적(성질별_수출)'!C507)</f>
        <v>다. 기계류와 정밀기기</v>
      </c>
      <c r="F503" s="18" t="n">
        <f aca="false">IFERROR(VALUE(SUBSTITUTE(TRIM('수출입 실적(성질별_수출)'!D507),",","")),"")</f>
        <v>391201.2</v>
      </c>
      <c r="G503" s="19" t="n">
        <f aca="false">IFERROR(VALUE(SUBSTITUTE(TRIM('수출입 실적(성질별_수출)'!E507),",","")),"")</f>
        <v>6393682</v>
      </c>
    </row>
    <row r="504" customFormat="false" ht="15" hidden="false" customHeight="true" outlineLevel="0" collapsed="false">
      <c r="A504" s="11" t="str">
        <f aca="false">TRIM('수출입 실적(성질별_수출)'!A508)</f>
        <v>2025.12</v>
      </c>
      <c r="B504" s="17" t="n">
        <f aca="false">IFERROR(VALUE(LEFT($A504,4)),"")</f>
        <v>2025</v>
      </c>
      <c r="C504" s="17" t="n">
        <f aca="false">IFERROR(VALUE(RIGHT($A504,2)),"")</f>
        <v>12</v>
      </c>
      <c r="D504" s="17" t="n">
        <f aca="false">IFERROR(ROUNDUP($C504/3,0),"")</f>
        <v>4</v>
      </c>
      <c r="E504" s="11" t="str">
        <f aca="false">TRIM('수출입 실적(성질별_수출)'!C508)</f>
        <v>라. 전기, 전자제품</v>
      </c>
      <c r="F504" s="18" t="n">
        <f aca="false">IFERROR(VALUE(SUBSTITUTE(TRIM('수출입 실적(성질별_수출)'!D508),",","")),"")</f>
        <v>237795.7</v>
      </c>
      <c r="G504" s="19" t="n">
        <f aca="false">IFERROR(VALUE(SUBSTITUTE(TRIM('수출입 실적(성질별_수출)'!E508),",","")),"")</f>
        <v>29671643</v>
      </c>
    </row>
    <row r="505" customFormat="false" ht="15" hidden="false" customHeight="true" outlineLevel="0" collapsed="false">
      <c r="A505" s="11" t="str">
        <f aca="false">TRIM('수출입 실적(성질별_수출)'!A509)</f>
        <v>2025.12</v>
      </c>
      <c r="B505" s="17" t="n">
        <f aca="false">IFERROR(VALUE(LEFT($A505,4)),"")</f>
        <v>2025</v>
      </c>
      <c r="C505" s="17" t="n">
        <f aca="false">IFERROR(VALUE(RIGHT($A505,2)),"")</f>
        <v>12</v>
      </c>
      <c r="D505" s="17" t="n">
        <f aca="false">IFERROR(ROUNDUP($C505/3,0),"")</f>
        <v>4</v>
      </c>
      <c r="E505" s="11" t="str">
        <f aca="false">TRIM('수출입 실적(성질별_수출)'!C509)</f>
        <v>마. 수송장비</v>
      </c>
      <c r="F505" s="18" t="n">
        <f aca="false">IFERROR(VALUE(SUBSTITUTE(TRIM('수출입 실적(성질별_수출)'!D509),",","")),"")</f>
        <v>1710634</v>
      </c>
      <c r="G505" s="19" t="n">
        <f aca="false">IFERROR(VALUE(SUBSTITUTE(TRIM('수출입 실적(성질별_수출)'!E509),",","")),"")</f>
        <v>11067554</v>
      </c>
    </row>
    <row r="506" customFormat="false" ht="15" hidden="false" customHeight="true" outlineLevel="0" collapsed="false">
      <c r="A506" s="11" t="str">
        <f aca="false">TRIM('수출입 실적(성질별_수출)'!A510)</f>
        <v>2025.12</v>
      </c>
      <c r="B506" s="17" t="n">
        <f aca="false">IFERROR(VALUE(LEFT($A506,4)),"")</f>
        <v>2025</v>
      </c>
      <c r="C506" s="17" t="n">
        <f aca="false">IFERROR(VALUE(RIGHT($A506,2)),"")</f>
        <v>12</v>
      </c>
      <c r="D506" s="17" t="n">
        <f aca="false">IFERROR(ROUNDUP($C506/3,0),"")</f>
        <v>4</v>
      </c>
      <c r="E506" s="11" t="str">
        <f aca="false">TRIM('수출입 실적(성질별_수출)'!C510)</f>
        <v>바. 기 타</v>
      </c>
      <c r="F506" s="18" t="n">
        <f aca="false">IFERROR(VALUE(SUBSTITUTE(TRIM('수출입 실적(성질별_수출)'!D510),",","")),"")</f>
        <v>77144.9</v>
      </c>
      <c r="G506" s="19" t="n">
        <f aca="false">IFERROR(VALUE(SUBSTITUTE(TRIM('수출입 실적(성질별_수출)'!E510),",","")),"")</f>
        <v>2078034</v>
      </c>
    </row>
    <row r="507" customFormat="false" ht="15" hidden="false" customHeight="true" outlineLevel="0" collapsed="false">
      <c r="A507" s="11" t="str">
        <f aca="false">TRIM('수출입 실적(성질별_수출)'!A511)</f>
        <v>2026.01</v>
      </c>
      <c r="B507" s="17" t="n">
        <f aca="false">IFERROR(VALUE(LEFT($A507,4)),"")</f>
        <v>2026</v>
      </c>
      <c r="C507" s="17" t="n">
        <f aca="false">IFERROR(VALUE(RIGHT($A507,2)),"")</f>
        <v>1</v>
      </c>
      <c r="D507" s="17" t="n">
        <f aca="false">IFERROR(ROUNDUP($C507/3,0),"")</f>
        <v>1</v>
      </c>
      <c r="E507" s="11" t="str">
        <f aca="false">TRIM('수출입 실적(성질별_수출)'!C511)</f>
        <v>1. 식료 및 직접소비재</v>
      </c>
      <c r="F507" s="18" t="n">
        <f aca="false">IFERROR(VALUE(SUBSTITUTE(TRIM('수출입 실적(성질별_수출)'!D511),",","")),"")</f>
        <v>305634.2</v>
      </c>
      <c r="G507" s="19" t="n">
        <f aca="false">IFERROR(VALUE(SUBSTITUTE(TRIM('수출입 실적(성질별_수출)'!E511),",","")),"")</f>
        <v>1018552</v>
      </c>
    </row>
    <row r="508" customFormat="false" ht="15" hidden="false" customHeight="true" outlineLevel="0" collapsed="false">
      <c r="A508" s="11" t="str">
        <f aca="false">TRIM('수출입 실적(성질별_수출)'!A512)</f>
        <v>2026.01</v>
      </c>
      <c r="B508" s="17" t="n">
        <f aca="false">IFERROR(VALUE(LEFT($A508,4)),"")</f>
        <v>2026</v>
      </c>
      <c r="C508" s="17" t="n">
        <f aca="false">IFERROR(VALUE(RIGHT($A508,2)),"")</f>
        <v>1</v>
      </c>
      <c r="D508" s="17" t="n">
        <f aca="false">IFERROR(ROUNDUP($C508/3,0),"")</f>
        <v>1</v>
      </c>
      <c r="E508" s="11" t="str">
        <f aca="false">TRIM('수출입 실적(성질별_수출)'!C512)</f>
        <v>2. 원료 및 연료</v>
      </c>
      <c r="F508" s="18" t="n">
        <f aca="false">IFERROR(VALUE(SUBSTITUTE(TRIM('수출입 실적(성질별_수출)'!D512),",","")),"")</f>
        <v>6781530.7</v>
      </c>
      <c r="G508" s="19" t="n">
        <f aca="false">IFERROR(VALUE(SUBSTITUTE(TRIM('수출입 실적(성질별_수출)'!E512),",","")),"")</f>
        <v>4654223</v>
      </c>
    </row>
    <row r="509" customFormat="false" ht="15" hidden="false" customHeight="true" outlineLevel="0" collapsed="false">
      <c r="A509" s="11" t="str">
        <f aca="false">TRIM('수출입 실적(성질별_수출)'!A513)</f>
        <v>2026.01</v>
      </c>
      <c r="B509" s="17" t="n">
        <f aca="false">IFERROR(VALUE(LEFT($A509,4)),"")</f>
        <v>2026</v>
      </c>
      <c r="C509" s="17" t="n">
        <f aca="false">IFERROR(VALUE(RIGHT($A509,2)),"")</f>
        <v>1</v>
      </c>
      <c r="D509" s="17" t="n">
        <f aca="false">IFERROR(ROUNDUP($C509/3,0),"")</f>
        <v>1</v>
      </c>
      <c r="E509" s="11" t="str">
        <f aca="false">TRIM('수출입 실적(성질별_수출)'!C513)</f>
        <v>3. 경공업품</v>
      </c>
      <c r="F509" s="18" t="n">
        <f aca="false">IFERROR(VALUE(SUBSTITUTE(TRIM('수출입 실적(성질별_수출)'!D513),",","")),"")</f>
        <v>818424.6</v>
      </c>
      <c r="G509" s="19" t="n">
        <f aca="false">IFERROR(VALUE(SUBSTITUTE(TRIM('수출입 실적(성질별_수출)'!E513),",","")),"")</f>
        <v>3082056</v>
      </c>
    </row>
    <row r="510" customFormat="false" ht="15" hidden="false" customHeight="true" outlineLevel="0" collapsed="false">
      <c r="A510" s="11" t="str">
        <f aca="false">TRIM('수출입 실적(성질별_수출)'!A514)</f>
        <v>2026.01</v>
      </c>
      <c r="B510" s="17" t="n">
        <f aca="false">IFERROR(VALUE(LEFT($A510,4)),"")</f>
        <v>2026</v>
      </c>
      <c r="C510" s="17" t="n">
        <f aca="false">IFERROR(VALUE(RIGHT($A510,2)),"")</f>
        <v>1</v>
      </c>
      <c r="D510" s="17" t="n">
        <f aca="false">IFERROR(ROUNDUP($C510/3,0),"")</f>
        <v>1</v>
      </c>
      <c r="E510" s="11" t="str">
        <f aca="false">TRIM('수출입 실적(성질별_수출)'!C514)</f>
        <v>가. 섬유원료</v>
      </c>
      <c r="F510" s="18" t="n">
        <f aca="false">IFERROR(VALUE(SUBSTITUTE(TRIM('수출입 실적(성질별_수출)'!D514),",","")),"")</f>
        <v>52997.6</v>
      </c>
      <c r="G510" s="19" t="n">
        <f aca="false">IFERROR(VALUE(SUBSTITUTE(TRIM('수출입 실적(성질별_수출)'!E514),",","")),"")</f>
        <v>81834</v>
      </c>
    </row>
    <row r="511" customFormat="false" ht="15" hidden="false" customHeight="true" outlineLevel="0" collapsed="false">
      <c r="A511" s="11" t="str">
        <f aca="false">TRIM('수출입 실적(성질별_수출)'!A515)</f>
        <v>2026.01</v>
      </c>
      <c r="B511" s="17" t="n">
        <f aca="false">IFERROR(VALUE(LEFT($A511,4)),"")</f>
        <v>2026</v>
      </c>
      <c r="C511" s="17" t="n">
        <f aca="false">IFERROR(VALUE(RIGHT($A511,2)),"")</f>
        <v>1</v>
      </c>
      <c r="D511" s="17" t="n">
        <f aca="false">IFERROR(ROUNDUP($C511/3,0),"")</f>
        <v>1</v>
      </c>
      <c r="E511" s="11" t="str">
        <f aca="false">TRIM('수출입 실적(성질별_수출)'!C515)</f>
        <v>나. 섬유사</v>
      </c>
      <c r="F511" s="18" t="n">
        <f aca="false">IFERROR(VALUE(SUBSTITUTE(TRIM('수출입 실적(성질별_수출)'!D515),",","")),"")</f>
        <v>15913.6</v>
      </c>
      <c r="G511" s="19" t="n">
        <f aca="false">IFERROR(VALUE(SUBSTITUTE(TRIM('수출입 실적(성질별_수출)'!E515),",","")),"")</f>
        <v>59575</v>
      </c>
    </row>
    <row r="512" customFormat="false" ht="15" hidden="false" customHeight="true" outlineLevel="0" collapsed="false">
      <c r="A512" s="11" t="str">
        <f aca="false">TRIM('수출입 실적(성질별_수출)'!A516)</f>
        <v>2026.01</v>
      </c>
      <c r="B512" s="17" t="n">
        <f aca="false">IFERROR(VALUE(LEFT($A512,4)),"")</f>
        <v>2026</v>
      </c>
      <c r="C512" s="17" t="n">
        <f aca="false">IFERROR(VALUE(RIGHT($A512,2)),"")</f>
        <v>1</v>
      </c>
      <c r="D512" s="17" t="n">
        <f aca="false">IFERROR(ROUNDUP($C512/3,0),"")</f>
        <v>1</v>
      </c>
      <c r="E512" s="11" t="str">
        <f aca="false">TRIM('수출입 실적(성질별_수출)'!C516)</f>
        <v>다. 직 물</v>
      </c>
      <c r="F512" s="18" t="n">
        <f aca="false">IFERROR(VALUE(SUBSTITUTE(TRIM('수출입 실적(성질별_수출)'!D516),",","")),"")</f>
        <v>28445.2</v>
      </c>
      <c r="G512" s="19" t="n">
        <f aca="false">IFERROR(VALUE(SUBSTITUTE(TRIM('수출입 실적(성질별_수출)'!E516),",","")),"")</f>
        <v>275298</v>
      </c>
    </row>
    <row r="513" customFormat="false" ht="15" hidden="false" customHeight="true" outlineLevel="0" collapsed="false">
      <c r="A513" s="11" t="str">
        <f aca="false">TRIM('수출입 실적(성질별_수출)'!A517)</f>
        <v>2026.01</v>
      </c>
      <c r="B513" s="17" t="n">
        <f aca="false">IFERROR(VALUE(LEFT($A513,4)),"")</f>
        <v>2026</v>
      </c>
      <c r="C513" s="17" t="n">
        <f aca="false">IFERROR(VALUE(RIGHT($A513,2)),"")</f>
        <v>1</v>
      </c>
      <c r="D513" s="17" t="n">
        <f aca="false">IFERROR(ROUNDUP($C513/3,0),"")</f>
        <v>1</v>
      </c>
      <c r="E513" s="11" t="str">
        <f aca="false">TRIM('수출입 실적(성질별_수출)'!C517)</f>
        <v>라. 기타 섬유제품</v>
      </c>
      <c r="F513" s="18" t="n">
        <f aca="false">IFERROR(VALUE(SUBSTITUTE(TRIM('수출입 실적(성질별_수출)'!D517),",","")),"")</f>
        <v>20395.8</v>
      </c>
      <c r="G513" s="19" t="n">
        <f aca="false">IFERROR(VALUE(SUBSTITUTE(TRIM('수출입 실적(성질별_수출)'!E517),",","")),"")</f>
        <v>159996</v>
      </c>
    </row>
    <row r="514" customFormat="false" ht="15" hidden="false" customHeight="true" outlineLevel="0" collapsed="false">
      <c r="A514" s="11" t="str">
        <f aca="false">TRIM('수출입 실적(성질별_수출)'!A518)</f>
        <v>2026.01</v>
      </c>
      <c r="B514" s="17" t="n">
        <f aca="false">IFERROR(VALUE(LEFT($A514,4)),"")</f>
        <v>2026</v>
      </c>
      <c r="C514" s="17" t="n">
        <f aca="false">IFERROR(VALUE(RIGHT($A514,2)),"")</f>
        <v>1</v>
      </c>
      <c r="D514" s="17" t="n">
        <f aca="false">IFERROR(ROUNDUP($C514/3,0),"")</f>
        <v>1</v>
      </c>
      <c r="E514" s="11" t="str">
        <f aca="false">TRIM('수출입 실적(성질별_수출)'!C518)</f>
        <v>마. 의 류</v>
      </c>
      <c r="F514" s="18" t="n">
        <f aca="false">IFERROR(VALUE(SUBSTITUTE(TRIM('수출입 실적(성질별_수출)'!D518),",","")),"")</f>
        <v>5256</v>
      </c>
      <c r="G514" s="19" t="n">
        <f aca="false">IFERROR(VALUE(SUBSTITUTE(TRIM('수출입 실적(성질별_수출)'!E518),",","")),"")</f>
        <v>145729</v>
      </c>
    </row>
    <row r="515" customFormat="false" ht="15" hidden="false" customHeight="true" outlineLevel="0" collapsed="false">
      <c r="A515" s="11" t="str">
        <f aca="false">TRIM('수출입 실적(성질별_수출)'!A519)</f>
        <v>2026.01</v>
      </c>
      <c r="B515" s="17" t="n">
        <f aca="false">IFERROR(VALUE(LEFT($A515,4)),"")</f>
        <v>2026</v>
      </c>
      <c r="C515" s="17" t="n">
        <f aca="false">IFERROR(VALUE(RIGHT($A515,2)),"")</f>
        <v>1</v>
      </c>
      <c r="D515" s="17" t="n">
        <f aca="false">IFERROR(ROUNDUP($C515/3,0),"")</f>
        <v>1</v>
      </c>
      <c r="E515" s="11" t="str">
        <f aca="false">TRIM('수출입 실적(성질별_수출)'!C519)</f>
        <v>바. 목제품</v>
      </c>
      <c r="F515" s="18" t="n">
        <f aca="false">IFERROR(VALUE(SUBSTITUTE(TRIM('수출입 실적(성질별_수출)'!D519),",","")),"")</f>
        <v>16632.3</v>
      </c>
      <c r="G515" s="19" t="n">
        <f aca="false">IFERROR(VALUE(SUBSTITUTE(TRIM('수출입 실적(성질별_수출)'!E519),",","")),"")</f>
        <v>94526</v>
      </c>
    </row>
    <row r="516" customFormat="false" ht="15" hidden="false" customHeight="true" outlineLevel="0" collapsed="false">
      <c r="A516" s="11" t="str">
        <f aca="false">TRIM('수출입 실적(성질별_수출)'!A520)</f>
        <v>2026.01</v>
      </c>
      <c r="B516" s="17" t="n">
        <f aca="false">IFERROR(VALUE(LEFT($A516,4)),"")</f>
        <v>2026</v>
      </c>
      <c r="C516" s="17" t="n">
        <f aca="false">IFERROR(VALUE(RIGHT($A516,2)),"")</f>
        <v>1</v>
      </c>
      <c r="D516" s="17" t="n">
        <f aca="false">IFERROR(ROUNDUP($C516/3,0),"")</f>
        <v>1</v>
      </c>
      <c r="E516" s="11" t="str">
        <f aca="false">TRIM('수출입 실적(성질별_수출)'!C520)</f>
        <v>사. 가죽, 고무 및 신발류</v>
      </c>
      <c r="F516" s="18" t="n">
        <f aca="false">IFERROR(VALUE(SUBSTITUTE(TRIM('수출입 실적(성질별_수출)'!D520),",","")),"")</f>
        <v>71925.9</v>
      </c>
      <c r="G516" s="19" t="n">
        <f aca="false">IFERROR(VALUE(SUBSTITUTE(TRIM('수출입 실적(성질별_수출)'!E520),",","")),"")</f>
        <v>401578</v>
      </c>
    </row>
    <row r="517" customFormat="false" ht="15" hidden="false" customHeight="true" outlineLevel="0" collapsed="false">
      <c r="A517" s="11" t="str">
        <f aca="false">TRIM('수출입 실적(성질별_수출)'!A521)</f>
        <v>2026.01</v>
      </c>
      <c r="B517" s="17" t="n">
        <f aca="false">IFERROR(VALUE(LEFT($A517,4)),"")</f>
        <v>2026</v>
      </c>
      <c r="C517" s="17" t="n">
        <f aca="false">IFERROR(VALUE(RIGHT($A517,2)),"")</f>
        <v>1</v>
      </c>
      <c r="D517" s="17" t="n">
        <f aca="false">IFERROR(ROUNDUP($C517/3,0),"")</f>
        <v>1</v>
      </c>
      <c r="E517" s="11" t="str">
        <f aca="false">TRIM('수출입 실적(성질별_수출)'!C521)</f>
        <v>아. 귀금속 및 보석류</v>
      </c>
      <c r="F517" s="18" t="n">
        <f aca="false">IFERROR(VALUE(SUBSTITUTE(TRIM('수출입 실적(성질별_수출)'!D521),",","")),"")</f>
        <v>289.6</v>
      </c>
      <c r="G517" s="19" t="n">
        <f aca="false">IFERROR(VALUE(SUBSTITUTE(TRIM('수출입 실적(성질별_수출)'!E521),",","")),"")</f>
        <v>701882</v>
      </c>
    </row>
    <row r="518" customFormat="false" ht="15" hidden="false" customHeight="true" outlineLevel="0" collapsed="false">
      <c r="A518" s="11" t="str">
        <f aca="false">TRIM('수출입 실적(성질별_수출)'!A522)</f>
        <v>2026.01</v>
      </c>
      <c r="B518" s="17" t="n">
        <f aca="false">IFERROR(VALUE(LEFT($A518,4)),"")</f>
        <v>2026</v>
      </c>
      <c r="C518" s="17" t="n">
        <f aca="false">IFERROR(VALUE(RIGHT($A518,2)),"")</f>
        <v>1</v>
      </c>
      <c r="D518" s="17" t="n">
        <f aca="false">IFERROR(ROUNDUP($C518/3,0),"")</f>
        <v>1</v>
      </c>
      <c r="E518" s="11" t="str">
        <f aca="false">TRIM('수출입 실적(성질별_수출)'!C522)</f>
        <v>자. 기타 비금속 광물제품</v>
      </c>
      <c r="F518" s="18" t="n">
        <f aca="false">IFERROR(VALUE(SUBSTITUTE(TRIM('수출입 실적(성질별_수출)'!D522),",","")),"")</f>
        <v>247902</v>
      </c>
      <c r="G518" s="19" t="n">
        <f aca="false">IFERROR(VALUE(SUBSTITUTE(TRIM('수출입 실적(성질별_수출)'!E522),",","")),"")</f>
        <v>181453</v>
      </c>
    </row>
    <row r="519" customFormat="false" ht="15" hidden="false" customHeight="true" outlineLevel="0" collapsed="false">
      <c r="A519" s="11" t="str">
        <f aca="false">TRIM('수출입 실적(성질별_수출)'!A523)</f>
        <v>2026.01</v>
      </c>
      <c r="B519" s="17" t="n">
        <f aca="false">IFERROR(VALUE(LEFT($A519,4)),"")</f>
        <v>2026</v>
      </c>
      <c r="C519" s="17" t="n">
        <f aca="false">IFERROR(VALUE(RIGHT($A519,2)),"")</f>
        <v>1</v>
      </c>
      <c r="D519" s="17" t="n">
        <f aca="false">IFERROR(ROUNDUP($C519/3,0),"")</f>
        <v>1</v>
      </c>
      <c r="E519" s="11" t="str">
        <f aca="false">TRIM('수출입 실적(성질별_수출)'!C523)</f>
        <v>차. 완구, 운동용구 및 악기</v>
      </c>
      <c r="F519" s="18" t="n">
        <f aca="false">IFERROR(VALUE(SUBSTITUTE(TRIM('수출입 실적(성질별_수출)'!D523),",","")),"")</f>
        <v>2268.7</v>
      </c>
      <c r="G519" s="19" t="n">
        <f aca="false">IFERROR(VALUE(SUBSTITUTE(TRIM('수출입 실적(성질별_수출)'!E523),",","")),"")</f>
        <v>54068</v>
      </c>
    </row>
    <row r="520" customFormat="false" ht="15" hidden="false" customHeight="true" outlineLevel="0" collapsed="false">
      <c r="A520" s="11" t="str">
        <f aca="false">TRIM('수출입 실적(성질별_수출)'!A524)</f>
        <v>2026.01</v>
      </c>
      <c r="B520" s="17" t="n">
        <f aca="false">IFERROR(VALUE(LEFT($A520,4)),"")</f>
        <v>2026</v>
      </c>
      <c r="C520" s="17" t="n">
        <f aca="false">IFERROR(VALUE(RIGHT($A520,2)),"")</f>
        <v>1</v>
      </c>
      <c r="D520" s="17" t="n">
        <f aca="false">IFERROR(ROUNDUP($C520/3,0),"")</f>
        <v>1</v>
      </c>
      <c r="E520" s="11" t="str">
        <f aca="false">TRIM('수출입 실적(성질별_수출)'!C524)</f>
        <v>카. 기 타</v>
      </c>
      <c r="F520" s="18" t="n">
        <f aca="false">IFERROR(VALUE(SUBSTITUTE(TRIM('수출입 실적(성질별_수출)'!D524),",","")),"")</f>
        <v>356398.1</v>
      </c>
      <c r="G520" s="19" t="n">
        <f aca="false">IFERROR(VALUE(SUBSTITUTE(TRIM('수출입 실적(성질별_수출)'!E524),",","")),"")</f>
        <v>926117</v>
      </c>
    </row>
    <row r="521" customFormat="false" ht="15" hidden="false" customHeight="true" outlineLevel="0" collapsed="false">
      <c r="A521" s="11" t="str">
        <f aca="false">TRIM('수출입 실적(성질별_수출)'!A525)</f>
        <v>2026.01</v>
      </c>
      <c r="B521" s="17" t="n">
        <f aca="false">IFERROR(VALUE(LEFT($A521,4)),"")</f>
        <v>2026</v>
      </c>
      <c r="C521" s="17" t="n">
        <f aca="false">IFERROR(VALUE(RIGHT($A521,2)),"")</f>
        <v>1</v>
      </c>
      <c r="D521" s="17" t="n">
        <f aca="false">IFERROR(ROUNDUP($C521/3,0),"")</f>
        <v>1</v>
      </c>
      <c r="E521" s="11" t="str">
        <f aca="false">TRIM('수출입 실적(성질별_수출)'!C525)</f>
        <v>4. 중화학 공업품</v>
      </c>
      <c r="F521" s="18" t="n">
        <f aca="false">IFERROR(VALUE(SUBSTITUTE(TRIM('수출입 실적(성질별_수출)'!D525),",","")),"")</f>
        <v>8834358.3</v>
      </c>
      <c r="G521" s="19" t="n">
        <f aca="false">IFERROR(VALUE(SUBSTITUTE(TRIM('수출입 실적(성질별_수출)'!E525),",","")),"")</f>
        <v>57089106</v>
      </c>
    </row>
    <row r="522" customFormat="false" ht="15" hidden="false" customHeight="true" outlineLevel="0" collapsed="false">
      <c r="A522" s="11" t="str">
        <f aca="false">TRIM('수출입 실적(성질별_수출)'!A526)</f>
        <v>2026.01</v>
      </c>
      <c r="B522" s="17" t="n">
        <f aca="false">IFERROR(VALUE(LEFT($A522,4)),"")</f>
        <v>2026</v>
      </c>
      <c r="C522" s="17" t="n">
        <f aca="false">IFERROR(VALUE(RIGHT($A522,2)),"")</f>
        <v>1</v>
      </c>
      <c r="D522" s="17" t="n">
        <f aca="false">IFERROR(ROUNDUP($C522/3,0),"")</f>
        <v>1</v>
      </c>
      <c r="E522" s="11" t="str">
        <f aca="false">TRIM('수출입 실적(성질별_수출)'!C526)</f>
        <v>가. 화공품</v>
      </c>
      <c r="F522" s="18" t="n">
        <f aca="false">IFERROR(VALUE(SUBSTITUTE(TRIM('수출입 실적(성질별_수출)'!D526),",","")),"")</f>
        <v>3996708.5</v>
      </c>
      <c r="G522" s="19" t="n">
        <f aca="false">IFERROR(VALUE(SUBSTITUTE(TRIM('수출입 실적(성질별_수출)'!E526),",","")),"")</f>
        <v>6584897</v>
      </c>
    </row>
    <row r="523" customFormat="false" ht="15" hidden="false" customHeight="true" outlineLevel="0" collapsed="false">
      <c r="A523" s="11" t="str">
        <f aca="false">TRIM('수출입 실적(성질별_수출)'!A527)</f>
        <v>2026.01</v>
      </c>
      <c r="B523" s="17" t="n">
        <f aca="false">IFERROR(VALUE(LEFT($A523,4)),"")</f>
        <v>2026</v>
      </c>
      <c r="C523" s="17" t="n">
        <f aca="false">IFERROR(VALUE(RIGHT($A523,2)),"")</f>
        <v>1</v>
      </c>
      <c r="D523" s="17" t="n">
        <f aca="false">IFERROR(ROUNDUP($C523/3,0),"")</f>
        <v>1</v>
      </c>
      <c r="E523" s="11" t="str">
        <f aca="false">TRIM('수출입 실적(성질별_수출)'!C527)</f>
        <v>나. 철강제품</v>
      </c>
      <c r="F523" s="18" t="n">
        <f aca="false">IFERROR(VALUE(SUBSTITUTE(TRIM('수출입 실적(성질별_수출)'!D527),",","")),"")</f>
        <v>2753812.4</v>
      </c>
      <c r="G523" s="19" t="n">
        <f aca="false">IFERROR(VALUE(SUBSTITUTE(TRIM('수출입 실적(성질별_수출)'!E527),",","")),"")</f>
        <v>4072186</v>
      </c>
    </row>
    <row r="524" customFormat="false" ht="15" hidden="false" customHeight="true" outlineLevel="0" collapsed="false">
      <c r="A524" s="11" t="str">
        <f aca="false">TRIM('수출입 실적(성질별_수출)'!A528)</f>
        <v>2026.01</v>
      </c>
      <c r="B524" s="17" t="n">
        <f aca="false">IFERROR(VALUE(LEFT($A524,4)),"")</f>
        <v>2026</v>
      </c>
      <c r="C524" s="17" t="n">
        <f aca="false">IFERROR(VALUE(RIGHT($A524,2)),"")</f>
        <v>1</v>
      </c>
      <c r="D524" s="17" t="n">
        <f aca="false">IFERROR(ROUNDUP($C524/3,0),"")</f>
        <v>1</v>
      </c>
      <c r="E524" s="11" t="str">
        <f aca="false">TRIM('수출입 실적(성질별_수출)'!C528)</f>
        <v>다. 기계류와 정밀기기</v>
      </c>
      <c r="F524" s="18" t="n">
        <f aca="false">IFERROR(VALUE(SUBSTITUTE(TRIM('수출입 실적(성질별_수출)'!D528),",","")),"")</f>
        <v>353988</v>
      </c>
      <c r="G524" s="19" t="n">
        <f aca="false">IFERROR(VALUE(SUBSTITUTE(TRIM('수출입 실적(성질별_수출)'!E528),",","")),"")</f>
        <v>5421604</v>
      </c>
    </row>
    <row r="525" customFormat="false" ht="15" hidden="false" customHeight="true" outlineLevel="0" collapsed="false">
      <c r="A525" s="11" t="str">
        <f aca="false">TRIM('수출입 실적(성질별_수출)'!A529)</f>
        <v>2026.01</v>
      </c>
      <c r="B525" s="17" t="n">
        <f aca="false">IFERROR(VALUE(LEFT($A525,4)),"")</f>
        <v>2026</v>
      </c>
      <c r="C525" s="17" t="n">
        <f aca="false">IFERROR(VALUE(RIGHT($A525,2)),"")</f>
        <v>1</v>
      </c>
      <c r="D525" s="17" t="n">
        <f aca="false">IFERROR(ROUNDUP($C525/3,0),"")</f>
        <v>1</v>
      </c>
      <c r="E525" s="11" t="str">
        <f aca="false">TRIM('수출입 실적(성질별_수출)'!C529)</f>
        <v>라. 전기, 전자제품</v>
      </c>
      <c r="F525" s="18" t="n">
        <f aca="false">IFERROR(VALUE(SUBSTITUTE(TRIM('수출입 실적(성질별_수출)'!D529),",","")),"")</f>
        <v>221696.4</v>
      </c>
      <c r="G525" s="19" t="n">
        <f aca="false">IFERROR(VALUE(SUBSTITUTE(TRIM('수출입 실적(성질별_수출)'!E529),",","")),"")</f>
        <v>28840619</v>
      </c>
    </row>
    <row r="526" customFormat="false" ht="15" hidden="false" customHeight="true" outlineLevel="0" collapsed="false">
      <c r="A526" s="11" t="str">
        <f aca="false">TRIM('수출입 실적(성질별_수출)'!A530)</f>
        <v>2026.01</v>
      </c>
      <c r="B526" s="17" t="n">
        <f aca="false">IFERROR(VALUE(LEFT($A526,4)),"")</f>
        <v>2026</v>
      </c>
      <c r="C526" s="17" t="n">
        <f aca="false">IFERROR(VALUE(RIGHT($A526,2)),"")</f>
        <v>1</v>
      </c>
      <c r="D526" s="17" t="n">
        <f aca="false">IFERROR(ROUNDUP($C526/3,0),"")</f>
        <v>1</v>
      </c>
      <c r="E526" s="11" t="str">
        <f aca="false">TRIM('수출입 실적(성질별_수출)'!C530)</f>
        <v>마. 수송장비</v>
      </c>
      <c r="F526" s="18" t="n">
        <f aca="false">IFERROR(VALUE(SUBSTITUTE(TRIM('수출입 실적(성질별_수출)'!D530),",","")),"")</f>
        <v>1436764.5</v>
      </c>
      <c r="G526" s="19" t="n">
        <f aca="false">IFERROR(VALUE(SUBSTITUTE(TRIM('수출입 실적(성질별_수출)'!E530),",","")),"")</f>
        <v>10361778</v>
      </c>
    </row>
    <row r="527" customFormat="false" ht="15" hidden="false" customHeight="true" outlineLevel="0" collapsed="false">
      <c r="A527" s="11" t="str">
        <f aca="false">TRIM('수출입 실적(성질별_수출)'!A531)</f>
        <v>2026.01</v>
      </c>
      <c r="B527" s="17" t="n">
        <f aca="false">IFERROR(VALUE(LEFT($A527,4)),"")</f>
        <v>2026</v>
      </c>
      <c r="C527" s="17" t="n">
        <f aca="false">IFERROR(VALUE(RIGHT($A527,2)),"")</f>
        <v>1</v>
      </c>
      <c r="D527" s="17" t="n">
        <f aca="false">IFERROR(ROUNDUP($C527/3,0),"")</f>
        <v>1</v>
      </c>
      <c r="E527" s="11" t="str">
        <f aca="false">TRIM('수출입 실적(성질별_수출)'!C531)</f>
        <v>바. 기 타</v>
      </c>
      <c r="F527" s="18" t="n">
        <f aca="false">IFERROR(VALUE(SUBSTITUTE(TRIM('수출입 실적(성질별_수출)'!D531),",","")),"")</f>
        <v>71388.6</v>
      </c>
      <c r="G527" s="19" t="n">
        <f aca="false">IFERROR(VALUE(SUBSTITUTE(TRIM('수출입 실적(성질별_수출)'!E531),",","")),"")</f>
        <v>1808021</v>
      </c>
    </row>
    <row r="528" customFormat="false" ht="15" hidden="false" customHeight="true" outlineLevel="0" collapsed="false">
      <c r="A528" s="11" t="str">
        <f aca="false">TRIM('수출입 실적(성질별_수출)'!A532)</f>
        <v>2026.02</v>
      </c>
      <c r="B528" s="17" t="n">
        <f aca="false">IFERROR(VALUE(LEFT($A528,4)),"")</f>
        <v>2026</v>
      </c>
      <c r="C528" s="17" t="n">
        <f aca="false">IFERROR(VALUE(RIGHT($A528,2)),"")</f>
        <v>2</v>
      </c>
      <c r="D528" s="17" t="n">
        <f aca="false">IFERROR(ROUNDUP($C528/3,0),"")</f>
        <v>1</v>
      </c>
      <c r="E528" s="11" t="str">
        <f aca="false">TRIM('수출입 실적(성질별_수출)'!C532)</f>
        <v>1. 식료 및 직접소비재</v>
      </c>
      <c r="F528" s="18" t="n">
        <f aca="false">IFERROR(VALUE(SUBSTITUTE(TRIM('수출입 실적(성질별_수출)'!D532),",","")),"")</f>
        <v>290064.4</v>
      </c>
      <c r="G528" s="19" t="n">
        <f aca="false">IFERROR(VALUE(SUBSTITUTE(TRIM('수출입 실적(성질별_수출)'!E532),",","")),"")</f>
        <v>926368</v>
      </c>
    </row>
    <row r="529" customFormat="false" ht="15" hidden="false" customHeight="true" outlineLevel="0" collapsed="false">
      <c r="A529" s="11" t="str">
        <f aca="false">TRIM('수출입 실적(성질별_수출)'!A533)</f>
        <v>2026.02</v>
      </c>
      <c r="B529" s="17" t="n">
        <f aca="false">IFERROR(VALUE(LEFT($A529,4)),"")</f>
        <v>2026</v>
      </c>
      <c r="C529" s="17" t="n">
        <f aca="false">IFERROR(VALUE(RIGHT($A529,2)),"")</f>
        <v>2</v>
      </c>
      <c r="D529" s="17" t="n">
        <f aca="false">IFERROR(ROUNDUP($C529/3,0),"")</f>
        <v>1</v>
      </c>
      <c r="E529" s="11" t="str">
        <f aca="false">TRIM('수출입 실적(성질별_수출)'!C533)</f>
        <v>2. 원료 및 연료</v>
      </c>
      <c r="F529" s="18" t="n">
        <f aca="false">IFERROR(VALUE(SUBSTITUTE(TRIM('수출입 실적(성질별_수출)'!D533),",","")),"")</f>
        <v>6399697.7</v>
      </c>
      <c r="G529" s="19" t="n">
        <f aca="false">IFERROR(VALUE(SUBSTITUTE(TRIM('수출입 실적(성질별_수출)'!E533),",","")),"")</f>
        <v>4914885</v>
      </c>
    </row>
    <row r="530" customFormat="false" ht="15" hidden="false" customHeight="true" outlineLevel="0" collapsed="false">
      <c r="A530" s="11" t="str">
        <f aca="false">TRIM('수출입 실적(성질별_수출)'!A534)</f>
        <v>2026.02</v>
      </c>
      <c r="B530" s="17" t="n">
        <f aca="false">IFERROR(VALUE(LEFT($A530,4)),"")</f>
        <v>2026</v>
      </c>
      <c r="C530" s="17" t="n">
        <f aca="false">IFERROR(VALUE(RIGHT($A530,2)),"")</f>
        <v>2</v>
      </c>
      <c r="D530" s="17" t="n">
        <f aca="false">IFERROR(ROUNDUP($C530/3,0),"")</f>
        <v>1</v>
      </c>
      <c r="E530" s="11" t="str">
        <f aca="false">TRIM('수출입 실적(성질별_수출)'!C534)</f>
        <v>3. 경공업품</v>
      </c>
      <c r="F530" s="18" t="n">
        <f aca="false">IFERROR(VALUE(SUBSTITUTE(TRIM('수출입 실적(성질별_수출)'!D534),",","")),"")</f>
        <v>781151.6</v>
      </c>
      <c r="G530" s="19" t="n">
        <f aca="false">IFERROR(VALUE(SUBSTITUTE(TRIM('수출입 실적(성질별_수출)'!E534),",","")),"")</f>
        <v>3096567</v>
      </c>
    </row>
    <row r="531" customFormat="false" ht="15" hidden="false" customHeight="true" outlineLevel="0" collapsed="false">
      <c r="A531" s="11" t="str">
        <f aca="false">TRIM('수출입 실적(성질별_수출)'!A535)</f>
        <v>2026.02</v>
      </c>
      <c r="B531" s="17" t="n">
        <f aca="false">IFERROR(VALUE(LEFT($A531,4)),"")</f>
        <v>2026</v>
      </c>
      <c r="C531" s="17" t="n">
        <f aca="false">IFERROR(VALUE(RIGHT($A531,2)),"")</f>
        <v>2</v>
      </c>
      <c r="D531" s="17" t="n">
        <f aca="false">IFERROR(ROUNDUP($C531/3,0),"")</f>
        <v>1</v>
      </c>
      <c r="E531" s="11" t="str">
        <f aca="false">TRIM('수출입 실적(성질별_수출)'!C535)</f>
        <v>가. 섬유원료</v>
      </c>
      <c r="F531" s="18" t="n">
        <f aca="false">IFERROR(VALUE(SUBSTITUTE(TRIM('수출입 실적(성질별_수출)'!D535),",","")),"")</f>
        <v>50231.6</v>
      </c>
      <c r="G531" s="19" t="n">
        <f aca="false">IFERROR(VALUE(SUBSTITUTE(TRIM('수출입 실적(성질별_수출)'!E535),",","")),"")</f>
        <v>73506</v>
      </c>
    </row>
    <row r="532" customFormat="false" ht="15" hidden="false" customHeight="true" outlineLevel="0" collapsed="false">
      <c r="A532" s="11" t="str">
        <f aca="false">TRIM('수출입 실적(성질별_수출)'!A536)</f>
        <v>2026.02</v>
      </c>
      <c r="B532" s="17" t="n">
        <f aca="false">IFERROR(VALUE(LEFT($A532,4)),"")</f>
        <v>2026</v>
      </c>
      <c r="C532" s="17" t="n">
        <f aca="false">IFERROR(VALUE(RIGHT($A532,2)),"")</f>
        <v>2</v>
      </c>
      <c r="D532" s="17" t="n">
        <f aca="false">IFERROR(ROUNDUP($C532/3,0),"")</f>
        <v>1</v>
      </c>
      <c r="E532" s="11" t="str">
        <f aca="false">TRIM('수출입 실적(성질별_수출)'!C536)</f>
        <v>나. 섬유사</v>
      </c>
      <c r="F532" s="18" t="n">
        <f aca="false">IFERROR(VALUE(SUBSTITUTE(TRIM('수출입 실적(성질별_수출)'!D536),",","")),"")</f>
        <v>15313.5</v>
      </c>
      <c r="G532" s="19" t="n">
        <f aca="false">IFERROR(VALUE(SUBSTITUTE(TRIM('수출입 실적(성질별_수출)'!E536),",","")),"")</f>
        <v>55539</v>
      </c>
    </row>
    <row r="533" customFormat="false" ht="15" hidden="false" customHeight="true" outlineLevel="0" collapsed="false">
      <c r="A533" s="11" t="str">
        <f aca="false">TRIM('수출입 실적(성질별_수출)'!A537)</f>
        <v>2026.02</v>
      </c>
      <c r="B533" s="17" t="n">
        <f aca="false">IFERROR(VALUE(LEFT($A533,4)),"")</f>
        <v>2026</v>
      </c>
      <c r="C533" s="17" t="n">
        <f aca="false">IFERROR(VALUE(RIGHT($A533,2)),"")</f>
        <v>2</v>
      </c>
      <c r="D533" s="17" t="n">
        <f aca="false">IFERROR(ROUNDUP($C533/3,0),"")</f>
        <v>1</v>
      </c>
      <c r="E533" s="11" t="str">
        <f aca="false">TRIM('수출입 실적(성질별_수출)'!C537)</f>
        <v>다. 직 물</v>
      </c>
      <c r="F533" s="18" t="n">
        <f aca="false">IFERROR(VALUE(SUBSTITUTE(TRIM('수출입 실적(성질별_수출)'!D537),",","")),"")</f>
        <v>23406.5</v>
      </c>
      <c r="G533" s="19" t="n">
        <f aca="false">IFERROR(VALUE(SUBSTITUTE(TRIM('수출입 실적(성질별_수출)'!E537),",","")),"")</f>
        <v>221534</v>
      </c>
    </row>
    <row r="534" customFormat="false" ht="15" hidden="false" customHeight="true" outlineLevel="0" collapsed="false">
      <c r="A534" s="11" t="str">
        <f aca="false">TRIM('수출입 실적(성질별_수출)'!A538)</f>
        <v>2026.02</v>
      </c>
      <c r="B534" s="17" t="n">
        <f aca="false">IFERROR(VALUE(LEFT($A534,4)),"")</f>
        <v>2026</v>
      </c>
      <c r="C534" s="17" t="n">
        <f aca="false">IFERROR(VALUE(RIGHT($A534,2)),"")</f>
        <v>2</v>
      </c>
      <c r="D534" s="17" t="n">
        <f aca="false">IFERROR(ROUNDUP($C534/3,0),"")</f>
        <v>1</v>
      </c>
      <c r="E534" s="11" t="str">
        <f aca="false">TRIM('수출입 실적(성질별_수출)'!C538)</f>
        <v>라. 기타 섬유제품</v>
      </c>
      <c r="F534" s="18" t="n">
        <f aca="false">IFERROR(VALUE(SUBSTITUTE(TRIM('수출입 실적(성질별_수출)'!D538),",","")),"")</f>
        <v>18690.8</v>
      </c>
      <c r="G534" s="19" t="n">
        <f aca="false">IFERROR(VALUE(SUBSTITUTE(TRIM('수출입 실적(성질별_수출)'!E538),",","")),"")</f>
        <v>142303</v>
      </c>
    </row>
    <row r="535" customFormat="false" ht="15" hidden="false" customHeight="true" outlineLevel="0" collapsed="false">
      <c r="A535" s="11" t="str">
        <f aca="false">TRIM('수출입 실적(성질별_수출)'!A539)</f>
        <v>2026.02</v>
      </c>
      <c r="B535" s="17" t="n">
        <f aca="false">IFERROR(VALUE(LEFT($A535,4)),"")</f>
        <v>2026</v>
      </c>
      <c r="C535" s="17" t="n">
        <f aca="false">IFERROR(VALUE(RIGHT($A535,2)),"")</f>
        <v>2</v>
      </c>
      <c r="D535" s="17" t="n">
        <f aca="false">IFERROR(ROUNDUP($C535/3,0),"")</f>
        <v>1</v>
      </c>
      <c r="E535" s="11" t="str">
        <f aca="false">TRIM('수출입 실적(성질별_수출)'!C539)</f>
        <v>마. 의 류</v>
      </c>
      <c r="F535" s="18" t="n">
        <f aca="false">IFERROR(VALUE(SUBSTITUTE(TRIM('수출입 실적(성질별_수출)'!D539),",","")),"")</f>
        <v>3906.8</v>
      </c>
      <c r="G535" s="19" t="n">
        <f aca="false">IFERROR(VALUE(SUBSTITUTE(TRIM('수출입 실적(성질별_수출)'!E539),",","")),"")</f>
        <v>128724</v>
      </c>
    </row>
    <row r="536" customFormat="false" ht="15" hidden="false" customHeight="true" outlineLevel="0" collapsed="false">
      <c r="A536" s="11" t="str">
        <f aca="false">TRIM('수출입 실적(성질별_수출)'!A540)</f>
        <v>2026.02</v>
      </c>
      <c r="B536" s="17" t="n">
        <f aca="false">IFERROR(VALUE(LEFT($A536,4)),"")</f>
        <v>2026</v>
      </c>
      <c r="C536" s="17" t="n">
        <f aca="false">IFERROR(VALUE(RIGHT($A536,2)),"")</f>
        <v>2</v>
      </c>
      <c r="D536" s="17" t="n">
        <f aca="false">IFERROR(ROUNDUP($C536/3,0),"")</f>
        <v>1</v>
      </c>
      <c r="E536" s="11" t="str">
        <f aca="false">TRIM('수출입 실적(성질별_수출)'!C540)</f>
        <v>바. 목제품</v>
      </c>
      <c r="F536" s="18" t="n">
        <f aca="false">IFERROR(VALUE(SUBSTITUTE(TRIM('수출입 실적(성질별_수출)'!D540),",","")),"")</f>
        <v>14868.1</v>
      </c>
      <c r="G536" s="19" t="n">
        <f aca="false">IFERROR(VALUE(SUBSTITUTE(TRIM('수출입 실적(성질별_수출)'!E540),",","")),"")</f>
        <v>80045</v>
      </c>
    </row>
    <row r="537" customFormat="false" ht="15" hidden="false" customHeight="true" outlineLevel="0" collapsed="false">
      <c r="A537" s="11" t="str">
        <f aca="false">TRIM('수출입 실적(성질별_수출)'!A541)</f>
        <v>2026.02</v>
      </c>
      <c r="B537" s="17" t="n">
        <f aca="false">IFERROR(VALUE(LEFT($A537,4)),"")</f>
        <v>2026</v>
      </c>
      <c r="C537" s="17" t="n">
        <f aca="false">IFERROR(VALUE(RIGHT($A537,2)),"")</f>
        <v>2</v>
      </c>
      <c r="D537" s="17" t="n">
        <f aca="false">IFERROR(ROUNDUP($C537/3,0),"")</f>
        <v>1</v>
      </c>
      <c r="E537" s="11" t="str">
        <f aca="false">TRIM('수출입 실적(성질별_수출)'!C541)</f>
        <v>사. 가죽, 고무 및 신발류</v>
      </c>
      <c r="F537" s="18" t="n">
        <f aca="false">IFERROR(VALUE(SUBSTITUTE(TRIM('수출입 실적(성질별_수출)'!D541),",","")),"")</f>
        <v>61892.9</v>
      </c>
      <c r="G537" s="19" t="n">
        <f aca="false">IFERROR(VALUE(SUBSTITUTE(TRIM('수출입 실적(성질별_수출)'!E541),",","")),"")</f>
        <v>344400</v>
      </c>
    </row>
    <row r="538" customFormat="false" ht="15" hidden="false" customHeight="true" outlineLevel="0" collapsed="false">
      <c r="A538" s="11" t="str">
        <f aca="false">TRIM('수출입 실적(성질별_수출)'!A542)</f>
        <v>2026.02</v>
      </c>
      <c r="B538" s="17" t="n">
        <f aca="false">IFERROR(VALUE(LEFT($A538,4)),"")</f>
        <v>2026</v>
      </c>
      <c r="C538" s="17" t="n">
        <f aca="false">IFERROR(VALUE(RIGHT($A538,2)),"")</f>
        <v>2</v>
      </c>
      <c r="D538" s="17" t="n">
        <f aca="false">IFERROR(ROUNDUP($C538/3,0),"")</f>
        <v>1</v>
      </c>
      <c r="E538" s="11" t="str">
        <f aca="false">TRIM('수출입 실적(성질별_수출)'!C542)</f>
        <v>아. 귀금속 및 보석류</v>
      </c>
      <c r="F538" s="18" t="n">
        <f aca="false">IFERROR(VALUE(SUBSTITUTE(TRIM('수출입 실적(성질별_수출)'!D542),",","")),"")</f>
        <v>270.6</v>
      </c>
      <c r="G538" s="19" t="n">
        <f aca="false">IFERROR(VALUE(SUBSTITUTE(TRIM('수출입 실적(성질별_수출)'!E542),",","")),"")</f>
        <v>995740</v>
      </c>
    </row>
    <row r="539" customFormat="false" ht="15" hidden="false" customHeight="true" outlineLevel="0" collapsed="false">
      <c r="A539" s="11" t="str">
        <f aca="false">TRIM('수출입 실적(성질별_수출)'!A543)</f>
        <v>2026.02</v>
      </c>
      <c r="B539" s="17" t="n">
        <f aca="false">IFERROR(VALUE(LEFT($A539,4)),"")</f>
        <v>2026</v>
      </c>
      <c r="C539" s="17" t="n">
        <f aca="false">IFERROR(VALUE(RIGHT($A539,2)),"")</f>
        <v>2</v>
      </c>
      <c r="D539" s="17" t="n">
        <f aca="false">IFERROR(ROUNDUP($C539/3,0),"")</f>
        <v>1</v>
      </c>
      <c r="E539" s="11" t="str">
        <f aca="false">TRIM('수출입 실적(성질별_수출)'!C543)</f>
        <v>자. 기타 비금속 광물제품</v>
      </c>
      <c r="F539" s="18" t="n">
        <f aca="false">IFERROR(VALUE(SUBSTITUTE(TRIM('수출입 실적(성질별_수출)'!D543),",","")),"")</f>
        <v>268725.6</v>
      </c>
      <c r="G539" s="19" t="n">
        <f aca="false">IFERROR(VALUE(SUBSTITUTE(TRIM('수출입 실적(성질별_수출)'!E543),",","")),"")</f>
        <v>159026</v>
      </c>
    </row>
    <row r="540" customFormat="false" ht="15" hidden="false" customHeight="true" outlineLevel="0" collapsed="false">
      <c r="A540" s="11" t="str">
        <f aca="false">TRIM('수출입 실적(성질별_수출)'!A544)</f>
        <v>2026.02</v>
      </c>
      <c r="B540" s="17" t="n">
        <f aca="false">IFERROR(VALUE(LEFT($A540,4)),"")</f>
        <v>2026</v>
      </c>
      <c r="C540" s="17" t="n">
        <f aca="false">IFERROR(VALUE(RIGHT($A540,2)),"")</f>
        <v>2</v>
      </c>
      <c r="D540" s="17" t="n">
        <f aca="false">IFERROR(ROUNDUP($C540/3,0),"")</f>
        <v>1</v>
      </c>
      <c r="E540" s="11" t="str">
        <f aca="false">TRIM('수출입 실적(성질별_수출)'!C544)</f>
        <v>차. 완구, 운동용구 및 악기</v>
      </c>
      <c r="F540" s="18" t="n">
        <f aca="false">IFERROR(VALUE(SUBSTITUTE(TRIM('수출입 실적(성질별_수출)'!D544),",","")),"")</f>
        <v>2384.9</v>
      </c>
      <c r="G540" s="19" t="n">
        <f aca="false">IFERROR(VALUE(SUBSTITUTE(TRIM('수출입 실적(성질별_수출)'!E544),",","")),"")</f>
        <v>57507</v>
      </c>
    </row>
    <row r="541" customFormat="false" ht="15" hidden="false" customHeight="true" outlineLevel="0" collapsed="false">
      <c r="A541" s="11" t="str">
        <f aca="false">TRIM('수출입 실적(성질별_수출)'!A545)</f>
        <v>2026.02</v>
      </c>
      <c r="B541" s="17" t="n">
        <f aca="false">IFERROR(VALUE(LEFT($A541,4)),"")</f>
        <v>2026</v>
      </c>
      <c r="C541" s="17" t="n">
        <f aca="false">IFERROR(VALUE(RIGHT($A541,2)),"")</f>
        <v>2</v>
      </c>
      <c r="D541" s="17" t="n">
        <f aca="false">IFERROR(ROUNDUP($C541/3,0),"")</f>
        <v>1</v>
      </c>
      <c r="E541" s="11" t="str">
        <f aca="false">TRIM('수출입 실적(성질별_수출)'!C545)</f>
        <v>카. 기 타</v>
      </c>
      <c r="F541" s="18" t="n">
        <f aca="false">IFERROR(VALUE(SUBSTITUTE(TRIM('수출입 실적(성질별_수출)'!D545),",","")),"")</f>
        <v>321460.4</v>
      </c>
      <c r="G541" s="19" t="n">
        <f aca="false">IFERROR(VALUE(SUBSTITUTE(TRIM('수출입 실적(성질별_수출)'!E545),",","")),"")</f>
        <v>838242</v>
      </c>
    </row>
    <row r="542" customFormat="false" ht="15" hidden="false" customHeight="true" outlineLevel="0" collapsed="false">
      <c r="A542" s="11" t="str">
        <f aca="false">TRIM('수출입 실적(성질별_수출)'!A546)</f>
        <v>2026.02</v>
      </c>
      <c r="B542" s="17" t="n">
        <f aca="false">IFERROR(VALUE(LEFT($A542,4)),"")</f>
        <v>2026</v>
      </c>
      <c r="C542" s="17" t="n">
        <f aca="false">IFERROR(VALUE(RIGHT($A542,2)),"")</f>
        <v>2</v>
      </c>
      <c r="D542" s="17" t="n">
        <f aca="false">IFERROR(ROUNDUP($C542/3,0),"")</f>
        <v>1</v>
      </c>
      <c r="E542" s="11" t="str">
        <f aca="false">TRIM('수출입 실적(성질별_수출)'!C546)</f>
        <v>4. 중화학 공업품</v>
      </c>
      <c r="F542" s="18" t="n">
        <f aca="false">IFERROR(VALUE(SUBSTITUTE(TRIM('수출입 실적(성질별_수출)'!D546),",","")),"")</f>
        <v>8130604.2</v>
      </c>
      <c r="G542" s="19" t="n">
        <f aca="false">IFERROR(VALUE(SUBSTITUTE(TRIM('수출입 실적(성질별_수출)'!E546),",","")),"")</f>
        <v>58704727</v>
      </c>
    </row>
    <row r="543" customFormat="false" ht="15" hidden="false" customHeight="true" outlineLevel="0" collapsed="false">
      <c r="A543" s="11" t="str">
        <f aca="false">TRIM('수출입 실적(성질별_수출)'!A547)</f>
        <v>2026.02</v>
      </c>
      <c r="B543" s="17" t="n">
        <f aca="false">IFERROR(VALUE(LEFT($A543,4)),"")</f>
        <v>2026</v>
      </c>
      <c r="C543" s="17" t="n">
        <f aca="false">IFERROR(VALUE(RIGHT($A543,2)),"")</f>
        <v>2</v>
      </c>
      <c r="D543" s="17" t="n">
        <f aca="false">IFERROR(ROUNDUP($C543/3,0),"")</f>
        <v>1</v>
      </c>
      <c r="E543" s="11" t="str">
        <f aca="false">TRIM('수출입 실적(성질별_수출)'!C547)</f>
        <v>가. 화공품</v>
      </c>
      <c r="F543" s="18" t="n">
        <f aca="false">IFERROR(VALUE(SUBSTITUTE(TRIM('수출입 실적(성질별_수출)'!D547),",","")),"")</f>
        <v>3679438.3</v>
      </c>
      <c r="G543" s="19" t="n">
        <f aca="false">IFERROR(VALUE(SUBSTITUTE(TRIM('수출입 실적(성질별_수출)'!E547),",","")),"")</f>
        <v>6279361</v>
      </c>
    </row>
    <row r="544" customFormat="false" ht="15" hidden="false" customHeight="true" outlineLevel="0" collapsed="false">
      <c r="A544" s="11" t="str">
        <f aca="false">TRIM('수출입 실적(성질별_수출)'!A548)</f>
        <v>2026.02</v>
      </c>
      <c r="B544" s="17" t="n">
        <f aca="false">IFERROR(VALUE(LEFT($A544,4)),"")</f>
        <v>2026</v>
      </c>
      <c r="C544" s="17" t="n">
        <f aca="false">IFERROR(VALUE(RIGHT($A544,2)),"")</f>
        <v>2</v>
      </c>
      <c r="D544" s="17" t="n">
        <f aca="false">IFERROR(ROUNDUP($C544/3,0),"")</f>
        <v>1</v>
      </c>
      <c r="E544" s="11" t="str">
        <f aca="false">TRIM('수출입 실적(성질별_수출)'!C548)</f>
        <v>나. 철강제품</v>
      </c>
      <c r="F544" s="18" t="n">
        <f aca="false">IFERROR(VALUE(SUBSTITUTE(TRIM('수출입 실적(성질별_수출)'!D548),",","")),"")</f>
        <v>2646975.8</v>
      </c>
      <c r="G544" s="19" t="n">
        <f aca="false">IFERROR(VALUE(SUBSTITUTE(TRIM('수출입 실적(성질별_수출)'!E548),",","")),"")</f>
        <v>3678524</v>
      </c>
    </row>
    <row r="545" customFormat="false" ht="15" hidden="false" customHeight="true" outlineLevel="0" collapsed="false">
      <c r="A545" s="11" t="str">
        <f aca="false">TRIM('수출입 실적(성질별_수출)'!A549)</f>
        <v>2026.02</v>
      </c>
      <c r="B545" s="17" t="n">
        <f aca="false">IFERROR(VALUE(LEFT($A545,4)),"")</f>
        <v>2026</v>
      </c>
      <c r="C545" s="17" t="n">
        <f aca="false">IFERROR(VALUE(RIGHT($A545,2)),"")</f>
        <v>2</v>
      </c>
      <c r="D545" s="17" t="n">
        <f aca="false">IFERROR(ROUNDUP($C545/3,0),"")</f>
        <v>1</v>
      </c>
      <c r="E545" s="11" t="str">
        <f aca="false">TRIM('수출입 실적(성질별_수출)'!C549)</f>
        <v>다. 기계류와 정밀기기</v>
      </c>
      <c r="F545" s="18" t="n">
        <f aca="false">IFERROR(VALUE(SUBSTITUTE(TRIM('수출입 실적(성질별_수출)'!D549),",","")),"")</f>
        <v>308818.2</v>
      </c>
      <c r="G545" s="19" t="n">
        <f aca="false">IFERROR(VALUE(SUBSTITUTE(TRIM('수출입 실적(성질별_수출)'!E549),",","")),"")</f>
        <v>4904769</v>
      </c>
    </row>
    <row r="546" customFormat="false" ht="15" hidden="false" customHeight="true" outlineLevel="0" collapsed="false">
      <c r="A546" s="11" t="str">
        <f aca="false">TRIM('수출입 실적(성질별_수출)'!A550)</f>
        <v>2026.02</v>
      </c>
      <c r="B546" s="17" t="n">
        <f aca="false">IFERROR(VALUE(LEFT($A546,4)),"")</f>
        <v>2026</v>
      </c>
      <c r="C546" s="17" t="n">
        <f aca="false">IFERROR(VALUE(RIGHT($A546,2)),"")</f>
        <v>2</v>
      </c>
      <c r="D546" s="17" t="n">
        <f aca="false">IFERROR(ROUNDUP($C546/3,0),"")</f>
        <v>1</v>
      </c>
      <c r="E546" s="11" t="str">
        <f aca="false">TRIM('수출입 실적(성질별_수출)'!C550)</f>
        <v>라. 전기, 전자제품</v>
      </c>
      <c r="F546" s="18" t="n">
        <f aca="false">IFERROR(VALUE(SUBSTITUTE(TRIM('수출입 실적(성질별_수출)'!D550),",","")),"")</f>
        <v>200088.4</v>
      </c>
      <c r="G546" s="19" t="n">
        <f aca="false">IFERROR(VALUE(SUBSTITUTE(TRIM('수출입 실적(성질별_수출)'!E550),",","")),"")</f>
        <v>33394046</v>
      </c>
    </row>
    <row r="547" customFormat="false" ht="15" hidden="false" customHeight="true" outlineLevel="0" collapsed="false">
      <c r="A547" s="11" t="str">
        <f aca="false">TRIM('수출입 실적(성질별_수출)'!A551)</f>
        <v>2026.02</v>
      </c>
      <c r="B547" s="17" t="n">
        <f aca="false">IFERROR(VALUE(LEFT($A547,4)),"")</f>
        <v>2026</v>
      </c>
      <c r="C547" s="17" t="n">
        <f aca="false">IFERROR(VALUE(RIGHT($A547,2)),"")</f>
        <v>2</v>
      </c>
      <c r="D547" s="17" t="n">
        <f aca="false">IFERROR(ROUNDUP($C547/3,0),"")</f>
        <v>1</v>
      </c>
      <c r="E547" s="11" t="str">
        <f aca="false">TRIM('수출입 실적(성질별_수출)'!C551)</f>
        <v>마. 수송장비</v>
      </c>
      <c r="F547" s="18" t="n">
        <f aca="false">IFERROR(VALUE(SUBSTITUTE(TRIM('수출입 실적(성질별_수출)'!D551),",","")),"")</f>
        <v>1230950.3</v>
      </c>
      <c r="G547" s="19" t="n">
        <f aca="false">IFERROR(VALUE(SUBSTITUTE(TRIM('수출입 실적(성질별_수출)'!E551),",","")),"")</f>
        <v>8608748</v>
      </c>
    </row>
    <row r="548" customFormat="false" ht="15" hidden="false" customHeight="true" outlineLevel="0" collapsed="false">
      <c r="A548" s="11" t="str">
        <f aca="false">TRIM('수출입 실적(성질별_수출)'!A552)</f>
        <v>2026.02</v>
      </c>
      <c r="B548" s="17" t="n">
        <f aca="false">IFERROR(VALUE(LEFT($A548,4)),"")</f>
        <v>2026</v>
      </c>
      <c r="C548" s="17" t="n">
        <f aca="false">IFERROR(VALUE(RIGHT($A548,2)),"")</f>
        <v>2</v>
      </c>
      <c r="D548" s="17" t="n">
        <f aca="false">IFERROR(ROUNDUP($C548/3,0),"")</f>
        <v>1</v>
      </c>
      <c r="E548" s="11" t="str">
        <f aca="false">TRIM('수출입 실적(성질별_수출)'!C552)</f>
        <v>바. 기 타</v>
      </c>
      <c r="F548" s="18" t="n">
        <f aca="false">IFERROR(VALUE(SUBSTITUTE(TRIM('수출입 실적(성질별_수출)'!D552),",","")),"")</f>
        <v>64333.2</v>
      </c>
      <c r="G548" s="19" t="n">
        <f aca="false">IFERROR(VALUE(SUBSTITUTE(TRIM('수출입 실적(성질별_수출)'!E552),",","")),"")</f>
        <v>1839279</v>
      </c>
    </row>
    <row r="549" customFormat="false" ht="15" hidden="false" customHeight="true" outlineLevel="0" collapsed="false">
      <c r="A549" s="11" t="str">
        <f aca="false">TRIM('수출입 실적(성질별_수출)'!A553)</f>
        <v>2026.03</v>
      </c>
      <c r="B549" s="17" t="n">
        <f aca="false">IFERROR(VALUE(LEFT($A549,4)),"")</f>
        <v>2026</v>
      </c>
      <c r="C549" s="17" t="n">
        <f aca="false">IFERROR(VALUE(RIGHT($A549,2)),"")</f>
        <v>3</v>
      </c>
      <c r="D549" s="17" t="n">
        <f aca="false">IFERROR(ROUNDUP($C549/3,0),"")</f>
        <v>1</v>
      </c>
      <c r="E549" s="11" t="str">
        <f aca="false">TRIM('수출입 실적(성질별_수출)'!C553)</f>
        <v>1. 식료 및 직접소비재</v>
      </c>
      <c r="F549" s="18" t="n">
        <f aca="false">IFERROR(VALUE(SUBSTITUTE(TRIM('수출입 실적(성질별_수출)'!D553),",","")),"")</f>
        <v>394242.8</v>
      </c>
      <c r="G549" s="19" t="n">
        <f aca="false">IFERROR(VALUE(SUBSTITUTE(TRIM('수출입 실적(성질별_수출)'!E553),",","")),"")</f>
        <v>1169585</v>
      </c>
    </row>
    <row r="550" customFormat="false" ht="15" hidden="false" customHeight="true" outlineLevel="0" collapsed="false">
      <c r="A550" s="11" t="str">
        <f aca="false">TRIM('수출입 실적(성질별_수출)'!A554)</f>
        <v>2026.03</v>
      </c>
      <c r="B550" s="17" t="n">
        <f aca="false">IFERROR(VALUE(LEFT($A550,4)),"")</f>
        <v>2026</v>
      </c>
      <c r="C550" s="17" t="n">
        <f aca="false">IFERROR(VALUE(RIGHT($A550,2)),"")</f>
        <v>3</v>
      </c>
      <c r="D550" s="17" t="n">
        <f aca="false">IFERROR(ROUNDUP($C550/3,0),"")</f>
        <v>1</v>
      </c>
      <c r="E550" s="11" t="str">
        <f aca="false">TRIM('수출입 실적(성질별_수출)'!C554)</f>
        <v>2. 원료 및 연료</v>
      </c>
      <c r="F550" s="18" t="n">
        <f aca="false">IFERROR(VALUE(SUBSTITUTE(TRIM('수출입 실적(성질별_수출)'!D554),",","")),"")</f>
        <v>5946541.9</v>
      </c>
      <c r="G550" s="19" t="n">
        <f aca="false">IFERROR(VALUE(SUBSTITUTE(TRIM('수출입 실적(성질별_수출)'!E554),",","")),"")</f>
        <v>7280697</v>
      </c>
    </row>
    <row r="551" customFormat="false" ht="15" hidden="false" customHeight="true" outlineLevel="0" collapsed="false">
      <c r="A551" s="11" t="str">
        <f aca="false">TRIM('수출입 실적(성질별_수출)'!A555)</f>
        <v>2026.03</v>
      </c>
      <c r="B551" s="17" t="n">
        <f aca="false">IFERROR(VALUE(LEFT($A551,4)),"")</f>
        <v>2026</v>
      </c>
      <c r="C551" s="17" t="n">
        <f aca="false">IFERROR(VALUE(RIGHT($A551,2)),"")</f>
        <v>3</v>
      </c>
      <c r="D551" s="17" t="n">
        <f aca="false">IFERROR(ROUNDUP($C551/3,0),"")</f>
        <v>1</v>
      </c>
      <c r="E551" s="11" t="str">
        <f aca="false">TRIM('수출입 실적(성질별_수출)'!C555)</f>
        <v>3. 경공업품</v>
      </c>
      <c r="F551" s="18" t="n">
        <f aca="false">IFERROR(VALUE(SUBSTITUTE(TRIM('수출입 실적(성질별_수출)'!D555),",","")),"")</f>
        <v>918239.5</v>
      </c>
      <c r="G551" s="19" t="n">
        <f aca="false">IFERROR(VALUE(SUBSTITUTE(TRIM('수출입 실적(성질별_수출)'!E555),",","")),"")</f>
        <v>4111292</v>
      </c>
    </row>
    <row r="552" customFormat="false" ht="15" hidden="false" customHeight="true" outlineLevel="0" collapsed="false">
      <c r="A552" s="11" t="str">
        <f aca="false">TRIM('수출입 실적(성질별_수출)'!A556)</f>
        <v>2026.03</v>
      </c>
      <c r="B552" s="17" t="n">
        <f aca="false">IFERROR(VALUE(LEFT($A552,4)),"")</f>
        <v>2026</v>
      </c>
      <c r="C552" s="17" t="n">
        <f aca="false">IFERROR(VALUE(RIGHT($A552,2)),"")</f>
        <v>3</v>
      </c>
      <c r="D552" s="17" t="n">
        <f aca="false">IFERROR(ROUNDUP($C552/3,0),"")</f>
        <v>1</v>
      </c>
      <c r="E552" s="11" t="str">
        <f aca="false">TRIM('수출입 실적(성질별_수출)'!C556)</f>
        <v>가. 섬유원료</v>
      </c>
      <c r="F552" s="18" t="n">
        <f aca="false">IFERROR(VALUE(SUBSTITUTE(TRIM('수출입 실적(성질별_수출)'!D556),",","")),"")</f>
        <v>62068</v>
      </c>
      <c r="G552" s="19" t="n">
        <f aca="false">IFERROR(VALUE(SUBSTITUTE(TRIM('수출입 실적(성질별_수출)'!E556),",","")),"")</f>
        <v>91453</v>
      </c>
    </row>
    <row r="553" customFormat="false" ht="15" hidden="false" customHeight="true" outlineLevel="0" collapsed="false">
      <c r="A553" s="11" t="str">
        <f aca="false">TRIM('수출입 실적(성질별_수출)'!A557)</f>
        <v>2026.03</v>
      </c>
      <c r="B553" s="17" t="n">
        <f aca="false">IFERROR(VALUE(LEFT($A553,4)),"")</f>
        <v>2026</v>
      </c>
      <c r="C553" s="17" t="n">
        <f aca="false">IFERROR(VALUE(RIGHT($A553,2)),"")</f>
        <v>3</v>
      </c>
      <c r="D553" s="17" t="n">
        <f aca="false">IFERROR(ROUNDUP($C553/3,0),"")</f>
        <v>1</v>
      </c>
      <c r="E553" s="11" t="str">
        <f aca="false">TRIM('수출입 실적(성질별_수출)'!C557)</f>
        <v>나. 섬유사</v>
      </c>
      <c r="F553" s="18" t="n">
        <f aca="false">IFERROR(VALUE(SUBSTITUTE(TRIM('수출입 실적(성질별_수출)'!D557),",","")),"")</f>
        <v>17915.5</v>
      </c>
      <c r="G553" s="19" t="n">
        <f aca="false">IFERROR(VALUE(SUBSTITUTE(TRIM('수출입 실적(성질별_수출)'!E557),",","")),"")</f>
        <v>66796</v>
      </c>
    </row>
    <row r="554" customFormat="false" ht="15" hidden="false" customHeight="true" outlineLevel="0" collapsed="false">
      <c r="A554" s="11" t="str">
        <f aca="false">TRIM('수출입 실적(성질별_수출)'!A558)</f>
        <v>2026.03</v>
      </c>
      <c r="B554" s="17" t="n">
        <f aca="false">IFERROR(VALUE(LEFT($A554,4)),"")</f>
        <v>2026</v>
      </c>
      <c r="C554" s="17" t="n">
        <f aca="false">IFERROR(VALUE(RIGHT($A554,2)),"")</f>
        <v>3</v>
      </c>
      <c r="D554" s="17" t="n">
        <f aca="false">IFERROR(ROUNDUP($C554/3,0),"")</f>
        <v>1</v>
      </c>
      <c r="E554" s="11" t="str">
        <f aca="false">TRIM('수출입 실적(성질별_수출)'!C558)</f>
        <v>다. 직 물</v>
      </c>
      <c r="F554" s="18" t="n">
        <f aca="false">IFERROR(VALUE(SUBSTITUTE(TRIM('수출입 실적(성질별_수출)'!D558),",","")),"")</f>
        <v>28243</v>
      </c>
      <c r="G554" s="19" t="n">
        <f aca="false">IFERROR(VALUE(SUBSTITUTE(TRIM('수출입 실적(성질별_수출)'!E558),",","")),"")</f>
        <v>271710</v>
      </c>
    </row>
    <row r="555" customFormat="false" ht="15" hidden="false" customHeight="true" outlineLevel="0" collapsed="false">
      <c r="A555" s="11" t="str">
        <f aca="false">TRIM('수출입 실적(성질별_수출)'!A559)</f>
        <v>2026.03</v>
      </c>
      <c r="B555" s="17" t="n">
        <f aca="false">IFERROR(VALUE(LEFT($A555,4)),"")</f>
        <v>2026</v>
      </c>
      <c r="C555" s="17" t="n">
        <f aca="false">IFERROR(VALUE(RIGHT($A555,2)),"")</f>
        <v>3</v>
      </c>
      <c r="D555" s="17" t="n">
        <f aca="false">IFERROR(ROUNDUP($C555/3,0),"")</f>
        <v>1</v>
      </c>
      <c r="E555" s="11" t="str">
        <f aca="false">TRIM('수출입 실적(성질별_수출)'!C559)</f>
        <v>라. 기타 섬유제품</v>
      </c>
      <c r="F555" s="18" t="n">
        <f aca="false">IFERROR(VALUE(SUBSTITUTE(TRIM('수출입 실적(성질별_수출)'!D559),",","")),"")</f>
        <v>23047.8</v>
      </c>
      <c r="G555" s="19" t="n">
        <f aca="false">IFERROR(VALUE(SUBSTITUTE(TRIM('수출입 실적(성질별_수출)'!E559),",","")),"")</f>
        <v>178529</v>
      </c>
    </row>
    <row r="556" customFormat="false" ht="15" hidden="false" customHeight="true" outlineLevel="0" collapsed="false">
      <c r="A556" s="11" t="str">
        <f aca="false">TRIM('수출입 실적(성질별_수출)'!A560)</f>
        <v>2026.03</v>
      </c>
      <c r="B556" s="17" t="n">
        <f aca="false">IFERROR(VALUE(LEFT($A556,4)),"")</f>
        <v>2026</v>
      </c>
      <c r="C556" s="17" t="n">
        <f aca="false">IFERROR(VALUE(RIGHT($A556,2)),"")</f>
        <v>3</v>
      </c>
      <c r="D556" s="17" t="n">
        <f aca="false">IFERROR(ROUNDUP($C556/3,0),"")</f>
        <v>1</v>
      </c>
      <c r="E556" s="11" t="str">
        <f aca="false">TRIM('수출입 실적(성질별_수출)'!C560)</f>
        <v>마. 의 류</v>
      </c>
      <c r="F556" s="18" t="n">
        <f aca="false">IFERROR(VALUE(SUBSTITUTE(TRIM('수출입 실적(성질별_수출)'!D560),",","")),"")</f>
        <v>5511.3</v>
      </c>
      <c r="G556" s="19" t="n">
        <f aca="false">IFERROR(VALUE(SUBSTITUTE(TRIM('수출입 실적(성질별_수출)'!E560),",","")),"")</f>
        <v>178394</v>
      </c>
    </row>
    <row r="557" customFormat="false" ht="15" hidden="false" customHeight="true" outlineLevel="0" collapsed="false">
      <c r="A557" s="11" t="str">
        <f aca="false">TRIM('수출입 실적(성질별_수출)'!A561)</f>
        <v>2026.03</v>
      </c>
      <c r="B557" s="17" t="n">
        <f aca="false">IFERROR(VALUE(LEFT($A557,4)),"")</f>
        <v>2026</v>
      </c>
      <c r="C557" s="17" t="n">
        <f aca="false">IFERROR(VALUE(RIGHT($A557,2)),"")</f>
        <v>3</v>
      </c>
      <c r="D557" s="17" t="n">
        <f aca="false">IFERROR(ROUNDUP($C557/3,0),"")</f>
        <v>1</v>
      </c>
      <c r="E557" s="11" t="str">
        <f aca="false">TRIM('수출입 실적(성질별_수출)'!C561)</f>
        <v>바. 목제품</v>
      </c>
      <c r="F557" s="18" t="n">
        <f aca="false">IFERROR(VALUE(SUBSTITUTE(TRIM('수출입 실적(성질별_수출)'!D561),",","")),"")</f>
        <v>19227.5</v>
      </c>
      <c r="G557" s="19" t="n">
        <f aca="false">IFERROR(VALUE(SUBSTITUTE(TRIM('수출입 실적(성질별_수출)'!E561),",","")),"")</f>
        <v>99911</v>
      </c>
    </row>
    <row r="558" customFormat="false" ht="15" hidden="false" customHeight="true" outlineLevel="0" collapsed="false">
      <c r="A558" s="11" t="str">
        <f aca="false">TRIM('수출입 실적(성질별_수출)'!A562)</f>
        <v>2026.03</v>
      </c>
      <c r="B558" s="17" t="n">
        <f aca="false">IFERROR(VALUE(LEFT($A558,4)),"")</f>
        <v>2026</v>
      </c>
      <c r="C558" s="17" t="n">
        <f aca="false">IFERROR(VALUE(RIGHT($A558,2)),"")</f>
        <v>3</v>
      </c>
      <c r="D558" s="17" t="n">
        <f aca="false">IFERROR(ROUNDUP($C558/3,0),"")</f>
        <v>1</v>
      </c>
      <c r="E558" s="11" t="str">
        <f aca="false">TRIM('수출입 실적(성질별_수출)'!C562)</f>
        <v>사. 가죽, 고무 및 신발류</v>
      </c>
      <c r="F558" s="18" t="n">
        <f aca="false">IFERROR(VALUE(SUBSTITUTE(TRIM('수출입 실적(성질별_수출)'!D562),",","")),"")</f>
        <v>71364.6</v>
      </c>
      <c r="G558" s="19" t="n">
        <f aca="false">IFERROR(VALUE(SUBSTITUTE(TRIM('수출입 실적(성질별_수출)'!E562),",","")),"")</f>
        <v>411282</v>
      </c>
    </row>
    <row r="559" customFormat="false" ht="15" hidden="false" customHeight="true" outlineLevel="0" collapsed="false">
      <c r="A559" s="11" t="str">
        <f aca="false">TRIM('수출입 실적(성질별_수출)'!A563)</f>
        <v>2026.03</v>
      </c>
      <c r="B559" s="17" t="n">
        <f aca="false">IFERROR(VALUE(LEFT($A559,4)),"")</f>
        <v>2026</v>
      </c>
      <c r="C559" s="17" t="n">
        <f aca="false">IFERROR(VALUE(RIGHT($A559,2)),"")</f>
        <v>3</v>
      </c>
      <c r="D559" s="17" t="n">
        <f aca="false">IFERROR(ROUNDUP($C559/3,0),"")</f>
        <v>1</v>
      </c>
      <c r="E559" s="11" t="str">
        <f aca="false">TRIM('수출입 실적(성질별_수출)'!C563)</f>
        <v>아. 귀금속 및 보석류</v>
      </c>
      <c r="F559" s="18" t="n">
        <f aca="false">IFERROR(VALUE(SUBSTITUTE(TRIM('수출입 실적(성질별_수출)'!D563),",","")),"")</f>
        <v>307.1</v>
      </c>
      <c r="G559" s="19" t="n">
        <f aca="false">IFERROR(VALUE(SUBSTITUTE(TRIM('수출입 실적(성질별_수출)'!E563),",","")),"")</f>
        <v>1538992</v>
      </c>
    </row>
    <row r="560" customFormat="false" ht="15" hidden="false" customHeight="true" outlineLevel="0" collapsed="false">
      <c r="A560" s="11" t="str">
        <f aca="false">TRIM('수출입 실적(성질별_수출)'!A564)</f>
        <v>2026.03</v>
      </c>
      <c r="B560" s="17" t="n">
        <f aca="false">IFERROR(VALUE(LEFT($A560,4)),"")</f>
        <v>2026</v>
      </c>
      <c r="C560" s="17" t="n">
        <f aca="false">IFERROR(VALUE(RIGHT($A560,2)),"")</f>
        <v>3</v>
      </c>
      <c r="D560" s="17" t="n">
        <f aca="false">IFERROR(ROUNDUP($C560/3,0),"")</f>
        <v>1</v>
      </c>
      <c r="E560" s="11" t="str">
        <f aca="false">TRIM('수출입 실적(성질별_수출)'!C564)</f>
        <v>자. 기타 비금속 광물제품</v>
      </c>
      <c r="F560" s="18" t="n">
        <f aca="false">IFERROR(VALUE(SUBSTITUTE(TRIM('수출입 실적(성질별_수출)'!D564),",","")),"")</f>
        <v>283640.2</v>
      </c>
      <c r="G560" s="19" t="n">
        <f aca="false">IFERROR(VALUE(SUBSTITUTE(TRIM('수출입 실적(성질별_수출)'!E564),",","")),"")</f>
        <v>187937</v>
      </c>
    </row>
    <row r="561" customFormat="false" ht="15" hidden="false" customHeight="true" outlineLevel="0" collapsed="false">
      <c r="A561" s="11" t="str">
        <f aca="false">TRIM('수출입 실적(성질별_수출)'!A565)</f>
        <v>2026.03</v>
      </c>
      <c r="B561" s="17" t="n">
        <f aca="false">IFERROR(VALUE(LEFT($A561,4)),"")</f>
        <v>2026</v>
      </c>
      <c r="C561" s="17" t="n">
        <f aca="false">IFERROR(VALUE(RIGHT($A561,2)),"")</f>
        <v>3</v>
      </c>
      <c r="D561" s="17" t="n">
        <f aca="false">IFERROR(ROUNDUP($C561/3,0),"")</f>
        <v>1</v>
      </c>
      <c r="E561" s="11" t="str">
        <f aca="false">TRIM('수출입 실적(성질별_수출)'!C565)</f>
        <v>차. 완구, 운동용구 및 악기</v>
      </c>
      <c r="F561" s="18" t="n">
        <f aca="false">IFERROR(VALUE(SUBSTITUTE(TRIM('수출입 실적(성질별_수출)'!D565),",","")),"")</f>
        <v>2792.4</v>
      </c>
      <c r="G561" s="19" t="n">
        <f aca="false">IFERROR(VALUE(SUBSTITUTE(TRIM('수출입 실적(성질별_수출)'!E565),",","")),"")</f>
        <v>63099</v>
      </c>
    </row>
    <row r="562" customFormat="false" ht="15" hidden="false" customHeight="true" outlineLevel="0" collapsed="false">
      <c r="A562" s="11" t="str">
        <f aca="false">TRIM('수출입 실적(성질별_수출)'!A566)</f>
        <v>2026.03</v>
      </c>
      <c r="B562" s="17" t="n">
        <f aca="false">IFERROR(VALUE(LEFT($A562,4)),"")</f>
        <v>2026</v>
      </c>
      <c r="C562" s="17" t="n">
        <f aca="false">IFERROR(VALUE(RIGHT($A562,2)),"")</f>
        <v>3</v>
      </c>
      <c r="D562" s="17" t="n">
        <f aca="false">IFERROR(ROUNDUP($C562/3,0),"")</f>
        <v>1</v>
      </c>
      <c r="E562" s="11" t="str">
        <f aca="false">TRIM('수출입 실적(성질별_수출)'!C566)</f>
        <v>카. 기 타</v>
      </c>
      <c r="F562" s="18" t="n">
        <f aca="false">IFERROR(VALUE(SUBSTITUTE(TRIM('수출입 실적(성질별_수출)'!D566),",","")),"")</f>
        <v>404121.9</v>
      </c>
      <c r="G562" s="19" t="n">
        <f aca="false">IFERROR(VALUE(SUBSTITUTE(TRIM('수출입 실적(성질별_수출)'!E566),",","")),"")</f>
        <v>1023190</v>
      </c>
    </row>
    <row r="563" customFormat="false" ht="15" hidden="false" customHeight="true" outlineLevel="0" collapsed="false">
      <c r="A563" s="11" t="str">
        <f aca="false">TRIM('수출입 실적(성질별_수출)'!A567)</f>
        <v>2026.03</v>
      </c>
      <c r="B563" s="17" t="n">
        <f aca="false">IFERROR(VALUE(LEFT($A563,4)),"")</f>
        <v>2026</v>
      </c>
      <c r="C563" s="17" t="n">
        <f aca="false">IFERROR(VALUE(RIGHT($A563,2)),"")</f>
        <v>3</v>
      </c>
      <c r="D563" s="17" t="n">
        <f aca="false">IFERROR(ROUNDUP($C563/3,0),"")</f>
        <v>1</v>
      </c>
      <c r="E563" s="11" t="str">
        <f aca="false">TRIM('수출입 실적(성질별_수출)'!C567)</f>
        <v>4. 중화학 공업품</v>
      </c>
      <c r="F563" s="18" t="n">
        <f aca="false">IFERROR(VALUE(SUBSTITUTE(TRIM('수출입 실적(성질별_수출)'!D567),",","")),"")</f>
        <v>8921227.8</v>
      </c>
      <c r="G563" s="19" t="n">
        <f aca="false">IFERROR(VALUE(SUBSTITUTE(TRIM('수출입 실적(성질별_수출)'!E567),",","")),"")</f>
        <v>74771554</v>
      </c>
    </row>
    <row r="564" customFormat="false" ht="15" hidden="false" customHeight="true" outlineLevel="0" collapsed="false">
      <c r="A564" s="11" t="str">
        <f aca="false">TRIM('수출입 실적(성질별_수출)'!A568)</f>
        <v>2026.03</v>
      </c>
      <c r="B564" s="17" t="n">
        <f aca="false">IFERROR(VALUE(LEFT($A564,4)),"")</f>
        <v>2026</v>
      </c>
      <c r="C564" s="17" t="n">
        <f aca="false">IFERROR(VALUE(RIGHT($A564,2)),"")</f>
        <v>3</v>
      </c>
      <c r="D564" s="17" t="n">
        <f aca="false">IFERROR(ROUNDUP($C564/3,0),"")</f>
        <v>1</v>
      </c>
      <c r="E564" s="11" t="str">
        <f aca="false">TRIM('수출입 실적(성질별_수출)'!C568)</f>
        <v>가. 화공품</v>
      </c>
      <c r="F564" s="18" t="n">
        <f aca="false">IFERROR(VALUE(SUBSTITUTE(TRIM('수출입 실적(성질별_수출)'!D568),",","")),"")</f>
        <v>3941649.9</v>
      </c>
      <c r="G564" s="19" t="n">
        <f aca="false">IFERROR(VALUE(SUBSTITUTE(TRIM('수출입 실적(성질별_수출)'!E568),",","")),"")</f>
        <v>7361871</v>
      </c>
    </row>
    <row r="565" customFormat="false" ht="15" hidden="false" customHeight="true" outlineLevel="0" collapsed="false">
      <c r="A565" s="11" t="str">
        <f aca="false">TRIM('수출입 실적(성질별_수출)'!A569)</f>
        <v>2026.03</v>
      </c>
      <c r="B565" s="17" t="n">
        <f aca="false">IFERROR(VALUE(LEFT($A565,4)),"")</f>
        <v>2026</v>
      </c>
      <c r="C565" s="17" t="n">
        <f aca="false">IFERROR(VALUE(RIGHT($A565,2)),"")</f>
        <v>3</v>
      </c>
      <c r="D565" s="17" t="n">
        <f aca="false">IFERROR(ROUNDUP($C565/3,0),"")</f>
        <v>1</v>
      </c>
      <c r="E565" s="11" t="str">
        <f aca="false">TRIM('수출입 실적(성질별_수출)'!C569)</f>
        <v>나. 철강제품</v>
      </c>
      <c r="F565" s="18" t="n">
        <f aca="false">IFERROR(VALUE(SUBSTITUTE(TRIM('수출입 실적(성질별_수출)'!D569),",","")),"")</f>
        <v>2724667.4</v>
      </c>
      <c r="G565" s="19" t="n">
        <f aca="false">IFERROR(VALUE(SUBSTITUTE(TRIM('수출입 실적(성질별_수출)'!E569),",","")),"")</f>
        <v>4107993</v>
      </c>
    </row>
    <row r="566" customFormat="false" ht="15" hidden="false" customHeight="true" outlineLevel="0" collapsed="false">
      <c r="A566" s="11" t="str">
        <f aca="false">TRIM('수출입 실적(성질별_수출)'!A570)</f>
        <v>2026.03</v>
      </c>
      <c r="B566" s="17" t="n">
        <f aca="false">IFERROR(VALUE(LEFT($A566,4)),"")</f>
        <v>2026</v>
      </c>
      <c r="C566" s="17" t="n">
        <f aca="false">IFERROR(VALUE(RIGHT($A566,2)),"")</f>
        <v>3</v>
      </c>
      <c r="D566" s="17" t="n">
        <f aca="false">IFERROR(ROUNDUP($C566/3,0),"")</f>
        <v>1</v>
      </c>
      <c r="E566" s="11" t="str">
        <f aca="false">TRIM('수출입 실적(성질별_수출)'!C570)</f>
        <v>다. 기계류와 정밀기기</v>
      </c>
      <c r="F566" s="18" t="n">
        <f aca="false">IFERROR(VALUE(SUBSTITUTE(TRIM('수출입 실적(성질별_수출)'!D570),",","")),"")</f>
        <v>356783.3</v>
      </c>
      <c r="G566" s="19" t="n">
        <f aca="false">IFERROR(VALUE(SUBSTITUTE(TRIM('수출입 실적(성질별_수출)'!E570),",","")),"")</f>
        <v>6033664</v>
      </c>
    </row>
    <row r="567" customFormat="false" ht="15" hidden="false" customHeight="true" outlineLevel="0" collapsed="false">
      <c r="A567" s="11" t="str">
        <f aca="false">TRIM('수출입 실적(성질별_수출)'!A571)</f>
        <v>2026.03</v>
      </c>
      <c r="B567" s="17" t="n">
        <f aca="false">IFERROR(VALUE(LEFT($A567,4)),"")</f>
        <v>2026</v>
      </c>
      <c r="C567" s="17" t="n">
        <f aca="false">IFERROR(VALUE(RIGHT($A567,2)),"")</f>
        <v>3</v>
      </c>
      <c r="D567" s="17" t="n">
        <f aca="false">IFERROR(ROUNDUP($C567/3,0),"")</f>
        <v>1</v>
      </c>
      <c r="E567" s="11" t="str">
        <f aca="false">TRIM('수출입 실적(성질별_수출)'!C571)</f>
        <v>라. 전기, 전자제품</v>
      </c>
      <c r="F567" s="18" t="n">
        <f aca="false">IFERROR(VALUE(SUBSTITUTE(TRIM('수출입 실적(성질별_수출)'!D571),",","")),"")</f>
        <v>246538.4</v>
      </c>
      <c r="G567" s="19" t="n">
        <f aca="false">IFERROR(VALUE(SUBSTITUTE(TRIM('수출입 실적(성질별_수출)'!E571),",","")),"")</f>
        <v>43273534</v>
      </c>
    </row>
    <row r="568" customFormat="false" ht="15" hidden="false" customHeight="true" outlineLevel="0" collapsed="false">
      <c r="A568" s="11" t="str">
        <f aca="false">TRIM('수출입 실적(성질별_수출)'!A572)</f>
        <v>2026.03</v>
      </c>
      <c r="B568" s="17" t="n">
        <f aca="false">IFERROR(VALUE(LEFT($A568,4)),"")</f>
        <v>2026</v>
      </c>
      <c r="C568" s="17" t="n">
        <f aca="false">IFERROR(VALUE(RIGHT($A568,2)),"")</f>
        <v>3</v>
      </c>
      <c r="D568" s="17" t="n">
        <f aca="false">IFERROR(ROUNDUP($C568/3,0),"")</f>
        <v>1</v>
      </c>
      <c r="E568" s="11" t="str">
        <f aca="false">TRIM('수출입 실적(성질별_수출)'!C572)</f>
        <v>마. 수송장비</v>
      </c>
      <c r="F568" s="18" t="n">
        <f aca="false">IFERROR(VALUE(SUBSTITUTE(TRIM('수출입 실적(성질별_수출)'!D572),",","")),"")</f>
        <v>1574925.9</v>
      </c>
      <c r="G568" s="19" t="n">
        <f aca="false">IFERROR(VALUE(SUBSTITUTE(TRIM('수출입 실적(성질별_수출)'!E572),",","")),"")</f>
        <v>11782023</v>
      </c>
    </row>
    <row r="569" customFormat="false" ht="15" hidden="false" customHeight="true" outlineLevel="0" collapsed="false">
      <c r="A569" s="11" t="str">
        <f aca="false">TRIM('수출입 실적(성질별_수출)'!A573)</f>
        <v>2026.03</v>
      </c>
      <c r="B569" s="17" t="n">
        <f aca="false">IFERROR(VALUE(LEFT($A569,4)),"")</f>
        <v>2026</v>
      </c>
      <c r="C569" s="17" t="n">
        <f aca="false">IFERROR(VALUE(RIGHT($A569,2)),"")</f>
        <v>3</v>
      </c>
      <c r="D569" s="17" t="n">
        <f aca="false">IFERROR(ROUNDUP($C569/3,0),"")</f>
        <v>1</v>
      </c>
      <c r="E569" s="11" t="str">
        <f aca="false">TRIM('수출입 실적(성질별_수출)'!C573)</f>
        <v>바. 기 타</v>
      </c>
      <c r="F569" s="18" t="n">
        <f aca="false">IFERROR(VALUE(SUBSTITUTE(TRIM('수출입 실적(성질별_수출)'!D573),",","")),"")</f>
        <v>76663</v>
      </c>
      <c r="G569" s="19" t="n">
        <f aca="false">IFERROR(VALUE(SUBSTITUTE(TRIM('수출입 실적(성질별_수출)'!E573),",","")),"")</f>
        <v>2212470</v>
      </c>
    </row>
    <row r="570" customFormat="false" ht="15" hidden="false" customHeight="true" outlineLevel="0" collapsed="false">
      <c r="A570" s="11" t="str">
        <f aca="false">TRIM('수출입 실적(성질별_수출)'!A574)</f>
        <v>2026.04</v>
      </c>
      <c r="B570" s="17" t="n">
        <f aca="false">IFERROR(VALUE(LEFT($A570,4)),"")</f>
        <v>2026</v>
      </c>
      <c r="C570" s="17" t="n">
        <f aca="false">IFERROR(VALUE(RIGHT($A570,2)),"")</f>
        <v>4</v>
      </c>
      <c r="D570" s="17" t="n">
        <f aca="false">IFERROR(ROUNDUP($C570/3,0),"")</f>
        <v>2</v>
      </c>
      <c r="E570" s="11" t="str">
        <f aca="false">TRIM('수출입 실적(성질별_수출)'!C574)</f>
        <v>1. 식료 및 직접소비재</v>
      </c>
      <c r="F570" s="18" t="n">
        <f aca="false">IFERROR(VALUE(SUBSTITUTE(TRIM('수출입 실적(성질별_수출)'!D574),",","")),"")</f>
        <v>399815.7</v>
      </c>
      <c r="G570" s="19" t="n">
        <f aca="false">IFERROR(VALUE(SUBSTITUTE(TRIM('수출입 실적(성질별_수출)'!E574),",","")),"")</f>
        <v>1206533</v>
      </c>
    </row>
    <row r="571" customFormat="false" ht="15" hidden="false" customHeight="true" outlineLevel="0" collapsed="false">
      <c r="A571" s="11" t="str">
        <f aca="false">TRIM('수출입 실적(성질별_수출)'!A575)</f>
        <v>2026.04</v>
      </c>
      <c r="B571" s="17" t="n">
        <f aca="false">IFERROR(VALUE(LEFT($A571,4)),"")</f>
        <v>2026</v>
      </c>
      <c r="C571" s="17" t="n">
        <f aca="false">IFERROR(VALUE(RIGHT($A571,2)),"")</f>
        <v>4</v>
      </c>
      <c r="D571" s="17" t="n">
        <f aca="false">IFERROR(ROUNDUP($C571/3,0),"")</f>
        <v>2</v>
      </c>
      <c r="E571" s="11" t="str">
        <f aca="false">TRIM('수출입 실적(성질별_수출)'!C575)</f>
        <v>2. 원료 및 연료</v>
      </c>
      <c r="F571" s="18" t="n">
        <f aca="false">IFERROR(VALUE(SUBSTITUTE(TRIM('수출입 실적(성질별_수출)'!D575),",","")),"")</f>
        <v>4376977.6</v>
      </c>
      <c r="G571" s="19" t="n">
        <f aca="false">IFERROR(VALUE(SUBSTITUTE(TRIM('수출입 실적(성질별_수출)'!E575),",","")),"")</f>
        <v>6331952</v>
      </c>
    </row>
    <row r="572" customFormat="false" ht="15" hidden="false" customHeight="true" outlineLevel="0" collapsed="false">
      <c r="A572" s="11" t="str">
        <f aca="false">TRIM('수출입 실적(성질별_수출)'!A576)</f>
        <v>2026.04</v>
      </c>
      <c r="B572" s="17" t="n">
        <f aca="false">IFERROR(VALUE(LEFT($A572,4)),"")</f>
        <v>2026</v>
      </c>
      <c r="C572" s="17" t="n">
        <f aca="false">IFERROR(VALUE(RIGHT($A572,2)),"")</f>
        <v>4</v>
      </c>
      <c r="D572" s="17" t="n">
        <f aca="false">IFERROR(ROUNDUP($C572/3,0),"")</f>
        <v>2</v>
      </c>
      <c r="E572" s="11" t="str">
        <f aca="false">TRIM('수출입 실적(성질별_수출)'!C576)</f>
        <v>3. 경공업품</v>
      </c>
      <c r="F572" s="18" t="n">
        <f aca="false">IFERROR(VALUE(SUBSTITUTE(TRIM('수출입 실적(성질별_수출)'!D576),",","")),"")</f>
        <v>960963.5</v>
      </c>
      <c r="G572" s="19" t="n">
        <f aca="false">IFERROR(VALUE(SUBSTITUTE(TRIM('수출입 실적(성질별_수출)'!E576),",","")),"")</f>
        <v>3895477</v>
      </c>
    </row>
    <row r="573" customFormat="false" ht="15" hidden="false" customHeight="true" outlineLevel="0" collapsed="false">
      <c r="A573" s="11" t="str">
        <f aca="false">TRIM('수출입 실적(성질별_수출)'!A577)</f>
        <v>2026.04</v>
      </c>
      <c r="B573" s="17" t="n">
        <f aca="false">IFERROR(VALUE(LEFT($A573,4)),"")</f>
        <v>2026</v>
      </c>
      <c r="C573" s="17" t="n">
        <f aca="false">IFERROR(VALUE(RIGHT($A573,2)),"")</f>
        <v>4</v>
      </c>
      <c r="D573" s="17" t="n">
        <f aca="false">IFERROR(ROUNDUP($C573/3,0),"")</f>
        <v>2</v>
      </c>
      <c r="E573" s="11" t="str">
        <f aca="false">TRIM('수출입 실적(성질별_수출)'!C577)</f>
        <v>가. 섬유원료</v>
      </c>
      <c r="F573" s="18" t="n">
        <f aca="false">IFERROR(VALUE(SUBSTITUTE(TRIM('수출입 실적(성질별_수출)'!D577),",","")),"")</f>
        <v>56749.7</v>
      </c>
      <c r="G573" s="19" t="n">
        <f aca="false">IFERROR(VALUE(SUBSTITUTE(TRIM('수출입 실적(성질별_수출)'!E577),",","")),"")</f>
        <v>90653</v>
      </c>
    </row>
    <row r="574" customFormat="false" ht="15" hidden="false" customHeight="true" outlineLevel="0" collapsed="false">
      <c r="A574" s="11" t="str">
        <f aca="false">TRIM('수출입 실적(성질별_수출)'!A578)</f>
        <v>2026.04</v>
      </c>
      <c r="B574" s="17" t="n">
        <f aca="false">IFERROR(VALUE(LEFT($A574,4)),"")</f>
        <v>2026</v>
      </c>
      <c r="C574" s="17" t="n">
        <f aca="false">IFERROR(VALUE(RIGHT($A574,2)),"")</f>
        <v>4</v>
      </c>
      <c r="D574" s="17" t="n">
        <f aca="false">IFERROR(ROUNDUP($C574/3,0),"")</f>
        <v>2</v>
      </c>
      <c r="E574" s="11" t="str">
        <f aca="false">TRIM('수출입 실적(성질별_수출)'!C578)</f>
        <v>나. 섬유사</v>
      </c>
      <c r="F574" s="18" t="n">
        <f aca="false">IFERROR(VALUE(SUBSTITUTE(TRIM('수출입 실적(성질별_수출)'!D578),",","")),"")</f>
        <v>19571.7</v>
      </c>
      <c r="G574" s="19" t="n">
        <f aca="false">IFERROR(VALUE(SUBSTITUTE(TRIM('수출입 실적(성질별_수출)'!E578),",","")),"")</f>
        <v>74276</v>
      </c>
    </row>
    <row r="575" customFormat="false" ht="15" hidden="false" customHeight="true" outlineLevel="0" collapsed="false">
      <c r="A575" s="11" t="str">
        <f aca="false">TRIM('수출입 실적(성질별_수출)'!A579)</f>
        <v>2026.04</v>
      </c>
      <c r="B575" s="17" t="n">
        <f aca="false">IFERROR(VALUE(LEFT($A575,4)),"")</f>
        <v>2026</v>
      </c>
      <c r="C575" s="17" t="n">
        <f aca="false">IFERROR(VALUE(RIGHT($A575,2)),"")</f>
        <v>4</v>
      </c>
      <c r="D575" s="17" t="n">
        <f aca="false">IFERROR(ROUNDUP($C575/3,0),"")</f>
        <v>2</v>
      </c>
      <c r="E575" s="11" t="str">
        <f aca="false">TRIM('수출입 실적(성질별_수출)'!C579)</f>
        <v>다. 직 물</v>
      </c>
      <c r="F575" s="18" t="n">
        <f aca="false">IFERROR(VALUE(SUBSTITUTE(TRIM('수출입 실적(성질별_수출)'!D579),",","")),"")</f>
        <v>30707.3</v>
      </c>
      <c r="G575" s="19" t="n">
        <f aca="false">IFERROR(VALUE(SUBSTITUTE(TRIM('수출입 실적(성질별_수출)'!E579),",","")),"")</f>
        <v>311911</v>
      </c>
    </row>
    <row r="576" customFormat="false" ht="15" hidden="false" customHeight="true" outlineLevel="0" collapsed="false">
      <c r="A576" s="11" t="str">
        <f aca="false">TRIM('수출입 실적(성질별_수출)'!A580)</f>
        <v>2026.04</v>
      </c>
      <c r="B576" s="17" t="n">
        <f aca="false">IFERROR(VALUE(LEFT($A576,4)),"")</f>
        <v>2026</v>
      </c>
      <c r="C576" s="17" t="n">
        <f aca="false">IFERROR(VALUE(RIGHT($A576,2)),"")</f>
        <v>4</v>
      </c>
      <c r="D576" s="17" t="n">
        <f aca="false">IFERROR(ROUNDUP($C576/3,0),"")</f>
        <v>2</v>
      </c>
      <c r="E576" s="11" t="str">
        <f aca="false">TRIM('수출입 실적(성질별_수출)'!C580)</f>
        <v>라. 기타 섬유제품</v>
      </c>
      <c r="F576" s="18" t="n">
        <f aca="false">IFERROR(VALUE(SUBSTITUTE(TRIM('수출입 실적(성질별_수출)'!D580),",","")),"")</f>
        <v>25284.7</v>
      </c>
      <c r="G576" s="19" t="n">
        <f aca="false">IFERROR(VALUE(SUBSTITUTE(TRIM('수출입 실적(성질별_수출)'!E580),",","")),"")</f>
        <v>195708</v>
      </c>
    </row>
    <row r="577" customFormat="false" ht="15" hidden="false" customHeight="true" outlineLevel="0" collapsed="false">
      <c r="A577" s="11" t="str">
        <f aca="false">TRIM('수출입 실적(성질별_수출)'!A581)</f>
        <v>2026.04</v>
      </c>
      <c r="B577" s="17" t="n">
        <f aca="false">IFERROR(VALUE(LEFT($A577,4)),"")</f>
        <v>2026</v>
      </c>
      <c r="C577" s="17" t="n">
        <f aca="false">IFERROR(VALUE(RIGHT($A577,2)),"")</f>
        <v>4</v>
      </c>
      <c r="D577" s="17" t="n">
        <f aca="false">IFERROR(ROUNDUP($C577/3,0),"")</f>
        <v>2</v>
      </c>
      <c r="E577" s="11" t="str">
        <f aca="false">TRIM('수출입 실적(성질별_수출)'!C581)</f>
        <v>마. 의 류</v>
      </c>
      <c r="F577" s="18" t="n">
        <f aca="false">IFERROR(VALUE(SUBSTITUTE(TRIM('수출입 실적(성질별_수출)'!D581),",","")),"")</f>
        <v>6239.1</v>
      </c>
      <c r="G577" s="19" t="n">
        <f aca="false">IFERROR(VALUE(SUBSTITUTE(TRIM('수출입 실적(성질별_수출)'!E581),",","")),"")</f>
        <v>217836</v>
      </c>
    </row>
    <row r="578" customFormat="false" ht="15" hidden="false" customHeight="true" outlineLevel="0" collapsed="false">
      <c r="A578" s="11" t="str">
        <f aca="false">TRIM('수출입 실적(성질별_수출)'!A582)</f>
        <v>2026.04</v>
      </c>
      <c r="B578" s="17" t="n">
        <f aca="false">IFERROR(VALUE(LEFT($A578,4)),"")</f>
        <v>2026</v>
      </c>
      <c r="C578" s="17" t="n">
        <f aca="false">IFERROR(VALUE(RIGHT($A578,2)),"")</f>
        <v>4</v>
      </c>
      <c r="D578" s="17" t="n">
        <f aca="false">IFERROR(ROUNDUP($C578/3,0),"")</f>
        <v>2</v>
      </c>
      <c r="E578" s="11" t="str">
        <f aca="false">TRIM('수출입 실적(성질별_수출)'!C582)</f>
        <v>바. 목제품</v>
      </c>
      <c r="F578" s="18" t="n">
        <f aca="false">IFERROR(VALUE(SUBSTITUTE(TRIM('수출입 실적(성질별_수출)'!D582),",","")),"")</f>
        <v>19885.2</v>
      </c>
      <c r="G578" s="19" t="n">
        <f aca="false">IFERROR(VALUE(SUBSTITUTE(TRIM('수출입 실적(성질별_수출)'!E582),",","")),"")</f>
        <v>109054</v>
      </c>
    </row>
    <row r="579" customFormat="false" ht="15" hidden="false" customHeight="true" outlineLevel="0" collapsed="false">
      <c r="A579" s="11" t="str">
        <f aca="false">TRIM('수출입 실적(성질별_수출)'!A583)</f>
        <v>2026.04</v>
      </c>
      <c r="B579" s="17" t="n">
        <f aca="false">IFERROR(VALUE(LEFT($A579,4)),"")</f>
        <v>2026</v>
      </c>
      <c r="C579" s="17" t="n">
        <f aca="false">IFERROR(VALUE(RIGHT($A579,2)),"")</f>
        <v>4</v>
      </c>
      <c r="D579" s="17" t="n">
        <f aca="false">IFERROR(ROUNDUP($C579/3,0),"")</f>
        <v>2</v>
      </c>
      <c r="E579" s="11" t="str">
        <f aca="false">TRIM('수출입 실적(성질별_수출)'!C583)</f>
        <v>사. 가죽, 고무 및 신발류</v>
      </c>
      <c r="F579" s="18" t="n">
        <f aca="false">IFERROR(VALUE(SUBSTITUTE(TRIM('수출입 실적(성질별_수출)'!D583),",","")),"")</f>
        <v>79171.5</v>
      </c>
      <c r="G579" s="19" t="n">
        <f aca="false">IFERROR(VALUE(SUBSTITUTE(TRIM('수출입 실적(성질별_수출)'!E583),",","")),"")</f>
        <v>441930</v>
      </c>
    </row>
    <row r="580" customFormat="false" ht="15" hidden="false" customHeight="true" outlineLevel="0" collapsed="false">
      <c r="A580" s="11" t="str">
        <f aca="false">TRIM('수출입 실적(성질별_수출)'!A584)</f>
        <v>2026.04</v>
      </c>
      <c r="B580" s="17" t="n">
        <f aca="false">IFERROR(VALUE(LEFT($A580,4)),"")</f>
        <v>2026</v>
      </c>
      <c r="C580" s="17" t="n">
        <f aca="false">IFERROR(VALUE(RIGHT($A580,2)),"")</f>
        <v>4</v>
      </c>
      <c r="D580" s="17" t="n">
        <f aca="false">IFERROR(ROUNDUP($C580/3,0),"")</f>
        <v>2</v>
      </c>
      <c r="E580" s="11" t="str">
        <f aca="false">TRIM('수출입 실적(성질별_수출)'!C584)</f>
        <v>아. 귀금속 및 보석류</v>
      </c>
      <c r="F580" s="18" t="n">
        <f aca="false">IFERROR(VALUE(SUBSTITUTE(TRIM('수출입 실적(성질별_수출)'!D584),",","")),"")</f>
        <v>334.9</v>
      </c>
      <c r="G580" s="19" t="n">
        <f aca="false">IFERROR(VALUE(SUBSTITUTE(TRIM('수출입 실적(성질별_수출)'!E584),",","")),"")</f>
        <v>1162460</v>
      </c>
    </row>
    <row r="581" customFormat="false" ht="15" hidden="false" customHeight="true" outlineLevel="0" collapsed="false">
      <c r="A581" s="11" t="str">
        <f aca="false">TRIM('수출입 실적(성질별_수출)'!A585)</f>
        <v>2026.04</v>
      </c>
      <c r="B581" s="17" t="n">
        <f aca="false">IFERROR(VALUE(LEFT($A581,4)),"")</f>
        <v>2026</v>
      </c>
      <c r="C581" s="17" t="n">
        <f aca="false">IFERROR(VALUE(RIGHT($A581,2)),"")</f>
        <v>4</v>
      </c>
      <c r="D581" s="17" t="n">
        <f aca="false">IFERROR(ROUNDUP($C581/3,0),"")</f>
        <v>2</v>
      </c>
      <c r="E581" s="11" t="str">
        <f aca="false">TRIM('수출입 실적(성질별_수출)'!C585)</f>
        <v>자. 기타 비금속 광물제품</v>
      </c>
      <c r="F581" s="18" t="n">
        <f aca="false">IFERROR(VALUE(SUBSTITUTE(TRIM('수출입 실적(성질별_수출)'!D585),",","")),"")</f>
        <v>302326.2</v>
      </c>
      <c r="G581" s="19" t="n">
        <f aca="false">IFERROR(VALUE(SUBSTITUTE(TRIM('수출입 실적(성질별_수출)'!E585),",","")),"")</f>
        <v>189118</v>
      </c>
    </row>
    <row r="582" customFormat="false" ht="15" hidden="false" customHeight="true" outlineLevel="0" collapsed="false">
      <c r="A582" s="11" t="str">
        <f aca="false">TRIM('수출입 실적(성질별_수출)'!A586)</f>
        <v>2026.04</v>
      </c>
      <c r="B582" s="17" t="n">
        <f aca="false">IFERROR(VALUE(LEFT($A582,4)),"")</f>
        <v>2026</v>
      </c>
      <c r="C582" s="17" t="n">
        <f aca="false">IFERROR(VALUE(RIGHT($A582,2)),"")</f>
        <v>4</v>
      </c>
      <c r="D582" s="17" t="n">
        <f aca="false">IFERROR(ROUNDUP($C582/3,0),"")</f>
        <v>2</v>
      </c>
      <c r="E582" s="11" t="str">
        <f aca="false">TRIM('수출입 실적(성질별_수출)'!C586)</f>
        <v>차. 완구, 운동용구 및 악기</v>
      </c>
      <c r="F582" s="18" t="n">
        <f aca="false">IFERROR(VALUE(SUBSTITUTE(TRIM('수출입 실적(성질별_수출)'!D586),",","")),"")</f>
        <v>2821.8</v>
      </c>
      <c r="G582" s="19" t="n">
        <f aca="false">IFERROR(VALUE(SUBSTITUTE(TRIM('수출입 실적(성질별_수출)'!E586),",","")),"")</f>
        <v>63109</v>
      </c>
    </row>
    <row r="583" customFormat="false" ht="15" hidden="false" customHeight="true" outlineLevel="0" collapsed="false">
      <c r="A583" s="11" t="str">
        <f aca="false">TRIM('수출입 실적(성질별_수출)'!A587)</f>
        <v>2026.04</v>
      </c>
      <c r="B583" s="17" t="n">
        <f aca="false">IFERROR(VALUE(LEFT($A583,4)),"")</f>
        <v>2026</v>
      </c>
      <c r="C583" s="17" t="n">
        <f aca="false">IFERROR(VALUE(RIGHT($A583,2)),"")</f>
        <v>4</v>
      </c>
      <c r="D583" s="17" t="n">
        <f aca="false">IFERROR(ROUNDUP($C583/3,0),"")</f>
        <v>2</v>
      </c>
      <c r="E583" s="11" t="str">
        <f aca="false">TRIM('수출입 실적(성질별_수출)'!C587)</f>
        <v>카. 기 타</v>
      </c>
      <c r="F583" s="18" t="n">
        <f aca="false">IFERROR(VALUE(SUBSTITUTE(TRIM('수출입 실적(성질별_수출)'!D587),",","")),"")</f>
        <v>417871.4</v>
      </c>
      <c r="G583" s="19" t="n">
        <f aca="false">IFERROR(VALUE(SUBSTITUTE(TRIM('수출입 실적(성질별_수출)'!E587),",","")),"")</f>
        <v>1039421</v>
      </c>
    </row>
    <row r="584" customFormat="false" ht="15" hidden="false" customHeight="true" outlineLevel="0" collapsed="false">
      <c r="A584" s="11" t="str">
        <f aca="false">TRIM('수출입 실적(성질별_수출)'!A588)</f>
        <v>2026.04</v>
      </c>
      <c r="B584" s="17" t="n">
        <f aca="false">IFERROR(VALUE(LEFT($A584,4)),"")</f>
        <v>2026</v>
      </c>
      <c r="C584" s="17" t="n">
        <f aca="false">IFERROR(VALUE(RIGHT($A584,2)),"")</f>
        <v>4</v>
      </c>
      <c r="D584" s="17" t="n">
        <f aca="false">IFERROR(ROUNDUP($C584/3,0),"")</f>
        <v>2</v>
      </c>
      <c r="E584" s="11" t="str">
        <f aca="false">TRIM('수출입 실적(성질별_수출)'!C588)</f>
        <v>4. 중화학 공업품</v>
      </c>
      <c r="F584" s="18" t="n">
        <f aca="false">IFERROR(VALUE(SUBSTITUTE(TRIM('수출입 실적(성질별_수출)'!D588),",","")),"")</f>
        <v>8675947.4</v>
      </c>
      <c r="G584" s="19" t="n">
        <f aca="false">IFERROR(VALUE(SUBSTITUTE(TRIM('수출입 실적(성질별_수출)'!E588),",","")),"")</f>
        <v>74317921</v>
      </c>
    </row>
    <row r="585" customFormat="false" ht="15" hidden="false" customHeight="true" outlineLevel="0" collapsed="false">
      <c r="A585" s="11" t="str">
        <f aca="false">TRIM('수출입 실적(성질별_수출)'!A589)</f>
        <v>2026.04</v>
      </c>
      <c r="B585" s="17" t="n">
        <f aca="false">IFERROR(VALUE(LEFT($A585,4)),"")</f>
        <v>2026</v>
      </c>
      <c r="C585" s="17" t="n">
        <f aca="false">IFERROR(VALUE(RIGHT($A585,2)),"")</f>
        <v>4</v>
      </c>
      <c r="D585" s="17" t="n">
        <f aca="false">IFERROR(ROUNDUP($C585/3,0),"")</f>
        <v>2</v>
      </c>
      <c r="E585" s="11" t="str">
        <f aca="false">TRIM('수출입 실적(성질별_수출)'!C589)</f>
        <v>가. 화공품</v>
      </c>
      <c r="F585" s="18" t="n">
        <f aca="false">IFERROR(VALUE(SUBSTITUTE(TRIM('수출입 실적(성질별_수출)'!D589),",","")),"")</f>
        <v>3371339.2</v>
      </c>
      <c r="G585" s="19" t="n">
        <f aca="false">IFERROR(VALUE(SUBSTITUTE(TRIM('수출입 실적(성질별_수출)'!E589),",","")),"")</f>
        <v>7717531</v>
      </c>
    </row>
    <row r="586" customFormat="false" ht="15" hidden="false" customHeight="true" outlineLevel="0" collapsed="false">
      <c r="A586" s="11" t="str">
        <f aca="false">TRIM('수출입 실적(성질별_수출)'!A590)</f>
        <v>2026.04</v>
      </c>
      <c r="B586" s="17" t="n">
        <f aca="false">IFERROR(VALUE(LEFT($A586,4)),"")</f>
        <v>2026</v>
      </c>
      <c r="C586" s="17" t="n">
        <f aca="false">IFERROR(VALUE(RIGHT($A586,2)),"")</f>
        <v>4</v>
      </c>
      <c r="D586" s="17" t="n">
        <f aca="false">IFERROR(ROUNDUP($C586/3,0),"")</f>
        <v>2</v>
      </c>
      <c r="E586" s="11" t="str">
        <f aca="false">TRIM('수출입 실적(성질별_수출)'!C590)</f>
        <v>나. 철강제품</v>
      </c>
      <c r="F586" s="18" t="n">
        <f aca="false">IFERROR(VALUE(SUBSTITUTE(TRIM('수출입 실적(성질별_수출)'!D590),",","")),"")</f>
        <v>2748832.8</v>
      </c>
      <c r="G586" s="19" t="n">
        <f aca="false">IFERROR(VALUE(SUBSTITUTE(TRIM('수출입 실적(성질별_수출)'!E590),",","")),"")</f>
        <v>4322292</v>
      </c>
    </row>
    <row r="587" customFormat="false" ht="15" hidden="false" customHeight="true" outlineLevel="0" collapsed="false">
      <c r="A587" s="11" t="str">
        <f aca="false">TRIM('수출입 실적(성질별_수출)'!A591)</f>
        <v>2026.04</v>
      </c>
      <c r="B587" s="17" t="n">
        <f aca="false">IFERROR(VALUE(LEFT($A587,4)),"")</f>
        <v>2026</v>
      </c>
      <c r="C587" s="17" t="n">
        <f aca="false">IFERROR(VALUE(RIGHT($A587,2)),"")</f>
        <v>4</v>
      </c>
      <c r="D587" s="17" t="n">
        <f aca="false">IFERROR(ROUNDUP($C587/3,0),"")</f>
        <v>2</v>
      </c>
      <c r="E587" s="11" t="str">
        <f aca="false">TRIM('수출입 실적(성질별_수출)'!C591)</f>
        <v>다. 기계류와 정밀기기</v>
      </c>
      <c r="F587" s="18" t="n">
        <f aca="false">IFERROR(VALUE(SUBSTITUTE(TRIM('수출입 실적(성질별_수출)'!D591),",","")),"")</f>
        <v>390518.9</v>
      </c>
      <c r="G587" s="19" t="n">
        <f aca="false">IFERROR(VALUE(SUBSTITUTE(TRIM('수출입 실적(성질별_수출)'!E591),",","")),"")</f>
        <v>6269944</v>
      </c>
    </row>
    <row r="588" customFormat="false" ht="15" hidden="false" customHeight="true" outlineLevel="0" collapsed="false">
      <c r="A588" s="11" t="str">
        <f aca="false">TRIM('수출입 실적(성질별_수출)'!A592)</f>
        <v>2026.04</v>
      </c>
      <c r="B588" s="17" t="n">
        <f aca="false">IFERROR(VALUE(LEFT($A588,4)),"")</f>
        <v>2026</v>
      </c>
      <c r="C588" s="17" t="n">
        <f aca="false">IFERROR(VALUE(RIGHT($A588,2)),"")</f>
        <v>4</v>
      </c>
      <c r="D588" s="17" t="n">
        <f aca="false">IFERROR(ROUNDUP($C588/3,0),"")</f>
        <v>2</v>
      </c>
      <c r="E588" s="11" t="str">
        <f aca="false">TRIM('수출입 실적(성질별_수출)'!C592)</f>
        <v>라. 전기, 전자제품</v>
      </c>
      <c r="F588" s="18" t="n">
        <f aca="false">IFERROR(VALUE(SUBSTITUTE(TRIM('수출입 실적(성질별_수출)'!D592),",","")),"")</f>
        <v>238562.2</v>
      </c>
      <c r="G588" s="19" t="n">
        <f aca="false">IFERROR(VALUE(SUBSTITUTE(TRIM('수출입 실적(성질별_수출)'!E592),",","")),"")</f>
        <v>42506536</v>
      </c>
    </row>
    <row r="589" customFormat="false" ht="15" hidden="false" customHeight="true" outlineLevel="0" collapsed="false">
      <c r="A589" s="11" t="str">
        <f aca="false">TRIM('수출입 실적(성질별_수출)'!A593)</f>
        <v>2026.04</v>
      </c>
      <c r="B589" s="17" t="n">
        <f aca="false">IFERROR(VALUE(LEFT($A589,4)),"")</f>
        <v>2026</v>
      </c>
      <c r="C589" s="17" t="n">
        <f aca="false">IFERROR(VALUE(RIGHT($A589,2)),"")</f>
        <v>4</v>
      </c>
      <c r="D589" s="17" t="n">
        <f aca="false">IFERROR(ROUNDUP($C589/3,0),"")</f>
        <v>2</v>
      </c>
      <c r="E589" s="11" t="str">
        <f aca="false">TRIM('수출입 실적(성질별_수출)'!C593)</f>
        <v>마. 수송장비</v>
      </c>
      <c r="F589" s="18" t="n">
        <f aca="false">IFERROR(VALUE(SUBSTITUTE(TRIM('수출입 실적(성질별_수출)'!D593),",","")),"")</f>
        <v>1838433.6</v>
      </c>
      <c r="G589" s="19" t="n">
        <f aca="false">IFERROR(VALUE(SUBSTITUTE(TRIM('수출입 실적(성질별_수출)'!E593),",","")),"")</f>
        <v>11192081</v>
      </c>
    </row>
    <row r="590" customFormat="false" ht="15" hidden="false" customHeight="true" outlineLevel="0" collapsed="false">
      <c r="A590" s="11" t="str">
        <f aca="false">TRIM('수출입 실적(성질별_수출)'!A594)</f>
        <v>2026.04</v>
      </c>
      <c r="B590" s="17" t="n">
        <f aca="false">IFERROR(VALUE(LEFT($A590,4)),"")</f>
        <v>2026</v>
      </c>
      <c r="C590" s="17" t="n">
        <f aca="false">IFERROR(VALUE(RIGHT($A590,2)),"")</f>
        <v>4</v>
      </c>
      <c r="D590" s="17" t="n">
        <f aca="false">IFERROR(ROUNDUP($C590/3,0),"")</f>
        <v>2</v>
      </c>
      <c r="E590" s="11" t="str">
        <f aca="false">TRIM('수출입 실적(성질별_수출)'!C594)</f>
        <v>바. 기 타</v>
      </c>
      <c r="F590" s="18" t="n">
        <f aca="false">IFERROR(VALUE(SUBSTITUTE(TRIM('수출입 실적(성질별_수출)'!D594),",","")),"")</f>
        <v>88260.6</v>
      </c>
      <c r="G590" s="19" t="n">
        <f aca="false">IFERROR(VALUE(SUBSTITUTE(TRIM('수출입 실적(성질별_수출)'!E594),",","")),"")</f>
        <v>2309537</v>
      </c>
    </row>
    <row r="591" customFormat="false" ht="15" hidden="false" customHeight="true" outlineLevel="0" collapsed="false">
      <c r="A591" s="11" t="str">
        <f aca="false">TRIM('수출입 실적(성질별_수출)'!A595)</f>
        <v>2026.05</v>
      </c>
      <c r="B591" s="17" t="n">
        <f aca="false">IFERROR(VALUE(LEFT($A591,4)),"")</f>
        <v>2026</v>
      </c>
      <c r="C591" s="17" t="n">
        <f aca="false">IFERROR(VALUE(RIGHT($A591,2)),"")</f>
        <v>5</v>
      </c>
      <c r="D591" s="17" t="n">
        <f aca="false">IFERROR(ROUNDUP($C591/3,0),"")</f>
        <v>2</v>
      </c>
      <c r="E591" s="11" t="str">
        <f aca="false">TRIM('수출입 실적(성질별_수출)'!C595)</f>
        <v>1. 식료 및 직접소비재</v>
      </c>
      <c r="F591" s="18" t="n">
        <f aca="false">IFERROR(VALUE(SUBSTITUTE(TRIM('수출입 실적(성질별_수출)'!D595),",","")),"")</f>
        <v>409283.7</v>
      </c>
      <c r="G591" s="19" t="n">
        <f aca="false">IFERROR(VALUE(SUBSTITUTE(TRIM('수출입 실적(성질별_수출)'!E595),",","")),"")</f>
        <v>1061105</v>
      </c>
    </row>
    <row r="592" customFormat="false" ht="15" hidden="false" customHeight="true" outlineLevel="0" collapsed="false">
      <c r="A592" s="11" t="str">
        <f aca="false">TRIM('수출입 실적(성질별_수출)'!A596)</f>
        <v>2026.05</v>
      </c>
      <c r="B592" s="17" t="n">
        <f aca="false">IFERROR(VALUE(LEFT($A592,4)),"")</f>
        <v>2026</v>
      </c>
      <c r="C592" s="17" t="n">
        <f aca="false">IFERROR(VALUE(RIGHT($A592,2)),"")</f>
        <v>5</v>
      </c>
      <c r="D592" s="17" t="n">
        <f aca="false">IFERROR(ROUNDUP($C592/3,0),"")</f>
        <v>2</v>
      </c>
      <c r="E592" s="11" t="str">
        <f aca="false">TRIM('수출입 실적(성질별_수출)'!C596)</f>
        <v>2. 원료 및 연료</v>
      </c>
      <c r="F592" s="18" t="n">
        <f aca="false">IFERROR(VALUE(SUBSTITUTE(TRIM('수출입 실적(성질별_수출)'!D596),",","")),"")</f>
        <v>5017898.7</v>
      </c>
      <c r="G592" s="19" t="n">
        <f aca="false">IFERROR(VALUE(SUBSTITUTE(TRIM('수출입 실적(성질별_수출)'!E596),",","")),"")</f>
        <v>6401394</v>
      </c>
    </row>
    <row r="593" customFormat="false" ht="15" hidden="false" customHeight="true" outlineLevel="0" collapsed="false">
      <c r="A593" s="11" t="str">
        <f aca="false">TRIM('수출입 실적(성질별_수출)'!A597)</f>
        <v>2026.05</v>
      </c>
      <c r="B593" s="17" t="n">
        <f aca="false">IFERROR(VALUE(LEFT($A593,4)),"")</f>
        <v>2026</v>
      </c>
      <c r="C593" s="17" t="n">
        <f aca="false">IFERROR(VALUE(RIGHT($A593,2)),"")</f>
        <v>5</v>
      </c>
      <c r="D593" s="17" t="n">
        <f aca="false">IFERROR(ROUNDUP($C593/3,0),"")</f>
        <v>2</v>
      </c>
      <c r="E593" s="11" t="str">
        <f aca="false">TRIM('수출입 실적(성질별_수출)'!C597)</f>
        <v>3. 경공업품</v>
      </c>
      <c r="F593" s="18" t="n">
        <f aca="false">IFERROR(VALUE(SUBSTITUTE(TRIM('수출입 실적(성질별_수출)'!D597),",","")),"")</f>
        <v>773688.5</v>
      </c>
      <c r="G593" s="19" t="n">
        <f aca="false">IFERROR(VALUE(SUBSTITUTE(TRIM('수출입 실적(성질별_수출)'!E597),",","")),"")</f>
        <v>3869333</v>
      </c>
    </row>
    <row r="594" customFormat="false" ht="15" hidden="false" customHeight="true" outlineLevel="0" collapsed="false">
      <c r="A594" s="11" t="str">
        <f aca="false">TRIM('수출입 실적(성질별_수출)'!A598)</f>
        <v>2026.05</v>
      </c>
      <c r="B594" s="17" t="n">
        <f aca="false">IFERROR(VALUE(LEFT($A594,4)),"")</f>
        <v>2026</v>
      </c>
      <c r="C594" s="17" t="n">
        <f aca="false">IFERROR(VALUE(RIGHT($A594,2)),"")</f>
        <v>5</v>
      </c>
      <c r="D594" s="17" t="n">
        <f aca="false">IFERROR(ROUNDUP($C594/3,0),"")</f>
        <v>2</v>
      </c>
      <c r="E594" s="11" t="str">
        <f aca="false">TRIM('수출입 실적(성질별_수출)'!C598)</f>
        <v>가. 섬유원료</v>
      </c>
      <c r="F594" s="18" t="n">
        <f aca="false">IFERROR(VALUE(SUBSTITUTE(TRIM('수출입 실적(성질별_수출)'!D598),",","")),"")</f>
        <v>44654.7</v>
      </c>
      <c r="G594" s="19" t="n">
        <f aca="false">IFERROR(VALUE(SUBSTITUTE(TRIM('수출입 실적(성질별_수출)'!E598),",","")),"")</f>
        <v>76424</v>
      </c>
    </row>
    <row r="595" customFormat="false" ht="15" hidden="false" customHeight="true" outlineLevel="0" collapsed="false">
      <c r="A595" s="11" t="str">
        <f aca="false">TRIM('수출입 실적(성질별_수출)'!A599)</f>
        <v>2026.05</v>
      </c>
      <c r="B595" s="17" t="n">
        <f aca="false">IFERROR(VALUE(LEFT($A595,4)),"")</f>
        <v>2026</v>
      </c>
      <c r="C595" s="17" t="n">
        <f aca="false">IFERROR(VALUE(RIGHT($A595,2)),"")</f>
        <v>5</v>
      </c>
      <c r="D595" s="17" t="n">
        <f aca="false">IFERROR(ROUNDUP($C595/3,0),"")</f>
        <v>2</v>
      </c>
      <c r="E595" s="11" t="str">
        <f aca="false">TRIM('수출입 실적(성질별_수출)'!C599)</f>
        <v>나. 섬유사</v>
      </c>
      <c r="F595" s="18" t="n">
        <f aca="false">IFERROR(VALUE(SUBSTITUTE(TRIM('수출입 실적(성질별_수출)'!D599),",","")),"")</f>
        <v>16421.1</v>
      </c>
      <c r="G595" s="19" t="n">
        <f aca="false">IFERROR(VALUE(SUBSTITUTE(TRIM('수출입 실적(성질별_수출)'!E599),",","")),"")</f>
        <v>63203</v>
      </c>
    </row>
    <row r="596" customFormat="false" ht="15" hidden="false" customHeight="true" outlineLevel="0" collapsed="false">
      <c r="A596" s="11" t="str">
        <f aca="false">TRIM('수출입 실적(성질별_수출)'!A600)</f>
        <v>2026.05</v>
      </c>
      <c r="B596" s="17" t="n">
        <f aca="false">IFERROR(VALUE(LEFT($A596,4)),"")</f>
        <v>2026</v>
      </c>
      <c r="C596" s="17" t="n">
        <f aca="false">IFERROR(VALUE(RIGHT($A596,2)),"")</f>
        <v>5</v>
      </c>
      <c r="D596" s="17" t="n">
        <f aca="false">IFERROR(ROUNDUP($C596/3,0),"")</f>
        <v>2</v>
      </c>
      <c r="E596" s="11" t="str">
        <f aca="false">TRIM('수출입 실적(성질별_수출)'!C600)</f>
        <v>다. 직 물</v>
      </c>
      <c r="F596" s="18" t="n">
        <f aca="false">IFERROR(VALUE(SUBSTITUTE(TRIM('수출입 실적(성질별_수출)'!D600),",","")),"")</f>
        <v>26338</v>
      </c>
      <c r="G596" s="19" t="n">
        <f aca="false">IFERROR(VALUE(SUBSTITUTE(TRIM('수출입 실적(성질별_수출)'!E600),",","")),"")</f>
        <v>254533</v>
      </c>
    </row>
    <row r="597" customFormat="false" ht="15" hidden="false" customHeight="true" outlineLevel="0" collapsed="false">
      <c r="A597" s="11" t="str">
        <f aca="false">TRIM('수출입 실적(성질별_수출)'!A601)</f>
        <v>2026.05</v>
      </c>
      <c r="B597" s="17" t="n">
        <f aca="false">IFERROR(VALUE(LEFT($A597,4)),"")</f>
        <v>2026</v>
      </c>
      <c r="C597" s="17" t="n">
        <f aca="false">IFERROR(VALUE(RIGHT($A597,2)),"")</f>
        <v>5</v>
      </c>
      <c r="D597" s="17" t="n">
        <f aca="false">IFERROR(ROUNDUP($C597/3,0),"")</f>
        <v>2</v>
      </c>
      <c r="E597" s="11" t="str">
        <f aca="false">TRIM('수출입 실적(성질별_수출)'!C601)</f>
        <v>라. 기타 섬유제품</v>
      </c>
      <c r="F597" s="18" t="n">
        <f aca="false">IFERROR(VALUE(SUBSTITUTE(TRIM('수출입 실적(성질별_수출)'!D601),",","")),"")</f>
        <v>19319.8</v>
      </c>
      <c r="G597" s="19" t="n">
        <f aca="false">IFERROR(VALUE(SUBSTITUTE(TRIM('수출입 실적(성질별_수출)'!E601),",","")),"")</f>
        <v>156237</v>
      </c>
    </row>
    <row r="598" customFormat="false" ht="15" hidden="false" customHeight="true" outlineLevel="0" collapsed="false">
      <c r="A598" s="11" t="str">
        <f aca="false">TRIM('수출입 실적(성질별_수출)'!A602)</f>
        <v>2026.05</v>
      </c>
      <c r="B598" s="17" t="n">
        <f aca="false">IFERROR(VALUE(LEFT($A598,4)),"")</f>
        <v>2026</v>
      </c>
      <c r="C598" s="17" t="n">
        <f aca="false">IFERROR(VALUE(RIGHT($A598,2)),"")</f>
        <v>5</v>
      </c>
      <c r="D598" s="17" t="n">
        <f aca="false">IFERROR(ROUNDUP($C598/3,0),"")</f>
        <v>2</v>
      </c>
      <c r="E598" s="11" t="str">
        <f aca="false">TRIM('수출입 실적(성질별_수출)'!C602)</f>
        <v>마. 의 류</v>
      </c>
      <c r="F598" s="18" t="n">
        <f aca="false">IFERROR(VALUE(SUBSTITUTE(TRIM('수출입 실적(성질별_수출)'!D602),",","")),"")</f>
        <v>5468.4</v>
      </c>
      <c r="G598" s="19" t="n">
        <f aca="false">IFERROR(VALUE(SUBSTITUTE(TRIM('수출입 실적(성질별_수출)'!E602),",","")),"")</f>
        <v>162835</v>
      </c>
    </row>
    <row r="599" customFormat="false" ht="15" hidden="false" customHeight="true" outlineLevel="0" collapsed="false">
      <c r="A599" s="11" t="str">
        <f aca="false">TRIM('수출입 실적(성질별_수출)'!A603)</f>
        <v>2026.05</v>
      </c>
      <c r="B599" s="17" t="n">
        <f aca="false">IFERROR(VALUE(LEFT($A599,4)),"")</f>
        <v>2026</v>
      </c>
      <c r="C599" s="17" t="n">
        <f aca="false">IFERROR(VALUE(RIGHT($A599,2)),"")</f>
        <v>5</v>
      </c>
      <c r="D599" s="17" t="n">
        <f aca="false">IFERROR(ROUNDUP($C599/3,0),"")</f>
        <v>2</v>
      </c>
      <c r="E599" s="11" t="str">
        <f aca="false">TRIM('수출입 실적(성질별_수출)'!C603)</f>
        <v>바. 목제품</v>
      </c>
      <c r="F599" s="18" t="n">
        <f aca="false">IFERROR(VALUE(SUBSTITUTE(TRIM('수출입 실적(성질별_수출)'!D603),",","")),"")</f>
        <v>16213.9</v>
      </c>
      <c r="G599" s="19" t="n">
        <f aca="false">IFERROR(VALUE(SUBSTITUTE(TRIM('수출입 실적(성질별_수출)'!E603),",","")),"")</f>
        <v>87103</v>
      </c>
    </row>
    <row r="600" customFormat="false" ht="15" hidden="false" customHeight="true" outlineLevel="0" collapsed="false">
      <c r="A600" s="11" t="str">
        <f aca="false">TRIM('수출입 실적(성질별_수출)'!A604)</f>
        <v>2026.05</v>
      </c>
      <c r="B600" s="17" t="n">
        <f aca="false">IFERROR(VALUE(LEFT($A600,4)),"")</f>
        <v>2026</v>
      </c>
      <c r="C600" s="17" t="n">
        <f aca="false">IFERROR(VALUE(RIGHT($A600,2)),"")</f>
        <v>5</v>
      </c>
      <c r="D600" s="17" t="n">
        <f aca="false">IFERROR(ROUNDUP($C600/3,0),"")</f>
        <v>2</v>
      </c>
      <c r="E600" s="11" t="str">
        <f aca="false">TRIM('수출입 실적(성질별_수출)'!C604)</f>
        <v>사. 가죽, 고무 및 신발류</v>
      </c>
      <c r="F600" s="18" t="n">
        <f aca="false">IFERROR(VALUE(SUBSTITUTE(TRIM('수출입 실적(성질별_수출)'!D604),",","")),"")</f>
        <v>77035.7</v>
      </c>
      <c r="G600" s="19" t="n">
        <f aca="false">IFERROR(VALUE(SUBSTITUTE(TRIM('수출입 실적(성질별_수출)'!E604),",","")),"")</f>
        <v>448961</v>
      </c>
    </row>
    <row r="601" customFormat="false" ht="15" hidden="false" customHeight="true" outlineLevel="0" collapsed="false">
      <c r="A601" s="11" t="str">
        <f aca="false">TRIM('수출입 실적(성질별_수출)'!A605)</f>
        <v>2026.05</v>
      </c>
      <c r="B601" s="17" t="n">
        <f aca="false">IFERROR(VALUE(LEFT($A601,4)),"")</f>
        <v>2026</v>
      </c>
      <c r="C601" s="17" t="n">
        <f aca="false">IFERROR(VALUE(RIGHT($A601,2)),"")</f>
        <v>5</v>
      </c>
      <c r="D601" s="17" t="n">
        <f aca="false">IFERROR(ROUNDUP($C601/3,0),"")</f>
        <v>2</v>
      </c>
      <c r="E601" s="11" t="str">
        <f aca="false">TRIM('수출입 실적(성질별_수출)'!C605)</f>
        <v>아. 귀금속 및 보석류</v>
      </c>
      <c r="F601" s="18" t="n">
        <f aca="false">IFERROR(VALUE(SUBSTITUTE(TRIM('수출입 실적(성질별_수출)'!D605),",","")),"")</f>
        <v>312.2</v>
      </c>
      <c r="G601" s="19" t="n">
        <f aca="false">IFERROR(VALUE(SUBSTITUTE(TRIM('수출입 실적(성질별_수출)'!E605),",","")),"")</f>
        <v>1476718</v>
      </c>
    </row>
    <row r="602" customFormat="false" ht="15" hidden="false" customHeight="true" outlineLevel="0" collapsed="false">
      <c r="A602" s="11" t="str">
        <f aca="false">TRIM('수출입 실적(성질별_수출)'!A606)</f>
        <v>2026.05</v>
      </c>
      <c r="B602" s="17" t="n">
        <f aca="false">IFERROR(VALUE(LEFT($A602,4)),"")</f>
        <v>2026</v>
      </c>
      <c r="C602" s="17" t="n">
        <f aca="false">IFERROR(VALUE(RIGHT($A602,2)),"")</f>
        <v>5</v>
      </c>
      <c r="D602" s="17" t="n">
        <f aca="false">IFERROR(ROUNDUP($C602/3,0),"")</f>
        <v>2</v>
      </c>
      <c r="E602" s="11" t="str">
        <f aca="false">TRIM('수출입 실적(성질별_수출)'!C606)</f>
        <v>자. 기타 비금속 광물제품</v>
      </c>
      <c r="F602" s="18" t="n">
        <f aca="false">IFERROR(VALUE(SUBSTITUTE(TRIM('수출입 실적(성질별_수출)'!D606),",","")),"")</f>
        <v>215029</v>
      </c>
      <c r="G602" s="19" t="n">
        <f aca="false">IFERROR(VALUE(SUBSTITUTE(TRIM('수출입 실적(성질별_수출)'!E606),",","")),"")</f>
        <v>180349</v>
      </c>
    </row>
    <row r="603" customFormat="false" ht="15" hidden="false" customHeight="true" outlineLevel="0" collapsed="false">
      <c r="A603" s="11" t="str">
        <f aca="false">TRIM('수출입 실적(성질별_수출)'!A607)</f>
        <v>2026.05</v>
      </c>
      <c r="B603" s="17" t="n">
        <f aca="false">IFERROR(VALUE(LEFT($A603,4)),"")</f>
        <v>2026</v>
      </c>
      <c r="C603" s="17" t="n">
        <f aca="false">IFERROR(VALUE(RIGHT($A603,2)),"")</f>
        <v>5</v>
      </c>
      <c r="D603" s="17" t="n">
        <f aca="false">IFERROR(ROUNDUP($C603/3,0),"")</f>
        <v>2</v>
      </c>
      <c r="E603" s="11" t="str">
        <f aca="false">TRIM('수출입 실적(성질별_수출)'!C607)</f>
        <v>차. 완구, 운동용구 및 악기</v>
      </c>
      <c r="F603" s="18" t="n">
        <f aca="false">IFERROR(VALUE(SUBSTITUTE(TRIM('수출입 실적(성질별_수출)'!D607),",","")),"")</f>
        <v>2392.7</v>
      </c>
      <c r="G603" s="19" t="n">
        <f aca="false">IFERROR(VALUE(SUBSTITUTE(TRIM('수출입 실적(성질별_수출)'!E607),",","")),"")</f>
        <v>61502</v>
      </c>
    </row>
    <row r="604" customFormat="false" ht="15" hidden="false" customHeight="true" outlineLevel="0" collapsed="false">
      <c r="A604" s="11" t="str">
        <f aca="false">TRIM('수출입 실적(성질별_수출)'!A608)</f>
        <v>2026.05</v>
      </c>
      <c r="B604" s="17" t="n">
        <f aca="false">IFERROR(VALUE(LEFT($A604,4)),"")</f>
        <v>2026</v>
      </c>
      <c r="C604" s="17" t="n">
        <f aca="false">IFERROR(VALUE(RIGHT($A604,2)),"")</f>
        <v>5</v>
      </c>
      <c r="D604" s="17" t="n">
        <f aca="false">IFERROR(ROUNDUP($C604/3,0),"")</f>
        <v>2</v>
      </c>
      <c r="E604" s="11" t="str">
        <f aca="false">TRIM('수출입 실적(성질별_수출)'!C608)</f>
        <v>카. 기 타</v>
      </c>
      <c r="F604" s="18" t="n">
        <f aca="false">IFERROR(VALUE(SUBSTITUTE(TRIM('수출입 실적(성질별_수출)'!D608),",","")),"")</f>
        <v>350502.9</v>
      </c>
      <c r="G604" s="19" t="n">
        <f aca="false">IFERROR(VALUE(SUBSTITUTE(TRIM('수출입 실적(성질별_수출)'!E608),",","")),"")</f>
        <v>901466</v>
      </c>
    </row>
    <row r="605" customFormat="false" ht="15" hidden="false" customHeight="true" outlineLevel="0" collapsed="false">
      <c r="A605" s="11" t="str">
        <f aca="false">TRIM('수출입 실적(성질별_수출)'!A609)</f>
        <v>2026.05</v>
      </c>
      <c r="B605" s="17" t="n">
        <f aca="false">IFERROR(VALUE(LEFT($A605,4)),"")</f>
        <v>2026</v>
      </c>
      <c r="C605" s="17" t="n">
        <f aca="false">IFERROR(VALUE(RIGHT($A605,2)),"")</f>
        <v>5</v>
      </c>
      <c r="D605" s="17" t="n">
        <f aca="false">IFERROR(ROUNDUP($C605/3,0),"")</f>
        <v>2</v>
      </c>
      <c r="E605" s="11" t="str">
        <f aca="false">TRIM('수출입 실적(성질별_수출)'!C609)</f>
        <v>4. 중화학 공업품</v>
      </c>
      <c r="F605" s="18" t="n">
        <f aca="false">IFERROR(VALUE(SUBSTITUTE(TRIM('수출입 실적(성질별_수출)'!D609),",","")),"")</f>
        <v>7388640.5</v>
      </c>
      <c r="G605" s="19" t="n">
        <f aca="false">IFERROR(VALUE(SUBSTITUTE(TRIM('수출입 실적(성질별_수출)'!E609),",","")),"")</f>
        <v>76244252</v>
      </c>
    </row>
    <row r="606" customFormat="false" ht="15" hidden="false" customHeight="true" outlineLevel="0" collapsed="false">
      <c r="A606" s="11" t="str">
        <f aca="false">TRIM('수출입 실적(성질별_수출)'!A610)</f>
        <v>2026.05</v>
      </c>
      <c r="B606" s="17" t="n">
        <f aca="false">IFERROR(VALUE(LEFT($A606,4)),"")</f>
        <v>2026</v>
      </c>
      <c r="C606" s="17" t="n">
        <f aca="false">IFERROR(VALUE(RIGHT($A606,2)),"")</f>
        <v>5</v>
      </c>
      <c r="D606" s="17" t="n">
        <f aca="false">IFERROR(ROUNDUP($C606/3,0),"")</f>
        <v>2</v>
      </c>
      <c r="E606" s="11" t="str">
        <f aca="false">TRIM('수출입 실적(성질별_수출)'!C610)</f>
        <v>가. 화공품</v>
      </c>
      <c r="F606" s="18" t="n">
        <f aca="false">IFERROR(VALUE(SUBSTITUTE(TRIM('수출입 실적(성질별_수출)'!D610),",","")),"")</f>
        <v>2875832.4</v>
      </c>
      <c r="G606" s="19" t="n">
        <f aca="false">IFERROR(VALUE(SUBSTITUTE(TRIM('수출입 실적(성질별_수출)'!E610),",","")),"")</f>
        <v>6994558</v>
      </c>
    </row>
    <row r="607" customFormat="false" ht="15" hidden="false" customHeight="true" outlineLevel="0" collapsed="false">
      <c r="A607" s="11" t="str">
        <f aca="false">TRIM('수출입 실적(성질별_수출)'!A611)</f>
        <v>2026.05</v>
      </c>
      <c r="B607" s="17" t="n">
        <f aca="false">IFERROR(VALUE(LEFT($A607,4)),"")</f>
        <v>2026</v>
      </c>
      <c r="C607" s="17" t="n">
        <f aca="false">IFERROR(VALUE(RIGHT($A607,2)),"")</f>
        <v>5</v>
      </c>
      <c r="D607" s="17" t="n">
        <f aca="false">IFERROR(ROUNDUP($C607/3,0),"")</f>
        <v>2</v>
      </c>
      <c r="E607" s="11" t="str">
        <f aca="false">TRIM('수출입 실적(성질별_수출)'!C611)</f>
        <v>나. 철강제품</v>
      </c>
      <c r="F607" s="18" t="n">
        <f aca="false">IFERROR(VALUE(SUBSTITUTE(TRIM('수출입 실적(성질별_수출)'!D611),",","")),"")</f>
        <v>2599537.2</v>
      </c>
      <c r="G607" s="19" t="n">
        <f aca="false">IFERROR(VALUE(SUBSTITUTE(TRIM('수출입 실적(성질별_수출)'!E611),",","")),"")</f>
        <v>4041314</v>
      </c>
    </row>
    <row r="608" customFormat="false" ht="15" hidden="false" customHeight="true" outlineLevel="0" collapsed="false">
      <c r="A608" s="11" t="str">
        <f aca="false">TRIM('수출입 실적(성질별_수출)'!A612)</f>
        <v>2026.05</v>
      </c>
      <c r="B608" s="17" t="n">
        <f aca="false">IFERROR(VALUE(LEFT($A608,4)),"")</f>
        <v>2026</v>
      </c>
      <c r="C608" s="17" t="n">
        <f aca="false">IFERROR(VALUE(RIGHT($A608,2)),"")</f>
        <v>5</v>
      </c>
      <c r="D608" s="17" t="n">
        <f aca="false">IFERROR(ROUNDUP($C608/3,0),"")</f>
        <v>2</v>
      </c>
      <c r="E608" s="11" t="str">
        <f aca="false">TRIM('수출입 실적(성질별_수출)'!C612)</f>
        <v>다. 기계류와 정밀기기</v>
      </c>
      <c r="F608" s="18" t="n">
        <f aca="false">IFERROR(VALUE(SUBSTITUTE(TRIM('수출입 실적(성질별_수출)'!D612),",","")),"")</f>
        <v>341403</v>
      </c>
      <c r="G608" s="19" t="n">
        <f aca="false">IFERROR(VALUE(SUBSTITUTE(TRIM('수출입 실적(성질별_수출)'!E612),",","")),"")</f>
        <v>5585218</v>
      </c>
    </row>
    <row r="609" customFormat="false" ht="15" hidden="false" customHeight="true" outlineLevel="0" collapsed="false">
      <c r="A609" s="11" t="str">
        <f aca="false">TRIM('수출입 실적(성질별_수출)'!A613)</f>
        <v>2026.05</v>
      </c>
      <c r="B609" s="17" t="n">
        <f aca="false">IFERROR(VALUE(LEFT($A609,4)),"")</f>
        <v>2026</v>
      </c>
      <c r="C609" s="17" t="n">
        <f aca="false">IFERROR(VALUE(RIGHT($A609,2)),"")</f>
        <v>5</v>
      </c>
      <c r="D609" s="17" t="n">
        <f aca="false">IFERROR(ROUNDUP($C609/3,0),"")</f>
        <v>2</v>
      </c>
      <c r="E609" s="11" t="str">
        <f aca="false">TRIM('수출입 실적(성질별_수출)'!C613)</f>
        <v>라. 전기, 전자제품</v>
      </c>
      <c r="F609" s="18" t="n">
        <f aca="false">IFERROR(VALUE(SUBSTITUTE(TRIM('수출입 실적(성질별_수출)'!D613),",","")),"")</f>
        <v>205999</v>
      </c>
      <c r="G609" s="19" t="n">
        <f aca="false">IFERROR(VALUE(SUBSTITUTE(TRIM('수출입 실적(성질별_수출)'!E613),",","")),"")</f>
        <v>47618590</v>
      </c>
    </row>
    <row r="610" customFormat="false" ht="15" hidden="false" customHeight="true" outlineLevel="0" collapsed="false">
      <c r="A610" s="11" t="str">
        <f aca="false">TRIM('수출입 실적(성질별_수출)'!A614)</f>
        <v>2026.05</v>
      </c>
      <c r="B610" s="17" t="n">
        <f aca="false">IFERROR(VALUE(LEFT($A610,4)),"")</f>
        <v>2026</v>
      </c>
      <c r="C610" s="17" t="n">
        <f aca="false">IFERROR(VALUE(RIGHT($A610,2)),"")</f>
        <v>5</v>
      </c>
      <c r="D610" s="17" t="n">
        <f aca="false">IFERROR(ROUNDUP($C610/3,0),"")</f>
        <v>2</v>
      </c>
      <c r="E610" s="11" t="str">
        <f aca="false">TRIM('수출입 실적(성질별_수출)'!C614)</f>
        <v>마. 수송장비</v>
      </c>
      <c r="F610" s="18" t="n">
        <f aca="false">IFERROR(VALUE(SUBSTITUTE(TRIM('수출입 실적(성질별_수출)'!D614),",","")),"")</f>
        <v>1288948.3</v>
      </c>
      <c r="G610" s="19" t="n">
        <f aca="false">IFERROR(VALUE(SUBSTITUTE(TRIM('수출입 실적(성질별_수출)'!E614),",","")),"")</f>
        <v>10090952</v>
      </c>
    </row>
    <row r="611" customFormat="false" ht="15" hidden="false" customHeight="true" outlineLevel="0" collapsed="false">
      <c r="A611" s="11" t="str">
        <f aca="false">TRIM('수출입 실적(성질별_수출)'!A615)</f>
        <v>2026.05</v>
      </c>
      <c r="B611" s="17" t="n">
        <f aca="false">IFERROR(VALUE(LEFT($A611,4)),"")</f>
        <v>2026</v>
      </c>
      <c r="C611" s="17" t="n">
        <f aca="false">IFERROR(VALUE(RIGHT($A611,2)),"")</f>
        <v>5</v>
      </c>
      <c r="D611" s="17" t="n">
        <f aca="false">IFERROR(ROUNDUP($C611/3,0),"")</f>
        <v>2</v>
      </c>
      <c r="E611" s="11" t="str">
        <f aca="false">TRIM('수출입 실적(성질별_수출)'!C615)</f>
        <v>바. 기 타</v>
      </c>
      <c r="F611" s="18" t="n">
        <f aca="false">IFERROR(VALUE(SUBSTITUTE(TRIM('수출입 실적(성질별_수출)'!D615),",","")),"")</f>
        <v>76920.6</v>
      </c>
      <c r="G611" s="19" t="n">
        <f aca="false">IFERROR(VALUE(SUBSTITUTE(TRIM('수출입 실적(성질별_수출)'!E615),",","")),"")</f>
        <v>1913620</v>
      </c>
    </row>
    <row r="612" customFormat="false" ht="15" hidden="false" customHeight="true" outlineLevel="0" collapsed="false">
      <c r="A612" s="11" t="str">
        <f aca="false">TRIM('수출입 실적(성질별_수출)'!A616)</f>
        <v>2026.06</v>
      </c>
      <c r="B612" s="17" t="n">
        <f aca="false">IFERROR(VALUE(LEFT($A612,4)),"")</f>
        <v>2026</v>
      </c>
      <c r="C612" s="17" t="n">
        <f aca="false">IFERROR(VALUE(RIGHT($A612,2)),"")</f>
        <v>6</v>
      </c>
      <c r="D612" s="17" t="n">
        <f aca="false">IFERROR(ROUNDUP($C612/3,0),"")</f>
        <v>2</v>
      </c>
      <c r="E612" s="11" t="str">
        <f aca="false">TRIM('수출입 실적(성질별_수출)'!C616)</f>
        <v>1. 식료 및 직접소비재</v>
      </c>
      <c r="F612" s="18" t="n">
        <f aca="false">IFERROR(VALUE(SUBSTITUTE(TRIM('수출입 실적(성질별_수출)'!D616),",","")),"")</f>
        <v>380663</v>
      </c>
      <c r="G612" s="19" t="n">
        <f aca="false">IFERROR(VALUE(SUBSTITUTE(TRIM('수출입 실적(성질별_수출)'!E616),",","")),"")</f>
        <v>1152581</v>
      </c>
    </row>
    <row r="613" customFormat="false" ht="15" hidden="false" customHeight="true" outlineLevel="0" collapsed="false">
      <c r="A613" s="11" t="str">
        <f aca="false">TRIM('수출입 실적(성질별_수출)'!A617)</f>
        <v>2026.06</v>
      </c>
      <c r="B613" s="17" t="n">
        <f aca="false">IFERROR(VALUE(LEFT($A613,4)),"")</f>
        <v>2026</v>
      </c>
      <c r="C613" s="17" t="n">
        <f aca="false">IFERROR(VALUE(RIGHT($A613,2)),"")</f>
        <v>6</v>
      </c>
      <c r="D613" s="17" t="n">
        <f aca="false">IFERROR(ROUNDUP($C613/3,0),"")</f>
        <v>2</v>
      </c>
      <c r="E613" s="11" t="str">
        <f aca="false">TRIM('수출입 실적(성질별_수출)'!C617)</f>
        <v>2. 원료 및 연료</v>
      </c>
      <c r="F613" s="18" t="n">
        <f aca="false">IFERROR(VALUE(SUBSTITUTE(TRIM('수출입 실적(성질별_수출)'!D617),",","")),"")</f>
        <v>5836548.7</v>
      </c>
      <c r="G613" s="19" t="n">
        <f aca="false">IFERROR(VALUE(SUBSTITUTE(TRIM('수출입 실적(성질별_수출)'!E617),",","")),"")</f>
        <v>6608418</v>
      </c>
    </row>
    <row r="614" customFormat="false" ht="15" hidden="false" customHeight="true" outlineLevel="0" collapsed="false">
      <c r="A614" s="11" t="str">
        <f aca="false">TRIM('수출입 실적(성질별_수출)'!A618)</f>
        <v>2026.06</v>
      </c>
      <c r="B614" s="17" t="n">
        <f aca="false">IFERROR(VALUE(LEFT($A614,4)),"")</f>
        <v>2026</v>
      </c>
      <c r="C614" s="17" t="n">
        <f aca="false">IFERROR(VALUE(RIGHT($A614,2)),"")</f>
        <v>6</v>
      </c>
      <c r="D614" s="17" t="n">
        <f aca="false">IFERROR(ROUNDUP($C614/3,0),"")</f>
        <v>2</v>
      </c>
      <c r="E614" s="11" t="str">
        <f aca="false">TRIM('수출입 실적(성질별_수출)'!C618)</f>
        <v>3. 경공업품</v>
      </c>
      <c r="F614" s="18" t="n">
        <f aca="false">IFERROR(VALUE(SUBSTITUTE(TRIM('수출입 실적(성질별_수출)'!D618),",","")),"")</f>
        <v>852504.7</v>
      </c>
      <c r="G614" s="19" t="n">
        <f aca="false">IFERROR(VALUE(SUBSTITUTE(TRIM('수출입 실적(성질별_수출)'!E618),",","")),"")</f>
        <v>4060373</v>
      </c>
    </row>
    <row r="615" customFormat="false" ht="15" hidden="false" customHeight="true" outlineLevel="0" collapsed="false">
      <c r="A615" s="11" t="str">
        <f aca="false">TRIM('수출입 실적(성질별_수출)'!A619)</f>
        <v>2026.06</v>
      </c>
      <c r="B615" s="17" t="n">
        <f aca="false">IFERROR(VALUE(LEFT($A615,4)),"")</f>
        <v>2026</v>
      </c>
      <c r="C615" s="17" t="n">
        <f aca="false">IFERROR(VALUE(RIGHT($A615,2)),"")</f>
        <v>6</v>
      </c>
      <c r="D615" s="17" t="n">
        <f aca="false">IFERROR(ROUNDUP($C615/3,0),"")</f>
        <v>2</v>
      </c>
      <c r="E615" s="11" t="str">
        <f aca="false">TRIM('수출입 실적(성질별_수출)'!C619)</f>
        <v>가. 섬유원료</v>
      </c>
      <c r="F615" s="18" t="n">
        <f aca="false">IFERROR(VALUE(SUBSTITUTE(TRIM('수출입 실적(성질별_수출)'!D619),",","")),"")</f>
        <v>48120.7</v>
      </c>
      <c r="G615" s="19" t="n">
        <f aca="false">IFERROR(VALUE(SUBSTITUTE(TRIM('수출입 실적(성질별_수출)'!E619),",","")),"")</f>
        <v>79180</v>
      </c>
    </row>
    <row r="616" customFormat="false" ht="15" hidden="false" customHeight="true" outlineLevel="0" collapsed="false">
      <c r="A616" s="11" t="str">
        <f aca="false">TRIM('수출입 실적(성질별_수출)'!A620)</f>
        <v>2026.06</v>
      </c>
      <c r="B616" s="17" t="n">
        <f aca="false">IFERROR(VALUE(LEFT($A616,4)),"")</f>
        <v>2026</v>
      </c>
      <c r="C616" s="17" t="n">
        <f aca="false">IFERROR(VALUE(RIGHT($A616,2)),"")</f>
        <v>6</v>
      </c>
      <c r="D616" s="17" t="n">
        <f aca="false">IFERROR(ROUNDUP($C616/3,0),"")</f>
        <v>2</v>
      </c>
      <c r="E616" s="11" t="str">
        <f aca="false">TRIM('수출입 실적(성질별_수출)'!C620)</f>
        <v>나. 섬유사</v>
      </c>
      <c r="F616" s="18" t="n">
        <f aca="false">IFERROR(VALUE(SUBSTITUTE(TRIM('수출입 실적(성질별_수출)'!D620),",","")),"")</f>
        <v>16588.1</v>
      </c>
      <c r="G616" s="19" t="n">
        <f aca="false">IFERROR(VALUE(SUBSTITUTE(TRIM('수출입 실적(성질별_수출)'!E620),",","")),"")</f>
        <v>65475</v>
      </c>
    </row>
    <row r="617" customFormat="false" ht="15" hidden="false" customHeight="true" outlineLevel="0" collapsed="false">
      <c r="A617" s="11" t="str">
        <f aca="false">TRIM('수출입 실적(성질별_수출)'!A621)</f>
        <v>2026.06</v>
      </c>
      <c r="B617" s="17" t="n">
        <f aca="false">IFERROR(VALUE(LEFT($A617,4)),"")</f>
        <v>2026</v>
      </c>
      <c r="C617" s="17" t="n">
        <f aca="false">IFERROR(VALUE(RIGHT($A617,2)),"")</f>
        <v>6</v>
      </c>
      <c r="D617" s="17" t="n">
        <f aca="false">IFERROR(ROUNDUP($C617/3,0),"")</f>
        <v>2</v>
      </c>
      <c r="E617" s="11" t="str">
        <f aca="false">TRIM('수출입 실적(성질별_수출)'!C621)</f>
        <v>다. 직 물</v>
      </c>
      <c r="F617" s="18" t="n">
        <f aca="false">IFERROR(VALUE(SUBSTITUTE(TRIM('수출입 실적(성질별_수출)'!D621),",","")),"")</f>
        <v>28814.2</v>
      </c>
      <c r="G617" s="19" t="n">
        <f aca="false">IFERROR(VALUE(SUBSTITUTE(TRIM('수출입 실적(성질별_수출)'!E621),",","")),"")</f>
        <v>282353</v>
      </c>
    </row>
    <row r="618" customFormat="false" ht="15" hidden="false" customHeight="true" outlineLevel="0" collapsed="false">
      <c r="A618" s="11" t="str">
        <f aca="false">TRIM('수출입 실적(성질별_수출)'!A622)</f>
        <v>2026.06</v>
      </c>
      <c r="B618" s="17" t="n">
        <f aca="false">IFERROR(VALUE(LEFT($A618,4)),"")</f>
        <v>2026</v>
      </c>
      <c r="C618" s="17" t="n">
        <f aca="false">IFERROR(VALUE(RIGHT($A618,2)),"")</f>
        <v>6</v>
      </c>
      <c r="D618" s="17" t="n">
        <f aca="false">IFERROR(ROUNDUP($C618/3,0),"")</f>
        <v>2</v>
      </c>
      <c r="E618" s="11" t="str">
        <f aca="false">TRIM('수출입 실적(성질별_수출)'!C622)</f>
        <v>라. 기타 섬유제품</v>
      </c>
      <c r="F618" s="18" t="n">
        <f aca="false">IFERROR(VALUE(SUBSTITUTE(TRIM('수출입 실적(성질별_수출)'!D622),",","")),"")</f>
        <v>22985.5</v>
      </c>
      <c r="G618" s="19" t="n">
        <f aca="false">IFERROR(VALUE(SUBSTITUTE(TRIM('수출입 실적(성질별_수출)'!E622),",","")),"")</f>
        <v>182081</v>
      </c>
    </row>
    <row r="619" customFormat="false" ht="15" hidden="false" customHeight="true" outlineLevel="0" collapsed="false">
      <c r="A619" s="11" t="str">
        <f aca="false">TRIM('수출입 실적(성질별_수출)'!A623)</f>
        <v>2026.06</v>
      </c>
      <c r="B619" s="17" t="n">
        <f aca="false">IFERROR(VALUE(LEFT($A619,4)),"")</f>
        <v>2026</v>
      </c>
      <c r="C619" s="17" t="n">
        <f aca="false">IFERROR(VALUE(RIGHT($A619,2)),"")</f>
        <v>6</v>
      </c>
      <c r="D619" s="17" t="n">
        <f aca="false">IFERROR(ROUNDUP($C619/3,0),"")</f>
        <v>2</v>
      </c>
      <c r="E619" s="11" t="str">
        <f aca="false">TRIM('수출입 실적(성질별_수출)'!C623)</f>
        <v>마. 의 류</v>
      </c>
      <c r="F619" s="18" t="n">
        <f aca="false">IFERROR(VALUE(SUBSTITUTE(TRIM('수출입 실적(성질별_수출)'!D623),",","")),"")</f>
        <v>5901.6</v>
      </c>
      <c r="G619" s="19" t="n">
        <f aca="false">IFERROR(VALUE(SUBSTITUTE(TRIM('수출입 실적(성질별_수출)'!E623),",","")),"")</f>
        <v>191947</v>
      </c>
    </row>
    <row r="620" customFormat="false" ht="15" hidden="false" customHeight="true" outlineLevel="0" collapsed="false">
      <c r="A620" s="11" t="str">
        <f aca="false">TRIM('수출입 실적(성질별_수출)'!A624)</f>
        <v>2026.06</v>
      </c>
      <c r="B620" s="17" t="n">
        <f aca="false">IFERROR(VALUE(LEFT($A620,4)),"")</f>
        <v>2026</v>
      </c>
      <c r="C620" s="17" t="n">
        <f aca="false">IFERROR(VALUE(RIGHT($A620,2)),"")</f>
        <v>6</v>
      </c>
      <c r="D620" s="17" t="n">
        <f aca="false">IFERROR(ROUNDUP($C620/3,0),"")</f>
        <v>2</v>
      </c>
      <c r="E620" s="11" t="str">
        <f aca="false">TRIM('수출입 실적(성질별_수출)'!C624)</f>
        <v>바. 목제품</v>
      </c>
      <c r="F620" s="18" t="n">
        <f aca="false">IFERROR(VALUE(SUBSTITUTE(TRIM('수출입 실적(성질별_수출)'!D624),",","")),"")</f>
        <v>17534.2</v>
      </c>
      <c r="G620" s="19" t="n">
        <f aca="false">IFERROR(VALUE(SUBSTITUTE(TRIM('수출입 실적(성질별_수출)'!E624),",","")),"")</f>
        <v>95170</v>
      </c>
    </row>
    <row r="621" customFormat="false" ht="15" hidden="false" customHeight="true" outlineLevel="0" collapsed="false">
      <c r="A621" s="11" t="str">
        <f aca="false">TRIM('수출입 실적(성질별_수출)'!A625)</f>
        <v>2026.06</v>
      </c>
      <c r="B621" s="17" t="n">
        <f aca="false">IFERROR(VALUE(LEFT($A621,4)),"")</f>
        <v>2026</v>
      </c>
      <c r="C621" s="17" t="n">
        <f aca="false">IFERROR(VALUE(RIGHT($A621,2)),"")</f>
        <v>6</v>
      </c>
      <c r="D621" s="17" t="n">
        <f aca="false">IFERROR(ROUNDUP($C621/3,0),"")</f>
        <v>2</v>
      </c>
      <c r="E621" s="11" t="str">
        <f aca="false">TRIM('수출입 실적(성질별_수출)'!C625)</f>
        <v>사. 가죽, 고무 및 신발류</v>
      </c>
      <c r="F621" s="18" t="n">
        <f aca="false">IFERROR(VALUE(SUBSTITUTE(TRIM('수출입 실적(성질별_수출)'!D625),",","")),"")</f>
        <v>82077.8</v>
      </c>
      <c r="G621" s="19" t="n">
        <f aca="false">IFERROR(VALUE(SUBSTITUTE(TRIM('수출입 실적(성질별_수출)'!E625),",","")),"")</f>
        <v>485126</v>
      </c>
    </row>
    <row r="622" customFormat="false" ht="15" hidden="false" customHeight="true" outlineLevel="0" collapsed="false">
      <c r="A622" s="11" t="str">
        <f aca="false">TRIM('수출입 실적(성질별_수출)'!A626)</f>
        <v>2026.06</v>
      </c>
      <c r="B622" s="17" t="n">
        <f aca="false">IFERROR(VALUE(LEFT($A622,4)),"")</f>
        <v>2026</v>
      </c>
      <c r="C622" s="17" t="n">
        <f aca="false">IFERROR(VALUE(RIGHT($A622,2)),"")</f>
        <v>6</v>
      </c>
      <c r="D622" s="17" t="n">
        <f aca="false">IFERROR(ROUNDUP($C622/3,0),"")</f>
        <v>2</v>
      </c>
      <c r="E622" s="11" t="str">
        <f aca="false">TRIM('수출입 실적(성질별_수출)'!C626)</f>
        <v>아. 귀금속 및 보석류</v>
      </c>
      <c r="F622" s="18" t="n">
        <f aca="false">IFERROR(VALUE(SUBSTITUTE(TRIM('수출입 실적(성질별_수출)'!D626),",","")),"")</f>
        <v>320</v>
      </c>
      <c r="G622" s="19" t="n">
        <f aca="false">IFERROR(VALUE(SUBSTITUTE(TRIM('수출입 실적(성질별_수출)'!E626),",","")),"")</f>
        <v>1382987</v>
      </c>
    </row>
    <row r="623" customFormat="false" ht="15" hidden="false" customHeight="true" outlineLevel="0" collapsed="false">
      <c r="A623" s="11" t="str">
        <f aca="false">TRIM('수출입 실적(성질별_수출)'!A627)</f>
        <v>2026.06</v>
      </c>
      <c r="B623" s="17" t="n">
        <f aca="false">IFERROR(VALUE(LEFT($A623,4)),"")</f>
        <v>2026</v>
      </c>
      <c r="C623" s="17" t="n">
        <f aca="false">IFERROR(VALUE(RIGHT($A623,2)),"")</f>
        <v>6</v>
      </c>
      <c r="D623" s="17" t="n">
        <f aca="false">IFERROR(ROUNDUP($C623/3,0),"")</f>
        <v>2</v>
      </c>
      <c r="E623" s="11" t="str">
        <f aca="false">TRIM('수출입 실적(성질별_수출)'!C627)</f>
        <v>자. 기타 비금속 광물제품</v>
      </c>
      <c r="F623" s="18" t="n">
        <f aca="false">IFERROR(VALUE(SUBSTITUTE(TRIM('수출입 실적(성질별_수출)'!D627),",","")),"")</f>
        <v>242528.6</v>
      </c>
      <c r="G623" s="19" t="n">
        <f aca="false">IFERROR(VALUE(SUBSTITUTE(TRIM('수출입 실적(성질별_수출)'!E627),",","")),"")</f>
        <v>204808</v>
      </c>
    </row>
    <row r="624" customFormat="false" ht="15" hidden="false" customHeight="true" outlineLevel="0" collapsed="false">
      <c r="A624" s="11" t="str">
        <f aca="false">TRIM('수출입 실적(성질별_수출)'!A628)</f>
        <v>2026.06</v>
      </c>
      <c r="B624" s="17" t="n">
        <f aca="false">IFERROR(VALUE(LEFT($A624,4)),"")</f>
        <v>2026</v>
      </c>
      <c r="C624" s="17" t="n">
        <f aca="false">IFERROR(VALUE(RIGHT($A624,2)),"")</f>
        <v>6</v>
      </c>
      <c r="D624" s="17" t="n">
        <f aca="false">IFERROR(ROUNDUP($C624/3,0),"")</f>
        <v>2</v>
      </c>
      <c r="E624" s="11" t="str">
        <f aca="false">TRIM('수출입 실적(성질별_수출)'!C628)</f>
        <v>차. 완구, 운동용구 및 악기</v>
      </c>
      <c r="F624" s="18" t="n">
        <f aca="false">IFERROR(VALUE(SUBSTITUTE(TRIM('수출입 실적(성질별_수출)'!D628),",","")),"")</f>
        <v>2732.9</v>
      </c>
      <c r="G624" s="19" t="n">
        <f aca="false">IFERROR(VALUE(SUBSTITUTE(TRIM('수출입 실적(성질별_수출)'!E628),",","")),"")</f>
        <v>71410</v>
      </c>
    </row>
    <row r="625" customFormat="false" ht="15" hidden="false" customHeight="true" outlineLevel="0" collapsed="false">
      <c r="A625" s="11" t="str">
        <f aca="false">TRIM('수출입 실적(성질별_수출)'!A629)</f>
        <v>2026.06</v>
      </c>
      <c r="B625" s="17" t="n">
        <f aca="false">IFERROR(VALUE(LEFT($A625,4)),"")</f>
        <v>2026</v>
      </c>
      <c r="C625" s="17" t="n">
        <f aca="false">IFERROR(VALUE(RIGHT($A625,2)),"")</f>
        <v>6</v>
      </c>
      <c r="D625" s="17" t="n">
        <f aca="false">IFERROR(ROUNDUP($C625/3,0),"")</f>
        <v>2</v>
      </c>
      <c r="E625" s="11" t="str">
        <f aca="false">TRIM('수출입 실적(성질별_수출)'!C629)</f>
        <v>카. 기 타</v>
      </c>
      <c r="F625" s="18" t="n">
        <f aca="false">IFERROR(VALUE(SUBSTITUTE(TRIM('수출입 실적(성질별_수출)'!D629),",","")),"")</f>
        <v>384901.2</v>
      </c>
      <c r="G625" s="19" t="n">
        <f aca="false">IFERROR(VALUE(SUBSTITUTE(TRIM('수출입 실적(성질별_수출)'!E629),",","")),"")</f>
        <v>1019834</v>
      </c>
    </row>
    <row r="626" customFormat="false" ht="15" hidden="false" customHeight="true" outlineLevel="0" collapsed="false">
      <c r="A626" s="11" t="str">
        <f aca="false">TRIM('수출입 실적(성질별_수출)'!A630)</f>
        <v>2026.06</v>
      </c>
      <c r="B626" s="17" t="n">
        <f aca="false">IFERROR(VALUE(LEFT($A626,4)),"")</f>
        <v>2026</v>
      </c>
      <c r="C626" s="17" t="n">
        <f aca="false">IFERROR(VALUE(RIGHT($A626,2)),"")</f>
        <v>6</v>
      </c>
      <c r="D626" s="17" t="n">
        <f aca="false">IFERROR(ROUNDUP($C626/3,0),"")</f>
        <v>2</v>
      </c>
      <c r="E626" s="11" t="str">
        <f aca="false">TRIM('수출입 실적(성질별_수출)'!C630)</f>
        <v>4. 중화학 공업품</v>
      </c>
      <c r="F626" s="18" t="n">
        <f aca="false">IFERROR(VALUE(SUBSTITUTE(TRIM('수출입 실적(성질별_수출)'!D630),",","")),"")</f>
        <v>8618209.4</v>
      </c>
      <c r="G626" s="19" t="n">
        <f aca="false">IFERROR(VALUE(SUBSTITUTE(TRIM('수출입 실적(성질별_수출)'!E630),",","")),"")</f>
        <v>90134786</v>
      </c>
    </row>
    <row r="627" customFormat="false" ht="15" hidden="false" customHeight="true" outlineLevel="0" collapsed="false">
      <c r="A627" s="11" t="str">
        <f aca="false">TRIM('수출입 실적(성질별_수출)'!A631)</f>
        <v>2026.06</v>
      </c>
      <c r="B627" s="17" t="n">
        <f aca="false">IFERROR(VALUE(LEFT($A627,4)),"")</f>
        <v>2026</v>
      </c>
      <c r="C627" s="17" t="n">
        <f aca="false">IFERROR(VALUE(RIGHT($A627,2)),"")</f>
        <v>6</v>
      </c>
      <c r="D627" s="17" t="n">
        <f aca="false">IFERROR(ROUNDUP($C627/3,0),"")</f>
        <v>2</v>
      </c>
      <c r="E627" s="11" t="str">
        <f aca="false">TRIM('수출입 실적(성질별_수출)'!C631)</f>
        <v>가. 화공품</v>
      </c>
      <c r="F627" s="18" t="n">
        <f aca="false">IFERROR(VALUE(SUBSTITUTE(TRIM('수출입 실적(성질별_수출)'!D631),",","")),"")</f>
        <v>3306851.5</v>
      </c>
      <c r="G627" s="19" t="n">
        <f aca="false">IFERROR(VALUE(SUBSTITUTE(TRIM('수출입 실적(성질별_수출)'!E631),",","")),"")</f>
        <v>7870038</v>
      </c>
    </row>
    <row r="628" customFormat="false" ht="15" hidden="false" customHeight="true" outlineLevel="0" collapsed="false">
      <c r="A628" s="11" t="str">
        <f aca="false">TRIM('수출입 실적(성질별_수출)'!A632)</f>
        <v>2026.06</v>
      </c>
      <c r="B628" s="17" t="n">
        <f aca="false">IFERROR(VALUE(LEFT($A628,4)),"")</f>
        <v>2026</v>
      </c>
      <c r="C628" s="17" t="n">
        <f aca="false">IFERROR(VALUE(RIGHT($A628,2)),"")</f>
        <v>6</v>
      </c>
      <c r="D628" s="17" t="n">
        <f aca="false">IFERROR(ROUNDUP($C628/3,0),"")</f>
        <v>2</v>
      </c>
      <c r="E628" s="11" t="str">
        <f aca="false">TRIM('수출입 실적(성질별_수출)'!C632)</f>
        <v>나. 철강제품</v>
      </c>
      <c r="F628" s="18" t="n">
        <f aca="false">IFERROR(VALUE(SUBSTITUTE(TRIM('수출입 실적(성질별_수출)'!D632),",","")),"")</f>
        <v>2735230.3</v>
      </c>
      <c r="G628" s="19" t="n">
        <f aca="false">IFERROR(VALUE(SUBSTITUTE(TRIM('수출입 실적(성질별_수출)'!E632),",","")),"")</f>
        <v>4351286</v>
      </c>
    </row>
    <row r="629" customFormat="false" ht="15" hidden="false" customHeight="true" outlineLevel="0" collapsed="false">
      <c r="A629" s="11" t="str">
        <f aca="false">TRIM('수출입 실적(성질별_수출)'!A633)</f>
        <v>2026.06</v>
      </c>
      <c r="B629" s="17" t="n">
        <f aca="false">IFERROR(VALUE(LEFT($A629,4)),"")</f>
        <v>2026</v>
      </c>
      <c r="C629" s="17" t="n">
        <f aca="false">IFERROR(VALUE(RIGHT($A629,2)),"")</f>
        <v>6</v>
      </c>
      <c r="D629" s="17" t="n">
        <f aca="false">IFERROR(ROUNDUP($C629/3,0),"")</f>
        <v>2</v>
      </c>
      <c r="E629" s="11" t="str">
        <f aca="false">TRIM('수출입 실적(성질별_수출)'!C633)</f>
        <v>다. 기계류와 정밀기기</v>
      </c>
      <c r="F629" s="18" t="n">
        <f aca="false">IFERROR(VALUE(SUBSTITUTE(TRIM('수출입 실적(성질별_수출)'!D633),",","")),"")</f>
        <v>368574.7</v>
      </c>
      <c r="G629" s="19" t="n">
        <f aca="false">IFERROR(VALUE(SUBSTITUTE(TRIM('수출입 실적(성질별_수출)'!E633),",","")),"")</f>
        <v>6547312</v>
      </c>
    </row>
    <row r="630" customFormat="false" ht="15" hidden="false" customHeight="true" outlineLevel="0" collapsed="false">
      <c r="A630" s="11" t="str">
        <f aca="false">TRIM('수출입 실적(성질별_수출)'!A634)</f>
        <v>2026.06</v>
      </c>
      <c r="B630" s="17" t="n">
        <f aca="false">IFERROR(VALUE(LEFT($A630,4)),"")</f>
        <v>2026</v>
      </c>
      <c r="C630" s="17" t="n">
        <f aca="false">IFERROR(VALUE(RIGHT($A630,2)),"")</f>
        <v>6</v>
      </c>
      <c r="D630" s="17" t="n">
        <f aca="false">IFERROR(ROUNDUP($C630/3,0),"")</f>
        <v>2</v>
      </c>
      <c r="E630" s="11" t="str">
        <f aca="false">TRIM('수출입 실적(성질별_수출)'!C634)</f>
        <v>라. 전기, 전자제품</v>
      </c>
      <c r="F630" s="18" t="n">
        <f aca="false">IFERROR(VALUE(SUBSTITUTE(TRIM('수출입 실적(성질별_수출)'!D634),",","")),"")</f>
        <v>243016.2</v>
      </c>
      <c r="G630" s="19" t="n">
        <f aca="false">IFERROR(VALUE(SUBSTITUTE(TRIM('수출입 실적(성질별_수출)'!E634),",","")),"")</f>
        <v>57127600</v>
      </c>
    </row>
    <row r="631" customFormat="false" ht="15" hidden="false" customHeight="true" outlineLevel="0" collapsed="false">
      <c r="A631" s="11" t="str">
        <f aca="false">TRIM('수출입 실적(성질별_수출)'!A635)</f>
        <v>2026.06</v>
      </c>
      <c r="B631" s="17" t="n">
        <f aca="false">IFERROR(VALUE(LEFT($A631,4)),"")</f>
        <v>2026</v>
      </c>
      <c r="C631" s="17" t="n">
        <f aca="false">IFERROR(VALUE(RIGHT($A631,2)),"")</f>
        <v>6</v>
      </c>
      <c r="D631" s="17" t="n">
        <f aca="false">IFERROR(ROUNDUP($C631/3,0),"")</f>
        <v>2</v>
      </c>
      <c r="E631" s="11" t="str">
        <f aca="false">TRIM('수출입 실적(성질별_수출)'!C635)</f>
        <v>마. 수송장비</v>
      </c>
      <c r="F631" s="18" t="n">
        <f aca="false">IFERROR(VALUE(SUBSTITUTE(TRIM('수출입 실적(성질별_수출)'!D635),",","")),"")</f>
        <v>1878428.6</v>
      </c>
      <c r="G631" s="19" t="n">
        <f aca="false">IFERROR(VALUE(SUBSTITUTE(TRIM('수출입 실적(성질별_수출)'!E635),",","")),"")</f>
        <v>11460161</v>
      </c>
    </row>
    <row r="632" customFormat="false" ht="15" hidden="false" customHeight="true" outlineLevel="0" collapsed="false">
      <c r="A632" s="11" t="str">
        <f aca="false">TRIM('수출입 실적(성질별_수출)'!A636)</f>
        <v>2026.06</v>
      </c>
      <c r="B632" s="17" t="n">
        <f aca="false">IFERROR(VALUE(LEFT($A632,4)),"")</f>
        <v>2026</v>
      </c>
      <c r="C632" s="17" t="n">
        <f aca="false">IFERROR(VALUE(RIGHT($A632,2)),"")</f>
        <v>6</v>
      </c>
      <c r="D632" s="17" t="n">
        <f aca="false">IFERROR(ROUNDUP($C632/3,0),"")</f>
        <v>2</v>
      </c>
      <c r="E632" s="11" t="str">
        <f aca="false">TRIM('수출입 실적(성질별_수출)'!C636)</f>
        <v>바. 기 타</v>
      </c>
      <c r="F632" s="18" t="n">
        <f aca="false">IFERROR(VALUE(SUBSTITUTE(TRIM('수출입 실적(성질별_수출)'!D636),",","")),"")</f>
        <v>86108.1</v>
      </c>
      <c r="G632" s="19" t="n">
        <f aca="false">IFERROR(VALUE(SUBSTITUTE(TRIM('수출입 실적(성질별_수출)'!E636),",","")),"")</f>
        <v>2778389</v>
      </c>
    </row>
    <row r="633" customFormat="false" ht="15" hidden="false" customHeight="true" outlineLevel="0" collapsed="false">
      <c r="A633" s="11" t="str">
        <f aca="false">TRIM('수출입 실적(성질별_수출)'!A637)</f>
        <v>2026.07</v>
      </c>
      <c r="B633" s="17" t="n">
        <f aca="false">IFERROR(VALUE(LEFT($A633,4)),"")</f>
        <v>2026</v>
      </c>
      <c r="C633" s="17" t="n">
        <f aca="false">IFERROR(VALUE(RIGHT($A633,2)),"")</f>
        <v>7</v>
      </c>
      <c r="D633" s="17" t="n">
        <f aca="false">IFERROR(ROUNDUP($C633/3,0),"")</f>
        <v>3</v>
      </c>
      <c r="E633" s="11" t="str">
        <f aca="false">TRIM('수출입 실적(성질별_수출)'!C637)</f>
        <v>1. 식료 및 직접소비재</v>
      </c>
      <c r="F633" s="18" t="n">
        <f aca="false">IFERROR(VALUE(SUBSTITUTE(TRIM('수출입 실적(성질별_수출)'!D637),",","")),"")</f>
        <v>359216.8</v>
      </c>
      <c r="G633" s="19" t="n">
        <f aca="false">IFERROR(VALUE(SUBSTITUTE(TRIM('수출입 실적(성질별_수출)'!E637),",","")),"")</f>
        <v>1081841</v>
      </c>
    </row>
    <row r="634" customFormat="false" ht="15" hidden="false" customHeight="true" outlineLevel="0" collapsed="false">
      <c r="A634" s="11" t="str">
        <f aca="false">TRIM('수출입 실적(성질별_수출)'!A638)</f>
        <v>2026.07</v>
      </c>
      <c r="B634" s="17" t="n">
        <f aca="false">IFERROR(VALUE(LEFT($A634,4)),"")</f>
        <v>2026</v>
      </c>
      <c r="C634" s="17" t="n">
        <f aca="false">IFERROR(VALUE(RIGHT($A634,2)),"")</f>
        <v>7</v>
      </c>
      <c r="D634" s="17" t="n">
        <f aca="false">IFERROR(ROUNDUP($C634/3,0),"")</f>
        <v>3</v>
      </c>
      <c r="E634" s="11" t="str">
        <f aca="false">TRIM('수출입 실적(성질별_수출)'!C638)</f>
        <v>2. 원료 및 연료</v>
      </c>
      <c r="F634" s="18" t="n">
        <f aca="false">IFERROR(VALUE(SUBSTITUTE(TRIM('수출입 실적(성질별_수출)'!D638),",","")),"")</f>
        <v>6429139.7</v>
      </c>
      <c r="G634" s="19" t="n">
        <f aca="false">IFERROR(VALUE(SUBSTITUTE(TRIM('수출입 실적(성질별_수출)'!E638),",","")),"")</f>
        <v>6896402</v>
      </c>
    </row>
    <row r="635" customFormat="false" ht="15" hidden="false" customHeight="true" outlineLevel="0" collapsed="false">
      <c r="A635" s="11" t="str">
        <f aca="false">TRIM('수출입 실적(성질별_수출)'!A639)</f>
        <v>2026.07</v>
      </c>
      <c r="B635" s="17" t="n">
        <f aca="false">IFERROR(VALUE(LEFT($A635,4)),"")</f>
        <v>2026</v>
      </c>
      <c r="C635" s="17" t="n">
        <f aca="false">IFERROR(VALUE(RIGHT($A635,2)),"")</f>
        <v>7</v>
      </c>
      <c r="D635" s="17" t="n">
        <f aca="false">IFERROR(ROUNDUP($C635/3,0),"")</f>
        <v>3</v>
      </c>
      <c r="E635" s="11" t="str">
        <f aca="false">TRIM('수출입 실적(성질별_수출)'!C639)</f>
        <v>3. 경공업품</v>
      </c>
      <c r="F635" s="18" t="n">
        <f aca="false">IFERROR(VALUE(SUBSTITUTE(TRIM('수출입 실적(성질별_수출)'!D639),",","")),"")</f>
        <v>1002847.2</v>
      </c>
      <c r="G635" s="19" t="n">
        <f aca="false">IFERROR(VALUE(SUBSTITUTE(TRIM('수출입 실적(성질별_수출)'!E639),",","")),"")</f>
        <v>3778039</v>
      </c>
    </row>
    <row r="636" customFormat="false" ht="15" hidden="false" customHeight="true" outlineLevel="0" collapsed="false">
      <c r="A636" s="11" t="str">
        <f aca="false">TRIM('수출입 실적(성질별_수출)'!A640)</f>
        <v>2026.07</v>
      </c>
      <c r="B636" s="17" t="n">
        <f aca="false">IFERROR(VALUE(LEFT($A636,4)),"")</f>
        <v>2026</v>
      </c>
      <c r="C636" s="17" t="n">
        <f aca="false">IFERROR(VALUE(RIGHT($A636,2)),"")</f>
        <v>7</v>
      </c>
      <c r="D636" s="17" t="n">
        <f aca="false">IFERROR(ROUNDUP($C636/3,0),"")</f>
        <v>3</v>
      </c>
      <c r="E636" s="11" t="str">
        <f aca="false">TRIM('수출입 실적(성질별_수출)'!C640)</f>
        <v>가. 섬유원료</v>
      </c>
      <c r="F636" s="18" t="n">
        <f aca="false">IFERROR(VALUE(SUBSTITUTE(TRIM('수출입 실적(성질별_수출)'!D640),",","")),"")</f>
        <v>44991.5</v>
      </c>
      <c r="G636" s="19" t="n">
        <f aca="false">IFERROR(VALUE(SUBSTITUTE(TRIM('수출입 실적(성질별_수출)'!E640),",","")),"")</f>
        <v>77156</v>
      </c>
    </row>
    <row r="637" customFormat="false" ht="15" hidden="false" customHeight="true" outlineLevel="0" collapsed="false">
      <c r="A637" s="11" t="str">
        <f aca="false">TRIM('수출입 실적(성질별_수출)'!A641)</f>
        <v>2026.07</v>
      </c>
      <c r="B637" s="17" t="n">
        <f aca="false">IFERROR(VALUE(LEFT($A637,4)),"")</f>
        <v>2026</v>
      </c>
      <c r="C637" s="17" t="n">
        <f aca="false">IFERROR(VALUE(RIGHT($A637,2)),"")</f>
        <v>7</v>
      </c>
      <c r="D637" s="17" t="n">
        <f aca="false">IFERROR(ROUNDUP($C637/3,0),"")</f>
        <v>3</v>
      </c>
      <c r="E637" s="11" t="str">
        <f aca="false">TRIM('수출입 실적(성질별_수출)'!C641)</f>
        <v>나. 섬유사</v>
      </c>
      <c r="F637" s="18" t="n">
        <f aca="false">IFERROR(VALUE(SUBSTITUTE(TRIM('수출입 실적(성질별_수출)'!D641),",","")),"")</f>
        <v>17104</v>
      </c>
      <c r="G637" s="19" t="n">
        <f aca="false">IFERROR(VALUE(SUBSTITUTE(TRIM('수출입 실적(성질별_수출)'!E641),",","")),"")</f>
        <v>66017</v>
      </c>
    </row>
    <row r="638" customFormat="false" ht="15" hidden="false" customHeight="true" outlineLevel="0" collapsed="false">
      <c r="A638" s="11" t="str">
        <f aca="false">TRIM('수출입 실적(성질별_수출)'!A642)</f>
        <v>2026.07</v>
      </c>
      <c r="B638" s="17" t="n">
        <f aca="false">IFERROR(VALUE(LEFT($A638,4)),"")</f>
        <v>2026</v>
      </c>
      <c r="C638" s="17" t="n">
        <f aca="false">IFERROR(VALUE(RIGHT($A638,2)),"")</f>
        <v>7</v>
      </c>
      <c r="D638" s="17" t="n">
        <f aca="false">IFERROR(ROUNDUP($C638/3,0),"")</f>
        <v>3</v>
      </c>
      <c r="E638" s="11" t="str">
        <f aca="false">TRIM('수출입 실적(성질별_수출)'!C642)</f>
        <v>다. 직 물</v>
      </c>
      <c r="F638" s="18" t="n">
        <f aca="false">IFERROR(VALUE(SUBSTITUTE(TRIM('수출입 실적(성질별_수출)'!D642),",","")),"")</f>
        <v>29551.4</v>
      </c>
      <c r="G638" s="19" t="n">
        <f aca="false">IFERROR(VALUE(SUBSTITUTE(TRIM('수출입 실적(성질별_수출)'!E642),",","")),"")</f>
        <v>298501</v>
      </c>
    </row>
    <row r="639" customFormat="false" ht="15" hidden="false" customHeight="true" outlineLevel="0" collapsed="false">
      <c r="A639" s="11" t="str">
        <f aca="false">TRIM('수출입 실적(성질별_수출)'!A643)</f>
        <v>2026.07</v>
      </c>
      <c r="B639" s="17" t="n">
        <f aca="false">IFERROR(VALUE(LEFT($A639,4)),"")</f>
        <v>2026</v>
      </c>
      <c r="C639" s="17" t="n">
        <f aca="false">IFERROR(VALUE(RIGHT($A639,2)),"")</f>
        <v>7</v>
      </c>
      <c r="D639" s="17" t="n">
        <f aca="false">IFERROR(ROUNDUP($C639/3,0),"")</f>
        <v>3</v>
      </c>
      <c r="E639" s="11" t="str">
        <f aca="false">TRIM('수출입 실적(성질별_수출)'!C643)</f>
        <v>라. 기타 섬유제품</v>
      </c>
      <c r="F639" s="18" t="n">
        <f aca="false">IFERROR(VALUE(SUBSTITUTE(TRIM('수출입 실적(성질별_수출)'!D643),",","")),"")</f>
        <v>23332.1</v>
      </c>
      <c r="G639" s="19" t="n">
        <f aca="false">IFERROR(VALUE(SUBSTITUTE(TRIM('수출입 실적(성질별_수출)'!E643),",","")),"")</f>
        <v>184656</v>
      </c>
    </row>
    <row r="640" customFormat="false" ht="15" hidden="false" customHeight="true" outlineLevel="0" collapsed="false">
      <c r="A640" s="11" t="str">
        <f aca="false">TRIM('수출입 실적(성질별_수출)'!A644)</f>
        <v>2026.07</v>
      </c>
      <c r="B640" s="17" t="n">
        <f aca="false">IFERROR(VALUE(LEFT($A640,4)),"")</f>
        <v>2026</v>
      </c>
      <c r="C640" s="17" t="n">
        <f aca="false">IFERROR(VALUE(RIGHT($A640,2)),"")</f>
        <v>7</v>
      </c>
      <c r="D640" s="17" t="n">
        <f aca="false">IFERROR(ROUNDUP($C640/3,0),"")</f>
        <v>3</v>
      </c>
      <c r="E640" s="11" t="str">
        <f aca="false">TRIM('수출입 실적(성질별_수출)'!C644)</f>
        <v>마. 의 류</v>
      </c>
      <c r="F640" s="18" t="n">
        <f aca="false">IFERROR(VALUE(SUBSTITUTE(TRIM('수출입 실적(성질별_수출)'!D644),",","")),"")</f>
        <v>5370.8</v>
      </c>
      <c r="G640" s="19" t="n">
        <f aca="false">IFERROR(VALUE(SUBSTITUTE(TRIM('수출입 실적(성질별_수출)'!E644),",","")),"")</f>
        <v>162057</v>
      </c>
    </row>
    <row r="641" customFormat="false" ht="15" hidden="false" customHeight="true" outlineLevel="0" collapsed="false">
      <c r="A641" s="11" t="str">
        <f aca="false">TRIM('수출입 실적(성질별_수출)'!A645)</f>
        <v>2026.07</v>
      </c>
      <c r="B641" s="17" t="n">
        <f aca="false">IFERROR(VALUE(LEFT($A641,4)),"")</f>
        <v>2026</v>
      </c>
      <c r="C641" s="17" t="n">
        <f aca="false">IFERROR(VALUE(RIGHT($A641,2)),"")</f>
        <v>7</v>
      </c>
      <c r="D641" s="17" t="n">
        <f aca="false">IFERROR(ROUNDUP($C641/3,0),"")</f>
        <v>3</v>
      </c>
      <c r="E641" s="11" t="str">
        <f aca="false">TRIM('수출입 실적(성질별_수출)'!C645)</f>
        <v>바. 목제품</v>
      </c>
      <c r="F641" s="18" t="n">
        <f aca="false">IFERROR(VALUE(SUBSTITUTE(TRIM('수출입 실적(성질별_수출)'!D645),",","")),"")</f>
        <v>18632.8</v>
      </c>
      <c r="G641" s="19" t="n">
        <f aca="false">IFERROR(VALUE(SUBSTITUTE(TRIM('수출입 실적(성질별_수출)'!E645),",","")),"")</f>
        <v>111673</v>
      </c>
    </row>
    <row r="642" customFormat="false" ht="15" hidden="false" customHeight="true" outlineLevel="0" collapsed="false">
      <c r="A642" s="11" t="str">
        <f aca="false">TRIM('수출입 실적(성질별_수출)'!A646)</f>
        <v>2026.07</v>
      </c>
      <c r="B642" s="17" t="n">
        <f aca="false">IFERROR(VALUE(LEFT($A642,4)),"")</f>
        <v>2026</v>
      </c>
      <c r="C642" s="17" t="n">
        <f aca="false">IFERROR(VALUE(RIGHT($A642,2)),"")</f>
        <v>7</v>
      </c>
      <c r="D642" s="17" t="n">
        <f aca="false">IFERROR(ROUNDUP($C642/3,0),"")</f>
        <v>3</v>
      </c>
      <c r="E642" s="11" t="str">
        <f aca="false">TRIM('수출입 실적(성질별_수출)'!C646)</f>
        <v>사. 가죽, 고무 및 신발류</v>
      </c>
      <c r="F642" s="18" t="n">
        <f aca="false">IFERROR(VALUE(SUBSTITUTE(TRIM('수출입 실적(성질별_수출)'!D646),",","")),"")</f>
        <v>85857.1</v>
      </c>
      <c r="G642" s="19" t="n">
        <f aca="false">IFERROR(VALUE(SUBSTITUTE(TRIM('수출입 실적(성질별_수출)'!E646),",","")),"")</f>
        <v>485169</v>
      </c>
    </row>
    <row r="643" customFormat="false" ht="15" hidden="false" customHeight="true" outlineLevel="0" collapsed="false">
      <c r="A643" s="11" t="str">
        <f aca="false">TRIM('수출입 실적(성질별_수출)'!A647)</f>
        <v>2026.07</v>
      </c>
      <c r="B643" s="17" t="n">
        <f aca="false">IFERROR(VALUE(LEFT($A643,4)),"")</f>
        <v>2026</v>
      </c>
      <c r="C643" s="17" t="n">
        <f aca="false">IFERROR(VALUE(RIGHT($A643,2)),"")</f>
        <v>7</v>
      </c>
      <c r="D643" s="17" t="n">
        <f aca="false">IFERROR(ROUNDUP($C643/3,0),"")</f>
        <v>3</v>
      </c>
      <c r="E643" s="11" t="str">
        <f aca="false">TRIM('수출입 실적(성질별_수출)'!C647)</f>
        <v>아. 귀금속 및 보석류</v>
      </c>
      <c r="F643" s="18" t="n">
        <f aca="false">IFERROR(VALUE(SUBSTITUTE(TRIM('수출입 실적(성질별_수출)'!D647),",","")),"")</f>
        <v>334</v>
      </c>
      <c r="G643" s="19" t="n">
        <f aca="false">IFERROR(VALUE(SUBSTITUTE(TRIM('수출입 실적(성질별_수출)'!E647),",","")),"")</f>
        <v>1011215</v>
      </c>
    </row>
    <row r="644" customFormat="false" ht="15" hidden="false" customHeight="true" outlineLevel="0" collapsed="false">
      <c r="A644" s="11" t="str">
        <f aca="false">TRIM('수출입 실적(성질별_수출)'!A648)</f>
        <v>2026.07</v>
      </c>
      <c r="B644" s="17" t="n">
        <f aca="false">IFERROR(VALUE(LEFT($A644,4)),"")</f>
        <v>2026</v>
      </c>
      <c r="C644" s="17" t="n">
        <f aca="false">IFERROR(VALUE(RIGHT($A644,2)),"")</f>
        <v>7</v>
      </c>
      <c r="D644" s="17" t="n">
        <f aca="false">IFERROR(ROUNDUP($C644/3,0),"")</f>
        <v>3</v>
      </c>
      <c r="E644" s="11" t="str">
        <f aca="false">TRIM('수출입 실적(성질별_수출)'!C648)</f>
        <v>자. 기타 비금속 광물제품</v>
      </c>
      <c r="F644" s="18" t="n">
        <f aca="false">IFERROR(VALUE(SUBSTITUTE(TRIM('수출입 실적(성질별_수출)'!D648),",","")),"")</f>
        <v>388439.2</v>
      </c>
      <c r="G644" s="19" t="n">
        <f aca="false">IFERROR(VALUE(SUBSTITUTE(TRIM('수출입 실적(성질별_수출)'!E648),",","")),"")</f>
        <v>199569</v>
      </c>
    </row>
    <row r="645" customFormat="false" ht="15" hidden="false" customHeight="true" outlineLevel="0" collapsed="false">
      <c r="A645" s="11" t="str">
        <f aca="false">TRIM('수출입 실적(성질별_수출)'!A649)</f>
        <v>2026.07</v>
      </c>
      <c r="B645" s="17" t="n">
        <f aca="false">IFERROR(VALUE(LEFT($A645,4)),"")</f>
        <v>2026</v>
      </c>
      <c r="C645" s="17" t="n">
        <f aca="false">IFERROR(VALUE(RIGHT($A645,2)),"")</f>
        <v>7</v>
      </c>
      <c r="D645" s="17" t="n">
        <f aca="false">IFERROR(ROUNDUP($C645/3,0),"")</f>
        <v>3</v>
      </c>
      <c r="E645" s="11" t="str">
        <f aca="false">TRIM('수출입 실적(성질별_수출)'!C649)</f>
        <v>차. 완구, 운동용구 및 악기</v>
      </c>
      <c r="F645" s="18" t="n">
        <f aca="false">IFERROR(VALUE(SUBSTITUTE(TRIM('수출입 실적(성질별_수출)'!D649),",","")),"")</f>
        <v>2815.7</v>
      </c>
      <c r="G645" s="19" t="n">
        <f aca="false">IFERROR(VALUE(SUBSTITUTE(TRIM('수출입 실적(성질별_수출)'!E649),",","")),"")</f>
        <v>68493</v>
      </c>
    </row>
    <row r="646" customFormat="false" ht="15" hidden="false" customHeight="true" outlineLevel="0" collapsed="false">
      <c r="A646" s="11" t="str">
        <f aca="false">TRIM('수출입 실적(성질별_수출)'!A650)</f>
        <v>2026.07</v>
      </c>
      <c r="B646" s="17" t="n">
        <f aca="false">IFERROR(VALUE(LEFT($A646,4)),"")</f>
        <v>2026</v>
      </c>
      <c r="C646" s="17" t="n">
        <f aca="false">IFERROR(VALUE(RIGHT($A646,2)),"")</f>
        <v>7</v>
      </c>
      <c r="D646" s="17" t="n">
        <f aca="false">IFERROR(ROUNDUP($C646/3,0),"")</f>
        <v>3</v>
      </c>
      <c r="E646" s="11" t="str">
        <f aca="false">TRIM('수출입 실적(성질별_수출)'!C650)</f>
        <v>카. 기 타</v>
      </c>
      <c r="F646" s="18" t="n">
        <f aca="false">IFERROR(VALUE(SUBSTITUTE(TRIM('수출입 실적(성질별_수출)'!D650),",","")),"")</f>
        <v>386418.6</v>
      </c>
      <c r="G646" s="19" t="n">
        <f aca="false">IFERROR(VALUE(SUBSTITUTE(TRIM('수출입 실적(성질별_수출)'!E650),",","")),"")</f>
        <v>1113531</v>
      </c>
    </row>
    <row r="647" customFormat="false" ht="15" hidden="false" customHeight="true" outlineLevel="0" collapsed="false">
      <c r="A647" s="11" t="str">
        <f aca="false">TRIM('수출입 실적(성질별_수출)'!A651)</f>
        <v>2026.07</v>
      </c>
      <c r="B647" s="17" t="n">
        <f aca="false">IFERROR(VALUE(LEFT($A647,4)),"")</f>
        <v>2026</v>
      </c>
      <c r="C647" s="17" t="n">
        <f aca="false">IFERROR(VALUE(RIGHT($A647,2)),"")</f>
        <v>7</v>
      </c>
      <c r="D647" s="17" t="n">
        <f aca="false">IFERROR(ROUNDUP($C647/3,0),"")</f>
        <v>3</v>
      </c>
      <c r="E647" s="11" t="str">
        <f aca="false">TRIM('수출입 실적(성질별_수출)'!C651)</f>
        <v>4. 중화학 공업품</v>
      </c>
      <c r="F647" s="18" t="n">
        <f aca="false">IFERROR(VALUE(SUBSTITUTE(TRIM('수출입 실적(성질별_수출)'!D651),",","")),"")</f>
        <v>9869477</v>
      </c>
      <c r="G647" s="19" t="n">
        <f aca="false">IFERROR(VALUE(SUBSTITUTE(TRIM('수출입 실적(성질별_수출)'!E651),",","")),"")</f>
        <v>87202818</v>
      </c>
    </row>
    <row r="648" customFormat="false" ht="15" hidden="false" customHeight="true" outlineLevel="0" collapsed="false">
      <c r="A648" s="11" t="str">
        <f aca="false">TRIM('수출입 실적(성질별_수출)'!A652)</f>
        <v>2026.07</v>
      </c>
      <c r="B648" s="17" t="n">
        <f aca="false">IFERROR(VALUE(LEFT($A648,4)),"")</f>
        <v>2026</v>
      </c>
      <c r="C648" s="17" t="n">
        <f aca="false">IFERROR(VALUE(RIGHT($A648,2)),"")</f>
        <v>7</v>
      </c>
      <c r="D648" s="17" t="n">
        <f aca="false">IFERROR(ROUNDUP($C648/3,0),"")</f>
        <v>3</v>
      </c>
      <c r="E648" s="11" t="str">
        <f aca="false">TRIM('수출입 실적(성질별_수출)'!C652)</f>
        <v>가. 화공품</v>
      </c>
      <c r="F648" s="18" t="n">
        <f aca="false">IFERROR(VALUE(SUBSTITUTE(TRIM('수출입 실적(성질별_수출)'!D652),",","")),"")</f>
        <v>3920870.8</v>
      </c>
      <c r="G648" s="19" t="n">
        <f aca="false">IFERROR(VALUE(SUBSTITUTE(TRIM('수출입 실적(성질별_수출)'!E652),",","")),"")</f>
        <v>7980842</v>
      </c>
    </row>
    <row r="649" customFormat="false" ht="15" hidden="false" customHeight="true" outlineLevel="0" collapsed="false">
      <c r="A649" s="11" t="str">
        <f aca="false">TRIM('수출입 실적(성질별_수출)'!A653)</f>
        <v>2026.07</v>
      </c>
      <c r="B649" s="17" t="n">
        <f aca="false">IFERROR(VALUE(LEFT($A649,4)),"")</f>
        <v>2026</v>
      </c>
      <c r="C649" s="17" t="n">
        <f aca="false">IFERROR(VALUE(RIGHT($A649,2)),"")</f>
        <v>7</v>
      </c>
      <c r="D649" s="17" t="n">
        <f aca="false">IFERROR(ROUNDUP($C649/3,0),"")</f>
        <v>3</v>
      </c>
      <c r="E649" s="11" t="str">
        <f aca="false">TRIM('수출입 실적(성질별_수출)'!C653)</f>
        <v>나. 철강제품</v>
      </c>
      <c r="F649" s="18" t="n">
        <f aca="false">IFERROR(VALUE(SUBSTITUTE(TRIM('수출입 실적(성질별_수출)'!D653),",","")),"")</f>
        <v>3062013.6</v>
      </c>
      <c r="G649" s="19" t="n">
        <f aca="false">IFERROR(VALUE(SUBSTITUTE(TRIM('수출입 실적(성질별_수출)'!E653),",","")),"")</f>
        <v>4661963</v>
      </c>
    </row>
    <row r="650" customFormat="false" ht="15" hidden="false" customHeight="true" outlineLevel="0" collapsed="false">
      <c r="A650" s="11" t="str">
        <f aca="false">TRIM('수출입 실적(성질별_수출)'!A654)</f>
        <v>2026.07</v>
      </c>
      <c r="B650" s="17" t="n">
        <f aca="false">IFERROR(VALUE(LEFT($A650,4)),"")</f>
        <v>2026</v>
      </c>
      <c r="C650" s="17" t="n">
        <f aca="false">IFERROR(VALUE(RIGHT($A650,2)),"")</f>
        <v>7</v>
      </c>
      <c r="D650" s="17" t="n">
        <f aca="false">IFERROR(ROUNDUP($C650/3,0),"")</f>
        <v>3</v>
      </c>
      <c r="E650" s="11" t="str">
        <f aca="false">TRIM('수출입 실적(성질별_수출)'!C654)</f>
        <v>다. 기계류와 정밀기기</v>
      </c>
      <c r="F650" s="18" t="n">
        <f aca="false">IFERROR(VALUE(SUBSTITUTE(TRIM('수출입 실적(성질별_수출)'!D654),",","")),"")</f>
        <v>437920.3</v>
      </c>
      <c r="G650" s="19" t="n">
        <f aca="false">IFERROR(VALUE(SUBSTITUTE(TRIM('수출입 실적(성질별_수출)'!E654),",","")),"")</f>
        <v>6861427</v>
      </c>
    </row>
    <row r="651" customFormat="false" ht="15" hidden="false" customHeight="true" outlineLevel="0" collapsed="false">
      <c r="A651" s="11" t="str">
        <f aca="false">TRIM('수출입 실적(성질별_수출)'!A655)</f>
        <v>2026.07</v>
      </c>
      <c r="B651" s="17" t="n">
        <f aca="false">IFERROR(VALUE(LEFT($A651,4)),"")</f>
        <v>2026</v>
      </c>
      <c r="C651" s="17" t="n">
        <f aca="false">IFERROR(VALUE(RIGHT($A651,2)),"")</f>
        <v>7</v>
      </c>
      <c r="D651" s="17" t="n">
        <f aca="false">IFERROR(ROUNDUP($C651/3,0),"")</f>
        <v>3</v>
      </c>
      <c r="E651" s="11" t="str">
        <f aca="false">TRIM('수출입 실적(성질별_수출)'!C655)</f>
        <v>라. 전기, 전자제품</v>
      </c>
      <c r="F651" s="18" t="n">
        <f aca="false">IFERROR(VALUE(SUBSTITUTE(TRIM('수출입 실적(성질별_수출)'!D655),",","")),"")</f>
        <v>257766.6</v>
      </c>
      <c r="G651" s="19" t="n">
        <f aca="false">IFERROR(VALUE(SUBSTITUTE(TRIM('수출입 실적(성질별_수출)'!E655),",","")),"")</f>
        <v>53312084</v>
      </c>
    </row>
    <row r="652" customFormat="false" ht="15" hidden="false" customHeight="true" outlineLevel="0" collapsed="false">
      <c r="A652" s="11" t="str">
        <f aca="false">TRIM('수출입 실적(성질별_수출)'!A656)</f>
        <v>2026.07</v>
      </c>
      <c r="B652" s="17" t="n">
        <f aca="false">IFERROR(VALUE(LEFT($A652,4)),"")</f>
        <v>2026</v>
      </c>
      <c r="C652" s="17" t="n">
        <f aca="false">IFERROR(VALUE(RIGHT($A652,2)),"")</f>
        <v>7</v>
      </c>
      <c r="D652" s="17" t="n">
        <f aca="false">IFERROR(ROUNDUP($C652/3,0),"")</f>
        <v>3</v>
      </c>
      <c r="E652" s="11" t="str">
        <f aca="false">TRIM('수출입 실적(성질별_수출)'!C656)</f>
        <v>마. 수송장비</v>
      </c>
      <c r="F652" s="18" t="n">
        <f aca="false">IFERROR(VALUE(SUBSTITUTE(TRIM('수출입 실적(성질별_수출)'!D656),",","")),"")</f>
        <v>2101545.3</v>
      </c>
      <c r="G652" s="19" t="n">
        <f aca="false">IFERROR(VALUE(SUBSTITUTE(TRIM('수출입 실적(성질별_수출)'!E656),",","")),"")</f>
        <v>11661068</v>
      </c>
    </row>
    <row r="653" customFormat="false" ht="15" hidden="false" customHeight="true" outlineLevel="0" collapsed="false">
      <c r="A653" s="11" t="str">
        <f aca="false">TRIM('수출입 실적(성질별_수출)'!A657)</f>
        <v>2026.07</v>
      </c>
      <c r="B653" s="17" t="n">
        <f aca="false">IFERROR(VALUE(LEFT($A653,4)),"")</f>
        <v>2026</v>
      </c>
      <c r="C653" s="17" t="n">
        <f aca="false">IFERROR(VALUE(RIGHT($A653,2)),"")</f>
        <v>7</v>
      </c>
      <c r="D653" s="17" t="n">
        <f aca="false">IFERROR(ROUNDUP($C653/3,0),"")</f>
        <v>3</v>
      </c>
      <c r="E653" s="11" t="str">
        <f aca="false">TRIM('수출입 실적(성질별_수출)'!C657)</f>
        <v>바. 기 타</v>
      </c>
      <c r="F653" s="18" t="n">
        <f aca="false">IFERROR(VALUE(SUBSTITUTE(TRIM('수출입 실적(성질별_수출)'!D657),",","")),"")</f>
        <v>89360.5</v>
      </c>
      <c r="G653" s="19" t="n">
        <f aca="false">IFERROR(VALUE(SUBSTITUTE(TRIM('수출입 실적(성질별_수출)'!E657),",","")),"")</f>
        <v>2725433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34"/>
    <col collapsed="false" customWidth="true" hidden="false" outlineLevel="0" max="7" min="6" style="1" width="12"/>
  </cols>
  <sheetData>
    <row r="1" customFormat="false" ht="15" hidden="false" customHeight="true" outlineLevel="0" collapsed="false">
      <c r="A1" s="15" t="s">
        <v>19652</v>
      </c>
    </row>
    <row r="2" customFormat="false" ht="15" hidden="false" customHeight="true" outlineLevel="0" collapsed="false">
      <c r="A2" s="16" t="s">
        <v>56</v>
      </c>
      <c r="B2" s="16" t="s">
        <v>19653</v>
      </c>
      <c r="C2" s="16" t="s">
        <v>19654</v>
      </c>
      <c r="D2" s="16" t="s">
        <v>19655</v>
      </c>
      <c r="E2" s="16" t="s">
        <v>15019</v>
      </c>
      <c r="F2" s="16" t="s">
        <v>338</v>
      </c>
      <c r="G2" s="16" t="s">
        <v>339</v>
      </c>
    </row>
    <row r="3" customFormat="false" ht="15" hidden="false" customHeight="true" outlineLevel="0" collapsed="false">
      <c r="A3" s="11" t="str">
        <f aca="false">TRIM('수출입 실적(성질별_수입)'!A7)</f>
        <v>2024.01</v>
      </c>
      <c r="B3" s="17" t="n">
        <f aca="false">IFERROR(VALUE(LEFT($A3,4)),"")</f>
        <v>2024</v>
      </c>
      <c r="C3" s="17" t="n">
        <f aca="false">IFERROR(VALUE(RIGHT($A3,2)),"")</f>
        <v>1</v>
      </c>
      <c r="D3" s="17" t="n">
        <f aca="false">IFERROR(ROUNDUP($C3/3,0),"")</f>
        <v>1</v>
      </c>
      <c r="E3" s="11" t="str">
        <f aca="false">TRIM('수출입 실적(성질별_수입)'!C7)</f>
        <v>1. 소비재</v>
      </c>
      <c r="F3" s="18" t="n">
        <f aca="false">IFERROR(VALUE(SUBSTITUTE(TRIM('수출입 실적(성질별_수입)'!D7),",","")),"")</f>
        <v>3564536.2</v>
      </c>
      <c r="G3" s="19" t="n">
        <f aca="false">IFERROR(VALUE(SUBSTITUTE(TRIM('수출입 실적(성질별_수입)'!E7),",","")),"")</f>
        <v>8746306</v>
      </c>
    </row>
    <row r="4" customFormat="false" ht="15" hidden="false" customHeight="true" outlineLevel="0" collapsed="false">
      <c r="A4" s="11" t="str">
        <f aca="false">TRIM('수출입 실적(성질별_수입)'!A8)</f>
        <v>2024.01</v>
      </c>
      <c r="B4" s="17" t="n">
        <f aca="false">IFERROR(VALUE(LEFT($A4,4)),"")</f>
        <v>2024</v>
      </c>
      <c r="C4" s="17" t="n">
        <f aca="false">IFERROR(VALUE(RIGHT($A4,2)),"")</f>
        <v>1</v>
      </c>
      <c r="D4" s="17" t="n">
        <f aca="false">IFERROR(ROUNDUP($C4/3,0),"")</f>
        <v>1</v>
      </c>
      <c r="E4" s="11" t="str">
        <f aca="false">TRIM('수출입 실적(성질별_수입)'!C8)</f>
        <v>가. 곡물</v>
      </c>
      <c r="F4" s="18" t="n">
        <f aca="false">IFERROR(VALUE(SUBSTITUTE(TRIM('수출입 실적(성질별_수입)'!D8),",","")),"")</f>
        <v>2354636</v>
      </c>
      <c r="G4" s="19" t="n">
        <f aca="false">IFERROR(VALUE(SUBSTITUTE(TRIM('수출입 실적(성질별_수입)'!E8),",","")),"")</f>
        <v>832333</v>
      </c>
    </row>
    <row r="5" customFormat="false" ht="15" hidden="false" customHeight="true" outlineLevel="0" collapsed="false">
      <c r="A5" s="11" t="str">
        <f aca="false">TRIM('수출입 실적(성질별_수입)'!A9)</f>
        <v>2024.01</v>
      </c>
      <c r="B5" s="17" t="n">
        <f aca="false">IFERROR(VALUE(LEFT($A5,4)),"")</f>
        <v>2024</v>
      </c>
      <c r="C5" s="17" t="n">
        <f aca="false">IFERROR(VALUE(RIGHT($A5,2)),"")</f>
        <v>1</v>
      </c>
      <c r="D5" s="17" t="n">
        <f aca="false">IFERROR(ROUNDUP($C5/3,0),"")</f>
        <v>1</v>
      </c>
      <c r="E5" s="11" t="str">
        <f aca="false">TRIM('수출입 실적(성질별_수입)'!C9)</f>
        <v>나. 직접소비재</v>
      </c>
      <c r="F5" s="18" t="n">
        <f aca="false">IFERROR(VALUE(SUBSTITUTE(TRIM('수출입 실적(성질별_수입)'!D9),",","")),"")</f>
        <v>808352.3</v>
      </c>
      <c r="G5" s="19" t="n">
        <f aca="false">IFERROR(VALUE(SUBSTITUTE(TRIM('수출입 실적(성질별_수입)'!E9),",","")),"")</f>
        <v>2556100</v>
      </c>
    </row>
    <row r="6" customFormat="false" ht="15" hidden="false" customHeight="true" outlineLevel="0" collapsed="false">
      <c r="A6" s="11" t="str">
        <f aca="false">TRIM('수출입 실적(성질별_수입)'!A10)</f>
        <v>2024.01</v>
      </c>
      <c r="B6" s="17" t="n">
        <f aca="false">IFERROR(VALUE(LEFT($A6,4)),"")</f>
        <v>2024</v>
      </c>
      <c r="C6" s="17" t="n">
        <f aca="false">IFERROR(VALUE(RIGHT($A6,2)),"")</f>
        <v>1</v>
      </c>
      <c r="D6" s="17" t="n">
        <f aca="false">IFERROR(ROUNDUP($C6/3,0),"")</f>
        <v>1</v>
      </c>
      <c r="E6" s="11" t="str">
        <f aca="false">TRIM('수출입 실적(성질별_수입)'!C10)</f>
        <v>다. 내구소비재</v>
      </c>
      <c r="F6" s="18" t="n">
        <f aca="false">IFERROR(VALUE(SUBSTITUTE(TRIM('수출입 실적(성질별_수입)'!D10),",","")),"")</f>
        <v>268971.7</v>
      </c>
      <c r="G6" s="19" t="n">
        <f aca="false">IFERROR(VALUE(SUBSTITUTE(TRIM('수출입 실적(성질별_수입)'!E10),",","")),"")</f>
        <v>3142554</v>
      </c>
    </row>
    <row r="7" customFormat="false" ht="15" hidden="false" customHeight="true" outlineLevel="0" collapsed="false">
      <c r="A7" s="11" t="str">
        <f aca="false">TRIM('수출입 실적(성질별_수입)'!A11)</f>
        <v>2024.01</v>
      </c>
      <c r="B7" s="17" t="n">
        <f aca="false">IFERROR(VALUE(LEFT($A7,4)),"")</f>
        <v>2024</v>
      </c>
      <c r="C7" s="17" t="n">
        <f aca="false">IFERROR(VALUE(RIGHT($A7,2)),"")</f>
        <v>1</v>
      </c>
      <c r="D7" s="17" t="n">
        <f aca="false">IFERROR(ROUNDUP($C7/3,0),"")</f>
        <v>1</v>
      </c>
      <c r="E7" s="11" t="str">
        <f aca="false">TRIM('수출입 실적(성질별_수입)'!C11)</f>
        <v>라. 비내구 소비재</v>
      </c>
      <c r="F7" s="18" t="n">
        <f aca="false">IFERROR(VALUE(SUBSTITUTE(TRIM('수출입 실적(성질별_수입)'!D11),",","")),"")</f>
        <v>132080.3</v>
      </c>
      <c r="G7" s="19" t="n">
        <f aca="false">IFERROR(VALUE(SUBSTITUTE(TRIM('수출입 실적(성질별_수입)'!E11),",","")),"")</f>
        <v>2215318</v>
      </c>
    </row>
    <row r="8" customFormat="false" ht="15" hidden="false" customHeight="true" outlineLevel="0" collapsed="false">
      <c r="A8" s="11" t="str">
        <f aca="false">TRIM('수출입 실적(성질별_수입)'!A12)</f>
        <v>2024.01</v>
      </c>
      <c r="B8" s="17" t="n">
        <f aca="false">IFERROR(VALUE(LEFT($A8,4)),"")</f>
        <v>2024</v>
      </c>
      <c r="C8" s="17" t="n">
        <f aca="false">IFERROR(VALUE(RIGHT($A8,2)),"")</f>
        <v>1</v>
      </c>
      <c r="D8" s="17" t="n">
        <f aca="false">IFERROR(ROUNDUP($C8/3,0),"")</f>
        <v>1</v>
      </c>
      <c r="E8" s="11" t="str">
        <f aca="false">TRIM('수출입 실적(성질별_수입)'!C12)</f>
        <v>마. 간이세율 적용분</v>
      </c>
      <c r="F8" s="18" t="n">
        <f aca="false">IFERROR(VALUE(SUBSTITUTE(TRIM('수출입 실적(성질별_수입)'!D12),",","")),"")</f>
        <v>495.8</v>
      </c>
      <c r="G8" s="19" t="n">
        <f aca="false">IFERROR(VALUE(SUBSTITUTE(TRIM('수출입 실적(성질별_수입)'!E12),",","")),"")</f>
        <v>0</v>
      </c>
    </row>
    <row r="9" customFormat="false" ht="15" hidden="false" customHeight="true" outlineLevel="0" collapsed="false">
      <c r="A9" s="11" t="str">
        <f aca="false">TRIM('수출입 실적(성질별_수입)'!A13)</f>
        <v>2024.01</v>
      </c>
      <c r="B9" s="17" t="n">
        <f aca="false">IFERROR(VALUE(LEFT($A9,4)),"")</f>
        <v>2024</v>
      </c>
      <c r="C9" s="17" t="n">
        <f aca="false">IFERROR(VALUE(RIGHT($A9,2)),"")</f>
        <v>1</v>
      </c>
      <c r="D9" s="17" t="n">
        <f aca="false">IFERROR(ROUNDUP($C9/3,0),"")</f>
        <v>1</v>
      </c>
      <c r="E9" s="11" t="str">
        <f aca="false">TRIM('수출입 실적(성질별_수입)'!C13)</f>
        <v>2. 원자재</v>
      </c>
      <c r="F9" s="18" t="n">
        <f aca="false">IFERROR(VALUE(SUBSTITUTE(TRIM('수출입 실적(성질별_수입)'!D13),",","")),"")</f>
        <v>47322977.6</v>
      </c>
      <c r="G9" s="19" t="n">
        <f aca="false">IFERROR(VALUE(SUBSTITUTE(TRIM('수출입 실적(성질별_수입)'!E13),",","")),"")</f>
        <v>28106321</v>
      </c>
    </row>
    <row r="10" customFormat="false" ht="15" hidden="false" customHeight="true" outlineLevel="0" collapsed="false">
      <c r="A10" s="11" t="str">
        <f aca="false">TRIM('수출입 실적(성질별_수입)'!A14)</f>
        <v>2024.01</v>
      </c>
      <c r="B10" s="17" t="n">
        <f aca="false">IFERROR(VALUE(LEFT($A10,4)),"")</f>
        <v>2024</v>
      </c>
      <c r="C10" s="17" t="n">
        <f aca="false">IFERROR(VALUE(RIGHT($A10,2)),"")</f>
        <v>1</v>
      </c>
      <c r="D10" s="17" t="n">
        <f aca="false">IFERROR(ROUNDUP($C10/3,0),"")</f>
        <v>1</v>
      </c>
      <c r="E10" s="11" t="str">
        <f aca="false">TRIM('수출입 실적(성질별_수입)'!C14)</f>
        <v>가. 연 료</v>
      </c>
      <c r="F10" s="18" t="n">
        <f aca="false">IFERROR(VALUE(SUBSTITUTE(TRIM('수출입 실적(성질별_수입)'!D14),",","")),"")</f>
        <v>32841379.5</v>
      </c>
      <c r="G10" s="19" t="n">
        <f aca="false">IFERROR(VALUE(SUBSTITUTE(TRIM('수출입 실적(성질별_수입)'!E14),",","")),"")</f>
        <v>15672843</v>
      </c>
    </row>
    <row r="11" customFormat="false" ht="15" hidden="false" customHeight="true" outlineLevel="0" collapsed="false">
      <c r="A11" s="11" t="str">
        <f aca="false">TRIM('수출입 실적(성질별_수입)'!A15)</f>
        <v>2024.01</v>
      </c>
      <c r="B11" s="17" t="n">
        <f aca="false">IFERROR(VALUE(LEFT($A11,4)),"")</f>
        <v>2024</v>
      </c>
      <c r="C11" s="17" t="n">
        <f aca="false">IFERROR(VALUE(RIGHT($A11,2)),"")</f>
        <v>1</v>
      </c>
      <c r="D11" s="17" t="n">
        <f aca="false">IFERROR(ROUNDUP($C11/3,0),"")</f>
        <v>1</v>
      </c>
      <c r="E11" s="11" t="str">
        <f aca="false">TRIM('수출입 실적(성질별_수입)'!C15)</f>
        <v>나. 광 물</v>
      </c>
      <c r="F11" s="18" t="n">
        <f aca="false">IFERROR(VALUE(SUBSTITUTE(TRIM('수출입 실적(성질별_수입)'!D15),",","")),"")</f>
        <v>8377454.4</v>
      </c>
      <c r="G11" s="19" t="n">
        <f aca="false">IFERROR(VALUE(SUBSTITUTE(TRIM('수출입 실적(성질별_수입)'!E15),",","")),"")</f>
        <v>2296169</v>
      </c>
    </row>
    <row r="12" customFormat="false" ht="15" hidden="false" customHeight="true" outlineLevel="0" collapsed="false">
      <c r="A12" s="11" t="str">
        <f aca="false">TRIM('수출입 실적(성질별_수입)'!A16)</f>
        <v>2024.01</v>
      </c>
      <c r="B12" s="17" t="n">
        <f aca="false">IFERROR(VALUE(LEFT($A12,4)),"")</f>
        <v>2024</v>
      </c>
      <c r="C12" s="17" t="n">
        <f aca="false">IFERROR(VALUE(RIGHT($A12,2)),"")</f>
        <v>1</v>
      </c>
      <c r="D12" s="17" t="n">
        <f aca="false">IFERROR(ROUNDUP($C12/3,0),"")</f>
        <v>1</v>
      </c>
      <c r="E12" s="11" t="str">
        <f aca="false">TRIM('수출입 실적(성질별_수입)'!C16)</f>
        <v>다. 경공업 원료</v>
      </c>
      <c r="F12" s="18" t="n">
        <f aca="false">IFERROR(VALUE(SUBSTITUTE(TRIM('수출입 실적(성질별_수입)'!D16),",","")),"")</f>
        <v>1365869.8</v>
      </c>
      <c r="G12" s="19" t="n">
        <f aca="false">IFERROR(VALUE(SUBSTITUTE(TRIM('수출입 실적(성질별_수입)'!E16),",","")),"")</f>
        <v>593012</v>
      </c>
    </row>
    <row r="13" customFormat="false" ht="15" hidden="false" customHeight="true" outlineLevel="0" collapsed="false">
      <c r="A13" s="11" t="str">
        <f aca="false">TRIM('수출입 실적(성질별_수입)'!A17)</f>
        <v>2024.01</v>
      </c>
      <c r="B13" s="17" t="n">
        <f aca="false">IFERROR(VALUE(LEFT($A13,4)),"")</f>
        <v>2024</v>
      </c>
      <c r="C13" s="17" t="n">
        <f aca="false">IFERROR(VALUE(RIGHT($A13,2)),"")</f>
        <v>1</v>
      </c>
      <c r="D13" s="17" t="n">
        <f aca="false">IFERROR(ROUNDUP($C13/3,0),"")</f>
        <v>1</v>
      </c>
      <c r="E13" s="11" t="str">
        <f aca="false">TRIM('수출입 실적(성질별_수입)'!C17)</f>
        <v>라. 유 지</v>
      </c>
      <c r="F13" s="18" t="n">
        <f aca="false">IFERROR(VALUE(SUBSTITUTE(TRIM('수출입 실적(성질별_수입)'!D17),",","")),"")</f>
        <v>99230.2</v>
      </c>
      <c r="G13" s="19" t="n">
        <f aca="false">IFERROR(VALUE(SUBSTITUTE(TRIM('수출입 실적(성질별_수입)'!E17),",","")),"")</f>
        <v>123085</v>
      </c>
    </row>
    <row r="14" customFormat="false" ht="15" hidden="false" customHeight="true" outlineLevel="0" collapsed="false">
      <c r="A14" s="11" t="str">
        <f aca="false">TRIM('수출입 실적(성질별_수입)'!A18)</f>
        <v>2024.01</v>
      </c>
      <c r="B14" s="17" t="n">
        <f aca="false">IFERROR(VALUE(LEFT($A14,4)),"")</f>
        <v>2024</v>
      </c>
      <c r="C14" s="17" t="n">
        <f aca="false">IFERROR(VALUE(RIGHT($A14,2)),"")</f>
        <v>1</v>
      </c>
      <c r="D14" s="17" t="n">
        <f aca="false">IFERROR(ROUNDUP($C14/3,0),"")</f>
        <v>1</v>
      </c>
      <c r="E14" s="11" t="str">
        <f aca="false">TRIM('수출입 실적(성질별_수입)'!C18)</f>
        <v>마. 섬유류</v>
      </c>
      <c r="F14" s="18" t="n">
        <f aca="false">IFERROR(VALUE(SUBSTITUTE(TRIM('수출입 실적(성질별_수입)'!D18),",","")),"")</f>
        <v>105176.4</v>
      </c>
      <c r="G14" s="19" t="n">
        <f aca="false">IFERROR(VALUE(SUBSTITUTE(TRIM('수출입 실적(성질별_수입)'!E18),",","")),"")</f>
        <v>317721</v>
      </c>
    </row>
    <row r="15" customFormat="false" ht="15" hidden="false" customHeight="true" outlineLevel="0" collapsed="false">
      <c r="A15" s="11" t="str">
        <f aca="false">TRIM('수출입 실적(성질별_수입)'!A19)</f>
        <v>2024.01</v>
      </c>
      <c r="B15" s="17" t="n">
        <f aca="false">IFERROR(VALUE(LEFT($A15,4)),"")</f>
        <v>2024</v>
      </c>
      <c r="C15" s="17" t="n">
        <f aca="false">IFERROR(VALUE(RIGHT($A15,2)),"")</f>
        <v>1</v>
      </c>
      <c r="D15" s="17" t="n">
        <f aca="false">IFERROR(ROUNDUP($C15/3,0),"")</f>
        <v>1</v>
      </c>
      <c r="E15" s="11" t="str">
        <f aca="false">TRIM('수출입 실적(성질별_수입)'!C19)</f>
        <v>바. 화공품</v>
      </c>
      <c r="F15" s="18" t="n">
        <f aca="false">IFERROR(VALUE(SUBSTITUTE(TRIM('수출입 실적(성질별_수입)'!D19),",","")),"")</f>
        <v>1768381.3</v>
      </c>
      <c r="G15" s="19" t="n">
        <f aca="false">IFERROR(VALUE(SUBSTITUTE(TRIM('수출입 실적(성질별_수입)'!E19),",","")),"")</f>
        <v>4818698</v>
      </c>
    </row>
    <row r="16" customFormat="false" ht="15" hidden="false" customHeight="true" outlineLevel="0" collapsed="false">
      <c r="A16" s="11" t="str">
        <f aca="false">TRIM('수출입 실적(성질별_수입)'!A20)</f>
        <v>2024.01</v>
      </c>
      <c r="B16" s="17" t="n">
        <f aca="false">IFERROR(VALUE(LEFT($A16,4)),"")</f>
        <v>2024</v>
      </c>
      <c r="C16" s="17" t="n">
        <f aca="false">IFERROR(VALUE(RIGHT($A16,2)),"")</f>
        <v>1</v>
      </c>
      <c r="D16" s="17" t="n">
        <f aca="false">IFERROR(ROUNDUP($C16/3,0),"")</f>
        <v>1</v>
      </c>
      <c r="E16" s="11" t="str">
        <f aca="false">TRIM('수출입 실적(성질별_수입)'!C20)</f>
        <v>사. 철강재</v>
      </c>
      <c r="F16" s="18" t="n">
        <f aca="false">IFERROR(VALUE(SUBSTITUTE(TRIM('수출입 실적(성질별_수입)'!D20),",","")),"")</f>
        <v>1621612.1</v>
      </c>
      <c r="G16" s="19" t="n">
        <f aca="false">IFERROR(VALUE(SUBSTITUTE(TRIM('수출입 실적(성질별_수입)'!E20),",","")),"")</f>
        <v>1756547</v>
      </c>
    </row>
    <row r="17" customFormat="false" ht="15" hidden="false" customHeight="true" outlineLevel="0" collapsed="false">
      <c r="A17" s="11" t="str">
        <f aca="false">TRIM('수출입 실적(성질별_수입)'!A21)</f>
        <v>2024.01</v>
      </c>
      <c r="B17" s="17" t="n">
        <f aca="false">IFERROR(VALUE(LEFT($A17,4)),"")</f>
        <v>2024</v>
      </c>
      <c r="C17" s="17" t="n">
        <f aca="false">IFERROR(VALUE(RIGHT($A17,2)),"")</f>
        <v>1</v>
      </c>
      <c r="D17" s="17" t="n">
        <f aca="false">IFERROR(ROUNDUP($C17/3,0),"")</f>
        <v>1</v>
      </c>
      <c r="E17" s="11" t="str">
        <f aca="false">TRIM('수출입 실적(성질별_수입)'!C21)</f>
        <v>아. 비철금속</v>
      </c>
      <c r="F17" s="18" t="n">
        <f aca="false">IFERROR(VALUE(SUBSTITUTE(TRIM('수출입 실적(성질별_수입)'!D21),",","")),"")</f>
        <v>259608.1</v>
      </c>
      <c r="G17" s="19" t="n">
        <f aca="false">IFERROR(VALUE(SUBSTITUTE(TRIM('수출입 실적(성질별_수입)'!E21),",","")),"")</f>
        <v>1231291</v>
      </c>
    </row>
    <row r="18" customFormat="false" ht="15" hidden="false" customHeight="true" outlineLevel="0" collapsed="false">
      <c r="A18" s="11" t="str">
        <f aca="false">TRIM('수출입 실적(성질별_수입)'!A22)</f>
        <v>2024.01</v>
      </c>
      <c r="B18" s="17" t="n">
        <f aca="false">IFERROR(VALUE(LEFT($A18,4)),"")</f>
        <v>2024</v>
      </c>
      <c r="C18" s="17" t="n">
        <f aca="false">IFERROR(VALUE(RIGHT($A18,2)),"")</f>
        <v>1</v>
      </c>
      <c r="D18" s="17" t="n">
        <f aca="false">IFERROR(ROUNDUP($C18/3,0),"")</f>
        <v>1</v>
      </c>
      <c r="E18" s="11" t="str">
        <f aca="false">TRIM('수출입 실적(성질별_수입)'!C22)</f>
        <v>자. 기 타</v>
      </c>
      <c r="F18" s="18" t="n">
        <f aca="false">IFERROR(VALUE(SUBSTITUTE(TRIM('수출입 실적(성질별_수입)'!D22),",","")),"")</f>
        <v>884265.7</v>
      </c>
      <c r="G18" s="19" t="n">
        <f aca="false">IFERROR(VALUE(SUBSTITUTE(TRIM('수출입 실적(성질별_수입)'!E22),",","")),"")</f>
        <v>1296954</v>
      </c>
    </row>
    <row r="19" customFormat="false" ht="15" hidden="false" customHeight="true" outlineLevel="0" collapsed="false">
      <c r="A19" s="11" t="str">
        <f aca="false">TRIM('수출입 실적(성질별_수입)'!A23)</f>
        <v>2024.01</v>
      </c>
      <c r="B19" s="17" t="n">
        <f aca="false">IFERROR(VALUE(LEFT($A19,4)),"")</f>
        <v>2024</v>
      </c>
      <c r="C19" s="17" t="n">
        <f aca="false">IFERROR(VALUE(RIGHT($A19,2)),"")</f>
        <v>1</v>
      </c>
      <c r="D19" s="17" t="n">
        <f aca="false">IFERROR(ROUNDUP($C19/3,0),"")</f>
        <v>1</v>
      </c>
      <c r="E19" s="11" t="str">
        <f aca="false">TRIM('수출입 실적(성질별_수입)'!C23)</f>
        <v>3. 자본재</v>
      </c>
      <c r="F19" s="18" t="n">
        <f aca="false">IFERROR(VALUE(SUBSTITUTE(TRIM('수출입 실적(성질별_수입)'!D23),",","")),"")</f>
        <v>490255.6</v>
      </c>
      <c r="G19" s="19" t="n">
        <f aca="false">IFERROR(VALUE(SUBSTITUTE(TRIM('수출입 실적(성질별_수입)'!E23),",","")),"")</f>
        <v>17621984</v>
      </c>
    </row>
    <row r="20" customFormat="false" ht="15" hidden="false" customHeight="true" outlineLevel="0" collapsed="false">
      <c r="A20" s="11" t="str">
        <f aca="false">TRIM('수출입 실적(성질별_수입)'!A24)</f>
        <v>2024.01</v>
      </c>
      <c r="B20" s="17" t="n">
        <f aca="false">IFERROR(VALUE(LEFT($A20,4)),"")</f>
        <v>2024</v>
      </c>
      <c r="C20" s="17" t="n">
        <f aca="false">IFERROR(VALUE(RIGHT($A20,2)),"")</f>
        <v>1</v>
      </c>
      <c r="D20" s="17" t="n">
        <f aca="false">IFERROR(ROUNDUP($C20/3,0),"")</f>
        <v>1</v>
      </c>
      <c r="E20" s="11" t="str">
        <f aca="false">TRIM('수출입 실적(성질별_수입)'!C24)</f>
        <v>가. 기계류와 정밀기기</v>
      </c>
      <c r="F20" s="18" t="n">
        <f aca="false">IFERROR(VALUE(SUBSTITUTE(TRIM('수출입 실적(성질별_수입)'!D24),",","")),"")</f>
        <v>191409.5</v>
      </c>
      <c r="G20" s="19" t="n">
        <f aca="false">IFERROR(VALUE(SUBSTITUTE(TRIM('수출입 실적(성질별_수입)'!E24),",","")),"")</f>
        <v>5383081</v>
      </c>
    </row>
    <row r="21" customFormat="false" ht="15" hidden="false" customHeight="true" outlineLevel="0" collapsed="false">
      <c r="A21" s="11" t="str">
        <f aca="false">TRIM('수출입 실적(성질별_수입)'!A25)</f>
        <v>2024.01</v>
      </c>
      <c r="B21" s="17" t="n">
        <f aca="false">IFERROR(VALUE(LEFT($A21,4)),"")</f>
        <v>2024</v>
      </c>
      <c r="C21" s="17" t="n">
        <f aca="false">IFERROR(VALUE(RIGHT($A21,2)),"")</f>
        <v>1</v>
      </c>
      <c r="D21" s="17" t="n">
        <f aca="false">IFERROR(ROUNDUP($C21/3,0),"")</f>
        <v>1</v>
      </c>
      <c r="E21" s="11" t="str">
        <f aca="false">TRIM('수출입 실적(성질별_수입)'!C25)</f>
        <v>나. 전기·전자기기</v>
      </c>
      <c r="F21" s="18" t="n">
        <f aca="false">IFERROR(VALUE(SUBSTITUTE(TRIM('수출입 실적(성질별_수입)'!D25),",","")),"")</f>
        <v>161028.4</v>
      </c>
      <c r="G21" s="19" t="n">
        <f aca="false">IFERROR(VALUE(SUBSTITUTE(TRIM('수출입 실적(성질별_수입)'!E25),",","")),"")</f>
        <v>11111630</v>
      </c>
    </row>
    <row r="22" customFormat="false" ht="15" hidden="false" customHeight="true" outlineLevel="0" collapsed="false">
      <c r="A22" s="11" t="str">
        <f aca="false">TRIM('수출입 실적(성질별_수입)'!A26)</f>
        <v>2024.01</v>
      </c>
      <c r="B22" s="17" t="n">
        <f aca="false">IFERROR(VALUE(LEFT($A22,4)),"")</f>
        <v>2024</v>
      </c>
      <c r="C22" s="17" t="n">
        <f aca="false">IFERROR(VALUE(RIGHT($A22,2)),"")</f>
        <v>1</v>
      </c>
      <c r="D22" s="17" t="n">
        <f aca="false">IFERROR(ROUNDUP($C22/3,0),"")</f>
        <v>1</v>
      </c>
      <c r="E22" s="11" t="str">
        <f aca="false">TRIM('수출입 실적(성질별_수입)'!C26)</f>
        <v>다. 수송장비</v>
      </c>
      <c r="F22" s="18" t="n">
        <f aca="false">IFERROR(VALUE(SUBSTITUTE(TRIM('수출입 실적(성질별_수입)'!D26),",","")),"")</f>
        <v>123770.4</v>
      </c>
      <c r="G22" s="19" t="n">
        <f aca="false">IFERROR(VALUE(SUBSTITUTE(TRIM('수출입 실적(성질별_수입)'!E26),",","")),"")</f>
        <v>932636</v>
      </c>
    </row>
    <row r="23" customFormat="false" ht="15" hidden="false" customHeight="true" outlineLevel="0" collapsed="false">
      <c r="A23" s="11" t="str">
        <f aca="false">TRIM('수출입 실적(성질별_수입)'!A27)</f>
        <v>2024.01</v>
      </c>
      <c r="B23" s="17" t="n">
        <f aca="false">IFERROR(VALUE(LEFT($A23,4)),"")</f>
        <v>2024</v>
      </c>
      <c r="C23" s="17" t="n">
        <f aca="false">IFERROR(VALUE(RIGHT($A23,2)),"")</f>
        <v>1</v>
      </c>
      <c r="D23" s="17" t="n">
        <f aca="false">IFERROR(ROUNDUP($C23/3,0),"")</f>
        <v>1</v>
      </c>
      <c r="E23" s="11" t="str">
        <f aca="false">TRIM('수출입 실적(성질별_수입)'!C27)</f>
        <v>라. 기 타</v>
      </c>
      <c r="F23" s="18" t="n">
        <f aca="false">IFERROR(VALUE(SUBSTITUTE(TRIM('수출입 실적(성질별_수입)'!D27),",","")),"")</f>
        <v>14047.3</v>
      </c>
      <c r="G23" s="19" t="n">
        <f aca="false">IFERROR(VALUE(SUBSTITUTE(TRIM('수출입 실적(성질별_수입)'!E27),",","")),"")</f>
        <v>194637</v>
      </c>
    </row>
    <row r="24" customFormat="false" ht="15" hidden="false" customHeight="true" outlineLevel="0" collapsed="false">
      <c r="A24" s="11" t="str">
        <f aca="false">TRIM('수출입 실적(성질별_수입)'!A28)</f>
        <v>2024.02</v>
      </c>
      <c r="B24" s="17" t="n">
        <f aca="false">IFERROR(VALUE(LEFT($A24,4)),"")</f>
        <v>2024</v>
      </c>
      <c r="C24" s="17" t="n">
        <f aca="false">IFERROR(VALUE(RIGHT($A24,2)),"")</f>
        <v>2</v>
      </c>
      <c r="D24" s="17" t="n">
        <f aca="false">IFERROR(ROUNDUP($C24/3,0),"")</f>
        <v>1</v>
      </c>
      <c r="E24" s="11" t="str">
        <f aca="false">TRIM('수출입 실적(성질별_수입)'!C28)</f>
        <v>1. 소비재</v>
      </c>
      <c r="F24" s="18" t="n">
        <f aca="false">IFERROR(VALUE(SUBSTITUTE(TRIM('수출입 실적(성질별_수입)'!D28),",","")),"")</f>
        <v>3083881</v>
      </c>
      <c r="G24" s="19" t="n">
        <f aca="false">IFERROR(VALUE(SUBSTITUTE(TRIM('수출입 실적(성질별_수입)'!E28),",","")),"")</f>
        <v>7298230</v>
      </c>
    </row>
    <row r="25" customFormat="false" ht="15" hidden="false" customHeight="true" outlineLevel="0" collapsed="false">
      <c r="A25" s="11" t="str">
        <f aca="false">TRIM('수출입 실적(성질별_수입)'!A29)</f>
        <v>2024.02</v>
      </c>
      <c r="B25" s="17" t="n">
        <f aca="false">IFERROR(VALUE(LEFT($A25,4)),"")</f>
        <v>2024</v>
      </c>
      <c r="C25" s="17" t="n">
        <f aca="false">IFERROR(VALUE(RIGHT($A25,2)),"")</f>
        <v>2</v>
      </c>
      <c r="D25" s="17" t="n">
        <f aca="false">IFERROR(ROUNDUP($C25/3,0),"")</f>
        <v>1</v>
      </c>
      <c r="E25" s="11" t="str">
        <f aca="false">TRIM('수출입 실적(성질별_수입)'!C29)</f>
        <v>가. 곡물</v>
      </c>
      <c r="F25" s="18" t="n">
        <f aca="false">IFERROR(VALUE(SUBSTITUTE(TRIM('수출입 실적(성질별_수입)'!D29),",","")),"")</f>
        <v>2134701.6</v>
      </c>
      <c r="G25" s="19" t="n">
        <f aca="false">IFERROR(VALUE(SUBSTITUTE(TRIM('수출입 실적(성질별_수입)'!E29),",","")),"")</f>
        <v>682289</v>
      </c>
    </row>
    <row r="26" customFormat="false" ht="15" hidden="false" customHeight="true" outlineLevel="0" collapsed="false">
      <c r="A26" s="11" t="str">
        <f aca="false">TRIM('수출입 실적(성질별_수입)'!A30)</f>
        <v>2024.02</v>
      </c>
      <c r="B26" s="17" t="n">
        <f aca="false">IFERROR(VALUE(LEFT($A26,4)),"")</f>
        <v>2024</v>
      </c>
      <c r="C26" s="17" t="n">
        <f aca="false">IFERROR(VALUE(RIGHT($A26,2)),"")</f>
        <v>2</v>
      </c>
      <c r="D26" s="17" t="n">
        <f aca="false">IFERROR(ROUNDUP($C26/3,0),"")</f>
        <v>1</v>
      </c>
      <c r="E26" s="11" t="str">
        <f aca="false">TRIM('수출입 실적(성질별_수입)'!C30)</f>
        <v>나. 직접소비재</v>
      </c>
      <c r="F26" s="18" t="n">
        <f aca="false">IFERROR(VALUE(SUBSTITUTE(TRIM('수출입 실적(성질별_수입)'!D30),",","")),"")</f>
        <v>636493.5</v>
      </c>
      <c r="G26" s="19" t="n">
        <f aca="false">IFERROR(VALUE(SUBSTITUTE(TRIM('수출입 실적(성질별_수입)'!E30),",","")),"")</f>
        <v>1955487</v>
      </c>
    </row>
    <row r="27" customFormat="false" ht="15" hidden="false" customHeight="true" outlineLevel="0" collapsed="false">
      <c r="A27" s="11" t="str">
        <f aca="false">TRIM('수출입 실적(성질별_수입)'!A31)</f>
        <v>2024.02</v>
      </c>
      <c r="B27" s="17" t="n">
        <f aca="false">IFERROR(VALUE(LEFT($A27,4)),"")</f>
        <v>2024</v>
      </c>
      <c r="C27" s="17" t="n">
        <f aca="false">IFERROR(VALUE(RIGHT($A27,2)),"")</f>
        <v>2</v>
      </c>
      <c r="D27" s="17" t="n">
        <f aca="false">IFERROR(ROUNDUP($C27/3,0),"")</f>
        <v>1</v>
      </c>
      <c r="E27" s="11" t="str">
        <f aca="false">TRIM('수출입 실적(성질별_수입)'!C31)</f>
        <v>다. 내구소비재</v>
      </c>
      <c r="F27" s="18" t="n">
        <f aca="false">IFERROR(VALUE(SUBSTITUTE(TRIM('수출입 실적(성질별_수입)'!D31),",","")),"")</f>
        <v>218366.3</v>
      </c>
      <c r="G27" s="19" t="n">
        <f aca="false">IFERROR(VALUE(SUBSTITUTE(TRIM('수출입 실적(성질별_수입)'!E31),",","")),"")</f>
        <v>2855422</v>
      </c>
    </row>
    <row r="28" customFormat="false" ht="15" hidden="false" customHeight="true" outlineLevel="0" collapsed="false">
      <c r="A28" s="11" t="str">
        <f aca="false">TRIM('수출입 실적(성질별_수입)'!A32)</f>
        <v>2024.02</v>
      </c>
      <c r="B28" s="17" t="n">
        <f aca="false">IFERROR(VALUE(LEFT($A28,4)),"")</f>
        <v>2024</v>
      </c>
      <c r="C28" s="17" t="n">
        <f aca="false">IFERROR(VALUE(RIGHT($A28,2)),"")</f>
        <v>2</v>
      </c>
      <c r="D28" s="17" t="n">
        <f aca="false">IFERROR(ROUNDUP($C28/3,0),"")</f>
        <v>1</v>
      </c>
      <c r="E28" s="11" t="str">
        <f aca="false">TRIM('수출입 실적(성질별_수입)'!C32)</f>
        <v>라. 비내구 소비재</v>
      </c>
      <c r="F28" s="18" t="n">
        <f aca="false">IFERROR(VALUE(SUBSTITUTE(TRIM('수출입 실적(성질별_수입)'!D32),",","")),"")</f>
        <v>94310.5</v>
      </c>
      <c r="G28" s="19" t="n">
        <f aca="false">IFERROR(VALUE(SUBSTITUTE(TRIM('수출입 실적(성질별_수입)'!E32),",","")),"")</f>
        <v>1805032</v>
      </c>
    </row>
    <row r="29" customFormat="false" ht="15" hidden="false" customHeight="true" outlineLevel="0" collapsed="false">
      <c r="A29" s="11" t="str">
        <f aca="false">TRIM('수출입 실적(성질별_수입)'!A33)</f>
        <v>2024.02</v>
      </c>
      <c r="B29" s="17" t="n">
        <f aca="false">IFERROR(VALUE(LEFT($A29,4)),"")</f>
        <v>2024</v>
      </c>
      <c r="C29" s="17" t="n">
        <f aca="false">IFERROR(VALUE(RIGHT($A29,2)),"")</f>
        <v>2</v>
      </c>
      <c r="D29" s="17" t="n">
        <f aca="false">IFERROR(ROUNDUP($C29/3,0),"")</f>
        <v>1</v>
      </c>
      <c r="E29" s="11" t="str">
        <f aca="false">TRIM('수출입 실적(성질별_수입)'!C33)</f>
        <v>마. 간이세율 적용분</v>
      </c>
      <c r="F29" s="18" t="n">
        <f aca="false">IFERROR(VALUE(SUBSTITUTE(TRIM('수출입 실적(성질별_수입)'!D33),",","")),"")</f>
        <v>9</v>
      </c>
      <c r="G29" s="19" t="n">
        <f aca="false">IFERROR(VALUE(SUBSTITUTE(TRIM('수출입 실적(성질별_수입)'!E33),",","")),"")</f>
        <v>0</v>
      </c>
    </row>
    <row r="30" customFormat="false" ht="15" hidden="false" customHeight="true" outlineLevel="0" collapsed="false">
      <c r="A30" s="11" t="str">
        <f aca="false">TRIM('수출입 실적(성질별_수입)'!A34)</f>
        <v>2024.02</v>
      </c>
      <c r="B30" s="17" t="n">
        <f aca="false">IFERROR(VALUE(LEFT($A30,4)),"")</f>
        <v>2024</v>
      </c>
      <c r="C30" s="17" t="n">
        <f aca="false">IFERROR(VALUE(RIGHT($A30,2)),"")</f>
        <v>2</v>
      </c>
      <c r="D30" s="17" t="n">
        <f aca="false">IFERROR(ROUNDUP($C30/3,0),"")</f>
        <v>1</v>
      </c>
      <c r="E30" s="11" t="str">
        <f aca="false">TRIM('수출입 실적(성질별_수입)'!C34)</f>
        <v>2. 원자재</v>
      </c>
      <c r="F30" s="18" t="n">
        <f aca="false">IFERROR(VALUE(SUBSTITUTE(TRIM('수출입 실적(성질별_수입)'!D34),",","")),"")</f>
        <v>42091262.4</v>
      </c>
      <c r="G30" s="19" t="n">
        <f aca="false">IFERROR(VALUE(SUBSTITUTE(TRIM('수출입 실적(성질별_수입)'!E34),",","")),"")</f>
        <v>24864662</v>
      </c>
    </row>
    <row r="31" customFormat="false" ht="15" hidden="false" customHeight="true" outlineLevel="0" collapsed="false">
      <c r="A31" s="11" t="str">
        <f aca="false">TRIM('수출입 실적(성질별_수입)'!A35)</f>
        <v>2024.02</v>
      </c>
      <c r="B31" s="17" t="n">
        <f aca="false">IFERROR(VALUE(LEFT($A31,4)),"")</f>
        <v>2024</v>
      </c>
      <c r="C31" s="17" t="n">
        <f aca="false">IFERROR(VALUE(RIGHT($A31,2)),"")</f>
        <v>2</v>
      </c>
      <c r="D31" s="17" t="n">
        <f aca="false">IFERROR(ROUNDUP($C31/3,0),"")</f>
        <v>1</v>
      </c>
      <c r="E31" s="11" t="str">
        <f aca="false">TRIM('수출입 실적(성질별_수입)'!C35)</f>
        <v>가. 연 료</v>
      </c>
      <c r="F31" s="18" t="n">
        <f aca="false">IFERROR(VALUE(SUBSTITUTE(TRIM('수출입 실적(성질별_수입)'!D35),",","")),"")</f>
        <v>29849771.9</v>
      </c>
      <c r="G31" s="19" t="n">
        <f aca="false">IFERROR(VALUE(SUBSTITUTE(TRIM('수출입 실적(성질별_수입)'!E35),",","")),"")</f>
        <v>13878524</v>
      </c>
    </row>
    <row r="32" customFormat="false" ht="15" hidden="false" customHeight="true" outlineLevel="0" collapsed="false">
      <c r="A32" s="11" t="str">
        <f aca="false">TRIM('수출입 실적(성질별_수입)'!A36)</f>
        <v>2024.02</v>
      </c>
      <c r="B32" s="17" t="n">
        <f aca="false">IFERROR(VALUE(LEFT($A32,4)),"")</f>
        <v>2024</v>
      </c>
      <c r="C32" s="17" t="n">
        <f aca="false">IFERROR(VALUE(RIGHT($A32,2)),"")</f>
        <v>2</v>
      </c>
      <c r="D32" s="17" t="n">
        <f aca="false">IFERROR(ROUNDUP($C32/3,0),"")</f>
        <v>1</v>
      </c>
      <c r="E32" s="11" t="str">
        <f aca="false">TRIM('수출입 실적(성질별_수입)'!C36)</f>
        <v>나. 광 물</v>
      </c>
      <c r="F32" s="18" t="n">
        <f aca="false">IFERROR(VALUE(SUBSTITUTE(TRIM('수출입 실적(성질별_수입)'!D36),",","")),"")</f>
        <v>6998061.4</v>
      </c>
      <c r="G32" s="19" t="n">
        <f aca="false">IFERROR(VALUE(SUBSTITUTE(TRIM('수출입 실적(성질별_수입)'!E36),",","")),"")</f>
        <v>2000434</v>
      </c>
    </row>
    <row r="33" customFormat="false" ht="15" hidden="false" customHeight="true" outlineLevel="0" collapsed="false">
      <c r="A33" s="11" t="str">
        <f aca="false">TRIM('수출입 실적(성질별_수입)'!A37)</f>
        <v>2024.02</v>
      </c>
      <c r="B33" s="17" t="n">
        <f aca="false">IFERROR(VALUE(LEFT($A33,4)),"")</f>
        <v>2024</v>
      </c>
      <c r="C33" s="17" t="n">
        <f aca="false">IFERROR(VALUE(RIGHT($A33,2)),"")</f>
        <v>2</v>
      </c>
      <c r="D33" s="17" t="n">
        <f aca="false">IFERROR(ROUNDUP($C33/3,0),"")</f>
        <v>1</v>
      </c>
      <c r="E33" s="11" t="str">
        <f aca="false">TRIM('수출입 실적(성질별_수입)'!C37)</f>
        <v>다. 경공업 원료</v>
      </c>
      <c r="F33" s="18" t="n">
        <f aca="false">IFERROR(VALUE(SUBSTITUTE(TRIM('수출입 실적(성질별_수입)'!D37),",","")),"")</f>
        <v>1134154.5</v>
      </c>
      <c r="G33" s="19" t="n">
        <f aca="false">IFERROR(VALUE(SUBSTITUTE(TRIM('수출입 실적(성질별_수입)'!E37),",","")),"")</f>
        <v>552849</v>
      </c>
    </row>
    <row r="34" customFormat="false" ht="15" hidden="false" customHeight="true" outlineLevel="0" collapsed="false">
      <c r="A34" s="11" t="str">
        <f aca="false">TRIM('수출입 실적(성질별_수입)'!A38)</f>
        <v>2024.02</v>
      </c>
      <c r="B34" s="17" t="n">
        <f aca="false">IFERROR(VALUE(LEFT($A34,4)),"")</f>
        <v>2024</v>
      </c>
      <c r="C34" s="17" t="n">
        <f aca="false">IFERROR(VALUE(RIGHT($A34,2)),"")</f>
        <v>2</v>
      </c>
      <c r="D34" s="17" t="n">
        <f aca="false">IFERROR(ROUNDUP($C34/3,0),"")</f>
        <v>1</v>
      </c>
      <c r="E34" s="11" t="str">
        <f aca="false">TRIM('수출입 실적(성질별_수입)'!C38)</f>
        <v>라. 유 지</v>
      </c>
      <c r="F34" s="18" t="n">
        <f aca="false">IFERROR(VALUE(SUBSTITUTE(TRIM('수출입 실적(성질별_수입)'!D38),",","")),"")</f>
        <v>125921.2</v>
      </c>
      <c r="G34" s="19" t="n">
        <f aca="false">IFERROR(VALUE(SUBSTITUTE(TRIM('수출입 실적(성질별_수입)'!E38),",","")),"")</f>
        <v>138879</v>
      </c>
    </row>
    <row r="35" customFormat="false" ht="15" hidden="false" customHeight="true" outlineLevel="0" collapsed="false">
      <c r="A35" s="11" t="str">
        <f aca="false">TRIM('수출입 실적(성질별_수입)'!A39)</f>
        <v>2024.02</v>
      </c>
      <c r="B35" s="17" t="n">
        <f aca="false">IFERROR(VALUE(LEFT($A35,4)),"")</f>
        <v>2024</v>
      </c>
      <c r="C35" s="17" t="n">
        <f aca="false">IFERROR(VALUE(RIGHT($A35,2)),"")</f>
        <v>2</v>
      </c>
      <c r="D35" s="17" t="n">
        <f aca="false">IFERROR(ROUNDUP($C35/3,0),"")</f>
        <v>1</v>
      </c>
      <c r="E35" s="11" t="str">
        <f aca="false">TRIM('수출입 실적(성질별_수입)'!C39)</f>
        <v>마. 섬유류</v>
      </c>
      <c r="F35" s="18" t="n">
        <f aca="false">IFERROR(VALUE(SUBSTITUTE(TRIM('수출입 실적(성질별_수입)'!D39),",","")),"")</f>
        <v>84082.5</v>
      </c>
      <c r="G35" s="19" t="n">
        <f aca="false">IFERROR(VALUE(SUBSTITUTE(TRIM('수출입 실적(성질별_수입)'!E39),",","")),"")</f>
        <v>264024</v>
      </c>
    </row>
    <row r="36" customFormat="false" ht="15" hidden="false" customHeight="true" outlineLevel="0" collapsed="false">
      <c r="A36" s="11" t="str">
        <f aca="false">TRIM('수출입 실적(성질별_수입)'!A40)</f>
        <v>2024.02</v>
      </c>
      <c r="B36" s="17" t="n">
        <f aca="false">IFERROR(VALUE(LEFT($A36,4)),"")</f>
        <v>2024</v>
      </c>
      <c r="C36" s="17" t="n">
        <f aca="false">IFERROR(VALUE(RIGHT($A36,2)),"")</f>
        <v>2</v>
      </c>
      <c r="D36" s="17" t="n">
        <f aca="false">IFERROR(ROUNDUP($C36/3,0),"")</f>
        <v>1</v>
      </c>
      <c r="E36" s="11" t="str">
        <f aca="false">TRIM('수출입 실적(성질별_수입)'!C40)</f>
        <v>바. 화공품</v>
      </c>
      <c r="F36" s="18" t="n">
        <f aca="false">IFERROR(VALUE(SUBSTITUTE(TRIM('수출입 실적(성질별_수입)'!D40),",","")),"")</f>
        <v>1509339</v>
      </c>
      <c r="G36" s="19" t="n">
        <f aca="false">IFERROR(VALUE(SUBSTITUTE(TRIM('수출입 실적(성질별_수입)'!E40),",","")),"")</f>
        <v>4264103</v>
      </c>
    </row>
    <row r="37" customFormat="false" ht="15" hidden="false" customHeight="true" outlineLevel="0" collapsed="false">
      <c r="A37" s="11" t="str">
        <f aca="false">TRIM('수출입 실적(성질별_수입)'!A41)</f>
        <v>2024.02</v>
      </c>
      <c r="B37" s="17" t="n">
        <f aca="false">IFERROR(VALUE(LEFT($A37,4)),"")</f>
        <v>2024</v>
      </c>
      <c r="C37" s="17" t="n">
        <f aca="false">IFERROR(VALUE(RIGHT($A37,2)),"")</f>
        <v>2</v>
      </c>
      <c r="D37" s="17" t="n">
        <f aca="false">IFERROR(ROUNDUP($C37/3,0),"")</f>
        <v>1</v>
      </c>
      <c r="E37" s="11" t="str">
        <f aca="false">TRIM('수출입 실적(성질별_수입)'!C41)</f>
        <v>사. 철강재</v>
      </c>
      <c r="F37" s="18" t="n">
        <f aca="false">IFERROR(VALUE(SUBSTITUTE(TRIM('수출입 실적(성질별_수입)'!D41),",","")),"")</f>
        <v>1508383.4</v>
      </c>
      <c r="G37" s="19" t="n">
        <f aca="false">IFERROR(VALUE(SUBSTITUTE(TRIM('수출입 실적(성질별_수입)'!E41),",","")),"")</f>
        <v>1604529</v>
      </c>
    </row>
    <row r="38" customFormat="false" ht="15" hidden="false" customHeight="true" outlineLevel="0" collapsed="false">
      <c r="A38" s="11" t="str">
        <f aca="false">TRIM('수출입 실적(성질별_수입)'!A42)</f>
        <v>2024.02</v>
      </c>
      <c r="B38" s="17" t="n">
        <f aca="false">IFERROR(VALUE(LEFT($A38,4)),"")</f>
        <v>2024</v>
      </c>
      <c r="C38" s="17" t="n">
        <f aca="false">IFERROR(VALUE(RIGHT($A38,2)),"")</f>
        <v>2</v>
      </c>
      <c r="D38" s="17" t="n">
        <f aca="false">IFERROR(ROUNDUP($C38/3,0),"")</f>
        <v>1</v>
      </c>
      <c r="E38" s="11" t="str">
        <f aca="false">TRIM('수출입 실적(성질별_수입)'!C42)</f>
        <v>아. 비철금속</v>
      </c>
      <c r="F38" s="18" t="n">
        <f aca="false">IFERROR(VALUE(SUBSTITUTE(TRIM('수출입 실적(성질별_수입)'!D42),",","")),"")</f>
        <v>231999.3</v>
      </c>
      <c r="G38" s="19" t="n">
        <f aca="false">IFERROR(VALUE(SUBSTITUTE(TRIM('수출입 실적(성질별_수입)'!E42),",","")),"")</f>
        <v>1136337</v>
      </c>
    </row>
    <row r="39" customFormat="false" ht="15" hidden="false" customHeight="true" outlineLevel="0" collapsed="false">
      <c r="A39" s="11" t="str">
        <f aca="false">TRIM('수출입 실적(성질별_수입)'!A43)</f>
        <v>2024.02</v>
      </c>
      <c r="B39" s="17" t="n">
        <f aca="false">IFERROR(VALUE(LEFT($A39,4)),"")</f>
        <v>2024</v>
      </c>
      <c r="C39" s="17" t="n">
        <f aca="false">IFERROR(VALUE(RIGHT($A39,2)),"")</f>
        <v>2</v>
      </c>
      <c r="D39" s="17" t="n">
        <f aca="false">IFERROR(ROUNDUP($C39/3,0),"")</f>
        <v>1</v>
      </c>
      <c r="E39" s="11" t="str">
        <f aca="false">TRIM('수출입 실적(성질별_수입)'!C43)</f>
        <v>자. 기 타</v>
      </c>
      <c r="F39" s="18" t="n">
        <f aca="false">IFERROR(VALUE(SUBSTITUTE(TRIM('수출입 실적(성질별_수입)'!D43),",","")),"")</f>
        <v>649549.2</v>
      </c>
      <c r="G39" s="19" t="n">
        <f aca="false">IFERROR(VALUE(SUBSTITUTE(TRIM('수출입 실적(성질별_수입)'!E43),",","")),"")</f>
        <v>1024983</v>
      </c>
    </row>
    <row r="40" customFormat="false" ht="15" hidden="false" customHeight="true" outlineLevel="0" collapsed="false">
      <c r="A40" s="11" t="str">
        <f aca="false">TRIM('수출입 실적(성질별_수입)'!A44)</f>
        <v>2024.02</v>
      </c>
      <c r="B40" s="17" t="n">
        <f aca="false">IFERROR(VALUE(LEFT($A40,4)),"")</f>
        <v>2024</v>
      </c>
      <c r="C40" s="17" t="n">
        <f aca="false">IFERROR(VALUE(RIGHT($A40,2)),"")</f>
        <v>2</v>
      </c>
      <c r="D40" s="17" t="n">
        <f aca="false">IFERROR(ROUNDUP($C40/3,0),"")</f>
        <v>1</v>
      </c>
      <c r="E40" s="11" t="str">
        <f aca="false">TRIM('수출입 실적(성질별_수입)'!C44)</f>
        <v>3. 자본재</v>
      </c>
      <c r="F40" s="18" t="n">
        <f aca="false">IFERROR(VALUE(SUBSTITUTE(TRIM('수출입 실적(성질별_수입)'!D44),",","")),"")</f>
        <v>514740.5</v>
      </c>
      <c r="G40" s="19" t="n">
        <f aca="false">IFERROR(VALUE(SUBSTITUTE(TRIM('수출입 실적(성질별_수입)'!E44),",","")),"")</f>
        <v>16058968</v>
      </c>
    </row>
    <row r="41" customFormat="false" ht="15" hidden="false" customHeight="true" outlineLevel="0" collapsed="false">
      <c r="A41" s="11" t="str">
        <f aca="false">TRIM('수출입 실적(성질별_수입)'!A45)</f>
        <v>2024.02</v>
      </c>
      <c r="B41" s="17" t="n">
        <f aca="false">IFERROR(VALUE(LEFT($A41,4)),"")</f>
        <v>2024</v>
      </c>
      <c r="C41" s="17" t="n">
        <f aca="false">IFERROR(VALUE(RIGHT($A41,2)),"")</f>
        <v>2</v>
      </c>
      <c r="D41" s="17" t="n">
        <f aca="false">IFERROR(ROUNDUP($C41/3,0),"")</f>
        <v>1</v>
      </c>
      <c r="E41" s="11" t="str">
        <f aca="false">TRIM('수출입 실적(성질별_수입)'!C45)</f>
        <v>가. 기계류와 정밀기기</v>
      </c>
      <c r="F41" s="18" t="n">
        <f aca="false">IFERROR(VALUE(SUBSTITUTE(TRIM('수출입 실적(성질별_수입)'!D45),",","")),"")</f>
        <v>154273.1</v>
      </c>
      <c r="G41" s="19" t="n">
        <f aca="false">IFERROR(VALUE(SUBSTITUTE(TRIM('수출입 실적(성질별_수입)'!E45),",","")),"")</f>
        <v>5008836</v>
      </c>
    </row>
    <row r="42" customFormat="false" ht="15" hidden="false" customHeight="true" outlineLevel="0" collapsed="false">
      <c r="A42" s="11" t="str">
        <f aca="false">TRIM('수출입 실적(성질별_수입)'!A46)</f>
        <v>2024.02</v>
      </c>
      <c r="B42" s="17" t="n">
        <f aca="false">IFERROR(VALUE(LEFT($A42,4)),"")</f>
        <v>2024</v>
      </c>
      <c r="C42" s="17" t="n">
        <f aca="false">IFERROR(VALUE(RIGHT($A42,2)),"")</f>
        <v>2</v>
      </c>
      <c r="D42" s="17" t="n">
        <f aca="false">IFERROR(ROUNDUP($C42/3,0),"")</f>
        <v>1</v>
      </c>
      <c r="E42" s="11" t="str">
        <f aca="false">TRIM('수출입 실적(성질별_수입)'!C46)</f>
        <v>나. 전기·전자기기</v>
      </c>
      <c r="F42" s="18" t="n">
        <f aca="false">IFERROR(VALUE(SUBSTITUTE(TRIM('수출입 실적(성질별_수입)'!D46),",","")),"")</f>
        <v>134883.8</v>
      </c>
      <c r="G42" s="19" t="n">
        <f aca="false">IFERROR(VALUE(SUBSTITUTE(TRIM('수출입 실적(성질별_수입)'!E46),",","")),"")</f>
        <v>9743606</v>
      </c>
    </row>
    <row r="43" customFormat="false" ht="15" hidden="false" customHeight="true" outlineLevel="0" collapsed="false">
      <c r="A43" s="11" t="str">
        <f aca="false">TRIM('수출입 실적(성질별_수입)'!A47)</f>
        <v>2024.02</v>
      </c>
      <c r="B43" s="17" t="n">
        <f aca="false">IFERROR(VALUE(LEFT($A43,4)),"")</f>
        <v>2024</v>
      </c>
      <c r="C43" s="17" t="n">
        <f aca="false">IFERROR(VALUE(RIGHT($A43,2)),"")</f>
        <v>2</v>
      </c>
      <c r="D43" s="17" t="n">
        <f aca="false">IFERROR(ROUNDUP($C43/3,0),"")</f>
        <v>1</v>
      </c>
      <c r="E43" s="11" t="str">
        <f aca="false">TRIM('수출입 실적(성질별_수입)'!C47)</f>
        <v>다. 수송장비</v>
      </c>
      <c r="F43" s="18" t="n">
        <f aca="false">IFERROR(VALUE(SUBSTITUTE(TRIM('수출입 실적(성질별_수입)'!D47),",","")),"")</f>
        <v>213788.5</v>
      </c>
      <c r="G43" s="19" t="n">
        <f aca="false">IFERROR(VALUE(SUBSTITUTE(TRIM('수출입 실적(성질별_수입)'!E47),",","")),"")</f>
        <v>1126039</v>
      </c>
    </row>
    <row r="44" customFormat="false" ht="15" hidden="false" customHeight="true" outlineLevel="0" collapsed="false">
      <c r="A44" s="11" t="str">
        <f aca="false">TRIM('수출입 실적(성질별_수입)'!A48)</f>
        <v>2024.02</v>
      </c>
      <c r="B44" s="17" t="n">
        <f aca="false">IFERROR(VALUE(LEFT($A44,4)),"")</f>
        <v>2024</v>
      </c>
      <c r="C44" s="17" t="n">
        <f aca="false">IFERROR(VALUE(RIGHT($A44,2)),"")</f>
        <v>2</v>
      </c>
      <c r="D44" s="17" t="n">
        <f aca="false">IFERROR(ROUNDUP($C44/3,0),"")</f>
        <v>1</v>
      </c>
      <c r="E44" s="11" t="str">
        <f aca="false">TRIM('수출입 실적(성질별_수입)'!C48)</f>
        <v>라. 기 타</v>
      </c>
      <c r="F44" s="18" t="n">
        <f aca="false">IFERROR(VALUE(SUBSTITUTE(TRIM('수출입 실적(성질별_수입)'!D48),",","")),"")</f>
        <v>11795.1</v>
      </c>
      <c r="G44" s="19" t="n">
        <f aca="false">IFERROR(VALUE(SUBSTITUTE(TRIM('수출입 실적(성질별_수입)'!E48),",","")),"")</f>
        <v>180487</v>
      </c>
    </row>
    <row r="45" customFormat="false" ht="15" hidden="false" customHeight="true" outlineLevel="0" collapsed="false">
      <c r="A45" s="11" t="str">
        <f aca="false">TRIM('수출입 실적(성질별_수입)'!A49)</f>
        <v>2024.03</v>
      </c>
      <c r="B45" s="17" t="n">
        <f aca="false">IFERROR(VALUE(LEFT($A45,4)),"")</f>
        <v>2024</v>
      </c>
      <c r="C45" s="17" t="n">
        <f aca="false">IFERROR(VALUE(RIGHT($A45,2)),"")</f>
        <v>3</v>
      </c>
      <c r="D45" s="17" t="n">
        <f aca="false">IFERROR(ROUNDUP($C45/3,0),"")</f>
        <v>1</v>
      </c>
      <c r="E45" s="11" t="str">
        <f aca="false">TRIM('수출입 실적(성질별_수입)'!C49)</f>
        <v>1. 소비재</v>
      </c>
      <c r="F45" s="18" t="n">
        <f aca="false">IFERROR(VALUE(SUBSTITUTE(TRIM('수출입 실적(성질별_수입)'!D49),",","")),"")</f>
        <v>3166991.4</v>
      </c>
      <c r="G45" s="19" t="n">
        <f aca="false">IFERROR(VALUE(SUBSTITUTE(TRIM('수출입 실적(성질별_수입)'!E49),",","")),"")</f>
        <v>8439273</v>
      </c>
    </row>
    <row r="46" customFormat="false" ht="15" hidden="false" customHeight="true" outlineLevel="0" collapsed="false">
      <c r="A46" s="11" t="str">
        <f aca="false">TRIM('수출입 실적(성질별_수입)'!A50)</f>
        <v>2024.03</v>
      </c>
      <c r="B46" s="17" t="n">
        <f aca="false">IFERROR(VALUE(LEFT($A46,4)),"")</f>
        <v>2024</v>
      </c>
      <c r="C46" s="17" t="n">
        <f aca="false">IFERROR(VALUE(RIGHT($A46,2)),"")</f>
        <v>3</v>
      </c>
      <c r="D46" s="17" t="n">
        <f aca="false">IFERROR(ROUNDUP($C46/3,0),"")</f>
        <v>1</v>
      </c>
      <c r="E46" s="11" t="str">
        <f aca="false">TRIM('수출입 실적(성질별_수입)'!C50)</f>
        <v>가. 곡물</v>
      </c>
      <c r="F46" s="18" t="n">
        <f aca="false">IFERROR(VALUE(SUBSTITUTE(TRIM('수출입 실적(성질별_수입)'!D50),",","")),"")</f>
        <v>2001292.1</v>
      </c>
      <c r="G46" s="19" t="n">
        <f aca="false">IFERROR(VALUE(SUBSTITUTE(TRIM('수출입 실적(성질별_수입)'!E50),",","")),"")</f>
        <v>716422</v>
      </c>
    </row>
    <row r="47" customFormat="false" ht="15" hidden="false" customHeight="true" outlineLevel="0" collapsed="false">
      <c r="A47" s="11" t="str">
        <f aca="false">TRIM('수출입 실적(성질별_수입)'!A51)</f>
        <v>2024.03</v>
      </c>
      <c r="B47" s="17" t="n">
        <f aca="false">IFERROR(VALUE(LEFT($A47,4)),"")</f>
        <v>2024</v>
      </c>
      <c r="C47" s="17" t="n">
        <f aca="false">IFERROR(VALUE(RIGHT($A47,2)),"")</f>
        <v>3</v>
      </c>
      <c r="D47" s="17" t="n">
        <f aca="false">IFERROR(ROUNDUP($C47/3,0),"")</f>
        <v>1</v>
      </c>
      <c r="E47" s="11" t="str">
        <f aca="false">TRIM('수출입 실적(성질별_수입)'!C51)</f>
        <v>나. 직접소비재</v>
      </c>
      <c r="F47" s="18" t="n">
        <f aca="false">IFERROR(VALUE(SUBSTITUTE(TRIM('수출입 실적(성질별_수입)'!D51),",","")),"")</f>
        <v>820380.4</v>
      </c>
      <c r="G47" s="19" t="n">
        <f aca="false">IFERROR(VALUE(SUBSTITUTE(TRIM('수출입 실적(성질별_수입)'!E51),",","")),"")</f>
        <v>2397087</v>
      </c>
    </row>
    <row r="48" customFormat="false" ht="15" hidden="false" customHeight="true" outlineLevel="0" collapsed="false">
      <c r="A48" s="11" t="str">
        <f aca="false">TRIM('수출입 실적(성질별_수입)'!A52)</f>
        <v>2024.03</v>
      </c>
      <c r="B48" s="17" t="n">
        <f aca="false">IFERROR(VALUE(LEFT($A48,4)),"")</f>
        <v>2024</v>
      </c>
      <c r="C48" s="17" t="n">
        <f aca="false">IFERROR(VALUE(RIGHT($A48,2)),"")</f>
        <v>3</v>
      </c>
      <c r="D48" s="17" t="n">
        <f aca="false">IFERROR(ROUNDUP($C48/3,0),"")</f>
        <v>1</v>
      </c>
      <c r="E48" s="11" t="str">
        <f aca="false">TRIM('수출입 실적(성질별_수입)'!C52)</f>
        <v>다. 내구소비재</v>
      </c>
      <c r="F48" s="18" t="n">
        <f aca="false">IFERROR(VALUE(SUBSTITUTE(TRIM('수출입 실적(성질별_수입)'!D52),",","")),"")</f>
        <v>229560.1</v>
      </c>
      <c r="G48" s="19" t="n">
        <f aca="false">IFERROR(VALUE(SUBSTITUTE(TRIM('수출입 실적(성질별_수입)'!E52),",","")),"")</f>
        <v>3282106</v>
      </c>
    </row>
    <row r="49" customFormat="false" ht="15" hidden="false" customHeight="true" outlineLevel="0" collapsed="false">
      <c r="A49" s="11" t="str">
        <f aca="false">TRIM('수출입 실적(성질별_수입)'!A53)</f>
        <v>2024.03</v>
      </c>
      <c r="B49" s="17" t="n">
        <f aca="false">IFERROR(VALUE(LEFT($A49,4)),"")</f>
        <v>2024</v>
      </c>
      <c r="C49" s="17" t="n">
        <f aca="false">IFERROR(VALUE(RIGHT($A49,2)),"")</f>
        <v>3</v>
      </c>
      <c r="D49" s="17" t="n">
        <f aca="false">IFERROR(ROUNDUP($C49/3,0),"")</f>
        <v>1</v>
      </c>
      <c r="E49" s="11" t="str">
        <f aca="false">TRIM('수출입 실적(성질별_수입)'!C53)</f>
        <v>라. 비내구 소비재</v>
      </c>
      <c r="F49" s="18" t="n">
        <f aca="false">IFERROR(VALUE(SUBSTITUTE(TRIM('수출입 실적(성질별_수입)'!D53),",","")),"")</f>
        <v>115758.8</v>
      </c>
      <c r="G49" s="19" t="n">
        <f aca="false">IFERROR(VALUE(SUBSTITUTE(TRIM('수출입 실적(성질별_수입)'!E53),",","")),"")</f>
        <v>2043657</v>
      </c>
    </row>
    <row r="50" customFormat="false" ht="15" hidden="false" customHeight="true" outlineLevel="0" collapsed="false">
      <c r="A50" s="11" t="str">
        <f aca="false">TRIM('수출입 실적(성질별_수입)'!A54)</f>
        <v>2024.03</v>
      </c>
      <c r="B50" s="17" t="n">
        <f aca="false">IFERROR(VALUE(LEFT($A50,4)),"")</f>
        <v>2024</v>
      </c>
      <c r="C50" s="17" t="n">
        <f aca="false">IFERROR(VALUE(RIGHT($A50,2)),"")</f>
        <v>3</v>
      </c>
      <c r="D50" s="17" t="n">
        <f aca="false">IFERROR(ROUNDUP($C50/3,0),"")</f>
        <v>1</v>
      </c>
      <c r="E50" s="11" t="str">
        <f aca="false">TRIM('수출입 실적(성질별_수입)'!C54)</f>
        <v>2. 원자재</v>
      </c>
      <c r="F50" s="18" t="n">
        <f aca="false">IFERROR(VALUE(SUBSTITUTE(TRIM('수출입 실적(성질별_수입)'!D54),",","")),"")</f>
        <v>40158097</v>
      </c>
      <c r="G50" s="19" t="n">
        <f aca="false">IFERROR(VALUE(SUBSTITUTE(TRIM('수출입 실적(성질별_수입)'!E54),",","")),"")</f>
        <v>25792586</v>
      </c>
    </row>
    <row r="51" customFormat="false" ht="15" hidden="false" customHeight="true" outlineLevel="0" collapsed="false">
      <c r="A51" s="11" t="str">
        <f aca="false">TRIM('수출입 실적(성질별_수입)'!A55)</f>
        <v>2024.03</v>
      </c>
      <c r="B51" s="17" t="n">
        <f aca="false">IFERROR(VALUE(LEFT($A51,4)),"")</f>
        <v>2024</v>
      </c>
      <c r="C51" s="17" t="n">
        <f aca="false">IFERROR(VALUE(RIGHT($A51,2)),"")</f>
        <v>3</v>
      </c>
      <c r="D51" s="17" t="n">
        <f aca="false">IFERROR(ROUNDUP($C51/3,0),"")</f>
        <v>1</v>
      </c>
      <c r="E51" s="11" t="str">
        <f aca="false">TRIM('수출입 실적(성질별_수입)'!C55)</f>
        <v>가. 연 료</v>
      </c>
      <c r="F51" s="18" t="n">
        <f aca="false">IFERROR(VALUE(SUBSTITUTE(TRIM('수출입 실적(성질별_수입)'!D55),",","")),"")</f>
        <v>26933113.8</v>
      </c>
      <c r="G51" s="19" t="n">
        <f aca="false">IFERROR(VALUE(SUBSTITUTE(TRIM('수출입 실적(성질별_수입)'!E55),",","")),"")</f>
        <v>13173120</v>
      </c>
    </row>
    <row r="52" customFormat="false" ht="15" hidden="false" customHeight="true" outlineLevel="0" collapsed="false">
      <c r="A52" s="11" t="str">
        <f aca="false">TRIM('수출입 실적(성질별_수입)'!A56)</f>
        <v>2024.03</v>
      </c>
      <c r="B52" s="17" t="n">
        <f aca="false">IFERROR(VALUE(LEFT($A52,4)),"")</f>
        <v>2024</v>
      </c>
      <c r="C52" s="17" t="n">
        <f aca="false">IFERROR(VALUE(RIGHT($A52,2)),"")</f>
        <v>3</v>
      </c>
      <c r="D52" s="17" t="n">
        <f aca="false">IFERROR(ROUNDUP($C52/3,0),"")</f>
        <v>1</v>
      </c>
      <c r="E52" s="11" t="str">
        <f aca="false">TRIM('수출입 실적(성질별_수입)'!C56)</f>
        <v>나. 광 물</v>
      </c>
      <c r="F52" s="18" t="n">
        <f aca="false">IFERROR(VALUE(SUBSTITUTE(TRIM('수출입 실적(성질별_수입)'!D56),",","")),"")</f>
        <v>7488749.9</v>
      </c>
      <c r="G52" s="19" t="n">
        <f aca="false">IFERROR(VALUE(SUBSTITUTE(TRIM('수출입 실적(성질별_수입)'!E56),",","")),"")</f>
        <v>1867943</v>
      </c>
    </row>
    <row r="53" customFormat="false" ht="15" hidden="false" customHeight="true" outlineLevel="0" collapsed="false">
      <c r="A53" s="11" t="str">
        <f aca="false">TRIM('수출입 실적(성질별_수입)'!A57)</f>
        <v>2024.03</v>
      </c>
      <c r="B53" s="17" t="n">
        <f aca="false">IFERROR(VALUE(LEFT($A53,4)),"")</f>
        <v>2024</v>
      </c>
      <c r="C53" s="17" t="n">
        <f aca="false">IFERROR(VALUE(RIGHT($A53,2)),"")</f>
        <v>3</v>
      </c>
      <c r="D53" s="17" t="n">
        <f aca="false">IFERROR(ROUNDUP($C53/3,0),"")</f>
        <v>1</v>
      </c>
      <c r="E53" s="11" t="str">
        <f aca="false">TRIM('수출입 실적(성질별_수입)'!C57)</f>
        <v>다. 경공업 원료</v>
      </c>
      <c r="F53" s="18" t="n">
        <f aca="false">IFERROR(VALUE(SUBSTITUTE(TRIM('수출입 실적(성질별_수입)'!D57),",","")),"")</f>
        <v>1238205.1</v>
      </c>
      <c r="G53" s="19" t="n">
        <f aca="false">IFERROR(VALUE(SUBSTITUTE(TRIM('수출입 실적(성질별_수입)'!E57),",","")),"")</f>
        <v>533011</v>
      </c>
    </row>
    <row r="54" customFormat="false" ht="15" hidden="false" customHeight="true" outlineLevel="0" collapsed="false">
      <c r="A54" s="11" t="str">
        <f aca="false">TRIM('수출입 실적(성질별_수입)'!A58)</f>
        <v>2024.03</v>
      </c>
      <c r="B54" s="17" t="n">
        <f aca="false">IFERROR(VALUE(LEFT($A54,4)),"")</f>
        <v>2024</v>
      </c>
      <c r="C54" s="17" t="n">
        <f aca="false">IFERROR(VALUE(RIGHT($A54,2)),"")</f>
        <v>3</v>
      </c>
      <c r="D54" s="17" t="n">
        <f aca="false">IFERROR(ROUNDUP($C54/3,0),"")</f>
        <v>1</v>
      </c>
      <c r="E54" s="11" t="str">
        <f aca="false">TRIM('수출입 실적(성질별_수입)'!C58)</f>
        <v>라. 유 지</v>
      </c>
      <c r="F54" s="18" t="n">
        <f aca="false">IFERROR(VALUE(SUBSTITUTE(TRIM('수출입 실적(성질별_수입)'!D58),",","")),"")</f>
        <v>132290.2</v>
      </c>
      <c r="G54" s="19" t="n">
        <f aca="false">IFERROR(VALUE(SUBSTITUTE(TRIM('수출입 실적(성질별_수입)'!E58),",","")),"")</f>
        <v>160411</v>
      </c>
    </row>
    <row r="55" customFormat="false" ht="15" hidden="false" customHeight="true" outlineLevel="0" collapsed="false">
      <c r="A55" s="11" t="str">
        <f aca="false">TRIM('수출입 실적(성질별_수입)'!A59)</f>
        <v>2024.03</v>
      </c>
      <c r="B55" s="17" t="n">
        <f aca="false">IFERROR(VALUE(LEFT($A55,4)),"")</f>
        <v>2024</v>
      </c>
      <c r="C55" s="17" t="n">
        <f aca="false">IFERROR(VALUE(RIGHT($A55,2)),"")</f>
        <v>3</v>
      </c>
      <c r="D55" s="17" t="n">
        <f aca="false">IFERROR(ROUNDUP($C55/3,0),"")</f>
        <v>1</v>
      </c>
      <c r="E55" s="11" t="str">
        <f aca="false">TRIM('수출입 실적(성질별_수입)'!C59)</f>
        <v>마. 섬유류</v>
      </c>
      <c r="F55" s="18" t="n">
        <f aca="false">IFERROR(VALUE(SUBSTITUTE(TRIM('수출입 실적(성질별_수입)'!D59),",","")),"")</f>
        <v>104266.3</v>
      </c>
      <c r="G55" s="19" t="n">
        <f aca="false">IFERROR(VALUE(SUBSTITUTE(TRIM('수출입 실적(성질별_수입)'!E59),",","")),"")</f>
        <v>323476</v>
      </c>
    </row>
    <row r="56" customFormat="false" ht="15" hidden="false" customHeight="true" outlineLevel="0" collapsed="false">
      <c r="A56" s="11" t="str">
        <f aca="false">TRIM('수출입 실적(성질별_수입)'!A60)</f>
        <v>2024.03</v>
      </c>
      <c r="B56" s="17" t="n">
        <f aca="false">IFERROR(VALUE(LEFT($A56,4)),"")</f>
        <v>2024</v>
      </c>
      <c r="C56" s="17" t="n">
        <f aca="false">IFERROR(VALUE(RIGHT($A56,2)),"")</f>
        <v>3</v>
      </c>
      <c r="D56" s="17" t="n">
        <f aca="false">IFERROR(ROUNDUP($C56/3,0),"")</f>
        <v>1</v>
      </c>
      <c r="E56" s="11" t="str">
        <f aca="false">TRIM('수출입 실적(성질별_수입)'!C60)</f>
        <v>바. 화공품</v>
      </c>
      <c r="F56" s="18" t="n">
        <f aca="false">IFERROR(VALUE(SUBSTITUTE(TRIM('수출입 실적(성질별_수입)'!D60),",","")),"")</f>
        <v>1593577.8</v>
      </c>
      <c r="G56" s="19" t="n">
        <f aca="false">IFERROR(VALUE(SUBSTITUTE(TRIM('수출입 실적(성질별_수입)'!E60),",","")),"")</f>
        <v>5011344</v>
      </c>
    </row>
    <row r="57" customFormat="false" ht="15" hidden="false" customHeight="true" outlineLevel="0" collapsed="false">
      <c r="A57" s="11" t="str">
        <f aca="false">TRIM('수출입 실적(성질별_수입)'!A61)</f>
        <v>2024.03</v>
      </c>
      <c r="B57" s="17" t="n">
        <f aca="false">IFERROR(VALUE(LEFT($A57,4)),"")</f>
        <v>2024</v>
      </c>
      <c r="C57" s="17" t="n">
        <f aca="false">IFERROR(VALUE(RIGHT($A57,2)),"")</f>
        <v>3</v>
      </c>
      <c r="D57" s="17" t="n">
        <f aca="false">IFERROR(ROUNDUP($C57/3,0),"")</f>
        <v>1</v>
      </c>
      <c r="E57" s="11" t="str">
        <f aca="false">TRIM('수출입 실적(성질별_수입)'!C61)</f>
        <v>사. 철강재</v>
      </c>
      <c r="F57" s="18" t="n">
        <f aca="false">IFERROR(VALUE(SUBSTITUTE(TRIM('수출입 실적(성질별_수입)'!D61),",","")),"")</f>
        <v>1644296.6</v>
      </c>
      <c r="G57" s="19" t="n">
        <f aca="false">IFERROR(VALUE(SUBSTITUTE(TRIM('수출입 실적(성질별_수입)'!E61),",","")),"")</f>
        <v>1872098</v>
      </c>
    </row>
    <row r="58" customFormat="false" ht="15" hidden="false" customHeight="true" outlineLevel="0" collapsed="false">
      <c r="A58" s="11" t="str">
        <f aca="false">TRIM('수출입 실적(성질별_수입)'!A62)</f>
        <v>2024.03</v>
      </c>
      <c r="B58" s="17" t="n">
        <f aca="false">IFERROR(VALUE(LEFT($A58,4)),"")</f>
        <v>2024</v>
      </c>
      <c r="C58" s="17" t="n">
        <f aca="false">IFERROR(VALUE(RIGHT($A58,2)),"")</f>
        <v>3</v>
      </c>
      <c r="D58" s="17" t="n">
        <f aca="false">IFERROR(ROUNDUP($C58/3,0),"")</f>
        <v>1</v>
      </c>
      <c r="E58" s="11" t="str">
        <f aca="false">TRIM('수출입 실적(성질별_수입)'!C62)</f>
        <v>아. 비철금속</v>
      </c>
      <c r="F58" s="18" t="n">
        <f aca="false">IFERROR(VALUE(SUBSTITUTE(TRIM('수출입 실적(성질별_수입)'!D62),",","")),"")</f>
        <v>276414.9</v>
      </c>
      <c r="G58" s="19" t="n">
        <f aca="false">IFERROR(VALUE(SUBSTITUTE(TRIM('수출입 실적(성질별_수입)'!E62),",","")),"")</f>
        <v>1343145</v>
      </c>
    </row>
    <row r="59" customFormat="false" ht="15" hidden="false" customHeight="true" outlineLevel="0" collapsed="false">
      <c r="A59" s="11" t="str">
        <f aca="false">TRIM('수출입 실적(성질별_수입)'!A63)</f>
        <v>2024.03</v>
      </c>
      <c r="B59" s="17" t="n">
        <f aca="false">IFERROR(VALUE(LEFT($A59,4)),"")</f>
        <v>2024</v>
      </c>
      <c r="C59" s="17" t="n">
        <f aca="false">IFERROR(VALUE(RIGHT($A59,2)),"")</f>
        <v>3</v>
      </c>
      <c r="D59" s="17" t="n">
        <f aca="false">IFERROR(ROUNDUP($C59/3,0),"")</f>
        <v>1</v>
      </c>
      <c r="E59" s="11" t="str">
        <f aca="false">TRIM('수출입 실적(성질별_수입)'!C63)</f>
        <v>자. 기 타</v>
      </c>
      <c r="F59" s="18" t="n">
        <f aca="false">IFERROR(VALUE(SUBSTITUTE(TRIM('수출입 실적(성질별_수입)'!D63),",","")),"")</f>
        <v>747182.5</v>
      </c>
      <c r="G59" s="19" t="n">
        <f aca="false">IFERROR(VALUE(SUBSTITUTE(TRIM('수출입 실적(성질별_수입)'!E63),",","")),"")</f>
        <v>1508038</v>
      </c>
    </row>
    <row r="60" customFormat="false" ht="15" hidden="false" customHeight="true" outlineLevel="0" collapsed="false">
      <c r="A60" s="11" t="str">
        <f aca="false">TRIM('수출입 실적(성질별_수입)'!A64)</f>
        <v>2024.03</v>
      </c>
      <c r="B60" s="17" t="n">
        <f aca="false">IFERROR(VALUE(LEFT($A60,4)),"")</f>
        <v>2024</v>
      </c>
      <c r="C60" s="17" t="n">
        <f aca="false">IFERROR(VALUE(RIGHT($A60,2)),"")</f>
        <v>3</v>
      </c>
      <c r="D60" s="17" t="n">
        <f aca="false">IFERROR(ROUNDUP($C60/3,0),"")</f>
        <v>1</v>
      </c>
      <c r="E60" s="11" t="str">
        <f aca="false">TRIM('수출입 실적(성질별_수입)'!C64)</f>
        <v>3. 자본재</v>
      </c>
      <c r="F60" s="18" t="n">
        <f aca="false">IFERROR(VALUE(SUBSTITUTE(TRIM('수출입 실적(성질별_수입)'!D64),",","")),"")</f>
        <v>991571.6</v>
      </c>
      <c r="G60" s="19" t="n">
        <f aca="false">IFERROR(VALUE(SUBSTITUTE(TRIM('수출입 실적(성질별_수입)'!E64),",","")),"")</f>
        <v>17881046</v>
      </c>
    </row>
    <row r="61" customFormat="false" ht="15" hidden="false" customHeight="true" outlineLevel="0" collapsed="false">
      <c r="A61" s="11" t="str">
        <f aca="false">TRIM('수출입 실적(성질별_수입)'!A65)</f>
        <v>2024.03</v>
      </c>
      <c r="B61" s="17" t="n">
        <f aca="false">IFERROR(VALUE(LEFT($A61,4)),"")</f>
        <v>2024</v>
      </c>
      <c r="C61" s="17" t="n">
        <f aca="false">IFERROR(VALUE(RIGHT($A61,2)),"")</f>
        <v>3</v>
      </c>
      <c r="D61" s="17" t="n">
        <f aca="false">IFERROR(ROUNDUP($C61/3,0),"")</f>
        <v>1</v>
      </c>
      <c r="E61" s="11" t="str">
        <f aca="false">TRIM('수출입 실적(성질별_수입)'!C65)</f>
        <v>가. 기계류와 정밀기기</v>
      </c>
      <c r="F61" s="18" t="n">
        <f aca="false">IFERROR(VALUE(SUBSTITUTE(TRIM('수출입 실적(성질별_수입)'!D65),",","")),"")</f>
        <v>181721.2</v>
      </c>
      <c r="G61" s="19" t="n">
        <f aca="false">IFERROR(VALUE(SUBSTITUTE(TRIM('수출입 실적(성질별_수입)'!E65),",","")),"")</f>
        <v>5618553</v>
      </c>
    </row>
    <row r="62" customFormat="false" ht="15" hidden="false" customHeight="true" outlineLevel="0" collapsed="false">
      <c r="A62" s="11" t="str">
        <f aca="false">TRIM('수출입 실적(성질별_수입)'!A66)</f>
        <v>2024.03</v>
      </c>
      <c r="B62" s="17" t="n">
        <f aca="false">IFERROR(VALUE(LEFT($A62,4)),"")</f>
        <v>2024</v>
      </c>
      <c r="C62" s="17" t="n">
        <f aca="false">IFERROR(VALUE(RIGHT($A62,2)),"")</f>
        <v>3</v>
      </c>
      <c r="D62" s="17" t="n">
        <f aca="false">IFERROR(ROUNDUP($C62/3,0),"")</f>
        <v>1</v>
      </c>
      <c r="E62" s="11" t="str">
        <f aca="false">TRIM('수출입 실적(성질별_수입)'!C66)</f>
        <v>나. 전기·전자기기</v>
      </c>
      <c r="F62" s="18" t="n">
        <f aca="false">IFERROR(VALUE(SUBSTITUTE(TRIM('수출입 실적(성질별_수입)'!D66),",","")),"")</f>
        <v>155785.6</v>
      </c>
      <c r="G62" s="19" t="n">
        <f aca="false">IFERROR(VALUE(SUBSTITUTE(TRIM('수출입 실적(성질별_수입)'!E66),",","")),"")</f>
        <v>10804135</v>
      </c>
    </row>
    <row r="63" customFormat="false" ht="15" hidden="false" customHeight="true" outlineLevel="0" collapsed="false">
      <c r="A63" s="11" t="str">
        <f aca="false">TRIM('수출입 실적(성질별_수입)'!A67)</f>
        <v>2024.03</v>
      </c>
      <c r="B63" s="17" t="n">
        <f aca="false">IFERROR(VALUE(LEFT($A63,4)),"")</f>
        <v>2024</v>
      </c>
      <c r="C63" s="17" t="n">
        <f aca="false">IFERROR(VALUE(RIGHT($A63,2)),"")</f>
        <v>3</v>
      </c>
      <c r="D63" s="17" t="n">
        <f aca="false">IFERROR(ROUNDUP($C63/3,0),"")</f>
        <v>1</v>
      </c>
      <c r="E63" s="11" t="str">
        <f aca="false">TRIM('수출입 실적(성질별_수입)'!C67)</f>
        <v>다. 수송장비</v>
      </c>
      <c r="F63" s="18" t="n">
        <f aca="false">IFERROR(VALUE(SUBSTITUTE(TRIM('수출입 실적(성질별_수입)'!D67),",","")),"")</f>
        <v>640283</v>
      </c>
      <c r="G63" s="19" t="n">
        <f aca="false">IFERROR(VALUE(SUBSTITUTE(TRIM('수출입 실적(성질별_수입)'!E67),",","")),"")</f>
        <v>1250503</v>
      </c>
    </row>
    <row r="64" customFormat="false" ht="15" hidden="false" customHeight="true" outlineLevel="0" collapsed="false">
      <c r="A64" s="11" t="str">
        <f aca="false">TRIM('수출입 실적(성질별_수입)'!A68)</f>
        <v>2024.03</v>
      </c>
      <c r="B64" s="17" t="n">
        <f aca="false">IFERROR(VALUE(LEFT($A64,4)),"")</f>
        <v>2024</v>
      </c>
      <c r="C64" s="17" t="n">
        <f aca="false">IFERROR(VALUE(RIGHT($A64,2)),"")</f>
        <v>3</v>
      </c>
      <c r="D64" s="17" t="n">
        <f aca="false">IFERROR(ROUNDUP($C64/3,0),"")</f>
        <v>1</v>
      </c>
      <c r="E64" s="11" t="str">
        <f aca="false">TRIM('수출입 실적(성질별_수입)'!C68)</f>
        <v>라. 기 타</v>
      </c>
      <c r="F64" s="18" t="n">
        <f aca="false">IFERROR(VALUE(SUBSTITUTE(TRIM('수출입 실적(성질별_수입)'!D68),",","")),"")</f>
        <v>13781.8</v>
      </c>
      <c r="G64" s="19" t="n">
        <f aca="false">IFERROR(VALUE(SUBSTITUTE(TRIM('수출입 실적(성질별_수입)'!E68),",","")),"")</f>
        <v>207855</v>
      </c>
    </row>
    <row r="65" customFormat="false" ht="15" hidden="false" customHeight="true" outlineLevel="0" collapsed="false">
      <c r="A65" s="11" t="str">
        <f aca="false">TRIM('수출입 실적(성질별_수입)'!A69)</f>
        <v>2024.04</v>
      </c>
      <c r="B65" s="17" t="n">
        <f aca="false">IFERROR(VALUE(LEFT($A65,4)),"")</f>
        <v>2024</v>
      </c>
      <c r="C65" s="17" t="n">
        <f aca="false">IFERROR(VALUE(RIGHT($A65,2)),"")</f>
        <v>4</v>
      </c>
      <c r="D65" s="17" t="n">
        <f aca="false">IFERROR(ROUNDUP($C65/3,0),"")</f>
        <v>2</v>
      </c>
      <c r="E65" s="11" t="str">
        <f aca="false">TRIM('수출입 실적(성질별_수입)'!C69)</f>
        <v>1. 소비재</v>
      </c>
      <c r="F65" s="18" t="n">
        <f aca="false">IFERROR(VALUE(SUBSTITUTE(TRIM('수출입 실적(성질별_수입)'!D69),",","")),"")</f>
        <v>3568689.5</v>
      </c>
      <c r="G65" s="19" t="n">
        <f aca="false">IFERROR(VALUE(SUBSTITUTE(TRIM('수출입 실적(성질별_수입)'!E69),",","")),"")</f>
        <v>9347061</v>
      </c>
    </row>
    <row r="66" customFormat="false" ht="15" hidden="false" customHeight="true" outlineLevel="0" collapsed="false">
      <c r="A66" s="11" t="str">
        <f aca="false">TRIM('수출입 실적(성질별_수입)'!A70)</f>
        <v>2024.04</v>
      </c>
      <c r="B66" s="17" t="n">
        <f aca="false">IFERROR(VALUE(LEFT($A66,4)),"")</f>
        <v>2024</v>
      </c>
      <c r="C66" s="17" t="n">
        <f aca="false">IFERROR(VALUE(RIGHT($A66,2)),"")</f>
        <v>4</v>
      </c>
      <c r="D66" s="17" t="n">
        <f aca="false">IFERROR(ROUNDUP($C66/3,0),"")</f>
        <v>2</v>
      </c>
      <c r="E66" s="11" t="str">
        <f aca="false">TRIM('수출입 실적(성질별_수입)'!C70)</f>
        <v>가. 곡물</v>
      </c>
      <c r="F66" s="18" t="n">
        <f aca="false">IFERROR(VALUE(SUBSTITUTE(TRIM('수출입 실적(성질별_수입)'!D70),",","")),"")</f>
        <v>2278918.1</v>
      </c>
      <c r="G66" s="19" t="n">
        <f aca="false">IFERROR(VALUE(SUBSTITUTE(TRIM('수출입 실적(성질별_수입)'!E70),",","")),"")</f>
        <v>777287</v>
      </c>
    </row>
    <row r="67" customFormat="false" ht="15" hidden="false" customHeight="true" outlineLevel="0" collapsed="false">
      <c r="A67" s="11" t="str">
        <f aca="false">TRIM('수출입 실적(성질별_수입)'!A71)</f>
        <v>2024.04</v>
      </c>
      <c r="B67" s="17" t="n">
        <f aca="false">IFERROR(VALUE(LEFT($A67,4)),"")</f>
        <v>2024</v>
      </c>
      <c r="C67" s="17" t="n">
        <f aca="false">IFERROR(VALUE(RIGHT($A67,2)),"")</f>
        <v>4</v>
      </c>
      <c r="D67" s="17" t="n">
        <f aca="false">IFERROR(ROUNDUP($C67/3,0),"")</f>
        <v>2</v>
      </c>
      <c r="E67" s="11" t="str">
        <f aca="false">TRIM('수출입 실적(성질별_수입)'!C71)</f>
        <v>나. 직접소비재</v>
      </c>
      <c r="F67" s="18" t="n">
        <f aca="false">IFERROR(VALUE(SUBSTITUTE(TRIM('수출입 실적(성질별_수입)'!D71),",","")),"")</f>
        <v>858573.3</v>
      </c>
      <c r="G67" s="19" t="n">
        <f aca="false">IFERROR(VALUE(SUBSTITUTE(TRIM('수출입 실적(성질별_수입)'!E71),",","")),"")</f>
        <v>2488386</v>
      </c>
    </row>
    <row r="68" customFormat="false" ht="15" hidden="false" customHeight="true" outlineLevel="0" collapsed="false">
      <c r="A68" s="11" t="str">
        <f aca="false">TRIM('수출입 실적(성질별_수입)'!A72)</f>
        <v>2024.04</v>
      </c>
      <c r="B68" s="17" t="n">
        <f aca="false">IFERROR(VALUE(LEFT($A68,4)),"")</f>
        <v>2024</v>
      </c>
      <c r="C68" s="17" t="n">
        <f aca="false">IFERROR(VALUE(RIGHT($A68,2)),"")</f>
        <v>4</v>
      </c>
      <c r="D68" s="17" t="n">
        <f aca="false">IFERROR(ROUNDUP($C68/3,0),"")</f>
        <v>2</v>
      </c>
      <c r="E68" s="11" t="str">
        <f aca="false">TRIM('수출입 실적(성질별_수입)'!C72)</f>
        <v>다. 내구소비재</v>
      </c>
      <c r="F68" s="18" t="n">
        <f aca="false">IFERROR(VALUE(SUBSTITUTE(TRIM('수출입 실적(성질별_수입)'!D72),",","")),"")</f>
        <v>297626.4</v>
      </c>
      <c r="G68" s="19" t="n">
        <f aca="false">IFERROR(VALUE(SUBSTITUTE(TRIM('수출입 실적(성질별_수입)'!E72),",","")),"")</f>
        <v>4024343</v>
      </c>
    </row>
    <row r="69" customFormat="false" ht="15" hidden="false" customHeight="true" outlineLevel="0" collapsed="false">
      <c r="A69" s="11" t="str">
        <f aca="false">TRIM('수출입 실적(성질별_수입)'!A73)</f>
        <v>2024.04</v>
      </c>
      <c r="B69" s="17" t="n">
        <f aca="false">IFERROR(VALUE(LEFT($A69,4)),"")</f>
        <v>2024</v>
      </c>
      <c r="C69" s="17" t="n">
        <f aca="false">IFERROR(VALUE(RIGHT($A69,2)),"")</f>
        <v>4</v>
      </c>
      <c r="D69" s="17" t="n">
        <f aca="false">IFERROR(ROUNDUP($C69/3,0),"")</f>
        <v>2</v>
      </c>
      <c r="E69" s="11" t="str">
        <f aca="false">TRIM('수출입 실적(성질별_수입)'!C73)</f>
        <v>라. 비내구 소비재</v>
      </c>
      <c r="F69" s="18" t="n">
        <f aca="false">IFERROR(VALUE(SUBSTITUTE(TRIM('수출입 실적(성질별_수입)'!D73),",","")),"")</f>
        <v>133571.7</v>
      </c>
      <c r="G69" s="19" t="n">
        <f aca="false">IFERROR(VALUE(SUBSTITUTE(TRIM('수출입 실적(성질별_수입)'!E73),",","")),"")</f>
        <v>2057045</v>
      </c>
    </row>
    <row r="70" customFormat="false" ht="15" hidden="false" customHeight="true" outlineLevel="0" collapsed="false">
      <c r="A70" s="11" t="str">
        <f aca="false">TRIM('수출입 실적(성질별_수입)'!A74)</f>
        <v>2024.04</v>
      </c>
      <c r="B70" s="17" t="n">
        <f aca="false">IFERROR(VALUE(LEFT($A70,4)),"")</f>
        <v>2024</v>
      </c>
      <c r="C70" s="17" t="n">
        <f aca="false">IFERROR(VALUE(RIGHT($A70,2)),"")</f>
        <v>4</v>
      </c>
      <c r="D70" s="17" t="n">
        <f aca="false">IFERROR(ROUNDUP($C70/3,0),"")</f>
        <v>2</v>
      </c>
      <c r="E70" s="11" t="str">
        <f aca="false">TRIM('수출입 실적(성질별_수입)'!C74)</f>
        <v>2. 원자재</v>
      </c>
      <c r="F70" s="18" t="n">
        <f aca="false">IFERROR(VALUE(SUBSTITUTE(TRIM('수출입 실적(성질별_수입)'!D74),",","")),"")</f>
        <v>43107617.4</v>
      </c>
      <c r="G70" s="19" t="n">
        <f aca="false">IFERROR(VALUE(SUBSTITUTE(TRIM('수출입 실적(성질별_수입)'!E74),",","")),"")</f>
        <v>27567785</v>
      </c>
    </row>
    <row r="71" customFormat="false" ht="15" hidden="false" customHeight="true" outlineLevel="0" collapsed="false">
      <c r="A71" s="11" t="str">
        <f aca="false">TRIM('수출입 실적(성질별_수입)'!A75)</f>
        <v>2024.04</v>
      </c>
      <c r="B71" s="17" t="n">
        <f aca="false">IFERROR(VALUE(LEFT($A71,4)),"")</f>
        <v>2024</v>
      </c>
      <c r="C71" s="17" t="n">
        <f aca="false">IFERROR(VALUE(RIGHT($A71,2)),"")</f>
        <v>4</v>
      </c>
      <c r="D71" s="17" t="n">
        <f aca="false">IFERROR(ROUNDUP($C71/3,0),"")</f>
        <v>2</v>
      </c>
      <c r="E71" s="11" t="str">
        <f aca="false">TRIM('수출입 실적(성질별_수입)'!C75)</f>
        <v>가. 연 료</v>
      </c>
      <c r="F71" s="18" t="n">
        <f aca="false">IFERROR(VALUE(SUBSTITUTE(TRIM('수출입 실적(성질별_수입)'!D75),",","")),"")</f>
        <v>28569001.9</v>
      </c>
      <c r="G71" s="19" t="n">
        <f aca="false">IFERROR(VALUE(SUBSTITUTE(TRIM('수출입 실적(성질별_수입)'!E75),",","")),"")</f>
        <v>14386216</v>
      </c>
    </row>
    <row r="72" customFormat="false" ht="15" hidden="false" customHeight="true" outlineLevel="0" collapsed="false">
      <c r="A72" s="11" t="str">
        <f aca="false">TRIM('수출입 실적(성질별_수입)'!A76)</f>
        <v>2024.04</v>
      </c>
      <c r="B72" s="17" t="n">
        <f aca="false">IFERROR(VALUE(LEFT($A72,4)),"")</f>
        <v>2024</v>
      </c>
      <c r="C72" s="17" t="n">
        <f aca="false">IFERROR(VALUE(RIGHT($A72,2)),"")</f>
        <v>4</v>
      </c>
      <c r="D72" s="17" t="n">
        <f aca="false">IFERROR(ROUNDUP($C72/3,0),"")</f>
        <v>2</v>
      </c>
      <c r="E72" s="11" t="str">
        <f aca="false">TRIM('수출입 실적(성질별_수입)'!C76)</f>
        <v>나. 광 물</v>
      </c>
      <c r="F72" s="18" t="n">
        <f aca="false">IFERROR(VALUE(SUBSTITUTE(TRIM('수출입 실적(성질별_수입)'!D76),",","")),"")</f>
        <v>8121166.9</v>
      </c>
      <c r="G72" s="19" t="n">
        <f aca="false">IFERROR(VALUE(SUBSTITUTE(TRIM('수출입 실적(성질별_수입)'!E76),",","")),"")</f>
        <v>2308620</v>
      </c>
    </row>
    <row r="73" customFormat="false" ht="15" hidden="false" customHeight="true" outlineLevel="0" collapsed="false">
      <c r="A73" s="11" t="str">
        <f aca="false">TRIM('수출입 실적(성질별_수입)'!A77)</f>
        <v>2024.04</v>
      </c>
      <c r="B73" s="17" t="n">
        <f aca="false">IFERROR(VALUE(LEFT($A73,4)),"")</f>
        <v>2024</v>
      </c>
      <c r="C73" s="17" t="n">
        <f aca="false">IFERROR(VALUE(RIGHT($A73,2)),"")</f>
        <v>4</v>
      </c>
      <c r="D73" s="17" t="n">
        <f aca="false">IFERROR(ROUNDUP($C73/3,0),"")</f>
        <v>2</v>
      </c>
      <c r="E73" s="11" t="str">
        <f aca="false">TRIM('수출입 실적(성질별_수입)'!C77)</f>
        <v>다. 경공업 원료</v>
      </c>
      <c r="F73" s="18" t="n">
        <f aca="false">IFERROR(VALUE(SUBSTITUTE(TRIM('수출입 실적(성질별_수입)'!D77),",","")),"")</f>
        <v>1376963.1</v>
      </c>
      <c r="G73" s="19" t="n">
        <f aca="false">IFERROR(VALUE(SUBSTITUTE(TRIM('수출입 실적(성질별_수입)'!E77),",","")),"")</f>
        <v>620120</v>
      </c>
    </row>
    <row r="74" customFormat="false" ht="15" hidden="false" customHeight="true" outlineLevel="0" collapsed="false">
      <c r="A74" s="11" t="str">
        <f aca="false">TRIM('수출입 실적(성질별_수입)'!A78)</f>
        <v>2024.04</v>
      </c>
      <c r="B74" s="17" t="n">
        <f aca="false">IFERROR(VALUE(LEFT($A74,4)),"")</f>
        <v>2024</v>
      </c>
      <c r="C74" s="17" t="n">
        <f aca="false">IFERROR(VALUE(RIGHT($A74,2)),"")</f>
        <v>4</v>
      </c>
      <c r="D74" s="17" t="n">
        <f aca="false">IFERROR(ROUNDUP($C74/3,0),"")</f>
        <v>2</v>
      </c>
      <c r="E74" s="11" t="str">
        <f aca="false">TRIM('수출입 실적(성질별_수입)'!C78)</f>
        <v>라. 유 지</v>
      </c>
      <c r="F74" s="18" t="n">
        <f aca="false">IFERROR(VALUE(SUBSTITUTE(TRIM('수출입 실적(성질별_수입)'!D78),",","")),"")</f>
        <v>154304</v>
      </c>
      <c r="G74" s="19" t="n">
        <f aca="false">IFERROR(VALUE(SUBSTITUTE(TRIM('수출입 실적(성질별_수입)'!E78),",","")),"")</f>
        <v>179381</v>
      </c>
    </row>
    <row r="75" customFormat="false" ht="15" hidden="false" customHeight="true" outlineLevel="0" collapsed="false">
      <c r="A75" s="11" t="str">
        <f aca="false">TRIM('수출입 실적(성질별_수입)'!A79)</f>
        <v>2024.04</v>
      </c>
      <c r="B75" s="17" t="n">
        <f aca="false">IFERROR(VALUE(LEFT($A75,4)),"")</f>
        <v>2024</v>
      </c>
      <c r="C75" s="17" t="n">
        <f aca="false">IFERROR(VALUE(RIGHT($A75,2)),"")</f>
        <v>4</v>
      </c>
      <c r="D75" s="17" t="n">
        <f aca="false">IFERROR(ROUNDUP($C75/3,0),"")</f>
        <v>2</v>
      </c>
      <c r="E75" s="11" t="str">
        <f aca="false">TRIM('수출입 실적(성질별_수입)'!C79)</f>
        <v>마. 섬유류</v>
      </c>
      <c r="F75" s="18" t="n">
        <f aca="false">IFERROR(VALUE(SUBSTITUTE(TRIM('수출입 실적(성질별_수입)'!D79),",","")),"")</f>
        <v>112869.5</v>
      </c>
      <c r="G75" s="19" t="n">
        <f aca="false">IFERROR(VALUE(SUBSTITUTE(TRIM('수출입 실적(성질별_수입)'!E79),",","")),"")</f>
        <v>355093</v>
      </c>
    </row>
    <row r="76" customFormat="false" ht="15" hidden="false" customHeight="true" outlineLevel="0" collapsed="false">
      <c r="A76" s="11" t="str">
        <f aca="false">TRIM('수출입 실적(성질별_수입)'!A80)</f>
        <v>2024.04</v>
      </c>
      <c r="B76" s="17" t="n">
        <f aca="false">IFERROR(VALUE(LEFT($A76,4)),"")</f>
        <v>2024</v>
      </c>
      <c r="C76" s="17" t="n">
        <f aca="false">IFERROR(VALUE(RIGHT($A76,2)),"")</f>
        <v>4</v>
      </c>
      <c r="D76" s="17" t="n">
        <f aca="false">IFERROR(ROUNDUP($C76/3,0),"")</f>
        <v>2</v>
      </c>
      <c r="E76" s="11" t="str">
        <f aca="false">TRIM('수출입 실적(성질별_수입)'!C80)</f>
        <v>바. 화공품</v>
      </c>
      <c r="F76" s="18" t="n">
        <f aca="false">IFERROR(VALUE(SUBSTITUTE(TRIM('수출입 실적(성질별_수입)'!D80),",","")),"")</f>
        <v>1859105.7</v>
      </c>
      <c r="G76" s="19" t="n">
        <f aca="false">IFERROR(VALUE(SUBSTITUTE(TRIM('수출입 실적(성질별_수입)'!E80),",","")),"")</f>
        <v>4974192</v>
      </c>
    </row>
    <row r="77" customFormat="false" ht="15" hidden="false" customHeight="true" outlineLevel="0" collapsed="false">
      <c r="A77" s="11" t="str">
        <f aca="false">TRIM('수출입 실적(성질별_수입)'!A81)</f>
        <v>2024.04</v>
      </c>
      <c r="B77" s="17" t="n">
        <f aca="false">IFERROR(VALUE(LEFT($A77,4)),"")</f>
        <v>2024</v>
      </c>
      <c r="C77" s="17" t="n">
        <f aca="false">IFERROR(VALUE(RIGHT($A77,2)),"")</f>
        <v>4</v>
      </c>
      <c r="D77" s="17" t="n">
        <f aca="false">IFERROR(ROUNDUP($C77/3,0),"")</f>
        <v>2</v>
      </c>
      <c r="E77" s="11" t="str">
        <f aca="false">TRIM('수출입 실적(성질별_수입)'!C81)</f>
        <v>사. 철강재</v>
      </c>
      <c r="F77" s="18" t="n">
        <f aca="false">IFERROR(VALUE(SUBSTITUTE(TRIM('수출입 실적(성질별_수입)'!D81),",","")),"")</f>
        <v>1684260.6</v>
      </c>
      <c r="G77" s="19" t="n">
        <f aca="false">IFERROR(VALUE(SUBSTITUTE(TRIM('수출입 실적(성질별_수입)'!E81),",","")),"")</f>
        <v>1877195</v>
      </c>
    </row>
    <row r="78" customFormat="false" ht="15" hidden="false" customHeight="true" outlineLevel="0" collapsed="false">
      <c r="A78" s="11" t="str">
        <f aca="false">TRIM('수출입 실적(성질별_수입)'!A82)</f>
        <v>2024.04</v>
      </c>
      <c r="B78" s="17" t="n">
        <f aca="false">IFERROR(VALUE(LEFT($A78,4)),"")</f>
        <v>2024</v>
      </c>
      <c r="C78" s="17" t="n">
        <f aca="false">IFERROR(VALUE(RIGHT($A78,2)),"")</f>
        <v>4</v>
      </c>
      <c r="D78" s="17" t="n">
        <f aca="false">IFERROR(ROUNDUP($C78/3,0),"")</f>
        <v>2</v>
      </c>
      <c r="E78" s="11" t="str">
        <f aca="false">TRIM('수출입 실적(성질별_수입)'!C82)</f>
        <v>아. 비철금속</v>
      </c>
      <c r="F78" s="18" t="n">
        <f aca="false">IFERROR(VALUE(SUBSTITUTE(TRIM('수출입 실적(성질별_수입)'!D82),",","")),"")</f>
        <v>273058.1</v>
      </c>
      <c r="G78" s="19" t="n">
        <f aca="false">IFERROR(VALUE(SUBSTITUTE(TRIM('수출입 실적(성질별_수입)'!E82),",","")),"")</f>
        <v>1407159</v>
      </c>
    </row>
    <row r="79" customFormat="false" ht="15" hidden="false" customHeight="true" outlineLevel="0" collapsed="false">
      <c r="A79" s="11" t="str">
        <f aca="false">TRIM('수출입 실적(성질별_수입)'!A83)</f>
        <v>2024.04</v>
      </c>
      <c r="B79" s="17" t="n">
        <f aca="false">IFERROR(VALUE(LEFT($A79,4)),"")</f>
        <v>2024</v>
      </c>
      <c r="C79" s="17" t="n">
        <f aca="false">IFERROR(VALUE(RIGHT($A79,2)),"")</f>
        <v>4</v>
      </c>
      <c r="D79" s="17" t="n">
        <f aca="false">IFERROR(ROUNDUP($C79/3,0),"")</f>
        <v>2</v>
      </c>
      <c r="E79" s="11" t="str">
        <f aca="false">TRIM('수출입 실적(성질별_수입)'!C83)</f>
        <v>자. 기 타</v>
      </c>
      <c r="F79" s="18" t="n">
        <f aca="false">IFERROR(VALUE(SUBSTITUTE(TRIM('수출입 실적(성질별_수입)'!D83),",","")),"")</f>
        <v>956887.7</v>
      </c>
      <c r="G79" s="19" t="n">
        <f aca="false">IFERROR(VALUE(SUBSTITUTE(TRIM('수출입 실적(성질별_수입)'!E83),",","")),"")</f>
        <v>1459809</v>
      </c>
    </row>
    <row r="80" customFormat="false" ht="15" hidden="false" customHeight="true" outlineLevel="0" collapsed="false">
      <c r="A80" s="11" t="str">
        <f aca="false">TRIM('수출입 실적(성질별_수입)'!A84)</f>
        <v>2024.04</v>
      </c>
      <c r="B80" s="17" t="n">
        <f aca="false">IFERROR(VALUE(LEFT($A80,4)),"")</f>
        <v>2024</v>
      </c>
      <c r="C80" s="17" t="n">
        <f aca="false">IFERROR(VALUE(RIGHT($A80,2)),"")</f>
        <v>4</v>
      </c>
      <c r="D80" s="17" t="n">
        <f aca="false">IFERROR(ROUNDUP($C80/3,0),"")</f>
        <v>2</v>
      </c>
      <c r="E80" s="11" t="str">
        <f aca="false">TRIM('수출입 실적(성질별_수입)'!C84)</f>
        <v>3. 자본재</v>
      </c>
      <c r="F80" s="18" t="n">
        <f aca="false">IFERROR(VALUE(SUBSTITUTE(TRIM('수출입 실적(성질별_수입)'!D84),",","")),"")</f>
        <v>939677.9</v>
      </c>
      <c r="G80" s="19" t="n">
        <f aca="false">IFERROR(VALUE(SUBSTITUTE(TRIM('수출입 실적(성질별_수입)'!E84),",","")),"")</f>
        <v>17906335</v>
      </c>
    </row>
    <row r="81" customFormat="false" ht="15" hidden="false" customHeight="true" outlineLevel="0" collapsed="false">
      <c r="A81" s="11" t="str">
        <f aca="false">TRIM('수출입 실적(성질별_수입)'!A85)</f>
        <v>2024.04</v>
      </c>
      <c r="B81" s="17" t="n">
        <f aca="false">IFERROR(VALUE(LEFT($A81,4)),"")</f>
        <v>2024</v>
      </c>
      <c r="C81" s="17" t="n">
        <f aca="false">IFERROR(VALUE(RIGHT($A81,2)),"")</f>
        <v>4</v>
      </c>
      <c r="D81" s="17" t="n">
        <f aca="false">IFERROR(ROUNDUP($C81/3,0),"")</f>
        <v>2</v>
      </c>
      <c r="E81" s="11" t="str">
        <f aca="false">TRIM('수출입 실적(성질별_수입)'!C85)</f>
        <v>가. 기계류와 정밀기기</v>
      </c>
      <c r="F81" s="18" t="n">
        <f aca="false">IFERROR(VALUE(SUBSTITUTE(TRIM('수출입 실적(성질별_수입)'!D85),",","")),"")</f>
        <v>201075.5</v>
      </c>
      <c r="G81" s="19" t="n">
        <f aca="false">IFERROR(VALUE(SUBSTITUTE(TRIM('수출입 실적(성질별_수입)'!E85),",","")),"")</f>
        <v>5552261</v>
      </c>
    </row>
    <row r="82" customFormat="false" ht="15" hidden="false" customHeight="true" outlineLevel="0" collapsed="false">
      <c r="A82" s="11" t="str">
        <f aca="false">TRIM('수출입 실적(성질별_수입)'!A86)</f>
        <v>2024.04</v>
      </c>
      <c r="B82" s="17" t="n">
        <f aca="false">IFERROR(VALUE(LEFT($A82,4)),"")</f>
        <v>2024</v>
      </c>
      <c r="C82" s="17" t="n">
        <f aca="false">IFERROR(VALUE(RIGHT($A82,2)),"")</f>
        <v>4</v>
      </c>
      <c r="D82" s="17" t="n">
        <f aca="false">IFERROR(ROUNDUP($C82/3,0),"")</f>
        <v>2</v>
      </c>
      <c r="E82" s="11" t="str">
        <f aca="false">TRIM('수출입 실적(성질별_수입)'!C86)</f>
        <v>나. 전기·전자기기</v>
      </c>
      <c r="F82" s="18" t="n">
        <f aca="false">IFERROR(VALUE(SUBSTITUTE(TRIM('수출입 실적(성질별_수입)'!D86),",","")),"")</f>
        <v>168718.6</v>
      </c>
      <c r="G82" s="19" t="n">
        <f aca="false">IFERROR(VALUE(SUBSTITUTE(TRIM('수출입 실적(성질별_수입)'!E86),",","")),"")</f>
        <v>10860388</v>
      </c>
    </row>
    <row r="83" customFormat="false" ht="15" hidden="false" customHeight="true" outlineLevel="0" collapsed="false">
      <c r="A83" s="11" t="str">
        <f aca="false">TRIM('수출입 실적(성질별_수입)'!A87)</f>
        <v>2024.04</v>
      </c>
      <c r="B83" s="17" t="n">
        <f aca="false">IFERROR(VALUE(LEFT($A83,4)),"")</f>
        <v>2024</v>
      </c>
      <c r="C83" s="17" t="n">
        <f aca="false">IFERROR(VALUE(RIGHT($A83,2)),"")</f>
        <v>4</v>
      </c>
      <c r="D83" s="17" t="n">
        <f aca="false">IFERROR(ROUNDUP($C83/3,0),"")</f>
        <v>2</v>
      </c>
      <c r="E83" s="11" t="str">
        <f aca="false">TRIM('수출입 실적(성질별_수입)'!C87)</f>
        <v>다. 수송장비</v>
      </c>
      <c r="F83" s="18" t="n">
        <f aca="false">IFERROR(VALUE(SUBSTITUTE(TRIM('수출입 실적(성질별_수입)'!D87),",","")),"")</f>
        <v>552980.3</v>
      </c>
      <c r="G83" s="19" t="n">
        <f aca="false">IFERROR(VALUE(SUBSTITUTE(TRIM('수출입 실적(성질별_수입)'!E87),",","")),"")</f>
        <v>1256888</v>
      </c>
    </row>
    <row r="84" customFormat="false" ht="15" hidden="false" customHeight="true" outlineLevel="0" collapsed="false">
      <c r="A84" s="11" t="str">
        <f aca="false">TRIM('수출입 실적(성질별_수입)'!A88)</f>
        <v>2024.04</v>
      </c>
      <c r="B84" s="17" t="n">
        <f aca="false">IFERROR(VALUE(LEFT($A84,4)),"")</f>
        <v>2024</v>
      </c>
      <c r="C84" s="17" t="n">
        <f aca="false">IFERROR(VALUE(RIGHT($A84,2)),"")</f>
        <v>4</v>
      </c>
      <c r="D84" s="17" t="n">
        <f aca="false">IFERROR(ROUNDUP($C84/3,0),"")</f>
        <v>2</v>
      </c>
      <c r="E84" s="11" t="str">
        <f aca="false">TRIM('수출입 실적(성질별_수입)'!C88)</f>
        <v>라. 기 타</v>
      </c>
      <c r="F84" s="18" t="n">
        <f aca="false">IFERROR(VALUE(SUBSTITUTE(TRIM('수출입 실적(성질별_수입)'!D88),",","")),"")</f>
        <v>16903.5</v>
      </c>
      <c r="G84" s="19" t="n">
        <f aca="false">IFERROR(VALUE(SUBSTITUTE(TRIM('수출입 실적(성질별_수입)'!E88),",","")),"")</f>
        <v>236799</v>
      </c>
    </row>
    <row r="85" customFormat="false" ht="15" hidden="false" customHeight="true" outlineLevel="0" collapsed="false">
      <c r="A85" s="11" t="str">
        <f aca="false">TRIM('수출입 실적(성질별_수입)'!A89)</f>
        <v>2024.05</v>
      </c>
      <c r="B85" s="17" t="n">
        <f aca="false">IFERROR(VALUE(LEFT($A85,4)),"")</f>
        <v>2024</v>
      </c>
      <c r="C85" s="17" t="n">
        <f aca="false">IFERROR(VALUE(RIGHT($A85,2)),"")</f>
        <v>5</v>
      </c>
      <c r="D85" s="17" t="n">
        <f aca="false">IFERROR(ROUNDUP($C85/3,0),"")</f>
        <v>2</v>
      </c>
      <c r="E85" s="11" t="str">
        <f aca="false">TRIM('수출입 실적(성질별_수입)'!C89)</f>
        <v>1. 소비재</v>
      </c>
      <c r="F85" s="18" t="n">
        <f aca="false">IFERROR(VALUE(SUBSTITUTE(TRIM('수출입 실적(성질별_수입)'!D89),",","")),"")</f>
        <v>3522297.7</v>
      </c>
      <c r="G85" s="19" t="n">
        <f aca="false">IFERROR(VALUE(SUBSTITUTE(TRIM('수출입 실적(성질별_수입)'!E89),",","")),"")</f>
        <v>8648107</v>
      </c>
    </row>
    <row r="86" customFormat="false" ht="15" hidden="false" customHeight="true" outlineLevel="0" collapsed="false">
      <c r="A86" s="11" t="str">
        <f aca="false">TRIM('수출입 실적(성질별_수입)'!A90)</f>
        <v>2024.05</v>
      </c>
      <c r="B86" s="17" t="n">
        <f aca="false">IFERROR(VALUE(LEFT($A86,4)),"")</f>
        <v>2024</v>
      </c>
      <c r="C86" s="17" t="n">
        <f aca="false">IFERROR(VALUE(RIGHT($A86,2)),"")</f>
        <v>5</v>
      </c>
      <c r="D86" s="17" t="n">
        <f aca="false">IFERROR(ROUNDUP($C86/3,0),"")</f>
        <v>2</v>
      </c>
      <c r="E86" s="11" t="str">
        <f aca="false">TRIM('수출입 실적(성질별_수입)'!C90)</f>
        <v>가. 곡물</v>
      </c>
      <c r="F86" s="18" t="n">
        <f aca="false">IFERROR(VALUE(SUBSTITUTE(TRIM('수출입 실적(성질별_수입)'!D90),",","")),"")</f>
        <v>2277452</v>
      </c>
      <c r="G86" s="19" t="n">
        <f aca="false">IFERROR(VALUE(SUBSTITUTE(TRIM('수출입 실적(성질별_수입)'!E90),",","")),"")</f>
        <v>792732</v>
      </c>
    </row>
    <row r="87" customFormat="false" ht="15" hidden="false" customHeight="true" outlineLevel="0" collapsed="false">
      <c r="A87" s="11" t="str">
        <f aca="false">TRIM('수출입 실적(성질별_수입)'!A91)</f>
        <v>2024.05</v>
      </c>
      <c r="B87" s="17" t="n">
        <f aca="false">IFERROR(VALUE(LEFT($A87,4)),"")</f>
        <v>2024</v>
      </c>
      <c r="C87" s="17" t="n">
        <f aca="false">IFERROR(VALUE(RIGHT($A87,2)),"")</f>
        <v>5</v>
      </c>
      <c r="D87" s="17" t="n">
        <f aca="false">IFERROR(ROUNDUP($C87/3,0),"")</f>
        <v>2</v>
      </c>
      <c r="E87" s="11" t="str">
        <f aca="false">TRIM('수출입 실적(성질별_수입)'!C91)</f>
        <v>나. 직접소비재</v>
      </c>
      <c r="F87" s="18" t="n">
        <f aca="false">IFERROR(VALUE(SUBSTITUTE(TRIM('수출입 실적(성질별_수입)'!D91),",","")),"")</f>
        <v>820582.8</v>
      </c>
      <c r="G87" s="19" t="n">
        <f aca="false">IFERROR(VALUE(SUBSTITUTE(TRIM('수출입 실적(성질별_수입)'!E91),",","")),"")</f>
        <v>2429083</v>
      </c>
    </row>
    <row r="88" customFormat="false" ht="15" hidden="false" customHeight="true" outlineLevel="0" collapsed="false">
      <c r="A88" s="11" t="str">
        <f aca="false">TRIM('수출입 실적(성질별_수입)'!A92)</f>
        <v>2024.05</v>
      </c>
      <c r="B88" s="17" t="n">
        <f aca="false">IFERROR(VALUE(LEFT($A88,4)),"")</f>
        <v>2024</v>
      </c>
      <c r="C88" s="17" t="n">
        <f aca="false">IFERROR(VALUE(RIGHT($A88,2)),"")</f>
        <v>5</v>
      </c>
      <c r="D88" s="17" t="n">
        <f aca="false">IFERROR(ROUNDUP($C88/3,0),"")</f>
        <v>2</v>
      </c>
      <c r="E88" s="11" t="str">
        <f aca="false">TRIM('수출입 실적(성질별_수입)'!C92)</f>
        <v>다. 내구소비재</v>
      </c>
      <c r="F88" s="18" t="n">
        <f aca="false">IFERROR(VALUE(SUBSTITUTE(TRIM('수출입 실적(성질별_수입)'!D92),",","")),"")</f>
        <v>301201.5</v>
      </c>
      <c r="G88" s="19" t="n">
        <f aca="false">IFERROR(VALUE(SUBSTITUTE(TRIM('수출입 실적(성질별_수입)'!E92),",","")),"")</f>
        <v>3631375</v>
      </c>
    </row>
    <row r="89" customFormat="false" ht="15" hidden="false" customHeight="true" outlineLevel="0" collapsed="false">
      <c r="A89" s="11" t="str">
        <f aca="false">TRIM('수출입 실적(성질별_수입)'!A93)</f>
        <v>2024.05</v>
      </c>
      <c r="B89" s="17" t="n">
        <f aca="false">IFERROR(VALUE(LEFT($A89,4)),"")</f>
        <v>2024</v>
      </c>
      <c r="C89" s="17" t="n">
        <f aca="false">IFERROR(VALUE(RIGHT($A89,2)),"")</f>
        <v>5</v>
      </c>
      <c r="D89" s="17" t="n">
        <f aca="false">IFERROR(ROUNDUP($C89/3,0),"")</f>
        <v>2</v>
      </c>
      <c r="E89" s="11" t="str">
        <f aca="false">TRIM('수출입 실적(성질별_수입)'!C93)</f>
        <v>라. 비내구 소비재</v>
      </c>
      <c r="F89" s="18" t="n">
        <f aca="false">IFERROR(VALUE(SUBSTITUTE(TRIM('수출입 실적(성질별_수입)'!D93),",","")),"")</f>
        <v>123061.5</v>
      </c>
      <c r="G89" s="19" t="n">
        <f aca="false">IFERROR(VALUE(SUBSTITUTE(TRIM('수출입 실적(성질별_수입)'!E93),",","")),"")</f>
        <v>1794917</v>
      </c>
    </row>
    <row r="90" customFormat="false" ht="15" hidden="false" customHeight="true" outlineLevel="0" collapsed="false">
      <c r="A90" s="11" t="str">
        <f aca="false">TRIM('수출입 실적(성질별_수입)'!A94)</f>
        <v>2024.05</v>
      </c>
      <c r="B90" s="17" t="n">
        <f aca="false">IFERROR(VALUE(LEFT($A90,4)),"")</f>
        <v>2024</v>
      </c>
      <c r="C90" s="17" t="n">
        <f aca="false">IFERROR(VALUE(RIGHT($A90,2)),"")</f>
        <v>5</v>
      </c>
      <c r="D90" s="17" t="n">
        <f aca="false">IFERROR(ROUNDUP($C90/3,0),"")</f>
        <v>2</v>
      </c>
      <c r="E90" s="11" t="str">
        <f aca="false">TRIM('수출입 실적(성질별_수입)'!C94)</f>
        <v>2. 원자재</v>
      </c>
      <c r="F90" s="18" t="n">
        <f aca="false">IFERROR(VALUE(SUBSTITUTE(TRIM('수출입 실적(성질별_수입)'!D94),",","")),"")</f>
        <v>41636794.2</v>
      </c>
      <c r="G90" s="19" t="n">
        <f aca="false">IFERROR(VALUE(SUBSTITUTE(TRIM('수출입 실적(성질별_수입)'!E94),",","")),"")</f>
        <v>27005809</v>
      </c>
    </row>
    <row r="91" customFormat="false" ht="15" hidden="false" customHeight="true" outlineLevel="0" collapsed="false">
      <c r="A91" s="11" t="str">
        <f aca="false">TRIM('수출입 실적(성질별_수입)'!A95)</f>
        <v>2024.05</v>
      </c>
      <c r="B91" s="17" t="n">
        <f aca="false">IFERROR(VALUE(LEFT($A91,4)),"")</f>
        <v>2024</v>
      </c>
      <c r="C91" s="17" t="n">
        <f aca="false">IFERROR(VALUE(RIGHT($A91,2)),"")</f>
        <v>5</v>
      </c>
      <c r="D91" s="17" t="n">
        <f aca="false">IFERROR(ROUNDUP($C91/3,0),"")</f>
        <v>2</v>
      </c>
      <c r="E91" s="11" t="str">
        <f aca="false">TRIM('수출입 실적(성질별_수입)'!C95)</f>
        <v>가. 연 료</v>
      </c>
      <c r="F91" s="18" t="n">
        <f aca="false">IFERROR(VALUE(SUBSTITUTE(TRIM('수출입 실적(성질별_수입)'!D95),",","")),"")</f>
        <v>28248518.7</v>
      </c>
      <c r="G91" s="19" t="n">
        <f aca="false">IFERROR(VALUE(SUBSTITUTE(TRIM('수출입 실적(성질별_수입)'!E95),",","")),"")</f>
        <v>13807374</v>
      </c>
    </row>
    <row r="92" customFormat="false" ht="15" hidden="false" customHeight="true" outlineLevel="0" collapsed="false">
      <c r="A92" s="11" t="str">
        <f aca="false">TRIM('수출입 실적(성질별_수입)'!A96)</f>
        <v>2024.05</v>
      </c>
      <c r="B92" s="17" t="n">
        <f aca="false">IFERROR(VALUE(LEFT($A92,4)),"")</f>
        <v>2024</v>
      </c>
      <c r="C92" s="17" t="n">
        <f aca="false">IFERROR(VALUE(RIGHT($A92,2)),"")</f>
        <v>5</v>
      </c>
      <c r="D92" s="17" t="n">
        <f aca="false">IFERROR(ROUNDUP($C92/3,0),"")</f>
        <v>2</v>
      </c>
      <c r="E92" s="11" t="str">
        <f aca="false">TRIM('수출입 실적(성질별_수입)'!C96)</f>
        <v>나. 광 물</v>
      </c>
      <c r="F92" s="18" t="n">
        <f aca="false">IFERROR(VALUE(SUBSTITUTE(TRIM('수출입 실적(성질별_수입)'!D96),",","")),"")</f>
        <v>7015716.3</v>
      </c>
      <c r="G92" s="19" t="n">
        <f aca="false">IFERROR(VALUE(SUBSTITUTE(TRIM('수출입 실적(성질별_수입)'!E96),",","")),"")</f>
        <v>2354923</v>
      </c>
    </row>
    <row r="93" customFormat="false" ht="15" hidden="false" customHeight="true" outlineLevel="0" collapsed="false">
      <c r="A93" s="11" t="str">
        <f aca="false">TRIM('수출입 실적(성질별_수입)'!A97)</f>
        <v>2024.05</v>
      </c>
      <c r="B93" s="17" t="n">
        <f aca="false">IFERROR(VALUE(LEFT($A93,4)),"")</f>
        <v>2024</v>
      </c>
      <c r="C93" s="17" t="n">
        <f aca="false">IFERROR(VALUE(RIGHT($A93,2)),"")</f>
        <v>5</v>
      </c>
      <c r="D93" s="17" t="n">
        <f aca="false">IFERROR(ROUNDUP($C93/3,0),"")</f>
        <v>2</v>
      </c>
      <c r="E93" s="11" t="str">
        <f aca="false">TRIM('수출입 실적(성질별_수입)'!C97)</f>
        <v>다. 경공업 원료</v>
      </c>
      <c r="F93" s="18" t="n">
        <f aca="false">IFERROR(VALUE(SUBSTITUTE(TRIM('수출입 실적(성질별_수입)'!D97),",","")),"")</f>
        <v>1411078.4</v>
      </c>
      <c r="G93" s="19" t="n">
        <f aca="false">IFERROR(VALUE(SUBSTITUTE(TRIM('수출입 실적(성질별_수입)'!E97),",","")),"")</f>
        <v>586732</v>
      </c>
    </row>
    <row r="94" customFormat="false" ht="15" hidden="false" customHeight="true" outlineLevel="0" collapsed="false">
      <c r="A94" s="11" t="str">
        <f aca="false">TRIM('수출입 실적(성질별_수입)'!A98)</f>
        <v>2024.05</v>
      </c>
      <c r="B94" s="17" t="n">
        <f aca="false">IFERROR(VALUE(LEFT($A94,4)),"")</f>
        <v>2024</v>
      </c>
      <c r="C94" s="17" t="n">
        <f aca="false">IFERROR(VALUE(RIGHT($A94,2)),"")</f>
        <v>5</v>
      </c>
      <c r="D94" s="17" t="n">
        <f aca="false">IFERROR(ROUNDUP($C94/3,0),"")</f>
        <v>2</v>
      </c>
      <c r="E94" s="11" t="str">
        <f aca="false">TRIM('수출입 실적(성질별_수입)'!C98)</f>
        <v>라. 유 지</v>
      </c>
      <c r="F94" s="18" t="n">
        <f aca="false">IFERROR(VALUE(SUBSTITUTE(TRIM('수출입 실적(성질별_수입)'!D98),",","")),"")</f>
        <v>127740</v>
      </c>
      <c r="G94" s="19" t="n">
        <f aca="false">IFERROR(VALUE(SUBSTITUTE(TRIM('수출입 실적(성질별_수입)'!E98),",","")),"")</f>
        <v>164459</v>
      </c>
    </row>
    <row r="95" customFormat="false" ht="15" hidden="false" customHeight="true" outlineLevel="0" collapsed="false">
      <c r="A95" s="11" t="str">
        <f aca="false">TRIM('수출입 실적(성질별_수입)'!A99)</f>
        <v>2024.05</v>
      </c>
      <c r="B95" s="17" t="n">
        <f aca="false">IFERROR(VALUE(LEFT($A95,4)),"")</f>
        <v>2024</v>
      </c>
      <c r="C95" s="17" t="n">
        <f aca="false">IFERROR(VALUE(RIGHT($A95,2)),"")</f>
        <v>5</v>
      </c>
      <c r="D95" s="17" t="n">
        <f aca="false">IFERROR(ROUNDUP($C95/3,0),"")</f>
        <v>2</v>
      </c>
      <c r="E95" s="11" t="str">
        <f aca="false">TRIM('수출입 실적(성질별_수입)'!C99)</f>
        <v>마. 섬유류</v>
      </c>
      <c r="F95" s="18" t="n">
        <f aca="false">IFERROR(VALUE(SUBSTITUTE(TRIM('수출입 실적(성질별_수입)'!D99),",","")),"")</f>
        <v>111154.5</v>
      </c>
      <c r="G95" s="19" t="n">
        <f aca="false">IFERROR(VALUE(SUBSTITUTE(TRIM('수출입 실적(성질별_수입)'!E99),",","")),"")</f>
        <v>349051</v>
      </c>
    </row>
    <row r="96" customFormat="false" ht="15" hidden="false" customHeight="true" outlineLevel="0" collapsed="false">
      <c r="A96" s="11" t="str">
        <f aca="false">TRIM('수출입 실적(성질별_수입)'!A100)</f>
        <v>2024.05</v>
      </c>
      <c r="B96" s="17" t="n">
        <f aca="false">IFERROR(VALUE(LEFT($A96,4)),"")</f>
        <v>2024</v>
      </c>
      <c r="C96" s="17" t="n">
        <f aca="false">IFERROR(VALUE(RIGHT($A96,2)),"")</f>
        <v>5</v>
      </c>
      <c r="D96" s="17" t="n">
        <f aca="false">IFERROR(ROUNDUP($C96/3,0),"")</f>
        <v>2</v>
      </c>
      <c r="E96" s="11" t="str">
        <f aca="false">TRIM('수출입 실적(성질별_수입)'!C100)</f>
        <v>바. 화공품</v>
      </c>
      <c r="F96" s="18" t="n">
        <f aca="false">IFERROR(VALUE(SUBSTITUTE(TRIM('수출입 실적(성질별_수입)'!D100),",","")),"")</f>
        <v>1830629.7</v>
      </c>
      <c r="G96" s="19" t="n">
        <f aca="false">IFERROR(VALUE(SUBSTITUTE(TRIM('수출입 실적(성질별_수입)'!E100),",","")),"")</f>
        <v>4762775</v>
      </c>
    </row>
    <row r="97" customFormat="false" ht="15" hidden="false" customHeight="true" outlineLevel="0" collapsed="false">
      <c r="A97" s="11" t="str">
        <f aca="false">TRIM('수출입 실적(성질별_수입)'!A101)</f>
        <v>2024.05</v>
      </c>
      <c r="B97" s="17" t="n">
        <f aca="false">IFERROR(VALUE(LEFT($A97,4)),"")</f>
        <v>2024</v>
      </c>
      <c r="C97" s="17" t="n">
        <f aca="false">IFERROR(VALUE(RIGHT($A97,2)),"")</f>
        <v>5</v>
      </c>
      <c r="D97" s="17" t="n">
        <f aca="false">IFERROR(ROUNDUP($C97/3,0),"")</f>
        <v>2</v>
      </c>
      <c r="E97" s="11" t="str">
        <f aca="false">TRIM('수출입 실적(성질별_수입)'!C101)</f>
        <v>사. 철강재</v>
      </c>
      <c r="F97" s="18" t="n">
        <f aca="false">IFERROR(VALUE(SUBSTITUTE(TRIM('수출입 실적(성질별_수입)'!D101),",","")),"")</f>
        <v>1711206.1</v>
      </c>
      <c r="G97" s="19" t="n">
        <f aca="false">IFERROR(VALUE(SUBSTITUTE(TRIM('수출입 실적(성질별_수입)'!E101),",","")),"")</f>
        <v>1872914</v>
      </c>
    </row>
    <row r="98" customFormat="false" ht="15" hidden="false" customHeight="true" outlineLevel="0" collapsed="false">
      <c r="A98" s="11" t="str">
        <f aca="false">TRIM('수출입 실적(성질별_수입)'!A102)</f>
        <v>2024.05</v>
      </c>
      <c r="B98" s="17" t="n">
        <f aca="false">IFERROR(VALUE(LEFT($A98,4)),"")</f>
        <v>2024</v>
      </c>
      <c r="C98" s="17" t="n">
        <f aca="false">IFERROR(VALUE(RIGHT($A98,2)),"")</f>
        <v>5</v>
      </c>
      <c r="D98" s="17" t="n">
        <f aca="false">IFERROR(ROUNDUP($C98/3,0),"")</f>
        <v>2</v>
      </c>
      <c r="E98" s="11" t="str">
        <f aca="false">TRIM('수출입 실적(성질별_수입)'!C102)</f>
        <v>아. 비철금속</v>
      </c>
      <c r="F98" s="18" t="n">
        <f aca="false">IFERROR(VALUE(SUBSTITUTE(TRIM('수출입 실적(성질별_수입)'!D102),",","")),"")</f>
        <v>266949.2</v>
      </c>
      <c r="G98" s="19" t="n">
        <f aca="false">IFERROR(VALUE(SUBSTITUTE(TRIM('수출입 실적(성질별_수입)'!E102),",","")),"")</f>
        <v>1459060</v>
      </c>
    </row>
    <row r="99" customFormat="false" ht="15" hidden="false" customHeight="true" outlineLevel="0" collapsed="false">
      <c r="A99" s="11" t="str">
        <f aca="false">TRIM('수출입 실적(성질별_수입)'!A103)</f>
        <v>2024.05</v>
      </c>
      <c r="B99" s="17" t="n">
        <f aca="false">IFERROR(VALUE(LEFT($A99,4)),"")</f>
        <v>2024</v>
      </c>
      <c r="C99" s="17" t="n">
        <f aca="false">IFERROR(VALUE(RIGHT($A99,2)),"")</f>
        <v>5</v>
      </c>
      <c r="D99" s="17" t="n">
        <f aca="false">IFERROR(ROUNDUP($C99/3,0),"")</f>
        <v>2</v>
      </c>
      <c r="E99" s="11" t="str">
        <f aca="false">TRIM('수출입 실적(성질별_수입)'!C103)</f>
        <v>자. 기 타</v>
      </c>
      <c r="F99" s="18" t="n">
        <f aca="false">IFERROR(VALUE(SUBSTITUTE(TRIM('수출입 실적(성질별_수입)'!D103),",","")),"")</f>
        <v>913801.2</v>
      </c>
      <c r="G99" s="19" t="n">
        <f aca="false">IFERROR(VALUE(SUBSTITUTE(TRIM('수출입 실적(성질별_수입)'!E103),",","")),"")</f>
        <v>1648523</v>
      </c>
    </row>
    <row r="100" customFormat="false" ht="15" hidden="false" customHeight="true" outlineLevel="0" collapsed="false">
      <c r="A100" s="11" t="str">
        <f aca="false">TRIM('수출입 실적(성질별_수입)'!A104)</f>
        <v>2024.05</v>
      </c>
      <c r="B100" s="17" t="n">
        <f aca="false">IFERROR(VALUE(LEFT($A100,4)),"")</f>
        <v>2024</v>
      </c>
      <c r="C100" s="17" t="n">
        <f aca="false">IFERROR(VALUE(RIGHT($A100,2)),"")</f>
        <v>5</v>
      </c>
      <c r="D100" s="17" t="n">
        <f aca="false">IFERROR(ROUNDUP($C100/3,0),"")</f>
        <v>2</v>
      </c>
      <c r="E100" s="11" t="str">
        <f aca="false">TRIM('수출입 실적(성질별_수입)'!C104)</f>
        <v>3. 자본재</v>
      </c>
      <c r="F100" s="18" t="n">
        <f aca="false">IFERROR(VALUE(SUBSTITUTE(TRIM('수출입 실적(성질별_수입)'!D104),",","")),"")</f>
        <v>721195.1</v>
      </c>
      <c r="G100" s="19" t="n">
        <f aca="false">IFERROR(VALUE(SUBSTITUTE(TRIM('수출입 실적(성질별_수입)'!E104),",","")),"")</f>
        <v>17479022</v>
      </c>
    </row>
    <row r="101" customFormat="false" ht="15" hidden="false" customHeight="true" outlineLevel="0" collapsed="false">
      <c r="A101" s="11" t="str">
        <f aca="false">TRIM('수출입 실적(성질별_수입)'!A105)</f>
        <v>2024.05</v>
      </c>
      <c r="B101" s="17" t="n">
        <f aca="false">IFERROR(VALUE(LEFT($A101,4)),"")</f>
        <v>2024</v>
      </c>
      <c r="C101" s="17" t="n">
        <f aca="false">IFERROR(VALUE(RIGHT($A101,2)),"")</f>
        <v>5</v>
      </c>
      <c r="D101" s="17" t="n">
        <f aca="false">IFERROR(ROUNDUP($C101/3,0),"")</f>
        <v>2</v>
      </c>
      <c r="E101" s="11" t="str">
        <f aca="false">TRIM('수출입 실적(성질별_수입)'!C105)</f>
        <v>가. 기계류와 정밀기기</v>
      </c>
      <c r="F101" s="18" t="n">
        <f aca="false">IFERROR(VALUE(SUBSTITUTE(TRIM('수출입 실적(성질별_수입)'!D105),",","")),"")</f>
        <v>199084.2</v>
      </c>
      <c r="G101" s="19" t="n">
        <f aca="false">IFERROR(VALUE(SUBSTITUTE(TRIM('수출입 실적(성질별_수입)'!E105),",","")),"")</f>
        <v>5346222</v>
      </c>
    </row>
    <row r="102" customFormat="false" ht="15" hidden="false" customHeight="true" outlineLevel="0" collapsed="false">
      <c r="A102" s="11" t="str">
        <f aca="false">TRIM('수출입 실적(성질별_수입)'!A106)</f>
        <v>2024.05</v>
      </c>
      <c r="B102" s="17" t="n">
        <f aca="false">IFERROR(VALUE(LEFT($A102,4)),"")</f>
        <v>2024</v>
      </c>
      <c r="C102" s="17" t="n">
        <f aca="false">IFERROR(VALUE(RIGHT($A102,2)),"")</f>
        <v>5</v>
      </c>
      <c r="D102" s="17" t="n">
        <f aca="false">IFERROR(ROUNDUP($C102/3,0),"")</f>
        <v>2</v>
      </c>
      <c r="E102" s="11" t="str">
        <f aca="false">TRIM('수출입 실적(성질별_수입)'!C106)</f>
        <v>나. 전기·전자기기</v>
      </c>
      <c r="F102" s="18" t="n">
        <f aca="false">IFERROR(VALUE(SUBSTITUTE(TRIM('수출입 실적(성질별_수입)'!D106),",","")),"")</f>
        <v>183851.6</v>
      </c>
      <c r="G102" s="19" t="n">
        <f aca="false">IFERROR(VALUE(SUBSTITUTE(TRIM('수출입 실적(성질별_수입)'!E106),",","")),"")</f>
        <v>10876249</v>
      </c>
    </row>
    <row r="103" customFormat="false" ht="15" hidden="false" customHeight="true" outlineLevel="0" collapsed="false">
      <c r="A103" s="11" t="str">
        <f aca="false">TRIM('수출입 실적(성질별_수입)'!A107)</f>
        <v>2024.05</v>
      </c>
      <c r="B103" s="17" t="n">
        <f aca="false">IFERROR(VALUE(LEFT($A103,4)),"")</f>
        <v>2024</v>
      </c>
      <c r="C103" s="17" t="n">
        <f aca="false">IFERROR(VALUE(RIGHT($A103,2)),"")</f>
        <v>5</v>
      </c>
      <c r="D103" s="17" t="n">
        <f aca="false">IFERROR(ROUNDUP($C103/3,0),"")</f>
        <v>2</v>
      </c>
      <c r="E103" s="11" t="str">
        <f aca="false">TRIM('수출입 실적(성질별_수입)'!C107)</f>
        <v>다. 수송장비</v>
      </c>
      <c r="F103" s="18" t="n">
        <f aca="false">IFERROR(VALUE(SUBSTITUTE(TRIM('수출입 실적(성질별_수입)'!D107),",","")),"")</f>
        <v>319811.6</v>
      </c>
      <c r="G103" s="19" t="n">
        <f aca="false">IFERROR(VALUE(SUBSTITUTE(TRIM('수출입 실적(성질별_수입)'!E107),",","")),"")</f>
        <v>1004011</v>
      </c>
    </row>
    <row r="104" customFormat="false" ht="15" hidden="false" customHeight="true" outlineLevel="0" collapsed="false">
      <c r="A104" s="11" t="str">
        <f aca="false">TRIM('수출입 실적(성질별_수입)'!A108)</f>
        <v>2024.05</v>
      </c>
      <c r="B104" s="17" t="n">
        <f aca="false">IFERROR(VALUE(LEFT($A104,4)),"")</f>
        <v>2024</v>
      </c>
      <c r="C104" s="17" t="n">
        <f aca="false">IFERROR(VALUE(RIGHT($A104,2)),"")</f>
        <v>5</v>
      </c>
      <c r="D104" s="17" t="n">
        <f aca="false">IFERROR(ROUNDUP($C104/3,0),"")</f>
        <v>2</v>
      </c>
      <c r="E104" s="11" t="str">
        <f aca="false">TRIM('수출입 실적(성질별_수입)'!C108)</f>
        <v>라. 기 타</v>
      </c>
      <c r="F104" s="18" t="n">
        <f aca="false">IFERROR(VALUE(SUBSTITUTE(TRIM('수출입 실적(성질별_수입)'!D108),",","")),"")</f>
        <v>18447.6</v>
      </c>
      <c r="G104" s="19" t="n">
        <f aca="false">IFERROR(VALUE(SUBSTITUTE(TRIM('수출입 실적(성질별_수입)'!E108),",","")),"")</f>
        <v>252539</v>
      </c>
    </row>
    <row r="105" customFormat="false" ht="15" hidden="false" customHeight="true" outlineLevel="0" collapsed="false">
      <c r="A105" s="11" t="str">
        <f aca="false">TRIM('수출입 실적(성질별_수입)'!A109)</f>
        <v>2024.06</v>
      </c>
      <c r="B105" s="17" t="n">
        <f aca="false">IFERROR(VALUE(LEFT($A105,4)),"")</f>
        <v>2024</v>
      </c>
      <c r="C105" s="17" t="n">
        <f aca="false">IFERROR(VALUE(RIGHT($A105,2)),"")</f>
        <v>6</v>
      </c>
      <c r="D105" s="17" t="n">
        <f aca="false">IFERROR(ROUNDUP($C105/3,0),"")</f>
        <v>2</v>
      </c>
      <c r="E105" s="11" t="str">
        <f aca="false">TRIM('수출입 실적(성질별_수입)'!C109)</f>
        <v>1. 소비재</v>
      </c>
      <c r="F105" s="18" t="n">
        <f aca="false">IFERROR(VALUE(SUBSTITUTE(TRIM('수출입 실적(성질별_수입)'!D109),",","")),"")</f>
        <v>3167558.9</v>
      </c>
      <c r="G105" s="19" t="n">
        <f aca="false">IFERROR(VALUE(SUBSTITUTE(TRIM('수출입 실적(성질별_수입)'!E109),",","")),"")</f>
        <v>7885031</v>
      </c>
    </row>
    <row r="106" customFormat="false" ht="15" hidden="false" customHeight="true" outlineLevel="0" collapsed="false">
      <c r="A106" s="11" t="str">
        <f aca="false">TRIM('수출입 실적(성질별_수입)'!A110)</f>
        <v>2024.06</v>
      </c>
      <c r="B106" s="17" t="n">
        <f aca="false">IFERROR(VALUE(LEFT($A106,4)),"")</f>
        <v>2024</v>
      </c>
      <c r="C106" s="17" t="n">
        <f aca="false">IFERROR(VALUE(RIGHT($A106,2)),"")</f>
        <v>6</v>
      </c>
      <c r="D106" s="17" t="n">
        <f aca="false">IFERROR(ROUNDUP($C106/3,0),"")</f>
        <v>2</v>
      </c>
      <c r="E106" s="11" t="str">
        <f aca="false">TRIM('수출입 실적(성질별_수입)'!C110)</f>
        <v>가. 곡물</v>
      </c>
      <c r="F106" s="18" t="n">
        <f aca="false">IFERROR(VALUE(SUBSTITUTE(TRIM('수출입 실적(성질별_수입)'!D110),",","")),"")</f>
        <v>2035255.3</v>
      </c>
      <c r="G106" s="19" t="n">
        <f aca="false">IFERROR(VALUE(SUBSTITUTE(TRIM('수출입 실적(성질별_수입)'!E110),",","")),"")</f>
        <v>684270</v>
      </c>
    </row>
    <row r="107" customFormat="false" ht="15" hidden="false" customHeight="true" outlineLevel="0" collapsed="false">
      <c r="A107" s="11" t="str">
        <f aca="false">TRIM('수출입 실적(성질별_수입)'!A111)</f>
        <v>2024.06</v>
      </c>
      <c r="B107" s="17" t="n">
        <f aca="false">IFERROR(VALUE(LEFT($A107,4)),"")</f>
        <v>2024</v>
      </c>
      <c r="C107" s="17" t="n">
        <f aca="false">IFERROR(VALUE(RIGHT($A107,2)),"")</f>
        <v>6</v>
      </c>
      <c r="D107" s="17" t="n">
        <f aca="false">IFERROR(ROUNDUP($C107/3,0),"")</f>
        <v>2</v>
      </c>
      <c r="E107" s="11" t="str">
        <f aca="false">TRIM('수출입 실적(성질별_수입)'!C111)</f>
        <v>나. 직접소비재</v>
      </c>
      <c r="F107" s="18" t="n">
        <f aca="false">IFERROR(VALUE(SUBSTITUTE(TRIM('수출입 실적(성질별_수입)'!D111),",","")),"")</f>
        <v>758111.9</v>
      </c>
      <c r="G107" s="19" t="n">
        <f aca="false">IFERROR(VALUE(SUBSTITUTE(TRIM('수출입 실적(성질별_수입)'!E111),",","")),"")</f>
        <v>2209788</v>
      </c>
    </row>
    <row r="108" customFormat="false" ht="15" hidden="false" customHeight="true" outlineLevel="0" collapsed="false">
      <c r="A108" s="11" t="str">
        <f aca="false">TRIM('수출입 실적(성질별_수입)'!A112)</f>
        <v>2024.06</v>
      </c>
      <c r="B108" s="17" t="n">
        <f aca="false">IFERROR(VALUE(LEFT($A108,4)),"")</f>
        <v>2024</v>
      </c>
      <c r="C108" s="17" t="n">
        <f aca="false">IFERROR(VALUE(RIGHT($A108,2)),"")</f>
        <v>6</v>
      </c>
      <c r="D108" s="17" t="n">
        <f aca="false">IFERROR(ROUNDUP($C108/3,0),"")</f>
        <v>2</v>
      </c>
      <c r="E108" s="11" t="str">
        <f aca="false">TRIM('수출입 실적(성질별_수입)'!C112)</f>
        <v>다. 내구소비재</v>
      </c>
      <c r="F108" s="18" t="n">
        <f aca="false">IFERROR(VALUE(SUBSTITUTE(TRIM('수출입 실적(성질별_수입)'!D112),",","")),"")</f>
        <v>265020</v>
      </c>
      <c r="G108" s="19" t="n">
        <f aca="false">IFERROR(VALUE(SUBSTITUTE(TRIM('수출입 실적(성질별_수입)'!E112),",","")),"")</f>
        <v>3245337</v>
      </c>
    </row>
    <row r="109" customFormat="false" ht="15" hidden="false" customHeight="true" outlineLevel="0" collapsed="false">
      <c r="A109" s="11" t="str">
        <f aca="false">TRIM('수출입 실적(성질별_수입)'!A113)</f>
        <v>2024.06</v>
      </c>
      <c r="B109" s="17" t="n">
        <f aca="false">IFERROR(VALUE(LEFT($A109,4)),"")</f>
        <v>2024</v>
      </c>
      <c r="C109" s="17" t="n">
        <f aca="false">IFERROR(VALUE(RIGHT($A109,2)),"")</f>
        <v>6</v>
      </c>
      <c r="D109" s="17" t="n">
        <f aca="false">IFERROR(ROUNDUP($C109/3,0),"")</f>
        <v>2</v>
      </c>
      <c r="E109" s="11" t="str">
        <f aca="false">TRIM('수출입 실적(성질별_수입)'!C113)</f>
        <v>라. 비내구 소비재</v>
      </c>
      <c r="F109" s="18" t="n">
        <f aca="false">IFERROR(VALUE(SUBSTITUTE(TRIM('수출입 실적(성질별_수입)'!D113),",","")),"")</f>
        <v>109171.8</v>
      </c>
      <c r="G109" s="19" t="n">
        <f aca="false">IFERROR(VALUE(SUBSTITUTE(TRIM('수출입 실적(성질별_수입)'!E113),",","")),"")</f>
        <v>1745636</v>
      </c>
    </row>
    <row r="110" customFormat="false" ht="15" hidden="false" customHeight="true" outlineLevel="0" collapsed="false">
      <c r="A110" s="11" t="str">
        <f aca="false">TRIM('수출입 실적(성질별_수입)'!A114)</f>
        <v>2024.06</v>
      </c>
      <c r="B110" s="17" t="n">
        <f aca="false">IFERROR(VALUE(LEFT($A110,4)),"")</f>
        <v>2024</v>
      </c>
      <c r="C110" s="17" t="n">
        <f aca="false">IFERROR(VALUE(RIGHT($A110,2)),"")</f>
        <v>6</v>
      </c>
      <c r="D110" s="17" t="n">
        <f aca="false">IFERROR(ROUNDUP($C110/3,0),"")</f>
        <v>2</v>
      </c>
      <c r="E110" s="11" t="str">
        <f aca="false">TRIM('수출입 실적(성질별_수입)'!C114)</f>
        <v>2. 원자재</v>
      </c>
      <c r="F110" s="18" t="n">
        <f aca="false">IFERROR(VALUE(SUBSTITUTE(TRIM('수출입 실적(성질별_수입)'!D114),",","")),"")</f>
        <v>38902734.9</v>
      </c>
      <c r="G110" s="19" t="n">
        <f aca="false">IFERROR(VALUE(SUBSTITUTE(TRIM('수출입 실적(성질별_수입)'!E114),",","")),"")</f>
        <v>23953834</v>
      </c>
    </row>
    <row r="111" customFormat="false" ht="15" hidden="false" customHeight="true" outlineLevel="0" collapsed="false">
      <c r="A111" s="11" t="str">
        <f aca="false">TRIM('수출입 실적(성질별_수입)'!A115)</f>
        <v>2024.06</v>
      </c>
      <c r="B111" s="17" t="n">
        <f aca="false">IFERROR(VALUE(LEFT($A111,4)),"")</f>
        <v>2024</v>
      </c>
      <c r="C111" s="17" t="n">
        <f aca="false">IFERROR(VALUE(RIGHT($A111,2)),"")</f>
        <v>6</v>
      </c>
      <c r="D111" s="17" t="n">
        <f aca="false">IFERROR(ROUNDUP($C111/3,0),"")</f>
        <v>2</v>
      </c>
      <c r="E111" s="11" t="str">
        <f aca="false">TRIM('수출입 실적(성질별_수입)'!C115)</f>
        <v>가. 연 료</v>
      </c>
      <c r="F111" s="18" t="n">
        <f aca="false">IFERROR(VALUE(SUBSTITUTE(TRIM('수출입 실적(성질별_수입)'!D115),",","")),"")</f>
        <v>25533593.5</v>
      </c>
      <c r="G111" s="19" t="n">
        <f aca="false">IFERROR(VALUE(SUBSTITUTE(TRIM('수출입 실적(성질별_수입)'!E115),",","")),"")</f>
        <v>12219931</v>
      </c>
    </row>
    <row r="112" customFormat="false" ht="15" hidden="false" customHeight="true" outlineLevel="0" collapsed="false">
      <c r="A112" s="11" t="str">
        <f aca="false">TRIM('수출입 실적(성질별_수입)'!A116)</f>
        <v>2024.06</v>
      </c>
      <c r="B112" s="17" t="n">
        <f aca="false">IFERROR(VALUE(LEFT($A112,4)),"")</f>
        <v>2024</v>
      </c>
      <c r="C112" s="17" t="n">
        <f aca="false">IFERROR(VALUE(RIGHT($A112,2)),"")</f>
        <v>6</v>
      </c>
      <c r="D112" s="17" t="n">
        <f aca="false">IFERROR(ROUNDUP($C112/3,0),"")</f>
        <v>2</v>
      </c>
      <c r="E112" s="11" t="str">
        <f aca="false">TRIM('수출입 실적(성질별_수입)'!C116)</f>
        <v>나. 광 물</v>
      </c>
      <c r="F112" s="18" t="n">
        <f aca="false">IFERROR(VALUE(SUBSTITUTE(TRIM('수출입 실적(성질별_수입)'!D116),",","")),"")</f>
        <v>7863192.1</v>
      </c>
      <c r="G112" s="19" t="n">
        <f aca="false">IFERROR(VALUE(SUBSTITUTE(TRIM('수출입 실적(성질별_수입)'!E116),",","")),"")</f>
        <v>2176225</v>
      </c>
    </row>
    <row r="113" customFormat="false" ht="15" hidden="false" customHeight="true" outlineLevel="0" collapsed="false">
      <c r="A113" s="11" t="str">
        <f aca="false">TRIM('수출입 실적(성질별_수입)'!A117)</f>
        <v>2024.06</v>
      </c>
      <c r="B113" s="17" t="n">
        <f aca="false">IFERROR(VALUE(LEFT($A113,4)),"")</f>
        <v>2024</v>
      </c>
      <c r="C113" s="17" t="n">
        <f aca="false">IFERROR(VALUE(RIGHT($A113,2)),"")</f>
        <v>6</v>
      </c>
      <c r="D113" s="17" t="n">
        <f aca="false">IFERROR(ROUNDUP($C113/3,0),"")</f>
        <v>2</v>
      </c>
      <c r="E113" s="11" t="str">
        <f aca="false">TRIM('수출입 실적(성질별_수입)'!C117)</f>
        <v>다. 경공업 원료</v>
      </c>
      <c r="F113" s="18" t="n">
        <f aca="false">IFERROR(VALUE(SUBSTITUTE(TRIM('수출입 실적(성질별_수입)'!D117),",","")),"")</f>
        <v>1271203.5</v>
      </c>
      <c r="G113" s="19" t="n">
        <f aca="false">IFERROR(VALUE(SUBSTITUTE(TRIM('수출입 실적(성질별_수입)'!E117),",","")),"")</f>
        <v>567482</v>
      </c>
    </row>
    <row r="114" customFormat="false" ht="15" hidden="false" customHeight="true" outlineLevel="0" collapsed="false">
      <c r="A114" s="11" t="str">
        <f aca="false">TRIM('수출입 실적(성질별_수입)'!A118)</f>
        <v>2024.06</v>
      </c>
      <c r="B114" s="17" t="n">
        <f aca="false">IFERROR(VALUE(LEFT($A114,4)),"")</f>
        <v>2024</v>
      </c>
      <c r="C114" s="17" t="n">
        <f aca="false">IFERROR(VALUE(RIGHT($A114,2)),"")</f>
        <v>6</v>
      </c>
      <c r="D114" s="17" t="n">
        <f aca="false">IFERROR(ROUNDUP($C114/3,0),"")</f>
        <v>2</v>
      </c>
      <c r="E114" s="11" t="str">
        <f aca="false">TRIM('수출입 실적(성질별_수입)'!C118)</f>
        <v>라. 유 지</v>
      </c>
      <c r="F114" s="18" t="n">
        <f aca="false">IFERROR(VALUE(SUBSTITUTE(TRIM('수출입 실적(성질별_수입)'!D118),",","")),"")</f>
        <v>126157.3</v>
      </c>
      <c r="G114" s="19" t="n">
        <f aca="false">IFERROR(VALUE(SUBSTITUTE(TRIM('수출입 실적(성질별_수입)'!E118),",","")),"")</f>
        <v>154770</v>
      </c>
    </row>
    <row r="115" customFormat="false" ht="15" hidden="false" customHeight="true" outlineLevel="0" collapsed="false">
      <c r="A115" s="11" t="str">
        <f aca="false">TRIM('수출입 실적(성질별_수입)'!A119)</f>
        <v>2024.06</v>
      </c>
      <c r="B115" s="17" t="n">
        <f aca="false">IFERROR(VALUE(LEFT($A115,4)),"")</f>
        <v>2024</v>
      </c>
      <c r="C115" s="17" t="n">
        <f aca="false">IFERROR(VALUE(RIGHT($A115,2)),"")</f>
        <v>6</v>
      </c>
      <c r="D115" s="17" t="n">
        <f aca="false">IFERROR(ROUNDUP($C115/3,0),"")</f>
        <v>2</v>
      </c>
      <c r="E115" s="11" t="str">
        <f aca="false">TRIM('수출입 실적(성질별_수입)'!C119)</f>
        <v>마. 섬유류</v>
      </c>
      <c r="F115" s="18" t="n">
        <f aca="false">IFERROR(VALUE(SUBSTITUTE(TRIM('수출입 실적(성질별_수입)'!D119),",","")),"")</f>
        <v>96014.8</v>
      </c>
      <c r="G115" s="19" t="n">
        <f aca="false">IFERROR(VALUE(SUBSTITUTE(TRIM('수출입 실적(성질별_수입)'!E119),",","")),"")</f>
        <v>306953</v>
      </c>
    </row>
    <row r="116" customFormat="false" ht="15" hidden="false" customHeight="true" outlineLevel="0" collapsed="false">
      <c r="A116" s="11" t="str">
        <f aca="false">TRIM('수출입 실적(성질별_수입)'!A120)</f>
        <v>2024.06</v>
      </c>
      <c r="B116" s="17" t="n">
        <f aca="false">IFERROR(VALUE(LEFT($A116,4)),"")</f>
        <v>2024</v>
      </c>
      <c r="C116" s="17" t="n">
        <f aca="false">IFERROR(VALUE(RIGHT($A116,2)),"")</f>
        <v>6</v>
      </c>
      <c r="D116" s="17" t="n">
        <f aca="false">IFERROR(ROUNDUP($C116/3,0),"")</f>
        <v>2</v>
      </c>
      <c r="E116" s="11" t="str">
        <f aca="false">TRIM('수출입 실적(성질별_수입)'!C120)</f>
        <v>바. 화공품</v>
      </c>
      <c r="F116" s="18" t="n">
        <f aca="false">IFERROR(VALUE(SUBSTITUTE(TRIM('수출입 실적(성질별_수입)'!D120),",","")),"")</f>
        <v>1633439.9</v>
      </c>
      <c r="G116" s="19" t="n">
        <f aca="false">IFERROR(VALUE(SUBSTITUTE(TRIM('수출입 실적(성질별_수입)'!E120),",","")),"")</f>
        <v>4421575</v>
      </c>
    </row>
    <row r="117" customFormat="false" ht="15" hidden="false" customHeight="true" outlineLevel="0" collapsed="false">
      <c r="A117" s="11" t="str">
        <f aca="false">TRIM('수출입 실적(성질별_수입)'!A121)</f>
        <v>2024.06</v>
      </c>
      <c r="B117" s="17" t="n">
        <f aca="false">IFERROR(VALUE(LEFT($A117,4)),"")</f>
        <v>2024</v>
      </c>
      <c r="C117" s="17" t="n">
        <f aca="false">IFERROR(VALUE(RIGHT($A117,2)),"")</f>
        <v>6</v>
      </c>
      <c r="D117" s="17" t="n">
        <f aca="false">IFERROR(ROUNDUP($C117/3,0),"")</f>
        <v>2</v>
      </c>
      <c r="E117" s="11" t="str">
        <f aca="false">TRIM('수출입 실적(성질별_수입)'!C121)</f>
        <v>사. 철강재</v>
      </c>
      <c r="F117" s="18" t="n">
        <f aca="false">IFERROR(VALUE(SUBSTITUTE(TRIM('수출입 실적(성질별_수입)'!D121),",","")),"")</f>
        <v>1294873.1</v>
      </c>
      <c r="G117" s="19" t="n">
        <f aca="false">IFERROR(VALUE(SUBSTITUTE(TRIM('수출입 실적(성질별_수입)'!E121),",","")),"")</f>
        <v>1546972</v>
      </c>
    </row>
    <row r="118" customFormat="false" ht="15" hidden="false" customHeight="true" outlineLevel="0" collapsed="false">
      <c r="A118" s="11" t="str">
        <f aca="false">TRIM('수출입 실적(성질별_수입)'!A122)</f>
        <v>2024.06</v>
      </c>
      <c r="B118" s="17" t="n">
        <f aca="false">IFERROR(VALUE(LEFT($A118,4)),"")</f>
        <v>2024</v>
      </c>
      <c r="C118" s="17" t="n">
        <f aca="false">IFERROR(VALUE(RIGHT($A118,2)),"")</f>
        <v>6</v>
      </c>
      <c r="D118" s="17" t="n">
        <f aca="false">IFERROR(ROUNDUP($C118/3,0),"")</f>
        <v>2</v>
      </c>
      <c r="E118" s="11" t="str">
        <f aca="false">TRIM('수출입 실적(성질별_수입)'!C122)</f>
        <v>아. 비철금속</v>
      </c>
      <c r="F118" s="18" t="n">
        <f aca="false">IFERROR(VALUE(SUBSTITUTE(TRIM('수출입 실적(성질별_수입)'!D122),",","")),"")</f>
        <v>245183.4</v>
      </c>
      <c r="G118" s="19" t="n">
        <f aca="false">IFERROR(VALUE(SUBSTITUTE(TRIM('수출입 실적(성질별_수입)'!E122),",","")),"")</f>
        <v>1316080</v>
      </c>
    </row>
    <row r="119" customFormat="false" ht="15" hidden="false" customHeight="true" outlineLevel="0" collapsed="false">
      <c r="A119" s="11" t="str">
        <f aca="false">TRIM('수출입 실적(성질별_수입)'!A123)</f>
        <v>2024.06</v>
      </c>
      <c r="B119" s="17" t="n">
        <f aca="false">IFERROR(VALUE(LEFT($A119,4)),"")</f>
        <v>2024</v>
      </c>
      <c r="C119" s="17" t="n">
        <f aca="false">IFERROR(VALUE(RIGHT($A119,2)),"")</f>
        <v>6</v>
      </c>
      <c r="D119" s="17" t="n">
        <f aca="false">IFERROR(ROUNDUP($C119/3,0),"")</f>
        <v>2</v>
      </c>
      <c r="E119" s="11" t="str">
        <f aca="false">TRIM('수출입 실적(성질별_수입)'!C123)</f>
        <v>자. 기 타</v>
      </c>
      <c r="F119" s="18" t="n">
        <f aca="false">IFERROR(VALUE(SUBSTITUTE(TRIM('수출입 실적(성질별_수입)'!D123),",","")),"")</f>
        <v>839077.3</v>
      </c>
      <c r="G119" s="19" t="n">
        <f aca="false">IFERROR(VALUE(SUBSTITUTE(TRIM('수출입 실적(성질별_수입)'!E123),",","")),"")</f>
        <v>1243845</v>
      </c>
    </row>
    <row r="120" customFormat="false" ht="15" hidden="false" customHeight="true" outlineLevel="0" collapsed="false">
      <c r="A120" s="11" t="str">
        <f aca="false">TRIM('수출입 실적(성질별_수입)'!A124)</f>
        <v>2024.06</v>
      </c>
      <c r="B120" s="17" t="n">
        <f aca="false">IFERROR(VALUE(LEFT($A120,4)),"")</f>
        <v>2024</v>
      </c>
      <c r="C120" s="17" t="n">
        <f aca="false">IFERROR(VALUE(RIGHT($A120,2)),"")</f>
        <v>6</v>
      </c>
      <c r="D120" s="17" t="n">
        <f aca="false">IFERROR(ROUNDUP($C120/3,0),"")</f>
        <v>2</v>
      </c>
      <c r="E120" s="11" t="str">
        <f aca="false">TRIM('수출입 실적(성질별_수입)'!C124)</f>
        <v>3. 자본재</v>
      </c>
      <c r="F120" s="18" t="n">
        <f aca="false">IFERROR(VALUE(SUBSTITUTE(TRIM('수출입 실적(성질별_수입)'!D124),",","")),"")</f>
        <v>631070.8</v>
      </c>
      <c r="G120" s="19" t="n">
        <f aca="false">IFERROR(VALUE(SUBSTITUTE(TRIM('수출입 실적(성질별_수입)'!E124),",","")),"")</f>
        <v>17251329</v>
      </c>
    </row>
    <row r="121" customFormat="false" ht="15" hidden="false" customHeight="true" outlineLevel="0" collapsed="false">
      <c r="A121" s="11" t="str">
        <f aca="false">TRIM('수출입 실적(성질별_수입)'!A125)</f>
        <v>2024.06</v>
      </c>
      <c r="B121" s="17" t="n">
        <f aca="false">IFERROR(VALUE(LEFT($A121,4)),"")</f>
        <v>2024</v>
      </c>
      <c r="C121" s="17" t="n">
        <f aca="false">IFERROR(VALUE(RIGHT($A121,2)),"")</f>
        <v>6</v>
      </c>
      <c r="D121" s="17" t="n">
        <f aca="false">IFERROR(ROUNDUP($C121/3,0),"")</f>
        <v>2</v>
      </c>
      <c r="E121" s="11" t="str">
        <f aca="false">TRIM('수출입 실적(성질별_수입)'!C125)</f>
        <v>가. 기계류와 정밀기기</v>
      </c>
      <c r="F121" s="18" t="n">
        <f aca="false">IFERROR(VALUE(SUBSTITUTE(TRIM('수출입 실적(성질별_수입)'!D125),",","")),"")</f>
        <v>178993.2</v>
      </c>
      <c r="G121" s="19" t="n">
        <f aca="false">IFERROR(VALUE(SUBSTITUTE(TRIM('수출입 실적(성질별_수입)'!E125),",","")),"")</f>
        <v>5414602</v>
      </c>
    </row>
    <row r="122" customFormat="false" ht="15" hidden="false" customHeight="true" outlineLevel="0" collapsed="false">
      <c r="A122" s="11" t="str">
        <f aca="false">TRIM('수출입 실적(성질별_수입)'!A126)</f>
        <v>2024.06</v>
      </c>
      <c r="B122" s="17" t="n">
        <f aca="false">IFERROR(VALUE(LEFT($A122,4)),"")</f>
        <v>2024</v>
      </c>
      <c r="C122" s="17" t="n">
        <f aca="false">IFERROR(VALUE(RIGHT($A122,2)),"")</f>
        <v>6</v>
      </c>
      <c r="D122" s="17" t="n">
        <f aca="false">IFERROR(ROUNDUP($C122/3,0),"")</f>
        <v>2</v>
      </c>
      <c r="E122" s="11" t="str">
        <f aca="false">TRIM('수출입 실적(성질별_수입)'!C126)</f>
        <v>나. 전기·전자기기</v>
      </c>
      <c r="F122" s="18" t="n">
        <f aca="false">IFERROR(VALUE(SUBSTITUTE(TRIM('수출입 실적(성질별_수입)'!D126),",","")),"")</f>
        <v>159039</v>
      </c>
      <c r="G122" s="19" t="n">
        <f aca="false">IFERROR(VALUE(SUBSTITUTE(TRIM('수출입 실적(성질별_수입)'!E126),",","")),"")</f>
        <v>10307120</v>
      </c>
    </row>
    <row r="123" customFormat="false" ht="15" hidden="false" customHeight="true" outlineLevel="0" collapsed="false">
      <c r="A123" s="11" t="str">
        <f aca="false">TRIM('수출입 실적(성질별_수입)'!A127)</f>
        <v>2024.06</v>
      </c>
      <c r="B123" s="17" t="n">
        <f aca="false">IFERROR(VALUE(LEFT($A123,4)),"")</f>
        <v>2024</v>
      </c>
      <c r="C123" s="17" t="n">
        <f aca="false">IFERROR(VALUE(RIGHT($A123,2)),"")</f>
        <v>6</v>
      </c>
      <c r="D123" s="17" t="n">
        <f aca="false">IFERROR(ROUNDUP($C123/3,0),"")</f>
        <v>2</v>
      </c>
      <c r="E123" s="11" t="str">
        <f aca="false">TRIM('수출입 실적(성질별_수입)'!C127)</f>
        <v>다. 수송장비</v>
      </c>
      <c r="F123" s="18" t="n">
        <f aca="false">IFERROR(VALUE(SUBSTITUTE(TRIM('수출입 실적(성질별_수입)'!D127),",","")),"")</f>
        <v>276636.3</v>
      </c>
      <c r="G123" s="19" t="n">
        <f aca="false">IFERROR(VALUE(SUBSTITUTE(TRIM('수출입 실적(성질별_수입)'!E127),",","")),"")</f>
        <v>1306585</v>
      </c>
    </row>
    <row r="124" customFormat="false" ht="15" hidden="false" customHeight="true" outlineLevel="0" collapsed="false">
      <c r="A124" s="11" t="str">
        <f aca="false">TRIM('수출입 실적(성질별_수입)'!A128)</f>
        <v>2024.06</v>
      </c>
      <c r="B124" s="17" t="n">
        <f aca="false">IFERROR(VALUE(LEFT($A124,4)),"")</f>
        <v>2024</v>
      </c>
      <c r="C124" s="17" t="n">
        <f aca="false">IFERROR(VALUE(RIGHT($A124,2)),"")</f>
        <v>6</v>
      </c>
      <c r="D124" s="17" t="n">
        <f aca="false">IFERROR(ROUNDUP($C124/3,0),"")</f>
        <v>2</v>
      </c>
      <c r="E124" s="11" t="str">
        <f aca="false">TRIM('수출입 실적(성질별_수입)'!C128)</f>
        <v>라. 기 타</v>
      </c>
      <c r="F124" s="18" t="n">
        <f aca="false">IFERROR(VALUE(SUBSTITUTE(TRIM('수출입 실적(성질별_수입)'!D128),",","")),"")</f>
        <v>16402.4</v>
      </c>
      <c r="G124" s="19" t="n">
        <f aca="false">IFERROR(VALUE(SUBSTITUTE(TRIM('수출입 실적(성질별_수입)'!E128),",","")),"")</f>
        <v>223022</v>
      </c>
    </row>
    <row r="125" customFormat="false" ht="15" hidden="false" customHeight="true" outlineLevel="0" collapsed="false">
      <c r="A125" s="11" t="str">
        <f aca="false">TRIM('수출입 실적(성질별_수입)'!A129)</f>
        <v>2024.07</v>
      </c>
      <c r="B125" s="17" t="n">
        <f aca="false">IFERROR(VALUE(LEFT($A125,4)),"")</f>
        <v>2024</v>
      </c>
      <c r="C125" s="17" t="n">
        <f aca="false">IFERROR(VALUE(RIGHT($A125,2)),"")</f>
        <v>7</v>
      </c>
      <c r="D125" s="17" t="n">
        <f aca="false">IFERROR(ROUNDUP($C125/3,0),"")</f>
        <v>3</v>
      </c>
      <c r="E125" s="11" t="str">
        <f aca="false">TRIM('수출입 실적(성질별_수입)'!C129)</f>
        <v>1. 소비재</v>
      </c>
      <c r="F125" s="18" t="n">
        <f aca="false">IFERROR(VALUE(SUBSTITUTE(TRIM('수출입 실적(성질별_수입)'!D129),",","")),"")</f>
        <v>3428524</v>
      </c>
      <c r="G125" s="19" t="n">
        <f aca="false">IFERROR(VALUE(SUBSTITUTE(TRIM('수출입 실적(성질별_수입)'!E129),",","")),"")</f>
        <v>8866181</v>
      </c>
    </row>
    <row r="126" customFormat="false" ht="15" hidden="false" customHeight="true" outlineLevel="0" collapsed="false">
      <c r="A126" s="11" t="str">
        <f aca="false">TRIM('수출입 실적(성질별_수입)'!A130)</f>
        <v>2024.07</v>
      </c>
      <c r="B126" s="17" t="n">
        <f aca="false">IFERROR(VALUE(LEFT($A126,4)),"")</f>
        <v>2024</v>
      </c>
      <c r="C126" s="17" t="n">
        <f aca="false">IFERROR(VALUE(RIGHT($A126,2)),"")</f>
        <v>7</v>
      </c>
      <c r="D126" s="17" t="n">
        <f aca="false">IFERROR(ROUNDUP($C126/3,0),"")</f>
        <v>3</v>
      </c>
      <c r="E126" s="11" t="str">
        <f aca="false">TRIM('수출입 실적(성질별_수입)'!C130)</f>
        <v>가. 곡물</v>
      </c>
      <c r="F126" s="18" t="n">
        <f aca="false">IFERROR(VALUE(SUBSTITUTE(TRIM('수출입 실적(성질별_수입)'!D130),",","")),"")</f>
        <v>2249691.9</v>
      </c>
      <c r="G126" s="19" t="n">
        <f aca="false">IFERROR(VALUE(SUBSTITUTE(TRIM('수출입 실적(성질별_수입)'!E130),",","")),"")</f>
        <v>731796</v>
      </c>
    </row>
    <row r="127" customFormat="false" ht="15" hidden="false" customHeight="true" outlineLevel="0" collapsed="false">
      <c r="A127" s="11" t="str">
        <f aca="false">TRIM('수출입 실적(성질별_수입)'!A131)</f>
        <v>2024.07</v>
      </c>
      <c r="B127" s="17" t="n">
        <f aca="false">IFERROR(VALUE(LEFT($A127,4)),"")</f>
        <v>2024</v>
      </c>
      <c r="C127" s="17" t="n">
        <f aca="false">IFERROR(VALUE(RIGHT($A127,2)),"")</f>
        <v>7</v>
      </c>
      <c r="D127" s="17" t="n">
        <f aca="false">IFERROR(ROUNDUP($C127/3,0),"")</f>
        <v>3</v>
      </c>
      <c r="E127" s="11" t="str">
        <f aca="false">TRIM('수출입 실적(성질별_수입)'!C131)</f>
        <v>나. 직접소비재</v>
      </c>
      <c r="F127" s="18" t="n">
        <f aca="false">IFERROR(VALUE(SUBSTITUTE(TRIM('수출입 실적(성질별_수입)'!D131),",","")),"")</f>
        <v>764486.6</v>
      </c>
      <c r="G127" s="19" t="n">
        <f aca="false">IFERROR(VALUE(SUBSTITUTE(TRIM('수출입 실적(성질별_수입)'!E131),",","")),"")</f>
        <v>2395173</v>
      </c>
    </row>
    <row r="128" customFormat="false" ht="15" hidden="false" customHeight="true" outlineLevel="0" collapsed="false">
      <c r="A128" s="11" t="str">
        <f aca="false">TRIM('수출입 실적(성질별_수입)'!A132)</f>
        <v>2024.07</v>
      </c>
      <c r="B128" s="17" t="n">
        <f aca="false">IFERROR(VALUE(LEFT($A128,4)),"")</f>
        <v>2024</v>
      </c>
      <c r="C128" s="17" t="n">
        <f aca="false">IFERROR(VALUE(RIGHT($A128,2)),"")</f>
        <v>7</v>
      </c>
      <c r="D128" s="17" t="n">
        <f aca="false">IFERROR(ROUNDUP($C128/3,0),"")</f>
        <v>3</v>
      </c>
      <c r="E128" s="11" t="str">
        <f aca="false">TRIM('수출입 실적(성질별_수입)'!C132)</f>
        <v>다. 내구소비재</v>
      </c>
      <c r="F128" s="18" t="n">
        <f aca="false">IFERROR(VALUE(SUBSTITUTE(TRIM('수출입 실적(성질별_수입)'!D132),",","")),"")</f>
        <v>291369.3</v>
      </c>
      <c r="G128" s="19" t="n">
        <f aca="false">IFERROR(VALUE(SUBSTITUTE(TRIM('수출입 실적(성질별_수입)'!E132),",","")),"")</f>
        <v>3647347</v>
      </c>
    </row>
    <row r="129" customFormat="false" ht="15" hidden="false" customHeight="true" outlineLevel="0" collapsed="false">
      <c r="A129" s="11" t="str">
        <f aca="false">TRIM('수출입 실적(성질별_수입)'!A133)</f>
        <v>2024.07</v>
      </c>
      <c r="B129" s="17" t="n">
        <f aca="false">IFERROR(VALUE(LEFT($A129,4)),"")</f>
        <v>2024</v>
      </c>
      <c r="C129" s="17" t="n">
        <f aca="false">IFERROR(VALUE(RIGHT($A129,2)),"")</f>
        <v>7</v>
      </c>
      <c r="D129" s="17" t="n">
        <f aca="false">IFERROR(ROUNDUP($C129/3,0),"")</f>
        <v>3</v>
      </c>
      <c r="E129" s="11" t="str">
        <f aca="false">TRIM('수출입 실적(성질별_수입)'!C133)</f>
        <v>라. 비내구 소비재</v>
      </c>
      <c r="F129" s="18" t="n">
        <f aca="false">IFERROR(VALUE(SUBSTITUTE(TRIM('수출입 실적(성질별_수입)'!D133),",","")),"")</f>
        <v>122976.1</v>
      </c>
      <c r="G129" s="19" t="n">
        <f aca="false">IFERROR(VALUE(SUBSTITUTE(TRIM('수출입 실적(성질별_수입)'!E133),",","")),"")</f>
        <v>2091865</v>
      </c>
    </row>
    <row r="130" customFormat="false" ht="15" hidden="false" customHeight="true" outlineLevel="0" collapsed="false">
      <c r="A130" s="11" t="str">
        <f aca="false">TRIM('수출입 실적(성질별_수입)'!A134)</f>
        <v>2024.07</v>
      </c>
      <c r="B130" s="17" t="n">
        <f aca="false">IFERROR(VALUE(LEFT($A130,4)),"")</f>
        <v>2024</v>
      </c>
      <c r="C130" s="17" t="n">
        <f aca="false">IFERROR(VALUE(RIGHT($A130,2)),"")</f>
        <v>7</v>
      </c>
      <c r="D130" s="17" t="n">
        <f aca="false">IFERROR(ROUNDUP($C130/3,0),"")</f>
        <v>3</v>
      </c>
      <c r="E130" s="11" t="str">
        <f aca="false">TRIM('수출입 실적(성질별_수입)'!C134)</f>
        <v>2. 원자재</v>
      </c>
      <c r="F130" s="18" t="n">
        <f aca="false">IFERROR(VALUE(SUBSTITUTE(TRIM('수출입 실적(성질별_수입)'!D134),",","")),"")</f>
        <v>41323249.7</v>
      </c>
      <c r="G130" s="19" t="n">
        <f aca="false">IFERROR(VALUE(SUBSTITUTE(TRIM('수출입 실적(성질별_수입)'!E134),",","")),"")</f>
        <v>25696113</v>
      </c>
    </row>
    <row r="131" customFormat="false" ht="15" hidden="false" customHeight="true" outlineLevel="0" collapsed="false">
      <c r="A131" s="11" t="str">
        <f aca="false">TRIM('수출입 실적(성질별_수입)'!A135)</f>
        <v>2024.07</v>
      </c>
      <c r="B131" s="17" t="n">
        <f aca="false">IFERROR(VALUE(LEFT($A131,4)),"")</f>
        <v>2024</v>
      </c>
      <c r="C131" s="17" t="n">
        <f aca="false">IFERROR(VALUE(RIGHT($A131,2)),"")</f>
        <v>7</v>
      </c>
      <c r="D131" s="17" t="n">
        <f aca="false">IFERROR(ROUNDUP($C131/3,0),"")</f>
        <v>3</v>
      </c>
      <c r="E131" s="11" t="str">
        <f aca="false">TRIM('수출입 실적(성질별_수입)'!C135)</f>
        <v>가. 연 료</v>
      </c>
      <c r="F131" s="18" t="n">
        <f aca="false">IFERROR(VALUE(SUBSTITUTE(TRIM('수출입 실적(성질별_수입)'!D135),",","")),"")</f>
        <v>28270776.1</v>
      </c>
      <c r="G131" s="19" t="n">
        <f aca="false">IFERROR(VALUE(SUBSTITUTE(TRIM('수출입 실적(성질별_수입)'!E135),",","")),"")</f>
        <v>12996682</v>
      </c>
    </row>
    <row r="132" customFormat="false" ht="15" hidden="false" customHeight="true" outlineLevel="0" collapsed="false">
      <c r="A132" s="11" t="str">
        <f aca="false">TRIM('수출입 실적(성질별_수입)'!A136)</f>
        <v>2024.07</v>
      </c>
      <c r="B132" s="17" t="n">
        <f aca="false">IFERROR(VALUE(LEFT($A132,4)),"")</f>
        <v>2024</v>
      </c>
      <c r="C132" s="17" t="n">
        <f aca="false">IFERROR(VALUE(RIGHT($A132,2)),"")</f>
        <v>7</v>
      </c>
      <c r="D132" s="17" t="n">
        <f aca="false">IFERROR(ROUNDUP($C132/3,0),"")</f>
        <v>3</v>
      </c>
      <c r="E132" s="11" t="str">
        <f aca="false">TRIM('수출입 실적(성질별_수입)'!C136)</f>
        <v>나. 광 물</v>
      </c>
      <c r="F132" s="18" t="n">
        <f aca="false">IFERROR(VALUE(SUBSTITUTE(TRIM('수출입 실적(성질별_수입)'!D136),",","")),"")</f>
        <v>7427910.8</v>
      </c>
      <c r="G132" s="19" t="n">
        <f aca="false">IFERROR(VALUE(SUBSTITUTE(TRIM('수출입 실적(성질별_수입)'!E136),",","")),"")</f>
        <v>2442975</v>
      </c>
    </row>
    <row r="133" customFormat="false" ht="15" hidden="false" customHeight="true" outlineLevel="0" collapsed="false">
      <c r="A133" s="11" t="str">
        <f aca="false">TRIM('수출입 실적(성질별_수입)'!A137)</f>
        <v>2024.07</v>
      </c>
      <c r="B133" s="17" t="n">
        <f aca="false">IFERROR(VALUE(LEFT($A133,4)),"")</f>
        <v>2024</v>
      </c>
      <c r="C133" s="17" t="n">
        <f aca="false">IFERROR(VALUE(RIGHT($A133,2)),"")</f>
        <v>7</v>
      </c>
      <c r="D133" s="17" t="n">
        <f aca="false">IFERROR(ROUNDUP($C133/3,0),"")</f>
        <v>3</v>
      </c>
      <c r="E133" s="11" t="str">
        <f aca="false">TRIM('수출입 실적(성질별_수입)'!C137)</f>
        <v>다. 경공업 원료</v>
      </c>
      <c r="F133" s="18" t="n">
        <f aca="false">IFERROR(VALUE(SUBSTITUTE(TRIM('수출입 실적(성질별_수입)'!D137),",","")),"")</f>
        <v>1272930.1</v>
      </c>
      <c r="G133" s="19" t="n">
        <f aca="false">IFERROR(VALUE(SUBSTITUTE(TRIM('수출입 실적(성질별_수입)'!E137),",","")),"")</f>
        <v>550318</v>
      </c>
    </row>
    <row r="134" customFormat="false" ht="15" hidden="false" customHeight="true" outlineLevel="0" collapsed="false">
      <c r="A134" s="11" t="str">
        <f aca="false">TRIM('수출입 실적(성질별_수입)'!A138)</f>
        <v>2024.07</v>
      </c>
      <c r="B134" s="17" t="n">
        <f aca="false">IFERROR(VALUE(LEFT($A134,4)),"")</f>
        <v>2024</v>
      </c>
      <c r="C134" s="17" t="n">
        <f aca="false">IFERROR(VALUE(RIGHT($A134,2)),"")</f>
        <v>7</v>
      </c>
      <c r="D134" s="17" t="n">
        <f aca="false">IFERROR(ROUNDUP($C134/3,0),"")</f>
        <v>3</v>
      </c>
      <c r="E134" s="11" t="str">
        <f aca="false">TRIM('수출입 실적(성질별_수입)'!C138)</f>
        <v>라. 유 지</v>
      </c>
      <c r="F134" s="18" t="n">
        <f aca="false">IFERROR(VALUE(SUBSTITUTE(TRIM('수출입 실적(성질별_수입)'!D138),",","")),"")</f>
        <v>121826.9</v>
      </c>
      <c r="G134" s="19" t="n">
        <f aca="false">IFERROR(VALUE(SUBSTITUTE(TRIM('수출입 실적(성질별_수입)'!E138),",","")),"")</f>
        <v>157605</v>
      </c>
    </row>
    <row r="135" customFormat="false" ht="15" hidden="false" customHeight="true" outlineLevel="0" collapsed="false">
      <c r="A135" s="11" t="str">
        <f aca="false">TRIM('수출입 실적(성질별_수입)'!A139)</f>
        <v>2024.07</v>
      </c>
      <c r="B135" s="17" t="n">
        <f aca="false">IFERROR(VALUE(LEFT($A135,4)),"")</f>
        <v>2024</v>
      </c>
      <c r="C135" s="17" t="n">
        <f aca="false">IFERROR(VALUE(RIGHT($A135,2)),"")</f>
        <v>7</v>
      </c>
      <c r="D135" s="17" t="n">
        <f aca="false">IFERROR(ROUNDUP($C135/3,0),"")</f>
        <v>3</v>
      </c>
      <c r="E135" s="11" t="str">
        <f aca="false">TRIM('수출입 실적(성질별_수입)'!C139)</f>
        <v>마. 섬유류</v>
      </c>
      <c r="F135" s="18" t="n">
        <f aca="false">IFERROR(VALUE(SUBSTITUTE(TRIM('수출입 실적(성질별_수입)'!D139),",","")),"")</f>
        <v>105836.5</v>
      </c>
      <c r="G135" s="19" t="n">
        <f aca="false">IFERROR(VALUE(SUBSTITUTE(TRIM('수출입 실적(성질별_수입)'!E139),",","")),"")</f>
        <v>338930</v>
      </c>
    </row>
    <row r="136" customFormat="false" ht="15" hidden="false" customHeight="true" outlineLevel="0" collapsed="false">
      <c r="A136" s="11" t="str">
        <f aca="false">TRIM('수출입 실적(성질별_수입)'!A140)</f>
        <v>2024.07</v>
      </c>
      <c r="B136" s="17" t="n">
        <f aca="false">IFERROR(VALUE(LEFT($A136,4)),"")</f>
        <v>2024</v>
      </c>
      <c r="C136" s="17" t="n">
        <f aca="false">IFERROR(VALUE(RIGHT($A136,2)),"")</f>
        <v>7</v>
      </c>
      <c r="D136" s="17" t="n">
        <f aca="false">IFERROR(ROUNDUP($C136/3,0),"")</f>
        <v>3</v>
      </c>
      <c r="E136" s="11" t="str">
        <f aca="false">TRIM('수출입 실적(성질별_수입)'!C140)</f>
        <v>바. 화공품</v>
      </c>
      <c r="F136" s="18" t="n">
        <f aca="false">IFERROR(VALUE(SUBSTITUTE(TRIM('수출입 실적(성질별_수입)'!D140),",","")),"")</f>
        <v>1745561.1</v>
      </c>
      <c r="G136" s="19" t="n">
        <f aca="false">IFERROR(VALUE(SUBSTITUTE(TRIM('수출입 실적(성질별_수입)'!E140),",","")),"")</f>
        <v>4857250</v>
      </c>
    </row>
    <row r="137" customFormat="false" ht="15" hidden="false" customHeight="true" outlineLevel="0" collapsed="false">
      <c r="A137" s="11" t="str">
        <f aca="false">TRIM('수출입 실적(성질별_수입)'!A141)</f>
        <v>2024.07</v>
      </c>
      <c r="B137" s="17" t="n">
        <f aca="false">IFERROR(VALUE(LEFT($A137,4)),"")</f>
        <v>2024</v>
      </c>
      <c r="C137" s="17" t="n">
        <f aca="false">IFERROR(VALUE(RIGHT($A137,2)),"")</f>
        <v>7</v>
      </c>
      <c r="D137" s="17" t="n">
        <f aca="false">IFERROR(ROUNDUP($C137/3,0),"")</f>
        <v>3</v>
      </c>
      <c r="E137" s="11" t="str">
        <f aca="false">TRIM('수출입 실적(성질별_수입)'!C141)</f>
        <v>사. 철강재</v>
      </c>
      <c r="F137" s="18" t="n">
        <f aca="false">IFERROR(VALUE(SUBSTITUTE(TRIM('수출입 실적(성질별_수입)'!D141),",","")),"")</f>
        <v>1312445</v>
      </c>
      <c r="G137" s="19" t="n">
        <f aca="false">IFERROR(VALUE(SUBSTITUTE(TRIM('수출입 실적(성질별_수입)'!E141),",","")),"")</f>
        <v>1594693</v>
      </c>
    </row>
    <row r="138" customFormat="false" ht="15" hidden="false" customHeight="true" outlineLevel="0" collapsed="false">
      <c r="A138" s="11" t="str">
        <f aca="false">TRIM('수출입 실적(성질별_수입)'!A142)</f>
        <v>2024.07</v>
      </c>
      <c r="B138" s="17" t="n">
        <f aca="false">IFERROR(VALUE(LEFT($A138,4)),"")</f>
        <v>2024</v>
      </c>
      <c r="C138" s="17" t="n">
        <f aca="false">IFERROR(VALUE(RIGHT($A138,2)),"")</f>
        <v>7</v>
      </c>
      <c r="D138" s="17" t="n">
        <f aca="false">IFERROR(ROUNDUP($C138/3,0),"")</f>
        <v>3</v>
      </c>
      <c r="E138" s="11" t="str">
        <f aca="false">TRIM('수출입 실적(성질별_수입)'!C142)</f>
        <v>아. 비철금속</v>
      </c>
      <c r="F138" s="18" t="n">
        <f aca="false">IFERROR(VALUE(SUBSTITUTE(TRIM('수출입 실적(성질별_수입)'!D142),",","")),"")</f>
        <v>257037.8</v>
      </c>
      <c r="G138" s="19" t="n">
        <f aca="false">IFERROR(VALUE(SUBSTITUTE(TRIM('수출입 실적(성질별_수입)'!E142),",","")),"")</f>
        <v>1418845</v>
      </c>
    </row>
    <row r="139" customFormat="false" ht="15" hidden="false" customHeight="true" outlineLevel="0" collapsed="false">
      <c r="A139" s="11" t="str">
        <f aca="false">TRIM('수출입 실적(성질별_수입)'!A143)</f>
        <v>2024.07</v>
      </c>
      <c r="B139" s="17" t="n">
        <f aca="false">IFERROR(VALUE(LEFT($A139,4)),"")</f>
        <v>2024</v>
      </c>
      <c r="C139" s="17" t="n">
        <f aca="false">IFERROR(VALUE(RIGHT($A139,2)),"")</f>
        <v>7</v>
      </c>
      <c r="D139" s="17" t="n">
        <f aca="false">IFERROR(ROUNDUP($C139/3,0),"")</f>
        <v>3</v>
      </c>
      <c r="E139" s="11" t="str">
        <f aca="false">TRIM('수출입 실적(성질별_수입)'!C143)</f>
        <v>자. 기 타</v>
      </c>
      <c r="F139" s="18" t="n">
        <f aca="false">IFERROR(VALUE(SUBSTITUTE(TRIM('수출입 실적(성질별_수입)'!D143),",","")),"")</f>
        <v>808925.4</v>
      </c>
      <c r="G139" s="19" t="n">
        <f aca="false">IFERROR(VALUE(SUBSTITUTE(TRIM('수출입 실적(성질별_수입)'!E143),",","")),"")</f>
        <v>1338816</v>
      </c>
    </row>
    <row r="140" customFormat="false" ht="15" hidden="false" customHeight="true" outlineLevel="0" collapsed="false">
      <c r="A140" s="11" t="str">
        <f aca="false">TRIM('수출입 실적(성질별_수입)'!A144)</f>
        <v>2024.07</v>
      </c>
      <c r="B140" s="17" t="n">
        <f aca="false">IFERROR(VALUE(LEFT($A140,4)),"")</f>
        <v>2024</v>
      </c>
      <c r="C140" s="17" t="n">
        <f aca="false">IFERROR(VALUE(RIGHT($A140,2)),"")</f>
        <v>7</v>
      </c>
      <c r="D140" s="17" t="n">
        <f aca="false">IFERROR(ROUNDUP($C140/3,0),"")</f>
        <v>3</v>
      </c>
      <c r="E140" s="11" t="str">
        <f aca="false">TRIM('수출입 실적(성질별_수입)'!C144)</f>
        <v>3. 자본재</v>
      </c>
      <c r="F140" s="18" t="n">
        <f aca="false">IFERROR(VALUE(SUBSTITUTE(TRIM('수출입 실적(성질별_수입)'!D144),",","")),"")</f>
        <v>516025</v>
      </c>
      <c r="G140" s="19" t="n">
        <f aca="false">IFERROR(VALUE(SUBSTITUTE(TRIM('수출입 실적(성질별_수입)'!E144),",","")),"")</f>
        <v>19276448</v>
      </c>
    </row>
    <row r="141" customFormat="false" ht="15" hidden="false" customHeight="true" outlineLevel="0" collapsed="false">
      <c r="A141" s="11" t="str">
        <f aca="false">TRIM('수출입 실적(성질별_수입)'!A145)</f>
        <v>2024.07</v>
      </c>
      <c r="B141" s="17" t="n">
        <f aca="false">IFERROR(VALUE(LEFT($A141,4)),"")</f>
        <v>2024</v>
      </c>
      <c r="C141" s="17" t="n">
        <f aca="false">IFERROR(VALUE(RIGHT($A141,2)),"")</f>
        <v>7</v>
      </c>
      <c r="D141" s="17" t="n">
        <f aca="false">IFERROR(ROUNDUP($C141/3,0),"")</f>
        <v>3</v>
      </c>
      <c r="E141" s="11" t="str">
        <f aca="false">TRIM('수출입 실적(성질별_수입)'!C145)</f>
        <v>가. 기계류와 정밀기기</v>
      </c>
      <c r="F141" s="18" t="n">
        <f aca="false">IFERROR(VALUE(SUBSTITUTE(TRIM('수출입 실적(성질별_수입)'!D145),",","")),"")</f>
        <v>187455.5</v>
      </c>
      <c r="G141" s="19" t="n">
        <f aca="false">IFERROR(VALUE(SUBSTITUTE(TRIM('수출입 실적(성질별_수입)'!E145),",","")),"")</f>
        <v>5429277</v>
      </c>
    </row>
    <row r="142" customFormat="false" ht="15" hidden="false" customHeight="true" outlineLevel="0" collapsed="false">
      <c r="A142" s="11" t="str">
        <f aca="false">TRIM('수출입 실적(성질별_수입)'!A146)</f>
        <v>2024.07</v>
      </c>
      <c r="B142" s="17" t="n">
        <f aca="false">IFERROR(VALUE(LEFT($A142,4)),"")</f>
        <v>2024</v>
      </c>
      <c r="C142" s="17" t="n">
        <f aca="false">IFERROR(VALUE(RIGHT($A142,2)),"")</f>
        <v>7</v>
      </c>
      <c r="D142" s="17" t="n">
        <f aca="false">IFERROR(ROUNDUP($C142/3,0),"")</f>
        <v>3</v>
      </c>
      <c r="E142" s="11" t="str">
        <f aca="false">TRIM('수출입 실적(성질별_수입)'!C146)</f>
        <v>나. 전기·전자기기</v>
      </c>
      <c r="F142" s="18" t="n">
        <f aca="false">IFERROR(VALUE(SUBSTITUTE(TRIM('수출입 실적(성질별_수입)'!D146),",","")),"")</f>
        <v>162683.5</v>
      </c>
      <c r="G142" s="19" t="n">
        <f aca="false">IFERROR(VALUE(SUBSTITUTE(TRIM('수출입 실적(성질별_수입)'!E146),",","")),"")</f>
        <v>11410795</v>
      </c>
    </row>
    <row r="143" customFormat="false" ht="15" hidden="false" customHeight="true" outlineLevel="0" collapsed="false">
      <c r="A143" s="11" t="str">
        <f aca="false">TRIM('수출입 실적(성질별_수입)'!A147)</f>
        <v>2024.07</v>
      </c>
      <c r="B143" s="17" t="n">
        <f aca="false">IFERROR(VALUE(LEFT($A143,4)),"")</f>
        <v>2024</v>
      </c>
      <c r="C143" s="17" t="n">
        <f aca="false">IFERROR(VALUE(RIGHT($A143,2)),"")</f>
        <v>7</v>
      </c>
      <c r="D143" s="17" t="n">
        <f aca="false">IFERROR(ROUNDUP($C143/3,0),"")</f>
        <v>3</v>
      </c>
      <c r="E143" s="11" t="str">
        <f aca="false">TRIM('수출입 실적(성질별_수입)'!C147)</f>
        <v>다. 수송장비</v>
      </c>
      <c r="F143" s="18" t="n">
        <f aca="false">IFERROR(VALUE(SUBSTITUTE(TRIM('수출입 실적(성질별_수입)'!D147),",","")),"")</f>
        <v>148352.6</v>
      </c>
      <c r="G143" s="19" t="n">
        <f aca="false">IFERROR(VALUE(SUBSTITUTE(TRIM('수출입 실적(성질별_수입)'!E147),",","")),"")</f>
        <v>2195637</v>
      </c>
    </row>
    <row r="144" customFormat="false" ht="15" hidden="false" customHeight="true" outlineLevel="0" collapsed="false">
      <c r="A144" s="11" t="str">
        <f aca="false">TRIM('수출입 실적(성질별_수입)'!A148)</f>
        <v>2024.07</v>
      </c>
      <c r="B144" s="17" t="n">
        <f aca="false">IFERROR(VALUE(LEFT($A144,4)),"")</f>
        <v>2024</v>
      </c>
      <c r="C144" s="17" t="n">
        <f aca="false">IFERROR(VALUE(RIGHT($A144,2)),"")</f>
        <v>7</v>
      </c>
      <c r="D144" s="17" t="n">
        <f aca="false">IFERROR(ROUNDUP($C144/3,0),"")</f>
        <v>3</v>
      </c>
      <c r="E144" s="11" t="str">
        <f aca="false">TRIM('수출입 실적(성질별_수입)'!C148)</f>
        <v>라. 기 타</v>
      </c>
      <c r="F144" s="18" t="n">
        <f aca="false">IFERROR(VALUE(SUBSTITUTE(TRIM('수출입 실적(성질별_수입)'!D148),",","")),"")</f>
        <v>17533.4</v>
      </c>
      <c r="G144" s="19" t="n">
        <f aca="false">IFERROR(VALUE(SUBSTITUTE(TRIM('수출입 실적(성질별_수입)'!E148),",","")),"")</f>
        <v>240740</v>
      </c>
    </row>
    <row r="145" customFormat="false" ht="15" hidden="false" customHeight="true" outlineLevel="0" collapsed="false">
      <c r="A145" s="11" t="str">
        <f aca="false">TRIM('수출입 실적(성질별_수입)'!A149)</f>
        <v>2024.08</v>
      </c>
      <c r="B145" s="17" t="n">
        <f aca="false">IFERROR(VALUE(LEFT($A145,4)),"")</f>
        <v>2024</v>
      </c>
      <c r="C145" s="17" t="n">
        <f aca="false">IFERROR(VALUE(RIGHT($A145,2)),"")</f>
        <v>8</v>
      </c>
      <c r="D145" s="17" t="n">
        <f aca="false">IFERROR(ROUNDUP($C145/3,0),"")</f>
        <v>3</v>
      </c>
      <c r="E145" s="11" t="str">
        <f aca="false">TRIM('수출입 실적(성질별_수입)'!C149)</f>
        <v>1. 소비재</v>
      </c>
      <c r="F145" s="18" t="n">
        <f aca="false">IFERROR(VALUE(SUBSTITUTE(TRIM('수출입 실적(성질별_수입)'!D149),",","")),"")</f>
        <v>3274218.3</v>
      </c>
      <c r="G145" s="19" t="n">
        <f aca="false">IFERROR(VALUE(SUBSTITUTE(TRIM('수출입 실적(성질별_수입)'!E149),",","")),"")</f>
        <v>8620712</v>
      </c>
    </row>
    <row r="146" customFormat="false" ht="15" hidden="false" customHeight="true" outlineLevel="0" collapsed="false">
      <c r="A146" s="11" t="str">
        <f aca="false">TRIM('수출입 실적(성질별_수입)'!A150)</f>
        <v>2024.08</v>
      </c>
      <c r="B146" s="17" t="n">
        <f aca="false">IFERROR(VALUE(LEFT($A146,4)),"")</f>
        <v>2024</v>
      </c>
      <c r="C146" s="17" t="n">
        <f aca="false">IFERROR(VALUE(RIGHT($A146,2)),"")</f>
        <v>8</v>
      </c>
      <c r="D146" s="17" t="n">
        <f aca="false">IFERROR(ROUNDUP($C146/3,0),"")</f>
        <v>3</v>
      </c>
      <c r="E146" s="11" t="str">
        <f aca="false">TRIM('수출입 실적(성질별_수입)'!C150)</f>
        <v>가. 곡물</v>
      </c>
      <c r="F146" s="18" t="n">
        <f aca="false">IFERROR(VALUE(SUBSTITUTE(TRIM('수출입 실적(성질별_수입)'!D150),",","")),"")</f>
        <v>2189060.3</v>
      </c>
      <c r="G146" s="19" t="n">
        <f aca="false">IFERROR(VALUE(SUBSTITUTE(TRIM('수출입 실적(성질별_수입)'!E150),",","")),"")</f>
        <v>689821</v>
      </c>
    </row>
    <row r="147" customFormat="false" ht="15" hidden="false" customHeight="true" outlineLevel="0" collapsed="false">
      <c r="A147" s="11" t="str">
        <f aca="false">TRIM('수출입 실적(성질별_수입)'!A151)</f>
        <v>2024.08</v>
      </c>
      <c r="B147" s="17" t="n">
        <f aca="false">IFERROR(VALUE(LEFT($A147,4)),"")</f>
        <v>2024</v>
      </c>
      <c r="C147" s="17" t="n">
        <f aca="false">IFERROR(VALUE(RIGHT($A147,2)),"")</f>
        <v>8</v>
      </c>
      <c r="D147" s="17" t="n">
        <f aca="false">IFERROR(ROUNDUP($C147/3,0),"")</f>
        <v>3</v>
      </c>
      <c r="E147" s="11" t="str">
        <f aca="false">TRIM('수출입 실적(성질별_수입)'!C151)</f>
        <v>나. 직접소비재</v>
      </c>
      <c r="F147" s="18" t="n">
        <f aca="false">IFERROR(VALUE(SUBSTITUTE(TRIM('수출입 실적(성질별_수입)'!D151),",","")),"")</f>
        <v>697012.4</v>
      </c>
      <c r="G147" s="19" t="n">
        <f aca="false">IFERROR(VALUE(SUBSTITUTE(TRIM('수출입 실적(성질별_수입)'!E151),",","")),"")</f>
        <v>2247806</v>
      </c>
    </row>
    <row r="148" customFormat="false" ht="15" hidden="false" customHeight="true" outlineLevel="0" collapsed="false">
      <c r="A148" s="11" t="str">
        <f aca="false">TRIM('수출입 실적(성질별_수입)'!A152)</f>
        <v>2024.08</v>
      </c>
      <c r="B148" s="17" t="n">
        <f aca="false">IFERROR(VALUE(LEFT($A148,4)),"")</f>
        <v>2024</v>
      </c>
      <c r="C148" s="17" t="n">
        <f aca="false">IFERROR(VALUE(RIGHT($A148,2)),"")</f>
        <v>8</v>
      </c>
      <c r="D148" s="17" t="n">
        <f aca="false">IFERROR(ROUNDUP($C148/3,0),"")</f>
        <v>3</v>
      </c>
      <c r="E148" s="11" t="str">
        <f aca="false">TRIM('수출입 실적(성질별_수입)'!C152)</f>
        <v>다. 내구소비재</v>
      </c>
      <c r="F148" s="18" t="n">
        <f aca="false">IFERROR(VALUE(SUBSTITUTE(TRIM('수출입 실적(성질별_수입)'!D152),",","")),"")</f>
        <v>258715.2</v>
      </c>
      <c r="G148" s="19" t="n">
        <f aca="false">IFERROR(VALUE(SUBSTITUTE(TRIM('수출입 실적(성질별_수입)'!E152),",","")),"")</f>
        <v>3416862</v>
      </c>
    </row>
    <row r="149" customFormat="false" ht="15" hidden="false" customHeight="true" outlineLevel="0" collapsed="false">
      <c r="A149" s="11" t="str">
        <f aca="false">TRIM('수출입 실적(성질별_수입)'!A153)</f>
        <v>2024.08</v>
      </c>
      <c r="B149" s="17" t="n">
        <f aca="false">IFERROR(VALUE(LEFT($A149,4)),"")</f>
        <v>2024</v>
      </c>
      <c r="C149" s="17" t="n">
        <f aca="false">IFERROR(VALUE(RIGHT($A149,2)),"")</f>
        <v>8</v>
      </c>
      <c r="D149" s="17" t="n">
        <f aca="false">IFERROR(ROUNDUP($C149/3,0),"")</f>
        <v>3</v>
      </c>
      <c r="E149" s="11" t="str">
        <f aca="false">TRIM('수출입 실적(성질별_수입)'!C153)</f>
        <v>라. 비내구 소비재</v>
      </c>
      <c r="F149" s="18" t="n">
        <f aca="false">IFERROR(VALUE(SUBSTITUTE(TRIM('수출입 실적(성질별_수입)'!D153),",","")),"")</f>
        <v>129430.4</v>
      </c>
      <c r="G149" s="19" t="n">
        <f aca="false">IFERROR(VALUE(SUBSTITUTE(TRIM('수출입 실적(성질별_수입)'!E153),",","")),"")</f>
        <v>2266224</v>
      </c>
    </row>
    <row r="150" customFormat="false" ht="15" hidden="false" customHeight="true" outlineLevel="0" collapsed="false">
      <c r="A150" s="11" t="str">
        <f aca="false">TRIM('수출입 실적(성질별_수입)'!A154)</f>
        <v>2024.08</v>
      </c>
      <c r="B150" s="17" t="n">
        <f aca="false">IFERROR(VALUE(LEFT($A150,4)),"")</f>
        <v>2024</v>
      </c>
      <c r="C150" s="17" t="n">
        <f aca="false">IFERROR(VALUE(RIGHT($A150,2)),"")</f>
        <v>8</v>
      </c>
      <c r="D150" s="17" t="n">
        <f aca="false">IFERROR(ROUNDUP($C150/3,0),"")</f>
        <v>3</v>
      </c>
      <c r="E150" s="11" t="str">
        <f aca="false">TRIM('수출입 실적(성질별_수입)'!C154)</f>
        <v>마. 간이세율 적용분</v>
      </c>
      <c r="F150" s="18" t="n">
        <f aca="false">IFERROR(VALUE(SUBSTITUTE(TRIM('수출입 실적(성질별_수입)'!D154),",","")),"")</f>
        <v>0</v>
      </c>
      <c r="G150" s="19" t="n">
        <f aca="false">IFERROR(VALUE(SUBSTITUTE(TRIM('수출입 실적(성질별_수입)'!E154),",","")),"")</f>
        <v>0</v>
      </c>
    </row>
    <row r="151" customFormat="false" ht="15" hidden="false" customHeight="true" outlineLevel="0" collapsed="false">
      <c r="A151" s="11" t="str">
        <f aca="false">TRIM('수출입 실적(성질별_수입)'!A155)</f>
        <v>2024.08</v>
      </c>
      <c r="B151" s="17" t="n">
        <f aca="false">IFERROR(VALUE(LEFT($A151,4)),"")</f>
        <v>2024</v>
      </c>
      <c r="C151" s="17" t="n">
        <f aca="false">IFERROR(VALUE(RIGHT($A151,2)),"")</f>
        <v>8</v>
      </c>
      <c r="D151" s="17" t="n">
        <f aca="false">IFERROR(ROUNDUP($C151/3,0),"")</f>
        <v>3</v>
      </c>
      <c r="E151" s="11" t="str">
        <f aca="false">TRIM('수출입 실적(성질별_수입)'!C155)</f>
        <v>2. 원자재</v>
      </c>
      <c r="F151" s="18" t="n">
        <f aca="false">IFERROR(VALUE(SUBSTITUTE(TRIM('수출입 실적(성질별_수입)'!D155),",","")),"")</f>
        <v>45529820.2</v>
      </c>
      <c r="G151" s="19" t="n">
        <f aca="false">IFERROR(VALUE(SUBSTITUTE(TRIM('수출입 실적(성질별_수입)'!E155),",","")),"")</f>
        <v>27175717</v>
      </c>
    </row>
    <row r="152" customFormat="false" ht="15" hidden="false" customHeight="true" outlineLevel="0" collapsed="false">
      <c r="A152" s="11" t="str">
        <f aca="false">TRIM('수출입 실적(성질별_수입)'!A156)</f>
        <v>2024.08</v>
      </c>
      <c r="B152" s="17" t="n">
        <f aca="false">IFERROR(VALUE(LEFT($A152,4)),"")</f>
        <v>2024</v>
      </c>
      <c r="C152" s="17" t="n">
        <f aca="false">IFERROR(VALUE(RIGHT($A152,2)),"")</f>
        <v>8</v>
      </c>
      <c r="D152" s="17" t="n">
        <f aca="false">IFERROR(ROUNDUP($C152/3,0),"")</f>
        <v>3</v>
      </c>
      <c r="E152" s="11" t="str">
        <f aca="false">TRIM('수출입 실적(성질별_수입)'!C156)</f>
        <v>가. 연 료</v>
      </c>
      <c r="F152" s="18" t="n">
        <f aca="false">IFERROR(VALUE(SUBSTITUTE(TRIM('수출입 실적(성질별_수입)'!D156),",","")),"")</f>
        <v>31756694.3</v>
      </c>
      <c r="G152" s="19" t="n">
        <f aca="false">IFERROR(VALUE(SUBSTITUTE(TRIM('수출입 실적(성질별_수입)'!E156),",","")),"")</f>
        <v>14761245</v>
      </c>
    </row>
    <row r="153" customFormat="false" ht="15" hidden="false" customHeight="true" outlineLevel="0" collapsed="false">
      <c r="A153" s="11" t="str">
        <f aca="false">TRIM('수출입 실적(성질별_수입)'!A157)</f>
        <v>2024.08</v>
      </c>
      <c r="B153" s="17" t="n">
        <f aca="false">IFERROR(VALUE(LEFT($A153,4)),"")</f>
        <v>2024</v>
      </c>
      <c r="C153" s="17" t="n">
        <f aca="false">IFERROR(VALUE(RIGHT($A153,2)),"")</f>
        <v>8</v>
      </c>
      <c r="D153" s="17" t="n">
        <f aca="false">IFERROR(ROUNDUP($C153/3,0),"")</f>
        <v>3</v>
      </c>
      <c r="E153" s="11" t="str">
        <f aca="false">TRIM('수출입 실적(성질별_수입)'!C157)</f>
        <v>나. 광 물</v>
      </c>
      <c r="F153" s="18" t="n">
        <f aca="false">IFERROR(VALUE(SUBSTITUTE(TRIM('수출입 실적(성질별_수입)'!D157),",","")),"")</f>
        <v>7847572.1</v>
      </c>
      <c r="G153" s="19" t="n">
        <f aca="false">IFERROR(VALUE(SUBSTITUTE(TRIM('수출입 실적(성질별_수입)'!E157),",","")),"")</f>
        <v>2058860</v>
      </c>
    </row>
    <row r="154" customFormat="false" ht="15" hidden="false" customHeight="true" outlineLevel="0" collapsed="false">
      <c r="A154" s="11" t="str">
        <f aca="false">TRIM('수출입 실적(성질별_수입)'!A158)</f>
        <v>2024.08</v>
      </c>
      <c r="B154" s="17" t="n">
        <f aca="false">IFERROR(VALUE(LEFT($A154,4)),"")</f>
        <v>2024</v>
      </c>
      <c r="C154" s="17" t="n">
        <f aca="false">IFERROR(VALUE(RIGHT($A154,2)),"")</f>
        <v>8</v>
      </c>
      <c r="D154" s="17" t="n">
        <f aca="false">IFERROR(ROUNDUP($C154/3,0),"")</f>
        <v>3</v>
      </c>
      <c r="E154" s="11" t="str">
        <f aca="false">TRIM('수출입 실적(성질별_수입)'!C158)</f>
        <v>다. 경공업 원료</v>
      </c>
      <c r="F154" s="18" t="n">
        <f aca="false">IFERROR(VALUE(SUBSTITUTE(TRIM('수출입 실적(성질별_수입)'!D158),",","")),"")</f>
        <v>1410863.5</v>
      </c>
      <c r="G154" s="19" t="n">
        <f aca="false">IFERROR(VALUE(SUBSTITUTE(TRIM('수출입 실적(성질별_수입)'!E158),",","")),"")</f>
        <v>640493</v>
      </c>
    </row>
    <row r="155" customFormat="false" ht="15" hidden="false" customHeight="true" outlineLevel="0" collapsed="false">
      <c r="A155" s="11" t="str">
        <f aca="false">TRIM('수출입 실적(성질별_수입)'!A159)</f>
        <v>2024.08</v>
      </c>
      <c r="B155" s="17" t="n">
        <f aca="false">IFERROR(VALUE(LEFT($A155,4)),"")</f>
        <v>2024</v>
      </c>
      <c r="C155" s="17" t="n">
        <f aca="false">IFERROR(VALUE(RIGHT($A155,2)),"")</f>
        <v>8</v>
      </c>
      <c r="D155" s="17" t="n">
        <f aca="false">IFERROR(ROUNDUP($C155/3,0),"")</f>
        <v>3</v>
      </c>
      <c r="E155" s="11" t="str">
        <f aca="false">TRIM('수출입 실적(성질별_수입)'!C159)</f>
        <v>라. 유 지</v>
      </c>
      <c r="F155" s="18" t="n">
        <f aca="false">IFERROR(VALUE(SUBSTITUTE(TRIM('수출입 실적(성질별_수입)'!D159),",","")),"")</f>
        <v>136407.8</v>
      </c>
      <c r="G155" s="19" t="n">
        <f aca="false">IFERROR(VALUE(SUBSTITUTE(TRIM('수출입 실적(성질별_수입)'!E159),",","")),"")</f>
        <v>171776</v>
      </c>
    </row>
    <row r="156" customFormat="false" ht="15" hidden="false" customHeight="true" outlineLevel="0" collapsed="false">
      <c r="A156" s="11" t="str">
        <f aca="false">TRIM('수출입 실적(성질별_수입)'!A160)</f>
        <v>2024.08</v>
      </c>
      <c r="B156" s="17" t="n">
        <f aca="false">IFERROR(VALUE(LEFT($A156,4)),"")</f>
        <v>2024</v>
      </c>
      <c r="C156" s="17" t="n">
        <f aca="false">IFERROR(VALUE(RIGHT($A156,2)),"")</f>
        <v>8</v>
      </c>
      <c r="D156" s="17" t="n">
        <f aca="false">IFERROR(ROUNDUP($C156/3,0),"")</f>
        <v>3</v>
      </c>
      <c r="E156" s="11" t="str">
        <f aca="false">TRIM('수출입 실적(성질별_수입)'!C160)</f>
        <v>마. 섬유류</v>
      </c>
      <c r="F156" s="18" t="n">
        <f aca="false">IFERROR(VALUE(SUBSTITUTE(TRIM('수출입 실적(성질별_수입)'!D160),",","")),"")</f>
        <v>101132.1</v>
      </c>
      <c r="G156" s="19" t="n">
        <f aca="false">IFERROR(VALUE(SUBSTITUTE(TRIM('수출입 실적(성질별_수입)'!E160),",","")),"")</f>
        <v>309530</v>
      </c>
    </row>
    <row r="157" customFormat="false" ht="15" hidden="false" customHeight="true" outlineLevel="0" collapsed="false">
      <c r="A157" s="11" t="str">
        <f aca="false">TRIM('수출입 실적(성질별_수입)'!A161)</f>
        <v>2024.08</v>
      </c>
      <c r="B157" s="17" t="n">
        <f aca="false">IFERROR(VALUE(LEFT($A157,4)),"")</f>
        <v>2024</v>
      </c>
      <c r="C157" s="17" t="n">
        <f aca="false">IFERROR(VALUE(RIGHT($A157,2)),"")</f>
        <v>8</v>
      </c>
      <c r="D157" s="17" t="n">
        <f aca="false">IFERROR(ROUNDUP($C157/3,0),"")</f>
        <v>3</v>
      </c>
      <c r="E157" s="11" t="str">
        <f aca="false">TRIM('수출입 실적(성질별_수입)'!C161)</f>
        <v>바. 화공품</v>
      </c>
      <c r="F157" s="18" t="n">
        <f aca="false">IFERROR(VALUE(SUBSTITUTE(TRIM('수출입 실적(성질별_수입)'!D161),",","")),"")</f>
        <v>1691873.3</v>
      </c>
      <c r="G157" s="19" t="n">
        <f aca="false">IFERROR(VALUE(SUBSTITUTE(TRIM('수출입 실적(성질별_수입)'!E161),",","")),"")</f>
        <v>4671279</v>
      </c>
    </row>
    <row r="158" customFormat="false" ht="15" hidden="false" customHeight="true" outlineLevel="0" collapsed="false">
      <c r="A158" s="11" t="str">
        <f aca="false">TRIM('수출입 실적(성질별_수입)'!A162)</f>
        <v>2024.08</v>
      </c>
      <c r="B158" s="17" t="n">
        <f aca="false">IFERROR(VALUE(LEFT($A158,4)),"")</f>
        <v>2024</v>
      </c>
      <c r="C158" s="17" t="n">
        <f aca="false">IFERROR(VALUE(RIGHT($A158,2)),"")</f>
        <v>8</v>
      </c>
      <c r="D158" s="17" t="n">
        <f aca="false">IFERROR(ROUNDUP($C158/3,0),"")</f>
        <v>3</v>
      </c>
      <c r="E158" s="11" t="str">
        <f aca="false">TRIM('수출입 실적(성질별_수입)'!C162)</f>
        <v>사. 철강재</v>
      </c>
      <c r="F158" s="18" t="n">
        <f aca="false">IFERROR(VALUE(SUBSTITUTE(TRIM('수출입 실적(성질별_수입)'!D162),",","")),"")</f>
        <v>1489963.9</v>
      </c>
      <c r="G158" s="19" t="n">
        <f aca="false">IFERROR(VALUE(SUBSTITUTE(TRIM('수출입 실적(성질별_수입)'!E162),",","")),"")</f>
        <v>1682099</v>
      </c>
    </row>
    <row r="159" customFormat="false" ht="15" hidden="false" customHeight="true" outlineLevel="0" collapsed="false">
      <c r="A159" s="11" t="str">
        <f aca="false">TRIM('수출입 실적(성질별_수입)'!A163)</f>
        <v>2024.08</v>
      </c>
      <c r="B159" s="17" t="n">
        <f aca="false">IFERROR(VALUE(LEFT($A159,4)),"")</f>
        <v>2024</v>
      </c>
      <c r="C159" s="17" t="n">
        <f aca="false">IFERROR(VALUE(RIGHT($A159,2)),"")</f>
        <v>8</v>
      </c>
      <c r="D159" s="17" t="n">
        <f aca="false">IFERROR(ROUNDUP($C159/3,0),"")</f>
        <v>3</v>
      </c>
      <c r="E159" s="11" t="str">
        <f aca="false">TRIM('수출입 실적(성질별_수입)'!C163)</f>
        <v>아. 비철금속</v>
      </c>
      <c r="F159" s="18" t="n">
        <f aca="false">IFERROR(VALUE(SUBSTITUTE(TRIM('수출입 실적(성질별_수입)'!D163),",","")),"")</f>
        <v>257683.7</v>
      </c>
      <c r="G159" s="19" t="n">
        <f aca="false">IFERROR(VALUE(SUBSTITUTE(TRIM('수출입 실적(성질별_수입)'!E163),",","")),"")</f>
        <v>1277918</v>
      </c>
    </row>
    <row r="160" customFormat="false" ht="15" hidden="false" customHeight="true" outlineLevel="0" collapsed="false">
      <c r="A160" s="11" t="str">
        <f aca="false">TRIM('수출입 실적(성질별_수입)'!A164)</f>
        <v>2024.08</v>
      </c>
      <c r="B160" s="17" t="n">
        <f aca="false">IFERROR(VALUE(LEFT($A160,4)),"")</f>
        <v>2024</v>
      </c>
      <c r="C160" s="17" t="n">
        <f aca="false">IFERROR(VALUE(RIGHT($A160,2)),"")</f>
        <v>8</v>
      </c>
      <c r="D160" s="17" t="n">
        <f aca="false">IFERROR(ROUNDUP($C160/3,0),"")</f>
        <v>3</v>
      </c>
      <c r="E160" s="11" t="str">
        <f aca="false">TRIM('수출입 실적(성질별_수입)'!C164)</f>
        <v>자. 기 타</v>
      </c>
      <c r="F160" s="18" t="n">
        <f aca="false">IFERROR(VALUE(SUBSTITUTE(TRIM('수출입 실적(성질별_수입)'!D164),",","")),"")</f>
        <v>837629.4</v>
      </c>
      <c r="G160" s="19" t="n">
        <f aca="false">IFERROR(VALUE(SUBSTITUTE(TRIM('수출입 실적(성질별_수입)'!E164),",","")),"")</f>
        <v>1602518</v>
      </c>
    </row>
    <row r="161" customFormat="false" ht="15" hidden="false" customHeight="true" outlineLevel="0" collapsed="false">
      <c r="A161" s="11" t="str">
        <f aca="false">TRIM('수출입 실적(성질별_수입)'!A165)</f>
        <v>2024.08</v>
      </c>
      <c r="B161" s="17" t="n">
        <f aca="false">IFERROR(VALUE(LEFT($A161,4)),"")</f>
        <v>2024</v>
      </c>
      <c r="C161" s="17" t="n">
        <f aca="false">IFERROR(VALUE(RIGHT($A161,2)),"")</f>
        <v>8</v>
      </c>
      <c r="D161" s="17" t="n">
        <f aca="false">IFERROR(ROUNDUP($C161/3,0),"")</f>
        <v>3</v>
      </c>
      <c r="E161" s="11" t="str">
        <f aca="false">TRIM('수출입 실적(성질별_수입)'!C165)</f>
        <v>3. 자본재</v>
      </c>
      <c r="F161" s="18" t="n">
        <f aca="false">IFERROR(VALUE(SUBSTITUTE(TRIM('수출입 실적(성질별_수입)'!D165),",","")),"")</f>
        <v>861301.9</v>
      </c>
      <c r="G161" s="19" t="n">
        <f aca="false">IFERROR(VALUE(SUBSTITUTE(TRIM('수출입 실적(성질별_수입)'!E165),",","")),"")</f>
        <v>18258464</v>
      </c>
    </row>
    <row r="162" customFormat="false" ht="15" hidden="false" customHeight="true" outlineLevel="0" collapsed="false">
      <c r="A162" s="11" t="str">
        <f aca="false">TRIM('수출입 실적(성질별_수입)'!A166)</f>
        <v>2024.08</v>
      </c>
      <c r="B162" s="17" t="n">
        <f aca="false">IFERROR(VALUE(LEFT($A162,4)),"")</f>
        <v>2024</v>
      </c>
      <c r="C162" s="17" t="n">
        <f aca="false">IFERROR(VALUE(RIGHT($A162,2)),"")</f>
        <v>8</v>
      </c>
      <c r="D162" s="17" t="n">
        <f aca="false">IFERROR(ROUNDUP($C162/3,0),"")</f>
        <v>3</v>
      </c>
      <c r="E162" s="11" t="str">
        <f aca="false">TRIM('수출입 실적(성질별_수입)'!C166)</f>
        <v>가. 기계류와 정밀기기</v>
      </c>
      <c r="F162" s="18" t="n">
        <f aca="false">IFERROR(VALUE(SUBSTITUTE(TRIM('수출입 실적(성질별_수입)'!D166),",","")),"")</f>
        <v>176244.2</v>
      </c>
      <c r="G162" s="19" t="n">
        <f aca="false">IFERROR(VALUE(SUBSTITUTE(TRIM('수출입 실적(성질별_수입)'!E166),",","")),"")</f>
        <v>5218741</v>
      </c>
    </row>
    <row r="163" customFormat="false" ht="15" hidden="false" customHeight="true" outlineLevel="0" collapsed="false">
      <c r="A163" s="11" t="str">
        <f aca="false">TRIM('수출입 실적(성질별_수입)'!A167)</f>
        <v>2024.08</v>
      </c>
      <c r="B163" s="17" t="n">
        <f aca="false">IFERROR(VALUE(LEFT($A163,4)),"")</f>
        <v>2024</v>
      </c>
      <c r="C163" s="17" t="n">
        <f aca="false">IFERROR(VALUE(RIGHT($A163,2)),"")</f>
        <v>8</v>
      </c>
      <c r="D163" s="17" t="n">
        <f aca="false">IFERROR(ROUNDUP($C163/3,0),"")</f>
        <v>3</v>
      </c>
      <c r="E163" s="11" t="str">
        <f aca="false">TRIM('수출입 실적(성질별_수입)'!C167)</f>
        <v>나. 전기·전자기기</v>
      </c>
      <c r="F163" s="18" t="n">
        <f aca="false">IFERROR(VALUE(SUBSTITUTE(TRIM('수출입 실적(성질별_수입)'!D167),",","")),"")</f>
        <v>159879.3</v>
      </c>
      <c r="G163" s="19" t="n">
        <f aca="false">IFERROR(VALUE(SUBSTITUTE(TRIM('수출입 실적(성질별_수입)'!E167),",","")),"")</f>
        <v>11203230</v>
      </c>
    </row>
    <row r="164" customFormat="false" ht="15" hidden="false" customHeight="true" outlineLevel="0" collapsed="false">
      <c r="A164" s="11" t="str">
        <f aca="false">TRIM('수출입 실적(성질별_수입)'!A168)</f>
        <v>2024.08</v>
      </c>
      <c r="B164" s="17" t="n">
        <f aca="false">IFERROR(VALUE(LEFT($A164,4)),"")</f>
        <v>2024</v>
      </c>
      <c r="C164" s="17" t="n">
        <f aca="false">IFERROR(VALUE(RIGHT($A164,2)),"")</f>
        <v>8</v>
      </c>
      <c r="D164" s="17" t="n">
        <f aca="false">IFERROR(ROUNDUP($C164/3,0),"")</f>
        <v>3</v>
      </c>
      <c r="E164" s="11" t="str">
        <f aca="false">TRIM('수출입 실적(성질별_수입)'!C168)</f>
        <v>다. 수송장비</v>
      </c>
      <c r="F164" s="18" t="n">
        <f aca="false">IFERROR(VALUE(SUBSTITUTE(TRIM('수출입 실적(성질별_수입)'!D168),",","")),"")</f>
        <v>511235.3</v>
      </c>
      <c r="G164" s="19" t="n">
        <f aca="false">IFERROR(VALUE(SUBSTITUTE(TRIM('수출입 실적(성질별_수입)'!E168),",","")),"")</f>
        <v>1598233</v>
      </c>
    </row>
    <row r="165" customFormat="false" ht="15" hidden="false" customHeight="true" outlineLevel="0" collapsed="false">
      <c r="A165" s="11" t="str">
        <f aca="false">TRIM('수출입 실적(성질별_수입)'!A169)</f>
        <v>2024.08</v>
      </c>
      <c r="B165" s="17" t="n">
        <f aca="false">IFERROR(VALUE(LEFT($A165,4)),"")</f>
        <v>2024</v>
      </c>
      <c r="C165" s="17" t="n">
        <f aca="false">IFERROR(VALUE(RIGHT($A165,2)),"")</f>
        <v>8</v>
      </c>
      <c r="D165" s="17" t="n">
        <f aca="false">IFERROR(ROUNDUP($C165/3,0),"")</f>
        <v>3</v>
      </c>
      <c r="E165" s="11" t="str">
        <f aca="false">TRIM('수출입 실적(성질별_수입)'!C169)</f>
        <v>라. 기 타</v>
      </c>
      <c r="F165" s="18" t="n">
        <f aca="false">IFERROR(VALUE(SUBSTITUTE(TRIM('수출입 실적(성질별_수입)'!D169),",","")),"")</f>
        <v>13943.1</v>
      </c>
      <c r="G165" s="19" t="n">
        <f aca="false">IFERROR(VALUE(SUBSTITUTE(TRIM('수출입 실적(성질별_수입)'!E169),",","")),"")</f>
        <v>238260</v>
      </c>
    </row>
    <row r="166" customFormat="false" ht="15" hidden="false" customHeight="true" outlineLevel="0" collapsed="false">
      <c r="A166" s="11" t="str">
        <f aca="false">TRIM('수출입 실적(성질별_수입)'!A170)</f>
        <v>2024.09</v>
      </c>
      <c r="B166" s="17" t="n">
        <f aca="false">IFERROR(VALUE(LEFT($A166,4)),"")</f>
        <v>2024</v>
      </c>
      <c r="C166" s="17" t="n">
        <f aca="false">IFERROR(VALUE(RIGHT($A166,2)),"")</f>
        <v>9</v>
      </c>
      <c r="D166" s="17" t="n">
        <f aca="false">IFERROR(ROUNDUP($C166/3,0),"")</f>
        <v>3</v>
      </c>
      <c r="E166" s="11" t="str">
        <f aca="false">TRIM('수출입 실적(성질별_수입)'!C170)</f>
        <v>1. 소비재</v>
      </c>
      <c r="F166" s="18" t="n">
        <f aca="false">IFERROR(VALUE(SUBSTITUTE(TRIM('수출입 실적(성질별_수입)'!D170),",","")),"")</f>
        <v>2963684.1</v>
      </c>
      <c r="G166" s="19" t="n">
        <f aca="false">IFERROR(VALUE(SUBSTITUTE(TRIM('수출입 실적(성질별_수입)'!E170),",","")),"")</f>
        <v>8247497</v>
      </c>
    </row>
    <row r="167" customFormat="false" ht="15" hidden="false" customHeight="true" outlineLevel="0" collapsed="false">
      <c r="A167" s="11" t="str">
        <f aca="false">TRIM('수출입 실적(성질별_수입)'!A171)</f>
        <v>2024.09</v>
      </c>
      <c r="B167" s="17" t="n">
        <f aca="false">IFERROR(VALUE(LEFT($A167,4)),"")</f>
        <v>2024</v>
      </c>
      <c r="C167" s="17" t="n">
        <f aca="false">IFERROR(VALUE(RIGHT($A167,2)),"")</f>
        <v>9</v>
      </c>
      <c r="D167" s="17" t="n">
        <f aca="false">IFERROR(ROUNDUP($C167/3,0),"")</f>
        <v>3</v>
      </c>
      <c r="E167" s="11" t="str">
        <f aca="false">TRIM('수출입 실적(성질별_수입)'!C171)</f>
        <v>가. 곡물</v>
      </c>
      <c r="F167" s="18" t="n">
        <f aca="false">IFERROR(VALUE(SUBSTITUTE(TRIM('수출입 실적(성질별_수입)'!D171),",","")),"")</f>
        <v>1895928.4</v>
      </c>
      <c r="G167" s="19" t="n">
        <f aca="false">IFERROR(VALUE(SUBSTITUTE(TRIM('수출입 실적(성질별_수입)'!E171),",","")),"")</f>
        <v>626853</v>
      </c>
    </row>
    <row r="168" customFormat="false" ht="15" hidden="false" customHeight="true" outlineLevel="0" collapsed="false">
      <c r="A168" s="11" t="str">
        <f aca="false">TRIM('수출입 실적(성질별_수입)'!A172)</f>
        <v>2024.09</v>
      </c>
      <c r="B168" s="17" t="n">
        <f aca="false">IFERROR(VALUE(LEFT($A168,4)),"")</f>
        <v>2024</v>
      </c>
      <c r="C168" s="17" t="n">
        <f aca="false">IFERROR(VALUE(RIGHT($A168,2)),"")</f>
        <v>9</v>
      </c>
      <c r="D168" s="17" t="n">
        <f aca="false">IFERROR(ROUNDUP($C168/3,0),"")</f>
        <v>3</v>
      </c>
      <c r="E168" s="11" t="str">
        <f aca="false">TRIM('수출입 실적(성질별_수입)'!C172)</f>
        <v>나. 직접소비재</v>
      </c>
      <c r="F168" s="18" t="n">
        <f aca="false">IFERROR(VALUE(SUBSTITUTE(TRIM('수출입 실적(성질별_수입)'!D172),",","")),"")</f>
        <v>690983.5</v>
      </c>
      <c r="G168" s="19" t="n">
        <f aca="false">IFERROR(VALUE(SUBSTITUTE(TRIM('수출입 실적(성질별_수입)'!E172),",","")),"")</f>
        <v>2159811</v>
      </c>
    </row>
    <row r="169" customFormat="false" ht="15" hidden="false" customHeight="true" outlineLevel="0" collapsed="false">
      <c r="A169" s="11" t="str">
        <f aca="false">TRIM('수출입 실적(성질별_수입)'!A173)</f>
        <v>2024.09</v>
      </c>
      <c r="B169" s="17" t="n">
        <f aca="false">IFERROR(VALUE(LEFT($A169,4)),"")</f>
        <v>2024</v>
      </c>
      <c r="C169" s="17" t="n">
        <f aca="false">IFERROR(VALUE(RIGHT($A169,2)),"")</f>
        <v>9</v>
      </c>
      <c r="D169" s="17" t="n">
        <f aca="false">IFERROR(ROUNDUP($C169/3,0),"")</f>
        <v>3</v>
      </c>
      <c r="E169" s="11" t="str">
        <f aca="false">TRIM('수출입 실적(성질별_수입)'!C173)</f>
        <v>다. 내구소비재</v>
      </c>
      <c r="F169" s="18" t="n">
        <f aca="false">IFERROR(VALUE(SUBSTITUTE(TRIM('수출입 실적(성질별_수입)'!D173),",","")),"")</f>
        <v>242273.2</v>
      </c>
      <c r="G169" s="19" t="n">
        <f aca="false">IFERROR(VALUE(SUBSTITUTE(TRIM('수출입 실적(성질별_수입)'!E173),",","")),"")</f>
        <v>3082309</v>
      </c>
    </row>
    <row r="170" customFormat="false" ht="15" hidden="false" customHeight="true" outlineLevel="0" collapsed="false">
      <c r="A170" s="11" t="str">
        <f aca="false">TRIM('수출입 실적(성질별_수입)'!A174)</f>
        <v>2024.09</v>
      </c>
      <c r="B170" s="17" t="n">
        <f aca="false">IFERROR(VALUE(LEFT($A170,4)),"")</f>
        <v>2024</v>
      </c>
      <c r="C170" s="17" t="n">
        <f aca="false">IFERROR(VALUE(RIGHT($A170,2)),"")</f>
        <v>9</v>
      </c>
      <c r="D170" s="17" t="n">
        <f aca="false">IFERROR(ROUNDUP($C170/3,0),"")</f>
        <v>3</v>
      </c>
      <c r="E170" s="11" t="str">
        <f aca="false">TRIM('수출입 실적(성질별_수입)'!C174)</f>
        <v>라. 비내구 소비재</v>
      </c>
      <c r="F170" s="18" t="n">
        <f aca="false">IFERROR(VALUE(SUBSTITUTE(TRIM('수출입 실적(성질별_수입)'!D174),",","")),"")</f>
        <v>134499</v>
      </c>
      <c r="G170" s="19" t="n">
        <f aca="false">IFERROR(VALUE(SUBSTITUTE(TRIM('수출입 실적(성질별_수입)'!E174),",","")),"")</f>
        <v>2378524</v>
      </c>
    </row>
    <row r="171" customFormat="false" ht="15" hidden="false" customHeight="true" outlineLevel="0" collapsed="false">
      <c r="A171" s="11" t="str">
        <f aca="false">TRIM('수출입 실적(성질별_수입)'!A175)</f>
        <v>2024.09</v>
      </c>
      <c r="B171" s="17" t="n">
        <f aca="false">IFERROR(VALUE(LEFT($A171,4)),"")</f>
        <v>2024</v>
      </c>
      <c r="C171" s="17" t="n">
        <f aca="false">IFERROR(VALUE(RIGHT($A171,2)),"")</f>
        <v>9</v>
      </c>
      <c r="D171" s="17" t="n">
        <f aca="false">IFERROR(ROUNDUP($C171/3,0),"")</f>
        <v>3</v>
      </c>
      <c r="E171" s="11" t="str">
        <f aca="false">TRIM('수출입 실적(성질별_수입)'!C175)</f>
        <v>2. 원자재</v>
      </c>
      <c r="F171" s="18" t="n">
        <f aca="false">IFERROR(VALUE(SUBSTITUTE(TRIM('수출입 실적(성질별_수입)'!D175),",","")),"")</f>
        <v>40639215.4</v>
      </c>
      <c r="G171" s="19" t="n">
        <f aca="false">IFERROR(VALUE(SUBSTITUTE(TRIM('수출입 실적(성질별_수입)'!E175),",","")),"")</f>
        <v>24388559</v>
      </c>
    </row>
    <row r="172" customFormat="false" ht="15" hidden="false" customHeight="true" outlineLevel="0" collapsed="false">
      <c r="A172" s="11" t="str">
        <f aca="false">TRIM('수출입 실적(성질별_수입)'!A176)</f>
        <v>2024.09</v>
      </c>
      <c r="B172" s="17" t="n">
        <f aca="false">IFERROR(VALUE(LEFT($A172,4)),"")</f>
        <v>2024</v>
      </c>
      <c r="C172" s="17" t="n">
        <f aca="false">IFERROR(VALUE(RIGHT($A172,2)),"")</f>
        <v>9</v>
      </c>
      <c r="D172" s="17" t="n">
        <f aca="false">IFERROR(ROUNDUP($C172/3,0),"")</f>
        <v>3</v>
      </c>
      <c r="E172" s="11" t="str">
        <f aca="false">TRIM('수출입 실적(성질별_수입)'!C176)</f>
        <v>가. 연 료</v>
      </c>
      <c r="F172" s="18" t="n">
        <f aca="false">IFERROR(VALUE(SUBSTITUTE(TRIM('수출입 실적(성질별_수입)'!D176),",","")),"")</f>
        <v>27500775.3</v>
      </c>
      <c r="G172" s="19" t="n">
        <f aca="false">IFERROR(VALUE(SUBSTITUTE(TRIM('수출입 실적(성질별_수입)'!E176),",","")),"")</f>
        <v>12401360</v>
      </c>
    </row>
    <row r="173" customFormat="false" ht="15" hidden="false" customHeight="true" outlineLevel="0" collapsed="false">
      <c r="A173" s="11" t="str">
        <f aca="false">TRIM('수출입 실적(성질별_수입)'!A177)</f>
        <v>2024.09</v>
      </c>
      <c r="B173" s="17" t="n">
        <f aca="false">IFERROR(VALUE(LEFT($A173,4)),"")</f>
        <v>2024</v>
      </c>
      <c r="C173" s="17" t="n">
        <f aca="false">IFERROR(VALUE(RIGHT($A173,2)),"")</f>
        <v>9</v>
      </c>
      <c r="D173" s="17" t="n">
        <f aca="false">IFERROR(ROUNDUP($C173/3,0),"")</f>
        <v>3</v>
      </c>
      <c r="E173" s="11" t="str">
        <f aca="false">TRIM('수출입 실적(성질별_수입)'!C177)</f>
        <v>나. 광 물</v>
      </c>
      <c r="F173" s="18" t="n">
        <f aca="false">IFERROR(VALUE(SUBSTITUTE(TRIM('수출입 실적(성질별_수입)'!D177),",","")),"")</f>
        <v>7752137</v>
      </c>
      <c r="G173" s="19" t="n">
        <f aca="false">IFERROR(VALUE(SUBSTITUTE(TRIM('수출입 실적(성질별_수입)'!E177),",","")),"")</f>
        <v>2330770</v>
      </c>
    </row>
    <row r="174" customFormat="false" ht="15" hidden="false" customHeight="true" outlineLevel="0" collapsed="false">
      <c r="A174" s="11" t="str">
        <f aca="false">TRIM('수출입 실적(성질별_수입)'!A178)</f>
        <v>2024.09</v>
      </c>
      <c r="B174" s="17" t="n">
        <f aca="false">IFERROR(VALUE(LEFT($A174,4)),"")</f>
        <v>2024</v>
      </c>
      <c r="C174" s="17" t="n">
        <f aca="false">IFERROR(VALUE(RIGHT($A174,2)),"")</f>
        <v>9</v>
      </c>
      <c r="D174" s="17" t="n">
        <f aca="false">IFERROR(ROUNDUP($C174/3,0),"")</f>
        <v>3</v>
      </c>
      <c r="E174" s="11" t="str">
        <f aca="false">TRIM('수출입 실적(성질별_수입)'!C178)</f>
        <v>다. 경공업 원료</v>
      </c>
      <c r="F174" s="18" t="n">
        <f aca="false">IFERROR(VALUE(SUBSTITUTE(TRIM('수출입 실적(성질별_수입)'!D178),",","")),"")</f>
        <v>1285345.1</v>
      </c>
      <c r="G174" s="19" t="n">
        <f aca="false">IFERROR(VALUE(SUBSTITUTE(TRIM('수출입 실적(성질별_수입)'!E178),",","")),"")</f>
        <v>578758</v>
      </c>
    </row>
    <row r="175" customFormat="false" ht="15" hidden="false" customHeight="true" outlineLevel="0" collapsed="false">
      <c r="A175" s="11" t="str">
        <f aca="false">TRIM('수출입 실적(성질별_수입)'!A179)</f>
        <v>2024.09</v>
      </c>
      <c r="B175" s="17" t="n">
        <f aca="false">IFERROR(VALUE(LEFT($A175,4)),"")</f>
        <v>2024</v>
      </c>
      <c r="C175" s="17" t="n">
        <f aca="false">IFERROR(VALUE(RIGHT($A175,2)),"")</f>
        <v>9</v>
      </c>
      <c r="D175" s="17" t="n">
        <f aca="false">IFERROR(ROUNDUP($C175/3,0),"")</f>
        <v>3</v>
      </c>
      <c r="E175" s="11" t="str">
        <f aca="false">TRIM('수출입 실적(성질별_수입)'!C179)</f>
        <v>라. 유 지</v>
      </c>
      <c r="F175" s="18" t="n">
        <f aca="false">IFERROR(VALUE(SUBSTITUTE(TRIM('수출입 실적(성질별_수입)'!D179),",","")),"")</f>
        <v>111793</v>
      </c>
      <c r="G175" s="19" t="n">
        <f aca="false">IFERROR(VALUE(SUBSTITUTE(TRIM('수출입 실적(성질별_수입)'!E179),",","")),"")</f>
        <v>141786</v>
      </c>
    </row>
    <row r="176" customFormat="false" ht="15" hidden="false" customHeight="true" outlineLevel="0" collapsed="false">
      <c r="A176" s="11" t="str">
        <f aca="false">TRIM('수출입 실적(성질별_수입)'!A180)</f>
        <v>2024.09</v>
      </c>
      <c r="B176" s="17" t="n">
        <f aca="false">IFERROR(VALUE(LEFT($A176,4)),"")</f>
        <v>2024</v>
      </c>
      <c r="C176" s="17" t="n">
        <f aca="false">IFERROR(VALUE(RIGHT($A176,2)),"")</f>
        <v>9</v>
      </c>
      <c r="D176" s="17" t="n">
        <f aca="false">IFERROR(ROUNDUP($C176/3,0),"")</f>
        <v>3</v>
      </c>
      <c r="E176" s="11" t="str">
        <f aca="false">TRIM('수출입 실적(성질별_수입)'!C180)</f>
        <v>마. 섬유류</v>
      </c>
      <c r="F176" s="18" t="n">
        <f aca="false">IFERROR(VALUE(SUBSTITUTE(TRIM('수출입 실적(성질별_수입)'!D180),",","")),"")</f>
        <v>98032.5</v>
      </c>
      <c r="G176" s="19" t="n">
        <f aca="false">IFERROR(VALUE(SUBSTITUTE(TRIM('수출입 실적(성질별_수입)'!E180),",","")),"")</f>
        <v>301900</v>
      </c>
    </row>
    <row r="177" customFormat="false" ht="15" hidden="false" customHeight="true" outlineLevel="0" collapsed="false">
      <c r="A177" s="11" t="str">
        <f aca="false">TRIM('수출입 실적(성질별_수입)'!A181)</f>
        <v>2024.09</v>
      </c>
      <c r="B177" s="17" t="n">
        <f aca="false">IFERROR(VALUE(LEFT($A177,4)),"")</f>
        <v>2024</v>
      </c>
      <c r="C177" s="17" t="n">
        <f aca="false">IFERROR(VALUE(RIGHT($A177,2)),"")</f>
        <v>9</v>
      </c>
      <c r="D177" s="17" t="n">
        <f aca="false">IFERROR(ROUNDUP($C177/3,0),"")</f>
        <v>3</v>
      </c>
      <c r="E177" s="11" t="str">
        <f aca="false">TRIM('수출입 실적(성질별_수입)'!C181)</f>
        <v>바. 화공품</v>
      </c>
      <c r="F177" s="18" t="n">
        <f aca="false">IFERROR(VALUE(SUBSTITUTE(TRIM('수출입 실적(성질별_수입)'!D181),",","")),"")</f>
        <v>1565720.9</v>
      </c>
      <c r="G177" s="19" t="n">
        <f aca="false">IFERROR(VALUE(SUBSTITUTE(TRIM('수출입 실적(성질별_수입)'!E181),",","")),"")</f>
        <v>4600934</v>
      </c>
    </row>
    <row r="178" customFormat="false" ht="15" hidden="false" customHeight="true" outlineLevel="0" collapsed="false">
      <c r="A178" s="11" t="str">
        <f aca="false">TRIM('수출입 실적(성질별_수입)'!A182)</f>
        <v>2024.09</v>
      </c>
      <c r="B178" s="17" t="n">
        <f aca="false">IFERROR(VALUE(LEFT($A178,4)),"")</f>
        <v>2024</v>
      </c>
      <c r="C178" s="17" t="n">
        <f aca="false">IFERROR(VALUE(RIGHT($A178,2)),"")</f>
        <v>9</v>
      </c>
      <c r="D178" s="17" t="n">
        <f aca="false">IFERROR(ROUNDUP($C178/3,0),"")</f>
        <v>3</v>
      </c>
      <c r="E178" s="11" t="str">
        <f aca="false">TRIM('수출입 실적(성질별_수입)'!C182)</f>
        <v>사. 철강재</v>
      </c>
      <c r="F178" s="18" t="n">
        <f aca="false">IFERROR(VALUE(SUBSTITUTE(TRIM('수출입 실적(성질별_수입)'!D182),",","")),"")</f>
        <v>1318627.2</v>
      </c>
      <c r="G178" s="19" t="n">
        <f aca="false">IFERROR(VALUE(SUBSTITUTE(TRIM('수출입 실적(성질별_수입)'!E182),",","")),"")</f>
        <v>1525633</v>
      </c>
    </row>
    <row r="179" customFormat="false" ht="15" hidden="false" customHeight="true" outlineLevel="0" collapsed="false">
      <c r="A179" s="11" t="str">
        <f aca="false">TRIM('수출입 실적(성질별_수입)'!A183)</f>
        <v>2024.09</v>
      </c>
      <c r="B179" s="17" t="n">
        <f aca="false">IFERROR(VALUE(LEFT($A179,4)),"")</f>
        <v>2024</v>
      </c>
      <c r="C179" s="17" t="n">
        <f aca="false">IFERROR(VALUE(RIGHT($A179,2)),"")</f>
        <v>9</v>
      </c>
      <c r="D179" s="17" t="n">
        <f aca="false">IFERROR(ROUNDUP($C179/3,0),"")</f>
        <v>3</v>
      </c>
      <c r="E179" s="11" t="str">
        <f aca="false">TRIM('수출입 실적(성질별_수입)'!C183)</f>
        <v>아. 비철금속</v>
      </c>
      <c r="F179" s="18" t="n">
        <f aca="false">IFERROR(VALUE(SUBSTITUTE(TRIM('수출입 실적(성질별_수입)'!D183),",","")),"")</f>
        <v>238404.1</v>
      </c>
      <c r="G179" s="19" t="n">
        <f aca="false">IFERROR(VALUE(SUBSTITUTE(TRIM('수출입 실적(성질별_수입)'!E183),",","")),"")</f>
        <v>1247446</v>
      </c>
    </row>
    <row r="180" customFormat="false" ht="15" hidden="false" customHeight="true" outlineLevel="0" collapsed="false">
      <c r="A180" s="11" t="str">
        <f aca="false">TRIM('수출입 실적(성질별_수입)'!A184)</f>
        <v>2024.09</v>
      </c>
      <c r="B180" s="17" t="n">
        <f aca="false">IFERROR(VALUE(LEFT($A180,4)),"")</f>
        <v>2024</v>
      </c>
      <c r="C180" s="17" t="n">
        <f aca="false">IFERROR(VALUE(RIGHT($A180,2)),"")</f>
        <v>9</v>
      </c>
      <c r="D180" s="17" t="n">
        <f aca="false">IFERROR(ROUNDUP($C180/3,0),"")</f>
        <v>3</v>
      </c>
      <c r="E180" s="11" t="str">
        <f aca="false">TRIM('수출입 실적(성질별_수입)'!C184)</f>
        <v>자. 기 타</v>
      </c>
      <c r="F180" s="18" t="n">
        <f aca="false">IFERROR(VALUE(SUBSTITUTE(TRIM('수출입 실적(성질별_수입)'!D184),",","")),"")</f>
        <v>768380.2</v>
      </c>
      <c r="G180" s="19" t="n">
        <f aca="false">IFERROR(VALUE(SUBSTITUTE(TRIM('수출입 실적(성질별_수입)'!E184),",","")),"")</f>
        <v>1259973</v>
      </c>
    </row>
    <row r="181" customFormat="false" ht="15" hidden="false" customHeight="true" outlineLevel="0" collapsed="false">
      <c r="A181" s="11" t="str">
        <f aca="false">TRIM('수출입 실적(성질별_수입)'!A185)</f>
        <v>2024.09</v>
      </c>
      <c r="B181" s="17" t="n">
        <f aca="false">IFERROR(VALUE(LEFT($A181,4)),"")</f>
        <v>2024</v>
      </c>
      <c r="C181" s="17" t="n">
        <f aca="false">IFERROR(VALUE(RIGHT($A181,2)),"")</f>
        <v>9</v>
      </c>
      <c r="D181" s="17" t="n">
        <f aca="false">IFERROR(ROUNDUP($C181/3,0),"")</f>
        <v>3</v>
      </c>
      <c r="E181" s="11" t="str">
        <f aca="false">TRIM('수출입 실적(성질별_수입)'!C185)</f>
        <v>3. 자본재</v>
      </c>
      <c r="F181" s="18" t="n">
        <f aca="false">IFERROR(VALUE(SUBSTITUTE(TRIM('수출입 실적(성질별_수입)'!D185),",","")),"")</f>
        <v>542522.1</v>
      </c>
      <c r="G181" s="19" t="n">
        <f aca="false">IFERROR(VALUE(SUBSTITUTE(TRIM('수출입 실적(성질별_수입)'!E185),",","")),"")</f>
        <v>19466868</v>
      </c>
    </row>
    <row r="182" customFormat="false" ht="15" hidden="false" customHeight="true" outlineLevel="0" collapsed="false">
      <c r="A182" s="11" t="str">
        <f aca="false">TRIM('수출입 실적(성질별_수입)'!A186)</f>
        <v>2024.09</v>
      </c>
      <c r="B182" s="17" t="n">
        <f aca="false">IFERROR(VALUE(LEFT($A182,4)),"")</f>
        <v>2024</v>
      </c>
      <c r="C182" s="17" t="n">
        <f aca="false">IFERROR(VALUE(RIGHT($A182,2)),"")</f>
        <v>9</v>
      </c>
      <c r="D182" s="17" t="n">
        <f aca="false">IFERROR(ROUNDUP($C182/3,0),"")</f>
        <v>3</v>
      </c>
      <c r="E182" s="11" t="str">
        <f aca="false">TRIM('수출입 실적(성질별_수입)'!C186)</f>
        <v>가. 기계류와 정밀기기</v>
      </c>
      <c r="F182" s="18" t="n">
        <f aca="false">IFERROR(VALUE(SUBSTITUTE(TRIM('수출입 실적(성질별_수입)'!D186),",","")),"")</f>
        <v>168923</v>
      </c>
      <c r="G182" s="19" t="n">
        <f aca="false">IFERROR(VALUE(SUBSTITUTE(TRIM('수출입 실적(성질별_수입)'!E186),",","")),"")</f>
        <v>6244362</v>
      </c>
    </row>
    <row r="183" customFormat="false" ht="15" hidden="false" customHeight="true" outlineLevel="0" collapsed="false">
      <c r="A183" s="11" t="str">
        <f aca="false">TRIM('수출입 실적(성질별_수입)'!A187)</f>
        <v>2024.09</v>
      </c>
      <c r="B183" s="17" t="n">
        <f aca="false">IFERROR(VALUE(LEFT($A183,4)),"")</f>
        <v>2024</v>
      </c>
      <c r="C183" s="17" t="n">
        <f aca="false">IFERROR(VALUE(RIGHT($A183,2)),"")</f>
        <v>9</v>
      </c>
      <c r="D183" s="17" t="n">
        <f aca="false">IFERROR(ROUNDUP($C183/3,0),"")</f>
        <v>3</v>
      </c>
      <c r="E183" s="11" t="str">
        <f aca="false">TRIM('수출입 실적(성질별_수입)'!C187)</f>
        <v>나. 전기·전자기기</v>
      </c>
      <c r="F183" s="18" t="n">
        <f aca="false">IFERROR(VALUE(SUBSTITUTE(TRIM('수출입 실적(성질별_수입)'!D187),",","")),"")</f>
        <v>160917.5</v>
      </c>
      <c r="G183" s="19" t="n">
        <f aca="false">IFERROR(VALUE(SUBSTITUTE(TRIM('수출입 실적(성질별_수입)'!E187),",","")),"")</f>
        <v>11959608</v>
      </c>
    </row>
    <row r="184" customFormat="false" ht="15" hidden="false" customHeight="true" outlineLevel="0" collapsed="false">
      <c r="A184" s="11" t="str">
        <f aca="false">TRIM('수출입 실적(성질별_수입)'!A188)</f>
        <v>2024.09</v>
      </c>
      <c r="B184" s="17" t="n">
        <f aca="false">IFERROR(VALUE(LEFT($A184,4)),"")</f>
        <v>2024</v>
      </c>
      <c r="C184" s="17" t="n">
        <f aca="false">IFERROR(VALUE(RIGHT($A184,2)),"")</f>
        <v>9</v>
      </c>
      <c r="D184" s="17" t="n">
        <f aca="false">IFERROR(ROUNDUP($C184/3,0),"")</f>
        <v>3</v>
      </c>
      <c r="E184" s="11" t="str">
        <f aca="false">TRIM('수출입 실적(성질별_수입)'!C188)</f>
        <v>다. 수송장비</v>
      </c>
      <c r="F184" s="18" t="n">
        <f aca="false">IFERROR(VALUE(SUBSTITUTE(TRIM('수출입 실적(성질별_수입)'!D188),",","")),"")</f>
        <v>199732.5</v>
      </c>
      <c r="G184" s="19" t="n">
        <f aca="false">IFERROR(VALUE(SUBSTITUTE(TRIM('수출입 실적(성질별_수입)'!E188),",","")),"")</f>
        <v>1060456</v>
      </c>
    </row>
    <row r="185" customFormat="false" ht="15" hidden="false" customHeight="true" outlineLevel="0" collapsed="false">
      <c r="A185" s="11" t="str">
        <f aca="false">TRIM('수출입 실적(성질별_수입)'!A189)</f>
        <v>2024.09</v>
      </c>
      <c r="B185" s="17" t="n">
        <f aca="false">IFERROR(VALUE(LEFT($A185,4)),"")</f>
        <v>2024</v>
      </c>
      <c r="C185" s="17" t="n">
        <f aca="false">IFERROR(VALUE(RIGHT($A185,2)),"")</f>
        <v>9</v>
      </c>
      <c r="D185" s="17" t="n">
        <f aca="false">IFERROR(ROUNDUP($C185/3,0),"")</f>
        <v>3</v>
      </c>
      <c r="E185" s="11" t="str">
        <f aca="false">TRIM('수출입 실적(성질별_수입)'!C189)</f>
        <v>라. 기 타</v>
      </c>
      <c r="F185" s="18" t="n">
        <f aca="false">IFERROR(VALUE(SUBSTITUTE(TRIM('수출입 실적(성질별_수입)'!D189),",","")),"")</f>
        <v>12949.1</v>
      </c>
      <c r="G185" s="19" t="n">
        <f aca="false">IFERROR(VALUE(SUBSTITUTE(TRIM('수출입 실적(성질별_수입)'!E189),",","")),"")</f>
        <v>202441</v>
      </c>
    </row>
    <row r="186" customFormat="false" ht="15" hidden="false" customHeight="true" outlineLevel="0" collapsed="false">
      <c r="A186" s="11" t="str">
        <f aca="false">TRIM('수출입 실적(성질별_수입)'!A190)</f>
        <v>2024.10</v>
      </c>
      <c r="B186" s="17" t="n">
        <f aca="false">IFERROR(VALUE(LEFT($A186,4)),"")</f>
        <v>2024</v>
      </c>
      <c r="C186" s="17" t="n">
        <f aca="false">IFERROR(VALUE(RIGHT($A186,2)),"")</f>
        <v>10</v>
      </c>
      <c r="D186" s="17" t="n">
        <f aca="false">IFERROR(ROUNDUP($C186/3,0),"")</f>
        <v>4</v>
      </c>
      <c r="E186" s="11" t="str">
        <f aca="false">TRIM('수출입 실적(성질별_수입)'!C190)</f>
        <v>1. 소비재</v>
      </c>
      <c r="F186" s="18" t="n">
        <f aca="false">IFERROR(VALUE(SUBSTITUTE(TRIM('수출입 실적(성질별_수입)'!D190),",","")),"")</f>
        <v>3599329.2</v>
      </c>
      <c r="G186" s="19" t="n">
        <f aca="false">IFERROR(VALUE(SUBSTITUTE(TRIM('수출입 실적(성질별_수입)'!E190),",","")),"")</f>
        <v>9250533</v>
      </c>
    </row>
    <row r="187" customFormat="false" ht="15" hidden="false" customHeight="true" outlineLevel="0" collapsed="false">
      <c r="A187" s="11" t="str">
        <f aca="false">TRIM('수출입 실적(성질별_수입)'!A191)</f>
        <v>2024.10</v>
      </c>
      <c r="B187" s="17" t="n">
        <f aca="false">IFERROR(VALUE(LEFT($A187,4)),"")</f>
        <v>2024</v>
      </c>
      <c r="C187" s="17" t="n">
        <f aca="false">IFERROR(VALUE(RIGHT($A187,2)),"")</f>
        <v>10</v>
      </c>
      <c r="D187" s="17" t="n">
        <f aca="false">IFERROR(ROUNDUP($C187/3,0),"")</f>
        <v>4</v>
      </c>
      <c r="E187" s="11" t="str">
        <f aca="false">TRIM('수출입 실적(성질별_수입)'!C191)</f>
        <v>가. 곡물</v>
      </c>
      <c r="F187" s="18" t="n">
        <f aca="false">IFERROR(VALUE(SUBSTITUTE(TRIM('수출입 실적(성질별_수입)'!D191),",","")),"")</f>
        <v>2387916.3</v>
      </c>
      <c r="G187" s="19" t="n">
        <f aca="false">IFERROR(VALUE(SUBSTITUTE(TRIM('수출입 실적(성질별_수입)'!E191),",","")),"")</f>
        <v>774895</v>
      </c>
    </row>
    <row r="188" customFormat="false" ht="15" hidden="false" customHeight="true" outlineLevel="0" collapsed="false">
      <c r="A188" s="11" t="str">
        <f aca="false">TRIM('수출입 실적(성질별_수입)'!A192)</f>
        <v>2024.10</v>
      </c>
      <c r="B188" s="17" t="n">
        <f aca="false">IFERROR(VALUE(LEFT($A188,4)),"")</f>
        <v>2024</v>
      </c>
      <c r="C188" s="17" t="n">
        <f aca="false">IFERROR(VALUE(RIGHT($A188,2)),"")</f>
        <v>10</v>
      </c>
      <c r="D188" s="17" t="n">
        <f aca="false">IFERROR(ROUNDUP($C188/3,0),"")</f>
        <v>4</v>
      </c>
      <c r="E188" s="11" t="str">
        <f aca="false">TRIM('수출입 실적(성질별_수입)'!C192)</f>
        <v>나. 직접소비재</v>
      </c>
      <c r="F188" s="18" t="n">
        <f aca="false">IFERROR(VALUE(SUBSTITUTE(TRIM('수출입 실적(성질별_수입)'!D192),",","")),"")</f>
        <v>785389.4</v>
      </c>
      <c r="G188" s="19" t="n">
        <f aca="false">IFERROR(VALUE(SUBSTITUTE(TRIM('수출입 실적(성질별_수입)'!E192),",","")),"")</f>
        <v>2491762</v>
      </c>
    </row>
    <row r="189" customFormat="false" ht="15" hidden="false" customHeight="true" outlineLevel="0" collapsed="false">
      <c r="A189" s="11" t="str">
        <f aca="false">TRIM('수출입 실적(성질별_수입)'!A193)</f>
        <v>2024.10</v>
      </c>
      <c r="B189" s="17" t="n">
        <f aca="false">IFERROR(VALUE(LEFT($A189,4)),"")</f>
        <v>2024</v>
      </c>
      <c r="C189" s="17" t="n">
        <f aca="false">IFERROR(VALUE(RIGHT($A189,2)),"")</f>
        <v>10</v>
      </c>
      <c r="D189" s="17" t="n">
        <f aca="false">IFERROR(ROUNDUP($C189/3,0),"")</f>
        <v>4</v>
      </c>
      <c r="E189" s="11" t="str">
        <f aca="false">TRIM('수출입 실적(성질별_수입)'!C193)</f>
        <v>다. 내구소비재</v>
      </c>
      <c r="F189" s="18" t="n">
        <f aca="false">IFERROR(VALUE(SUBSTITUTE(TRIM('수출입 실적(성질별_수입)'!D193),",","")),"")</f>
        <v>281012.9</v>
      </c>
      <c r="G189" s="19" t="n">
        <f aca="false">IFERROR(VALUE(SUBSTITUTE(TRIM('수출입 실적(성질별_수입)'!E193),",","")),"")</f>
        <v>3606527</v>
      </c>
    </row>
    <row r="190" customFormat="false" ht="15" hidden="false" customHeight="true" outlineLevel="0" collapsed="false">
      <c r="A190" s="11" t="str">
        <f aca="false">TRIM('수출입 실적(성질별_수입)'!A194)</f>
        <v>2024.10</v>
      </c>
      <c r="B190" s="17" t="n">
        <f aca="false">IFERROR(VALUE(LEFT($A190,4)),"")</f>
        <v>2024</v>
      </c>
      <c r="C190" s="17" t="n">
        <f aca="false">IFERROR(VALUE(RIGHT($A190,2)),"")</f>
        <v>10</v>
      </c>
      <c r="D190" s="17" t="n">
        <f aca="false">IFERROR(ROUNDUP($C190/3,0),"")</f>
        <v>4</v>
      </c>
      <c r="E190" s="11" t="str">
        <f aca="false">TRIM('수출입 실적(성질별_수입)'!C194)</f>
        <v>라. 비내구 소비재</v>
      </c>
      <c r="F190" s="18" t="n">
        <f aca="false">IFERROR(VALUE(SUBSTITUTE(TRIM('수출입 실적(성질별_수입)'!D194),",","")),"")</f>
        <v>145010.5</v>
      </c>
      <c r="G190" s="19" t="n">
        <f aca="false">IFERROR(VALUE(SUBSTITUTE(TRIM('수출입 실적(성질별_수입)'!E194),",","")),"")</f>
        <v>2377349</v>
      </c>
    </row>
    <row r="191" customFormat="false" ht="15" hidden="false" customHeight="true" outlineLevel="0" collapsed="false">
      <c r="A191" s="11" t="str">
        <f aca="false">TRIM('수출입 실적(성질별_수입)'!A195)</f>
        <v>2024.10</v>
      </c>
      <c r="B191" s="17" t="n">
        <f aca="false">IFERROR(VALUE(LEFT($A191,4)),"")</f>
        <v>2024</v>
      </c>
      <c r="C191" s="17" t="n">
        <f aca="false">IFERROR(VALUE(RIGHT($A191,2)),"")</f>
        <v>10</v>
      </c>
      <c r="D191" s="17" t="n">
        <f aca="false">IFERROR(ROUNDUP($C191/3,0),"")</f>
        <v>4</v>
      </c>
      <c r="E191" s="11" t="str">
        <f aca="false">TRIM('수출입 실적(성질별_수입)'!C195)</f>
        <v>2. 원자재</v>
      </c>
      <c r="F191" s="18" t="n">
        <f aca="false">IFERROR(VALUE(SUBSTITUTE(TRIM('수출입 실적(성질별_수입)'!D195),",","")),"")</f>
        <v>43209868.8</v>
      </c>
      <c r="G191" s="19" t="n">
        <f aca="false">IFERROR(VALUE(SUBSTITUTE(TRIM('수출입 실적(성질별_수입)'!E195),",","")),"")</f>
        <v>25204179</v>
      </c>
    </row>
    <row r="192" customFormat="false" ht="15" hidden="false" customHeight="true" outlineLevel="0" collapsed="false">
      <c r="A192" s="11" t="str">
        <f aca="false">TRIM('수출입 실적(성질별_수입)'!A196)</f>
        <v>2024.10</v>
      </c>
      <c r="B192" s="17" t="n">
        <f aca="false">IFERROR(VALUE(LEFT($A192,4)),"")</f>
        <v>2024</v>
      </c>
      <c r="C192" s="17" t="n">
        <f aca="false">IFERROR(VALUE(RIGHT($A192,2)),"")</f>
        <v>10</v>
      </c>
      <c r="D192" s="17" t="n">
        <f aca="false">IFERROR(ROUNDUP($C192/3,0),"")</f>
        <v>4</v>
      </c>
      <c r="E192" s="11" t="str">
        <f aca="false">TRIM('수출입 실적(성질별_수입)'!C196)</f>
        <v>가. 연 료</v>
      </c>
      <c r="F192" s="18" t="n">
        <f aca="false">IFERROR(VALUE(SUBSTITUTE(TRIM('수출입 실적(성질별_수입)'!D196),",","")),"")</f>
        <v>28556786.1</v>
      </c>
      <c r="G192" s="19" t="n">
        <f aca="false">IFERROR(VALUE(SUBSTITUTE(TRIM('수출입 실적(성질별_수입)'!E196),",","")),"")</f>
        <v>13104076</v>
      </c>
    </row>
    <row r="193" customFormat="false" ht="15" hidden="false" customHeight="true" outlineLevel="0" collapsed="false">
      <c r="A193" s="11" t="str">
        <f aca="false">TRIM('수출입 실적(성질별_수입)'!A197)</f>
        <v>2024.10</v>
      </c>
      <c r="B193" s="17" t="n">
        <f aca="false">IFERROR(VALUE(LEFT($A193,4)),"")</f>
        <v>2024</v>
      </c>
      <c r="C193" s="17" t="n">
        <f aca="false">IFERROR(VALUE(RIGHT($A193,2)),"")</f>
        <v>10</v>
      </c>
      <c r="D193" s="17" t="n">
        <f aca="false">IFERROR(ROUNDUP($C193/3,0),"")</f>
        <v>4</v>
      </c>
      <c r="E193" s="11" t="str">
        <f aca="false">TRIM('수출입 실적(성질별_수입)'!C197)</f>
        <v>나. 광 물</v>
      </c>
      <c r="F193" s="18" t="n">
        <f aca="false">IFERROR(VALUE(SUBSTITUTE(TRIM('수출입 실적(성질별_수입)'!D197),",","")),"")</f>
        <v>8770446.2</v>
      </c>
      <c r="G193" s="19" t="n">
        <f aca="false">IFERROR(VALUE(SUBSTITUTE(TRIM('수출입 실적(성질별_수입)'!E197),",","")),"")</f>
        <v>2110975</v>
      </c>
    </row>
    <row r="194" customFormat="false" ht="15" hidden="false" customHeight="true" outlineLevel="0" collapsed="false">
      <c r="A194" s="11" t="str">
        <f aca="false">TRIM('수출입 실적(성질별_수입)'!A198)</f>
        <v>2024.10</v>
      </c>
      <c r="B194" s="17" t="n">
        <f aca="false">IFERROR(VALUE(LEFT($A194,4)),"")</f>
        <v>2024</v>
      </c>
      <c r="C194" s="17" t="n">
        <f aca="false">IFERROR(VALUE(RIGHT($A194,2)),"")</f>
        <v>10</v>
      </c>
      <c r="D194" s="17" t="n">
        <f aca="false">IFERROR(ROUNDUP($C194/3,0),"")</f>
        <v>4</v>
      </c>
      <c r="E194" s="11" t="str">
        <f aca="false">TRIM('수출입 실적(성질별_수입)'!C198)</f>
        <v>다. 경공업 원료</v>
      </c>
      <c r="F194" s="18" t="n">
        <f aca="false">IFERROR(VALUE(SUBSTITUTE(TRIM('수출입 실적(성질별_수입)'!D198),",","")),"")</f>
        <v>1402267</v>
      </c>
      <c r="G194" s="19" t="n">
        <f aca="false">IFERROR(VALUE(SUBSTITUTE(TRIM('수출입 실적(성질별_수입)'!E198),",","")),"")</f>
        <v>592735</v>
      </c>
    </row>
    <row r="195" customFormat="false" ht="15" hidden="false" customHeight="true" outlineLevel="0" collapsed="false">
      <c r="A195" s="11" t="str">
        <f aca="false">TRIM('수출입 실적(성질별_수입)'!A199)</f>
        <v>2024.10</v>
      </c>
      <c r="B195" s="17" t="n">
        <f aca="false">IFERROR(VALUE(LEFT($A195,4)),"")</f>
        <v>2024</v>
      </c>
      <c r="C195" s="17" t="n">
        <f aca="false">IFERROR(VALUE(RIGHT($A195,2)),"")</f>
        <v>10</v>
      </c>
      <c r="D195" s="17" t="n">
        <f aca="false">IFERROR(ROUNDUP($C195/3,0),"")</f>
        <v>4</v>
      </c>
      <c r="E195" s="11" t="str">
        <f aca="false">TRIM('수출입 실적(성질별_수입)'!C199)</f>
        <v>라. 유 지</v>
      </c>
      <c r="F195" s="18" t="n">
        <f aca="false">IFERROR(VALUE(SUBSTITUTE(TRIM('수출입 실적(성질별_수입)'!D199),",","")),"")</f>
        <v>132238.8</v>
      </c>
      <c r="G195" s="19" t="n">
        <f aca="false">IFERROR(VALUE(SUBSTITUTE(TRIM('수출입 실적(성질별_수입)'!E199),",","")),"")</f>
        <v>171410</v>
      </c>
    </row>
    <row r="196" customFormat="false" ht="15" hidden="false" customHeight="true" outlineLevel="0" collapsed="false">
      <c r="A196" s="11" t="str">
        <f aca="false">TRIM('수출입 실적(성질별_수입)'!A200)</f>
        <v>2024.10</v>
      </c>
      <c r="B196" s="17" t="n">
        <f aca="false">IFERROR(VALUE(LEFT($A196,4)),"")</f>
        <v>2024</v>
      </c>
      <c r="C196" s="17" t="n">
        <f aca="false">IFERROR(VALUE(RIGHT($A196,2)),"")</f>
        <v>10</v>
      </c>
      <c r="D196" s="17" t="n">
        <f aca="false">IFERROR(ROUNDUP($C196/3,0),"")</f>
        <v>4</v>
      </c>
      <c r="E196" s="11" t="str">
        <f aca="false">TRIM('수출입 실적(성질별_수입)'!C200)</f>
        <v>마. 섬유류</v>
      </c>
      <c r="F196" s="18" t="n">
        <f aca="false">IFERROR(VALUE(SUBSTITUTE(TRIM('수출입 실적(성질별_수입)'!D200),",","")),"")</f>
        <v>103381.1</v>
      </c>
      <c r="G196" s="19" t="n">
        <f aca="false">IFERROR(VALUE(SUBSTITUTE(TRIM('수출입 실적(성질별_수입)'!E200),",","")),"")</f>
        <v>321985</v>
      </c>
    </row>
    <row r="197" customFormat="false" ht="15" hidden="false" customHeight="true" outlineLevel="0" collapsed="false">
      <c r="A197" s="11" t="str">
        <f aca="false">TRIM('수출입 실적(성질별_수입)'!A201)</f>
        <v>2024.10</v>
      </c>
      <c r="B197" s="17" t="n">
        <f aca="false">IFERROR(VALUE(LEFT($A197,4)),"")</f>
        <v>2024</v>
      </c>
      <c r="C197" s="17" t="n">
        <f aca="false">IFERROR(VALUE(RIGHT($A197,2)),"")</f>
        <v>10</v>
      </c>
      <c r="D197" s="17" t="n">
        <f aca="false">IFERROR(ROUNDUP($C197/3,0),"")</f>
        <v>4</v>
      </c>
      <c r="E197" s="11" t="str">
        <f aca="false">TRIM('수출입 실적(성질별_수입)'!C201)</f>
        <v>바. 화공품</v>
      </c>
      <c r="F197" s="18" t="n">
        <f aca="false">IFERROR(VALUE(SUBSTITUTE(TRIM('수출입 실적(성질별_수입)'!D201),",","")),"")</f>
        <v>1610079.1</v>
      </c>
      <c r="G197" s="19" t="n">
        <f aca="false">IFERROR(VALUE(SUBSTITUTE(TRIM('수출입 실적(성질별_수입)'!E201),",","")),"")</f>
        <v>4588012</v>
      </c>
    </row>
    <row r="198" customFormat="false" ht="15" hidden="false" customHeight="true" outlineLevel="0" collapsed="false">
      <c r="A198" s="11" t="str">
        <f aca="false">TRIM('수출입 실적(성질별_수입)'!A202)</f>
        <v>2024.10</v>
      </c>
      <c r="B198" s="17" t="n">
        <f aca="false">IFERROR(VALUE(LEFT($A198,4)),"")</f>
        <v>2024</v>
      </c>
      <c r="C198" s="17" t="n">
        <f aca="false">IFERROR(VALUE(RIGHT($A198,2)),"")</f>
        <v>10</v>
      </c>
      <c r="D198" s="17" t="n">
        <f aca="false">IFERROR(ROUNDUP($C198/3,0),"")</f>
        <v>4</v>
      </c>
      <c r="E198" s="11" t="str">
        <f aca="false">TRIM('수출입 실적(성질별_수입)'!C202)</f>
        <v>사. 철강재</v>
      </c>
      <c r="F198" s="18" t="n">
        <f aca="false">IFERROR(VALUE(SUBSTITUTE(TRIM('수출입 실적(성질별_수입)'!D202),",","")),"")</f>
        <v>1529375.1</v>
      </c>
      <c r="G198" s="19" t="n">
        <f aca="false">IFERROR(VALUE(SUBSTITUTE(TRIM('수출입 실적(성질별_수입)'!E202),",","")),"")</f>
        <v>1657394</v>
      </c>
    </row>
    <row r="199" customFormat="false" ht="15" hidden="false" customHeight="true" outlineLevel="0" collapsed="false">
      <c r="A199" s="11" t="str">
        <f aca="false">TRIM('수출입 실적(성질별_수입)'!A203)</f>
        <v>2024.10</v>
      </c>
      <c r="B199" s="17" t="n">
        <f aca="false">IFERROR(VALUE(LEFT($A199,4)),"")</f>
        <v>2024</v>
      </c>
      <c r="C199" s="17" t="n">
        <f aca="false">IFERROR(VALUE(RIGHT($A199,2)),"")</f>
        <v>10</v>
      </c>
      <c r="D199" s="17" t="n">
        <f aca="false">IFERROR(ROUNDUP($C199/3,0),"")</f>
        <v>4</v>
      </c>
      <c r="E199" s="11" t="str">
        <f aca="false">TRIM('수출입 실적(성질별_수입)'!C203)</f>
        <v>아. 비철금속</v>
      </c>
      <c r="F199" s="18" t="n">
        <f aca="false">IFERROR(VALUE(SUBSTITUTE(TRIM('수출입 실적(성질별_수입)'!D203),",","")),"")</f>
        <v>255310.6</v>
      </c>
      <c r="G199" s="19" t="n">
        <f aca="false">IFERROR(VALUE(SUBSTITUTE(TRIM('수출입 실적(성질별_수입)'!E203),",","")),"")</f>
        <v>1366274</v>
      </c>
    </row>
    <row r="200" customFormat="false" ht="15" hidden="false" customHeight="true" outlineLevel="0" collapsed="false">
      <c r="A200" s="11" t="str">
        <f aca="false">TRIM('수출입 실적(성질별_수입)'!A204)</f>
        <v>2024.10</v>
      </c>
      <c r="B200" s="17" t="n">
        <f aca="false">IFERROR(VALUE(LEFT($A200,4)),"")</f>
        <v>2024</v>
      </c>
      <c r="C200" s="17" t="n">
        <f aca="false">IFERROR(VALUE(RIGHT($A200,2)),"")</f>
        <v>10</v>
      </c>
      <c r="D200" s="17" t="n">
        <f aca="false">IFERROR(ROUNDUP($C200/3,0),"")</f>
        <v>4</v>
      </c>
      <c r="E200" s="11" t="str">
        <f aca="false">TRIM('수출입 실적(성질별_수입)'!C204)</f>
        <v>자. 기 타</v>
      </c>
      <c r="F200" s="18" t="n">
        <f aca="false">IFERROR(VALUE(SUBSTITUTE(TRIM('수출입 실적(성질별_수입)'!D204),",","")),"")</f>
        <v>849984.9</v>
      </c>
      <c r="G200" s="19" t="n">
        <f aca="false">IFERROR(VALUE(SUBSTITUTE(TRIM('수출입 실적(성질별_수입)'!E204),",","")),"")</f>
        <v>1291318</v>
      </c>
    </row>
    <row r="201" customFormat="false" ht="15" hidden="false" customHeight="true" outlineLevel="0" collapsed="false">
      <c r="A201" s="11" t="str">
        <f aca="false">TRIM('수출입 실적(성질별_수입)'!A205)</f>
        <v>2024.10</v>
      </c>
      <c r="B201" s="17" t="n">
        <f aca="false">IFERROR(VALUE(LEFT($A201,4)),"")</f>
        <v>2024</v>
      </c>
      <c r="C201" s="17" t="n">
        <f aca="false">IFERROR(VALUE(RIGHT($A201,2)),"")</f>
        <v>10</v>
      </c>
      <c r="D201" s="17" t="n">
        <f aca="false">IFERROR(ROUNDUP($C201/3,0),"")</f>
        <v>4</v>
      </c>
      <c r="E201" s="11" t="str">
        <f aca="false">TRIM('수출입 실적(성질별_수입)'!C205)</f>
        <v>3. 자본재</v>
      </c>
      <c r="F201" s="18" t="n">
        <f aca="false">IFERROR(VALUE(SUBSTITUTE(TRIM('수출입 실적(성질별_수입)'!D205),",","")),"")</f>
        <v>643376.1</v>
      </c>
      <c r="G201" s="19" t="n">
        <f aca="false">IFERROR(VALUE(SUBSTITUTE(TRIM('수출입 실적(성질별_수입)'!E205),",","")),"")</f>
        <v>19876876</v>
      </c>
    </row>
    <row r="202" customFormat="false" ht="15" hidden="false" customHeight="true" outlineLevel="0" collapsed="false">
      <c r="A202" s="11" t="str">
        <f aca="false">TRIM('수출입 실적(성질별_수입)'!A206)</f>
        <v>2024.10</v>
      </c>
      <c r="B202" s="17" t="n">
        <f aca="false">IFERROR(VALUE(LEFT($A202,4)),"")</f>
        <v>2024</v>
      </c>
      <c r="C202" s="17" t="n">
        <f aca="false">IFERROR(VALUE(RIGHT($A202,2)),"")</f>
        <v>10</v>
      </c>
      <c r="D202" s="17" t="n">
        <f aca="false">IFERROR(ROUNDUP($C202/3,0),"")</f>
        <v>4</v>
      </c>
      <c r="E202" s="11" t="str">
        <f aca="false">TRIM('수출입 실적(성질별_수입)'!C206)</f>
        <v>가. 기계류와 정밀기기</v>
      </c>
      <c r="F202" s="18" t="n">
        <f aca="false">IFERROR(VALUE(SUBSTITUTE(TRIM('수출입 실적(성질별_수입)'!D206),",","")),"")</f>
        <v>178603.3</v>
      </c>
      <c r="G202" s="19" t="n">
        <f aca="false">IFERROR(VALUE(SUBSTITUTE(TRIM('수출입 실적(성질별_수입)'!E206),",","")),"")</f>
        <v>5704640</v>
      </c>
    </row>
    <row r="203" customFormat="false" ht="15" hidden="false" customHeight="true" outlineLevel="0" collapsed="false">
      <c r="A203" s="11" t="str">
        <f aca="false">TRIM('수출입 실적(성질별_수입)'!A207)</f>
        <v>2024.10</v>
      </c>
      <c r="B203" s="17" t="n">
        <f aca="false">IFERROR(VALUE(LEFT($A203,4)),"")</f>
        <v>2024</v>
      </c>
      <c r="C203" s="17" t="n">
        <f aca="false">IFERROR(VALUE(RIGHT($A203,2)),"")</f>
        <v>10</v>
      </c>
      <c r="D203" s="17" t="n">
        <f aca="false">IFERROR(ROUNDUP($C203/3,0),"")</f>
        <v>4</v>
      </c>
      <c r="E203" s="11" t="str">
        <f aca="false">TRIM('수출입 실적(성질별_수입)'!C207)</f>
        <v>나. 전기·전자기기</v>
      </c>
      <c r="F203" s="18" t="n">
        <f aca="false">IFERROR(VALUE(SUBSTITUTE(TRIM('수출입 실적(성질별_수입)'!D207),",","")),"")</f>
        <v>184572.6</v>
      </c>
      <c r="G203" s="19" t="n">
        <f aca="false">IFERROR(VALUE(SUBSTITUTE(TRIM('수출입 실적(성질별_수입)'!E207),",","")),"")</f>
        <v>12759834</v>
      </c>
    </row>
    <row r="204" customFormat="false" ht="15" hidden="false" customHeight="true" outlineLevel="0" collapsed="false">
      <c r="A204" s="11" t="str">
        <f aca="false">TRIM('수출입 실적(성질별_수입)'!A208)</f>
        <v>2024.10</v>
      </c>
      <c r="B204" s="17" t="n">
        <f aca="false">IFERROR(VALUE(LEFT($A204,4)),"")</f>
        <v>2024</v>
      </c>
      <c r="C204" s="17" t="n">
        <f aca="false">IFERROR(VALUE(RIGHT($A204,2)),"")</f>
        <v>10</v>
      </c>
      <c r="D204" s="17" t="n">
        <f aca="false">IFERROR(ROUNDUP($C204/3,0),"")</f>
        <v>4</v>
      </c>
      <c r="E204" s="11" t="str">
        <f aca="false">TRIM('수출입 실적(성질별_수입)'!C208)</f>
        <v>다. 수송장비</v>
      </c>
      <c r="F204" s="18" t="n">
        <f aca="false">IFERROR(VALUE(SUBSTITUTE(TRIM('수출입 실적(성질별_수입)'!D208),",","")),"")</f>
        <v>267951</v>
      </c>
      <c r="G204" s="19" t="n">
        <f aca="false">IFERROR(VALUE(SUBSTITUTE(TRIM('수출입 실적(성질별_수입)'!E208),",","")),"")</f>
        <v>1198360</v>
      </c>
    </row>
    <row r="205" customFormat="false" ht="15" hidden="false" customHeight="true" outlineLevel="0" collapsed="false">
      <c r="A205" s="11" t="str">
        <f aca="false">TRIM('수출입 실적(성질별_수입)'!A209)</f>
        <v>2024.10</v>
      </c>
      <c r="B205" s="17" t="n">
        <f aca="false">IFERROR(VALUE(LEFT($A205,4)),"")</f>
        <v>2024</v>
      </c>
      <c r="C205" s="17" t="n">
        <f aca="false">IFERROR(VALUE(RIGHT($A205,2)),"")</f>
        <v>10</v>
      </c>
      <c r="D205" s="17" t="n">
        <f aca="false">IFERROR(ROUNDUP($C205/3,0),"")</f>
        <v>4</v>
      </c>
      <c r="E205" s="11" t="str">
        <f aca="false">TRIM('수출입 실적(성질별_수입)'!C209)</f>
        <v>라. 기 타</v>
      </c>
      <c r="F205" s="18" t="n">
        <f aca="false">IFERROR(VALUE(SUBSTITUTE(TRIM('수출입 실적(성질별_수입)'!D209),",","")),"")</f>
        <v>12249.2</v>
      </c>
      <c r="G205" s="19" t="n">
        <f aca="false">IFERROR(VALUE(SUBSTITUTE(TRIM('수출입 실적(성질별_수입)'!E209),",","")),"")</f>
        <v>214041</v>
      </c>
    </row>
    <row r="206" customFormat="false" ht="15" hidden="false" customHeight="true" outlineLevel="0" collapsed="false">
      <c r="A206" s="11" t="str">
        <f aca="false">TRIM('수출입 실적(성질별_수입)'!A210)</f>
        <v>2024.11</v>
      </c>
      <c r="B206" s="17" t="n">
        <f aca="false">IFERROR(VALUE(LEFT($A206,4)),"")</f>
        <v>2024</v>
      </c>
      <c r="C206" s="17" t="n">
        <f aca="false">IFERROR(VALUE(RIGHT($A206,2)),"")</f>
        <v>11</v>
      </c>
      <c r="D206" s="17" t="n">
        <f aca="false">IFERROR(ROUNDUP($C206/3,0),"")</f>
        <v>4</v>
      </c>
      <c r="E206" s="11" t="str">
        <f aca="false">TRIM('수출입 실적(성질별_수입)'!C210)</f>
        <v>1. 소비재</v>
      </c>
      <c r="F206" s="18" t="n">
        <f aca="false">IFERROR(VALUE(SUBSTITUTE(TRIM('수출입 실적(성질별_수입)'!D210),",","")),"")</f>
        <v>3257795.9</v>
      </c>
      <c r="G206" s="19" t="n">
        <f aca="false">IFERROR(VALUE(SUBSTITUTE(TRIM('수출입 실적(성질별_수입)'!E210),",","")),"")</f>
        <v>7824985</v>
      </c>
    </row>
    <row r="207" customFormat="false" ht="15" hidden="false" customHeight="true" outlineLevel="0" collapsed="false">
      <c r="A207" s="11" t="str">
        <f aca="false">TRIM('수출입 실적(성질별_수입)'!A211)</f>
        <v>2024.11</v>
      </c>
      <c r="B207" s="17" t="n">
        <f aca="false">IFERROR(VALUE(LEFT($A207,4)),"")</f>
        <v>2024</v>
      </c>
      <c r="C207" s="17" t="n">
        <f aca="false">IFERROR(VALUE(RIGHT($A207,2)),"")</f>
        <v>11</v>
      </c>
      <c r="D207" s="17" t="n">
        <f aca="false">IFERROR(ROUNDUP($C207/3,0),"")</f>
        <v>4</v>
      </c>
      <c r="E207" s="11" t="str">
        <f aca="false">TRIM('수출입 실적(성질별_수입)'!C211)</f>
        <v>가. 곡물</v>
      </c>
      <c r="F207" s="18" t="n">
        <f aca="false">IFERROR(VALUE(SUBSTITUTE(TRIM('수출입 실적(성질별_수입)'!D211),",","")),"")</f>
        <v>2172836</v>
      </c>
      <c r="G207" s="19" t="n">
        <f aca="false">IFERROR(VALUE(SUBSTITUTE(TRIM('수출입 실적(성질별_수입)'!E211),",","")),"")</f>
        <v>692969</v>
      </c>
    </row>
    <row r="208" customFormat="false" ht="15" hidden="false" customHeight="true" outlineLevel="0" collapsed="false">
      <c r="A208" s="11" t="str">
        <f aca="false">TRIM('수출입 실적(성질별_수입)'!A212)</f>
        <v>2024.11</v>
      </c>
      <c r="B208" s="17" t="n">
        <f aca="false">IFERROR(VALUE(LEFT($A208,4)),"")</f>
        <v>2024</v>
      </c>
      <c r="C208" s="17" t="n">
        <f aca="false">IFERROR(VALUE(RIGHT($A208,2)),"")</f>
        <v>11</v>
      </c>
      <c r="D208" s="17" t="n">
        <f aca="false">IFERROR(ROUNDUP($C208/3,0),"")</f>
        <v>4</v>
      </c>
      <c r="E208" s="11" t="str">
        <f aca="false">TRIM('수출입 실적(성질별_수입)'!C212)</f>
        <v>나. 직접소비재</v>
      </c>
      <c r="F208" s="18" t="n">
        <f aca="false">IFERROR(VALUE(SUBSTITUTE(TRIM('수출입 실적(성질별_수입)'!D212),",","")),"")</f>
        <v>707810.6</v>
      </c>
      <c r="G208" s="19" t="n">
        <f aca="false">IFERROR(VALUE(SUBSTITUTE(TRIM('수출입 실적(성질별_수입)'!E212),",","")),"")</f>
        <v>2173200</v>
      </c>
    </row>
    <row r="209" customFormat="false" ht="15" hidden="false" customHeight="true" outlineLevel="0" collapsed="false">
      <c r="A209" s="11" t="str">
        <f aca="false">TRIM('수출입 실적(성질별_수입)'!A213)</f>
        <v>2024.11</v>
      </c>
      <c r="B209" s="17" t="n">
        <f aca="false">IFERROR(VALUE(LEFT($A209,4)),"")</f>
        <v>2024</v>
      </c>
      <c r="C209" s="17" t="n">
        <f aca="false">IFERROR(VALUE(RIGHT($A209,2)),"")</f>
        <v>11</v>
      </c>
      <c r="D209" s="17" t="n">
        <f aca="false">IFERROR(ROUNDUP($C209/3,0),"")</f>
        <v>4</v>
      </c>
      <c r="E209" s="11" t="str">
        <f aca="false">TRIM('수출입 실적(성질별_수입)'!C213)</f>
        <v>다. 내구소비재</v>
      </c>
      <c r="F209" s="18" t="n">
        <f aca="false">IFERROR(VALUE(SUBSTITUTE(TRIM('수출입 실적(성질별_수입)'!D213),",","")),"")</f>
        <v>250117.2</v>
      </c>
      <c r="G209" s="19" t="n">
        <f aca="false">IFERROR(VALUE(SUBSTITUTE(TRIM('수출입 실적(성질별_수입)'!E213),",","")),"")</f>
        <v>3100702</v>
      </c>
    </row>
    <row r="210" customFormat="false" ht="15" hidden="false" customHeight="true" outlineLevel="0" collapsed="false">
      <c r="A210" s="11" t="str">
        <f aca="false">TRIM('수출입 실적(성질별_수입)'!A214)</f>
        <v>2024.11</v>
      </c>
      <c r="B210" s="17" t="n">
        <f aca="false">IFERROR(VALUE(LEFT($A210,4)),"")</f>
        <v>2024</v>
      </c>
      <c r="C210" s="17" t="n">
        <f aca="false">IFERROR(VALUE(RIGHT($A210,2)),"")</f>
        <v>11</v>
      </c>
      <c r="D210" s="17" t="n">
        <f aca="false">IFERROR(ROUNDUP($C210/3,0),"")</f>
        <v>4</v>
      </c>
      <c r="E210" s="11" t="str">
        <f aca="false">TRIM('수출입 실적(성질별_수입)'!C214)</f>
        <v>라. 비내구 소비재</v>
      </c>
      <c r="F210" s="18" t="n">
        <f aca="false">IFERROR(VALUE(SUBSTITUTE(TRIM('수출입 실적(성질별_수입)'!D214),",","")),"")</f>
        <v>127032.1</v>
      </c>
      <c r="G210" s="19" t="n">
        <f aca="false">IFERROR(VALUE(SUBSTITUTE(TRIM('수출입 실적(성질별_수입)'!E214),",","")),"")</f>
        <v>1858113</v>
      </c>
    </row>
    <row r="211" customFormat="false" ht="15" hidden="false" customHeight="true" outlineLevel="0" collapsed="false">
      <c r="A211" s="11" t="str">
        <f aca="false">TRIM('수출입 실적(성질별_수입)'!A215)</f>
        <v>2024.11</v>
      </c>
      <c r="B211" s="17" t="n">
        <f aca="false">IFERROR(VALUE(LEFT($A211,4)),"")</f>
        <v>2024</v>
      </c>
      <c r="C211" s="17" t="n">
        <f aca="false">IFERROR(VALUE(RIGHT($A211,2)),"")</f>
        <v>11</v>
      </c>
      <c r="D211" s="17" t="n">
        <f aca="false">IFERROR(ROUNDUP($C211/3,0),"")</f>
        <v>4</v>
      </c>
      <c r="E211" s="11" t="str">
        <f aca="false">TRIM('수출입 실적(성질별_수입)'!C215)</f>
        <v>2. 원자재</v>
      </c>
      <c r="F211" s="18" t="n">
        <f aca="false">IFERROR(VALUE(SUBSTITUTE(TRIM('수출입 실적(성질별_수입)'!D215),",","")),"")</f>
        <v>40325151.2</v>
      </c>
      <c r="G211" s="19" t="n">
        <f aca="false">IFERROR(VALUE(SUBSTITUTE(TRIM('수출입 실적(성질별_수입)'!E215),",","")),"")</f>
        <v>23730222</v>
      </c>
    </row>
    <row r="212" customFormat="false" ht="15" hidden="false" customHeight="true" outlineLevel="0" collapsed="false">
      <c r="A212" s="11" t="str">
        <f aca="false">TRIM('수출입 실적(성질별_수입)'!A216)</f>
        <v>2024.11</v>
      </c>
      <c r="B212" s="17" t="n">
        <f aca="false">IFERROR(VALUE(LEFT($A212,4)),"")</f>
        <v>2024</v>
      </c>
      <c r="C212" s="17" t="n">
        <f aca="false">IFERROR(VALUE(RIGHT($A212,2)),"")</f>
        <v>11</v>
      </c>
      <c r="D212" s="17" t="n">
        <f aca="false">IFERROR(ROUNDUP($C212/3,0),"")</f>
        <v>4</v>
      </c>
      <c r="E212" s="11" t="str">
        <f aca="false">TRIM('수출입 실적(성질별_수입)'!C216)</f>
        <v>가. 연 료</v>
      </c>
      <c r="F212" s="18" t="n">
        <f aca="false">IFERROR(VALUE(SUBSTITUTE(TRIM('수출입 실적(성질별_수입)'!D216),",","")),"")</f>
        <v>27667631.5</v>
      </c>
      <c r="G212" s="19" t="n">
        <f aca="false">IFERROR(VALUE(SUBSTITUTE(TRIM('수출입 실적(성질별_수입)'!E216),",","")),"")</f>
        <v>12501414</v>
      </c>
    </row>
    <row r="213" customFormat="false" ht="15" hidden="false" customHeight="true" outlineLevel="0" collapsed="false">
      <c r="A213" s="11" t="str">
        <f aca="false">TRIM('수출입 실적(성질별_수입)'!A217)</f>
        <v>2024.11</v>
      </c>
      <c r="B213" s="17" t="n">
        <f aca="false">IFERROR(VALUE(LEFT($A213,4)),"")</f>
        <v>2024</v>
      </c>
      <c r="C213" s="17" t="n">
        <f aca="false">IFERROR(VALUE(RIGHT($A213,2)),"")</f>
        <v>11</v>
      </c>
      <c r="D213" s="17" t="n">
        <f aca="false">IFERROR(ROUNDUP($C213/3,0),"")</f>
        <v>4</v>
      </c>
      <c r="E213" s="11" t="str">
        <f aca="false">TRIM('수출입 실적(성질별_수입)'!C217)</f>
        <v>나. 광 물</v>
      </c>
      <c r="F213" s="18" t="n">
        <f aca="false">IFERROR(VALUE(SUBSTITUTE(TRIM('수출입 실적(성질별_수입)'!D217),",","")),"")</f>
        <v>7172673.6</v>
      </c>
      <c r="G213" s="19" t="n">
        <f aca="false">IFERROR(VALUE(SUBSTITUTE(TRIM('수출입 실적(성질별_수입)'!E217),",","")),"")</f>
        <v>1864608</v>
      </c>
    </row>
    <row r="214" customFormat="false" ht="15" hidden="false" customHeight="true" outlineLevel="0" collapsed="false">
      <c r="A214" s="11" t="str">
        <f aca="false">TRIM('수출입 실적(성질별_수입)'!A218)</f>
        <v>2024.11</v>
      </c>
      <c r="B214" s="17" t="n">
        <f aca="false">IFERROR(VALUE(LEFT($A214,4)),"")</f>
        <v>2024</v>
      </c>
      <c r="C214" s="17" t="n">
        <f aca="false">IFERROR(VALUE(RIGHT($A214,2)),"")</f>
        <v>11</v>
      </c>
      <c r="D214" s="17" t="n">
        <f aca="false">IFERROR(ROUNDUP($C214/3,0),"")</f>
        <v>4</v>
      </c>
      <c r="E214" s="11" t="str">
        <f aca="false">TRIM('수출입 실적(성질별_수입)'!C218)</f>
        <v>다. 경공업 원료</v>
      </c>
      <c r="F214" s="18" t="n">
        <f aca="false">IFERROR(VALUE(SUBSTITUTE(TRIM('수출입 실적(성질별_수입)'!D218),",","")),"")</f>
        <v>1221069.5</v>
      </c>
      <c r="G214" s="19" t="n">
        <f aca="false">IFERROR(VALUE(SUBSTITUTE(TRIM('수출입 실적(성질별_수입)'!E218),",","")),"")</f>
        <v>538579</v>
      </c>
    </row>
    <row r="215" customFormat="false" ht="15" hidden="false" customHeight="true" outlineLevel="0" collapsed="false">
      <c r="A215" s="11" t="str">
        <f aca="false">TRIM('수출입 실적(성질별_수입)'!A219)</f>
        <v>2024.11</v>
      </c>
      <c r="B215" s="17" t="n">
        <f aca="false">IFERROR(VALUE(LEFT($A215,4)),"")</f>
        <v>2024</v>
      </c>
      <c r="C215" s="17" t="n">
        <f aca="false">IFERROR(VALUE(RIGHT($A215,2)),"")</f>
        <v>11</v>
      </c>
      <c r="D215" s="17" t="n">
        <f aca="false">IFERROR(ROUNDUP($C215/3,0),"")</f>
        <v>4</v>
      </c>
      <c r="E215" s="11" t="str">
        <f aca="false">TRIM('수출입 실적(성질별_수입)'!C219)</f>
        <v>라. 유 지</v>
      </c>
      <c r="F215" s="18" t="n">
        <f aca="false">IFERROR(VALUE(SUBSTITUTE(TRIM('수출입 실적(성질별_수입)'!D219),",","")),"")</f>
        <v>91167.4</v>
      </c>
      <c r="G215" s="19" t="n">
        <f aca="false">IFERROR(VALUE(SUBSTITUTE(TRIM('수출입 실적(성질별_수입)'!E219),",","")),"")</f>
        <v>125169</v>
      </c>
    </row>
    <row r="216" customFormat="false" ht="15" hidden="false" customHeight="true" outlineLevel="0" collapsed="false">
      <c r="A216" s="11" t="str">
        <f aca="false">TRIM('수출입 실적(성질별_수입)'!A220)</f>
        <v>2024.11</v>
      </c>
      <c r="B216" s="17" t="n">
        <f aca="false">IFERROR(VALUE(LEFT($A216,4)),"")</f>
        <v>2024</v>
      </c>
      <c r="C216" s="17" t="n">
        <f aca="false">IFERROR(VALUE(RIGHT($A216,2)),"")</f>
        <v>11</v>
      </c>
      <c r="D216" s="17" t="n">
        <f aca="false">IFERROR(ROUNDUP($C216/3,0),"")</f>
        <v>4</v>
      </c>
      <c r="E216" s="11" t="str">
        <f aca="false">TRIM('수출입 실적(성질별_수입)'!C220)</f>
        <v>마. 섬유류</v>
      </c>
      <c r="F216" s="18" t="n">
        <f aca="false">IFERROR(VALUE(SUBSTITUTE(TRIM('수출입 실적(성질별_수입)'!D220),",","")),"")</f>
        <v>96067.8</v>
      </c>
      <c r="G216" s="19" t="n">
        <f aca="false">IFERROR(VALUE(SUBSTITUTE(TRIM('수출입 실적(성질별_수입)'!E220),",","")),"")</f>
        <v>298193</v>
      </c>
    </row>
    <row r="217" customFormat="false" ht="15" hidden="false" customHeight="true" outlineLevel="0" collapsed="false">
      <c r="A217" s="11" t="str">
        <f aca="false">TRIM('수출입 실적(성질별_수입)'!A221)</f>
        <v>2024.11</v>
      </c>
      <c r="B217" s="17" t="n">
        <f aca="false">IFERROR(VALUE(LEFT($A217,4)),"")</f>
        <v>2024</v>
      </c>
      <c r="C217" s="17" t="n">
        <f aca="false">IFERROR(VALUE(RIGHT($A217,2)),"")</f>
        <v>11</v>
      </c>
      <c r="D217" s="17" t="n">
        <f aca="false">IFERROR(ROUNDUP($C217/3,0),"")</f>
        <v>4</v>
      </c>
      <c r="E217" s="11" t="str">
        <f aca="false">TRIM('수출입 실적(성질별_수입)'!C221)</f>
        <v>바. 화공품</v>
      </c>
      <c r="F217" s="18" t="n">
        <f aca="false">IFERROR(VALUE(SUBSTITUTE(TRIM('수출입 실적(성질별_수입)'!D221),",","")),"")</f>
        <v>1588537.3</v>
      </c>
      <c r="G217" s="19" t="n">
        <f aca="false">IFERROR(VALUE(SUBSTITUTE(TRIM('수출입 실적(성질별_수입)'!E221),",","")),"")</f>
        <v>4100211</v>
      </c>
    </row>
    <row r="218" customFormat="false" ht="15" hidden="false" customHeight="true" outlineLevel="0" collapsed="false">
      <c r="A218" s="11" t="str">
        <f aca="false">TRIM('수출입 실적(성질별_수입)'!A222)</f>
        <v>2024.11</v>
      </c>
      <c r="B218" s="17" t="n">
        <f aca="false">IFERROR(VALUE(LEFT($A218,4)),"")</f>
        <v>2024</v>
      </c>
      <c r="C218" s="17" t="n">
        <f aca="false">IFERROR(VALUE(RIGHT($A218,2)),"")</f>
        <v>11</v>
      </c>
      <c r="D218" s="17" t="n">
        <f aca="false">IFERROR(ROUNDUP($C218/3,0),"")</f>
        <v>4</v>
      </c>
      <c r="E218" s="11" t="str">
        <f aca="false">TRIM('수출입 실적(성질별_수입)'!C222)</f>
        <v>사. 철강재</v>
      </c>
      <c r="F218" s="18" t="n">
        <f aca="false">IFERROR(VALUE(SUBSTITUTE(TRIM('수출입 실적(성질별_수입)'!D222),",","")),"")</f>
        <v>1461951.8</v>
      </c>
      <c r="G218" s="19" t="n">
        <f aca="false">IFERROR(VALUE(SUBSTITUTE(TRIM('수출입 실적(성질별_수입)'!E222),",","")),"")</f>
        <v>1751854</v>
      </c>
    </row>
    <row r="219" customFormat="false" ht="15" hidden="false" customHeight="true" outlineLevel="0" collapsed="false">
      <c r="A219" s="11" t="str">
        <f aca="false">TRIM('수출입 실적(성질별_수입)'!A223)</f>
        <v>2024.11</v>
      </c>
      <c r="B219" s="17" t="n">
        <f aca="false">IFERROR(VALUE(LEFT($A219,4)),"")</f>
        <v>2024</v>
      </c>
      <c r="C219" s="17" t="n">
        <f aca="false">IFERROR(VALUE(RIGHT($A219,2)),"")</f>
        <v>11</v>
      </c>
      <c r="D219" s="17" t="n">
        <f aca="false">IFERROR(ROUNDUP($C219/3,0),"")</f>
        <v>4</v>
      </c>
      <c r="E219" s="11" t="str">
        <f aca="false">TRIM('수출입 실적(성질별_수입)'!C223)</f>
        <v>아. 비철금속</v>
      </c>
      <c r="F219" s="18" t="n">
        <f aca="false">IFERROR(VALUE(SUBSTITUTE(TRIM('수출입 실적(성질별_수입)'!D223),",","")),"")</f>
        <v>238707.5</v>
      </c>
      <c r="G219" s="19" t="n">
        <f aca="false">IFERROR(VALUE(SUBSTITUTE(TRIM('수출입 실적(성질별_수입)'!E223),",","")),"")</f>
        <v>1304746</v>
      </c>
    </row>
    <row r="220" customFormat="false" ht="15" hidden="false" customHeight="true" outlineLevel="0" collapsed="false">
      <c r="A220" s="11" t="str">
        <f aca="false">TRIM('수출입 실적(성질별_수입)'!A224)</f>
        <v>2024.11</v>
      </c>
      <c r="B220" s="17" t="n">
        <f aca="false">IFERROR(VALUE(LEFT($A220,4)),"")</f>
        <v>2024</v>
      </c>
      <c r="C220" s="17" t="n">
        <f aca="false">IFERROR(VALUE(RIGHT($A220,2)),"")</f>
        <v>11</v>
      </c>
      <c r="D220" s="17" t="n">
        <f aca="false">IFERROR(ROUNDUP($C220/3,0),"")</f>
        <v>4</v>
      </c>
      <c r="E220" s="11" t="str">
        <f aca="false">TRIM('수출입 실적(성질별_수입)'!C224)</f>
        <v>자. 기 타</v>
      </c>
      <c r="F220" s="18" t="n">
        <f aca="false">IFERROR(VALUE(SUBSTITUTE(TRIM('수출입 실적(성질별_수입)'!D224),",","")),"")</f>
        <v>787344.8</v>
      </c>
      <c r="G220" s="19" t="n">
        <f aca="false">IFERROR(VALUE(SUBSTITUTE(TRIM('수출입 실적(성질별_수입)'!E224),",","")),"")</f>
        <v>1245448</v>
      </c>
    </row>
    <row r="221" customFormat="false" ht="15" hidden="false" customHeight="true" outlineLevel="0" collapsed="false">
      <c r="A221" s="11" t="str">
        <f aca="false">TRIM('수출입 실적(성질별_수입)'!A225)</f>
        <v>2024.11</v>
      </c>
      <c r="B221" s="17" t="n">
        <f aca="false">IFERROR(VALUE(LEFT($A221,4)),"")</f>
        <v>2024</v>
      </c>
      <c r="C221" s="17" t="n">
        <f aca="false">IFERROR(VALUE(RIGHT($A221,2)),"")</f>
        <v>11</v>
      </c>
      <c r="D221" s="17" t="n">
        <f aca="false">IFERROR(ROUNDUP($C221/3,0),"")</f>
        <v>4</v>
      </c>
      <c r="E221" s="11" t="str">
        <f aca="false">TRIM('수출입 실적(성질별_수입)'!C225)</f>
        <v>3. 자본재</v>
      </c>
      <c r="F221" s="18" t="n">
        <f aca="false">IFERROR(VALUE(SUBSTITUTE(TRIM('수출입 실적(성질별_수입)'!D225),",","")),"")</f>
        <v>533347.6</v>
      </c>
      <c r="G221" s="19" t="n">
        <f aca="false">IFERROR(VALUE(SUBSTITUTE(TRIM('수출입 실적(성질별_수입)'!E225),",","")),"")</f>
        <v>19163786</v>
      </c>
    </row>
    <row r="222" customFormat="false" ht="15" hidden="false" customHeight="true" outlineLevel="0" collapsed="false">
      <c r="A222" s="11" t="str">
        <f aca="false">TRIM('수출입 실적(성질별_수입)'!A226)</f>
        <v>2024.11</v>
      </c>
      <c r="B222" s="17" t="n">
        <f aca="false">IFERROR(VALUE(LEFT($A222,4)),"")</f>
        <v>2024</v>
      </c>
      <c r="C222" s="17" t="n">
        <f aca="false">IFERROR(VALUE(RIGHT($A222,2)),"")</f>
        <v>11</v>
      </c>
      <c r="D222" s="17" t="n">
        <f aca="false">IFERROR(ROUNDUP($C222/3,0),"")</f>
        <v>4</v>
      </c>
      <c r="E222" s="11" t="str">
        <f aca="false">TRIM('수출입 실적(성질별_수입)'!C226)</f>
        <v>가. 기계류와 정밀기기</v>
      </c>
      <c r="F222" s="18" t="n">
        <f aca="false">IFERROR(VALUE(SUBSTITUTE(TRIM('수출입 실적(성질별_수입)'!D226),",","")),"")</f>
        <v>177648.9</v>
      </c>
      <c r="G222" s="19" t="n">
        <f aca="false">IFERROR(VALUE(SUBSTITUTE(TRIM('수출입 실적(성질별_수입)'!E226),",","")),"")</f>
        <v>5968520</v>
      </c>
    </row>
    <row r="223" customFormat="false" ht="15" hidden="false" customHeight="true" outlineLevel="0" collapsed="false">
      <c r="A223" s="11" t="str">
        <f aca="false">TRIM('수출입 실적(성질별_수입)'!A227)</f>
        <v>2024.11</v>
      </c>
      <c r="B223" s="17" t="n">
        <f aca="false">IFERROR(VALUE(LEFT($A223,4)),"")</f>
        <v>2024</v>
      </c>
      <c r="C223" s="17" t="n">
        <f aca="false">IFERROR(VALUE(RIGHT($A223,2)),"")</f>
        <v>11</v>
      </c>
      <c r="D223" s="17" t="n">
        <f aca="false">IFERROR(ROUNDUP($C223/3,0),"")</f>
        <v>4</v>
      </c>
      <c r="E223" s="11" t="str">
        <f aca="false">TRIM('수출입 실적(성질별_수입)'!C227)</f>
        <v>나. 전기·전자기기</v>
      </c>
      <c r="F223" s="18" t="n">
        <f aca="false">IFERROR(VALUE(SUBSTITUTE(TRIM('수출입 실적(성질별_수입)'!D227),",","")),"")</f>
        <v>181997.8</v>
      </c>
      <c r="G223" s="19" t="n">
        <f aca="false">IFERROR(VALUE(SUBSTITUTE(TRIM('수출입 실적(성질별_수입)'!E227),",","")),"")</f>
        <v>11814771</v>
      </c>
    </row>
    <row r="224" customFormat="false" ht="15" hidden="false" customHeight="true" outlineLevel="0" collapsed="false">
      <c r="A224" s="11" t="str">
        <f aca="false">TRIM('수출입 실적(성질별_수입)'!A228)</f>
        <v>2024.11</v>
      </c>
      <c r="B224" s="17" t="n">
        <f aca="false">IFERROR(VALUE(LEFT($A224,4)),"")</f>
        <v>2024</v>
      </c>
      <c r="C224" s="17" t="n">
        <f aca="false">IFERROR(VALUE(RIGHT($A224,2)),"")</f>
        <v>11</v>
      </c>
      <c r="D224" s="17" t="n">
        <f aca="false">IFERROR(ROUNDUP($C224/3,0),"")</f>
        <v>4</v>
      </c>
      <c r="E224" s="11" t="str">
        <f aca="false">TRIM('수출입 실적(성질별_수입)'!C228)</f>
        <v>다. 수송장비</v>
      </c>
      <c r="F224" s="18" t="n">
        <f aca="false">IFERROR(VALUE(SUBSTITUTE(TRIM('수출입 실적(성질별_수입)'!D228),",","")),"")</f>
        <v>163749.4</v>
      </c>
      <c r="G224" s="19" t="n">
        <f aca="false">IFERROR(VALUE(SUBSTITUTE(TRIM('수출입 실적(성질별_수입)'!E228),",","")),"")</f>
        <v>1211384</v>
      </c>
    </row>
    <row r="225" customFormat="false" ht="15" hidden="false" customHeight="true" outlineLevel="0" collapsed="false">
      <c r="A225" s="11" t="str">
        <f aca="false">TRIM('수출입 실적(성질별_수입)'!A229)</f>
        <v>2024.11</v>
      </c>
      <c r="B225" s="17" t="n">
        <f aca="false">IFERROR(VALUE(LEFT($A225,4)),"")</f>
        <v>2024</v>
      </c>
      <c r="C225" s="17" t="n">
        <f aca="false">IFERROR(VALUE(RIGHT($A225,2)),"")</f>
        <v>11</v>
      </c>
      <c r="D225" s="17" t="n">
        <f aca="false">IFERROR(ROUNDUP($C225/3,0),"")</f>
        <v>4</v>
      </c>
      <c r="E225" s="11" t="str">
        <f aca="false">TRIM('수출입 실적(성질별_수입)'!C229)</f>
        <v>라. 기 타</v>
      </c>
      <c r="F225" s="18" t="n">
        <f aca="false">IFERROR(VALUE(SUBSTITUTE(TRIM('수출입 실적(성질별_수입)'!D229),",","")),"")</f>
        <v>9951.5</v>
      </c>
      <c r="G225" s="19" t="n">
        <f aca="false">IFERROR(VALUE(SUBSTITUTE(TRIM('수출입 실적(성질별_수입)'!E229),",","")),"")</f>
        <v>169112</v>
      </c>
    </row>
    <row r="226" customFormat="false" ht="15" hidden="false" customHeight="true" outlineLevel="0" collapsed="false">
      <c r="A226" s="11" t="str">
        <f aca="false">TRIM('수출입 실적(성질별_수입)'!A230)</f>
        <v>2024.12</v>
      </c>
      <c r="B226" s="17" t="n">
        <f aca="false">IFERROR(VALUE(LEFT($A226,4)),"")</f>
        <v>2024</v>
      </c>
      <c r="C226" s="17" t="n">
        <f aca="false">IFERROR(VALUE(RIGHT($A226,2)),"")</f>
        <v>12</v>
      </c>
      <c r="D226" s="17" t="n">
        <f aca="false">IFERROR(ROUNDUP($C226/3,0),"")</f>
        <v>4</v>
      </c>
      <c r="E226" s="11" t="str">
        <f aca="false">TRIM('수출입 실적(성질별_수입)'!C230)</f>
        <v>1. 소비재</v>
      </c>
      <c r="F226" s="18" t="n">
        <f aca="false">IFERROR(VALUE(SUBSTITUTE(TRIM('수출입 실적(성질별_수입)'!D230),",","")),"")</f>
        <v>3358733.6</v>
      </c>
      <c r="G226" s="19" t="n">
        <f aca="false">IFERROR(VALUE(SUBSTITUTE(TRIM('수출입 실적(성질별_수입)'!E230),",","")),"")</f>
        <v>8244538</v>
      </c>
    </row>
    <row r="227" customFormat="false" ht="15" hidden="false" customHeight="true" outlineLevel="0" collapsed="false">
      <c r="A227" s="11" t="str">
        <f aca="false">TRIM('수출입 실적(성질별_수입)'!A231)</f>
        <v>2024.12</v>
      </c>
      <c r="B227" s="17" t="n">
        <f aca="false">IFERROR(VALUE(LEFT($A227,4)),"")</f>
        <v>2024</v>
      </c>
      <c r="C227" s="17" t="n">
        <f aca="false">IFERROR(VALUE(RIGHT($A227,2)),"")</f>
        <v>12</v>
      </c>
      <c r="D227" s="17" t="n">
        <f aca="false">IFERROR(ROUNDUP($C227/3,0),"")</f>
        <v>4</v>
      </c>
      <c r="E227" s="11" t="str">
        <f aca="false">TRIM('수출입 실적(성질별_수입)'!C231)</f>
        <v>가. 곡물</v>
      </c>
      <c r="F227" s="18" t="n">
        <f aca="false">IFERROR(VALUE(SUBSTITUTE(TRIM('수출입 실적(성질별_수입)'!D231),",","")),"")</f>
        <v>2196884.6</v>
      </c>
      <c r="G227" s="19" t="n">
        <f aca="false">IFERROR(VALUE(SUBSTITUTE(TRIM('수출입 실적(성질별_수입)'!E231),",","")),"")</f>
        <v>663272</v>
      </c>
    </row>
    <row r="228" customFormat="false" ht="15" hidden="false" customHeight="true" outlineLevel="0" collapsed="false">
      <c r="A228" s="11" t="str">
        <f aca="false">TRIM('수출입 실적(성질별_수입)'!A232)</f>
        <v>2024.12</v>
      </c>
      <c r="B228" s="17" t="n">
        <f aca="false">IFERROR(VALUE(LEFT($A228,4)),"")</f>
        <v>2024</v>
      </c>
      <c r="C228" s="17" t="n">
        <f aca="false">IFERROR(VALUE(RIGHT($A228,2)),"")</f>
        <v>12</v>
      </c>
      <c r="D228" s="17" t="n">
        <f aca="false">IFERROR(ROUNDUP($C228/3,0),"")</f>
        <v>4</v>
      </c>
      <c r="E228" s="11" t="str">
        <f aca="false">TRIM('수출입 실적(성질별_수입)'!C232)</f>
        <v>나. 직접소비재</v>
      </c>
      <c r="F228" s="18" t="n">
        <f aca="false">IFERROR(VALUE(SUBSTITUTE(TRIM('수출입 실적(성질별_수입)'!D232),",","")),"")</f>
        <v>743422.4</v>
      </c>
      <c r="G228" s="19" t="n">
        <f aca="false">IFERROR(VALUE(SUBSTITUTE(TRIM('수출입 실적(성질별_수입)'!E232),",","")),"")</f>
        <v>2226458</v>
      </c>
    </row>
    <row r="229" customFormat="false" ht="15" hidden="false" customHeight="true" outlineLevel="0" collapsed="false">
      <c r="A229" s="11" t="str">
        <f aca="false">TRIM('수출입 실적(성질별_수입)'!A233)</f>
        <v>2024.12</v>
      </c>
      <c r="B229" s="17" t="n">
        <f aca="false">IFERROR(VALUE(LEFT($A229,4)),"")</f>
        <v>2024</v>
      </c>
      <c r="C229" s="17" t="n">
        <f aca="false">IFERROR(VALUE(RIGHT($A229,2)),"")</f>
        <v>12</v>
      </c>
      <c r="D229" s="17" t="n">
        <f aca="false">IFERROR(ROUNDUP($C229/3,0),"")</f>
        <v>4</v>
      </c>
      <c r="E229" s="11" t="str">
        <f aca="false">TRIM('수출입 실적(성질별_수입)'!C233)</f>
        <v>다. 내구소비재</v>
      </c>
      <c r="F229" s="18" t="n">
        <f aca="false">IFERROR(VALUE(SUBSTITUTE(TRIM('수출입 실적(성질별_수입)'!D233),",","")),"")</f>
        <v>281062.8</v>
      </c>
      <c r="G229" s="19" t="n">
        <f aca="false">IFERROR(VALUE(SUBSTITUTE(TRIM('수출입 실적(성질별_수입)'!E233),",","")),"")</f>
        <v>3342165</v>
      </c>
    </row>
    <row r="230" customFormat="false" ht="15" hidden="false" customHeight="true" outlineLevel="0" collapsed="false">
      <c r="A230" s="11" t="str">
        <f aca="false">TRIM('수출입 실적(성질별_수입)'!A234)</f>
        <v>2024.12</v>
      </c>
      <c r="B230" s="17" t="n">
        <f aca="false">IFERROR(VALUE(LEFT($A230,4)),"")</f>
        <v>2024</v>
      </c>
      <c r="C230" s="17" t="n">
        <f aca="false">IFERROR(VALUE(RIGHT($A230,2)),"")</f>
        <v>12</v>
      </c>
      <c r="D230" s="17" t="n">
        <f aca="false">IFERROR(ROUNDUP($C230/3,0),"")</f>
        <v>4</v>
      </c>
      <c r="E230" s="11" t="str">
        <f aca="false">TRIM('수출입 실적(성질별_수입)'!C234)</f>
        <v>라. 비내구 소비재</v>
      </c>
      <c r="F230" s="18" t="n">
        <f aca="false">IFERROR(VALUE(SUBSTITUTE(TRIM('수출입 실적(성질별_수입)'!D234),",","")),"")</f>
        <v>137363.8</v>
      </c>
      <c r="G230" s="19" t="n">
        <f aca="false">IFERROR(VALUE(SUBSTITUTE(TRIM('수출입 실적(성질별_수입)'!E234),",","")),"")</f>
        <v>2012643</v>
      </c>
    </row>
    <row r="231" customFormat="false" ht="15" hidden="false" customHeight="true" outlineLevel="0" collapsed="false">
      <c r="A231" s="11" t="str">
        <f aca="false">TRIM('수출입 실적(성질별_수입)'!A235)</f>
        <v>2024.12</v>
      </c>
      <c r="B231" s="17" t="n">
        <f aca="false">IFERROR(VALUE(LEFT($A231,4)),"")</f>
        <v>2024</v>
      </c>
      <c r="C231" s="17" t="n">
        <f aca="false">IFERROR(VALUE(RIGHT($A231,2)),"")</f>
        <v>12</v>
      </c>
      <c r="D231" s="17" t="n">
        <f aca="false">IFERROR(ROUNDUP($C231/3,0),"")</f>
        <v>4</v>
      </c>
      <c r="E231" s="11" t="str">
        <f aca="false">TRIM('수출입 실적(성질별_수입)'!C235)</f>
        <v>2. 원자재</v>
      </c>
      <c r="F231" s="18" t="n">
        <f aca="false">IFERROR(VALUE(SUBSTITUTE(TRIM('수출입 실적(성질별_수입)'!D235),",","")),"")</f>
        <v>43599369.1</v>
      </c>
      <c r="G231" s="19" t="n">
        <f aca="false">IFERROR(VALUE(SUBSTITUTE(TRIM('수출입 실적(성질별_수입)'!E235),",","")),"")</f>
        <v>24801745</v>
      </c>
    </row>
    <row r="232" customFormat="false" ht="15" hidden="false" customHeight="true" outlineLevel="0" collapsed="false">
      <c r="A232" s="11" t="str">
        <f aca="false">TRIM('수출입 실적(성질별_수입)'!A236)</f>
        <v>2024.12</v>
      </c>
      <c r="B232" s="17" t="n">
        <f aca="false">IFERROR(VALUE(LEFT($A232,4)),"")</f>
        <v>2024</v>
      </c>
      <c r="C232" s="17" t="n">
        <f aca="false">IFERROR(VALUE(RIGHT($A232,2)),"")</f>
        <v>12</v>
      </c>
      <c r="D232" s="17" t="n">
        <f aca="false">IFERROR(ROUNDUP($C232/3,0),"")</f>
        <v>4</v>
      </c>
      <c r="E232" s="11" t="str">
        <f aca="false">TRIM('수출입 실적(성질별_수입)'!C236)</f>
        <v>가. 연 료</v>
      </c>
      <c r="F232" s="18" t="n">
        <f aca="false">IFERROR(VALUE(SUBSTITUTE(TRIM('수출입 실적(성질별_수입)'!D236),",","")),"")</f>
        <v>29660498.8</v>
      </c>
      <c r="G232" s="19" t="n">
        <f aca="false">IFERROR(VALUE(SUBSTITUTE(TRIM('수출입 실적(성질별_수입)'!E236),",","")),"")</f>
        <v>12723479</v>
      </c>
    </row>
    <row r="233" customFormat="false" ht="15" hidden="false" customHeight="true" outlineLevel="0" collapsed="false">
      <c r="A233" s="11" t="str">
        <f aca="false">TRIM('수출입 실적(성질별_수입)'!A237)</f>
        <v>2024.12</v>
      </c>
      <c r="B233" s="17" t="n">
        <f aca="false">IFERROR(VALUE(LEFT($A233,4)),"")</f>
        <v>2024</v>
      </c>
      <c r="C233" s="17" t="n">
        <f aca="false">IFERROR(VALUE(RIGHT($A233,2)),"")</f>
        <v>12</v>
      </c>
      <c r="D233" s="17" t="n">
        <f aca="false">IFERROR(ROUNDUP($C233/3,0),"")</f>
        <v>4</v>
      </c>
      <c r="E233" s="11" t="str">
        <f aca="false">TRIM('수출입 실적(성질별_수입)'!C237)</f>
        <v>나. 광 물</v>
      </c>
      <c r="F233" s="18" t="n">
        <f aca="false">IFERROR(VALUE(SUBSTITUTE(TRIM('수출입 실적(성질별_수입)'!D237),",","")),"")</f>
        <v>8050868.6</v>
      </c>
      <c r="G233" s="19" t="n">
        <f aca="false">IFERROR(VALUE(SUBSTITUTE(TRIM('수출입 실적(성질별_수입)'!E237),",","")),"")</f>
        <v>2129265</v>
      </c>
    </row>
    <row r="234" customFormat="false" ht="15" hidden="false" customHeight="true" outlineLevel="0" collapsed="false">
      <c r="A234" s="11" t="str">
        <f aca="false">TRIM('수출입 실적(성질별_수입)'!A238)</f>
        <v>2024.12</v>
      </c>
      <c r="B234" s="17" t="n">
        <f aca="false">IFERROR(VALUE(LEFT($A234,4)),"")</f>
        <v>2024</v>
      </c>
      <c r="C234" s="17" t="n">
        <f aca="false">IFERROR(VALUE(RIGHT($A234,2)),"")</f>
        <v>12</v>
      </c>
      <c r="D234" s="17" t="n">
        <f aca="false">IFERROR(ROUNDUP($C234/3,0),"")</f>
        <v>4</v>
      </c>
      <c r="E234" s="11" t="str">
        <f aca="false">TRIM('수출입 실적(성질별_수입)'!C238)</f>
        <v>다. 경공업 원료</v>
      </c>
      <c r="F234" s="18" t="n">
        <f aca="false">IFERROR(VALUE(SUBSTITUTE(TRIM('수출입 실적(성질별_수입)'!D238),",","")),"")</f>
        <v>1435185.9</v>
      </c>
      <c r="G234" s="19" t="n">
        <f aca="false">IFERROR(VALUE(SUBSTITUTE(TRIM('수출입 실적(성질별_수입)'!E238),",","")),"")</f>
        <v>602808</v>
      </c>
    </row>
    <row r="235" customFormat="false" ht="15" hidden="false" customHeight="true" outlineLevel="0" collapsed="false">
      <c r="A235" s="11" t="str">
        <f aca="false">TRIM('수출입 실적(성질별_수입)'!A239)</f>
        <v>2024.12</v>
      </c>
      <c r="B235" s="17" t="n">
        <f aca="false">IFERROR(VALUE(LEFT($A235,4)),"")</f>
        <v>2024</v>
      </c>
      <c r="C235" s="17" t="n">
        <f aca="false">IFERROR(VALUE(RIGHT($A235,2)),"")</f>
        <v>12</v>
      </c>
      <c r="D235" s="17" t="n">
        <f aca="false">IFERROR(ROUNDUP($C235/3,0),"")</f>
        <v>4</v>
      </c>
      <c r="E235" s="11" t="str">
        <f aca="false">TRIM('수출입 실적(성질별_수입)'!C239)</f>
        <v>라. 유 지</v>
      </c>
      <c r="F235" s="18" t="n">
        <f aca="false">IFERROR(VALUE(SUBSTITUTE(TRIM('수출입 실적(성질별_수입)'!D239),",","")),"")</f>
        <v>123221.8</v>
      </c>
      <c r="G235" s="19" t="n">
        <f aca="false">IFERROR(VALUE(SUBSTITUTE(TRIM('수출입 실적(성질별_수입)'!E239),",","")),"")</f>
        <v>168010</v>
      </c>
    </row>
    <row r="236" customFormat="false" ht="15" hidden="false" customHeight="true" outlineLevel="0" collapsed="false">
      <c r="A236" s="11" t="str">
        <f aca="false">TRIM('수출입 실적(성질별_수입)'!A240)</f>
        <v>2024.12</v>
      </c>
      <c r="B236" s="17" t="n">
        <f aca="false">IFERROR(VALUE(LEFT($A236,4)),"")</f>
        <v>2024</v>
      </c>
      <c r="C236" s="17" t="n">
        <f aca="false">IFERROR(VALUE(RIGHT($A236,2)),"")</f>
        <v>12</v>
      </c>
      <c r="D236" s="17" t="n">
        <f aca="false">IFERROR(ROUNDUP($C236/3,0),"")</f>
        <v>4</v>
      </c>
      <c r="E236" s="11" t="str">
        <f aca="false">TRIM('수출입 실적(성질별_수입)'!C240)</f>
        <v>마. 섬유류</v>
      </c>
      <c r="F236" s="18" t="n">
        <f aca="false">IFERROR(VALUE(SUBSTITUTE(TRIM('수출입 실적(성질별_수입)'!D240),",","")),"")</f>
        <v>105030.6</v>
      </c>
      <c r="G236" s="19" t="n">
        <f aca="false">IFERROR(VALUE(SUBSTITUTE(TRIM('수출입 실적(성질별_수입)'!E240),",","")),"")</f>
        <v>316678</v>
      </c>
    </row>
    <row r="237" customFormat="false" ht="15" hidden="false" customHeight="true" outlineLevel="0" collapsed="false">
      <c r="A237" s="11" t="str">
        <f aca="false">TRIM('수출입 실적(성질별_수입)'!A241)</f>
        <v>2024.12</v>
      </c>
      <c r="B237" s="17" t="n">
        <f aca="false">IFERROR(VALUE(LEFT($A237,4)),"")</f>
        <v>2024</v>
      </c>
      <c r="C237" s="17" t="n">
        <f aca="false">IFERROR(VALUE(RIGHT($A237,2)),"")</f>
        <v>12</v>
      </c>
      <c r="D237" s="17" t="n">
        <f aca="false">IFERROR(ROUNDUP($C237/3,0),"")</f>
        <v>4</v>
      </c>
      <c r="E237" s="11" t="str">
        <f aca="false">TRIM('수출입 실적(성질별_수입)'!C241)</f>
        <v>바. 화공품</v>
      </c>
      <c r="F237" s="18" t="n">
        <f aca="false">IFERROR(VALUE(SUBSTITUTE(TRIM('수출입 실적(성질별_수입)'!D241),",","")),"")</f>
        <v>1707636.9</v>
      </c>
      <c r="G237" s="19" t="n">
        <f aca="false">IFERROR(VALUE(SUBSTITUTE(TRIM('수출입 실적(성질별_수입)'!E241),",","")),"")</f>
        <v>4384247</v>
      </c>
    </row>
    <row r="238" customFormat="false" ht="15" hidden="false" customHeight="true" outlineLevel="0" collapsed="false">
      <c r="A238" s="11" t="str">
        <f aca="false">TRIM('수출입 실적(성질별_수입)'!A242)</f>
        <v>2024.12</v>
      </c>
      <c r="B238" s="17" t="n">
        <f aca="false">IFERROR(VALUE(LEFT($A238,4)),"")</f>
        <v>2024</v>
      </c>
      <c r="C238" s="17" t="n">
        <f aca="false">IFERROR(VALUE(RIGHT($A238,2)),"")</f>
        <v>12</v>
      </c>
      <c r="D238" s="17" t="n">
        <f aca="false">IFERROR(ROUNDUP($C238/3,0),"")</f>
        <v>4</v>
      </c>
      <c r="E238" s="11" t="str">
        <f aca="false">TRIM('수출입 실적(성질별_수입)'!C242)</f>
        <v>사. 철강재</v>
      </c>
      <c r="F238" s="18" t="n">
        <f aca="false">IFERROR(VALUE(SUBSTITUTE(TRIM('수출입 실적(성질별_수입)'!D242),",","")),"")</f>
        <v>1395361.6</v>
      </c>
      <c r="G238" s="19" t="n">
        <f aca="false">IFERROR(VALUE(SUBSTITUTE(TRIM('수출입 실적(성질별_수입)'!E242),",","")),"")</f>
        <v>1748246</v>
      </c>
    </row>
    <row r="239" customFormat="false" ht="15" hidden="false" customHeight="true" outlineLevel="0" collapsed="false">
      <c r="A239" s="11" t="str">
        <f aca="false">TRIM('수출입 실적(성질별_수입)'!A243)</f>
        <v>2024.12</v>
      </c>
      <c r="B239" s="17" t="n">
        <f aca="false">IFERROR(VALUE(LEFT($A239,4)),"")</f>
        <v>2024</v>
      </c>
      <c r="C239" s="17" t="n">
        <f aca="false">IFERROR(VALUE(RIGHT($A239,2)),"")</f>
        <v>12</v>
      </c>
      <c r="D239" s="17" t="n">
        <f aca="false">IFERROR(ROUNDUP($C239/3,0),"")</f>
        <v>4</v>
      </c>
      <c r="E239" s="11" t="str">
        <f aca="false">TRIM('수출입 실적(성질별_수입)'!C243)</f>
        <v>아. 비철금속</v>
      </c>
      <c r="F239" s="18" t="n">
        <f aca="false">IFERROR(VALUE(SUBSTITUTE(TRIM('수출입 실적(성질별_수입)'!D243),",","")),"")</f>
        <v>245426.4</v>
      </c>
      <c r="G239" s="19" t="n">
        <f aca="false">IFERROR(VALUE(SUBSTITUTE(TRIM('수출입 실적(성질별_수입)'!E243),",","")),"")</f>
        <v>1389767</v>
      </c>
    </row>
    <row r="240" customFormat="false" ht="15" hidden="false" customHeight="true" outlineLevel="0" collapsed="false">
      <c r="A240" s="11" t="str">
        <f aca="false">TRIM('수출입 실적(성질별_수입)'!A244)</f>
        <v>2024.12</v>
      </c>
      <c r="B240" s="17" t="n">
        <f aca="false">IFERROR(VALUE(LEFT($A240,4)),"")</f>
        <v>2024</v>
      </c>
      <c r="C240" s="17" t="n">
        <f aca="false">IFERROR(VALUE(RIGHT($A240,2)),"")</f>
        <v>12</v>
      </c>
      <c r="D240" s="17" t="n">
        <f aca="false">IFERROR(ROUNDUP($C240/3,0),"")</f>
        <v>4</v>
      </c>
      <c r="E240" s="11" t="str">
        <f aca="false">TRIM('수출입 실적(성질별_수입)'!C244)</f>
        <v>자. 기 타</v>
      </c>
      <c r="F240" s="18" t="n">
        <f aca="false">IFERROR(VALUE(SUBSTITUTE(TRIM('수출입 실적(성질별_수입)'!D244),",","")),"")</f>
        <v>876138.6</v>
      </c>
      <c r="G240" s="19" t="n">
        <f aca="false">IFERROR(VALUE(SUBSTITUTE(TRIM('수출입 실적(성질별_수입)'!E244),",","")),"")</f>
        <v>1339245</v>
      </c>
    </row>
    <row r="241" customFormat="false" ht="15" hidden="false" customHeight="true" outlineLevel="0" collapsed="false">
      <c r="A241" s="11" t="str">
        <f aca="false">TRIM('수출입 실적(성질별_수입)'!A245)</f>
        <v>2024.12</v>
      </c>
      <c r="B241" s="17" t="n">
        <f aca="false">IFERROR(VALUE(LEFT($A241,4)),"")</f>
        <v>2024</v>
      </c>
      <c r="C241" s="17" t="n">
        <f aca="false">IFERROR(VALUE(RIGHT($A241,2)),"")</f>
        <v>12</v>
      </c>
      <c r="D241" s="17" t="n">
        <f aca="false">IFERROR(ROUNDUP($C241/3,0),"")</f>
        <v>4</v>
      </c>
      <c r="E241" s="11" t="str">
        <f aca="false">TRIM('수출입 실적(성질별_수입)'!C245)</f>
        <v>3. 자본재</v>
      </c>
      <c r="F241" s="18" t="n">
        <f aca="false">IFERROR(VALUE(SUBSTITUTE(TRIM('수출입 실적(성질별_수입)'!D245),",","")),"")</f>
        <v>1056895.7</v>
      </c>
      <c r="G241" s="19" t="n">
        <f aca="false">IFERROR(VALUE(SUBSTITUTE(TRIM('수출입 실적(성질별_수입)'!E245),",","")),"")</f>
        <v>21820098</v>
      </c>
    </row>
    <row r="242" customFormat="false" ht="15" hidden="false" customHeight="true" outlineLevel="0" collapsed="false">
      <c r="A242" s="11" t="str">
        <f aca="false">TRIM('수출입 실적(성질별_수입)'!A246)</f>
        <v>2024.12</v>
      </c>
      <c r="B242" s="17" t="n">
        <f aca="false">IFERROR(VALUE(LEFT($A242,4)),"")</f>
        <v>2024</v>
      </c>
      <c r="C242" s="17" t="n">
        <f aca="false">IFERROR(VALUE(RIGHT($A242,2)),"")</f>
        <v>12</v>
      </c>
      <c r="D242" s="17" t="n">
        <f aca="false">IFERROR(ROUNDUP($C242/3,0),"")</f>
        <v>4</v>
      </c>
      <c r="E242" s="11" t="str">
        <f aca="false">TRIM('수출입 실적(성질별_수입)'!C246)</f>
        <v>가. 기계류와 정밀기기</v>
      </c>
      <c r="F242" s="18" t="n">
        <f aca="false">IFERROR(VALUE(SUBSTITUTE(TRIM('수출입 실적(성질별_수입)'!D246),",","")),"")</f>
        <v>185139.6</v>
      </c>
      <c r="G242" s="19" t="n">
        <f aca="false">IFERROR(VALUE(SUBSTITUTE(TRIM('수출입 실적(성질별_수입)'!E246),",","")),"")</f>
        <v>6944616</v>
      </c>
    </row>
    <row r="243" customFormat="false" ht="15" hidden="false" customHeight="true" outlineLevel="0" collapsed="false">
      <c r="A243" s="11" t="str">
        <f aca="false">TRIM('수출입 실적(성질별_수입)'!A247)</f>
        <v>2024.12</v>
      </c>
      <c r="B243" s="17" t="n">
        <f aca="false">IFERROR(VALUE(LEFT($A243,4)),"")</f>
        <v>2024</v>
      </c>
      <c r="C243" s="17" t="n">
        <f aca="false">IFERROR(VALUE(RIGHT($A243,2)),"")</f>
        <v>12</v>
      </c>
      <c r="D243" s="17" t="n">
        <f aca="false">IFERROR(ROUNDUP($C243/3,0),"")</f>
        <v>4</v>
      </c>
      <c r="E243" s="11" t="str">
        <f aca="false">TRIM('수출입 실적(성질별_수입)'!C247)</f>
        <v>나. 전기·전자기기</v>
      </c>
      <c r="F243" s="18" t="n">
        <f aca="false">IFERROR(VALUE(SUBSTITUTE(TRIM('수출입 실적(성질별_수입)'!D247),",","")),"")</f>
        <v>187259.9</v>
      </c>
      <c r="G243" s="19" t="n">
        <f aca="false">IFERROR(VALUE(SUBSTITUTE(TRIM('수출입 실적(성질별_수입)'!E247),",","")),"")</f>
        <v>12571289</v>
      </c>
    </row>
    <row r="244" customFormat="false" ht="15" hidden="false" customHeight="true" outlineLevel="0" collapsed="false">
      <c r="A244" s="11" t="str">
        <f aca="false">TRIM('수출입 실적(성질별_수입)'!A248)</f>
        <v>2024.12</v>
      </c>
      <c r="B244" s="17" t="n">
        <f aca="false">IFERROR(VALUE(LEFT($A244,4)),"")</f>
        <v>2024</v>
      </c>
      <c r="C244" s="17" t="n">
        <f aca="false">IFERROR(VALUE(RIGHT($A244,2)),"")</f>
        <v>12</v>
      </c>
      <c r="D244" s="17" t="n">
        <f aca="false">IFERROR(ROUNDUP($C244/3,0),"")</f>
        <v>4</v>
      </c>
      <c r="E244" s="11" t="str">
        <f aca="false">TRIM('수출입 실적(성질별_수입)'!C248)</f>
        <v>다. 수송장비</v>
      </c>
      <c r="F244" s="18" t="n">
        <f aca="false">IFERROR(VALUE(SUBSTITUTE(TRIM('수출입 실적(성질별_수입)'!D248),",","")),"")</f>
        <v>671697.8</v>
      </c>
      <c r="G244" s="19" t="n">
        <f aca="false">IFERROR(VALUE(SUBSTITUTE(TRIM('수출입 실적(성질별_수입)'!E248),",","")),"")</f>
        <v>2119086</v>
      </c>
    </row>
    <row r="245" customFormat="false" ht="15" hidden="false" customHeight="true" outlineLevel="0" collapsed="false">
      <c r="A245" s="11" t="str">
        <f aca="false">TRIM('수출입 실적(성질별_수입)'!A249)</f>
        <v>2024.12</v>
      </c>
      <c r="B245" s="17" t="n">
        <f aca="false">IFERROR(VALUE(LEFT($A245,4)),"")</f>
        <v>2024</v>
      </c>
      <c r="C245" s="17" t="n">
        <f aca="false">IFERROR(VALUE(RIGHT($A245,2)),"")</f>
        <v>12</v>
      </c>
      <c r="D245" s="17" t="n">
        <f aca="false">IFERROR(ROUNDUP($C245/3,0),"")</f>
        <v>4</v>
      </c>
      <c r="E245" s="11" t="str">
        <f aca="false">TRIM('수출입 실적(성질별_수입)'!C249)</f>
        <v>라. 기 타</v>
      </c>
      <c r="F245" s="18" t="n">
        <f aca="false">IFERROR(VALUE(SUBSTITUTE(TRIM('수출입 실적(성질별_수입)'!D249),",","")),"")</f>
        <v>12798.4</v>
      </c>
      <c r="G245" s="19" t="n">
        <f aca="false">IFERROR(VALUE(SUBSTITUTE(TRIM('수출입 실적(성질별_수입)'!E249),",","")),"")</f>
        <v>185106</v>
      </c>
    </row>
    <row r="246" customFormat="false" ht="15" hidden="false" customHeight="true" outlineLevel="0" collapsed="false">
      <c r="A246" s="11" t="str">
        <f aca="false">TRIM('수출입 실적(성질별_수입)'!A250)</f>
        <v>2025.01</v>
      </c>
      <c r="B246" s="17" t="n">
        <f aca="false">IFERROR(VALUE(LEFT($A246,4)),"")</f>
        <v>2025</v>
      </c>
      <c r="C246" s="17" t="n">
        <f aca="false">IFERROR(VALUE(RIGHT($A246,2)),"")</f>
        <v>1</v>
      </c>
      <c r="D246" s="17" t="n">
        <f aca="false">IFERROR(ROUNDUP($C246/3,0),"")</f>
        <v>1</v>
      </c>
      <c r="E246" s="11" t="str">
        <f aca="false">TRIM('수출입 실적(성질별_수입)'!C250)</f>
        <v>1. 소비재</v>
      </c>
      <c r="F246" s="18" t="n">
        <f aca="false">IFERROR(VALUE(SUBSTITUTE(TRIM('수출입 실적(성질별_수입)'!D250),",","")),"")</f>
        <v>3224574.9</v>
      </c>
      <c r="G246" s="19" t="n">
        <f aca="false">IFERROR(VALUE(SUBSTITUTE(TRIM('수출입 실적(성질별_수입)'!E250),",","")),"")</f>
        <v>7849288</v>
      </c>
    </row>
    <row r="247" customFormat="false" ht="15" hidden="false" customHeight="true" outlineLevel="0" collapsed="false">
      <c r="A247" s="11" t="str">
        <f aca="false">TRIM('수출입 실적(성질별_수입)'!A251)</f>
        <v>2025.01</v>
      </c>
      <c r="B247" s="17" t="n">
        <f aca="false">IFERROR(VALUE(LEFT($A247,4)),"")</f>
        <v>2025</v>
      </c>
      <c r="C247" s="17" t="n">
        <f aca="false">IFERROR(VALUE(RIGHT($A247,2)),"")</f>
        <v>1</v>
      </c>
      <c r="D247" s="17" t="n">
        <f aca="false">IFERROR(ROUNDUP($C247/3,0),"")</f>
        <v>1</v>
      </c>
      <c r="E247" s="11" t="str">
        <f aca="false">TRIM('수출입 실적(성질별_수입)'!C251)</f>
        <v>가. 곡물</v>
      </c>
      <c r="F247" s="18" t="n">
        <f aca="false">IFERROR(VALUE(SUBSTITUTE(TRIM('수출입 실적(성질별_수입)'!D251),",","")),"")</f>
        <v>2110786</v>
      </c>
      <c r="G247" s="19" t="n">
        <f aca="false">IFERROR(VALUE(SUBSTITUTE(TRIM('수출입 실적(성질별_수입)'!E251),",","")),"")</f>
        <v>643319</v>
      </c>
    </row>
    <row r="248" customFormat="false" ht="15" hidden="false" customHeight="true" outlineLevel="0" collapsed="false">
      <c r="A248" s="11" t="str">
        <f aca="false">TRIM('수출입 실적(성질별_수입)'!A252)</f>
        <v>2025.01</v>
      </c>
      <c r="B248" s="17" t="n">
        <f aca="false">IFERROR(VALUE(LEFT($A248,4)),"")</f>
        <v>2025</v>
      </c>
      <c r="C248" s="17" t="n">
        <f aca="false">IFERROR(VALUE(RIGHT($A248,2)),"")</f>
        <v>1</v>
      </c>
      <c r="D248" s="17" t="n">
        <f aca="false">IFERROR(ROUNDUP($C248/3,0),"")</f>
        <v>1</v>
      </c>
      <c r="E248" s="11" t="str">
        <f aca="false">TRIM('수출입 실적(성질별_수입)'!C252)</f>
        <v>나. 직접소비재</v>
      </c>
      <c r="F248" s="18" t="n">
        <f aca="false">IFERROR(VALUE(SUBSTITUTE(TRIM('수출입 실적(성질별_수입)'!D252),",","")),"")</f>
        <v>733473</v>
      </c>
      <c r="G248" s="19" t="n">
        <f aca="false">IFERROR(VALUE(SUBSTITUTE(TRIM('수출입 실적(성질별_수입)'!E252),",","")),"")</f>
        <v>2372620</v>
      </c>
    </row>
    <row r="249" customFormat="false" ht="15" hidden="false" customHeight="true" outlineLevel="0" collapsed="false">
      <c r="A249" s="11" t="str">
        <f aca="false">TRIM('수출입 실적(성질별_수입)'!A253)</f>
        <v>2025.01</v>
      </c>
      <c r="B249" s="17" t="n">
        <f aca="false">IFERROR(VALUE(LEFT($A249,4)),"")</f>
        <v>2025</v>
      </c>
      <c r="C249" s="17" t="n">
        <f aca="false">IFERROR(VALUE(RIGHT($A249,2)),"")</f>
        <v>1</v>
      </c>
      <c r="D249" s="17" t="n">
        <f aca="false">IFERROR(ROUNDUP($C249/3,0),"")</f>
        <v>1</v>
      </c>
      <c r="E249" s="11" t="str">
        <f aca="false">TRIM('수출입 실적(성질별_수입)'!C253)</f>
        <v>다. 내구소비재</v>
      </c>
      <c r="F249" s="18" t="n">
        <f aca="false">IFERROR(VALUE(SUBSTITUTE(TRIM('수출입 실적(성질별_수입)'!D253),",","")),"")</f>
        <v>257897</v>
      </c>
      <c r="G249" s="19" t="n">
        <f aca="false">IFERROR(VALUE(SUBSTITUTE(TRIM('수출입 실적(성질별_수입)'!E253),",","")),"")</f>
        <v>2849514</v>
      </c>
    </row>
    <row r="250" customFormat="false" ht="15" hidden="false" customHeight="true" outlineLevel="0" collapsed="false">
      <c r="A250" s="11" t="str">
        <f aca="false">TRIM('수출입 실적(성질별_수입)'!A254)</f>
        <v>2025.01</v>
      </c>
      <c r="B250" s="17" t="n">
        <f aca="false">IFERROR(VALUE(LEFT($A250,4)),"")</f>
        <v>2025</v>
      </c>
      <c r="C250" s="17" t="n">
        <f aca="false">IFERROR(VALUE(RIGHT($A250,2)),"")</f>
        <v>1</v>
      </c>
      <c r="D250" s="17" t="n">
        <f aca="false">IFERROR(ROUNDUP($C250/3,0),"")</f>
        <v>1</v>
      </c>
      <c r="E250" s="11" t="str">
        <f aca="false">TRIM('수출입 실적(성질별_수입)'!C254)</f>
        <v>라. 비내구 소비재</v>
      </c>
      <c r="F250" s="18" t="n">
        <f aca="false">IFERROR(VALUE(SUBSTITUTE(TRIM('수출입 실적(성질별_수입)'!D254),",","")),"")</f>
        <v>122418.8</v>
      </c>
      <c r="G250" s="19" t="n">
        <f aca="false">IFERROR(VALUE(SUBSTITUTE(TRIM('수출입 실적(성질별_수입)'!E254),",","")),"")</f>
        <v>1983835</v>
      </c>
    </row>
    <row r="251" customFormat="false" ht="15" hidden="false" customHeight="true" outlineLevel="0" collapsed="false">
      <c r="A251" s="11" t="str">
        <f aca="false">TRIM('수출입 실적(성질별_수입)'!A255)</f>
        <v>2025.01</v>
      </c>
      <c r="B251" s="17" t="n">
        <f aca="false">IFERROR(VALUE(LEFT($A251,4)),"")</f>
        <v>2025</v>
      </c>
      <c r="C251" s="17" t="n">
        <f aca="false">IFERROR(VALUE(RIGHT($A251,2)),"")</f>
        <v>1</v>
      </c>
      <c r="D251" s="17" t="n">
        <f aca="false">IFERROR(ROUNDUP($C251/3,0),"")</f>
        <v>1</v>
      </c>
      <c r="E251" s="11" t="str">
        <f aca="false">TRIM('수출입 실적(성질별_수입)'!C255)</f>
        <v>2. 원자재</v>
      </c>
      <c r="F251" s="18" t="n">
        <f aca="false">IFERROR(VALUE(SUBSTITUTE(TRIM('수출입 실적(성질별_수입)'!D255),",","")),"")</f>
        <v>44142855.6</v>
      </c>
      <c r="G251" s="19" t="n">
        <f aca="false">IFERROR(VALUE(SUBSTITUTE(TRIM('수출입 실적(성질별_수입)'!E255),",","")),"")</f>
        <v>25519184</v>
      </c>
    </row>
    <row r="252" customFormat="false" ht="15" hidden="false" customHeight="true" outlineLevel="0" collapsed="false">
      <c r="A252" s="11" t="str">
        <f aca="false">TRIM('수출입 실적(성질별_수입)'!A256)</f>
        <v>2025.01</v>
      </c>
      <c r="B252" s="17" t="n">
        <f aca="false">IFERROR(VALUE(LEFT($A252,4)),"")</f>
        <v>2025</v>
      </c>
      <c r="C252" s="17" t="n">
        <f aca="false">IFERROR(VALUE(RIGHT($A252,2)),"")</f>
        <v>1</v>
      </c>
      <c r="D252" s="17" t="n">
        <f aca="false">IFERROR(ROUNDUP($C252/3,0),"")</f>
        <v>1</v>
      </c>
      <c r="E252" s="11" t="str">
        <f aca="false">TRIM('수출입 실적(성질별_수입)'!C256)</f>
        <v>가. 연 료</v>
      </c>
      <c r="F252" s="18" t="n">
        <f aca="false">IFERROR(VALUE(SUBSTITUTE(TRIM('수출입 실적(성질별_수입)'!D256),",","")),"")</f>
        <v>30890590.3</v>
      </c>
      <c r="G252" s="19" t="n">
        <f aca="false">IFERROR(VALUE(SUBSTITUTE(TRIM('수출입 실적(성질별_수입)'!E256),",","")),"")</f>
        <v>13823720</v>
      </c>
    </row>
    <row r="253" customFormat="false" ht="15" hidden="false" customHeight="true" outlineLevel="0" collapsed="false">
      <c r="A253" s="11" t="str">
        <f aca="false">TRIM('수출입 실적(성질별_수입)'!A257)</f>
        <v>2025.01</v>
      </c>
      <c r="B253" s="17" t="n">
        <f aca="false">IFERROR(VALUE(LEFT($A253,4)),"")</f>
        <v>2025</v>
      </c>
      <c r="C253" s="17" t="n">
        <f aca="false">IFERROR(VALUE(RIGHT($A253,2)),"")</f>
        <v>1</v>
      </c>
      <c r="D253" s="17" t="n">
        <f aca="false">IFERROR(ROUNDUP($C253/3,0),"")</f>
        <v>1</v>
      </c>
      <c r="E253" s="11" t="str">
        <f aca="false">TRIM('수출입 실적(성질별_수입)'!C257)</f>
        <v>나. 광 물</v>
      </c>
      <c r="F253" s="18" t="n">
        <f aca="false">IFERROR(VALUE(SUBSTITUTE(TRIM('수출입 실적(성질별_수입)'!D257),",","")),"")</f>
        <v>7630161.3</v>
      </c>
      <c r="G253" s="19" t="n">
        <f aca="false">IFERROR(VALUE(SUBSTITUTE(TRIM('수출입 실적(성질별_수입)'!E257),",","")),"")</f>
        <v>2419240</v>
      </c>
    </row>
    <row r="254" customFormat="false" ht="15" hidden="false" customHeight="true" outlineLevel="0" collapsed="false">
      <c r="A254" s="11" t="str">
        <f aca="false">TRIM('수출입 실적(성질별_수입)'!A258)</f>
        <v>2025.01</v>
      </c>
      <c r="B254" s="17" t="n">
        <f aca="false">IFERROR(VALUE(LEFT($A254,4)),"")</f>
        <v>2025</v>
      </c>
      <c r="C254" s="17" t="n">
        <f aca="false">IFERROR(VALUE(RIGHT($A254,2)),"")</f>
        <v>1</v>
      </c>
      <c r="D254" s="17" t="n">
        <f aca="false">IFERROR(ROUNDUP($C254/3,0),"")</f>
        <v>1</v>
      </c>
      <c r="E254" s="11" t="str">
        <f aca="false">TRIM('수출입 실적(성질별_수입)'!C258)</f>
        <v>다. 경공업 원료</v>
      </c>
      <c r="F254" s="18" t="n">
        <f aca="false">IFERROR(VALUE(SUBSTITUTE(TRIM('수출입 실적(성질별_수입)'!D258),",","")),"")</f>
        <v>1294268.1</v>
      </c>
      <c r="G254" s="19" t="n">
        <f aca="false">IFERROR(VALUE(SUBSTITUTE(TRIM('수출입 실적(성질별_수입)'!E258),",","")),"")</f>
        <v>585445</v>
      </c>
    </row>
    <row r="255" customFormat="false" ht="15" hidden="false" customHeight="true" outlineLevel="0" collapsed="false">
      <c r="A255" s="11" t="str">
        <f aca="false">TRIM('수출입 실적(성질별_수입)'!A259)</f>
        <v>2025.01</v>
      </c>
      <c r="B255" s="17" t="n">
        <f aca="false">IFERROR(VALUE(LEFT($A255,4)),"")</f>
        <v>2025</v>
      </c>
      <c r="C255" s="17" t="n">
        <f aca="false">IFERROR(VALUE(RIGHT($A255,2)),"")</f>
        <v>1</v>
      </c>
      <c r="D255" s="17" t="n">
        <f aca="false">IFERROR(ROUNDUP($C255/3,0),"")</f>
        <v>1</v>
      </c>
      <c r="E255" s="11" t="str">
        <f aca="false">TRIM('수출입 실적(성질별_수입)'!C259)</f>
        <v>라. 유 지</v>
      </c>
      <c r="F255" s="18" t="n">
        <f aca="false">IFERROR(VALUE(SUBSTITUTE(TRIM('수출입 실적(성질별_수입)'!D259),",","")),"")</f>
        <v>122241.9</v>
      </c>
      <c r="G255" s="19" t="n">
        <f aca="false">IFERROR(VALUE(SUBSTITUTE(TRIM('수출입 실적(성질별_수입)'!E259),",","")),"")</f>
        <v>169802</v>
      </c>
    </row>
    <row r="256" customFormat="false" ht="15" hidden="false" customHeight="true" outlineLevel="0" collapsed="false">
      <c r="A256" s="11" t="str">
        <f aca="false">TRIM('수출입 실적(성질별_수입)'!A260)</f>
        <v>2025.01</v>
      </c>
      <c r="B256" s="17" t="n">
        <f aca="false">IFERROR(VALUE(LEFT($A256,4)),"")</f>
        <v>2025</v>
      </c>
      <c r="C256" s="17" t="n">
        <f aca="false">IFERROR(VALUE(RIGHT($A256,2)),"")</f>
        <v>1</v>
      </c>
      <c r="D256" s="17" t="n">
        <f aca="false">IFERROR(ROUNDUP($C256/3,0),"")</f>
        <v>1</v>
      </c>
      <c r="E256" s="11" t="str">
        <f aca="false">TRIM('수출입 실적(성질별_수입)'!C260)</f>
        <v>마. 섬유류</v>
      </c>
      <c r="F256" s="18" t="n">
        <f aca="false">IFERROR(VALUE(SUBSTITUTE(TRIM('수출입 실적(성질별_수입)'!D260),",","")),"")</f>
        <v>98073.7</v>
      </c>
      <c r="G256" s="19" t="n">
        <f aca="false">IFERROR(VALUE(SUBSTITUTE(TRIM('수출입 실적(성질별_수입)'!E260),",","")),"")</f>
        <v>281807</v>
      </c>
    </row>
    <row r="257" customFormat="false" ht="15" hidden="false" customHeight="true" outlineLevel="0" collapsed="false">
      <c r="A257" s="11" t="str">
        <f aca="false">TRIM('수출입 실적(성질별_수입)'!A261)</f>
        <v>2025.01</v>
      </c>
      <c r="B257" s="17" t="n">
        <f aca="false">IFERROR(VALUE(LEFT($A257,4)),"")</f>
        <v>2025</v>
      </c>
      <c r="C257" s="17" t="n">
        <f aca="false">IFERROR(VALUE(RIGHT($A257,2)),"")</f>
        <v>1</v>
      </c>
      <c r="D257" s="17" t="n">
        <f aca="false">IFERROR(ROUNDUP($C257/3,0),"")</f>
        <v>1</v>
      </c>
      <c r="E257" s="11" t="str">
        <f aca="false">TRIM('수출입 실적(성질별_수입)'!C261)</f>
        <v>바. 화공품</v>
      </c>
      <c r="F257" s="18" t="n">
        <f aca="false">IFERROR(VALUE(SUBSTITUTE(TRIM('수출입 실적(성질별_수입)'!D261),",","")),"")</f>
        <v>1813032.3</v>
      </c>
      <c r="G257" s="19" t="n">
        <f aca="false">IFERROR(VALUE(SUBSTITUTE(TRIM('수출입 실적(성질별_수입)'!E261),",","")),"")</f>
        <v>4268893</v>
      </c>
    </row>
    <row r="258" customFormat="false" ht="15" hidden="false" customHeight="true" outlineLevel="0" collapsed="false">
      <c r="A258" s="11" t="str">
        <f aca="false">TRIM('수출입 실적(성질별_수입)'!A262)</f>
        <v>2025.01</v>
      </c>
      <c r="B258" s="17" t="n">
        <f aca="false">IFERROR(VALUE(LEFT($A258,4)),"")</f>
        <v>2025</v>
      </c>
      <c r="C258" s="17" t="n">
        <f aca="false">IFERROR(VALUE(RIGHT($A258,2)),"")</f>
        <v>1</v>
      </c>
      <c r="D258" s="17" t="n">
        <f aca="false">IFERROR(ROUNDUP($C258/3,0),"")</f>
        <v>1</v>
      </c>
      <c r="E258" s="11" t="str">
        <f aca="false">TRIM('수출입 실적(성질별_수입)'!C262)</f>
        <v>사. 철강재</v>
      </c>
      <c r="F258" s="18" t="n">
        <f aca="false">IFERROR(VALUE(SUBSTITUTE(TRIM('수출입 실적(성질별_수입)'!D262),",","")),"")</f>
        <v>1285702.6</v>
      </c>
      <c r="G258" s="19" t="n">
        <f aca="false">IFERROR(VALUE(SUBSTITUTE(TRIM('수출입 실적(성질별_수입)'!E262),",","")),"")</f>
        <v>1548329</v>
      </c>
    </row>
    <row r="259" customFormat="false" ht="15" hidden="false" customHeight="true" outlineLevel="0" collapsed="false">
      <c r="A259" s="11" t="str">
        <f aca="false">TRIM('수출입 실적(성질별_수입)'!A263)</f>
        <v>2025.01</v>
      </c>
      <c r="B259" s="17" t="n">
        <f aca="false">IFERROR(VALUE(LEFT($A259,4)),"")</f>
        <v>2025</v>
      </c>
      <c r="C259" s="17" t="n">
        <f aca="false">IFERROR(VALUE(RIGHT($A259,2)),"")</f>
        <v>1</v>
      </c>
      <c r="D259" s="17" t="n">
        <f aca="false">IFERROR(ROUNDUP($C259/3,0),"")</f>
        <v>1</v>
      </c>
      <c r="E259" s="11" t="str">
        <f aca="false">TRIM('수출입 실적(성질별_수입)'!C263)</f>
        <v>아. 비철금속</v>
      </c>
      <c r="F259" s="18" t="n">
        <f aca="false">IFERROR(VALUE(SUBSTITUTE(TRIM('수출입 실적(성질별_수입)'!D263),",","")),"")</f>
        <v>227472.5</v>
      </c>
      <c r="G259" s="19" t="n">
        <f aca="false">IFERROR(VALUE(SUBSTITUTE(TRIM('수출입 실적(성질별_수입)'!E263),",","")),"")</f>
        <v>1264142</v>
      </c>
    </row>
    <row r="260" customFormat="false" ht="15" hidden="false" customHeight="true" outlineLevel="0" collapsed="false">
      <c r="A260" s="11" t="str">
        <f aca="false">TRIM('수출입 실적(성질별_수입)'!A264)</f>
        <v>2025.01</v>
      </c>
      <c r="B260" s="17" t="n">
        <f aca="false">IFERROR(VALUE(LEFT($A260,4)),"")</f>
        <v>2025</v>
      </c>
      <c r="C260" s="17" t="n">
        <f aca="false">IFERROR(VALUE(RIGHT($A260,2)),"")</f>
        <v>1</v>
      </c>
      <c r="D260" s="17" t="n">
        <f aca="false">IFERROR(ROUNDUP($C260/3,0),"")</f>
        <v>1</v>
      </c>
      <c r="E260" s="11" t="str">
        <f aca="false">TRIM('수출입 실적(성질별_수입)'!C264)</f>
        <v>자. 기 타</v>
      </c>
      <c r="F260" s="18" t="n">
        <f aca="false">IFERROR(VALUE(SUBSTITUTE(TRIM('수출입 실적(성질별_수입)'!D264),",","")),"")</f>
        <v>781312.9</v>
      </c>
      <c r="G260" s="19" t="n">
        <f aca="false">IFERROR(VALUE(SUBSTITUTE(TRIM('수출입 실적(성질별_수입)'!E264),",","")),"")</f>
        <v>1157806</v>
      </c>
    </row>
    <row r="261" customFormat="false" ht="15" hidden="false" customHeight="true" outlineLevel="0" collapsed="false">
      <c r="A261" s="11" t="str">
        <f aca="false">TRIM('수출입 실적(성질별_수입)'!A265)</f>
        <v>2025.01</v>
      </c>
      <c r="B261" s="17" t="n">
        <f aca="false">IFERROR(VALUE(LEFT($A261,4)),"")</f>
        <v>2025</v>
      </c>
      <c r="C261" s="17" t="n">
        <f aca="false">IFERROR(VALUE(RIGHT($A261,2)),"")</f>
        <v>1</v>
      </c>
      <c r="D261" s="17" t="n">
        <f aca="false">IFERROR(ROUNDUP($C261/3,0),"")</f>
        <v>1</v>
      </c>
      <c r="E261" s="11" t="str">
        <f aca="false">TRIM('수출입 실적(성질별_수입)'!C265)</f>
        <v>3. 자본재</v>
      </c>
      <c r="F261" s="18" t="n">
        <f aca="false">IFERROR(VALUE(SUBSTITUTE(TRIM('수출입 실적(성질별_수입)'!D265),",","")),"")</f>
        <v>559907.1</v>
      </c>
      <c r="G261" s="19" t="n">
        <f aca="false">IFERROR(VALUE(SUBSTITUTE(TRIM('수출입 실적(성질별_수입)'!E265),",","")),"")</f>
        <v>17803820</v>
      </c>
    </row>
    <row r="262" customFormat="false" ht="15" hidden="false" customHeight="true" outlineLevel="0" collapsed="false">
      <c r="A262" s="11" t="str">
        <f aca="false">TRIM('수출입 실적(성질별_수입)'!A266)</f>
        <v>2025.01</v>
      </c>
      <c r="B262" s="17" t="n">
        <f aca="false">IFERROR(VALUE(LEFT($A262,4)),"")</f>
        <v>2025</v>
      </c>
      <c r="C262" s="17" t="n">
        <f aca="false">IFERROR(VALUE(RIGHT($A262,2)),"")</f>
        <v>1</v>
      </c>
      <c r="D262" s="17" t="n">
        <f aca="false">IFERROR(ROUNDUP($C262/3,0),"")</f>
        <v>1</v>
      </c>
      <c r="E262" s="11" t="str">
        <f aca="false">TRIM('수출입 실적(성질별_수입)'!C266)</f>
        <v>가. 기계류와 정밀기기</v>
      </c>
      <c r="F262" s="18" t="n">
        <f aca="false">IFERROR(VALUE(SUBSTITUTE(TRIM('수출입 실적(성질별_수입)'!D266),",","")),"")</f>
        <v>172419</v>
      </c>
      <c r="G262" s="19" t="n">
        <f aca="false">IFERROR(VALUE(SUBSTITUTE(TRIM('수출입 실적(성질별_수입)'!E266),",","")),"")</f>
        <v>5178154</v>
      </c>
    </row>
    <row r="263" customFormat="false" ht="15" hidden="false" customHeight="true" outlineLevel="0" collapsed="false">
      <c r="A263" s="11" t="str">
        <f aca="false">TRIM('수출입 실적(성질별_수입)'!A267)</f>
        <v>2025.01</v>
      </c>
      <c r="B263" s="17" t="n">
        <f aca="false">IFERROR(VALUE(LEFT($A263,4)),"")</f>
        <v>2025</v>
      </c>
      <c r="C263" s="17" t="n">
        <f aca="false">IFERROR(VALUE(RIGHT($A263,2)),"")</f>
        <v>1</v>
      </c>
      <c r="D263" s="17" t="n">
        <f aca="false">IFERROR(ROUNDUP($C263/3,0),"")</f>
        <v>1</v>
      </c>
      <c r="E263" s="11" t="str">
        <f aca="false">TRIM('수출입 실적(성질별_수입)'!C267)</f>
        <v>나. 전기·전자기기</v>
      </c>
      <c r="F263" s="18" t="n">
        <f aca="false">IFERROR(VALUE(SUBSTITUTE(TRIM('수출입 실적(성질별_수입)'!D267),",","")),"")</f>
        <v>174078.2</v>
      </c>
      <c r="G263" s="19" t="n">
        <f aca="false">IFERROR(VALUE(SUBSTITUTE(TRIM('수출입 실적(성질별_수입)'!E267),",","")),"")</f>
        <v>11255615</v>
      </c>
    </row>
    <row r="264" customFormat="false" ht="15" hidden="false" customHeight="true" outlineLevel="0" collapsed="false">
      <c r="A264" s="11" t="str">
        <f aca="false">TRIM('수출입 실적(성질별_수입)'!A268)</f>
        <v>2025.01</v>
      </c>
      <c r="B264" s="17" t="n">
        <f aca="false">IFERROR(VALUE(LEFT($A264,4)),"")</f>
        <v>2025</v>
      </c>
      <c r="C264" s="17" t="n">
        <f aca="false">IFERROR(VALUE(RIGHT($A264,2)),"")</f>
        <v>1</v>
      </c>
      <c r="D264" s="17" t="n">
        <f aca="false">IFERROR(ROUNDUP($C264/3,0),"")</f>
        <v>1</v>
      </c>
      <c r="E264" s="11" t="str">
        <f aca="false">TRIM('수출입 실적(성질별_수입)'!C268)</f>
        <v>다. 수송장비</v>
      </c>
      <c r="F264" s="18" t="n">
        <f aca="false">IFERROR(VALUE(SUBSTITUTE(TRIM('수출입 실적(성질별_수입)'!D268),",","")),"")</f>
        <v>200332.3</v>
      </c>
      <c r="G264" s="19" t="n">
        <f aca="false">IFERROR(VALUE(SUBSTITUTE(TRIM('수출입 실적(성질별_수입)'!E268),",","")),"")</f>
        <v>1167447</v>
      </c>
    </row>
    <row r="265" customFormat="false" ht="15" hidden="false" customHeight="true" outlineLevel="0" collapsed="false">
      <c r="A265" s="11" t="str">
        <f aca="false">TRIM('수출입 실적(성질별_수입)'!A269)</f>
        <v>2025.01</v>
      </c>
      <c r="B265" s="17" t="n">
        <f aca="false">IFERROR(VALUE(LEFT($A265,4)),"")</f>
        <v>2025</v>
      </c>
      <c r="C265" s="17" t="n">
        <f aca="false">IFERROR(VALUE(RIGHT($A265,2)),"")</f>
        <v>1</v>
      </c>
      <c r="D265" s="17" t="n">
        <f aca="false">IFERROR(ROUNDUP($C265/3,0),"")</f>
        <v>1</v>
      </c>
      <c r="E265" s="11" t="str">
        <f aca="false">TRIM('수출입 실적(성질별_수입)'!C269)</f>
        <v>라. 기 타</v>
      </c>
      <c r="F265" s="18" t="n">
        <f aca="false">IFERROR(VALUE(SUBSTITUTE(TRIM('수출입 실적(성질별_수입)'!D269),",","")),"")</f>
        <v>13077.6</v>
      </c>
      <c r="G265" s="19" t="n">
        <f aca="false">IFERROR(VALUE(SUBSTITUTE(TRIM('수출입 실적(성질별_수입)'!E269),",","")),"")</f>
        <v>202604</v>
      </c>
    </row>
    <row r="266" customFormat="false" ht="15" hidden="false" customHeight="true" outlineLevel="0" collapsed="false">
      <c r="A266" s="11" t="str">
        <f aca="false">TRIM('수출입 실적(성질별_수입)'!A270)</f>
        <v>2025.02</v>
      </c>
      <c r="B266" s="17" t="n">
        <f aca="false">IFERROR(VALUE(LEFT($A266,4)),"")</f>
        <v>2025</v>
      </c>
      <c r="C266" s="17" t="n">
        <f aca="false">IFERROR(VALUE(RIGHT($A266,2)),"")</f>
        <v>2</v>
      </c>
      <c r="D266" s="17" t="n">
        <f aca="false">IFERROR(ROUNDUP($C266/3,0),"")</f>
        <v>1</v>
      </c>
      <c r="E266" s="11" t="str">
        <f aca="false">TRIM('수출입 실적(성질별_수입)'!C270)</f>
        <v>1. 소비재</v>
      </c>
      <c r="F266" s="18" t="n">
        <f aca="false">IFERROR(VALUE(SUBSTITUTE(TRIM('수출입 실적(성질별_수입)'!D270),",","")),"")</f>
        <v>3259302.5</v>
      </c>
      <c r="G266" s="19" t="n">
        <f aca="false">IFERROR(VALUE(SUBSTITUTE(TRIM('수출입 실적(성질별_수입)'!E270),",","")),"")</f>
        <v>8154330</v>
      </c>
    </row>
    <row r="267" customFormat="false" ht="15" hidden="false" customHeight="true" outlineLevel="0" collapsed="false">
      <c r="A267" s="11" t="str">
        <f aca="false">TRIM('수출입 실적(성질별_수입)'!A271)</f>
        <v>2025.02</v>
      </c>
      <c r="B267" s="17" t="n">
        <f aca="false">IFERROR(VALUE(LEFT($A267,4)),"")</f>
        <v>2025</v>
      </c>
      <c r="C267" s="17" t="n">
        <f aca="false">IFERROR(VALUE(RIGHT($A267,2)),"")</f>
        <v>2</v>
      </c>
      <c r="D267" s="17" t="n">
        <f aca="false">IFERROR(ROUNDUP($C267/3,0),"")</f>
        <v>1</v>
      </c>
      <c r="E267" s="11" t="str">
        <f aca="false">TRIM('수출입 실적(성질별_수입)'!C271)</f>
        <v>가. 곡물</v>
      </c>
      <c r="F267" s="18" t="n">
        <f aca="false">IFERROR(VALUE(SUBSTITUTE(TRIM('수출입 실적(성질별_수입)'!D271),",","")),"")</f>
        <v>2237704</v>
      </c>
      <c r="G267" s="19" t="n">
        <f aca="false">IFERROR(VALUE(SUBSTITUTE(TRIM('수출입 실적(성질별_수입)'!E271),",","")),"")</f>
        <v>701281</v>
      </c>
    </row>
    <row r="268" customFormat="false" ht="15" hidden="false" customHeight="true" outlineLevel="0" collapsed="false">
      <c r="A268" s="11" t="str">
        <f aca="false">TRIM('수출입 실적(성질별_수입)'!A272)</f>
        <v>2025.02</v>
      </c>
      <c r="B268" s="17" t="n">
        <f aca="false">IFERROR(VALUE(LEFT($A268,4)),"")</f>
        <v>2025</v>
      </c>
      <c r="C268" s="17" t="n">
        <f aca="false">IFERROR(VALUE(RIGHT($A268,2)),"")</f>
        <v>2</v>
      </c>
      <c r="D268" s="17" t="n">
        <f aca="false">IFERROR(ROUNDUP($C268/3,0),"")</f>
        <v>1</v>
      </c>
      <c r="E268" s="11" t="str">
        <f aca="false">TRIM('수출입 실적(성질별_수입)'!C272)</f>
        <v>나. 직접소비재</v>
      </c>
      <c r="F268" s="18" t="n">
        <f aca="false">IFERROR(VALUE(SUBSTITUTE(TRIM('수출입 실적(성질별_수입)'!D272),",","")),"")</f>
        <v>712160.8</v>
      </c>
      <c r="G268" s="19" t="n">
        <f aca="false">IFERROR(VALUE(SUBSTITUTE(TRIM('수출입 실적(성질별_수입)'!E272),",","")),"")</f>
        <v>2265269</v>
      </c>
    </row>
    <row r="269" customFormat="false" ht="15" hidden="false" customHeight="true" outlineLevel="0" collapsed="false">
      <c r="A269" s="11" t="str">
        <f aca="false">TRIM('수출입 실적(성질별_수입)'!A273)</f>
        <v>2025.02</v>
      </c>
      <c r="B269" s="17" t="n">
        <f aca="false">IFERROR(VALUE(LEFT($A269,4)),"")</f>
        <v>2025</v>
      </c>
      <c r="C269" s="17" t="n">
        <f aca="false">IFERROR(VALUE(RIGHT($A269,2)),"")</f>
        <v>2</v>
      </c>
      <c r="D269" s="17" t="n">
        <f aca="false">IFERROR(ROUNDUP($C269/3,0),"")</f>
        <v>1</v>
      </c>
      <c r="E269" s="11" t="str">
        <f aca="false">TRIM('수출입 실적(성질별_수입)'!C273)</f>
        <v>다. 내구소비재</v>
      </c>
      <c r="F269" s="18" t="n">
        <f aca="false">IFERROR(VALUE(SUBSTITUTE(TRIM('수출입 실적(성질별_수입)'!D273),",","")),"")</f>
        <v>213229.7</v>
      </c>
      <c r="G269" s="19" t="n">
        <f aca="false">IFERROR(VALUE(SUBSTITUTE(TRIM('수출입 실적(성질별_수입)'!E273),",","")),"")</f>
        <v>3376191</v>
      </c>
    </row>
    <row r="270" customFormat="false" ht="15" hidden="false" customHeight="true" outlineLevel="0" collapsed="false">
      <c r="A270" s="11" t="str">
        <f aca="false">TRIM('수출입 실적(성질별_수입)'!A274)</f>
        <v>2025.02</v>
      </c>
      <c r="B270" s="17" t="n">
        <f aca="false">IFERROR(VALUE(LEFT($A270,4)),"")</f>
        <v>2025</v>
      </c>
      <c r="C270" s="17" t="n">
        <f aca="false">IFERROR(VALUE(RIGHT($A270,2)),"")</f>
        <v>2</v>
      </c>
      <c r="D270" s="17" t="n">
        <f aca="false">IFERROR(ROUNDUP($C270/3,0),"")</f>
        <v>1</v>
      </c>
      <c r="E270" s="11" t="str">
        <f aca="false">TRIM('수출입 실적(성질별_수입)'!C274)</f>
        <v>라. 비내구 소비재</v>
      </c>
      <c r="F270" s="18" t="n">
        <f aca="false">IFERROR(VALUE(SUBSTITUTE(TRIM('수출입 실적(성질별_수입)'!D274),",","")),"")</f>
        <v>96208.1</v>
      </c>
      <c r="G270" s="19" t="n">
        <f aca="false">IFERROR(VALUE(SUBSTITUTE(TRIM('수출입 실적(성질별_수입)'!E274),",","")),"")</f>
        <v>1811590</v>
      </c>
    </row>
    <row r="271" customFormat="false" ht="15" hidden="false" customHeight="true" outlineLevel="0" collapsed="false">
      <c r="A271" s="11" t="str">
        <f aca="false">TRIM('수출입 실적(성질별_수입)'!A275)</f>
        <v>2025.02</v>
      </c>
      <c r="B271" s="17" t="n">
        <f aca="false">IFERROR(VALUE(LEFT($A271,4)),"")</f>
        <v>2025</v>
      </c>
      <c r="C271" s="17" t="n">
        <f aca="false">IFERROR(VALUE(RIGHT($A271,2)),"")</f>
        <v>2</v>
      </c>
      <c r="D271" s="17" t="n">
        <f aca="false">IFERROR(ROUNDUP($C271/3,0),"")</f>
        <v>1</v>
      </c>
      <c r="E271" s="11" t="str">
        <f aca="false">TRIM('수출입 실적(성질별_수입)'!C275)</f>
        <v>2. 원자재</v>
      </c>
      <c r="F271" s="18" t="n">
        <f aca="false">IFERROR(VALUE(SUBSTITUTE(TRIM('수출입 실적(성질별_수입)'!D275),",","")),"")</f>
        <v>37769049.4</v>
      </c>
      <c r="G271" s="19" t="n">
        <f aca="false">IFERROR(VALUE(SUBSTITUTE(TRIM('수출입 실적(성질별_수입)'!E275),",","")),"")</f>
        <v>22604209</v>
      </c>
    </row>
    <row r="272" customFormat="false" ht="15" hidden="false" customHeight="true" outlineLevel="0" collapsed="false">
      <c r="A272" s="11" t="str">
        <f aca="false">TRIM('수출입 실적(성질별_수입)'!A276)</f>
        <v>2025.02</v>
      </c>
      <c r="B272" s="17" t="n">
        <f aca="false">IFERROR(VALUE(LEFT($A272,4)),"")</f>
        <v>2025</v>
      </c>
      <c r="C272" s="17" t="n">
        <f aca="false">IFERROR(VALUE(RIGHT($A272,2)),"")</f>
        <v>2</v>
      </c>
      <c r="D272" s="17" t="n">
        <f aca="false">IFERROR(ROUNDUP($C272/3,0),"")</f>
        <v>1</v>
      </c>
      <c r="E272" s="11" t="str">
        <f aca="false">TRIM('수출입 실적(성질별_수입)'!C276)</f>
        <v>가. 연 료</v>
      </c>
      <c r="F272" s="18" t="n">
        <f aca="false">IFERROR(VALUE(SUBSTITUTE(TRIM('수출입 실적(성질별_수입)'!D276),",","")),"")</f>
        <v>25571484.7</v>
      </c>
      <c r="G272" s="19" t="n">
        <f aca="false">IFERROR(VALUE(SUBSTITUTE(TRIM('수출입 실적(성질별_수입)'!E276),",","")),"")</f>
        <v>11351346</v>
      </c>
    </row>
    <row r="273" customFormat="false" ht="15" hidden="false" customHeight="true" outlineLevel="0" collapsed="false">
      <c r="A273" s="11" t="str">
        <f aca="false">TRIM('수출입 실적(성질별_수입)'!A277)</f>
        <v>2025.02</v>
      </c>
      <c r="B273" s="17" t="n">
        <f aca="false">IFERROR(VALUE(LEFT($A273,4)),"")</f>
        <v>2025</v>
      </c>
      <c r="C273" s="17" t="n">
        <f aca="false">IFERROR(VALUE(RIGHT($A273,2)),"")</f>
        <v>2</v>
      </c>
      <c r="D273" s="17" t="n">
        <f aca="false">IFERROR(ROUNDUP($C273/3,0),"")</f>
        <v>1</v>
      </c>
      <c r="E273" s="11" t="str">
        <f aca="false">TRIM('수출입 실적(성질별_수입)'!C277)</f>
        <v>나. 광 물</v>
      </c>
      <c r="F273" s="18" t="n">
        <f aca="false">IFERROR(VALUE(SUBSTITUTE(TRIM('수출입 실적(성질별_수입)'!D277),",","")),"")</f>
        <v>6915584</v>
      </c>
      <c r="G273" s="19" t="n">
        <f aca="false">IFERROR(VALUE(SUBSTITUTE(TRIM('수출입 실적(성질별_수입)'!E277),",","")),"")</f>
        <v>1845386</v>
      </c>
    </row>
    <row r="274" customFormat="false" ht="15" hidden="false" customHeight="true" outlineLevel="0" collapsed="false">
      <c r="A274" s="11" t="str">
        <f aca="false">TRIM('수출입 실적(성질별_수입)'!A278)</f>
        <v>2025.02</v>
      </c>
      <c r="B274" s="17" t="n">
        <f aca="false">IFERROR(VALUE(LEFT($A274,4)),"")</f>
        <v>2025</v>
      </c>
      <c r="C274" s="17" t="n">
        <f aca="false">IFERROR(VALUE(RIGHT($A274,2)),"")</f>
        <v>2</v>
      </c>
      <c r="D274" s="17" t="n">
        <f aca="false">IFERROR(ROUNDUP($C274/3,0),"")</f>
        <v>1</v>
      </c>
      <c r="E274" s="11" t="str">
        <f aca="false">TRIM('수출입 실적(성질별_수입)'!C278)</f>
        <v>다. 경공업 원료</v>
      </c>
      <c r="F274" s="18" t="n">
        <f aca="false">IFERROR(VALUE(SUBSTITUTE(TRIM('수출입 실적(성질별_수입)'!D278),",","")),"")</f>
        <v>1254479.7</v>
      </c>
      <c r="G274" s="19" t="n">
        <f aca="false">IFERROR(VALUE(SUBSTITUTE(TRIM('수출입 실적(성질별_수입)'!E278),",","")),"")</f>
        <v>564356</v>
      </c>
    </row>
    <row r="275" customFormat="false" ht="15" hidden="false" customHeight="true" outlineLevel="0" collapsed="false">
      <c r="A275" s="11" t="str">
        <f aca="false">TRIM('수출입 실적(성질별_수입)'!A279)</f>
        <v>2025.02</v>
      </c>
      <c r="B275" s="17" t="n">
        <f aca="false">IFERROR(VALUE(LEFT($A275,4)),"")</f>
        <v>2025</v>
      </c>
      <c r="C275" s="17" t="n">
        <f aca="false">IFERROR(VALUE(RIGHT($A275,2)),"")</f>
        <v>2</v>
      </c>
      <c r="D275" s="17" t="n">
        <f aca="false">IFERROR(ROUNDUP($C275/3,0),"")</f>
        <v>1</v>
      </c>
      <c r="E275" s="11" t="str">
        <f aca="false">TRIM('수출입 실적(성질별_수입)'!C279)</f>
        <v>라. 유 지</v>
      </c>
      <c r="F275" s="18" t="n">
        <f aca="false">IFERROR(VALUE(SUBSTITUTE(TRIM('수출입 실적(성질별_수입)'!D279),",","")),"")</f>
        <v>127491.8</v>
      </c>
      <c r="G275" s="19" t="n">
        <f aca="false">IFERROR(VALUE(SUBSTITUTE(TRIM('수출입 실적(성질별_수입)'!E279),",","")),"")</f>
        <v>175950</v>
      </c>
    </row>
    <row r="276" customFormat="false" ht="15" hidden="false" customHeight="true" outlineLevel="0" collapsed="false">
      <c r="A276" s="11" t="str">
        <f aca="false">TRIM('수출입 실적(성질별_수입)'!A280)</f>
        <v>2025.02</v>
      </c>
      <c r="B276" s="17" t="n">
        <f aca="false">IFERROR(VALUE(LEFT($A276,4)),"")</f>
        <v>2025</v>
      </c>
      <c r="C276" s="17" t="n">
        <f aca="false">IFERROR(VALUE(RIGHT($A276,2)),"")</f>
        <v>2</v>
      </c>
      <c r="D276" s="17" t="n">
        <f aca="false">IFERROR(ROUNDUP($C276/3,0),"")</f>
        <v>1</v>
      </c>
      <c r="E276" s="11" t="str">
        <f aca="false">TRIM('수출입 실적(성질별_수입)'!C280)</f>
        <v>마. 섬유류</v>
      </c>
      <c r="F276" s="18" t="n">
        <f aca="false">IFERROR(VALUE(SUBSTITUTE(TRIM('수출입 실적(성질별_수입)'!D280),",","")),"")</f>
        <v>95475</v>
      </c>
      <c r="G276" s="19" t="n">
        <f aca="false">IFERROR(VALUE(SUBSTITUTE(TRIM('수출입 실적(성질별_수입)'!E280),",","")),"")</f>
        <v>280686</v>
      </c>
    </row>
    <row r="277" customFormat="false" ht="15" hidden="false" customHeight="true" outlineLevel="0" collapsed="false">
      <c r="A277" s="11" t="str">
        <f aca="false">TRIM('수출입 실적(성질별_수입)'!A281)</f>
        <v>2025.02</v>
      </c>
      <c r="B277" s="17" t="n">
        <f aca="false">IFERROR(VALUE(LEFT($A277,4)),"")</f>
        <v>2025</v>
      </c>
      <c r="C277" s="17" t="n">
        <f aca="false">IFERROR(VALUE(RIGHT($A277,2)),"")</f>
        <v>2</v>
      </c>
      <c r="D277" s="17" t="n">
        <f aca="false">IFERROR(ROUNDUP($C277/3,0),"")</f>
        <v>1</v>
      </c>
      <c r="E277" s="11" t="str">
        <f aca="false">TRIM('수출입 실적(성질별_수입)'!C281)</f>
        <v>바. 화공품</v>
      </c>
      <c r="F277" s="18" t="n">
        <f aca="false">IFERROR(VALUE(SUBSTITUTE(TRIM('수출입 실적(성질별_수입)'!D281),",","")),"")</f>
        <v>1689121.6</v>
      </c>
      <c r="G277" s="19" t="n">
        <f aca="false">IFERROR(VALUE(SUBSTITUTE(TRIM('수출입 실적(성질별_수입)'!E281),",","")),"")</f>
        <v>4462698</v>
      </c>
    </row>
    <row r="278" customFormat="false" ht="15" hidden="false" customHeight="true" outlineLevel="0" collapsed="false">
      <c r="A278" s="11" t="str">
        <f aca="false">TRIM('수출입 실적(성질별_수입)'!A282)</f>
        <v>2025.02</v>
      </c>
      <c r="B278" s="17" t="n">
        <f aca="false">IFERROR(VALUE(LEFT($A278,4)),"")</f>
        <v>2025</v>
      </c>
      <c r="C278" s="17" t="n">
        <f aca="false">IFERROR(VALUE(RIGHT($A278,2)),"")</f>
        <v>2</v>
      </c>
      <c r="D278" s="17" t="n">
        <f aca="false">IFERROR(ROUNDUP($C278/3,0),"")</f>
        <v>1</v>
      </c>
      <c r="E278" s="11" t="str">
        <f aca="false">TRIM('수출입 실적(성질별_수입)'!C282)</f>
        <v>사. 철강재</v>
      </c>
      <c r="F278" s="18" t="n">
        <f aca="false">IFERROR(VALUE(SUBSTITUTE(TRIM('수출입 실적(성질별_수입)'!D282),",","")),"")</f>
        <v>1258467.9</v>
      </c>
      <c r="G278" s="19" t="n">
        <f aca="false">IFERROR(VALUE(SUBSTITUTE(TRIM('수출입 실적(성질별_수입)'!E282),",","")),"")</f>
        <v>1377832</v>
      </c>
    </row>
    <row r="279" customFormat="false" ht="15" hidden="false" customHeight="true" outlineLevel="0" collapsed="false">
      <c r="A279" s="11" t="str">
        <f aca="false">TRIM('수출입 실적(성질별_수입)'!A283)</f>
        <v>2025.02</v>
      </c>
      <c r="B279" s="17" t="n">
        <f aca="false">IFERROR(VALUE(LEFT($A279,4)),"")</f>
        <v>2025</v>
      </c>
      <c r="C279" s="17" t="n">
        <f aca="false">IFERROR(VALUE(RIGHT($A279,2)),"")</f>
        <v>2</v>
      </c>
      <c r="D279" s="17" t="n">
        <f aca="false">IFERROR(ROUNDUP($C279/3,0),"")</f>
        <v>1</v>
      </c>
      <c r="E279" s="11" t="str">
        <f aca="false">TRIM('수출입 실적(성질별_수입)'!C283)</f>
        <v>아. 비철금속</v>
      </c>
      <c r="F279" s="18" t="n">
        <f aca="false">IFERROR(VALUE(SUBSTITUTE(TRIM('수출입 실적(성질별_수입)'!D283),",","")),"")</f>
        <v>218794.6</v>
      </c>
      <c r="G279" s="19" t="n">
        <f aca="false">IFERROR(VALUE(SUBSTITUTE(TRIM('수출입 실적(성질별_수입)'!E283),",","")),"")</f>
        <v>1184062</v>
      </c>
    </row>
    <row r="280" customFormat="false" ht="15" hidden="false" customHeight="true" outlineLevel="0" collapsed="false">
      <c r="A280" s="11" t="str">
        <f aca="false">TRIM('수출입 실적(성질별_수입)'!A284)</f>
        <v>2025.02</v>
      </c>
      <c r="B280" s="17" t="n">
        <f aca="false">IFERROR(VALUE(LEFT($A280,4)),"")</f>
        <v>2025</v>
      </c>
      <c r="C280" s="17" t="n">
        <f aca="false">IFERROR(VALUE(RIGHT($A280,2)),"")</f>
        <v>2</v>
      </c>
      <c r="D280" s="17" t="n">
        <f aca="false">IFERROR(ROUNDUP($C280/3,0),"")</f>
        <v>1</v>
      </c>
      <c r="E280" s="11" t="str">
        <f aca="false">TRIM('수출입 실적(성질별_수입)'!C284)</f>
        <v>자. 기 타</v>
      </c>
      <c r="F280" s="18" t="n">
        <f aca="false">IFERROR(VALUE(SUBSTITUTE(TRIM('수출입 실적(성질별_수입)'!D284),",","")),"")</f>
        <v>638150</v>
      </c>
      <c r="G280" s="19" t="n">
        <f aca="false">IFERROR(VALUE(SUBSTITUTE(TRIM('수출입 실적(성질별_수입)'!E284),",","")),"")</f>
        <v>1361894</v>
      </c>
    </row>
    <row r="281" customFormat="false" ht="15" hidden="false" customHeight="true" outlineLevel="0" collapsed="false">
      <c r="A281" s="11" t="str">
        <f aca="false">TRIM('수출입 실적(성질별_수입)'!A285)</f>
        <v>2025.02</v>
      </c>
      <c r="B281" s="17" t="n">
        <f aca="false">IFERROR(VALUE(LEFT($A281,4)),"")</f>
        <v>2025</v>
      </c>
      <c r="C281" s="17" t="n">
        <f aca="false">IFERROR(VALUE(RIGHT($A281,2)),"")</f>
        <v>2</v>
      </c>
      <c r="D281" s="17" t="n">
        <f aca="false">IFERROR(ROUNDUP($C281/3,0),"")</f>
        <v>1</v>
      </c>
      <c r="E281" s="11" t="str">
        <f aca="false">TRIM('수출입 실적(성질별_수입)'!C285)</f>
        <v>3. 자본재</v>
      </c>
      <c r="F281" s="18" t="n">
        <f aca="false">IFERROR(VALUE(SUBSTITUTE(TRIM('수출입 실적(성질별_수입)'!D285),",","")),"")</f>
        <v>506848.6</v>
      </c>
      <c r="G281" s="19" t="n">
        <f aca="false">IFERROR(VALUE(SUBSTITUTE(TRIM('수출입 실적(성질별_수입)'!E285),",","")),"")</f>
        <v>17570203</v>
      </c>
    </row>
    <row r="282" customFormat="false" ht="15" hidden="false" customHeight="true" outlineLevel="0" collapsed="false">
      <c r="A282" s="11" t="str">
        <f aca="false">TRIM('수출입 실적(성질별_수입)'!A286)</f>
        <v>2025.02</v>
      </c>
      <c r="B282" s="17" t="n">
        <f aca="false">IFERROR(VALUE(LEFT($A282,4)),"")</f>
        <v>2025</v>
      </c>
      <c r="C282" s="17" t="n">
        <f aca="false">IFERROR(VALUE(RIGHT($A282,2)),"")</f>
        <v>2</v>
      </c>
      <c r="D282" s="17" t="n">
        <f aca="false">IFERROR(ROUNDUP($C282/3,0),"")</f>
        <v>1</v>
      </c>
      <c r="E282" s="11" t="str">
        <f aca="false">TRIM('수출입 실적(성질별_수입)'!C286)</f>
        <v>가. 기계류와 정밀기기</v>
      </c>
      <c r="F282" s="18" t="n">
        <f aca="false">IFERROR(VALUE(SUBSTITUTE(TRIM('수출입 실적(성질별_수입)'!D286),",","")),"")</f>
        <v>167102.1</v>
      </c>
      <c r="G282" s="19" t="n">
        <f aca="false">IFERROR(VALUE(SUBSTITUTE(TRIM('수출입 실적(성질별_수입)'!E286),",","")),"")</f>
        <v>5984752</v>
      </c>
    </row>
    <row r="283" customFormat="false" ht="15" hidden="false" customHeight="true" outlineLevel="0" collapsed="false">
      <c r="A283" s="11" t="str">
        <f aca="false">TRIM('수출입 실적(성질별_수입)'!A287)</f>
        <v>2025.02</v>
      </c>
      <c r="B283" s="17" t="n">
        <f aca="false">IFERROR(VALUE(LEFT($A283,4)),"")</f>
        <v>2025</v>
      </c>
      <c r="C283" s="17" t="n">
        <f aca="false">IFERROR(VALUE(RIGHT($A283,2)),"")</f>
        <v>2</v>
      </c>
      <c r="D283" s="17" t="n">
        <f aca="false">IFERROR(ROUNDUP($C283/3,0),"")</f>
        <v>1</v>
      </c>
      <c r="E283" s="11" t="str">
        <f aca="false">TRIM('수출입 실적(성질별_수입)'!C287)</f>
        <v>나. 전기·전자기기</v>
      </c>
      <c r="F283" s="18" t="n">
        <f aca="false">IFERROR(VALUE(SUBSTITUTE(TRIM('수출입 실적(성질별_수입)'!D287),",","")),"")</f>
        <v>155672.5</v>
      </c>
      <c r="G283" s="19" t="n">
        <f aca="false">IFERROR(VALUE(SUBSTITUTE(TRIM('수출입 실적(성질별_수입)'!E287),",","")),"")</f>
        <v>10262919</v>
      </c>
    </row>
    <row r="284" customFormat="false" ht="15" hidden="false" customHeight="true" outlineLevel="0" collapsed="false">
      <c r="A284" s="11" t="str">
        <f aca="false">TRIM('수출입 실적(성질별_수입)'!A288)</f>
        <v>2025.02</v>
      </c>
      <c r="B284" s="17" t="n">
        <f aca="false">IFERROR(VALUE(LEFT($A284,4)),"")</f>
        <v>2025</v>
      </c>
      <c r="C284" s="17" t="n">
        <f aca="false">IFERROR(VALUE(RIGHT($A284,2)),"")</f>
        <v>2</v>
      </c>
      <c r="D284" s="17" t="n">
        <f aca="false">IFERROR(ROUNDUP($C284/3,0),"")</f>
        <v>1</v>
      </c>
      <c r="E284" s="11" t="str">
        <f aca="false">TRIM('수출입 실적(성질별_수입)'!C288)</f>
        <v>다. 수송장비</v>
      </c>
      <c r="F284" s="18" t="n">
        <f aca="false">IFERROR(VALUE(SUBSTITUTE(TRIM('수출입 실적(성질별_수입)'!D288),",","")),"")</f>
        <v>172121.5</v>
      </c>
      <c r="G284" s="19" t="n">
        <f aca="false">IFERROR(VALUE(SUBSTITUTE(TRIM('수출입 실적(성질별_수입)'!E288),",","")),"")</f>
        <v>1118570</v>
      </c>
    </row>
    <row r="285" customFormat="false" ht="15" hidden="false" customHeight="true" outlineLevel="0" collapsed="false">
      <c r="A285" s="11" t="str">
        <f aca="false">TRIM('수출입 실적(성질별_수입)'!A289)</f>
        <v>2025.02</v>
      </c>
      <c r="B285" s="17" t="n">
        <f aca="false">IFERROR(VALUE(LEFT($A285,4)),"")</f>
        <v>2025</v>
      </c>
      <c r="C285" s="17" t="n">
        <f aca="false">IFERROR(VALUE(RIGHT($A285,2)),"")</f>
        <v>2</v>
      </c>
      <c r="D285" s="17" t="n">
        <f aca="false">IFERROR(ROUNDUP($C285/3,0),"")</f>
        <v>1</v>
      </c>
      <c r="E285" s="11" t="str">
        <f aca="false">TRIM('수출입 실적(성질별_수입)'!C289)</f>
        <v>라. 기 타</v>
      </c>
      <c r="F285" s="18" t="n">
        <f aca="false">IFERROR(VALUE(SUBSTITUTE(TRIM('수출입 실적(성질별_수입)'!D289),",","")),"")</f>
        <v>11952.5</v>
      </c>
      <c r="G285" s="19" t="n">
        <f aca="false">IFERROR(VALUE(SUBSTITUTE(TRIM('수출입 실적(성질별_수입)'!E289),",","")),"")</f>
        <v>203962</v>
      </c>
    </row>
    <row r="286" customFormat="false" ht="15" hidden="false" customHeight="true" outlineLevel="0" collapsed="false">
      <c r="A286" s="11" t="str">
        <f aca="false">TRIM('수출입 실적(성질별_수입)'!A290)</f>
        <v>2025.03</v>
      </c>
      <c r="B286" s="17" t="n">
        <f aca="false">IFERROR(VALUE(LEFT($A286,4)),"")</f>
        <v>2025</v>
      </c>
      <c r="C286" s="17" t="n">
        <f aca="false">IFERROR(VALUE(RIGHT($A286,2)),"")</f>
        <v>3</v>
      </c>
      <c r="D286" s="17" t="n">
        <f aca="false">IFERROR(ROUNDUP($C286/3,0),"")</f>
        <v>1</v>
      </c>
      <c r="E286" s="11" t="str">
        <f aca="false">TRIM('수출입 실적(성질별_수입)'!C290)</f>
        <v>1. 소비재</v>
      </c>
      <c r="F286" s="18" t="n">
        <f aca="false">IFERROR(VALUE(SUBSTITUTE(TRIM('수출입 실적(성질별_수입)'!D290),",","")),"")</f>
        <v>3150641.6</v>
      </c>
      <c r="G286" s="19" t="n">
        <f aca="false">IFERROR(VALUE(SUBSTITUTE(TRIM('수출입 실적(성질별_수입)'!E290),",","")),"")</f>
        <v>9042514</v>
      </c>
    </row>
    <row r="287" customFormat="false" ht="15" hidden="false" customHeight="true" outlineLevel="0" collapsed="false">
      <c r="A287" s="11" t="str">
        <f aca="false">TRIM('수출입 실적(성질별_수입)'!A291)</f>
        <v>2025.03</v>
      </c>
      <c r="B287" s="17" t="n">
        <f aca="false">IFERROR(VALUE(LEFT($A287,4)),"")</f>
        <v>2025</v>
      </c>
      <c r="C287" s="17" t="n">
        <f aca="false">IFERROR(VALUE(RIGHT($A287,2)),"")</f>
        <v>3</v>
      </c>
      <c r="D287" s="17" t="n">
        <f aca="false">IFERROR(ROUNDUP($C287/3,0),"")</f>
        <v>1</v>
      </c>
      <c r="E287" s="11" t="str">
        <f aca="false">TRIM('수출입 실적(성질별_수입)'!C291)</f>
        <v>가. 곡물</v>
      </c>
      <c r="F287" s="18" t="n">
        <f aca="false">IFERROR(VALUE(SUBSTITUTE(TRIM('수출입 실적(성질별_수입)'!D291),",","")),"")</f>
        <v>1935640.7</v>
      </c>
      <c r="G287" s="19" t="n">
        <f aca="false">IFERROR(VALUE(SUBSTITUTE(TRIM('수출입 실적(성질별_수입)'!E291),",","")),"")</f>
        <v>592488</v>
      </c>
    </row>
    <row r="288" customFormat="false" ht="15" hidden="false" customHeight="true" outlineLevel="0" collapsed="false">
      <c r="A288" s="11" t="str">
        <f aca="false">TRIM('수출입 실적(성질별_수입)'!A292)</f>
        <v>2025.03</v>
      </c>
      <c r="B288" s="17" t="n">
        <f aca="false">IFERROR(VALUE(LEFT($A288,4)),"")</f>
        <v>2025</v>
      </c>
      <c r="C288" s="17" t="n">
        <f aca="false">IFERROR(VALUE(RIGHT($A288,2)),"")</f>
        <v>3</v>
      </c>
      <c r="D288" s="17" t="n">
        <f aca="false">IFERROR(ROUNDUP($C288/3,0),"")</f>
        <v>1</v>
      </c>
      <c r="E288" s="11" t="str">
        <f aca="false">TRIM('수출입 실적(성질별_수입)'!C292)</f>
        <v>나. 직접소비재</v>
      </c>
      <c r="F288" s="18" t="n">
        <f aca="false">IFERROR(VALUE(SUBSTITUTE(TRIM('수출입 실적(성질별_수입)'!D292),",","")),"")</f>
        <v>825336.5</v>
      </c>
      <c r="G288" s="19" t="n">
        <f aca="false">IFERROR(VALUE(SUBSTITUTE(TRIM('수출입 실적(성질별_수입)'!E292),",","")),"")</f>
        <v>2446236</v>
      </c>
    </row>
    <row r="289" customFormat="false" ht="15" hidden="false" customHeight="true" outlineLevel="0" collapsed="false">
      <c r="A289" s="11" t="str">
        <f aca="false">TRIM('수출입 실적(성질별_수입)'!A293)</f>
        <v>2025.03</v>
      </c>
      <c r="B289" s="17" t="n">
        <f aca="false">IFERROR(VALUE(LEFT($A289,4)),"")</f>
        <v>2025</v>
      </c>
      <c r="C289" s="17" t="n">
        <f aca="false">IFERROR(VALUE(RIGHT($A289,2)),"")</f>
        <v>3</v>
      </c>
      <c r="D289" s="17" t="n">
        <f aca="false">IFERROR(ROUNDUP($C289/3,0),"")</f>
        <v>1</v>
      </c>
      <c r="E289" s="11" t="str">
        <f aca="false">TRIM('수출입 실적(성질별_수입)'!C293)</f>
        <v>다. 내구소비재</v>
      </c>
      <c r="F289" s="18" t="n">
        <f aca="false">IFERROR(VALUE(SUBSTITUTE(TRIM('수출입 실적(성질별_수입)'!D293),",","")),"")</f>
        <v>265078.8</v>
      </c>
      <c r="G289" s="19" t="n">
        <f aca="false">IFERROR(VALUE(SUBSTITUTE(TRIM('수출입 실적(성질별_수입)'!E293),",","")),"")</f>
        <v>3881049</v>
      </c>
    </row>
    <row r="290" customFormat="false" ht="15" hidden="false" customHeight="true" outlineLevel="0" collapsed="false">
      <c r="A290" s="11" t="str">
        <f aca="false">TRIM('수출입 실적(성질별_수입)'!A294)</f>
        <v>2025.03</v>
      </c>
      <c r="B290" s="17" t="n">
        <f aca="false">IFERROR(VALUE(LEFT($A290,4)),"")</f>
        <v>2025</v>
      </c>
      <c r="C290" s="17" t="n">
        <f aca="false">IFERROR(VALUE(RIGHT($A290,2)),"")</f>
        <v>3</v>
      </c>
      <c r="D290" s="17" t="n">
        <f aca="false">IFERROR(ROUNDUP($C290/3,0),"")</f>
        <v>1</v>
      </c>
      <c r="E290" s="11" t="str">
        <f aca="false">TRIM('수출입 실적(성질별_수입)'!C294)</f>
        <v>라. 비내구 소비재</v>
      </c>
      <c r="F290" s="18" t="n">
        <f aca="false">IFERROR(VALUE(SUBSTITUTE(TRIM('수출입 실적(성질별_수입)'!D294),",","")),"")</f>
        <v>124585.5</v>
      </c>
      <c r="G290" s="19" t="n">
        <f aca="false">IFERROR(VALUE(SUBSTITUTE(TRIM('수출입 실적(성질별_수입)'!E294),",","")),"")</f>
        <v>2122740</v>
      </c>
    </row>
    <row r="291" customFormat="false" ht="15" hidden="false" customHeight="true" outlineLevel="0" collapsed="false">
      <c r="A291" s="11" t="str">
        <f aca="false">TRIM('수출입 실적(성질별_수입)'!A295)</f>
        <v>2025.03</v>
      </c>
      <c r="B291" s="17" t="n">
        <f aca="false">IFERROR(VALUE(LEFT($A291,4)),"")</f>
        <v>2025</v>
      </c>
      <c r="C291" s="17" t="n">
        <f aca="false">IFERROR(VALUE(RIGHT($A291,2)),"")</f>
        <v>3</v>
      </c>
      <c r="D291" s="17" t="n">
        <f aca="false">IFERROR(ROUNDUP($C291/3,0),"")</f>
        <v>1</v>
      </c>
      <c r="E291" s="11" t="str">
        <f aca="false">TRIM('수출입 실적(성질별_수입)'!C295)</f>
        <v>마. 간이세율 적용분</v>
      </c>
      <c r="F291" s="18" t="n">
        <f aca="false">IFERROR(VALUE(SUBSTITUTE(TRIM('수출입 실적(성질별_수입)'!D295),",","")),"")</f>
        <v>0</v>
      </c>
      <c r="G291" s="19" t="n">
        <f aca="false">IFERROR(VALUE(SUBSTITUTE(TRIM('수출입 실적(성질별_수입)'!E295),",","")),"")</f>
        <v>0</v>
      </c>
    </row>
    <row r="292" customFormat="false" ht="15" hidden="false" customHeight="true" outlineLevel="0" collapsed="false">
      <c r="A292" s="11" t="str">
        <f aca="false">TRIM('수출입 실적(성질별_수입)'!A296)</f>
        <v>2025.03</v>
      </c>
      <c r="B292" s="17" t="n">
        <f aca="false">IFERROR(VALUE(LEFT($A292,4)),"")</f>
        <v>2025</v>
      </c>
      <c r="C292" s="17" t="n">
        <f aca="false">IFERROR(VALUE(RIGHT($A292,2)),"")</f>
        <v>3</v>
      </c>
      <c r="D292" s="17" t="n">
        <f aca="false">IFERROR(ROUNDUP($C292/3,0),"")</f>
        <v>1</v>
      </c>
      <c r="E292" s="11" t="str">
        <f aca="false">TRIM('수출입 실적(성질별_수입)'!C296)</f>
        <v>2. 원자재</v>
      </c>
      <c r="F292" s="18" t="n">
        <f aca="false">IFERROR(VALUE(SUBSTITUTE(TRIM('수출입 실적(성질별_수입)'!D296),",","")),"")</f>
        <v>37890764.1</v>
      </c>
      <c r="G292" s="19" t="n">
        <f aca="false">IFERROR(VALUE(SUBSTITUTE(TRIM('수출입 실적(성질별_수입)'!E296),",","")),"")</f>
        <v>23875142</v>
      </c>
    </row>
    <row r="293" customFormat="false" ht="15" hidden="false" customHeight="true" outlineLevel="0" collapsed="false">
      <c r="A293" s="11" t="str">
        <f aca="false">TRIM('수출입 실적(성질별_수입)'!A297)</f>
        <v>2025.03</v>
      </c>
      <c r="B293" s="17" t="n">
        <f aca="false">IFERROR(VALUE(LEFT($A293,4)),"")</f>
        <v>2025</v>
      </c>
      <c r="C293" s="17" t="n">
        <f aca="false">IFERROR(VALUE(RIGHT($A293,2)),"")</f>
        <v>3</v>
      </c>
      <c r="D293" s="17" t="n">
        <f aca="false">IFERROR(ROUNDUP($C293/3,0),"")</f>
        <v>1</v>
      </c>
      <c r="E293" s="11" t="str">
        <f aca="false">TRIM('수출입 실적(성질별_수입)'!C297)</f>
        <v>가. 연 료</v>
      </c>
      <c r="F293" s="18" t="n">
        <f aca="false">IFERROR(VALUE(SUBSTITUTE(TRIM('수출입 실적(성질별_수입)'!D297),",","")),"")</f>
        <v>25197660.5</v>
      </c>
      <c r="G293" s="19" t="n">
        <f aca="false">IFERROR(VALUE(SUBSTITUTE(TRIM('수출입 실적(성질별_수입)'!E297),",","")),"")</f>
        <v>11998732</v>
      </c>
    </row>
    <row r="294" customFormat="false" ht="15" hidden="false" customHeight="true" outlineLevel="0" collapsed="false">
      <c r="A294" s="11" t="str">
        <f aca="false">TRIM('수출입 실적(성질별_수입)'!A298)</f>
        <v>2025.03</v>
      </c>
      <c r="B294" s="17" t="n">
        <f aca="false">IFERROR(VALUE(LEFT($A294,4)),"")</f>
        <v>2025</v>
      </c>
      <c r="C294" s="17" t="n">
        <f aca="false">IFERROR(VALUE(RIGHT($A294,2)),"")</f>
        <v>3</v>
      </c>
      <c r="D294" s="17" t="n">
        <f aca="false">IFERROR(ROUNDUP($C294/3,0),"")</f>
        <v>1</v>
      </c>
      <c r="E294" s="11" t="str">
        <f aca="false">TRIM('수출입 실적(성질별_수입)'!C298)</f>
        <v>나. 광 물</v>
      </c>
      <c r="F294" s="18" t="n">
        <f aca="false">IFERROR(VALUE(SUBSTITUTE(TRIM('수출입 실적(성질별_수입)'!D298),",","")),"")</f>
        <v>7512161.9</v>
      </c>
      <c r="G294" s="19" t="n">
        <f aca="false">IFERROR(VALUE(SUBSTITUTE(TRIM('수출입 실적(성질별_수입)'!E298),",","")),"")</f>
        <v>2132587</v>
      </c>
    </row>
    <row r="295" customFormat="false" ht="15" hidden="false" customHeight="true" outlineLevel="0" collapsed="false">
      <c r="A295" s="11" t="str">
        <f aca="false">TRIM('수출입 실적(성질별_수입)'!A299)</f>
        <v>2025.03</v>
      </c>
      <c r="B295" s="17" t="n">
        <f aca="false">IFERROR(VALUE(LEFT($A295,4)),"")</f>
        <v>2025</v>
      </c>
      <c r="C295" s="17" t="n">
        <f aca="false">IFERROR(VALUE(RIGHT($A295,2)),"")</f>
        <v>3</v>
      </c>
      <c r="D295" s="17" t="n">
        <f aca="false">IFERROR(ROUNDUP($C295/3,0),"")</f>
        <v>1</v>
      </c>
      <c r="E295" s="11" t="str">
        <f aca="false">TRIM('수출입 실적(성질별_수입)'!C299)</f>
        <v>다. 경공업 원료</v>
      </c>
      <c r="F295" s="18" t="n">
        <f aca="false">IFERROR(VALUE(SUBSTITUTE(TRIM('수출입 실적(성질별_수입)'!D299),",","")),"")</f>
        <v>1171657.9</v>
      </c>
      <c r="G295" s="19" t="n">
        <f aca="false">IFERROR(VALUE(SUBSTITUTE(TRIM('수출입 실적(성질별_수입)'!E299),",","")),"")</f>
        <v>568712</v>
      </c>
    </row>
    <row r="296" customFormat="false" ht="15" hidden="false" customHeight="true" outlineLevel="0" collapsed="false">
      <c r="A296" s="11" t="str">
        <f aca="false">TRIM('수출입 실적(성질별_수입)'!A300)</f>
        <v>2025.03</v>
      </c>
      <c r="B296" s="17" t="n">
        <f aca="false">IFERROR(VALUE(LEFT($A296,4)),"")</f>
        <v>2025</v>
      </c>
      <c r="C296" s="17" t="n">
        <f aca="false">IFERROR(VALUE(RIGHT($A296,2)),"")</f>
        <v>3</v>
      </c>
      <c r="D296" s="17" t="n">
        <f aca="false">IFERROR(ROUNDUP($C296/3,0),"")</f>
        <v>1</v>
      </c>
      <c r="E296" s="11" t="str">
        <f aca="false">TRIM('수출입 실적(성질별_수입)'!C300)</f>
        <v>라. 유 지</v>
      </c>
      <c r="F296" s="18" t="n">
        <f aca="false">IFERROR(VALUE(SUBSTITUTE(TRIM('수출입 실적(성질별_수입)'!D300),",","")),"")</f>
        <v>139224</v>
      </c>
      <c r="G296" s="19" t="n">
        <f aca="false">IFERROR(VALUE(SUBSTITUTE(TRIM('수출입 실적(성질별_수입)'!E300),",","")),"")</f>
        <v>196713</v>
      </c>
    </row>
    <row r="297" customFormat="false" ht="15" hidden="false" customHeight="true" outlineLevel="0" collapsed="false">
      <c r="A297" s="11" t="str">
        <f aca="false">TRIM('수출입 실적(성질별_수입)'!A301)</f>
        <v>2025.03</v>
      </c>
      <c r="B297" s="17" t="n">
        <f aca="false">IFERROR(VALUE(LEFT($A297,4)),"")</f>
        <v>2025</v>
      </c>
      <c r="C297" s="17" t="n">
        <f aca="false">IFERROR(VALUE(RIGHT($A297,2)),"")</f>
        <v>3</v>
      </c>
      <c r="D297" s="17" t="n">
        <f aca="false">IFERROR(ROUNDUP($C297/3,0),"")</f>
        <v>1</v>
      </c>
      <c r="E297" s="11" t="str">
        <f aca="false">TRIM('수출입 실적(성질별_수입)'!C301)</f>
        <v>마. 섬유류</v>
      </c>
      <c r="F297" s="18" t="n">
        <f aca="false">IFERROR(VALUE(SUBSTITUTE(TRIM('수출입 실적(성질별_수입)'!D301),",","")),"")</f>
        <v>101011.2</v>
      </c>
      <c r="G297" s="19" t="n">
        <f aca="false">IFERROR(VALUE(SUBSTITUTE(TRIM('수출입 실적(성질별_수입)'!E301),",","")),"")</f>
        <v>316594</v>
      </c>
    </row>
    <row r="298" customFormat="false" ht="15" hidden="false" customHeight="true" outlineLevel="0" collapsed="false">
      <c r="A298" s="11" t="str">
        <f aca="false">TRIM('수출입 실적(성질별_수입)'!A302)</f>
        <v>2025.03</v>
      </c>
      <c r="B298" s="17" t="n">
        <f aca="false">IFERROR(VALUE(LEFT($A298,4)),"")</f>
        <v>2025</v>
      </c>
      <c r="C298" s="17" t="n">
        <f aca="false">IFERROR(VALUE(RIGHT($A298,2)),"")</f>
        <v>3</v>
      </c>
      <c r="D298" s="17" t="n">
        <f aca="false">IFERROR(ROUNDUP($C298/3,0),"")</f>
        <v>1</v>
      </c>
      <c r="E298" s="11" t="str">
        <f aca="false">TRIM('수출입 실적(성질별_수입)'!C302)</f>
        <v>바. 화공품</v>
      </c>
      <c r="F298" s="18" t="n">
        <f aca="false">IFERROR(VALUE(SUBSTITUTE(TRIM('수출입 실적(성질별_수입)'!D302),",","")),"")</f>
        <v>1489172.9</v>
      </c>
      <c r="G298" s="19" t="n">
        <f aca="false">IFERROR(VALUE(SUBSTITUTE(TRIM('수출입 실적(성질별_수입)'!E302),",","")),"")</f>
        <v>4369341</v>
      </c>
    </row>
    <row r="299" customFormat="false" ht="15" hidden="false" customHeight="true" outlineLevel="0" collapsed="false">
      <c r="A299" s="11" t="str">
        <f aca="false">TRIM('수출입 실적(성질별_수입)'!A303)</f>
        <v>2025.03</v>
      </c>
      <c r="B299" s="17" t="n">
        <f aca="false">IFERROR(VALUE(LEFT($A299,4)),"")</f>
        <v>2025</v>
      </c>
      <c r="C299" s="17" t="n">
        <f aca="false">IFERROR(VALUE(RIGHT($A299,2)),"")</f>
        <v>3</v>
      </c>
      <c r="D299" s="17" t="n">
        <f aca="false">IFERROR(ROUNDUP($C299/3,0),"")</f>
        <v>1</v>
      </c>
      <c r="E299" s="11" t="str">
        <f aca="false">TRIM('수출입 실적(성질별_수입)'!C303)</f>
        <v>사. 철강재</v>
      </c>
      <c r="F299" s="18" t="n">
        <f aca="false">IFERROR(VALUE(SUBSTITUTE(TRIM('수출입 실적(성질별_수입)'!D303),",","")),"")</f>
        <v>1296854.5</v>
      </c>
      <c r="G299" s="19" t="n">
        <f aca="false">IFERROR(VALUE(SUBSTITUTE(TRIM('수출입 실적(성질별_수입)'!E303),",","")),"")</f>
        <v>1691660</v>
      </c>
    </row>
    <row r="300" customFormat="false" ht="15" hidden="false" customHeight="true" outlineLevel="0" collapsed="false">
      <c r="A300" s="11" t="str">
        <f aca="false">TRIM('수출입 실적(성질별_수입)'!A304)</f>
        <v>2025.03</v>
      </c>
      <c r="B300" s="17" t="n">
        <f aca="false">IFERROR(VALUE(LEFT($A300,4)),"")</f>
        <v>2025</v>
      </c>
      <c r="C300" s="17" t="n">
        <f aca="false">IFERROR(VALUE(RIGHT($A300,2)),"")</f>
        <v>3</v>
      </c>
      <c r="D300" s="17" t="n">
        <f aca="false">IFERROR(ROUNDUP($C300/3,0),"")</f>
        <v>1</v>
      </c>
      <c r="E300" s="11" t="str">
        <f aca="false">TRIM('수출입 실적(성질별_수입)'!C304)</f>
        <v>아. 비철금속</v>
      </c>
      <c r="F300" s="18" t="n">
        <f aca="false">IFERROR(VALUE(SUBSTITUTE(TRIM('수출입 실적(성질별_수입)'!D304),",","")),"")</f>
        <v>231045.3</v>
      </c>
      <c r="G300" s="19" t="n">
        <f aca="false">IFERROR(VALUE(SUBSTITUTE(TRIM('수출입 실적(성질별_수입)'!E304),",","")),"")</f>
        <v>1364857</v>
      </c>
    </row>
    <row r="301" customFormat="false" ht="15" hidden="false" customHeight="true" outlineLevel="0" collapsed="false">
      <c r="A301" s="11" t="str">
        <f aca="false">TRIM('수출입 실적(성질별_수입)'!A305)</f>
        <v>2025.03</v>
      </c>
      <c r="B301" s="17" t="n">
        <f aca="false">IFERROR(VALUE(LEFT($A301,4)),"")</f>
        <v>2025</v>
      </c>
      <c r="C301" s="17" t="n">
        <f aca="false">IFERROR(VALUE(RIGHT($A301,2)),"")</f>
        <v>3</v>
      </c>
      <c r="D301" s="17" t="n">
        <f aca="false">IFERROR(ROUNDUP($C301/3,0),"")</f>
        <v>1</v>
      </c>
      <c r="E301" s="11" t="str">
        <f aca="false">TRIM('수출입 실적(성질별_수입)'!C305)</f>
        <v>자. 기 타</v>
      </c>
      <c r="F301" s="18" t="n">
        <f aca="false">IFERROR(VALUE(SUBSTITUTE(TRIM('수출입 실적(성질별_수입)'!D305),",","")),"")</f>
        <v>751975.9</v>
      </c>
      <c r="G301" s="19" t="n">
        <f aca="false">IFERROR(VALUE(SUBSTITUTE(TRIM('수출입 실적(성질별_수입)'!E305),",","")),"")</f>
        <v>1235946</v>
      </c>
    </row>
    <row r="302" customFormat="false" ht="15" hidden="false" customHeight="true" outlineLevel="0" collapsed="false">
      <c r="A302" s="11" t="str">
        <f aca="false">TRIM('수출입 실적(성질별_수입)'!A306)</f>
        <v>2025.03</v>
      </c>
      <c r="B302" s="17" t="n">
        <f aca="false">IFERROR(VALUE(LEFT($A302,4)),"")</f>
        <v>2025</v>
      </c>
      <c r="C302" s="17" t="n">
        <f aca="false">IFERROR(VALUE(RIGHT($A302,2)),"")</f>
        <v>3</v>
      </c>
      <c r="D302" s="17" t="n">
        <f aca="false">IFERROR(ROUNDUP($C302/3,0),"")</f>
        <v>1</v>
      </c>
      <c r="E302" s="11" t="str">
        <f aca="false">TRIM('수출입 실적(성질별_수입)'!C306)</f>
        <v>3. 자본재</v>
      </c>
      <c r="F302" s="18" t="n">
        <f aca="false">IFERROR(VALUE(SUBSTITUTE(TRIM('수출입 실적(성질별_수입)'!D306),",","")),"")</f>
        <v>918847</v>
      </c>
      <c r="G302" s="19" t="n">
        <f aca="false">IFERROR(VALUE(SUBSTITUTE(TRIM('수출입 실적(성질별_수입)'!E306),",","")),"")</f>
        <v>20423375</v>
      </c>
    </row>
    <row r="303" customFormat="false" ht="15" hidden="false" customHeight="true" outlineLevel="0" collapsed="false">
      <c r="A303" s="11" t="str">
        <f aca="false">TRIM('수출입 실적(성질별_수입)'!A307)</f>
        <v>2025.03</v>
      </c>
      <c r="B303" s="17" t="n">
        <f aca="false">IFERROR(VALUE(LEFT($A303,4)),"")</f>
        <v>2025</v>
      </c>
      <c r="C303" s="17" t="n">
        <f aca="false">IFERROR(VALUE(RIGHT($A303,2)),"")</f>
        <v>3</v>
      </c>
      <c r="D303" s="17" t="n">
        <f aca="false">IFERROR(ROUNDUP($C303/3,0),"")</f>
        <v>1</v>
      </c>
      <c r="E303" s="11" t="str">
        <f aca="false">TRIM('수출입 실적(성질별_수입)'!C307)</f>
        <v>가. 기계류와 정밀기기</v>
      </c>
      <c r="F303" s="18" t="n">
        <f aca="false">IFERROR(VALUE(SUBSTITUTE(TRIM('수출입 실적(성질별_수입)'!D307),",","")),"")</f>
        <v>184610.4</v>
      </c>
      <c r="G303" s="19" t="n">
        <f aca="false">IFERROR(VALUE(SUBSTITUTE(TRIM('수출입 실적(성질별_수입)'!E307),",","")),"")</f>
        <v>7266393</v>
      </c>
    </row>
    <row r="304" customFormat="false" ht="15" hidden="false" customHeight="true" outlineLevel="0" collapsed="false">
      <c r="A304" s="11" t="str">
        <f aca="false">TRIM('수출입 실적(성질별_수입)'!A308)</f>
        <v>2025.03</v>
      </c>
      <c r="B304" s="17" t="n">
        <f aca="false">IFERROR(VALUE(LEFT($A304,4)),"")</f>
        <v>2025</v>
      </c>
      <c r="C304" s="17" t="n">
        <f aca="false">IFERROR(VALUE(RIGHT($A304,2)),"")</f>
        <v>3</v>
      </c>
      <c r="D304" s="17" t="n">
        <f aca="false">IFERROR(ROUNDUP($C304/3,0),"")</f>
        <v>1</v>
      </c>
      <c r="E304" s="11" t="str">
        <f aca="false">TRIM('수출입 실적(성질별_수입)'!C308)</f>
        <v>나. 전기·전자기기</v>
      </c>
      <c r="F304" s="18" t="n">
        <f aca="false">IFERROR(VALUE(SUBSTITUTE(TRIM('수출입 실적(성질별_수입)'!D308),",","")),"")</f>
        <v>189598.5</v>
      </c>
      <c r="G304" s="19" t="n">
        <f aca="false">IFERROR(VALUE(SUBSTITUTE(TRIM('수출입 실적(성질별_수입)'!E308),",","")),"")</f>
        <v>11749931</v>
      </c>
    </row>
    <row r="305" customFormat="false" ht="15" hidden="false" customHeight="true" outlineLevel="0" collapsed="false">
      <c r="A305" s="11" t="str">
        <f aca="false">TRIM('수출입 실적(성질별_수입)'!A309)</f>
        <v>2025.03</v>
      </c>
      <c r="B305" s="17" t="n">
        <f aca="false">IFERROR(VALUE(LEFT($A305,4)),"")</f>
        <v>2025</v>
      </c>
      <c r="C305" s="17" t="n">
        <f aca="false">IFERROR(VALUE(RIGHT($A305,2)),"")</f>
        <v>3</v>
      </c>
      <c r="D305" s="17" t="n">
        <f aca="false">IFERROR(ROUNDUP($C305/3,0),"")</f>
        <v>1</v>
      </c>
      <c r="E305" s="11" t="str">
        <f aca="false">TRIM('수출입 실적(성질별_수입)'!C309)</f>
        <v>다. 수송장비</v>
      </c>
      <c r="F305" s="18" t="n">
        <f aca="false">IFERROR(VALUE(SUBSTITUTE(TRIM('수출입 실적(성질별_수입)'!D309),",","")),"")</f>
        <v>531735.4</v>
      </c>
      <c r="G305" s="19" t="n">
        <f aca="false">IFERROR(VALUE(SUBSTITUTE(TRIM('수출입 실적(성질별_수입)'!E309),",","")),"")</f>
        <v>1211676</v>
      </c>
    </row>
    <row r="306" customFormat="false" ht="15" hidden="false" customHeight="true" outlineLevel="0" collapsed="false">
      <c r="A306" s="11" t="str">
        <f aca="false">TRIM('수출입 실적(성질별_수입)'!A310)</f>
        <v>2025.03</v>
      </c>
      <c r="B306" s="17" t="n">
        <f aca="false">IFERROR(VALUE(LEFT($A306,4)),"")</f>
        <v>2025</v>
      </c>
      <c r="C306" s="17" t="n">
        <f aca="false">IFERROR(VALUE(RIGHT($A306,2)),"")</f>
        <v>3</v>
      </c>
      <c r="D306" s="17" t="n">
        <f aca="false">IFERROR(ROUNDUP($C306/3,0),"")</f>
        <v>1</v>
      </c>
      <c r="E306" s="11" t="str">
        <f aca="false">TRIM('수출입 실적(성질별_수입)'!C310)</f>
        <v>라. 기 타</v>
      </c>
      <c r="F306" s="18" t="n">
        <f aca="false">IFERROR(VALUE(SUBSTITUTE(TRIM('수출입 실적(성질별_수입)'!D310),",","")),"")</f>
        <v>12902.8</v>
      </c>
      <c r="G306" s="19" t="n">
        <f aca="false">IFERROR(VALUE(SUBSTITUTE(TRIM('수출입 실적(성질별_수입)'!E310),",","")),"")</f>
        <v>195375</v>
      </c>
    </row>
    <row r="307" customFormat="false" ht="15" hidden="false" customHeight="true" outlineLevel="0" collapsed="false">
      <c r="A307" s="11" t="str">
        <f aca="false">TRIM('수출입 실적(성질별_수입)'!A311)</f>
        <v>2025.04</v>
      </c>
      <c r="B307" s="17" t="n">
        <f aca="false">IFERROR(VALUE(LEFT($A307,4)),"")</f>
        <v>2025</v>
      </c>
      <c r="C307" s="17" t="n">
        <f aca="false">IFERROR(VALUE(RIGHT($A307,2)),"")</f>
        <v>4</v>
      </c>
      <c r="D307" s="17" t="n">
        <f aca="false">IFERROR(ROUNDUP($C307/3,0),"")</f>
        <v>2</v>
      </c>
      <c r="E307" s="11" t="str">
        <f aca="false">TRIM('수출입 실적(성질별_수입)'!C311)</f>
        <v>1. 소비재</v>
      </c>
      <c r="F307" s="18" t="n">
        <f aca="false">IFERROR(VALUE(SUBSTITUTE(TRIM('수출입 실적(성질별_수입)'!D311),",","")),"")</f>
        <v>3563683.7</v>
      </c>
      <c r="G307" s="19" t="n">
        <f aca="false">IFERROR(VALUE(SUBSTITUTE(TRIM('수출입 실적(성질별_수입)'!E311),",","")),"")</f>
        <v>9152082</v>
      </c>
    </row>
    <row r="308" customFormat="false" ht="15" hidden="false" customHeight="true" outlineLevel="0" collapsed="false">
      <c r="A308" s="11" t="str">
        <f aca="false">TRIM('수출입 실적(성질별_수입)'!A312)</f>
        <v>2025.04</v>
      </c>
      <c r="B308" s="17" t="n">
        <f aca="false">IFERROR(VALUE(LEFT($A308,4)),"")</f>
        <v>2025</v>
      </c>
      <c r="C308" s="17" t="n">
        <f aca="false">IFERROR(VALUE(RIGHT($A308,2)),"")</f>
        <v>4</v>
      </c>
      <c r="D308" s="17" t="n">
        <f aca="false">IFERROR(ROUNDUP($C308/3,0),"")</f>
        <v>2</v>
      </c>
      <c r="E308" s="11" t="str">
        <f aca="false">TRIM('수출입 실적(성질별_수입)'!C312)</f>
        <v>가. 곡물</v>
      </c>
      <c r="F308" s="18" t="n">
        <f aca="false">IFERROR(VALUE(SUBSTITUTE(TRIM('수출입 실적(성질별_수입)'!D312),",","")),"")</f>
        <v>2268832.5</v>
      </c>
      <c r="G308" s="19" t="n">
        <f aca="false">IFERROR(VALUE(SUBSTITUTE(TRIM('수출입 실적(성질별_수입)'!E312),",","")),"")</f>
        <v>687616</v>
      </c>
    </row>
    <row r="309" customFormat="false" ht="15" hidden="false" customHeight="true" outlineLevel="0" collapsed="false">
      <c r="A309" s="11" t="str">
        <f aca="false">TRIM('수출입 실적(성질별_수입)'!A313)</f>
        <v>2025.04</v>
      </c>
      <c r="B309" s="17" t="n">
        <f aca="false">IFERROR(VALUE(LEFT($A309,4)),"")</f>
        <v>2025</v>
      </c>
      <c r="C309" s="17" t="n">
        <f aca="false">IFERROR(VALUE(RIGHT($A309,2)),"")</f>
        <v>4</v>
      </c>
      <c r="D309" s="17" t="n">
        <f aca="false">IFERROR(ROUNDUP($C309/3,0),"")</f>
        <v>2</v>
      </c>
      <c r="E309" s="11" t="str">
        <f aca="false">TRIM('수출입 실적(성질별_수입)'!C313)</f>
        <v>나. 직접소비재</v>
      </c>
      <c r="F309" s="18" t="n">
        <f aca="false">IFERROR(VALUE(SUBSTITUTE(TRIM('수출입 실적(성질별_수입)'!D313),",","")),"")</f>
        <v>848783.6</v>
      </c>
      <c r="G309" s="19" t="n">
        <f aca="false">IFERROR(VALUE(SUBSTITUTE(TRIM('수출입 실적(성질별_수입)'!E313),",","")),"")</f>
        <v>2583255</v>
      </c>
    </row>
    <row r="310" customFormat="false" ht="15" hidden="false" customHeight="true" outlineLevel="0" collapsed="false">
      <c r="A310" s="11" t="str">
        <f aca="false">TRIM('수출입 실적(성질별_수입)'!A314)</f>
        <v>2025.04</v>
      </c>
      <c r="B310" s="17" t="n">
        <f aca="false">IFERROR(VALUE(LEFT($A310,4)),"")</f>
        <v>2025</v>
      </c>
      <c r="C310" s="17" t="n">
        <f aca="false">IFERROR(VALUE(RIGHT($A310,2)),"")</f>
        <v>4</v>
      </c>
      <c r="D310" s="17" t="n">
        <f aca="false">IFERROR(ROUNDUP($C310/3,0),"")</f>
        <v>2</v>
      </c>
      <c r="E310" s="11" t="str">
        <f aca="false">TRIM('수출입 실적(성질별_수입)'!C314)</f>
        <v>다. 내구소비재</v>
      </c>
      <c r="F310" s="18" t="n">
        <f aca="false">IFERROR(VALUE(SUBSTITUTE(TRIM('수출입 실적(성질별_수입)'!D314),",","")),"")</f>
        <v>313328.7</v>
      </c>
      <c r="G310" s="19" t="n">
        <f aca="false">IFERROR(VALUE(SUBSTITUTE(TRIM('수출입 실적(성질별_수입)'!E314),",","")),"")</f>
        <v>3892083</v>
      </c>
    </row>
    <row r="311" customFormat="false" ht="15" hidden="false" customHeight="true" outlineLevel="0" collapsed="false">
      <c r="A311" s="11" t="str">
        <f aca="false">TRIM('수출입 실적(성질별_수입)'!A315)</f>
        <v>2025.04</v>
      </c>
      <c r="B311" s="17" t="n">
        <f aca="false">IFERROR(VALUE(LEFT($A311,4)),"")</f>
        <v>2025</v>
      </c>
      <c r="C311" s="17" t="n">
        <f aca="false">IFERROR(VALUE(RIGHT($A311,2)),"")</f>
        <v>4</v>
      </c>
      <c r="D311" s="17" t="n">
        <f aca="false">IFERROR(ROUNDUP($C311/3,0),"")</f>
        <v>2</v>
      </c>
      <c r="E311" s="11" t="str">
        <f aca="false">TRIM('수출입 실적(성질별_수입)'!C315)</f>
        <v>라. 비내구 소비재</v>
      </c>
      <c r="F311" s="18" t="n">
        <f aca="false">IFERROR(VALUE(SUBSTITUTE(TRIM('수출입 실적(성질별_수입)'!D315),",","")),"")</f>
        <v>132738.9</v>
      </c>
      <c r="G311" s="19" t="n">
        <f aca="false">IFERROR(VALUE(SUBSTITUTE(TRIM('수출입 실적(성질별_수입)'!E315),",","")),"")</f>
        <v>1989128</v>
      </c>
    </row>
    <row r="312" customFormat="false" ht="15" hidden="false" customHeight="true" outlineLevel="0" collapsed="false">
      <c r="A312" s="11" t="str">
        <f aca="false">TRIM('수출입 실적(성질별_수입)'!A316)</f>
        <v>2025.04</v>
      </c>
      <c r="B312" s="17" t="n">
        <f aca="false">IFERROR(VALUE(LEFT($A312,4)),"")</f>
        <v>2025</v>
      </c>
      <c r="C312" s="17" t="n">
        <f aca="false">IFERROR(VALUE(RIGHT($A312,2)),"")</f>
        <v>4</v>
      </c>
      <c r="D312" s="17" t="n">
        <f aca="false">IFERROR(ROUNDUP($C312/3,0),"")</f>
        <v>2</v>
      </c>
      <c r="E312" s="11" t="str">
        <f aca="false">TRIM('수출입 실적(성질별_수입)'!C316)</f>
        <v>2. 원자재</v>
      </c>
      <c r="F312" s="18" t="n">
        <f aca="false">IFERROR(VALUE(SUBSTITUTE(TRIM('수출입 실적(성질별_수입)'!D316),",","")),"")</f>
        <v>40843033.7</v>
      </c>
      <c r="G312" s="19" t="n">
        <f aca="false">IFERROR(VALUE(SUBSTITUTE(TRIM('수출입 실적(성질별_수입)'!E316),",","")),"")</f>
        <v>24616883</v>
      </c>
    </row>
    <row r="313" customFormat="false" ht="15" hidden="false" customHeight="true" outlineLevel="0" collapsed="false">
      <c r="A313" s="11" t="str">
        <f aca="false">TRIM('수출입 실적(성질별_수입)'!A317)</f>
        <v>2025.04</v>
      </c>
      <c r="B313" s="17" t="n">
        <f aca="false">IFERROR(VALUE(LEFT($A313,4)),"")</f>
        <v>2025</v>
      </c>
      <c r="C313" s="17" t="n">
        <f aca="false">IFERROR(VALUE(RIGHT($A313,2)),"")</f>
        <v>4</v>
      </c>
      <c r="D313" s="17" t="n">
        <f aca="false">IFERROR(ROUNDUP($C313/3,0),"")</f>
        <v>2</v>
      </c>
      <c r="E313" s="11" t="str">
        <f aca="false">TRIM('수출입 실적(성질별_수입)'!C317)</f>
        <v>가. 연 료</v>
      </c>
      <c r="F313" s="18" t="n">
        <f aca="false">IFERROR(VALUE(SUBSTITUTE(TRIM('수출입 실적(성질별_수입)'!D317),",","")),"")</f>
        <v>25801565.8</v>
      </c>
      <c r="G313" s="19" t="n">
        <f aca="false">IFERROR(VALUE(SUBSTITUTE(TRIM('수출입 실적(성질별_수입)'!E317),",","")),"")</f>
        <v>11796678</v>
      </c>
    </row>
    <row r="314" customFormat="false" ht="15" hidden="false" customHeight="true" outlineLevel="0" collapsed="false">
      <c r="A314" s="11" t="str">
        <f aca="false">TRIM('수출입 실적(성질별_수입)'!A318)</f>
        <v>2025.04</v>
      </c>
      <c r="B314" s="17" t="n">
        <f aca="false">IFERROR(VALUE(LEFT($A314,4)),"")</f>
        <v>2025</v>
      </c>
      <c r="C314" s="17" t="n">
        <f aca="false">IFERROR(VALUE(RIGHT($A314,2)),"")</f>
        <v>4</v>
      </c>
      <c r="D314" s="17" t="n">
        <f aca="false">IFERROR(ROUNDUP($C314/3,0),"")</f>
        <v>2</v>
      </c>
      <c r="E314" s="11" t="str">
        <f aca="false">TRIM('수출입 실적(성질별_수입)'!C318)</f>
        <v>나. 광 물</v>
      </c>
      <c r="F314" s="18" t="n">
        <f aca="false">IFERROR(VALUE(SUBSTITUTE(TRIM('수출입 실적(성질별_수입)'!D318),",","")),"")</f>
        <v>9035011.2</v>
      </c>
      <c r="G314" s="19" t="n">
        <f aca="false">IFERROR(VALUE(SUBSTITUTE(TRIM('수출입 실적(성질별_수입)'!E318),",","")),"")</f>
        <v>2440364</v>
      </c>
    </row>
    <row r="315" customFormat="false" ht="15" hidden="false" customHeight="true" outlineLevel="0" collapsed="false">
      <c r="A315" s="11" t="str">
        <f aca="false">TRIM('수출입 실적(성질별_수입)'!A319)</f>
        <v>2025.04</v>
      </c>
      <c r="B315" s="17" t="n">
        <f aca="false">IFERROR(VALUE(LEFT($A315,4)),"")</f>
        <v>2025</v>
      </c>
      <c r="C315" s="17" t="n">
        <f aca="false">IFERROR(VALUE(RIGHT($A315,2)),"")</f>
        <v>4</v>
      </c>
      <c r="D315" s="17" t="n">
        <f aca="false">IFERROR(ROUNDUP($C315/3,0),"")</f>
        <v>2</v>
      </c>
      <c r="E315" s="11" t="str">
        <f aca="false">TRIM('수출입 실적(성질별_수입)'!C319)</f>
        <v>다. 경공업 원료</v>
      </c>
      <c r="F315" s="18" t="n">
        <f aca="false">IFERROR(VALUE(SUBSTITUTE(TRIM('수출입 실적(성질별_수입)'!D319),",","")),"")</f>
        <v>1292534</v>
      </c>
      <c r="G315" s="19" t="n">
        <f aca="false">IFERROR(VALUE(SUBSTITUTE(TRIM('수출입 실적(성질별_수입)'!E319),",","")),"")</f>
        <v>591656</v>
      </c>
    </row>
    <row r="316" customFormat="false" ht="15" hidden="false" customHeight="true" outlineLevel="0" collapsed="false">
      <c r="A316" s="11" t="str">
        <f aca="false">TRIM('수출입 실적(성질별_수입)'!A320)</f>
        <v>2025.04</v>
      </c>
      <c r="B316" s="17" t="n">
        <f aca="false">IFERROR(VALUE(LEFT($A316,4)),"")</f>
        <v>2025</v>
      </c>
      <c r="C316" s="17" t="n">
        <f aca="false">IFERROR(VALUE(RIGHT($A316,2)),"")</f>
        <v>4</v>
      </c>
      <c r="D316" s="17" t="n">
        <f aca="false">IFERROR(ROUNDUP($C316/3,0),"")</f>
        <v>2</v>
      </c>
      <c r="E316" s="11" t="str">
        <f aca="false">TRIM('수출입 실적(성질별_수입)'!C320)</f>
        <v>라. 유 지</v>
      </c>
      <c r="F316" s="18" t="n">
        <f aca="false">IFERROR(VALUE(SUBSTITUTE(TRIM('수출입 실적(성질별_수입)'!D320),",","")),"")</f>
        <v>176169</v>
      </c>
      <c r="G316" s="19" t="n">
        <f aca="false">IFERROR(VALUE(SUBSTITUTE(TRIM('수출입 실적(성질별_수입)'!E320),",","")),"")</f>
        <v>243955</v>
      </c>
    </row>
    <row r="317" customFormat="false" ht="15" hidden="false" customHeight="true" outlineLevel="0" collapsed="false">
      <c r="A317" s="11" t="str">
        <f aca="false">TRIM('수출입 실적(성질별_수입)'!A321)</f>
        <v>2025.04</v>
      </c>
      <c r="B317" s="17" t="n">
        <f aca="false">IFERROR(VALUE(LEFT($A317,4)),"")</f>
        <v>2025</v>
      </c>
      <c r="C317" s="17" t="n">
        <f aca="false">IFERROR(VALUE(RIGHT($A317,2)),"")</f>
        <v>4</v>
      </c>
      <c r="D317" s="17" t="n">
        <f aca="false">IFERROR(ROUNDUP($C317/3,0),"")</f>
        <v>2</v>
      </c>
      <c r="E317" s="11" t="str">
        <f aca="false">TRIM('수출입 실적(성질별_수입)'!C321)</f>
        <v>마. 섬유류</v>
      </c>
      <c r="F317" s="18" t="n">
        <f aca="false">IFERROR(VALUE(SUBSTITUTE(TRIM('수출입 실적(성질별_수입)'!D321),",","")),"")</f>
        <v>114105.6</v>
      </c>
      <c r="G317" s="19" t="n">
        <f aca="false">IFERROR(VALUE(SUBSTITUTE(TRIM('수출입 실적(성질별_수입)'!E321),",","")),"")</f>
        <v>340662</v>
      </c>
    </row>
    <row r="318" customFormat="false" ht="15" hidden="false" customHeight="true" outlineLevel="0" collapsed="false">
      <c r="A318" s="11" t="str">
        <f aca="false">TRIM('수출입 실적(성질별_수입)'!A322)</f>
        <v>2025.04</v>
      </c>
      <c r="B318" s="17" t="n">
        <f aca="false">IFERROR(VALUE(LEFT($A318,4)),"")</f>
        <v>2025</v>
      </c>
      <c r="C318" s="17" t="n">
        <f aca="false">IFERROR(VALUE(RIGHT($A318,2)),"")</f>
        <v>4</v>
      </c>
      <c r="D318" s="17" t="n">
        <f aca="false">IFERROR(ROUNDUP($C318/3,0),"")</f>
        <v>2</v>
      </c>
      <c r="E318" s="11" t="str">
        <f aca="false">TRIM('수출입 실적(성질별_수입)'!C322)</f>
        <v>바. 화공품</v>
      </c>
      <c r="F318" s="18" t="n">
        <f aca="false">IFERROR(VALUE(SUBSTITUTE(TRIM('수출입 실적(성질별_수입)'!D322),",","")),"")</f>
        <v>1782241.5</v>
      </c>
      <c r="G318" s="19" t="n">
        <f aca="false">IFERROR(VALUE(SUBSTITUTE(TRIM('수출입 실적(성질별_수입)'!E322),",","")),"")</f>
        <v>4701164</v>
      </c>
    </row>
    <row r="319" customFormat="false" ht="15" hidden="false" customHeight="true" outlineLevel="0" collapsed="false">
      <c r="A319" s="11" t="str">
        <f aca="false">TRIM('수출입 실적(성질별_수입)'!A323)</f>
        <v>2025.04</v>
      </c>
      <c r="B319" s="17" t="n">
        <f aca="false">IFERROR(VALUE(LEFT($A319,4)),"")</f>
        <v>2025</v>
      </c>
      <c r="C319" s="17" t="n">
        <f aca="false">IFERROR(VALUE(RIGHT($A319,2)),"")</f>
        <v>4</v>
      </c>
      <c r="D319" s="17" t="n">
        <f aca="false">IFERROR(ROUNDUP($C319/3,0),"")</f>
        <v>2</v>
      </c>
      <c r="E319" s="11" t="str">
        <f aca="false">TRIM('수출입 실적(성질별_수입)'!C323)</f>
        <v>사. 철강재</v>
      </c>
      <c r="F319" s="18" t="n">
        <f aca="false">IFERROR(VALUE(SUBSTITUTE(TRIM('수출입 실적(성질별_수입)'!D323),",","")),"")</f>
        <v>1496610.8</v>
      </c>
      <c r="G319" s="19" t="n">
        <f aca="false">IFERROR(VALUE(SUBSTITUTE(TRIM('수출입 실적(성질별_수입)'!E323),",","")),"")</f>
        <v>1624400</v>
      </c>
    </row>
    <row r="320" customFormat="false" ht="15" hidden="false" customHeight="true" outlineLevel="0" collapsed="false">
      <c r="A320" s="11" t="str">
        <f aca="false">TRIM('수출입 실적(성질별_수입)'!A324)</f>
        <v>2025.04</v>
      </c>
      <c r="B320" s="17" t="n">
        <f aca="false">IFERROR(VALUE(LEFT($A320,4)),"")</f>
        <v>2025</v>
      </c>
      <c r="C320" s="17" t="n">
        <f aca="false">IFERROR(VALUE(RIGHT($A320,2)),"")</f>
        <v>4</v>
      </c>
      <c r="D320" s="17" t="n">
        <f aca="false">IFERROR(ROUNDUP($C320/3,0),"")</f>
        <v>2</v>
      </c>
      <c r="E320" s="11" t="str">
        <f aca="false">TRIM('수출입 실적(성질별_수입)'!C324)</f>
        <v>아. 비철금속</v>
      </c>
      <c r="F320" s="18" t="n">
        <f aca="false">IFERROR(VALUE(SUBSTITUTE(TRIM('수출입 실적(성질별_수입)'!D324),",","")),"")</f>
        <v>280420.4</v>
      </c>
      <c r="G320" s="19" t="n">
        <f aca="false">IFERROR(VALUE(SUBSTITUTE(TRIM('수출입 실적(성질별_수입)'!E324),",","")),"")</f>
        <v>1490383</v>
      </c>
    </row>
    <row r="321" customFormat="false" ht="15" hidden="false" customHeight="true" outlineLevel="0" collapsed="false">
      <c r="A321" s="11" t="str">
        <f aca="false">TRIM('수출입 실적(성질별_수입)'!A325)</f>
        <v>2025.04</v>
      </c>
      <c r="B321" s="17" t="n">
        <f aca="false">IFERROR(VALUE(LEFT($A321,4)),"")</f>
        <v>2025</v>
      </c>
      <c r="C321" s="17" t="n">
        <f aca="false">IFERROR(VALUE(RIGHT($A321,2)),"")</f>
        <v>4</v>
      </c>
      <c r="D321" s="17" t="n">
        <f aca="false">IFERROR(ROUNDUP($C321/3,0),"")</f>
        <v>2</v>
      </c>
      <c r="E321" s="11" t="str">
        <f aca="false">TRIM('수출입 실적(성질별_수입)'!C325)</f>
        <v>자. 기 타</v>
      </c>
      <c r="F321" s="18" t="n">
        <f aca="false">IFERROR(VALUE(SUBSTITUTE(TRIM('수출입 실적(성질별_수입)'!D325),",","")),"")</f>
        <v>864375.4</v>
      </c>
      <c r="G321" s="19" t="n">
        <f aca="false">IFERROR(VALUE(SUBSTITUTE(TRIM('수출입 실적(성질별_수입)'!E325),",","")),"")</f>
        <v>1387620</v>
      </c>
    </row>
    <row r="322" customFormat="false" ht="15" hidden="false" customHeight="true" outlineLevel="0" collapsed="false">
      <c r="A322" s="11" t="str">
        <f aca="false">TRIM('수출입 실적(성질별_수입)'!A326)</f>
        <v>2025.04</v>
      </c>
      <c r="B322" s="17" t="n">
        <f aca="false">IFERROR(VALUE(LEFT($A322,4)),"")</f>
        <v>2025</v>
      </c>
      <c r="C322" s="17" t="n">
        <f aca="false">IFERROR(VALUE(RIGHT($A322,2)),"")</f>
        <v>4</v>
      </c>
      <c r="D322" s="17" t="n">
        <f aca="false">IFERROR(ROUNDUP($C322/3,0),"")</f>
        <v>2</v>
      </c>
      <c r="E322" s="11" t="str">
        <f aca="false">TRIM('수출입 실적(성질별_수입)'!C326)</f>
        <v>3. 자본재</v>
      </c>
      <c r="F322" s="18" t="n">
        <f aca="false">IFERROR(VALUE(SUBSTITUTE(TRIM('수출입 실적(성질별_수입)'!D326),",","")),"")</f>
        <v>849912.6</v>
      </c>
      <c r="G322" s="19" t="n">
        <f aca="false">IFERROR(VALUE(SUBSTITUTE(TRIM('수출입 실적(성질별_수입)'!E326),",","")),"")</f>
        <v>19463751</v>
      </c>
    </row>
    <row r="323" customFormat="false" ht="15" hidden="false" customHeight="true" outlineLevel="0" collapsed="false">
      <c r="A323" s="11" t="str">
        <f aca="false">TRIM('수출입 실적(성질별_수입)'!A327)</f>
        <v>2025.04</v>
      </c>
      <c r="B323" s="17" t="n">
        <f aca="false">IFERROR(VALUE(LEFT($A323,4)),"")</f>
        <v>2025</v>
      </c>
      <c r="C323" s="17" t="n">
        <f aca="false">IFERROR(VALUE(RIGHT($A323,2)),"")</f>
        <v>4</v>
      </c>
      <c r="D323" s="17" t="n">
        <f aca="false">IFERROR(ROUNDUP($C323/3,0),"")</f>
        <v>2</v>
      </c>
      <c r="E323" s="11" t="str">
        <f aca="false">TRIM('수출입 실적(성질별_수입)'!C327)</f>
        <v>가. 기계류와 정밀기기</v>
      </c>
      <c r="F323" s="18" t="n">
        <f aca="false">IFERROR(VALUE(SUBSTITUTE(TRIM('수출입 실적(성질별_수입)'!D327),",","")),"")</f>
        <v>208714.1</v>
      </c>
      <c r="G323" s="19" t="n">
        <f aca="false">IFERROR(VALUE(SUBSTITUTE(TRIM('수출입 실적(성질별_수입)'!E327),",","")),"")</f>
        <v>6254302</v>
      </c>
    </row>
    <row r="324" customFormat="false" ht="15" hidden="false" customHeight="true" outlineLevel="0" collapsed="false">
      <c r="A324" s="11" t="str">
        <f aca="false">TRIM('수출입 실적(성질별_수입)'!A328)</f>
        <v>2025.04</v>
      </c>
      <c r="B324" s="17" t="n">
        <f aca="false">IFERROR(VALUE(LEFT($A324,4)),"")</f>
        <v>2025</v>
      </c>
      <c r="C324" s="17" t="n">
        <f aca="false">IFERROR(VALUE(RIGHT($A324,2)),"")</f>
        <v>4</v>
      </c>
      <c r="D324" s="17" t="n">
        <f aca="false">IFERROR(ROUNDUP($C324/3,0),"")</f>
        <v>2</v>
      </c>
      <c r="E324" s="11" t="str">
        <f aca="false">TRIM('수출입 실적(성질별_수입)'!C328)</f>
        <v>나. 전기·전자기기</v>
      </c>
      <c r="F324" s="18" t="n">
        <f aca="false">IFERROR(VALUE(SUBSTITUTE(TRIM('수출입 실적(성질별_수입)'!D328),",","")),"")</f>
        <v>201555.5</v>
      </c>
      <c r="G324" s="19" t="n">
        <f aca="false">IFERROR(VALUE(SUBSTITUTE(TRIM('수출입 실적(성질별_수입)'!E328),",","")),"")</f>
        <v>11451922</v>
      </c>
    </row>
    <row r="325" customFormat="false" ht="15" hidden="false" customHeight="true" outlineLevel="0" collapsed="false">
      <c r="A325" s="11" t="str">
        <f aca="false">TRIM('수출입 실적(성질별_수입)'!A329)</f>
        <v>2025.04</v>
      </c>
      <c r="B325" s="17" t="n">
        <f aca="false">IFERROR(VALUE(LEFT($A325,4)),"")</f>
        <v>2025</v>
      </c>
      <c r="C325" s="17" t="n">
        <f aca="false">IFERROR(VALUE(RIGHT($A325,2)),"")</f>
        <v>4</v>
      </c>
      <c r="D325" s="17" t="n">
        <f aca="false">IFERROR(ROUNDUP($C325/3,0),"")</f>
        <v>2</v>
      </c>
      <c r="E325" s="11" t="str">
        <f aca="false">TRIM('수출입 실적(성질별_수입)'!C329)</f>
        <v>다. 수송장비</v>
      </c>
      <c r="F325" s="18" t="n">
        <f aca="false">IFERROR(VALUE(SUBSTITUTE(TRIM('수출입 실적(성질별_수입)'!D329),",","")),"")</f>
        <v>422321.5</v>
      </c>
      <c r="G325" s="19" t="n">
        <f aca="false">IFERROR(VALUE(SUBSTITUTE(TRIM('수출입 실적(성질별_수입)'!E329),",","")),"")</f>
        <v>1520810</v>
      </c>
    </row>
    <row r="326" customFormat="false" ht="15" hidden="false" customHeight="true" outlineLevel="0" collapsed="false">
      <c r="A326" s="11" t="str">
        <f aca="false">TRIM('수출입 실적(성질별_수입)'!A330)</f>
        <v>2025.04</v>
      </c>
      <c r="B326" s="17" t="n">
        <f aca="false">IFERROR(VALUE(LEFT($A326,4)),"")</f>
        <v>2025</v>
      </c>
      <c r="C326" s="17" t="n">
        <f aca="false">IFERROR(VALUE(RIGHT($A326,2)),"")</f>
        <v>4</v>
      </c>
      <c r="D326" s="17" t="n">
        <f aca="false">IFERROR(ROUNDUP($C326/3,0),"")</f>
        <v>2</v>
      </c>
      <c r="E326" s="11" t="str">
        <f aca="false">TRIM('수출입 실적(성질별_수입)'!C330)</f>
        <v>라. 기 타</v>
      </c>
      <c r="F326" s="18" t="n">
        <f aca="false">IFERROR(VALUE(SUBSTITUTE(TRIM('수출입 실적(성질별_수입)'!D330),",","")),"")</f>
        <v>17321.5</v>
      </c>
      <c r="G326" s="19" t="n">
        <f aca="false">IFERROR(VALUE(SUBSTITUTE(TRIM('수출입 실적(성질별_수입)'!E330),",","")),"")</f>
        <v>236718</v>
      </c>
    </row>
    <row r="327" customFormat="false" ht="15" hidden="false" customHeight="true" outlineLevel="0" collapsed="false">
      <c r="A327" s="11" t="str">
        <f aca="false">TRIM('수출입 실적(성질별_수입)'!A331)</f>
        <v>2025.05</v>
      </c>
      <c r="B327" s="17" t="n">
        <f aca="false">IFERROR(VALUE(LEFT($A327,4)),"")</f>
        <v>2025</v>
      </c>
      <c r="C327" s="17" t="n">
        <f aca="false">IFERROR(VALUE(RIGHT($A327,2)),"")</f>
        <v>5</v>
      </c>
      <c r="D327" s="17" t="n">
        <f aca="false">IFERROR(ROUNDUP($C327/3,0),"")</f>
        <v>2</v>
      </c>
      <c r="E327" s="11" t="str">
        <f aca="false">TRIM('수출입 실적(성질별_수입)'!C331)</f>
        <v>1. 소비재</v>
      </c>
      <c r="F327" s="18" t="n">
        <f aca="false">IFERROR(VALUE(SUBSTITUTE(TRIM('수출입 실적(성질별_수입)'!D331),",","")),"")</f>
        <v>3398722.3</v>
      </c>
      <c r="G327" s="19" t="n">
        <f aca="false">IFERROR(VALUE(SUBSTITUTE(TRIM('수출입 실적(성질별_수입)'!E331),",","")),"")</f>
        <v>8683826</v>
      </c>
    </row>
    <row r="328" customFormat="false" ht="15" hidden="false" customHeight="true" outlineLevel="0" collapsed="false">
      <c r="A328" s="11" t="str">
        <f aca="false">TRIM('수출입 실적(성질별_수입)'!A332)</f>
        <v>2025.05</v>
      </c>
      <c r="B328" s="17" t="n">
        <f aca="false">IFERROR(VALUE(LEFT($A328,4)),"")</f>
        <v>2025</v>
      </c>
      <c r="C328" s="17" t="n">
        <f aca="false">IFERROR(VALUE(RIGHT($A328,2)),"")</f>
        <v>5</v>
      </c>
      <c r="D328" s="17" t="n">
        <f aca="false">IFERROR(ROUNDUP($C328/3,0),"")</f>
        <v>2</v>
      </c>
      <c r="E328" s="11" t="str">
        <f aca="false">TRIM('수출입 실적(성질별_수입)'!C332)</f>
        <v>가. 곡물</v>
      </c>
      <c r="F328" s="18" t="n">
        <f aca="false">IFERROR(VALUE(SUBSTITUTE(TRIM('수출입 실적(성질별_수입)'!D332),",","")),"")</f>
        <v>2207512.1</v>
      </c>
      <c r="G328" s="19" t="n">
        <f aca="false">IFERROR(VALUE(SUBSTITUTE(TRIM('수출입 실적(성질별_수입)'!E332),",","")),"")</f>
        <v>663010</v>
      </c>
    </row>
    <row r="329" customFormat="false" ht="15" hidden="false" customHeight="true" outlineLevel="0" collapsed="false">
      <c r="A329" s="11" t="str">
        <f aca="false">TRIM('수출입 실적(성질별_수입)'!A333)</f>
        <v>2025.05</v>
      </c>
      <c r="B329" s="17" t="n">
        <f aca="false">IFERROR(VALUE(LEFT($A329,4)),"")</f>
        <v>2025</v>
      </c>
      <c r="C329" s="17" t="n">
        <f aca="false">IFERROR(VALUE(RIGHT($A329,2)),"")</f>
        <v>5</v>
      </c>
      <c r="D329" s="17" t="n">
        <f aca="false">IFERROR(ROUNDUP($C329/3,0),"")</f>
        <v>2</v>
      </c>
      <c r="E329" s="11" t="str">
        <f aca="false">TRIM('수출입 실적(성질별_수입)'!C333)</f>
        <v>나. 직접소비재</v>
      </c>
      <c r="F329" s="18" t="n">
        <f aca="false">IFERROR(VALUE(SUBSTITUTE(TRIM('수출입 실적(성질별_수입)'!D333),",","")),"")</f>
        <v>775301.9</v>
      </c>
      <c r="G329" s="19" t="n">
        <f aca="false">IFERROR(VALUE(SUBSTITUTE(TRIM('수출입 실적(성질별_수입)'!E333),",","")),"")</f>
        <v>2481612</v>
      </c>
    </row>
    <row r="330" customFormat="false" ht="15" hidden="false" customHeight="true" outlineLevel="0" collapsed="false">
      <c r="A330" s="11" t="str">
        <f aca="false">TRIM('수출입 실적(성질별_수입)'!A334)</f>
        <v>2025.05</v>
      </c>
      <c r="B330" s="17" t="n">
        <f aca="false">IFERROR(VALUE(LEFT($A330,4)),"")</f>
        <v>2025</v>
      </c>
      <c r="C330" s="17" t="n">
        <f aca="false">IFERROR(VALUE(RIGHT($A330,2)),"")</f>
        <v>5</v>
      </c>
      <c r="D330" s="17" t="n">
        <f aca="false">IFERROR(ROUNDUP($C330/3,0),"")</f>
        <v>2</v>
      </c>
      <c r="E330" s="11" t="str">
        <f aca="false">TRIM('수출입 실적(성질별_수입)'!C334)</f>
        <v>다. 내구소비재</v>
      </c>
      <c r="F330" s="18" t="n">
        <f aca="false">IFERROR(VALUE(SUBSTITUTE(TRIM('수출입 실적(성질별_수입)'!D334),",","")),"")</f>
        <v>302002.7</v>
      </c>
      <c r="G330" s="19" t="n">
        <f aca="false">IFERROR(VALUE(SUBSTITUTE(TRIM('수출입 실적(성질별_수입)'!E334),",","")),"")</f>
        <v>3860979</v>
      </c>
    </row>
    <row r="331" customFormat="false" ht="15" hidden="false" customHeight="true" outlineLevel="0" collapsed="false">
      <c r="A331" s="11" t="str">
        <f aca="false">TRIM('수출입 실적(성질별_수입)'!A335)</f>
        <v>2025.05</v>
      </c>
      <c r="B331" s="17" t="n">
        <f aca="false">IFERROR(VALUE(LEFT($A331,4)),"")</f>
        <v>2025</v>
      </c>
      <c r="C331" s="17" t="n">
        <f aca="false">IFERROR(VALUE(RIGHT($A331,2)),"")</f>
        <v>5</v>
      </c>
      <c r="D331" s="17" t="n">
        <f aca="false">IFERROR(ROUNDUP($C331/3,0),"")</f>
        <v>2</v>
      </c>
      <c r="E331" s="11" t="str">
        <f aca="false">TRIM('수출입 실적(성질별_수입)'!C335)</f>
        <v>라. 비내구 소비재</v>
      </c>
      <c r="F331" s="18" t="n">
        <f aca="false">IFERROR(VALUE(SUBSTITUTE(TRIM('수출입 실적(성질별_수입)'!D335),",","")),"")</f>
        <v>113905.6</v>
      </c>
      <c r="G331" s="19" t="n">
        <f aca="false">IFERROR(VALUE(SUBSTITUTE(TRIM('수출입 실적(성질별_수입)'!E335),",","")),"")</f>
        <v>1678225</v>
      </c>
    </row>
    <row r="332" customFormat="false" ht="15" hidden="false" customHeight="true" outlineLevel="0" collapsed="false">
      <c r="A332" s="11" t="str">
        <f aca="false">TRIM('수출입 실적(성질별_수입)'!A336)</f>
        <v>2025.05</v>
      </c>
      <c r="B332" s="17" t="n">
        <f aca="false">IFERROR(VALUE(LEFT($A332,4)),"")</f>
        <v>2025</v>
      </c>
      <c r="C332" s="17" t="n">
        <f aca="false">IFERROR(VALUE(RIGHT($A332,2)),"")</f>
        <v>5</v>
      </c>
      <c r="D332" s="17" t="n">
        <f aca="false">IFERROR(ROUNDUP($C332/3,0),"")</f>
        <v>2</v>
      </c>
      <c r="E332" s="11" t="str">
        <f aca="false">TRIM('수출입 실적(성질별_수입)'!C336)</f>
        <v>2. 원자재</v>
      </c>
      <c r="F332" s="18" t="n">
        <f aca="false">IFERROR(VALUE(SUBSTITUTE(TRIM('수출입 실적(성질별_수입)'!D336),",","")),"")</f>
        <v>38877076.2</v>
      </c>
      <c r="G332" s="19" t="n">
        <f aca="false">IFERROR(VALUE(SUBSTITUTE(TRIM('수출입 실적(성질별_수입)'!E336),",","")),"")</f>
        <v>23319698</v>
      </c>
    </row>
    <row r="333" customFormat="false" ht="15" hidden="false" customHeight="true" outlineLevel="0" collapsed="false">
      <c r="A333" s="11" t="str">
        <f aca="false">TRIM('수출입 실적(성질별_수입)'!A337)</f>
        <v>2025.05</v>
      </c>
      <c r="B333" s="17" t="n">
        <f aca="false">IFERROR(VALUE(LEFT($A333,4)),"")</f>
        <v>2025</v>
      </c>
      <c r="C333" s="17" t="n">
        <f aca="false">IFERROR(VALUE(RIGHT($A333,2)),"")</f>
        <v>5</v>
      </c>
      <c r="D333" s="17" t="n">
        <f aca="false">IFERROR(ROUNDUP($C333/3,0),"")</f>
        <v>2</v>
      </c>
      <c r="E333" s="11" t="str">
        <f aca="false">TRIM('수출입 실적(성질별_수입)'!C337)</f>
        <v>가. 연 료</v>
      </c>
      <c r="F333" s="18" t="n">
        <f aca="false">IFERROR(VALUE(SUBSTITUTE(TRIM('수출입 실적(성질별_수입)'!D337),",","")),"")</f>
        <v>26667655.8</v>
      </c>
      <c r="G333" s="19" t="n">
        <f aca="false">IFERROR(VALUE(SUBSTITUTE(TRIM('수출입 실적(성질별_수입)'!E337),",","")),"")</f>
        <v>11659316</v>
      </c>
    </row>
    <row r="334" customFormat="false" ht="15" hidden="false" customHeight="true" outlineLevel="0" collapsed="false">
      <c r="A334" s="11" t="str">
        <f aca="false">TRIM('수출입 실적(성질별_수입)'!A338)</f>
        <v>2025.05</v>
      </c>
      <c r="B334" s="17" t="n">
        <f aca="false">IFERROR(VALUE(LEFT($A334,4)),"")</f>
        <v>2025</v>
      </c>
      <c r="C334" s="17" t="n">
        <f aca="false">IFERROR(VALUE(RIGHT($A334,2)),"")</f>
        <v>5</v>
      </c>
      <c r="D334" s="17" t="n">
        <f aca="false">IFERROR(ROUNDUP($C334/3,0),"")</f>
        <v>2</v>
      </c>
      <c r="E334" s="11" t="str">
        <f aca="false">TRIM('수출입 실적(성질별_수입)'!C338)</f>
        <v>나. 광 물</v>
      </c>
      <c r="F334" s="18" t="n">
        <f aca="false">IFERROR(VALUE(SUBSTITUTE(TRIM('수출입 실적(성질별_수입)'!D338),",","")),"")</f>
        <v>6446090.3</v>
      </c>
      <c r="G334" s="19" t="n">
        <f aca="false">IFERROR(VALUE(SUBSTITUTE(TRIM('수출입 실적(성질별_수입)'!E338),",","")),"")</f>
        <v>2015017</v>
      </c>
    </row>
    <row r="335" customFormat="false" ht="15" hidden="false" customHeight="true" outlineLevel="0" collapsed="false">
      <c r="A335" s="11" t="str">
        <f aca="false">TRIM('수출입 실적(성질별_수입)'!A339)</f>
        <v>2025.05</v>
      </c>
      <c r="B335" s="17" t="n">
        <f aca="false">IFERROR(VALUE(LEFT($A335,4)),"")</f>
        <v>2025</v>
      </c>
      <c r="C335" s="17" t="n">
        <f aca="false">IFERROR(VALUE(RIGHT($A335,2)),"")</f>
        <v>5</v>
      </c>
      <c r="D335" s="17" t="n">
        <f aca="false">IFERROR(ROUNDUP($C335/3,0),"")</f>
        <v>2</v>
      </c>
      <c r="E335" s="11" t="str">
        <f aca="false">TRIM('수출입 실적(성질별_수입)'!C339)</f>
        <v>다. 경공업 원료</v>
      </c>
      <c r="F335" s="18" t="n">
        <f aca="false">IFERROR(VALUE(SUBSTITUTE(TRIM('수출입 실적(성질별_수입)'!D339),",","")),"")</f>
        <v>1187903.2</v>
      </c>
      <c r="G335" s="19" t="n">
        <f aca="false">IFERROR(VALUE(SUBSTITUTE(TRIM('수출입 실적(성질별_수입)'!E339),",","")),"")</f>
        <v>536423</v>
      </c>
    </row>
    <row r="336" customFormat="false" ht="15" hidden="false" customHeight="true" outlineLevel="0" collapsed="false">
      <c r="A336" s="11" t="str">
        <f aca="false">TRIM('수출입 실적(성질별_수입)'!A340)</f>
        <v>2025.05</v>
      </c>
      <c r="B336" s="17" t="n">
        <f aca="false">IFERROR(VALUE(LEFT($A336,4)),"")</f>
        <v>2025</v>
      </c>
      <c r="C336" s="17" t="n">
        <f aca="false">IFERROR(VALUE(RIGHT($A336,2)),"")</f>
        <v>5</v>
      </c>
      <c r="D336" s="17" t="n">
        <f aca="false">IFERROR(ROUNDUP($C336/3,0),"")</f>
        <v>2</v>
      </c>
      <c r="E336" s="11" t="str">
        <f aca="false">TRIM('수출입 실적(성질별_수입)'!C340)</f>
        <v>라. 유 지</v>
      </c>
      <c r="F336" s="18" t="n">
        <f aca="false">IFERROR(VALUE(SUBSTITUTE(TRIM('수출입 실적(성질별_수입)'!D340),",","")),"")</f>
        <v>161094.2</v>
      </c>
      <c r="G336" s="19" t="n">
        <f aca="false">IFERROR(VALUE(SUBSTITUTE(TRIM('수출입 실적(성질별_수입)'!E340),",","")),"")</f>
        <v>221117</v>
      </c>
    </row>
    <row r="337" customFormat="false" ht="15" hidden="false" customHeight="true" outlineLevel="0" collapsed="false">
      <c r="A337" s="11" t="str">
        <f aca="false">TRIM('수출입 실적(성질별_수입)'!A341)</f>
        <v>2025.05</v>
      </c>
      <c r="B337" s="17" t="n">
        <f aca="false">IFERROR(VALUE(LEFT($A337,4)),"")</f>
        <v>2025</v>
      </c>
      <c r="C337" s="17" t="n">
        <f aca="false">IFERROR(VALUE(RIGHT($A337,2)),"")</f>
        <v>5</v>
      </c>
      <c r="D337" s="17" t="n">
        <f aca="false">IFERROR(ROUNDUP($C337/3,0),"")</f>
        <v>2</v>
      </c>
      <c r="E337" s="11" t="str">
        <f aca="false">TRIM('수출입 실적(성질별_수입)'!C341)</f>
        <v>마. 섬유류</v>
      </c>
      <c r="F337" s="18" t="n">
        <f aca="false">IFERROR(VALUE(SUBSTITUTE(TRIM('수출입 실적(성질별_수입)'!D341),",","")),"")</f>
        <v>102108</v>
      </c>
      <c r="G337" s="19" t="n">
        <f aca="false">IFERROR(VALUE(SUBSTITUTE(TRIM('수출입 실적(성질별_수입)'!E341),",","")),"")</f>
        <v>309931</v>
      </c>
    </row>
    <row r="338" customFormat="false" ht="15" hidden="false" customHeight="true" outlineLevel="0" collapsed="false">
      <c r="A338" s="11" t="str">
        <f aca="false">TRIM('수출입 실적(성질별_수입)'!A342)</f>
        <v>2025.05</v>
      </c>
      <c r="B338" s="17" t="n">
        <f aca="false">IFERROR(VALUE(LEFT($A338,4)),"")</f>
        <v>2025</v>
      </c>
      <c r="C338" s="17" t="n">
        <f aca="false">IFERROR(VALUE(RIGHT($A338,2)),"")</f>
        <v>5</v>
      </c>
      <c r="D338" s="17" t="n">
        <f aca="false">IFERROR(ROUNDUP($C338/3,0),"")</f>
        <v>2</v>
      </c>
      <c r="E338" s="11" t="str">
        <f aca="false">TRIM('수출입 실적(성질별_수입)'!C342)</f>
        <v>바. 화공품</v>
      </c>
      <c r="F338" s="18" t="n">
        <f aca="false">IFERROR(VALUE(SUBSTITUTE(TRIM('수출입 실적(성질별_수입)'!D342),",","")),"")</f>
        <v>1842835.3</v>
      </c>
      <c r="G338" s="19" t="n">
        <f aca="false">IFERROR(VALUE(SUBSTITUTE(TRIM('수출입 실적(성질별_수입)'!E342),",","")),"")</f>
        <v>4363947</v>
      </c>
    </row>
    <row r="339" customFormat="false" ht="15" hidden="false" customHeight="true" outlineLevel="0" collapsed="false">
      <c r="A339" s="11" t="str">
        <f aca="false">TRIM('수출입 실적(성질별_수입)'!A343)</f>
        <v>2025.05</v>
      </c>
      <c r="B339" s="17" t="n">
        <f aca="false">IFERROR(VALUE(LEFT($A339,4)),"")</f>
        <v>2025</v>
      </c>
      <c r="C339" s="17" t="n">
        <f aca="false">IFERROR(VALUE(RIGHT($A339,2)),"")</f>
        <v>5</v>
      </c>
      <c r="D339" s="17" t="n">
        <f aca="false">IFERROR(ROUNDUP($C339/3,0),"")</f>
        <v>2</v>
      </c>
      <c r="E339" s="11" t="str">
        <f aca="false">TRIM('수출입 실적(성질별_수입)'!C343)</f>
        <v>사. 철강재</v>
      </c>
      <c r="F339" s="18" t="n">
        <f aca="false">IFERROR(VALUE(SUBSTITUTE(TRIM('수출입 실적(성질별_수입)'!D343),",","")),"")</f>
        <v>1384573.7</v>
      </c>
      <c r="G339" s="19" t="n">
        <f aca="false">IFERROR(VALUE(SUBSTITUTE(TRIM('수출입 실적(성질별_수입)'!E343),",","")),"")</f>
        <v>1508266</v>
      </c>
    </row>
    <row r="340" customFormat="false" ht="15" hidden="false" customHeight="true" outlineLevel="0" collapsed="false">
      <c r="A340" s="11" t="str">
        <f aca="false">TRIM('수출입 실적(성질별_수입)'!A344)</f>
        <v>2025.05</v>
      </c>
      <c r="B340" s="17" t="n">
        <f aca="false">IFERROR(VALUE(LEFT($A340,4)),"")</f>
        <v>2025</v>
      </c>
      <c r="C340" s="17" t="n">
        <f aca="false">IFERROR(VALUE(RIGHT($A340,2)),"")</f>
        <v>5</v>
      </c>
      <c r="D340" s="17" t="n">
        <f aca="false">IFERROR(ROUNDUP($C340/3,0),"")</f>
        <v>2</v>
      </c>
      <c r="E340" s="11" t="str">
        <f aca="false">TRIM('수출입 실적(성질별_수입)'!C344)</f>
        <v>아. 비철금속</v>
      </c>
      <c r="F340" s="18" t="n">
        <f aca="false">IFERROR(VALUE(SUBSTITUTE(TRIM('수출입 실적(성질별_수입)'!D344),",","")),"")</f>
        <v>261182.4</v>
      </c>
      <c r="G340" s="19" t="n">
        <f aca="false">IFERROR(VALUE(SUBSTITUTE(TRIM('수출입 실적(성질별_수입)'!E344),",","")),"")</f>
        <v>1431735</v>
      </c>
    </row>
    <row r="341" customFormat="false" ht="15" hidden="false" customHeight="true" outlineLevel="0" collapsed="false">
      <c r="A341" s="11" t="str">
        <f aca="false">TRIM('수출입 실적(성질별_수입)'!A345)</f>
        <v>2025.05</v>
      </c>
      <c r="B341" s="17" t="n">
        <f aca="false">IFERROR(VALUE(LEFT($A341,4)),"")</f>
        <v>2025</v>
      </c>
      <c r="C341" s="17" t="n">
        <f aca="false">IFERROR(VALUE(RIGHT($A341,2)),"")</f>
        <v>5</v>
      </c>
      <c r="D341" s="17" t="n">
        <f aca="false">IFERROR(ROUNDUP($C341/3,0),"")</f>
        <v>2</v>
      </c>
      <c r="E341" s="11" t="str">
        <f aca="false">TRIM('수출입 실적(성질별_수입)'!C345)</f>
        <v>자. 기 타</v>
      </c>
      <c r="F341" s="18" t="n">
        <f aca="false">IFERROR(VALUE(SUBSTITUTE(TRIM('수출입 실적(성질별_수입)'!D345),",","")),"")</f>
        <v>823633.3</v>
      </c>
      <c r="G341" s="19" t="n">
        <f aca="false">IFERROR(VALUE(SUBSTITUTE(TRIM('수출입 실적(성질별_수입)'!E345),",","")),"")</f>
        <v>1273946</v>
      </c>
    </row>
    <row r="342" customFormat="false" ht="15" hidden="false" customHeight="true" outlineLevel="0" collapsed="false">
      <c r="A342" s="11" t="str">
        <f aca="false">TRIM('수출입 실적(성질별_수입)'!A346)</f>
        <v>2025.05</v>
      </c>
      <c r="B342" s="17" t="n">
        <f aca="false">IFERROR(VALUE(LEFT($A342,4)),"")</f>
        <v>2025</v>
      </c>
      <c r="C342" s="17" t="n">
        <f aca="false">IFERROR(VALUE(RIGHT($A342,2)),"")</f>
        <v>5</v>
      </c>
      <c r="D342" s="17" t="n">
        <f aca="false">IFERROR(ROUNDUP($C342/3,0),"")</f>
        <v>2</v>
      </c>
      <c r="E342" s="11" t="str">
        <f aca="false">TRIM('수출입 실적(성질별_수입)'!C346)</f>
        <v>3. 자본재</v>
      </c>
      <c r="F342" s="18" t="n">
        <f aca="false">IFERROR(VALUE(SUBSTITUTE(TRIM('수출입 실적(성질별_수입)'!D346),",","")),"")</f>
        <v>754675.4</v>
      </c>
      <c r="G342" s="19" t="n">
        <f aca="false">IFERROR(VALUE(SUBSTITUTE(TRIM('수출입 실적(성질별_수입)'!E346),",","")),"")</f>
        <v>18341591</v>
      </c>
    </row>
    <row r="343" customFormat="false" ht="15" hidden="false" customHeight="true" outlineLevel="0" collapsed="false">
      <c r="A343" s="11" t="str">
        <f aca="false">TRIM('수출입 실적(성질별_수입)'!A347)</f>
        <v>2025.05</v>
      </c>
      <c r="B343" s="17" t="n">
        <f aca="false">IFERROR(VALUE(LEFT($A343,4)),"")</f>
        <v>2025</v>
      </c>
      <c r="C343" s="17" t="n">
        <f aca="false">IFERROR(VALUE(RIGHT($A343,2)),"")</f>
        <v>5</v>
      </c>
      <c r="D343" s="17" t="n">
        <f aca="false">IFERROR(ROUNDUP($C343/3,0),"")</f>
        <v>2</v>
      </c>
      <c r="E343" s="11" t="str">
        <f aca="false">TRIM('수출입 실적(성질별_수입)'!C347)</f>
        <v>가. 기계류와 정밀기기</v>
      </c>
      <c r="F343" s="18" t="n">
        <f aca="false">IFERROR(VALUE(SUBSTITUTE(TRIM('수출입 실적(성질별_수입)'!D347),",","")),"")</f>
        <v>185124.5</v>
      </c>
      <c r="G343" s="19" t="n">
        <f aca="false">IFERROR(VALUE(SUBSTITUTE(TRIM('수출입 실적(성질별_수입)'!E347),",","")),"")</f>
        <v>5659076</v>
      </c>
    </row>
    <row r="344" customFormat="false" ht="15" hidden="false" customHeight="true" outlineLevel="0" collapsed="false">
      <c r="A344" s="11" t="str">
        <f aca="false">TRIM('수출입 실적(성질별_수입)'!A348)</f>
        <v>2025.05</v>
      </c>
      <c r="B344" s="17" t="n">
        <f aca="false">IFERROR(VALUE(LEFT($A344,4)),"")</f>
        <v>2025</v>
      </c>
      <c r="C344" s="17" t="n">
        <f aca="false">IFERROR(VALUE(RIGHT($A344,2)),"")</f>
        <v>5</v>
      </c>
      <c r="D344" s="17" t="n">
        <f aca="false">IFERROR(ROUNDUP($C344/3,0),"")</f>
        <v>2</v>
      </c>
      <c r="E344" s="11" t="str">
        <f aca="false">TRIM('수출입 실적(성질별_수입)'!C348)</f>
        <v>나. 전기·전자기기</v>
      </c>
      <c r="F344" s="18" t="n">
        <f aca="false">IFERROR(VALUE(SUBSTITUTE(TRIM('수출입 실적(성질별_수입)'!D348),",","")),"")</f>
        <v>176390.8</v>
      </c>
      <c r="G344" s="19" t="n">
        <f aca="false">IFERROR(VALUE(SUBSTITUTE(TRIM('수출입 실적(성질별_수입)'!E348),",","")),"")</f>
        <v>10949630</v>
      </c>
    </row>
    <row r="345" customFormat="false" ht="15" hidden="false" customHeight="true" outlineLevel="0" collapsed="false">
      <c r="A345" s="11" t="str">
        <f aca="false">TRIM('수출입 실적(성질별_수입)'!A349)</f>
        <v>2025.05</v>
      </c>
      <c r="B345" s="17" t="n">
        <f aca="false">IFERROR(VALUE(LEFT($A345,4)),"")</f>
        <v>2025</v>
      </c>
      <c r="C345" s="17" t="n">
        <f aca="false">IFERROR(VALUE(RIGHT($A345,2)),"")</f>
        <v>5</v>
      </c>
      <c r="D345" s="17" t="n">
        <f aca="false">IFERROR(ROUNDUP($C345/3,0),"")</f>
        <v>2</v>
      </c>
      <c r="E345" s="11" t="str">
        <f aca="false">TRIM('수출입 실적(성질별_수입)'!C349)</f>
        <v>다. 수송장비</v>
      </c>
      <c r="F345" s="18" t="n">
        <f aca="false">IFERROR(VALUE(SUBSTITUTE(TRIM('수출입 실적(성질별_수입)'!D349),",","")),"")</f>
        <v>374593.5</v>
      </c>
      <c r="G345" s="19" t="n">
        <f aca="false">IFERROR(VALUE(SUBSTITUTE(TRIM('수출입 실적(성질별_수입)'!E349),",","")),"")</f>
        <v>1475458</v>
      </c>
    </row>
    <row r="346" customFormat="false" ht="15" hidden="false" customHeight="true" outlineLevel="0" collapsed="false">
      <c r="A346" s="11" t="str">
        <f aca="false">TRIM('수출입 실적(성질별_수입)'!A350)</f>
        <v>2025.05</v>
      </c>
      <c r="B346" s="17" t="n">
        <f aca="false">IFERROR(VALUE(LEFT($A346,4)),"")</f>
        <v>2025</v>
      </c>
      <c r="C346" s="17" t="n">
        <f aca="false">IFERROR(VALUE(RIGHT($A346,2)),"")</f>
        <v>5</v>
      </c>
      <c r="D346" s="17" t="n">
        <f aca="false">IFERROR(ROUNDUP($C346/3,0),"")</f>
        <v>2</v>
      </c>
      <c r="E346" s="11" t="str">
        <f aca="false">TRIM('수출입 실적(성질별_수입)'!C350)</f>
        <v>라. 기 타</v>
      </c>
      <c r="F346" s="18" t="n">
        <f aca="false">IFERROR(VALUE(SUBSTITUTE(TRIM('수출입 실적(성질별_수입)'!D350),",","")),"")</f>
        <v>18566.5</v>
      </c>
      <c r="G346" s="19" t="n">
        <f aca="false">IFERROR(VALUE(SUBSTITUTE(TRIM('수출입 실적(성질별_수입)'!E350),",","")),"")</f>
        <v>257428</v>
      </c>
    </row>
    <row r="347" customFormat="false" ht="15" hidden="false" customHeight="true" outlineLevel="0" collapsed="false">
      <c r="A347" s="11" t="str">
        <f aca="false">TRIM('수출입 실적(성질별_수입)'!A351)</f>
        <v>2025.06</v>
      </c>
      <c r="B347" s="17" t="n">
        <f aca="false">IFERROR(VALUE(LEFT($A347,4)),"")</f>
        <v>2025</v>
      </c>
      <c r="C347" s="17" t="n">
        <f aca="false">IFERROR(VALUE(RIGHT($A347,2)),"")</f>
        <v>6</v>
      </c>
      <c r="D347" s="17" t="n">
        <f aca="false">IFERROR(ROUNDUP($C347/3,0),"")</f>
        <v>2</v>
      </c>
      <c r="E347" s="11" t="str">
        <f aca="false">TRIM('수출입 실적(성질별_수입)'!C351)</f>
        <v>1. 소비재</v>
      </c>
      <c r="F347" s="18" t="n">
        <f aca="false">IFERROR(VALUE(SUBSTITUTE(TRIM('수출입 실적(성질별_수입)'!D351),",","")),"")</f>
        <v>3373763.6</v>
      </c>
      <c r="G347" s="19" t="n">
        <f aca="false">IFERROR(VALUE(SUBSTITUTE(TRIM('수출입 실적(성질별_수입)'!E351),",","")),"")</f>
        <v>8488832</v>
      </c>
    </row>
    <row r="348" customFormat="false" ht="15" hidden="false" customHeight="true" outlineLevel="0" collapsed="false">
      <c r="A348" s="11" t="str">
        <f aca="false">TRIM('수출입 실적(성질별_수입)'!A352)</f>
        <v>2025.06</v>
      </c>
      <c r="B348" s="17" t="n">
        <f aca="false">IFERROR(VALUE(LEFT($A348,4)),"")</f>
        <v>2025</v>
      </c>
      <c r="C348" s="17" t="n">
        <f aca="false">IFERROR(VALUE(RIGHT($A348,2)),"")</f>
        <v>6</v>
      </c>
      <c r="D348" s="17" t="n">
        <f aca="false">IFERROR(ROUNDUP($C348/3,0),"")</f>
        <v>2</v>
      </c>
      <c r="E348" s="11" t="str">
        <f aca="false">TRIM('수출입 실적(성질별_수입)'!C352)</f>
        <v>가. 곡물</v>
      </c>
      <c r="F348" s="18" t="n">
        <f aca="false">IFERROR(VALUE(SUBSTITUTE(TRIM('수출입 실적(성질별_수입)'!D352),",","")),"")</f>
        <v>2220829.9</v>
      </c>
      <c r="G348" s="19" t="n">
        <f aca="false">IFERROR(VALUE(SUBSTITUTE(TRIM('수출입 실적(성질별_수입)'!E352),",","")),"")</f>
        <v>686135</v>
      </c>
    </row>
    <row r="349" customFormat="false" ht="15" hidden="false" customHeight="true" outlineLevel="0" collapsed="false">
      <c r="A349" s="11" t="str">
        <f aca="false">TRIM('수출입 실적(성질별_수입)'!A353)</f>
        <v>2025.06</v>
      </c>
      <c r="B349" s="17" t="n">
        <f aca="false">IFERROR(VALUE(LEFT($A349,4)),"")</f>
        <v>2025</v>
      </c>
      <c r="C349" s="17" t="n">
        <f aca="false">IFERROR(VALUE(RIGHT($A349,2)),"")</f>
        <v>6</v>
      </c>
      <c r="D349" s="17" t="n">
        <f aca="false">IFERROR(ROUNDUP($C349/3,0),"")</f>
        <v>2</v>
      </c>
      <c r="E349" s="11" t="str">
        <f aca="false">TRIM('수출입 실적(성질별_수입)'!C353)</f>
        <v>나. 직접소비재</v>
      </c>
      <c r="F349" s="18" t="n">
        <f aca="false">IFERROR(VALUE(SUBSTITUTE(TRIM('수출입 실적(성질별_수입)'!D353),",","")),"")</f>
        <v>756143</v>
      </c>
      <c r="G349" s="19" t="n">
        <f aca="false">IFERROR(VALUE(SUBSTITUTE(TRIM('수출입 실적(성질별_수입)'!E353),",","")),"")</f>
        <v>2449845</v>
      </c>
    </row>
    <row r="350" customFormat="false" ht="15" hidden="false" customHeight="true" outlineLevel="0" collapsed="false">
      <c r="A350" s="11" t="str">
        <f aca="false">TRIM('수출입 실적(성질별_수입)'!A354)</f>
        <v>2025.06</v>
      </c>
      <c r="B350" s="17" t="n">
        <f aca="false">IFERROR(VALUE(LEFT($A350,4)),"")</f>
        <v>2025</v>
      </c>
      <c r="C350" s="17" t="n">
        <f aca="false">IFERROR(VALUE(RIGHT($A350,2)),"")</f>
        <v>6</v>
      </c>
      <c r="D350" s="17" t="n">
        <f aca="false">IFERROR(ROUNDUP($C350/3,0),"")</f>
        <v>2</v>
      </c>
      <c r="E350" s="11" t="str">
        <f aca="false">TRIM('수출입 실적(성질별_수입)'!C354)</f>
        <v>다. 내구소비재</v>
      </c>
      <c r="F350" s="18" t="n">
        <f aca="false">IFERROR(VALUE(SUBSTITUTE(TRIM('수출입 실적(성질별_수입)'!D354),",","")),"")</f>
        <v>281135.8</v>
      </c>
      <c r="G350" s="19" t="n">
        <f aca="false">IFERROR(VALUE(SUBSTITUTE(TRIM('수출입 실적(성질별_수입)'!E354),",","")),"")</f>
        <v>3563716</v>
      </c>
    </row>
    <row r="351" customFormat="false" ht="15" hidden="false" customHeight="true" outlineLevel="0" collapsed="false">
      <c r="A351" s="11" t="str">
        <f aca="false">TRIM('수출입 실적(성질별_수입)'!A355)</f>
        <v>2025.06</v>
      </c>
      <c r="B351" s="17" t="n">
        <f aca="false">IFERROR(VALUE(LEFT($A351,4)),"")</f>
        <v>2025</v>
      </c>
      <c r="C351" s="17" t="n">
        <f aca="false">IFERROR(VALUE(RIGHT($A351,2)),"")</f>
        <v>6</v>
      </c>
      <c r="D351" s="17" t="n">
        <f aca="false">IFERROR(ROUNDUP($C351/3,0),"")</f>
        <v>2</v>
      </c>
      <c r="E351" s="11" t="str">
        <f aca="false">TRIM('수출입 실적(성질별_수입)'!C355)</f>
        <v>라. 비내구 소비재</v>
      </c>
      <c r="F351" s="18" t="n">
        <f aca="false">IFERROR(VALUE(SUBSTITUTE(TRIM('수출입 실적(성질별_수입)'!D355),",","")),"")</f>
        <v>115654.8</v>
      </c>
      <c r="G351" s="19" t="n">
        <f aca="false">IFERROR(VALUE(SUBSTITUTE(TRIM('수출입 실적(성질별_수입)'!E355),",","")),"")</f>
        <v>1789136</v>
      </c>
    </row>
    <row r="352" customFormat="false" ht="15" hidden="false" customHeight="true" outlineLevel="0" collapsed="false">
      <c r="A352" s="11" t="str">
        <f aca="false">TRIM('수출입 실적(성질별_수입)'!A356)</f>
        <v>2025.06</v>
      </c>
      <c r="B352" s="17" t="n">
        <f aca="false">IFERROR(VALUE(LEFT($A352,4)),"")</f>
        <v>2025</v>
      </c>
      <c r="C352" s="17" t="n">
        <f aca="false">IFERROR(VALUE(RIGHT($A352,2)),"")</f>
        <v>6</v>
      </c>
      <c r="D352" s="17" t="n">
        <f aca="false">IFERROR(ROUNDUP($C352/3,0),"")</f>
        <v>2</v>
      </c>
      <c r="E352" s="11" t="str">
        <f aca="false">TRIM('수출입 실적(성질별_수입)'!C356)</f>
        <v>2. 원자재</v>
      </c>
      <c r="F352" s="18" t="n">
        <f aca="false">IFERROR(VALUE(SUBSTITUTE(TRIM('수출입 실적(성질별_수입)'!D356),",","")),"")</f>
        <v>38435787.4</v>
      </c>
      <c r="G352" s="19" t="n">
        <f aca="false">IFERROR(VALUE(SUBSTITUTE(TRIM('수출입 실적(성질별_수입)'!E356),",","")),"")</f>
        <v>22509706</v>
      </c>
    </row>
    <row r="353" customFormat="false" ht="15" hidden="false" customHeight="true" outlineLevel="0" collapsed="false">
      <c r="A353" s="11" t="str">
        <f aca="false">TRIM('수출입 실적(성질별_수입)'!A357)</f>
        <v>2025.06</v>
      </c>
      <c r="B353" s="17" t="n">
        <f aca="false">IFERROR(VALUE(LEFT($A353,4)),"")</f>
        <v>2025</v>
      </c>
      <c r="C353" s="17" t="n">
        <f aca="false">IFERROR(VALUE(RIGHT($A353,2)),"")</f>
        <v>6</v>
      </c>
      <c r="D353" s="17" t="n">
        <f aca="false">IFERROR(ROUNDUP($C353/3,0),"")</f>
        <v>2</v>
      </c>
      <c r="E353" s="11" t="str">
        <f aca="false">TRIM('수출입 실적(성질별_수입)'!C357)</f>
        <v>가. 연 료</v>
      </c>
      <c r="F353" s="18" t="n">
        <f aca="false">IFERROR(VALUE(SUBSTITUTE(TRIM('수출입 실적(성질별_수입)'!D357),",","")),"")</f>
        <v>25044152.6</v>
      </c>
      <c r="G353" s="19" t="n">
        <f aca="false">IFERROR(VALUE(SUBSTITUTE(TRIM('수출입 실적(성질별_수입)'!E357),",","")),"")</f>
        <v>10103709</v>
      </c>
    </row>
    <row r="354" customFormat="false" ht="15" hidden="false" customHeight="true" outlineLevel="0" collapsed="false">
      <c r="A354" s="11" t="str">
        <f aca="false">TRIM('수출입 실적(성질별_수입)'!A358)</f>
        <v>2025.06</v>
      </c>
      <c r="B354" s="17" t="n">
        <f aca="false">IFERROR(VALUE(LEFT($A354,4)),"")</f>
        <v>2025</v>
      </c>
      <c r="C354" s="17" t="n">
        <f aca="false">IFERROR(VALUE(RIGHT($A354,2)),"")</f>
        <v>6</v>
      </c>
      <c r="D354" s="17" t="n">
        <f aca="false">IFERROR(ROUNDUP($C354/3,0),"")</f>
        <v>2</v>
      </c>
      <c r="E354" s="11" t="str">
        <f aca="false">TRIM('수출입 실적(성질별_수입)'!C358)</f>
        <v>나. 광 물</v>
      </c>
      <c r="F354" s="18" t="n">
        <f aca="false">IFERROR(VALUE(SUBSTITUTE(TRIM('수출입 실적(성질별_수입)'!D358),",","")),"")</f>
        <v>7998499.7</v>
      </c>
      <c r="G354" s="19" t="n">
        <f aca="false">IFERROR(VALUE(SUBSTITUTE(TRIM('수출입 실적(성질별_수입)'!E358),",","")),"")</f>
        <v>2684929</v>
      </c>
    </row>
    <row r="355" customFormat="false" ht="15" hidden="false" customHeight="true" outlineLevel="0" collapsed="false">
      <c r="A355" s="11" t="str">
        <f aca="false">TRIM('수출입 실적(성질별_수입)'!A359)</f>
        <v>2025.06</v>
      </c>
      <c r="B355" s="17" t="n">
        <f aca="false">IFERROR(VALUE(LEFT($A355,4)),"")</f>
        <v>2025</v>
      </c>
      <c r="C355" s="17" t="n">
        <f aca="false">IFERROR(VALUE(RIGHT($A355,2)),"")</f>
        <v>6</v>
      </c>
      <c r="D355" s="17" t="n">
        <f aca="false">IFERROR(ROUNDUP($C355/3,0),"")</f>
        <v>2</v>
      </c>
      <c r="E355" s="11" t="str">
        <f aca="false">TRIM('수출입 실적(성질별_수입)'!C359)</f>
        <v>다. 경공업 원료</v>
      </c>
      <c r="F355" s="18" t="n">
        <f aca="false">IFERROR(VALUE(SUBSTITUTE(TRIM('수출입 실적(성질별_수입)'!D359),",","")),"")</f>
        <v>1221324.5</v>
      </c>
      <c r="G355" s="19" t="n">
        <f aca="false">IFERROR(VALUE(SUBSTITUTE(TRIM('수출입 실적(성질별_수입)'!E359),",","")),"")</f>
        <v>536677</v>
      </c>
    </row>
    <row r="356" customFormat="false" ht="15" hidden="false" customHeight="true" outlineLevel="0" collapsed="false">
      <c r="A356" s="11" t="str">
        <f aca="false">TRIM('수출입 실적(성질별_수입)'!A360)</f>
        <v>2025.06</v>
      </c>
      <c r="B356" s="17" t="n">
        <f aca="false">IFERROR(VALUE(LEFT($A356,4)),"")</f>
        <v>2025</v>
      </c>
      <c r="C356" s="17" t="n">
        <f aca="false">IFERROR(VALUE(RIGHT($A356,2)),"")</f>
        <v>6</v>
      </c>
      <c r="D356" s="17" t="n">
        <f aca="false">IFERROR(ROUNDUP($C356/3,0),"")</f>
        <v>2</v>
      </c>
      <c r="E356" s="11" t="str">
        <f aca="false">TRIM('수출입 실적(성질별_수입)'!C360)</f>
        <v>라. 유 지</v>
      </c>
      <c r="F356" s="18" t="n">
        <f aca="false">IFERROR(VALUE(SUBSTITUTE(TRIM('수출입 실적(성질별_수입)'!D360),",","")),"")</f>
        <v>163060.3</v>
      </c>
      <c r="G356" s="19" t="n">
        <f aca="false">IFERROR(VALUE(SUBSTITUTE(TRIM('수출입 실적(성질별_수입)'!E360),",","")),"")</f>
        <v>219456</v>
      </c>
    </row>
    <row r="357" customFormat="false" ht="15" hidden="false" customHeight="true" outlineLevel="0" collapsed="false">
      <c r="A357" s="11" t="str">
        <f aca="false">TRIM('수출입 실적(성질별_수입)'!A361)</f>
        <v>2025.06</v>
      </c>
      <c r="B357" s="17" t="n">
        <f aca="false">IFERROR(VALUE(LEFT($A357,4)),"")</f>
        <v>2025</v>
      </c>
      <c r="C357" s="17" t="n">
        <f aca="false">IFERROR(VALUE(RIGHT($A357,2)),"")</f>
        <v>6</v>
      </c>
      <c r="D357" s="17" t="n">
        <f aca="false">IFERROR(ROUNDUP($C357/3,0),"")</f>
        <v>2</v>
      </c>
      <c r="E357" s="11" t="str">
        <f aca="false">TRIM('수출입 실적(성질별_수입)'!C361)</f>
        <v>마. 섬유류</v>
      </c>
      <c r="F357" s="18" t="n">
        <f aca="false">IFERROR(VALUE(SUBSTITUTE(TRIM('수출입 실적(성질별_수입)'!D361),",","")),"")</f>
        <v>97784.1</v>
      </c>
      <c r="G357" s="19" t="n">
        <f aca="false">IFERROR(VALUE(SUBSTITUTE(TRIM('수출입 실적(성질별_수입)'!E361),",","")),"")</f>
        <v>301660</v>
      </c>
    </row>
    <row r="358" customFormat="false" ht="15" hidden="false" customHeight="true" outlineLevel="0" collapsed="false">
      <c r="A358" s="11" t="str">
        <f aca="false">TRIM('수출입 실적(성질별_수입)'!A362)</f>
        <v>2025.06</v>
      </c>
      <c r="B358" s="17" t="n">
        <f aca="false">IFERROR(VALUE(LEFT($A358,4)),"")</f>
        <v>2025</v>
      </c>
      <c r="C358" s="17" t="n">
        <f aca="false">IFERROR(VALUE(RIGHT($A358,2)),"")</f>
        <v>6</v>
      </c>
      <c r="D358" s="17" t="n">
        <f aca="false">IFERROR(ROUNDUP($C358/3,0),"")</f>
        <v>2</v>
      </c>
      <c r="E358" s="11" t="str">
        <f aca="false">TRIM('수출입 실적(성질별_수입)'!C362)</f>
        <v>바. 화공품</v>
      </c>
      <c r="F358" s="18" t="n">
        <f aca="false">IFERROR(VALUE(SUBSTITUTE(TRIM('수출입 실적(성질별_수입)'!D362),",","")),"")</f>
        <v>1603510.7</v>
      </c>
      <c r="G358" s="19" t="n">
        <f aca="false">IFERROR(VALUE(SUBSTITUTE(TRIM('수출입 실적(성질별_수입)'!E362),",","")),"")</f>
        <v>4452289</v>
      </c>
    </row>
    <row r="359" customFormat="false" ht="15" hidden="false" customHeight="true" outlineLevel="0" collapsed="false">
      <c r="A359" s="11" t="str">
        <f aca="false">TRIM('수출입 실적(성질별_수입)'!A363)</f>
        <v>2025.06</v>
      </c>
      <c r="B359" s="17" t="n">
        <f aca="false">IFERROR(VALUE(LEFT($A359,4)),"")</f>
        <v>2025</v>
      </c>
      <c r="C359" s="17" t="n">
        <f aca="false">IFERROR(VALUE(RIGHT($A359,2)),"")</f>
        <v>6</v>
      </c>
      <c r="D359" s="17" t="n">
        <f aca="false">IFERROR(ROUNDUP($C359/3,0),"")</f>
        <v>2</v>
      </c>
      <c r="E359" s="11" t="str">
        <f aca="false">TRIM('수출입 실적(성질별_수입)'!C363)</f>
        <v>사. 철강재</v>
      </c>
      <c r="F359" s="18" t="n">
        <f aca="false">IFERROR(VALUE(SUBSTITUTE(TRIM('수출입 실적(성질별_수입)'!D363),",","")),"")</f>
        <v>1276396.6</v>
      </c>
      <c r="G359" s="19" t="n">
        <f aca="false">IFERROR(VALUE(SUBSTITUTE(TRIM('수출입 실적(성질별_수입)'!E363),",","")),"")</f>
        <v>1455944</v>
      </c>
    </row>
    <row r="360" customFormat="false" ht="15" hidden="false" customHeight="true" outlineLevel="0" collapsed="false">
      <c r="A360" s="11" t="str">
        <f aca="false">TRIM('수출입 실적(성질별_수입)'!A364)</f>
        <v>2025.06</v>
      </c>
      <c r="B360" s="17" t="n">
        <f aca="false">IFERROR(VALUE(LEFT($A360,4)),"")</f>
        <v>2025</v>
      </c>
      <c r="C360" s="17" t="n">
        <f aca="false">IFERROR(VALUE(RIGHT($A360,2)),"")</f>
        <v>6</v>
      </c>
      <c r="D360" s="17" t="n">
        <f aca="false">IFERROR(ROUNDUP($C360/3,0),"")</f>
        <v>2</v>
      </c>
      <c r="E360" s="11" t="str">
        <f aca="false">TRIM('수출입 실적(성질별_수입)'!C364)</f>
        <v>아. 비철금속</v>
      </c>
      <c r="F360" s="18" t="n">
        <f aca="false">IFERROR(VALUE(SUBSTITUTE(TRIM('수출입 실적(성질별_수입)'!D364),",","")),"")</f>
        <v>245798.7</v>
      </c>
      <c r="G360" s="19" t="n">
        <f aca="false">IFERROR(VALUE(SUBSTITUTE(TRIM('수출입 실적(성질별_수입)'!E364),",","")),"")</f>
        <v>1426853</v>
      </c>
    </row>
    <row r="361" customFormat="false" ht="15" hidden="false" customHeight="true" outlineLevel="0" collapsed="false">
      <c r="A361" s="11" t="str">
        <f aca="false">TRIM('수출입 실적(성질별_수입)'!A365)</f>
        <v>2025.06</v>
      </c>
      <c r="B361" s="17" t="n">
        <f aca="false">IFERROR(VALUE(LEFT($A361,4)),"")</f>
        <v>2025</v>
      </c>
      <c r="C361" s="17" t="n">
        <f aca="false">IFERROR(VALUE(RIGHT($A361,2)),"")</f>
        <v>6</v>
      </c>
      <c r="D361" s="17" t="n">
        <f aca="false">IFERROR(ROUNDUP($C361/3,0),"")</f>
        <v>2</v>
      </c>
      <c r="E361" s="11" t="str">
        <f aca="false">TRIM('수출입 실적(성질별_수입)'!C365)</f>
        <v>자. 기 타</v>
      </c>
      <c r="F361" s="18" t="n">
        <f aca="false">IFERROR(VALUE(SUBSTITUTE(TRIM('수출입 실적(성질별_수입)'!D365),",","")),"")</f>
        <v>785260.2</v>
      </c>
      <c r="G361" s="19" t="n">
        <f aca="false">IFERROR(VALUE(SUBSTITUTE(TRIM('수출입 실적(성질별_수입)'!E365),",","")),"")</f>
        <v>1328190</v>
      </c>
    </row>
    <row r="362" customFormat="false" ht="15" hidden="false" customHeight="true" outlineLevel="0" collapsed="false">
      <c r="A362" s="11" t="str">
        <f aca="false">TRIM('수출입 실적(성질별_수입)'!A366)</f>
        <v>2025.06</v>
      </c>
      <c r="B362" s="17" t="n">
        <f aca="false">IFERROR(VALUE(LEFT($A362,4)),"")</f>
        <v>2025</v>
      </c>
      <c r="C362" s="17" t="n">
        <f aca="false">IFERROR(VALUE(RIGHT($A362,2)),"")</f>
        <v>6</v>
      </c>
      <c r="D362" s="17" t="n">
        <f aca="false">IFERROR(ROUNDUP($C362/3,0),"")</f>
        <v>2</v>
      </c>
      <c r="E362" s="11" t="str">
        <f aca="false">TRIM('수출입 실적(성질별_수입)'!C366)</f>
        <v>3. 자본재</v>
      </c>
      <c r="F362" s="18" t="n">
        <f aca="false">IFERROR(VALUE(SUBSTITUTE(TRIM('수출입 실적(성질별_수입)'!D366),",","")),"")</f>
        <v>919334.3</v>
      </c>
      <c r="G362" s="19" t="n">
        <f aca="false">IFERROR(VALUE(SUBSTITUTE(TRIM('수출입 실적(성질별_수입)'!E366),",","")),"")</f>
        <v>19827208</v>
      </c>
    </row>
    <row r="363" customFormat="false" ht="15" hidden="false" customHeight="true" outlineLevel="0" collapsed="false">
      <c r="A363" s="11" t="str">
        <f aca="false">TRIM('수출입 실적(성질별_수입)'!A367)</f>
        <v>2025.06</v>
      </c>
      <c r="B363" s="17" t="n">
        <f aca="false">IFERROR(VALUE(LEFT($A363,4)),"")</f>
        <v>2025</v>
      </c>
      <c r="C363" s="17" t="n">
        <f aca="false">IFERROR(VALUE(RIGHT($A363,2)),"")</f>
        <v>6</v>
      </c>
      <c r="D363" s="17" t="n">
        <f aca="false">IFERROR(ROUNDUP($C363/3,0),"")</f>
        <v>2</v>
      </c>
      <c r="E363" s="11" t="str">
        <f aca="false">TRIM('수출입 실적(성질별_수입)'!C367)</f>
        <v>가. 기계류와 정밀기기</v>
      </c>
      <c r="F363" s="18" t="n">
        <f aca="false">IFERROR(VALUE(SUBSTITUTE(TRIM('수출입 실적(성질별_수입)'!D367),",","")),"")</f>
        <v>192295</v>
      </c>
      <c r="G363" s="19" t="n">
        <f aca="false">IFERROR(VALUE(SUBSTITUTE(TRIM('수출입 실적(성질별_수입)'!E367),",","")),"")</f>
        <v>6526829</v>
      </c>
    </row>
    <row r="364" customFormat="false" ht="15" hidden="false" customHeight="true" outlineLevel="0" collapsed="false">
      <c r="A364" s="11" t="str">
        <f aca="false">TRIM('수출입 실적(성질별_수입)'!A368)</f>
        <v>2025.06</v>
      </c>
      <c r="B364" s="17" t="n">
        <f aca="false">IFERROR(VALUE(LEFT($A364,4)),"")</f>
        <v>2025</v>
      </c>
      <c r="C364" s="17" t="n">
        <f aca="false">IFERROR(VALUE(RIGHT($A364,2)),"")</f>
        <v>6</v>
      </c>
      <c r="D364" s="17" t="n">
        <f aca="false">IFERROR(ROUNDUP($C364/3,0),"")</f>
        <v>2</v>
      </c>
      <c r="E364" s="11" t="str">
        <f aca="false">TRIM('수출입 실적(성질별_수입)'!C368)</f>
        <v>나. 전기·전자기기</v>
      </c>
      <c r="F364" s="18" t="n">
        <f aca="false">IFERROR(VALUE(SUBSTITUTE(TRIM('수출입 실적(성질별_수입)'!D368),",","")),"")</f>
        <v>182857</v>
      </c>
      <c r="G364" s="19" t="n">
        <f aca="false">IFERROR(VALUE(SUBSTITUTE(TRIM('수출입 실적(성질별_수입)'!E368),",","")),"")</f>
        <v>11630417</v>
      </c>
    </row>
    <row r="365" customFormat="false" ht="15" hidden="false" customHeight="true" outlineLevel="0" collapsed="false">
      <c r="A365" s="11" t="str">
        <f aca="false">TRIM('수출입 실적(성질별_수입)'!A369)</f>
        <v>2025.06</v>
      </c>
      <c r="B365" s="17" t="n">
        <f aca="false">IFERROR(VALUE(LEFT($A365,4)),"")</f>
        <v>2025</v>
      </c>
      <c r="C365" s="17" t="n">
        <f aca="false">IFERROR(VALUE(RIGHT($A365,2)),"")</f>
        <v>6</v>
      </c>
      <c r="D365" s="17" t="n">
        <f aca="false">IFERROR(ROUNDUP($C365/3,0),"")</f>
        <v>2</v>
      </c>
      <c r="E365" s="11" t="str">
        <f aca="false">TRIM('수출입 실적(성질별_수입)'!C369)</f>
        <v>다. 수송장비</v>
      </c>
      <c r="F365" s="18" t="n">
        <f aca="false">IFERROR(VALUE(SUBSTITUTE(TRIM('수출입 실적(성질별_수입)'!D369),",","")),"")</f>
        <v>526605.6</v>
      </c>
      <c r="G365" s="19" t="n">
        <f aca="false">IFERROR(VALUE(SUBSTITUTE(TRIM('수출입 실적(성질별_수입)'!E369),",","")),"")</f>
        <v>1416476</v>
      </c>
    </row>
    <row r="366" customFormat="false" ht="15" hidden="false" customHeight="true" outlineLevel="0" collapsed="false">
      <c r="A366" s="11" t="str">
        <f aca="false">TRIM('수출입 실적(성질별_수입)'!A370)</f>
        <v>2025.06</v>
      </c>
      <c r="B366" s="17" t="n">
        <f aca="false">IFERROR(VALUE(LEFT($A366,4)),"")</f>
        <v>2025</v>
      </c>
      <c r="C366" s="17" t="n">
        <f aca="false">IFERROR(VALUE(RIGHT($A366,2)),"")</f>
        <v>6</v>
      </c>
      <c r="D366" s="17" t="n">
        <f aca="false">IFERROR(ROUNDUP($C366/3,0),"")</f>
        <v>2</v>
      </c>
      <c r="E366" s="11" t="str">
        <f aca="false">TRIM('수출입 실적(성질별_수입)'!C370)</f>
        <v>라. 기 타</v>
      </c>
      <c r="F366" s="18" t="n">
        <f aca="false">IFERROR(VALUE(SUBSTITUTE(TRIM('수출입 실적(성질별_수입)'!D370),",","")),"")</f>
        <v>17576.8</v>
      </c>
      <c r="G366" s="19" t="n">
        <f aca="false">IFERROR(VALUE(SUBSTITUTE(TRIM('수출입 실적(성질별_수입)'!E370),",","")),"")</f>
        <v>253487</v>
      </c>
    </row>
    <row r="367" customFormat="false" ht="15" hidden="false" customHeight="true" outlineLevel="0" collapsed="false">
      <c r="A367" s="11" t="str">
        <f aca="false">TRIM('수출입 실적(성질별_수입)'!A371)</f>
        <v>2025.07</v>
      </c>
      <c r="B367" s="17" t="n">
        <f aca="false">IFERROR(VALUE(LEFT($A367,4)),"")</f>
        <v>2025</v>
      </c>
      <c r="C367" s="17" t="n">
        <f aca="false">IFERROR(VALUE(RIGHT($A367,2)),"")</f>
        <v>7</v>
      </c>
      <c r="D367" s="17" t="n">
        <f aca="false">IFERROR(ROUNDUP($C367/3,0),"")</f>
        <v>3</v>
      </c>
      <c r="E367" s="11" t="str">
        <f aca="false">TRIM('수출입 실적(성질별_수입)'!C371)</f>
        <v>1. 소비재</v>
      </c>
      <c r="F367" s="18" t="n">
        <f aca="false">IFERROR(VALUE(SUBSTITUTE(TRIM('수출입 실적(성질별_수입)'!D371),",","")),"")</f>
        <v>3237821.2</v>
      </c>
      <c r="G367" s="19" t="n">
        <f aca="false">IFERROR(VALUE(SUBSTITUTE(TRIM('수출입 실적(성질별_수입)'!E371),",","")),"")</f>
        <v>9240972</v>
      </c>
    </row>
    <row r="368" customFormat="false" ht="15" hidden="false" customHeight="true" outlineLevel="0" collapsed="false">
      <c r="A368" s="11" t="str">
        <f aca="false">TRIM('수출입 실적(성질별_수입)'!A372)</f>
        <v>2025.07</v>
      </c>
      <c r="B368" s="17" t="n">
        <f aca="false">IFERROR(VALUE(LEFT($A368,4)),"")</f>
        <v>2025</v>
      </c>
      <c r="C368" s="17" t="n">
        <f aca="false">IFERROR(VALUE(RIGHT($A368,2)),"")</f>
        <v>7</v>
      </c>
      <c r="D368" s="17" t="n">
        <f aca="false">IFERROR(ROUNDUP($C368/3,0),"")</f>
        <v>3</v>
      </c>
      <c r="E368" s="11" t="str">
        <f aca="false">TRIM('수출입 실적(성질별_수입)'!C372)</f>
        <v>가. 곡물</v>
      </c>
      <c r="F368" s="18" t="n">
        <f aca="false">IFERROR(VALUE(SUBSTITUTE(TRIM('수출입 실적(성질별_수입)'!D372),",","")),"")</f>
        <v>2018060.5</v>
      </c>
      <c r="G368" s="19" t="n">
        <f aca="false">IFERROR(VALUE(SUBSTITUTE(TRIM('수출입 실적(성질별_수입)'!E372),",","")),"")</f>
        <v>619623</v>
      </c>
    </row>
    <row r="369" customFormat="false" ht="15" hidden="false" customHeight="true" outlineLevel="0" collapsed="false">
      <c r="A369" s="11" t="str">
        <f aca="false">TRIM('수출입 실적(성질별_수입)'!A373)</f>
        <v>2025.07</v>
      </c>
      <c r="B369" s="17" t="n">
        <f aca="false">IFERROR(VALUE(LEFT($A369,4)),"")</f>
        <v>2025</v>
      </c>
      <c r="C369" s="17" t="n">
        <f aca="false">IFERROR(VALUE(RIGHT($A369,2)),"")</f>
        <v>7</v>
      </c>
      <c r="D369" s="17" t="n">
        <f aca="false">IFERROR(ROUNDUP($C369/3,0),"")</f>
        <v>3</v>
      </c>
      <c r="E369" s="11" t="str">
        <f aca="false">TRIM('수출입 실적(성질별_수입)'!C373)</f>
        <v>나. 직접소비재</v>
      </c>
      <c r="F369" s="18" t="n">
        <f aca="false">IFERROR(VALUE(SUBSTITUTE(TRIM('수출입 실적(성질별_수입)'!D373),",","")),"")</f>
        <v>792353.7</v>
      </c>
      <c r="G369" s="19" t="n">
        <f aca="false">IFERROR(VALUE(SUBSTITUTE(TRIM('수출입 실적(성질별_수입)'!E373),",","")),"")</f>
        <v>2600087</v>
      </c>
    </row>
    <row r="370" customFormat="false" ht="15" hidden="false" customHeight="true" outlineLevel="0" collapsed="false">
      <c r="A370" s="11" t="str">
        <f aca="false">TRIM('수출입 실적(성질별_수입)'!A374)</f>
        <v>2025.07</v>
      </c>
      <c r="B370" s="17" t="n">
        <f aca="false">IFERROR(VALUE(LEFT($A370,4)),"")</f>
        <v>2025</v>
      </c>
      <c r="C370" s="17" t="n">
        <f aca="false">IFERROR(VALUE(RIGHT($A370,2)),"")</f>
        <v>7</v>
      </c>
      <c r="D370" s="17" t="n">
        <f aca="false">IFERROR(ROUNDUP($C370/3,0),"")</f>
        <v>3</v>
      </c>
      <c r="E370" s="11" t="str">
        <f aca="false">TRIM('수출입 실적(성질별_수입)'!C374)</f>
        <v>다. 내구소비재</v>
      </c>
      <c r="F370" s="18" t="n">
        <f aca="false">IFERROR(VALUE(SUBSTITUTE(TRIM('수출입 실적(성질별_수입)'!D374),",","")),"")</f>
        <v>304818.5</v>
      </c>
      <c r="G370" s="19" t="n">
        <f aca="false">IFERROR(VALUE(SUBSTITUTE(TRIM('수출입 실적(성질별_수입)'!E374),",","")),"")</f>
        <v>3963751</v>
      </c>
    </row>
    <row r="371" customFormat="false" ht="15" hidden="false" customHeight="true" outlineLevel="0" collapsed="false">
      <c r="A371" s="11" t="str">
        <f aca="false">TRIM('수출입 실적(성질별_수입)'!A375)</f>
        <v>2025.07</v>
      </c>
      <c r="B371" s="17" t="n">
        <f aca="false">IFERROR(VALUE(LEFT($A371,4)),"")</f>
        <v>2025</v>
      </c>
      <c r="C371" s="17" t="n">
        <f aca="false">IFERROR(VALUE(RIGHT($A371,2)),"")</f>
        <v>7</v>
      </c>
      <c r="D371" s="17" t="n">
        <f aca="false">IFERROR(ROUNDUP($C371/3,0),"")</f>
        <v>3</v>
      </c>
      <c r="E371" s="11" t="str">
        <f aca="false">TRIM('수출입 실적(성질별_수입)'!C375)</f>
        <v>라. 비내구 소비재</v>
      </c>
      <c r="F371" s="18" t="n">
        <f aca="false">IFERROR(VALUE(SUBSTITUTE(TRIM('수출입 실적(성질별_수입)'!D375),",","")),"")</f>
        <v>122588.5</v>
      </c>
      <c r="G371" s="19" t="n">
        <f aca="false">IFERROR(VALUE(SUBSTITUTE(TRIM('수출입 실적(성질별_수입)'!E375),",","")),"")</f>
        <v>2057511</v>
      </c>
    </row>
    <row r="372" customFormat="false" ht="15" hidden="false" customHeight="true" outlineLevel="0" collapsed="false">
      <c r="A372" s="11" t="str">
        <f aca="false">TRIM('수출입 실적(성질별_수입)'!A376)</f>
        <v>2025.07</v>
      </c>
      <c r="B372" s="17" t="n">
        <f aca="false">IFERROR(VALUE(LEFT($A372,4)),"")</f>
        <v>2025</v>
      </c>
      <c r="C372" s="17" t="n">
        <f aca="false">IFERROR(VALUE(RIGHT($A372,2)),"")</f>
        <v>7</v>
      </c>
      <c r="D372" s="17" t="n">
        <f aca="false">IFERROR(ROUNDUP($C372/3,0),"")</f>
        <v>3</v>
      </c>
      <c r="E372" s="11" t="str">
        <f aca="false">TRIM('수출입 실적(성질별_수입)'!C376)</f>
        <v>2. 원자재</v>
      </c>
      <c r="F372" s="18" t="n">
        <f aca="false">IFERROR(VALUE(SUBSTITUTE(TRIM('수출입 실적(성질별_수입)'!D376),",","")),"")</f>
        <v>43472138.6</v>
      </c>
      <c r="G372" s="19" t="n">
        <f aca="false">IFERROR(VALUE(SUBSTITUTE(TRIM('수출입 실적(성질별_수입)'!E376),",","")),"")</f>
        <v>24495339</v>
      </c>
    </row>
    <row r="373" customFormat="false" ht="15" hidden="false" customHeight="true" outlineLevel="0" collapsed="false">
      <c r="A373" s="11" t="str">
        <f aca="false">TRIM('수출입 실적(성질별_수입)'!A377)</f>
        <v>2025.07</v>
      </c>
      <c r="B373" s="17" t="n">
        <f aca="false">IFERROR(VALUE(LEFT($A373,4)),"")</f>
        <v>2025</v>
      </c>
      <c r="C373" s="17" t="n">
        <f aca="false">IFERROR(VALUE(RIGHT($A373,2)),"")</f>
        <v>7</v>
      </c>
      <c r="D373" s="17" t="n">
        <f aca="false">IFERROR(ROUNDUP($C373/3,0),"")</f>
        <v>3</v>
      </c>
      <c r="E373" s="11" t="str">
        <f aca="false">TRIM('수출입 실적(성질별_수입)'!C377)</f>
        <v>가. 연 료</v>
      </c>
      <c r="F373" s="18" t="n">
        <f aca="false">IFERROR(VALUE(SUBSTITUTE(TRIM('수출입 실적(성질별_수입)'!D377),",","")),"")</f>
        <v>30492017.1</v>
      </c>
      <c r="G373" s="19" t="n">
        <f aca="false">IFERROR(VALUE(SUBSTITUTE(TRIM('수출입 실적(성질별_수입)'!E377),",","")),"")</f>
        <v>11640603</v>
      </c>
    </row>
    <row r="374" customFormat="false" ht="15" hidden="false" customHeight="true" outlineLevel="0" collapsed="false">
      <c r="A374" s="11" t="str">
        <f aca="false">TRIM('수출입 실적(성질별_수입)'!A378)</f>
        <v>2025.07</v>
      </c>
      <c r="B374" s="17" t="n">
        <f aca="false">IFERROR(VALUE(LEFT($A374,4)),"")</f>
        <v>2025</v>
      </c>
      <c r="C374" s="17" t="n">
        <f aca="false">IFERROR(VALUE(RIGHT($A374,2)),"")</f>
        <v>7</v>
      </c>
      <c r="D374" s="17" t="n">
        <f aca="false">IFERROR(ROUNDUP($C374/3,0),"")</f>
        <v>3</v>
      </c>
      <c r="E374" s="11" t="str">
        <f aca="false">TRIM('수출입 실적(성질별_수입)'!C378)</f>
        <v>나. 광 물</v>
      </c>
      <c r="F374" s="18" t="n">
        <f aca="false">IFERROR(VALUE(SUBSTITUTE(TRIM('수출입 실적(성질별_수입)'!D378),",","")),"")</f>
        <v>7039104.1</v>
      </c>
      <c r="G374" s="19" t="n">
        <f aca="false">IFERROR(VALUE(SUBSTITUTE(TRIM('수출입 실적(성질별_수입)'!E378),",","")),"")</f>
        <v>2389217</v>
      </c>
    </row>
    <row r="375" customFormat="false" ht="15" hidden="false" customHeight="true" outlineLevel="0" collapsed="false">
      <c r="A375" s="11" t="str">
        <f aca="false">TRIM('수출입 실적(성질별_수입)'!A379)</f>
        <v>2025.07</v>
      </c>
      <c r="B375" s="17" t="n">
        <f aca="false">IFERROR(VALUE(LEFT($A375,4)),"")</f>
        <v>2025</v>
      </c>
      <c r="C375" s="17" t="n">
        <f aca="false">IFERROR(VALUE(RIGHT($A375,2)),"")</f>
        <v>7</v>
      </c>
      <c r="D375" s="17" t="n">
        <f aca="false">IFERROR(ROUNDUP($C375/3,0),"")</f>
        <v>3</v>
      </c>
      <c r="E375" s="11" t="str">
        <f aca="false">TRIM('수출입 실적(성질별_수입)'!C379)</f>
        <v>다. 경공업 원료</v>
      </c>
      <c r="F375" s="18" t="n">
        <f aca="false">IFERROR(VALUE(SUBSTITUTE(TRIM('수출입 실적(성질별_수입)'!D379),",","")),"")</f>
        <v>1247219.5</v>
      </c>
      <c r="G375" s="19" t="n">
        <f aca="false">IFERROR(VALUE(SUBSTITUTE(TRIM('수출입 실적(성질별_수입)'!E379),",","")),"")</f>
        <v>542366</v>
      </c>
    </row>
    <row r="376" customFormat="false" ht="15" hidden="false" customHeight="true" outlineLevel="0" collapsed="false">
      <c r="A376" s="11" t="str">
        <f aca="false">TRIM('수출입 실적(성질별_수입)'!A380)</f>
        <v>2025.07</v>
      </c>
      <c r="B376" s="17" t="n">
        <f aca="false">IFERROR(VALUE(LEFT($A376,4)),"")</f>
        <v>2025</v>
      </c>
      <c r="C376" s="17" t="n">
        <f aca="false">IFERROR(VALUE(RIGHT($A376,2)),"")</f>
        <v>7</v>
      </c>
      <c r="D376" s="17" t="n">
        <f aca="false">IFERROR(ROUNDUP($C376/3,0),"")</f>
        <v>3</v>
      </c>
      <c r="E376" s="11" t="str">
        <f aca="false">TRIM('수출입 실적(성질별_수입)'!C380)</f>
        <v>라. 유 지</v>
      </c>
      <c r="F376" s="18" t="n">
        <f aca="false">IFERROR(VALUE(SUBSTITUTE(TRIM('수출입 실적(성질별_수입)'!D380),",","")),"")</f>
        <v>140007.2</v>
      </c>
      <c r="G376" s="19" t="n">
        <f aca="false">IFERROR(VALUE(SUBSTITUTE(TRIM('수출입 실적(성질별_수입)'!E380),",","")),"")</f>
        <v>197361</v>
      </c>
    </row>
    <row r="377" customFormat="false" ht="15" hidden="false" customHeight="true" outlineLevel="0" collapsed="false">
      <c r="A377" s="11" t="str">
        <f aca="false">TRIM('수출입 실적(성질별_수입)'!A381)</f>
        <v>2025.07</v>
      </c>
      <c r="B377" s="17" t="n">
        <f aca="false">IFERROR(VALUE(LEFT($A377,4)),"")</f>
        <v>2025</v>
      </c>
      <c r="C377" s="17" t="n">
        <f aca="false">IFERROR(VALUE(RIGHT($A377,2)),"")</f>
        <v>7</v>
      </c>
      <c r="D377" s="17" t="n">
        <f aca="false">IFERROR(ROUNDUP($C377/3,0),"")</f>
        <v>3</v>
      </c>
      <c r="E377" s="11" t="str">
        <f aca="false">TRIM('수출입 실적(성질별_수입)'!C381)</f>
        <v>마. 섬유류</v>
      </c>
      <c r="F377" s="18" t="n">
        <f aca="false">IFERROR(VALUE(SUBSTITUTE(TRIM('수출입 실적(성질별_수입)'!D381),",","")),"")</f>
        <v>102587</v>
      </c>
      <c r="G377" s="19" t="n">
        <f aca="false">IFERROR(VALUE(SUBSTITUTE(TRIM('수출입 실적(성질별_수입)'!E381),",","")),"")</f>
        <v>311900</v>
      </c>
    </row>
    <row r="378" customFormat="false" ht="15" hidden="false" customHeight="true" outlineLevel="0" collapsed="false">
      <c r="A378" s="11" t="str">
        <f aca="false">TRIM('수출입 실적(성질별_수입)'!A382)</f>
        <v>2025.07</v>
      </c>
      <c r="B378" s="17" t="n">
        <f aca="false">IFERROR(VALUE(LEFT($A378,4)),"")</f>
        <v>2025</v>
      </c>
      <c r="C378" s="17" t="n">
        <f aca="false">IFERROR(VALUE(RIGHT($A378,2)),"")</f>
        <v>7</v>
      </c>
      <c r="D378" s="17" t="n">
        <f aca="false">IFERROR(ROUNDUP($C378/3,0),"")</f>
        <v>3</v>
      </c>
      <c r="E378" s="11" t="str">
        <f aca="false">TRIM('수출입 실적(성질별_수입)'!C382)</f>
        <v>바. 화공품</v>
      </c>
      <c r="F378" s="18" t="n">
        <f aca="false">IFERROR(VALUE(SUBSTITUTE(TRIM('수출입 실적(성질별_수입)'!D382),",","")),"")</f>
        <v>1775724.7</v>
      </c>
      <c r="G378" s="19" t="n">
        <f aca="false">IFERROR(VALUE(SUBSTITUTE(TRIM('수출입 실적(성질별_수입)'!E382),",","")),"")</f>
        <v>4858142</v>
      </c>
    </row>
    <row r="379" customFormat="false" ht="15" hidden="false" customHeight="true" outlineLevel="0" collapsed="false">
      <c r="A379" s="11" t="str">
        <f aca="false">TRIM('수출입 실적(성질별_수입)'!A383)</f>
        <v>2025.07</v>
      </c>
      <c r="B379" s="17" t="n">
        <f aca="false">IFERROR(VALUE(LEFT($A379,4)),"")</f>
        <v>2025</v>
      </c>
      <c r="C379" s="17" t="n">
        <f aca="false">IFERROR(VALUE(RIGHT($A379,2)),"")</f>
        <v>7</v>
      </c>
      <c r="D379" s="17" t="n">
        <f aca="false">IFERROR(ROUNDUP($C379/3,0),"")</f>
        <v>3</v>
      </c>
      <c r="E379" s="11" t="str">
        <f aca="false">TRIM('수출입 실적(성질별_수입)'!C383)</f>
        <v>사. 철강재</v>
      </c>
      <c r="F379" s="18" t="n">
        <f aca="false">IFERROR(VALUE(SUBSTITUTE(TRIM('수출입 실적(성질별_수입)'!D383),",","")),"")</f>
        <v>1620344.1</v>
      </c>
      <c r="G379" s="19" t="n">
        <f aca="false">IFERROR(VALUE(SUBSTITUTE(TRIM('수출입 실적(성질별_수입)'!E383),",","")),"")</f>
        <v>1637837</v>
      </c>
    </row>
    <row r="380" customFormat="false" ht="15" hidden="false" customHeight="true" outlineLevel="0" collapsed="false">
      <c r="A380" s="11" t="str">
        <f aca="false">TRIM('수출입 실적(성질별_수입)'!A384)</f>
        <v>2025.07</v>
      </c>
      <c r="B380" s="17" t="n">
        <f aca="false">IFERROR(VALUE(LEFT($A380,4)),"")</f>
        <v>2025</v>
      </c>
      <c r="C380" s="17" t="n">
        <f aca="false">IFERROR(VALUE(RIGHT($A380,2)),"")</f>
        <v>7</v>
      </c>
      <c r="D380" s="17" t="n">
        <f aca="false">IFERROR(ROUNDUP($C380/3,0),"")</f>
        <v>3</v>
      </c>
      <c r="E380" s="11" t="str">
        <f aca="false">TRIM('수출입 실적(성질별_수입)'!C384)</f>
        <v>아. 비철금속</v>
      </c>
      <c r="F380" s="18" t="n">
        <f aca="false">IFERROR(VALUE(SUBSTITUTE(TRIM('수출입 실적(성질별_수입)'!D384),",","")),"")</f>
        <v>253342.7</v>
      </c>
      <c r="G380" s="19" t="n">
        <f aca="false">IFERROR(VALUE(SUBSTITUTE(TRIM('수출입 실적(성질별_수입)'!E384),",","")),"")</f>
        <v>1511079</v>
      </c>
    </row>
    <row r="381" customFormat="false" ht="15" hidden="false" customHeight="true" outlineLevel="0" collapsed="false">
      <c r="A381" s="11" t="str">
        <f aca="false">TRIM('수출입 실적(성질별_수입)'!A385)</f>
        <v>2025.07</v>
      </c>
      <c r="B381" s="17" t="n">
        <f aca="false">IFERROR(VALUE(LEFT($A381,4)),"")</f>
        <v>2025</v>
      </c>
      <c r="C381" s="17" t="n">
        <f aca="false">IFERROR(VALUE(RIGHT($A381,2)),"")</f>
        <v>7</v>
      </c>
      <c r="D381" s="17" t="n">
        <f aca="false">IFERROR(ROUNDUP($C381/3,0),"")</f>
        <v>3</v>
      </c>
      <c r="E381" s="11" t="str">
        <f aca="false">TRIM('수출입 실적(성질별_수입)'!C385)</f>
        <v>자. 기 타</v>
      </c>
      <c r="F381" s="18" t="n">
        <f aca="false">IFERROR(VALUE(SUBSTITUTE(TRIM('수출입 실적(성질별_수입)'!D385),",","")),"")</f>
        <v>801792.2</v>
      </c>
      <c r="G381" s="19" t="n">
        <f aca="false">IFERROR(VALUE(SUBSTITUTE(TRIM('수출입 실적(성질별_수입)'!E385),",","")),"")</f>
        <v>1406834</v>
      </c>
    </row>
    <row r="382" customFormat="false" ht="15" hidden="false" customHeight="true" outlineLevel="0" collapsed="false">
      <c r="A382" s="11" t="str">
        <f aca="false">TRIM('수출입 실적(성질별_수입)'!A386)</f>
        <v>2025.07</v>
      </c>
      <c r="B382" s="17" t="n">
        <f aca="false">IFERROR(VALUE(LEFT($A382,4)),"")</f>
        <v>2025</v>
      </c>
      <c r="C382" s="17" t="n">
        <f aca="false">IFERROR(VALUE(RIGHT($A382,2)),"")</f>
        <v>7</v>
      </c>
      <c r="D382" s="17" t="n">
        <f aca="false">IFERROR(ROUNDUP($C382/3,0),"")</f>
        <v>3</v>
      </c>
      <c r="E382" s="11" t="str">
        <f aca="false">TRIM('수출입 실적(성질별_수입)'!C386)</f>
        <v>3. 자본재</v>
      </c>
      <c r="F382" s="18" t="n">
        <f aca="false">IFERROR(VALUE(SUBSTITUTE(TRIM('수출입 실적(성질별_수입)'!D386),",","")),"")</f>
        <v>830256.2</v>
      </c>
      <c r="G382" s="19" t="n">
        <f aca="false">IFERROR(VALUE(SUBSTITUTE(TRIM('수출입 실적(성질별_수입)'!E386),",","")),"")</f>
        <v>20474060</v>
      </c>
    </row>
    <row r="383" customFormat="false" ht="15" hidden="false" customHeight="true" outlineLevel="0" collapsed="false">
      <c r="A383" s="11" t="str">
        <f aca="false">TRIM('수출입 실적(성질별_수입)'!A387)</f>
        <v>2025.07</v>
      </c>
      <c r="B383" s="17" t="n">
        <f aca="false">IFERROR(VALUE(LEFT($A383,4)),"")</f>
        <v>2025</v>
      </c>
      <c r="C383" s="17" t="n">
        <f aca="false">IFERROR(VALUE(RIGHT($A383,2)),"")</f>
        <v>7</v>
      </c>
      <c r="D383" s="17" t="n">
        <f aca="false">IFERROR(ROUNDUP($C383/3,0),"")</f>
        <v>3</v>
      </c>
      <c r="E383" s="11" t="str">
        <f aca="false">TRIM('수출입 실적(성질별_수입)'!C387)</f>
        <v>가. 기계류와 정밀기기</v>
      </c>
      <c r="F383" s="18" t="n">
        <f aca="false">IFERROR(VALUE(SUBSTITUTE(TRIM('수출입 실적(성질별_수입)'!D387),",","")),"")</f>
        <v>199835.9</v>
      </c>
      <c r="G383" s="19" t="n">
        <f aca="false">IFERROR(VALUE(SUBSTITUTE(TRIM('수출입 실적(성질별_수입)'!E387),",","")),"")</f>
        <v>6187723</v>
      </c>
    </row>
    <row r="384" customFormat="false" ht="15" hidden="false" customHeight="true" outlineLevel="0" collapsed="false">
      <c r="A384" s="11" t="str">
        <f aca="false">TRIM('수출입 실적(성질별_수입)'!A388)</f>
        <v>2025.07</v>
      </c>
      <c r="B384" s="17" t="n">
        <f aca="false">IFERROR(VALUE(LEFT($A384,4)),"")</f>
        <v>2025</v>
      </c>
      <c r="C384" s="17" t="n">
        <f aca="false">IFERROR(VALUE(RIGHT($A384,2)),"")</f>
        <v>7</v>
      </c>
      <c r="D384" s="17" t="n">
        <f aca="false">IFERROR(ROUNDUP($C384/3,0),"")</f>
        <v>3</v>
      </c>
      <c r="E384" s="11" t="str">
        <f aca="false">TRIM('수출입 실적(성질별_수입)'!C388)</f>
        <v>나. 전기·전자기기</v>
      </c>
      <c r="F384" s="18" t="n">
        <f aca="false">IFERROR(VALUE(SUBSTITUTE(TRIM('수출입 실적(성질별_수입)'!D388),",","")),"")</f>
        <v>188201.4</v>
      </c>
      <c r="G384" s="19" t="n">
        <f aca="false">IFERROR(VALUE(SUBSTITUTE(TRIM('수출입 실적(성질별_수입)'!E388),",","")),"")</f>
        <v>12579341</v>
      </c>
    </row>
    <row r="385" customFormat="false" ht="15" hidden="false" customHeight="true" outlineLevel="0" collapsed="false">
      <c r="A385" s="11" t="str">
        <f aca="false">TRIM('수출입 실적(성질별_수입)'!A389)</f>
        <v>2025.07</v>
      </c>
      <c r="B385" s="17" t="n">
        <f aca="false">IFERROR(VALUE(LEFT($A385,4)),"")</f>
        <v>2025</v>
      </c>
      <c r="C385" s="17" t="n">
        <f aca="false">IFERROR(VALUE(RIGHT($A385,2)),"")</f>
        <v>7</v>
      </c>
      <c r="D385" s="17" t="n">
        <f aca="false">IFERROR(ROUNDUP($C385/3,0),"")</f>
        <v>3</v>
      </c>
      <c r="E385" s="11" t="str">
        <f aca="false">TRIM('수출입 실적(성질별_수입)'!C389)</f>
        <v>다. 수송장비</v>
      </c>
      <c r="F385" s="18" t="n">
        <f aca="false">IFERROR(VALUE(SUBSTITUTE(TRIM('수출입 실적(성질별_수입)'!D389),",","")),"")</f>
        <v>425220.8</v>
      </c>
      <c r="G385" s="19" t="n">
        <f aca="false">IFERROR(VALUE(SUBSTITUTE(TRIM('수출입 실적(성질별_수입)'!E389),",","")),"")</f>
        <v>1455022</v>
      </c>
    </row>
    <row r="386" customFormat="false" ht="15" hidden="false" customHeight="true" outlineLevel="0" collapsed="false">
      <c r="A386" s="11" t="str">
        <f aca="false">TRIM('수출입 실적(성질별_수입)'!A390)</f>
        <v>2025.07</v>
      </c>
      <c r="B386" s="17" t="n">
        <f aca="false">IFERROR(VALUE(LEFT($A386,4)),"")</f>
        <v>2025</v>
      </c>
      <c r="C386" s="17" t="n">
        <f aca="false">IFERROR(VALUE(RIGHT($A386,2)),"")</f>
        <v>7</v>
      </c>
      <c r="D386" s="17" t="n">
        <f aca="false">IFERROR(ROUNDUP($C386/3,0),"")</f>
        <v>3</v>
      </c>
      <c r="E386" s="11" t="str">
        <f aca="false">TRIM('수출입 실적(성질별_수입)'!C390)</f>
        <v>라. 기 타</v>
      </c>
      <c r="F386" s="18" t="n">
        <f aca="false">IFERROR(VALUE(SUBSTITUTE(TRIM('수출입 실적(성질별_수입)'!D390),",","")),"")</f>
        <v>16998</v>
      </c>
      <c r="G386" s="19" t="n">
        <f aca="false">IFERROR(VALUE(SUBSTITUTE(TRIM('수출입 실적(성질별_수입)'!E390),",","")),"")</f>
        <v>251974</v>
      </c>
    </row>
    <row r="387" customFormat="false" ht="15" hidden="false" customHeight="true" outlineLevel="0" collapsed="false">
      <c r="A387" s="11" t="str">
        <f aca="false">TRIM('수출입 실적(성질별_수입)'!A391)</f>
        <v>2025.08</v>
      </c>
      <c r="B387" s="17" t="n">
        <f aca="false">IFERROR(VALUE(LEFT($A387,4)),"")</f>
        <v>2025</v>
      </c>
      <c r="C387" s="17" t="n">
        <f aca="false">IFERROR(VALUE(RIGHT($A387,2)),"")</f>
        <v>8</v>
      </c>
      <c r="D387" s="17" t="n">
        <f aca="false">IFERROR(ROUNDUP($C387/3,0),"")</f>
        <v>3</v>
      </c>
      <c r="E387" s="11" t="str">
        <f aca="false">TRIM('수출입 실적(성질별_수입)'!C391)</f>
        <v>1. 소비재</v>
      </c>
      <c r="F387" s="18" t="n">
        <f aca="false">IFERROR(VALUE(SUBSTITUTE(TRIM('수출입 실적(성질별_수입)'!D391),",","")),"")</f>
        <v>3211913.1</v>
      </c>
      <c r="G387" s="19" t="n">
        <f aca="false">IFERROR(VALUE(SUBSTITUTE(TRIM('수출입 실적(성질별_수입)'!E391),",","")),"")</f>
        <v>8738428</v>
      </c>
    </row>
    <row r="388" customFormat="false" ht="15" hidden="false" customHeight="true" outlineLevel="0" collapsed="false">
      <c r="A388" s="11" t="str">
        <f aca="false">TRIM('수출입 실적(성질별_수입)'!A392)</f>
        <v>2025.08</v>
      </c>
      <c r="B388" s="17" t="n">
        <f aca="false">IFERROR(VALUE(LEFT($A388,4)),"")</f>
        <v>2025</v>
      </c>
      <c r="C388" s="17" t="n">
        <f aca="false">IFERROR(VALUE(RIGHT($A388,2)),"")</f>
        <v>8</v>
      </c>
      <c r="D388" s="17" t="n">
        <f aca="false">IFERROR(ROUNDUP($C388/3,0),"")</f>
        <v>3</v>
      </c>
      <c r="E388" s="11" t="str">
        <f aca="false">TRIM('수출입 실적(성질별_수입)'!C392)</f>
        <v>가. 곡물</v>
      </c>
      <c r="F388" s="18" t="n">
        <f aca="false">IFERROR(VALUE(SUBSTITUTE(TRIM('수출입 실적(성질별_수입)'!D392),",","")),"")</f>
        <v>2086737.1</v>
      </c>
      <c r="G388" s="19" t="n">
        <f aca="false">IFERROR(VALUE(SUBSTITUTE(TRIM('수출입 실적(성질별_수입)'!E392),",","")),"")</f>
        <v>620231</v>
      </c>
    </row>
    <row r="389" customFormat="false" ht="15" hidden="false" customHeight="true" outlineLevel="0" collapsed="false">
      <c r="A389" s="11" t="str">
        <f aca="false">TRIM('수출입 실적(성질별_수입)'!A393)</f>
        <v>2025.08</v>
      </c>
      <c r="B389" s="17" t="n">
        <f aca="false">IFERROR(VALUE(LEFT($A389,4)),"")</f>
        <v>2025</v>
      </c>
      <c r="C389" s="17" t="n">
        <f aca="false">IFERROR(VALUE(RIGHT($A389,2)),"")</f>
        <v>8</v>
      </c>
      <c r="D389" s="17" t="n">
        <f aca="false">IFERROR(ROUNDUP($C389/3,0),"")</f>
        <v>3</v>
      </c>
      <c r="E389" s="11" t="str">
        <f aca="false">TRIM('수출입 실적(성질별_수입)'!C393)</f>
        <v>나. 직접소비재</v>
      </c>
      <c r="F389" s="18" t="n">
        <f aca="false">IFERROR(VALUE(SUBSTITUTE(TRIM('수출입 실적(성질별_수입)'!D393),",","")),"")</f>
        <v>721621</v>
      </c>
      <c r="G389" s="19" t="n">
        <f aca="false">IFERROR(VALUE(SUBSTITUTE(TRIM('수출입 실적(성질별_수입)'!E393),",","")),"")</f>
        <v>2363958</v>
      </c>
    </row>
    <row r="390" customFormat="false" ht="15" hidden="false" customHeight="true" outlineLevel="0" collapsed="false">
      <c r="A390" s="11" t="str">
        <f aca="false">TRIM('수출입 실적(성질별_수입)'!A394)</f>
        <v>2025.08</v>
      </c>
      <c r="B390" s="17" t="n">
        <f aca="false">IFERROR(VALUE(LEFT($A390,4)),"")</f>
        <v>2025</v>
      </c>
      <c r="C390" s="17" t="n">
        <f aca="false">IFERROR(VALUE(RIGHT($A390,2)),"")</f>
        <v>8</v>
      </c>
      <c r="D390" s="17" t="n">
        <f aca="false">IFERROR(ROUNDUP($C390/3,0),"")</f>
        <v>3</v>
      </c>
      <c r="E390" s="11" t="str">
        <f aca="false">TRIM('수출입 실적(성질별_수입)'!C394)</f>
        <v>다. 내구소비재</v>
      </c>
      <c r="F390" s="18" t="n">
        <f aca="false">IFERROR(VALUE(SUBSTITUTE(TRIM('수출입 실적(성질별_수입)'!D394),",","")),"")</f>
        <v>281611.1</v>
      </c>
      <c r="G390" s="19" t="n">
        <f aca="false">IFERROR(VALUE(SUBSTITUTE(TRIM('수출입 실적(성질별_수입)'!E394),",","")),"")</f>
        <v>3638708</v>
      </c>
    </row>
    <row r="391" customFormat="false" ht="15" hidden="false" customHeight="true" outlineLevel="0" collapsed="false">
      <c r="A391" s="11" t="str">
        <f aca="false">TRIM('수출입 실적(성질별_수입)'!A395)</f>
        <v>2025.08</v>
      </c>
      <c r="B391" s="17" t="n">
        <f aca="false">IFERROR(VALUE(LEFT($A391,4)),"")</f>
        <v>2025</v>
      </c>
      <c r="C391" s="17" t="n">
        <f aca="false">IFERROR(VALUE(RIGHT($A391,2)),"")</f>
        <v>8</v>
      </c>
      <c r="D391" s="17" t="n">
        <f aca="false">IFERROR(ROUNDUP($C391/3,0),"")</f>
        <v>3</v>
      </c>
      <c r="E391" s="11" t="str">
        <f aca="false">TRIM('수출입 실적(성질별_수입)'!C395)</f>
        <v>라. 비내구 소비재</v>
      </c>
      <c r="F391" s="18" t="n">
        <f aca="false">IFERROR(VALUE(SUBSTITUTE(TRIM('수출입 실적(성질별_수입)'!D395),",","")),"")</f>
        <v>121943.9</v>
      </c>
      <c r="G391" s="19" t="n">
        <f aca="false">IFERROR(VALUE(SUBSTITUTE(TRIM('수출입 실적(성질별_수입)'!E395),",","")),"")</f>
        <v>2115532</v>
      </c>
    </row>
    <row r="392" customFormat="false" ht="15" hidden="false" customHeight="true" outlineLevel="0" collapsed="false">
      <c r="A392" s="11" t="str">
        <f aca="false">TRIM('수출입 실적(성질별_수입)'!A396)</f>
        <v>2025.08</v>
      </c>
      <c r="B392" s="17" t="n">
        <f aca="false">IFERROR(VALUE(LEFT($A392,4)),"")</f>
        <v>2025</v>
      </c>
      <c r="C392" s="17" t="n">
        <f aca="false">IFERROR(VALUE(RIGHT($A392,2)),"")</f>
        <v>8</v>
      </c>
      <c r="D392" s="17" t="n">
        <f aca="false">IFERROR(ROUNDUP($C392/3,0),"")</f>
        <v>3</v>
      </c>
      <c r="E392" s="11" t="str">
        <f aca="false">TRIM('수출입 실적(성질별_수입)'!C396)</f>
        <v>2. 원자재</v>
      </c>
      <c r="F392" s="18" t="n">
        <f aca="false">IFERROR(VALUE(SUBSTITUTE(TRIM('수출입 실적(성질별_수입)'!D396),",","")),"")</f>
        <v>44926676.5</v>
      </c>
      <c r="G392" s="19" t="n">
        <f aca="false">IFERROR(VALUE(SUBSTITUTE(TRIM('수출입 실적(성질별_수입)'!E396),",","")),"")</f>
        <v>24284869</v>
      </c>
    </row>
    <row r="393" customFormat="false" ht="15" hidden="false" customHeight="true" outlineLevel="0" collapsed="false">
      <c r="A393" s="11" t="str">
        <f aca="false">TRIM('수출입 실적(성질별_수입)'!A397)</f>
        <v>2025.08</v>
      </c>
      <c r="B393" s="17" t="n">
        <f aca="false">IFERROR(VALUE(LEFT($A393,4)),"")</f>
        <v>2025</v>
      </c>
      <c r="C393" s="17" t="n">
        <f aca="false">IFERROR(VALUE(RIGHT($A393,2)),"")</f>
        <v>8</v>
      </c>
      <c r="D393" s="17" t="n">
        <f aca="false">IFERROR(ROUNDUP($C393/3,0),"")</f>
        <v>3</v>
      </c>
      <c r="E393" s="11" t="str">
        <f aca="false">TRIM('수출입 실적(성질별_수입)'!C397)</f>
        <v>가. 연 료</v>
      </c>
      <c r="F393" s="18" t="n">
        <f aca="false">IFERROR(VALUE(SUBSTITUTE(TRIM('수출입 실적(성질별_수입)'!D397),",","")),"")</f>
        <v>32654453</v>
      </c>
      <c r="G393" s="19" t="n">
        <f aca="false">IFERROR(VALUE(SUBSTITUTE(TRIM('수출입 실적(성질별_수입)'!E397),",","")),"")</f>
        <v>12748240</v>
      </c>
    </row>
    <row r="394" customFormat="false" ht="15" hidden="false" customHeight="true" outlineLevel="0" collapsed="false">
      <c r="A394" s="11" t="str">
        <f aca="false">TRIM('수출입 실적(성질별_수입)'!A398)</f>
        <v>2025.08</v>
      </c>
      <c r="B394" s="17" t="n">
        <f aca="false">IFERROR(VALUE(LEFT($A394,4)),"")</f>
        <v>2025</v>
      </c>
      <c r="C394" s="17" t="n">
        <f aca="false">IFERROR(VALUE(RIGHT($A394,2)),"")</f>
        <v>8</v>
      </c>
      <c r="D394" s="17" t="n">
        <f aca="false">IFERROR(ROUNDUP($C394/3,0),"")</f>
        <v>3</v>
      </c>
      <c r="E394" s="11" t="str">
        <f aca="false">TRIM('수출입 실적(성질별_수입)'!C398)</f>
        <v>나. 광 물</v>
      </c>
      <c r="F394" s="18" t="n">
        <f aca="false">IFERROR(VALUE(SUBSTITUTE(TRIM('수출입 실적(성질별_수입)'!D398),",","")),"")</f>
        <v>6902107</v>
      </c>
      <c r="G394" s="19" t="n">
        <f aca="false">IFERROR(VALUE(SUBSTITUTE(TRIM('수출입 실적(성질별_수입)'!E398),",","")),"")</f>
        <v>2177439</v>
      </c>
    </row>
    <row r="395" customFormat="false" ht="15" hidden="false" customHeight="true" outlineLevel="0" collapsed="false">
      <c r="A395" s="11" t="str">
        <f aca="false">TRIM('수출입 실적(성질별_수입)'!A399)</f>
        <v>2025.08</v>
      </c>
      <c r="B395" s="17" t="n">
        <f aca="false">IFERROR(VALUE(LEFT($A395,4)),"")</f>
        <v>2025</v>
      </c>
      <c r="C395" s="17" t="n">
        <f aca="false">IFERROR(VALUE(RIGHT($A395,2)),"")</f>
        <v>8</v>
      </c>
      <c r="D395" s="17" t="n">
        <f aca="false">IFERROR(ROUNDUP($C395/3,0),"")</f>
        <v>3</v>
      </c>
      <c r="E395" s="11" t="str">
        <f aca="false">TRIM('수출입 실적(성질별_수입)'!C399)</f>
        <v>다. 경공업 원료</v>
      </c>
      <c r="F395" s="18" t="n">
        <f aca="false">IFERROR(VALUE(SUBSTITUTE(TRIM('수출입 실적(성질별_수입)'!D399),",","")),"")</f>
        <v>1159611.1</v>
      </c>
      <c r="G395" s="19" t="n">
        <f aca="false">IFERROR(VALUE(SUBSTITUTE(TRIM('수출입 실적(성질별_수입)'!E399),",","")),"")</f>
        <v>483070</v>
      </c>
    </row>
    <row r="396" customFormat="false" ht="15" hidden="false" customHeight="true" outlineLevel="0" collapsed="false">
      <c r="A396" s="11" t="str">
        <f aca="false">TRIM('수출입 실적(성질별_수입)'!A400)</f>
        <v>2025.08</v>
      </c>
      <c r="B396" s="17" t="n">
        <f aca="false">IFERROR(VALUE(LEFT($A396,4)),"")</f>
        <v>2025</v>
      </c>
      <c r="C396" s="17" t="n">
        <f aca="false">IFERROR(VALUE(RIGHT($A396,2)),"")</f>
        <v>8</v>
      </c>
      <c r="D396" s="17" t="n">
        <f aca="false">IFERROR(ROUNDUP($C396/3,0),"")</f>
        <v>3</v>
      </c>
      <c r="E396" s="11" t="str">
        <f aca="false">TRIM('수출입 실적(성질별_수입)'!C400)</f>
        <v>라. 유 지</v>
      </c>
      <c r="F396" s="18" t="n">
        <f aca="false">IFERROR(VALUE(SUBSTITUTE(TRIM('수출입 실적(성질별_수입)'!D400),",","")),"")</f>
        <v>161917.8</v>
      </c>
      <c r="G396" s="19" t="n">
        <f aca="false">IFERROR(VALUE(SUBSTITUTE(TRIM('수출입 실적(성질별_수입)'!E400),",","")),"")</f>
        <v>222056</v>
      </c>
    </row>
    <row r="397" customFormat="false" ht="15" hidden="false" customHeight="true" outlineLevel="0" collapsed="false">
      <c r="A397" s="11" t="str">
        <f aca="false">TRIM('수출입 실적(성질별_수입)'!A401)</f>
        <v>2025.08</v>
      </c>
      <c r="B397" s="17" t="n">
        <f aca="false">IFERROR(VALUE(LEFT($A397,4)),"")</f>
        <v>2025</v>
      </c>
      <c r="C397" s="17" t="n">
        <f aca="false">IFERROR(VALUE(RIGHT($A397,2)),"")</f>
        <v>8</v>
      </c>
      <c r="D397" s="17" t="n">
        <f aca="false">IFERROR(ROUNDUP($C397/3,0),"")</f>
        <v>3</v>
      </c>
      <c r="E397" s="11" t="str">
        <f aca="false">TRIM('수출입 실적(성질별_수입)'!C401)</f>
        <v>마. 섬유류</v>
      </c>
      <c r="F397" s="18" t="n">
        <f aca="false">IFERROR(VALUE(SUBSTITUTE(TRIM('수출입 실적(성질별_수입)'!D401),",","")),"")</f>
        <v>89722.7</v>
      </c>
      <c r="G397" s="19" t="n">
        <f aca="false">IFERROR(VALUE(SUBSTITUTE(TRIM('수출입 실적(성질별_수입)'!E401),",","")),"")</f>
        <v>267587</v>
      </c>
    </row>
    <row r="398" customFormat="false" ht="15" hidden="false" customHeight="true" outlineLevel="0" collapsed="false">
      <c r="A398" s="11" t="str">
        <f aca="false">TRIM('수출입 실적(성질별_수입)'!A402)</f>
        <v>2025.08</v>
      </c>
      <c r="B398" s="17" t="n">
        <f aca="false">IFERROR(VALUE(LEFT($A398,4)),"")</f>
        <v>2025</v>
      </c>
      <c r="C398" s="17" t="n">
        <f aca="false">IFERROR(VALUE(RIGHT($A398,2)),"")</f>
        <v>8</v>
      </c>
      <c r="D398" s="17" t="n">
        <f aca="false">IFERROR(ROUNDUP($C398/3,0),"")</f>
        <v>3</v>
      </c>
      <c r="E398" s="11" t="str">
        <f aca="false">TRIM('수출입 실적(성질별_수입)'!C402)</f>
        <v>바. 화공품</v>
      </c>
      <c r="F398" s="18" t="n">
        <f aca="false">IFERROR(VALUE(SUBSTITUTE(TRIM('수출입 실적(성질별_수입)'!D402),",","")),"")</f>
        <v>1672348.5</v>
      </c>
      <c r="G398" s="19" t="n">
        <f aca="false">IFERROR(VALUE(SUBSTITUTE(TRIM('수출입 실적(성질별_수입)'!E402),",","")),"")</f>
        <v>4324224</v>
      </c>
    </row>
    <row r="399" customFormat="false" ht="15" hidden="false" customHeight="true" outlineLevel="0" collapsed="false">
      <c r="A399" s="11" t="str">
        <f aca="false">TRIM('수출입 실적(성질별_수입)'!A403)</f>
        <v>2025.08</v>
      </c>
      <c r="B399" s="17" t="n">
        <f aca="false">IFERROR(VALUE(LEFT($A399,4)),"")</f>
        <v>2025</v>
      </c>
      <c r="C399" s="17" t="n">
        <f aca="false">IFERROR(VALUE(RIGHT($A399,2)),"")</f>
        <v>8</v>
      </c>
      <c r="D399" s="17" t="n">
        <f aca="false">IFERROR(ROUNDUP($C399/3,0),"")</f>
        <v>3</v>
      </c>
      <c r="E399" s="11" t="str">
        <f aca="false">TRIM('수출입 실적(성질별_수입)'!C403)</f>
        <v>사. 철강재</v>
      </c>
      <c r="F399" s="18" t="n">
        <f aca="false">IFERROR(VALUE(SUBSTITUTE(TRIM('수출입 실적(성질별_수입)'!D403),",","")),"")</f>
        <v>1297257.7</v>
      </c>
      <c r="G399" s="19" t="n">
        <f aca="false">IFERROR(VALUE(SUBSTITUTE(TRIM('수출입 실적(성질별_수입)'!E403),",","")),"")</f>
        <v>1459699</v>
      </c>
    </row>
    <row r="400" customFormat="false" ht="15" hidden="false" customHeight="true" outlineLevel="0" collapsed="false">
      <c r="A400" s="11" t="str">
        <f aca="false">TRIM('수출입 실적(성질별_수입)'!A404)</f>
        <v>2025.08</v>
      </c>
      <c r="B400" s="17" t="n">
        <f aca="false">IFERROR(VALUE(LEFT($A400,4)),"")</f>
        <v>2025</v>
      </c>
      <c r="C400" s="17" t="n">
        <f aca="false">IFERROR(VALUE(RIGHT($A400,2)),"")</f>
        <v>8</v>
      </c>
      <c r="D400" s="17" t="n">
        <f aca="false">IFERROR(ROUNDUP($C400/3,0),"")</f>
        <v>3</v>
      </c>
      <c r="E400" s="11" t="str">
        <f aca="false">TRIM('수출입 실적(성질별_수입)'!C404)</f>
        <v>아. 비철금속</v>
      </c>
      <c r="F400" s="18" t="n">
        <f aca="false">IFERROR(VALUE(SUBSTITUTE(TRIM('수출입 실적(성질별_수입)'!D404),",","")),"")</f>
        <v>236402.3</v>
      </c>
      <c r="G400" s="19" t="n">
        <f aca="false">IFERROR(VALUE(SUBSTITUTE(TRIM('수출입 실적(성질별_수입)'!E404),",","")),"")</f>
        <v>1344714</v>
      </c>
    </row>
    <row r="401" customFormat="false" ht="15" hidden="false" customHeight="true" outlineLevel="0" collapsed="false">
      <c r="A401" s="11" t="str">
        <f aca="false">TRIM('수출입 실적(성질별_수입)'!A405)</f>
        <v>2025.08</v>
      </c>
      <c r="B401" s="17" t="n">
        <f aca="false">IFERROR(VALUE(LEFT($A401,4)),"")</f>
        <v>2025</v>
      </c>
      <c r="C401" s="17" t="n">
        <f aca="false">IFERROR(VALUE(RIGHT($A401,2)),"")</f>
        <v>8</v>
      </c>
      <c r="D401" s="17" t="n">
        <f aca="false">IFERROR(ROUNDUP($C401/3,0),"")</f>
        <v>3</v>
      </c>
      <c r="E401" s="11" t="str">
        <f aca="false">TRIM('수출입 실적(성질별_수입)'!C405)</f>
        <v>자. 기 타</v>
      </c>
      <c r="F401" s="18" t="n">
        <f aca="false">IFERROR(VALUE(SUBSTITUTE(TRIM('수출입 실적(성질별_수입)'!D405),",","")),"")</f>
        <v>752856.5</v>
      </c>
      <c r="G401" s="19" t="n">
        <f aca="false">IFERROR(VALUE(SUBSTITUTE(TRIM('수출입 실적(성질별_수입)'!E405),",","")),"")</f>
        <v>1257842</v>
      </c>
    </row>
    <row r="402" customFormat="false" ht="15" hidden="false" customHeight="true" outlineLevel="0" collapsed="false">
      <c r="A402" s="11" t="str">
        <f aca="false">TRIM('수출입 실적(성질별_수입)'!A406)</f>
        <v>2025.08</v>
      </c>
      <c r="B402" s="17" t="n">
        <f aca="false">IFERROR(VALUE(LEFT($A402,4)),"")</f>
        <v>2025</v>
      </c>
      <c r="C402" s="17" t="n">
        <f aca="false">IFERROR(VALUE(RIGHT($A402,2)),"")</f>
        <v>8</v>
      </c>
      <c r="D402" s="17" t="n">
        <f aca="false">IFERROR(ROUNDUP($C402/3,0),"")</f>
        <v>3</v>
      </c>
      <c r="E402" s="11" t="str">
        <f aca="false">TRIM('수출입 실적(성질별_수입)'!C406)</f>
        <v>3. 자본재</v>
      </c>
      <c r="F402" s="18" t="n">
        <f aca="false">IFERROR(VALUE(SUBSTITUTE(TRIM('수출입 실적(성질별_수입)'!D406),",","")),"")</f>
        <v>503331.1</v>
      </c>
      <c r="G402" s="19" t="n">
        <f aca="false">IFERROR(VALUE(SUBSTITUTE(TRIM('수출입 실적(성질별_수입)'!E406),",","")),"")</f>
        <v>18833326</v>
      </c>
    </row>
    <row r="403" customFormat="false" ht="15" hidden="false" customHeight="true" outlineLevel="0" collapsed="false">
      <c r="A403" s="11" t="str">
        <f aca="false">TRIM('수출입 실적(성질별_수입)'!A407)</f>
        <v>2025.08</v>
      </c>
      <c r="B403" s="17" t="n">
        <f aca="false">IFERROR(VALUE(LEFT($A403,4)),"")</f>
        <v>2025</v>
      </c>
      <c r="C403" s="17" t="n">
        <f aca="false">IFERROR(VALUE(RIGHT($A403,2)),"")</f>
        <v>8</v>
      </c>
      <c r="D403" s="17" t="n">
        <f aca="false">IFERROR(ROUNDUP($C403/3,0),"")</f>
        <v>3</v>
      </c>
      <c r="E403" s="11" t="str">
        <f aca="false">TRIM('수출입 실적(성질별_수입)'!C407)</f>
        <v>가. 기계류와 정밀기기</v>
      </c>
      <c r="F403" s="18" t="n">
        <f aca="false">IFERROR(VALUE(SUBSTITUTE(TRIM('수출입 실적(성질별_수입)'!D407),",","")),"")</f>
        <v>187502.4</v>
      </c>
      <c r="G403" s="19" t="n">
        <f aca="false">IFERROR(VALUE(SUBSTITUTE(TRIM('수출입 실적(성질별_수입)'!E407),",","")),"")</f>
        <v>5496474</v>
      </c>
    </row>
    <row r="404" customFormat="false" ht="15" hidden="false" customHeight="true" outlineLevel="0" collapsed="false">
      <c r="A404" s="11" t="str">
        <f aca="false">TRIM('수출입 실적(성질별_수입)'!A408)</f>
        <v>2025.08</v>
      </c>
      <c r="B404" s="17" t="n">
        <f aca="false">IFERROR(VALUE(LEFT($A404,4)),"")</f>
        <v>2025</v>
      </c>
      <c r="C404" s="17" t="n">
        <f aca="false">IFERROR(VALUE(RIGHT($A404,2)),"")</f>
        <v>8</v>
      </c>
      <c r="D404" s="17" t="n">
        <f aca="false">IFERROR(ROUNDUP($C404/3,0),"")</f>
        <v>3</v>
      </c>
      <c r="E404" s="11" t="str">
        <f aca="false">TRIM('수출입 실적(성질별_수입)'!C408)</f>
        <v>나. 전기·전자기기</v>
      </c>
      <c r="F404" s="18" t="n">
        <f aca="false">IFERROR(VALUE(SUBSTITUTE(TRIM('수출입 실적(성질별_수입)'!D408),",","")),"")</f>
        <v>174143.4</v>
      </c>
      <c r="G404" s="19" t="n">
        <f aca="false">IFERROR(VALUE(SUBSTITUTE(TRIM('수출입 실적(성질별_수입)'!E408),",","")),"")</f>
        <v>12079553</v>
      </c>
    </row>
    <row r="405" customFormat="false" ht="15" hidden="false" customHeight="true" outlineLevel="0" collapsed="false">
      <c r="A405" s="11" t="str">
        <f aca="false">TRIM('수출입 실적(성질별_수입)'!A409)</f>
        <v>2025.08</v>
      </c>
      <c r="B405" s="17" t="n">
        <f aca="false">IFERROR(VALUE(LEFT($A405,4)),"")</f>
        <v>2025</v>
      </c>
      <c r="C405" s="17" t="n">
        <f aca="false">IFERROR(VALUE(RIGHT($A405,2)),"")</f>
        <v>8</v>
      </c>
      <c r="D405" s="17" t="n">
        <f aca="false">IFERROR(ROUNDUP($C405/3,0),"")</f>
        <v>3</v>
      </c>
      <c r="E405" s="11" t="str">
        <f aca="false">TRIM('수출입 실적(성질별_수입)'!C409)</f>
        <v>다. 수송장비</v>
      </c>
      <c r="F405" s="18" t="n">
        <f aca="false">IFERROR(VALUE(SUBSTITUTE(TRIM('수출입 실적(성질별_수입)'!D409),",","")),"")</f>
        <v>127132.6</v>
      </c>
      <c r="G405" s="19" t="n">
        <f aca="false">IFERROR(VALUE(SUBSTITUTE(TRIM('수출입 실적(성질별_수입)'!E409),",","")),"")</f>
        <v>1005463</v>
      </c>
    </row>
    <row r="406" customFormat="false" ht="15" hidden="false" customHeight="true" outlineLevel="0" collapsed="false">
      <c r="A406" s="11" t="str">
        <f aca="false">TRIM('수출입 실적(성질별_수입)'!A410)</f>
        <v>2025.08</v>
      </c>
      <c r="B406" s="17" t="n">
        <f aca="false">IFERROR(VALUE(LEFT($A406,4)),"")</f>
        <v>2025</v>
      </c>
      <c r="C406" s="17" t="n">
        <f aca="false">IFERROR(VALUE(RIGHT($A406,2)),"")</f>
        <v>8</v>
      </c>
      <c r="D406" s="17" t="n">
        <f aca="false">IFERROR(ROUNDUP($C406/3,0),"")</f>
        <v>3</v>
      </c>
      <c r="E406" s="11" t="str">
        <f aca="false">TRIM('수출입 실적(성질별_수입)'!C410)</f>
        <v>라. 기 타</v>
      </c>
      <c r="F406" s="18" t="n">
        <f aca="false">IFERROR(VALUE(SUBSTITUTE(TRIM('수출입 실적(성질별_수입)'!D410),",","")),"")</f>
        <v>14552.6</v>
      </c>
      <c r="G406" s="19" t="n">
        <f aca="false">IFERROR(VALUE(SUBSTITUTE(TRIM('수출입 실적(성질별_수입)'!E410),",","")),"")</f>
        <v>251836</v>
      </c>
    </row>
    <row r="407" customFormat="false" ht="15" hidden="false" customHeight="true" outlineLevel="0" collapsed="false">
      <c r="A407" s="11" t="str">
        <f aca="false">TRIM('수출입 실적(성질별_수입)'!A411)</f>
        <v>2025.09</v>
      </c>
      <c r="B407" s="17" t="n">
        <f aca="false">IFERROR(VALUE(LEFT($A407,4)),"")</f>
        <v>2025</v>
      </c>
      <c r="C407" s="17" t="n">
        <f aca="false">IFERROR(VALUE(RIGHT($A407,2)),"")</f>
        <v>9</v>
      </c>
      <c r="D407" s="17" t="n">
        <f aca="false">IFERROR(ROUNDUP($C407/3,0),"")</f>
        <v>3</v>
      </c>
      <c r="E407" s="11" t="str">
        <f aca="false">TRIM('수출입 실적(성질별_수입)'!C411)</f>
        <v>1. 소비재</v>
      </c>
      <c r="F407" s="18" t="n">
        <f aca="false">IFERROR(VALUE(SUBSTITUTE(TRIM('수출입 실적(성질별_수입)'!D411),",","")),"")</f>
        <v>3512712.2</v>
      </c>
      <c r="G407" s="19" t="n">
        <f aca="false">IFERROR(VALUE(SUBSTITUTE(TRIM('수출입 실적(성질별_수입)'!E411),",","")),"")</f>
        <v>10080962</v>
      </c>
    </row>
    <row r="408" customFormat="false" ht="15" hidden="false" customHeight="true" outlineLevel="0" collapsed="false">
      <c r="A408" s="11" t="str">
        <f aca="false">TRIM('수출입 실적(성질별_수입)'!A412)</f>
        <v>2025.09</v>
      </c>
      <c r="B408" s="17" t="n">
        <f aca="false">IFERROR(VALUE(LEFT($A408,4)),"")</f>
        <v>2025</v>
      </c>
      <c r="C408" s="17" t="n">
        <f aca="false">IFERROR(VALUE(RIGHT($A408,2)),"")</f>
        <v>9</v>
      </c>
      <c r="D408" s="17" t="n">
        <f aca="false">IFERROR(ROUNDUP($C408/3,0),"")</f>
        <v>3</v>
      </c>
      <c r="E408" s="11" t="str">
        <f aca="false">TRIM('수출입 실적(성질별_수입)'!C412)</f>
        <v>가. 곡물</v>
      </c>
      <c r="F408" s="18" t="n">
        <f aca="false">IFERROR(VALUE(SUBSTITUTE(TRIM('수출입 실적(성질별_수입)'!D412),",","")),"")</f>
        <v>2247945.6</v>
      </c>
      <c r="G408" s="19" t="n">
        <f aca="false">IFERROR(VALUE(SUBSTITUTE(TRIM('수출입 실적(성질별_수입)'!E412),",","")),"")</f>
        <v>679874</v>
      </c>
    </row>
    <row r="409" customFormat="false" ht="15" hidden="false" customHeight="true" outlineLevel="0" collapsed="false">
      <c r="A409" s="11" t="str">
        <f aca="false">TRIM('수출입 실적(성질별_수입)'!A413)</f>
        <v>2025.09</v>
      </c>
      <c r="B409" s="17" t="n">
        <f aca="false">IFERROR(VALUE(LEFT($A409,4)),"")</f>
        <v>2025</v>
      </c>
      <c r="C409" s="17" t="n">
        <f aca="false">IFERROR(VALUE(RIGHT($A409,2)),"")</f>
        <v>9</v>
      </c>
      <c r="D409" s="17" t="n">
        <f aca="false">IFERROR(ROUNDUP($C409/3,0),"")</f>
        <v>3</v>
      </c>
      <c r="E409" s="11" t="str">
        <f aca="false">TRIM('수출입 실적(성질별_수입)'!C413)</f>
        <v>나. 직접소비재</v>
      </c>
      <c r="F409" s="18" t="n">
        <f aca="false">IFERROR(VALUE(SUBSTITUTE(TRIM('수출입 실적(성질별_수입)'!D413),",","")),"")</f>
        <v>825637.8</v>
      </c>
      <c r="G409" s="19" t="n">
        <f aca="false">IFERROR(VALUE(SUBSTITUTE(TRIM('수출입 실적(성질별_수입)'!E413),",","")),"")</f>
        <v>2621488</v>
      </c>
    </row>
    <row r="410" customFormat="false" ht="15" hidden="false" customHeight="true" outlineLevel="0" collapsed="false">
      <c r="A410" s="11" t="str">
        <f aca="false">TRIM('수출입 실적(성질별_수입)'!A414)</f>
        <v>2025.09</v>
      </c>
      <c r="B410" s="17" t="n">
        <f aca="false">IFERROR(VALUE(LEFT($A410,4)),"")</f>
        <v>2025</v>
      </c>
      <c r="C410" s="17" t="n">
        <f aca="false">IFERROR(VALUE(RIGHT($A410,2)),"")</f>
        <v>9</v>
      </c>
      <c r="D410" s="17" t="n">
        <f aca="false">IFERROR(ROUNDUP($C410/3,0),"")</f>
        <v>3</v>
      </c>
      <c r="E410" s="11" t="str">
        <f aca="false">TRIM('수출입 실적(성질별_수입)'!C414)</f>
        <v>다. 내구소비재</v>
      </c>
      <c r="F410" s="18" t="n">
        <f aca="false">IFERROR(VALUE(SUBSTITUTE(TRIM('수출입 실적(성질별_수입)'!D414),",","")),"")</f>
        <v>293062.5</v>
      </c>
      <c r="G410" s="19" t="n">
        <f aca="false">IFERROR(VALUE(SUBSTITUTE(TRIM('수출입 실적(성질별_수입)'!E414),",","")),"")</f>
        <v>4324412</v>
      </c>
    </row>
    <row r="411" customFormat="false" ht="15" hidden="false" customHeight="true" outlineLevel="0" collapsed="false">
      <c r="A411" s="11" t="str">
        <f aca="false">TRIM('수출입 실적(성질별_수입)'!A415)</f>
        <v>2025.09</v>
      </c>
      <c r="B411" s="17" t="n">
        <f aca="false">IFERROR(VALUE(LEFT($A411,4)),"")</f>
        <v>2025</v>
      </c>
      <c r="C411" s="17" t="n">
        <f aca="false">IFERROR(VALUE(RIGHT($A411,2)),"")</f>
        <v>9</v>
      </c>
      <c r="D411" s="17" t="n">
        <f aca="false">IFERROR(ROUNDUP($C411/3,0),"")</f>
        <v>3</v>
      </c>
      <c r="E411" s="11" t="str">
        <f aca="false">TRIM('수출입 실적(성질별_수입)'!C415)</f>
        <v>라. 비내구 소비재</v>
      </c>
      <c r="F411" s="18" t="n">
        <f aca="false">IFERROR(VALUE(SUBSTITUTE(TRIM('수출입 실적(성질별_수입)'!D415),",","")),"")</f>
        <v>146066.3</v>
      </c>
      <c r="G411" s="19" t="n">
        <f aca="false">IFERROR(VALUE(SUBSTITUTE(TRIM('수출입 실적(성질별_수입)'!E415),",","")),"")</f>
        <v>2455188</v>
      </c>
    </row>
    <row r="412" customFormat="false" ht="15" hidden="false" customHeight="true" outlineLevel="0" collapsed="false">
      <c r="A412" s="11" t="str">
        <f aca="false">TRIM('수출입 실적(성질별_수입)'!A416)</f>
        <v>2025.09</v>
      </c>
      <c r="B412" s="17" t="n">
        <f aca="false">IFERROR(VALUE(LEFT($A412,4)),"")</f>
        <v>2025</v>
      </c>
      <c r="C412" s="17" t="n">
        <f aca="false">IFERROR(VALUE(RIGHT($A412,2)),"")</f>
        <v>9</v>
      </c>
      <c r="D412" s="17" t="n">
        <f aca="false">IFERROR(ROUNDUP($C412/3,0),"")</f>
        <v>3</v>
      </c>
      <c r="E412" s="11" t="str">
        <f aca="false">TRIM('수출입 실적(성질별_수입)'!C416)</f>
        <v>2. 원자재</v>
      </c>
      <c r="F412" s="18" t="n">
        <f aca="false">IFERROR(VALUE(SUBSTITUTE(TRIM('수출입 실적(성질별_수입)'!D416),",","")),"")</f>
        <v>43086952.9</v>
      </c>
      <c r="G412" s="19" t="n">
        <f aca="false">IFERROR(VALUE(SUBSTITUTE(TRIM('수출입 실적(성질별_수입)'!E416),",","")),"")</f>
        <v>24488105</v>
      </c>
    </row>
    <row r="413" customFormat="false" ht="15" hidden="false" customHeight="true" outlineLevel="0" collapsed="false">
      <c r="A413" s="11" t="str">
        <f aca="false">TRIM('수출입 실적(성질별_수입)'!A417)</f>
        <v>2025.09</v>
      </c>
      <c r="B413" s="17" t="n">
        <f aca="false">IFERROR(VALUE(LEFT($A413,4)),"")</f>
        <v>2025</v>
      </c>
      <c r="C413" s="17" t="n">
        <f aca="false">IFERROR(VALUE(RIGHT($A413,2)),"")</f>
        <v>9</v>
      </c>
      <c r="D413" s="17" t="n">
        <f aca="false">IFERROR(ROUNDUP($C413/3,0),"")</f>
        <v>3</v>
      </c>
      <c r="E413" s="11" t="str">
        <f aca="false">TRIM('수출입 실적(성질별_수입)'!C417)</f>
        <v>가. 연 료</v>
      </c>
      <c r="F413" s="18" t="n">
        <f aca="false">IFERROR(VALUE(SUBSTITUTE(TRIM('수출입 실적(성질별_수입)'!D417),",","")),"")</f>
        <v>29727008</v>
      </c>
      <c r="G413" s="19" t="n">
        <f aca="false">IFERROR(VALUE(SUBSTITUTE(TRIM('수출입 실적(성질별_수입)'!E417),",","")),"")</f>
        <v>11279609</v>
      </c>
    </row>
    <row r="414" customFormat="false" ht="15" hidden="false" customHeight="true" outlineLevel="0" collapsed="false">
      <c r="A414" s="11" t="str">
        <f aca="false">TRIM('수출입 실적(성질별_수입)'!A418)</f>
        <v>2025.09</v>
      </c>
      <c r="B414" s="17" t="n">
        <f aca="false">IFERROR(VALUE(LEFT($A414,4)),"")</f>
        <v>2025</v>
      </c>
      <c r="C414" s="17" t="n">
        <f aca="false">IFERROR(VALUE(RIGHT($A414,2)),"")</f>
        <v>9</v>
      </c>
      <c r="D414" s="17" t="n">
        <f aca="false">IFERROR(ROUNDUP($C414/3,0),"")</f>
        <v>3</v>
      </c>
      <c r="E414" s="11" t="str">
        <f aca="false">TRIM('수출입 실적(성질별_수입)'!C418)</f>
        <v>나. 광 물</v>
      </c>
      <c r="F414" s="18" t="n">
        <f aca="false">IFERROR(VALUE(SUBSTITUTE(TRIM('수출입 실적(성질별_수입)'!D418),",","")),"")</f>
        <v>7651511.9</v>
      </c>
      <c r="G414" s="19" t="n">
        <f aca="false">IFERROR(VALUE(SUBSTITUTE(TRIM('수출입 실적(성질별_수입)'!E418),",","")),"")</f>
        <v>2547377</v>
      </c>
    </row>
    <row r="415" customFormat="false" ht="15" hidden="false" customHeight="true" outlineLevel="0" collapsed="false">
      <c r="A415" s="11" t="str">
        <f aca="false">TRIM('수출입 실적(성질별_수입)'!A419)</f>
        <v>2025.09</v>
      </c>
      <c r="B415" s="17" t="n">
        <f aca="false">IFERROR(VALUE(LEFT($A415,4)),"")</f>
        <v>2025</v>
      </c>
      <c r="C415" s="17" t="n">
        <f aca="false">IFERROR(VALUE(RIGHT($A415,2)),"")</f>
        <v>9</v>
      </c>
      <c r="D415" s="17" t="n">
        <f aca="false">IFERROR(ROUNDUP($C415/3,0),"")</f>
        <v>3</v>
      </c>
      <c r="E415" s="11" t="str">
        <f aca="false">TRIM('수출입 실적(성질별_수입)'!C419)</f>
        <v>다. 경공업 원료</v>
      </c>
      <c r="F415" s="18" t="n">
        <f aca="false">IFERROR(VALUE(SUBSTITUTE(TRIM('수출입 실적(성질별_수입)'!D419),",","")),"")</f>
        <v>1231416.9</v>
      </c>
      <c r="G415" s="19" t="n">
        <f aca="false">IFERROR(VALUE(SUBSTITUTE(TRIM('수출입 실적(성질별_수입)'!E419),",","")),"")</f>
        <v>505385</v>
      </c>
    </row>
    <row r="416" customFormat="false" ht="15" hidden="false" customHeight="true" outlineLevel="0" collapsed="false">
      <c r="A416" s="11" t="str">
        <f aca="false">TRIM('수출입 실적(성질별_수입)'!A420)</f>
        <v>2025.09</v>
      </c>
      <c r="B416" s="17" t="n">
        <f aca="false">IFERROR(VALUE(LEFT($A416,4)),"")</f>
        <v>2025</v>
      </c>
      <c r="C416" s="17" t="n">
        <f aca="false">IFERROR(VALUE(RIGHT($A416,2)),"")</f>
        <v>9</v>
      </c>
      <c r="D416" s="17" t="n">
        <f aca="false">IFERROR(ROUNDUP($C416/3,0),"")</f>
        <v>3</v>
      </c>
      <c r="E416" s="11" t="str">
        <f aca="false">TRIM('수출입 실적(성질별_수입)'!C420)</f>
        <v>라. 유 지</v>
      </c>
      <c r="F416" s="18" t="n">
        <f aca="false">IFERROR(VALUE(SUBSTITUTE(TRIM('수출입 실적(성질별_수입)'!D420),",","")),"")</f>
        <v>124485.4</v>
      </c>
      <c r="G416" s="19" t="n">
        <f aca="false">IFERROR(VALUE(SUBSTITUTE(TRIM('수출입 실적(성질별_수입)'!E420),",","")),"")</f>
        <v>197889</v>
      </c>
    </row>
    <row r="417" customFormat="false" ht="15" hidden="false" customHeight="true" outlineLevel="0" collapsed="false">
      <c r="A417" s="11" t="str">
        <f aca="false">TRIM('수출입 실적(성질별_수입)'!A421)</f>
        <v>2025.09</v>
      </c>
      <c r="B417" s="17" t="n">
        <f aca="false">IFERROR(VALUE(LEFT($A417,4)),"")</f>
        <v>2025</v>
      </c>
      <c r="C417" s="17" t="n">
        <f aca="false">IFERROR(VALUE(RIGHT($A417,2)),"")</f>
        <v>9</v>
      </c>
      <c r="D417" s="17" t="n">
        <f aca="false">IFERROR(ROUNDUP($C417/3,0),"")</f>
        <v>3</v>
      </c>
      <c r="E417" s="11" t="str">
        <f aca="false">TRIM('수출입 실적(성질별_수입)'!C421)</f>
        <v>마. 섬유류</v>
      </c>
      <c r="F417" s="18" t="n">
        <f aca="false">IFERROR(VALUE(SUBSTITUTE(TRIM('수출입 실적(성질별_수입)'!D421),",","")),"")</f>
        <v>106161.7</v>
      </c>
      <c r="G417" s="19" t="n">
        <f aca="false">IFERROR(VALUE(SUBSTITUTE(TRIM('수출입 실적(성질별_수입)'!E421),",","")),"")</f>
        <v>315288</v>
      </c>
    </row>
    <row r="418" customFormat="false" ht="15" hidden="false" customHeight="true" outlineLevel="0" collapsed="false">
      <c r="A418" s="11" t="str">
        <f aca="false">TRIM('수출입 실적(성질별_수입)'!A422)</f>
        <v>2025.09</v>
      </c>
      <c r="B418" s="17" t="n">
        <f aca="false">IFERROR(VALUE(LEFT($A418,4)),"")</f>
        <v>2025</v>
      </c>
      <c r="C418" s="17" t="n">
        <f aca="false">IFERROR(VALUE(RIGHT($A418,2)),"")</f>
        <v>9</v>
      </c>
      <c r="D418" s="17" t="n">
        <f aca="false">IFERROR(ROUNDUP($C418/3,0),"")</f>
        <v>3</v>
      </c>
      <c r="E418" s="11" t="str">
        <f aca="false">TRIM('수출입 실적(성질별_수입)'!C422)</f>
        <v>바. 화공품</v>
      </c>
      <c r="F418" s="18" t="n">
        <f aca="false">IFERROR(VALUE(SUBSTITUTE(TRIM('수출입 실적(성질별_수입)'!D422),",","")),"")</f>
        <v>1762554.2</v>
      </c>
      <c r="G418" s="19" t="n">
        <f aca="false">IFERROR(VALUE(SUBSTITUTE(TRIM('수출입 실적(성질별_수입)'!E422),",","")),"")</f>
        <v>5072213</v>
      </c>
    </row>
    <row r="419" customFormat="false" ht="15" hidden="false" customHeight="true" outlineLevel="0" collapsed="false">
      <c r="A419" s="11" t="str">
        <f aca="false">TRIM('수출입 실적(성질별_수입)'!A423)</f>
        <v>2025.09</v>
      </c>
      <c r="B419" s="17" t="n">
        <f aca="false">IFERROR(VALUE(LEFT($A419,4)),"")</f>
        <v>2025</v>
      </c>
      <c r="C419" s="17" t="n">
        <f aca="false">IFERROR(VALUE(RIGHT($A419,2)),"")</f>
        <v>9</v>
      </c>
      <c r="D419" s="17" t="n">
        <f aca="false">IFERROR(ROUNDUP($C419/3,0),"")</f>
        <v>3</v>
      </c>
      <c r="E419" s="11" t="str">
        <f aca="false">TRIM('수출입 실적(성질별_수입)'!C423)</f>
        <v>사. 철강재</v>
      </c>
      <c r="F419" s="18" t="n">
        <f aca="false">IFERROR(VALUE(SUBSTITUTE(TRIM('수출입 실적(성질별_수입)'!D423),",","")),"")</f>
        <v>1429608.7</v>
      </c>
      <c r="G419" s="19" t="n">
        <f aca="false">IFERROR(VALUE(SUBSTITUTE(TRIM('수출입 실적(성질별_수입)'!E423),",","")),"")</f>
        <v>1597331</v>
      </c>
    </row>
    <row r="420" customFormat="false" ht="15" hidden="false" customHeight="true" outlineLevel="0" collapsed="false">
      <c r="A420" s="11" t="str">
        <f aca="false">TRIM('수출입 실적(성질별_수입)'!A424)</f>
        <v>2025.09</v>
      </c>
      <c r="B420" s="17" t="n">
        <f aca="false">IFERROR(VALUE(LEFT($A420,4)),"")</f>
        <v>2025</v>
      </c>
      <c r="C420" s="17" t="n">
        <f aca="false">IFERROR(VALUE(RIGHT($A420,2)),"")</f>
        <v>9</v>
      </c>
      <c r="D420" s="17" t="n">
        <f aca="false">IFERROR(ROUNDUP($C420/3,0),"")</f>
        <v>3</v>
      </c>
      <c r="E420" s="11" t="str">
        <f aca="false">TRIM('수출입 실적(성질별_수입)'!C424)</f>
        <v>아. 비철금속</v>
      </c>
      <c r="F420" s="18" t="n">
        <f aca="false">IFERROR(VALUE(SUBSTITUTE(TRIM('수출입 실적(성질별_수입)'!D424),",","")),"")</f>
        <v>263255.4</v>
      </c>
      <c r="G420" s="19" t="n">
        <f aca="false">IFERROR(VALUE(SUBSTITUTE(TRIM('수출입 실적(성질별_수입)'!E424),",","")),"")</f>
        <v>1533531</v>
      </c>
    </row>
    <row r="421" customFormat="false" ht="15" hidden="false" customHeight="true" outlineLevel="0" collapsed="false">
      <c r="A421" s="11" t="str">
        <f aca="false">TRIM('수출입 실적(성질별_수입)'!A425)</f>
        <v>2025.09</v>
      </c>
      <c r="B421" s="17" t="n">
        <f aca="false">IFERROR(VALUE(LEFT($A421,4)),"")</f>
        <v>2025</v>
      </c>
      <c r="C421" s="17" t="n">
        <f aca="false">IFERROR(VALUE(RIGHT($A421,2)),"")</f>
        <v>9</v>
      </c>
      <c r="D421" s="17" t="n">
        <f aca="false">IFERROR(ROUNDUP($C421/3,0),"")</f>
        <v>3</v>
      </c>
      <c r="E421" s="11" t="str">
        <f aca="false">TRIM('수출입 실적(성질별_수입)'!C425)</f>
        <v>자. 기 타</v>
      </c>
      <c r="F421" s="18" t="n">
        <f aca="false">IFERROR(VALUE(SUBSTITUTE(TRIM('수출입 실적(성질별_수입)'!D425),",","")),"")</f>
        <v>790950.7</v>
      </c>
      <c r="G421" s="19" t="n">
        <f aca="false">IFERROR(VALUE(SUBSTITUTE(TRIM('수출입 실적(성질별_수입)'!E425),",","")),"")</f>
        <v>1439481</v>
      </c>
    </row>
    <row r="422" customFormat="false" ht="15" hidden="false" customHeight="true" outlineLevel="0" collapsed="false">
      <c r="A422" s="11" t="str">
        <f aca="false">TRIM('수출입 실적(성질별_수입)'!A426)</f>
        <v>2025.09</v>
      </c>
      <c r="B422" s="17" t="n">
        <f aca="false">IFERROR(VALUE(LEFT($A422,4)),"")</f>
        <v>2025</v>
      </c>
      <c r="C422" s="17" t="n">
        <f aca="false">IFERROR(VALUE(RIGHT($A422,2)),"")</f>
        <v>9</v>
      </c>
      <c r="D422" s="17" t="n">
        <f aca="false">IFERROR(ROUNDUP($C422/3,0),"")</f>
        <v>3</v>
      </c>
      <c r="E422" s="11" t="str">
        <f aca="false">TRIM('수출입 실적(성질별_수입)'!C426)</f>
        <v>3. 자본재</v>
      </c>
      <c r="F422" s="18" t="n">
        <f aca="false">IFERROR(VALUE(SUBSTITUTE(TRIM('수출입 실적(성질별_수입)'!D426),",","")),"")</f>
        <v>678673.1</v>
      </c>
      <c r="G422" s="19" t="n">
        <f aca="false">IFERROR(VALUE(SUBSTITUTE(TRIM('수출입 실적(성질별_수입)'!E426),",","")),"")</f>
        <v>21850546</v>
      </c>
    </row>
    <row r="423" customFormat="false" ht="15" hidden="false" customHeight="true" outlineLevel="0" collapsed="false">
      <c r="A423" s="11" t="str">
        <f aca="false">TRIM('수출입 실적(성질별_수입)'!A427)</f>
        <v>2025.09</v>
      </c>
      <c r="B423" s="17" t="n">
        <f aca="false">IFERROR(VALUE(LEFT($A423,4)),"")</f>
        <v>2025</v>
      </c>
      <c r="C423" s="17" t="n">
        <f aca="false">IFERROR(VALUE(RIGHT($A423,2)),"")</f>
        <v>9</v>
      </c>
      <c r="D423" s="17" t="n">
        <f aca="false">IFERROR(ROUNDUP($C423/3,0),"")</f>
        <v>3</v>
      </c>
      <c r="E423" s="11" t="str">
        <f aca="false">TRIM('수출입 실적(성질별_수입)'!C427)</f>
        <v>가. 기계류와 정밀기기</v>
      </c>
      <c r="F423" s="18" t="n">
        <f aca="false">IFERROR(VALUE(SUBSTITUTE(TRIM('수출입 실적(성질별_수입)'!D427),",","")),"")</f>
        <v>201241.4</v>
      </c>
      <c r="G423" s="19" t="n">
        <f aca="false">IFERROR(VALUE(SUBSTITUTE(TRIM('수출입 실적(성질별_수입)'!E427),",","")),"")</f>
        <v>7178815</v>
      </c>
    </row>
    <row r="424" customFormat="false" ht="15" hidden="false" customHeight="true" outlineLevel="0" collapsed="false">
      <c r="A424" s="11" t="str">
        <f aca="false">TRIM('수출입 실적(성질별_수입)'!A428)</f>
        <v>2025.09</v>
      </c>
      <c r="B424" s="17" t="n">
        <f aca="false">IFERROR(VALUE(LEFT($A424,4)),"")</f>
        <v>2025</v>
      </c>
      <c r="C424" s="17" t="n">
        <f aca="false">IFERROR(VALUE(RIGHT($A424,2)),"")</f>
        <v>9</v>
      </c>
      <c r="D424" s="17" t="n">
        <f aca="false">IFERROR(ROUNDUP($C424/3,0),"")</f>
        <v>3</v>
      </c>
      <c r="E424" s="11" t="str">
        <f aca="false">TRIM('수출입 실적(성질별_수입)'!C428)</f>
        <v>나. 전기·전자기기</v>
      </c>
      <c r="F424" s="18" t="n">
        <f aca="false">IFERROR(VALUE(SUBSTITUTE(TRIM('수출입 실적(성질별_수입)'!D428),",","")),"")</f>
        <v>192493.4</v>
      </c>
      <c r="G424" s="19" t="n">
        <f aca="false">IFERROR(VALUE(SUBSTITUTE(TRIM('수출입 실적(성질별_수입)'!E428),",","")),"")</f>
        <v>13130410</v>
      </c>
    </row>
    <row r="425" customFormat="false" ht="15" hidden="false" customHeight="true" outlineLevel="0" collapsed="false">
      <c r="A425" s="11" t="str">
        <f aca="false">TRIM('수출입 실적(성질별_수입)'!A429)</f>
        <v>2025.09</v>
      </c>
      <c r="B425" s="17" t="n">
        <f aca="false">IFERROR(VALUE(LEFT($A425,4)),"")</f>
        <v>2025</v>
      </c>
      <c r="C425" s="17" t="n">
        <f aca="false">IFERROR(VALUE(RIGHT($A425,2)),"")</f>
        <v>9</v>
      </c>
      <c r="D425" s="17" t="n">
        <f aca="false">IFERROR(ROUNDUP($C425/3,0),"")</f>
        <v>3</v>
      </c>
      <c r="E425" s="11" t="str">
        <f aca="false">TRIM('수출입 실적(성질별_수입)'!C429)</f>
        <v>다. 수송장비</v>
      </c>
      <c r="F425" s="18" t="n">
        <f aca="false">IFERROR(VALUE(SUBSTITUTE(TRIM('수출입 실적(성질별_수입)'!D429),",","")),"")</f>
        <v>270755</v>
      </c>
      <c r="G425" s="19" t="n">
        <f aca="false">IFERROR(VALUE(SUBSTITUTE(TRIM('수출입 실적(성질별_수입)'!E429),",","")),"")</f>
        <v>1322418</v>
      </c>
    </row>
    <row r="426" customFormat="false" ht="15" hidden="false" customHeight="true" outlineLevel="0" collapsed="false">
      <c r="A426" s="11" t="str">
        <f aca="false">TRIM('수출입 실적(성질별_수입)'!A430)</f>
        <v>2025.09</v>
      </c>
      <c r="B426" s="17" t="n">
        <f aca="false">IFERROR(VALUE(LEFT($A426,4)),"")</f>
        <v>2025</v>
      </c>
      <c r="C426" s="17" t="n">
        <f aca="false">IFERROR(VALUE(RIGHT($A426,2)),"")</f>
        <v>9</v>
      </c>
      <c r="D426" s="17" t="n">
        <f aca="false">IFERROR(ROUNDUP($C426/3,0),"")</f>
        <v>3</v>
      </c>
      <c r="E426" s="11" t="str">
        <f aca="false">TRIM('수출입 실적(성질별_수입)'!C430)</f>
        <v>라. 기 타</v>
      </c>
      <c r="F426" s="18" t="n">
        <f aca="false">IFERROR(VALUE(SUBSTITUTE(TRIM('수출입 실적(성질별_수입)'!D430),",","")),"")</f>
        <v>14183.3</v>
      </c>
      <c r="G426" s="19" t="n">
        <f aca="false">IFERROR(VALUE(SUBSTITUTE(TRIM('수출입 실적(성질별_수입)'!E430),",","")),"")</f>
        <v>218904</v>
      </c>
    </row>
    <row r="427" customFormat="false" ht="15" hidden="false" customHeight="true" outlineLevel="0" collapsed="false">
      <c r="A427" s="11" t="str">
        <f aca="false">TRIM('수출입 실적(성질별_수입)'!A431)</f>
        <v>2025.10</v>
      </c>
      <c r="B427" s="17" t="n">
        <f aca="false">IFERROR(VALUE(LEFT($A427,4)),"")</f>
        <v>2025</v>
      </c>
      <c r="C427" s="17" t="n">
        <f aca="false">IFERROR(VALUE(RIGHT($A427,2)),"")</f>
        <v>10</v>
      </c>
      <c r="D427" s="17" t="n">
        <f aca="false">IFERROR(ROUNDUP($C427/3,0),"")</f>
        <v>4</v>
      </c>
      <c r="E427" s="11" t="str">
        <f aca="false">TRIM('수출입 실적(성질별_수입)'!C431)</f>
        <v>1. 소비재</v>
      </c>
      <c r="F427" s="18" t="n">
        <f aca="false">IFERROR(VALUE(SUBSTITUTE(TRIM('수출입 실적(성질별_수입)'!D431),",","")),"")</f>
        <v>3312603.6</v>
      </c>
      <c r="G427" s="19" t="n">
        <f aca="false">IFERROR(VALUE(SUBSTITUTE(TRIM('수출입 실적(성질별_수입)'!E431),",","")),"")</f>
        <v>10179995</v>
      </c>
    </row>
    <row r="428" customFormat="false" ht="15" hidden="false" customHeight="true" outlineLevel="0" collapsed="false">
      <c r="A428" s="11" t="str">
        <f aca="false">TRIM('수출입 실적(성질별_수입)'!A432)</f>
        <v>2025.10</v>
      </c>
      <c r="B428" s="17" t="n">
        <f aca="false">IFERROR(VALUE(LEFT($A428,4)),"")</f>
        <v>2025</v>
      </c>
      <c r="C428" s="17" t="n">
        <f aca="false">IFERROR(VALUE(RIGHT($A428,2)),"")</f>
        <v>10</v>
      </c>
      <c r="D428" s="17" t="n">
        <f aca="false">IFERROR(ROUNDUP($C428/3,0),"")</f>
        <v>4</v>
      </c>
      <c r="E428" s="11" t="str">
        <f aca="false">TRIM('수출입 실적(성질별_수입)'!C432)</f>
        <v>가. 곡물</v>
      </c>
      <c r="F428" s="18" t="n">
        <f aca="false">IFERROR(VALUE(SUBSTITUTE(TRIM('수출입 실적(성질별_수입)'!D432),",","")),"")</f>
        <v>2217253.7</v>
      </c>
      <c r="G428" s="19" t="n">
        <f aca="false">IFERROR(VALUE(SUBSTITUTE(TRIM('수출입 실적(성질별_수입)'!E432),",","")),"")</f>
        <v>649392</v>
      </c>
    </row>
    <row r="429" customFormat="false" ht="15" hidden="false" customHeight="true" outlineLevel="0" collapsed="false">
      <c r="A429" s="11" t="str">
        <f aca="false">TRIM('수출입 실적(성질별_수입)'!A433)</f>
        <v>2025.10</v>
      </c>
      <c r="B429" s="17" t="n">
        <f aca="false">IFERROR(VALUE(LEFT($A429,4)),"")</f>
        <v>2025</v>
      </c>
      <c r="C429" s="17" t="n">
        <f aca="false">IFERROR(VALUE(RIGHT($A429,2)),"")</f>
        <v>10</v>
      </c>
      <c r="D429" s="17" t="n">
        <f aca="false">IFERROR(ROUNDUP($C429/3,0),"")</f>
        <v>4</v>
      </c>
      <c r="E429" s="11" t="str">
        <f aca="false">TRIM('수출입 실적(성질별_수입)'!C433)</f>
        <v>나. 직접소비재</v>
      </c>
      <c r="F429" s="18" t="n">
        <f aca="false">IFERROR(VALUE(SUBSTITUTE(TRIM('수출입 실적(성질별_수입)'!D433),",","")),"")</f>
        <v>701834</v>
      </c>
      <c r="G429" s="19" t="n">
        <f aca="false">IFERROR(VALUE(SUBSTITUTE(TRIM('수출입 실적(성질별_수입)'!E433),",","")),"")</f>
        <v>2221998</v>
      </c>
    </row>
    <row r="430" customFormat="false" ht="15" hidden="false" customHeight="true" outlineLevel="0" collapsed="false">
      <c r="A430" s="11" t="str">
        <f aca="false">TRIM('수출입 실적(성질별_수입)'!A434)</f>
        <v>2025.10</v>
      </c>
      <c r="B430" s="17" t="n">
        <f aca="false">IFERROR(VALUE(LEFT($A430,4)),"")</f>
        <v>2025</v>
      </c>
      <c r="C430" s="17" t="n">
        <f aca="false">IFERROR(VALUE(RIGHT($A430,2)),"")</f>
        <v>10</v>
      </c>
      <c r="D430" s="17" t="n">
        <f aca="false">IFERROR(ROUNDUP($C430/3,0),"")</f>
        <v>4</v>
      </c>
      <c r="E430" s="11" t="str">
        <f aca="false">TRIM('수출입 실적(성질별_수입)'!C434)</f>
        <v>다. 내구소비재</v>
      </c>
      <c r="F430" s="18" t="n">
        <f aca="false">IFERROR(VALUE(SUBSTITUTE(TRIM('수출입 실적(성질별_수입)'!D434),",","")),"")</f>
        <v>260050.7</v>
      </c>
      <c r="G430" s="19" t="n">
        <f aca="false">IFERROR(VALUE(SUBSTITUTE(TRIM('수출입 실적(성질별_수입)'!E434),",","")),"")</f>
        <v>5184001</v>
      </c>
    </row>
    <row r="431" customFormat="false" ht="15" hidden="false" customHeight="true" outlineLevel="0" collapsed="false">
      <c r="A431" s="11" t="str">
        <f aca="false">TRIM('수출입 실적(성질별_수입)'!A435)</f>
        <v>2025.10</v>
      </c>
      <c r="B431" s="17" t="n">
        <f aca="false">IFERROR(VALUE(LEFT($A431,4)),"")</f>
        <v>2025</v>
      </c>
      <c r="C431" s="17" t="n">
        <f aca="false">IFERROR(VALUE(RIGHT($A431,2)),"")</f>
        <v>10</v>
      </c>
      <c r="D431" s="17" t="n">
        <f aca="false">IFERROR(ROUNDUP($C431/3,0),"")</f>
        <v>4</v>
      </c>
      <c r="E431" s="11" t="str">
        <f aca="false">TRIM('수출입 실적(성질별_수입)'!C435)</f>
        <v>라. 비내구 소비재</v>
      </c>
      <c r="F431" s="18" t="n">
        <f aca="false">IFERROR(VALUE(SUBSTITUTE(TRIM('수출입 실적(성질별_수입)'!D435),",","")),"")</f>
        <v>133465.2</v>
      </c>
      <c r="G431" s="19" t="n">
        <f aca="false">IFERROR(VALUE(SUBSTITUTE(TRIM('수출입 실적(성질별_수입)'!E435),",","")),"")</f>
        <v>2124603</v>
      </c>
    </row>
    <row r="432" customFormat="false" ht="15" hidden="false" customHeight="true" outlineLevel="0" collapsed="false">
      <c r="A432" s="11" t="str">
        <f aca="false">TRIM('수출입 실적(성질별_수입)'!A436)</f>
        <v>2025.10</v>
      </c>
      <c r="B432" s="17" t="n">
        <f aca="false">IFERROR(VALUE(LEFT($A432,4)),"")</f>
        <v>2025</v>
      </c>
      <c r="C432" s="17" t="n">
        <f aca="false">IFERROR(VALUE(RIGHT($A432,2)),"")</f>
        <v>10</v>
      </c>
      <c r="D432" s="17" t="n">
        <f aca="false">IFERROR(ROUNDUP($C432/3,0),"")</f>
        <v>4</v>
      </c>
      <c r="E432" s="11" t="str">
        <f aca="false">TRIM('수출입 실적(성질별_수입)'!C436)</f>
        <v>2. 원자재</v>
      </c>
      <c r="F432" s="18" t="n">
        <f aca="false">IFERROR(VALUE(SUBSTITUTE(TRIM('수출입 실적(성질별_수입)'!D436),",","")),"")</f>
        <v>43642260.9</v>
      </c>
      <c r="G432" s="19" t="n">
        <f aca="false">IFERROR(VALUE(SUBSTITUTE(TRIM('수출입 실적(성질별_수입)'!E436),",","")),"")</f>
        <v>23570523</v>
      </c>
    </row>
    <row r="433" customFormat="false" ht="15" hidden="false" customHeight="true" outlineLevel="0" collapsed="false">
      <c r="A433" s="11" t="str">
        <f aca="false">TRIM('수출입 실적(성질별_수입)'!A437)</f>
        <v>2025.10</v>
      </c>
      <c r="B433" s="17" t="n">
        <f aca="false">IFERROR(VALUE(LEFT($A433,4)),"")</f>
        <v>2025</v>
      </c>
      <c r="C433" s="17" t="n">
        <f aca="false">IFERROR(VALUE(RIGHT($A433,2)),"")</f>
        <v>10</v>
      </c>
      <c r="D433" s="17" t="n">
        <f aca="false">IFERROR(ROUNDUP($C433/3,0),"")</f>
        <v>4</v>
      </c>
      <c r="E433" s="11" t="str">
        <f aca="false">TRIM('수출입 실적(성질별_수입)'!C437)</f>
        <v>가. 연 료</v>
      </c>
      <c r="F433" s="18" t="n">
        <f aca="false">IFERROR(VALUE(SUBSTITUTE(TRIM('수출입 실적(성질별_수입)'!D437),",","")),"")</f>
        <v>29820174.5</v>
      </c>
      <c r="G433" s="19" t="n">
        <f aca="false">IFERROR(VALUE(SUBSTITUTE(TRIM('수출입 실적(성질별_수입)'!E437),",","")),"")</f>
        <v>11823082</v>
      </c>
    </row>
    <row r="434" customFormat="false" ht="15" hidden="false" customHeight="true" outlineLevel="0" collapsed="false">
      <c r="A434" s="11" t="str">
        <f aca="false">TRIM('수출입 실적(성질별_수입)'!A438)</f>
        <v>2025.10</v>
      </c>
      <c r="B434" s="17" t="n">
        <f aca="false">IFERROR(VALUE(LEFT($A434,4)),"")</f>
        <v>2025</v>
      </c>
      <c r="C434" s="17" t="n">
        <f aca="false">IFERROR(VALUE(RIGHT($A434,2)),"")</f>
        <v>10</v>
      </c>
      <c r="D434" s="17" t="n">
        <f aca="false">IFERROR(ROUNDUP($C434/3,0),"")</f>
        <v>4</v>
      </c>
      <c r="E434" s="11" t="str">
        <f aca="false">TRIM('수출입 실적(성질별_수입)'!C438)</f>
        <v>나. 광 물</v>
      </c>
      <c r="F434" s="18" t="n">
        <f aca="false">IFERROR(VALUE(SUBSTITUTE(TRIM('수출입 실적(성질별_수입)'!D438),",","")),"")</f>
        <v>8811419</v>
      </c>
      <c r="G434" s="19" t="n">
        <f aca="false">IFERROR(VALUE(SUBSTITUTE(TRIM('수출입 실적(성질별_수입)'!E438),",","")),"")</f>
        <v>2531598</v>
      </c>
    </row>
    <row r="435" customFormat="false" ht="15" hidden="false" customHeight="true" outlineLevel="0" collapsed="false">
      <c r="A435" s="11" t="str">
        <f aca="false">TRIM('수출입 실적(성질별_수입)'!A439)</f>
        <v>2025.10</v>
      </c>
      <c r="B435" s="17" t="n">
        <f aca="false">IFERROR(VALUE(LEFT($A435,4)),"")</f>
        <v>2025</v>
      </c>
      <c r="C435" s="17" t="n">
        <f aca="false">IFERROR(VALUE(RIGHT($A435,2)),"")</f>
        <v>10</v>
      </c>
      <c r="D435" s="17" t="n">
        <f aca="false">IFERROR(ROUNDUP($C435/3,0),"")</f>
        <v>4</v>
      </c>
      <c r="E435" s="11" t="str">
        <f aca="false">TRIM('수출입 실적(성질별_수입)'!C439)</f>
        <v>다. 경공업 원료</v>
      </c>
      <c r="F435" s="18" t="n">
        <f aca="false">IFERROR(VALUE(SUBSTITUTE(TRIM('수출입 실적(성질별_수입)'!D439),",","")),"")</f>
        <v>1165482.7</v>
      </c>
      <c r="G435" s="19" t="n">
        <f aca="false">IFERROR(VALUE(SUBSTITUTE(TRIM('수출입 실적(성질별_수입)'!E439),",","")),"")</f>
        <v>479366</v>
      </c>
    </row>
    <row r="436" customFormat="false" ht="15" hidden="false" customHeight="true" outlineLevel="0" collapsed="false">
      <c r="A436" s="11" t="str">
        <f aca="false">TRIM('수출입 실적(성질별_수입)'!A440)</f>
        <v>2025.10</v>
      </c>
      <c r="B436" s="17" t="n">
        <f aca="false">IFERROR(VALUE(LEFT($A436,4)),"")</f>
        <v>2025</v>
      </c>
      <c r="C436" s="17" t="n">
        <f aca="false">IFERROR(VALUE(RIGHT($A436,2)),"")</f>
        <v>10</v>
      </c>
      <c r="D436" s="17" t="n">
        <f aca="false">IFERROR(ROUNDUP($C436/3,0),"")</f>
        <v>4</v>
      </c>
      <c r="E436" s="11" t="str">
        <f aca="false">TRIM('수출입 실적(성질별_수입)'!C440)</f>
        <v>라. 유 지</v>
      </c>
      <c r="F436" s="18" t="n">
        <f aca="false">IFERROR(VALUE(SUBSTITUTE(TRIM('수출입 실적(성질별_수입)'!D440),",","")),"")</f>
        <v>124915.3</v>
      </c>
      <c r="G436" s="19" t="n">
        <f aca="false">IFERROR(VALUE(SUBSTITUTE(TRIM('수출입 실적(성질별_수입)'!E440),",","")),"")</f>
        <v>188933</v>
      </c>
    </row>
    <row r="437" customFormat="false" ht="15" hidden="false" customHeight="true" outlineLevel="0" collapsed="false">
      <c r="A437" s="11" t="str">
        <f aca="false">TRIM('수출입 실적(성질별_수입)'!A441)</f>
        <v>2025.10</v>
      </c>
      <c r="B437" s="17" t="n">
        <f aca="false">IFERROR(VALUE(LEFT($A437,4)),"")</f>
        <v>2025</v>
      </c>
      <c r="C437" s="17" t="n">
        <f aca="false">IFERROR(VALUE(RIGHT($A437,2)),"")</f>
        <v>10</v>
      </c>
      <c r="D437" s="17" t="n">
        <f aca="false">IFERROR(ROUNDUP($C437/3,0),"")</f>
        <v>4</v>
      </c>
      <c r="E437" s="11" t="str">
        <f aca="false">TRIM('수출입 실적(성질별_수입)'!C441)</f>
        <v>마. 섬유류</v>
      </c>
      <c r="F437" s="18" t="n">
        <f aca="false">IFERROR(VALUE(SUBSTITUTE(TRIM('수출입 실적(성질별_수입)'!D441),",","")),"")</f>
        <v>92029.3</v>
      </c>
      <c r="G437" s="19" t="n">
        <f aca="false">IFERROR(VALUE(SUBSTITUTE(TRIM('수출입 실적(성질별_수입)'!E441),",","")),"")</f>
        <v>274696</v>
      </c>
    </row>
    <row r="438" customFormat="false" ht="15" hidden="false" customHeight="true" outlineLevel="0" collapsed="false">
      <c r="A438" s="11" t="str">
        <f aca="false">TRIM('수출입 실적(성질별_수입)'!A442)</f>
        <v>2025.10</v>
      </c>
      <c r="B438" s="17" t="n">
        <f aca="false">IFERROR(VALUE(LEFT($A438,4)),"")</f>
        <v>2025</v>
      </c>
      <c r="C438" s="17" t="n">
        <f aca="false">IFERROR(VALUE(RIGHT($A438,2)),"")</f>
        <v>10</v>
      </c>
      <c r="D438" s="17" t="n">
        <f aca="false">IFERROR(ROUNDUP($C438/3,0),"")</f>
        <v>4</v>
      </c>
      <c r="E438" s="11" t="str">
        <f aca="false">TRIM('수출입 실적(성질별_수입)'!C442)</f>
        <v>바. 화공품</v>
      </c>
      <c r="F438" s="18" t="n">
        <f aca="false">IFERROR(VALUE(SUBSTITUTE(TRIM('수출입 실적(성질별_수입)'!D442),",","")),"")</f>
        <v>1518546</v>
      </c>
      <c r="G438" s="19" t="n">
        <f aca="false">IFERROR(VALUE(SUBSTITUTE(TRIM('수출입 실적(성질별_수입)'!E442),",","")),"")</f>
        <v>4238406</v>
      </c>
    </row>
    <row r="439" customFormat="false" ht="15" hidden="false" customHeight="true" outlineLevel="0" collapsed="false">
      <c r="A439" s="11" t="str">
        <f aca="false">TRIM('수출입 실적(성질별_수입)'!A443)</f>
        <v>2025.10</v>
      </c>
      <c r="B439" s="17" t="n">
        <f aca="false">IFERROR(VALUE(LEFT($A439,4)),"")</f>
        <v>2025</v>
      </c>
      <c r="C439" s="17" t="n">
        <f aca="false">IFERROR(VALUE(RIGHT($A439,2)),"")</f>
        <v>10</v>
      </c>
      <c r="D439" s="17" t="n">
        <f aca="false">IFERROR(ROUNDUP($C439/3,0),"")</f>
        <v>4</v>
      </c>
      <c r="E439" s="11" t="str">
        <f aca="false">TRIM('수출입 실적(성질별_수입)'!C443)</f>
        <v>사. 철강재</v>
      </c>
      <c r="F439" s="18" t="n">
        <f aca="false">IFERROR(VALUE(SUBSTITUTE(TRIM('수출입 실적(성질별_수입)'!D443),",","")),"")</f>
        <v>1163705.9</v>
      </c>
      <c r="G439" s="19" t="n">
        <f aca="false">IFERROR(VALUE(SUBSTITUTE(TRIM('수출입 실적(성질별_수입)'!E443),",","")),"")</f>
        <v>1335280</v>
      </c>
    </row>
    <row r="440" customFormat="false" ht="15" hidden="false" customHeight="true" outlineLevel="0" collapsed="false">
      <c r="A440" s="11" t="str">
        <f aca="false">TRIM('수출입 실적(성질별_수입)'!A444)</f>
        <v>2025.10</v>
      </c>
      <c r="B440" s="17" t="n">
        <f aca="false">IFERROR(VALUE(LEFT($A440,4)),"")</f>
        <v>2025</v>
      </c>
      <c r="C440" s="17" t="n">
        <f aca="false">IFERROR(VALUE(RIGHT($A440,2)),"")</f>
        <v>10</v>
      </c>
      <c r="D440" s="17" t="n">
        <f aca="false">IFERROR(ROUNDUP($C440/3,0),"")</f>
        <v>4</v>
      </c>
      <c r="E440" s="11" t="str">
        <f aca="false">TRIM('수출입 실적(성질별_수입)'!C444)</f>
        <v>아. 비철금속</v>
      </c>
      <c r="F440" s="18" t="n">
        <f aca="false">IFERROR(VALUE(SUBSTITUTE(TRIM('수출입 실적(성질별_수입)'!D444),",","")),"")</f>
        <v>220810.8</v>
      </c>
      <c r="G440" s="19" t="n">
        <f aca="false">IFERROR(VALUE(SUBSTITUTE(TRIM('수출입 실적(성질별_수입)'!E444),",","")),"")</f>
        <v>1284576</v>
      </c>
    </row>
    <row r="441" customFormat="false" ht="15" hidden="false" customHeight="true" outlineLevel="0" collapsed="false">
      <c r="A441" s="11" t="str">
        <f aca="false">TRIM('수출입 실적(성질별_수입)'!A445)</f>
        <v>2025.10</v>
      </c>
      <c r="B441" s="17" t="n">
        <f aca="false">IFERROR(VALUE(LEFT($A441,4)),"")</f>
        <v>2025</v>
      </c>
      <c r="C441" s="17" t="n">
        <f aca="false">IFERROR(VALUE(RIGHT($A441,2)),"")</f>
        <v>10</v>
      </c>
      <c r="D441" s="17" t="n">
        <f aca="false">IFERROR(ROUNDUP($C441/3,0),"")</f>
        <v>4</v>
      </c>
      <c r="E441" s="11" t="str">
        <f aca="false">TRIM('수출입 실적(성질별_수입)'!C445)</f>
        <v>자. 기 타</v>
      </c>
      <c r="F441" s="18" t="n">
        <f aca="false">IFERROR(VALUE(SUBSTITUTE(TRIM('수출입 실적(성질별_수입)'!D445),",","")),"")</f>
        <v>725177.4</v>
      </c>
      <c r="G441" s="19" t="n">
        <f aca="false">IFERROR(VALUE(SUBSTITUTE(TRIM('수출입 실적(성질별_수입)'!E445),",","")),"")</f>
        <v>1414586</v>
      </c>
    </row>
    <row r="442" customFormat="false" ht="15" hidden="false" customHeight="true" outlineLevel="0" collapsed="false">
      <c r="A442" s="11" t="str">
        <f aca="false">TRIM('수출입 실적(성질별_수입)'!A446)</f>
        <v>2025.10</v>
      </c>
      <c r="B442" s="17" t="n">
        <f aca="false">IFERROR(VALUE(LEFT($A442,4)),"")</f>
        <v>2025</v>
      </c>
      <c r="C442" s="17" t="n">
        <f aca="false">IFERROR(VALUE(RIGHT($A442,2)),"")</f>
        <v>10</v>
      </c>
      <c r="D442" s="17" t="n">
        <f aca="false">IFERROR(ROUNDUP($C442/3,0),"")</f>
        <v>4</v>
      </c>
      <c r="E442" s="11" t="str">
        <f aca="false">TRIM('수출입 실적(성질별_수입)'!C446)</f>
        <v>3. 자본재</v>
      </c>
      <c r="F442" s="18" t="n">
        <f aca="false">IFERROR(VALUE(SUBSTITUTE(TRIM('수출입 실적(성질별_수입)'!D446),",","")),"")</f>
        <v>621029.1</v>
      </c>
      <c r="G442" s="19" t="n">
        <f aca="false">IFERROR(VALUE(SUBSTITUTE(TRIM('수출입 실적(성질별_수입)'!E446),",","")),"")</f>
        <v>19760310</v>
      </c>
    </row>
    <row r="443" customFormat="false" ht="15" hidden="false" customHeight="true" outlineLevel="0" collapsed="false">
      <c r="A443" s="11" t="str">
        <f aca="false">TRIM('수출입 실적(성질별_수입)'!A447)</f>
        <v>2025.10</v>
      </c>
      <c r="B443" s="17" t="n">
        <f aca="false">IFERROR(VALUE(LEFT($A443,4)),"")</f>
        <v>2025</v>
      </c>
      <c r="C443" s="17" t="n">
        <f aca="false">IFERROR(VALUE(RIGHT($A443,2)),"")</f>
        <v>10</v>
      </c>
      <c r="D443" s="17" t="n">
        <f aca="false">IFERROR(ROUNDUP($C443/3,0),"")</f>
        <v>4</v>
      </c>
      <c r="E443" s="11" t="str">
        <f aca="false">TRIM('수출입 실적(성질별_수입)'!C447)</f>
        <v>가. 기계류와 정밀기기</v>
      </c>
      <c r="F443" s="18" t="n">
        <f aca="false">IFERROR(VALUE(SUBSTITUTE(TRIM('수출입 실적(성질별_수입)'!D447),",","")),"")</f>
        <v>167297.3</v>
      </c>
      <c r="G443" s="19" t="n">
        <f aca="false">IFERROR(VALUE(SUBSTITUTE(TRIM('수출입 실적(성질별_수입)'!E447),",","")),"")</f>
        <v>5800581</v>
      </c>
    </row>
    <row r="444" customFormat="false" ht="15" hidden="false" customHeight="true" outlineLevel="0" collapsed="false">
      <c r="A444" s="11" t="str">
        <f aca="false">TRIM('수출입 실적(성질별_수입)'!A448)</f>
        <v>2025.10</v>
      </c>
      <c r="B444" s="17" t="n">
        <f aca="false">IFERROR(VALUE(LEFT($A444,4)),"")</f>
        <v>2025</v>
      </c>
      <c r="C444" s="17" t="n">
        <f aca="false">IFERROR(VALUE(RIGHT($A444,2)),"")</f>
        <v>10</v>
      </c>
      <c r="D444" s="17" t="n">
        <f aca="false">IFERROR(ROUNDUP($C444/3,0),"")</f>
        <v>4</v>
      </c>
      <c r="E444" s="11" t="str">
        <f aca="false">TRIM('수출입 실적(성질별_수입)'!C448)</f>
        <v>나. 전기·전자기기</v>
      </c>
      <c r="F444" s="18" t="n">
        <f aca="false">IFERROR(VALUE(SUBSTITUTE(TRIM('수출입 실적(성질별_수입)'!D448),",","")),"")</f>
        <v>177039.7</v>
      </c>
      <c r="G444" s="19" t="n">
        <f aca="false">IFERROR(VALUE(SUBSTITUTE(TRIM('수출입 실적(성질별_수입)'!E448),",","")),"")</f>
        <v>12344526</v>
      </c>
    </row>
    <row r="445" customFormat="false" ht="15" hidden="false" customHeight="true" outlineLevel="0" collapsed="false">
      <c r="A445" s="11" t="str">
        <f aca="false">TRIM('수출입 실적(성질별_수입)'!A449)</f>
        <v>2025.10</v>
      </c>
      <c r="B445" s="17" t="n">
        <f aca="false">IFERROR(VALUE(LEFT($A445,4)),"")</f>
        <v>2025</v>
      </c>
      <c r="C445" s="17" t="n">
        <f aca="false">IFERROR(VALUE(RIGHT($A445,2)),"")</f>
        <v>10</v>
      </c>
      <c r="D445" s="17" t="n">
        <f aca="false">IFERROR(ROUNDUP($C445/3,0),"")</f>
        <v>4</v>
      </c>
      <c r="E445" s="11" t="str">
        <f aca="false">TRIM('수출입 실적(성질별_수입)'!C449)</f>
        <v>다. 수송장비</v>
      </c>
      <c r="F445" s="18" t="n">
        <f aca="false">IFERROR(VALUE(SUBSTITUTE(TRIM('수출입 실적(성질별_수입)'!D449),",","")),"")</f>
        <v>264106</v>
      </c>
      <c r="G445" s="19" t="n">
        <f aca="false">IFERROR(VALUE(SUBSTITUTE(TRIM('수출입 실적(성질별_수입)'!E449),",","")),"")</f>
        <v>1431756</v>
      </c>
    </row>
    <row r="446" customFormat="false" ht="15" hidden="false" customHeight="true" outlineLevel="0" collapsed="false">
      <c r="A446" s="11" t="str">
        <f aca="false">TRIM('수출입 실적(성질별_수입)'!A450)</f>
        <v>2025.10</v>
      </c>
      <c r="B446" s="17" t="n">
        <f aca="false">IFERROR(VALUE(LEFT($A446,4)),"")</f>
        <v>2025</v>
      </c>
      <c r="C446" s="17" t="n">
        <f aca="false">IFERROR(VALUE(RIGHT($A446,2)),"")</f>
        <v>10</v>
      </c>
      <c r="D446" s="17" t="n">
        <f aca="false">IFERROR(ROUNDUP($C446/3,0),"")</f>
        <v>4</v>
      </c>
      <c r="E446" s="11" t="str">
        <f aca="false">TRIM('수출입 실적(성질별_수입)'!C450)</f>
        <v>라. 기 타</v>
      </c>
      <c r="F446" s="18" t="n">
        <f aca="false">IFERROR(VALUE(SUBSTITUTE(TRIM('수출입 실적(성질별_수입)'!D450),",","")),"")</f>
        <v>12586.1</v>
      </c>
      <c r="G446" s="19" t="n">
        <f aca="false">IFERROR(VALUE(SUBSTITUTE(TRIM('수출입 실적(성질별_수입)'!E450),",","")),"")</f>
        <v>183447</v>
      </c>
    </row>
    <row r="447" customFormat="false" ht="15" hidden="false" customHeight="true" outlineLevel="0" collapsed="false">
      <c r="A447" s="11" t="str">
        <f aca="false">TRIM('수출입 실적(성질별_수입)'!A451)</f>
        <v>2025.11</v>
      </c>
      <c r="B447" s="17" t="n">
        <f aca="false">IFERROR(VALUE(LEFT($A447,4)),"")</f>
        <v>2025</v>
      </c>
      <c r="C447" s="17" t="n">
        <f aca="false">IFERROR(VALUE(RIGHT($A447,2)),"")</f>
        <v>11</v>
      </c>
      <c r="D447" s="17" t="n">
        <f aca="false">IFERROR(ROUNDUP($C447/3,0),"")</f>
        <v>4</v>
      </c>
      <c r="E447" s="11" t="str">
        <f aca="false">TRIM('수출입 실적(성질별_수입)'!C451)</f>
        <v>1. 소비재</v>
      </c>
      <c r="F447" s="18" t="n">
        <f aca="false">IFERROR(VALUE(SUBSTITUTE(TRIM('수출입 실적(성질별_수입)'!D451),",","")),"")</f>
        <v>3155032</v>
      </c>
      <c r="G447" s="19" t="n">
        <f aca="false">IFERROR(VALUE(SUBSTITUTE(TRIM('수출입 실적(성질별_수입)'!E451),",","")),"")</f>
        <v>9381754</v>
      </c>
    </row>
    <row r="448" customFormat="false" ht="15" hidden="false" customHeight="true" outlineLevel="0" collapsed="false">
      <c r="A448" s="11" t="str">
        <f aca="false">TRIM('수출입 실적(성질별_수입)'!A452)</f>
        <v>2025.11</v>
      </c>
      <c r="B448" s="17" t="n">
        <f aca="false">IFERROR(VALUE(LEFT($A448,4)),"")</f>
        <v>2025</v>
      </c>
      <c r="C448" s="17" t="n">
        <f aca="false">IFERROR(VALUE(RIGHT($A448,2)),"")</f>
        <v>11</v>
      </c>
      <c r="D448" s="17" t="n">
        <f aca="false">IFERROR(ROUNDUP($C448/3,0),"")</f>
        <v>4</v>
      </c>
      <c r="E448" s="11" t="str">
        <f aca="false">TRIM('수출입 실적(성질별_수입)'!C452)</f>
        <v>가. 곡물</v>
      </c>
      <c r="F448" s="18" t="n">
        <f aca="false">IFERROR(VALUE(SUBSTITUTE(TRIM('수출입 실적(성질별_수입)'!D452),",","")),"")</f>
        <v>2063149.5</v>
      </c>
      <c r="G448" s="19" t="n">
        <f aca="false">IFERROR(VALUE(SUBSTITUTE(TRIM('수출입 실적(성질별_수입)'!E452),",","")),"")</f>
        <v>614851</v>
      </c>
    </row>
    <row r="449" customFormat="false" ht="15" hidden="false" customHeight="true" outlineLevel="0" collapsed="false">
      <c r="A449" s="11" t="str">
        <f aca="false">TRIM('수출입 실적(성질별_수입)'!A453)</f>
        <v>2025.11</v>
      </c>
      <c r="B449" s="17" t="n">
        <f aca="false">IFERROR(VALUE(LEFT($A449,4)),"")</f>
        <v>2025</v>
      </c>
      <c r="C449" s="17" t="n">
        <f aca="false">IFERROR(VALUE(RIGHT($A449,2)),"")</f>
        <v>11</v>
      </c>
      <c r="D449" s="17" t="n">
        <f aca="false">IFERROR(ROUNDUP($C449/3,0),"")</f>
        <v>4</v>
      </c>
      <c r="E449" s="11" t="str">
        <f aca="false">TRIM('수출입 실적(성질별_수입)'!C453)</f>
        <v>나. 직접소비재</v>
      </c>
      <c r="F449" s="18" t="n">
        <f aca="false">IFERROR(VALUE(SUBSTITUTE(TRIM('수출입 실적(성질별_수입)'!D453),",","")),"")</f>
        <v>691816.2</v>
      </c>
      <c r="G449" s="19" t="n">
        <f aca="false">IFERROR(VALUE(SUBSTITUTE(TRIM('수출입 실적(성질별_수입)'!E453),",","")),"")</f>
        <v>2206759</v>
      </c>
    </row>
    <row r="450" customFormat="false" ht="15" hidden="false" customHeight="true" outlineLevel="0" collapsed="false">
      <c r="A450" s="11" t="str">
        <f aca="false">TRIM('수출입 실적(성질별_수입)'!A454)</f>
        <v>2025.11</v>
      </c>
      <c r="B450" s="17" t="n">
        <f aca="false">IFERROR(VALUE(LEFT($A450,4)),"")</f>
        <v>2025</v>
      </c>
      <c r="C450" s="17" t="n">
        <f aca="false">IFERROR(VALUE(RIGHT($A450,2)),"")</f>
        <v>11</v>
      </c>
      <c r="D450" s="17" t="n">
        <f aca="false">IFERROR(ROUNDUP($C450/3,0),"")</f>
        <v>4</v>
      </c>
      <c r="E450" s="11" t="str">
        <f aca="false">TRIM('수출입 실적(성질별_수입)'!C454)</f>
        <v>다. 내구소비재</v>
      </c>
      <c r="F450" s="18" t="n">
        <f aca="false">IFERROR(VALUE(SUBSTITUTE(TRIM('수출입 실적(성질별_수입)'!D454),",","")),"")</f>
        <v>270463.2</v>
      </c>
      <c r="G450" s="19" t="n">
        <f aca="false">IFERROR(VALUE(SUBSTITUTE(TRIM('수출입 실적(성질별_수입)'!E454),",","")),"")</f>
        <v>4708086</v>
      </c>
    </row>
    <row r="451" customFormat="false" ht="15" hidden="false" customHeight="true" outlineLevel="0" collapsed="false">
      <c r="A451" s="11" t="str">
        <f aca="false">TRIM('수출입 실적(성질별_수입)'!A455)</f>
        <v>2025.11</v>
      </c>
      <c r="B451" s="17" t="n">
        <f aca="false">IFERROR(VALUE(LEFT($A451,4)),"")</f>
        <v>2025</v>
      </c>
      <c r="C451" s="17" t="n">
        <f aca="false">IFERROR(VALUE(RIGHT($A451,2)),"")</f>
        <v>11</v>
      </c>
      <c r="D451" s="17" t="n">
        <f aca="false">IFERROR(ROUNDUP($C451/3,0),"")</f>
        <v>4</v>
      </c>
      <c r="E451" s="11" t="str">
        <f aca="false">TRIM('수출입 실적(성질별_수입)'!C455)</f>
        <v>라. 비내구 소비재</v>
      </c>
      <c r="F451" s="18" t="n">
        <f aca="false">IFERROR(VALUE(SUBSTITUTE(TRIM('수출입 실적(성질별_수입)'!D455),",","")),"")</f>
        <v>129603.1</v>
      </c>
      <c r="G451" s="19" t="n">
        <f aca="false">IFERROR(VALUE(SUBSTITUTE(TRIM('수출입 실적(성질별_수입)'!E455),",","")),"")</f>
        <v>1852059</v>
      </c>
    </row>
    <row r="452" customFormat="false" ht="15" hidden="false" customHeight="true" outlineLevel="0" collapsed="false">
      <c r="A452" s="11" t="str">
        <f aca="false">TRIM('수출입 실적(성질별_수입)'!A456)</f>
        <v>2025.11</v>
      </c>
      <c r="B452" s="17" t="n">
        <f aca="false">IFERROR(VALUE(LEFT($A452,4)),"")</f>
        <v>2025</v>
      </c>
      <c r="C452" s="17" t="n">
        <f aca="false">IFERROR(VALUE(RIGHT($A452,2)),"")</f>
        <v>11</v>
      </c>
      <c r="D452" s="17" t="n">
        <f aca="false">IFERROR(ROUNDUP($C452/3,0),"")</f>
        <v>4</v>
      </c>
      <c r="E452" s="11" t="str">
        <f aca="false">TRIM('수출입 실적(성질별_수입)'!C456)</f>
        <v>2. 원자재</v>
      </c>
      <c r="F452" s="18" t="n">
        <f aca="false">IFERROR(VALUE(SUBSTITUTE(TRIM('수출입 실적(성질별_수입)'!D456),",","")),"")</f>
        <v>39581764.3</v>
      </c>
      <c r="G452" s="19" t="n">
        <f aca="false">IFERROR(VALUE(SUBSTITUTE(TRIM('수출입 실적(성질별_수입)'!E456),",","")),"")</f>
        <v>21849251</v>
      </c>
    </row>
    <row r="453" customFormat="false" ht="15" hidden="false" customHeight="true" outlineLevel="0" collapsed="false">
      <c r="A453" s="11" t="str">
        <f aca="false">TRIM('수출입 실적(성질별_수입)'!A457)</f>
        <v>2025.11</v>
      </c>
      <c r="B453" s="17" t="n">
        <f aca="false">IFERROR(VALUE(LEFT($A453,4)),"")</f>
        <v>2025</v>
      </c>
      <c r="C453" s="17" t="n">
        <f aca="false">IFERROR(VALUE(RIGHT($A453,2)),"")</f>
        <v>11</v>
      </c>
      <c r="D453" s="17" t="n">
        <f aca="false">IFERROR(ROUNDUP($C453/3,0),"")</f>
        <v>4</v>
      </c>
      <c r="E453" s="11" t="str">
        <f aca="false">TRIM('수출입 실적(성질별_수입)'!C457)</f>
        <v>가. 연 료</v>
      </c>
      <c r="F453" s="18" t="n">
        <f aca="false">IFERROR(VALUE(SUBSTITUTE(TRIM('수출입 실적(성질별_수입)'!D457),",","")),"")</f>
        <v>27172113.4</v>
      </c>
      <c r="G453" s="19" t="n">
        <f aca="false">IFERROR(VALUE(SUBSTITUTE(TRIM('수출입 실적(성질별_수입)'!E457),",","")),"")</f>
        <v>10222433</v>
      </c>
    </row>
    <row r="454" customFormat="false" ht="15" hidden="false" customHeight="true" outlineLevel="0" collapsed="false">
      <c r="A454" s="11" t="str">
        <f aca="false">TRIM('수출입 실적(성질별_수입)'!A458)</f>
        <v>2025.11</v>
      </c>
      <c r="B454" s="17" t="n">
        <f aca="false">IFERROR(VALUE(LEFT($A454,4)),"")</f>
        <v>2025</v>
      </c>
      <c r="C454" s="17" t="n">
        <f aca="false">IFERROR(VALUE(RIGHT($A454,2)),"")</f>
        <v>11</v>
      </c>
      <c r="D454" s="17" t="n">
        <f aca="false">IFERROR(ROUNDUP($C454/3,0),"")</f>
        <v>4</v>
      </c>
      <c r="E454" s="11" t="str">
        <f aca="false">TRIM('수출입 실적(성질별_수입)'!C458)</f>
        <v>나. 광 물</v>
      </c>
      <c r="F454" s="18" t="n">
        <f aca="false">IFERROR(VALUE(SUBSTITUTE(TRIM('수출입 실적(성질별_수입)'!D458),",","")),"")</f>
        <v>7347468.9</v>
      </c>
      <c r="G454" s="19" t="n">
        <f aca="false">IFERROR(VALUE(SUBSTITUTE(TRIM('수출입 실적(성질별_수입)'!E458),",","")),"")</f>
        <v>2280580</v>
      </c>
    </row>
    <row r="455" customFormat="false" ht="15" hidden="false" customHeight="true" outlineLevel="0" collapsed="false">
      <c r="A455" s="11" t="str">
        <f aca="false">TRIM('수출입 실적(성질별_수입)'!A459)</f>
        <v>2025.11</v>
      </c>
      <c r="B455" s="17" t="n">
        <f aca="false">IFERROR(VALUE(LEFT($A455,4)),"")</f>
        <v>2025</v>
      </c>
      <c r="C455" s="17" t="n">
        <f aca="false">IFERROR(VALUE(RIGHT($A455,2)),"")</f>
        <v>11</v>
      </c>
      <c r="D455" s="17" t="n">
        <f aca="false">IFERROR(ROUNDUP($C455/3,0),"")</f>
        <v>4</v>
      </c>
      <c r="E455" s="11" t="str">
        <f aca="false">TRIM('수출입 실적(성질별_수입)'!C459)</f>
        <v>다. 경공업 원료</v>
      </c>
      <c r="F455" s="18" t="n">
        <f aca="false">IFERROR(VALUE(SUBSTITUTE(TRIM('수출입 실적(성질별_수입)'!D459),",","")),"")</f>
        <v>1068446.6</v>
      </c>
      <c r="G455" s="19" t="n">
        <f aca="false">IFERROR(VALUE(SUBSTITUTE(TRIM('수출입 실적(성질별_수입)'!E459),",","")),"")</f>
        <v>458138</v>
      </c>
    </row>
    <row r="456" customFormat="false" ht="15" hidden="false" customHeight="true" outlineLevel="0" collapsed="false">
      <c r="A456" s="11" t="str">
        <f aca="false">TRIM('수출입 실적(성질별_수입)'!A460)</f>
        <v>2025.11</v>
      </c>
      <c r="B456" s="17" t="n">
        <f aca="false">IFERROR(VALUE(LEFT($A456,4)),"")</f>
        <v>2025</v>
      </c>
      <c r="C456" s="17" t="n">
        <f aca="false">IFERROR(VALUE(RIGHT($A456,2)),"")</f>
        <v>11</v>
      </c>
      <c r="D456" s="17" t="n">
        <f aca="false">IFERROR(ROUNDUP($C456/3,0),"")</f>
        <v>4</v>
      </c>
      <c r="E456" s="11" t="str">
        <f aca="false">TRIM('수출입 실적(성질별_수입)'!C460)</f>
        <v>라. 유 지</v>
      </c>
      <c r="F456" s="18" t="n">
        <f aca="false">IFERROR(VALUE(SUBSTITUTE(TRIM('수출입 실적(성질별_수입)'!D460),",","")),"")</f>
        <v>152344</v>
      </c>
      <c r="G456" s="19" t="n">
        <f aca="false">IFERROR(VALUE(SUBSTITUTE(TRIM('수출입 실적(성질별_수입)'!E460),",","")),"")</f>
        <v>215598</v>
      </c>
    </row>
    <row r="457" customFormat="false" ht="15" hidden="false" customHeight="true" outlineLevel="0" collapsed="false">
      <c r="A457" s="11" t="str">
        <f aca="false">TRIM('수출입 실적(성질별_수입)'!A461)</f>
        <v>2025.11</v>
      </c>
      <c r="B457" s="17" t="n">
        <f aca="false">IFERROR(VALUE(LEFT($A457,4)),"")</f>
        <v>2025</v>
      </c>
      <c r="C457" s="17" t="n">
        <f aca="false">IFERROR(VALUE(RIGHT($A457,2)),"")</f>
        <v>11</v>
      </c>
      <c r="D457" s="17" t="n">
        <f aca="false">IFERROR(ROUNDUP($C457/3,0),"")</f>
        <v>4</v>
      </c>
      <c r="E457" s="11" t="str">
        <f aca="false">TRIM('수출입 실적(성질별_수입)'!C461)</f>
        <v>마. 섬유류</v>
      </c>
      <c r="F457" s="18" t="n">
        <f aca="false">IFERROR(VALUE(SUBSTITUTE(TRIM('수출입 실적(성질별_수입)'!D461),",","")),"")</f>
        <v>94841.9</v>
      </c>
      <c r="G457" s="19" t="n">
        <f aca="false">IFERROR(VALUE(SUBSTITUTE(TRIM('수출입 실적(성질별_수입)'!E461),",","")),"")</f>
        <v>283886</v>
      </c>
    </row>
    <row r="458" customFormat="false" ht="15" hidden="false" customHeight="true" outlineLevel="0" collapsed="false">
      <c r="A458" s="11" t="str">
        <f aca="false">TRIM('수출입 실적(성질별_수입)'!A462)</f>
        <v>2025.11</v>
      </c>
      <c r="B458" s="17" t="n">
        <f aca="false">IFERROR(VALUE(LEFT($A458,4)),"")</f>
        <v>2025</v>
      </c>
      <c r="C458" s="17" t="n">
        <f aca="false">IFERROR(VALUE(RIGHT($A458,2)),"")</f>
        <v>11</v>
      </c>
      <c r="D458" s="17" t="n">
        <f aca="false">IFERROR(ROUNDUP($C458/3,0),"")</f>
        <v>4</v>
      </c>
      <c r="E458" s="11" t="str">
        <f aca="false">TRIM('수출입 실적(성질별_수입)'!C462)</f>
        <v>바. 화공품</v>
      </c>
      <c r="F458" s="18" t="n">
        <f aca="false">IFERROR(VALUE(SUBSTITUTE(TRIM('수출입 실적(성질별_수입)'!D462),",","")),"")</f>
        <v>1618974.1</v>
      </c>
      <c r="G458" s="19" t="n">
        <f aca="false">IFERROR(VALUE(SUBSTITUTE(TRIM('수출입 실적(성질별_수입)'!E462),",","")),"")</f>
        <v>4329691</v>
      </c>
    </row>
    <row r="459" customFormat="false" ht="15" hidden="false" customHeight="true" outlineLevel="0" collapsed="false">
      <c r="A459" s="11" t="str">
        <f aca="false">TRIM('수출입 실적(성질별_수입)'!A463)</f>
        <v>2025.11</v>
      </c>
      <c r="B459" s="17" t="n">
        <f aca="false">IFERROR(VALUE(LEFT($A459,4)),"")</f>
        <v>2025</v>
      </c>
      <c r="C459" s="17" t="n">
        <f aca="false">IFERROR(VALUE(RIGHT($A459,2)),"")</f>
        <v>11</v>
      </c>
      <c r="D459" s="17" t="n">
        <f aca="false">IFERROR(ROUNDUP($C459/3,0),"")</f>
        <v>4</v>
      </c>
      <c r="E459" s="11" t="str">
        <f aca="false">TRIM('수출입 실적(성질별_수입)'!C463)</f>
        <v>사. 철강재</v>
      </c>
      <c r="F459" s="18" t="n">
        <f aca="false">IFERROR(VALUE(SUBSTITUTE(TRIM('수출입 실적(성질별_수입)'!D463),",","")),"")</f>
        <v>1146654.2</v>
      </c>
      <c r="G459" s="19" t="n">
        <f aca="false">IFERROR(VALUE(SUBSTITUTE(TRIM('수출입 실적(성질별_수입)'!E463),",","")),"")</f>
        <v>1326376</v>
      </c>
    </row>
    <row r="460" customFormat="false" ht="15" hidden="false" customHeight="true" outlineLevel="0" collapsed="false">
      <c r="A460" s="11" t="str">
        <f aca="false">TRIM('수출입 실적(성질별_수입)'!A464)</f>
        <v>2025.11</v>
      </c>
      <c r="B460" s="17" t="n">
        <f aca="false">IFERROR(VALUE(LEFT($A460,4)),"")</f>
        <v>2025</v>
      </c>
      <c r="C460" s="17" t="n">
        <f aca="false">IFERROR(VALUE(RIGHT($A460,2)),"")</f>
        <v>11</v>
      </c>
      <c r="D460" s="17" t="n">
        <f aca="false">IFERROR(ROUNDUP($C460/3,0),"")</f>
        <v>4</v>
      </c>
      <c r="E460" s="11" t="str">
        <f aca="false">TRIM('수출입 실적(성질별_수입)'!C464)</f>
        <v>아. 비철금속</v>
      </c>
      <c r="F460" s="18" t="n">
        <f aca="false">IFERROR(VALUE(SUBSTITUTE(TRIM('수출입 실적(성질별_수입)'!D464),",","")),"")</f>
        <v>215613</v>
      </c>
      <c r="G460" s="19" t="n">
        <f aca="false">IFERROR(VALUE(SUBSTITUTE(TRIM('수출입 실적(성질별_수입)'!E464),",","")),"")</f>
        <v>1404628</v>
      </c>
    </row>
    <row r="461" customFormat="false" ht="15" hidden="false" customHeight="true" outlineLevel="0" collapsed="false">
      <c r="A461" s="11" t="str">
        <f aca="false">TRIM('수출입 실적(성질별_수입)'!A465)</f>
        <v>2025.11</v>
      </c>
      <c r="B461" s="17" t="n">
        <f aca="false">IFERROR(VALUE(LEFT($A461,4)),"")</f>
        <v>2025</v>
      </c>
      <c r="C461" s="17" t="n">
        <f aca="false">IFERROR(VALUE(RIGHT($A461,2)),"")</f>
        <v>11</v>
      </c>
      <c r="D461" s="17" t="n">
        <f aca="false">IFERROR(ROUNDUP($C461/3,0),"")</f>
        <v>4</v>
      </c>
      <c r="E461" s="11" t="str">
        <f aca="false">TRIM('수출입 실적(성질별_수입)'!C465)</f>
        <v>자. 기 타</v>
      </c>
      <c r="F461" s="18" t="n">
        <f aca="false">IFERROR(VALUE(SUBSTITUTE(TRIM('수출입 실적(성질별_수입)'!D465),",","")),"")</f>
        <v>765308.3</v>
      </c>
      <c r="G461" s="19" t="n">
        <f aca="false">IFERROR(VALUE(SUBSTITUTE(TRIM('수출입 실적(성질별_수입)'!E465),",","")),"")</f>
        <v>1327921</v>
      </c>
    </row>
    <row r="462" customFormat="false" ht="15" hidden="false" customHeight="true" outlineLevel="0" collapsed="false">
      <c r="A462" s="11" t="str">
        <f aca="false">TRIM('수출입 실적(성질별_수입)'!A466)</f>
        <v>2025.11</v>
      </c>
      <c r="B462" s="17" t="n">
        <f aca="false">IFERROR(VALUE(LEFT($A462,4)),"")</f>
        <v>2025</v>
      </c>
      <c r="C462" s="17" t="n">
        <f aca="false">IFERROR(VALUE(RIGHT($A462,2)),"")</f>
        <v>11</v>
      </c>
      <c r="D462" s="17" t="n">
        <f aca="false">IFERROR(ROUNDUP($C462/3,0),"")</f>
        <v>4</v>
      </c>
      <c r="E462" s="11" t="str">
        <f aca="false">TRIM('수출입 실적(성질별_수입)'!C466)</f>
        <v>3. 자본재</v>
      </c>
      <c r="F462" s="18" t="n">
        <f aca="false">IFERROR(VALUE(SUBSTITUTE(TRIM('수출입 실적(성질별_수입)'!D466),",","")),"")</f>
        <v>816242.5</v>
      </c>
      <c r="G462" s="19" t="n">
        <f aca="false">IFERROR(VALUE(SUBSTITUTE(TRIM('수출입 실적(성질별_수입)'!E466),",","")),"")</f>
        <v>20053600</v>
      </c>
    </row>
    <row r="463" customFormat="false" ht="15" hidden="false" customHeight="true" outlineLevel="0" collapsed="false">
      <c r="A463" s="11" t="str">
        <f aca="false">TRIM('수출입 실적(성질별_수입)'!A467)</f>
        <v>2025.11</v>
      </c>
      <c r="B463" s="17" t="n">
        <f aca="false">IFERROR(VALUE(LEFT($A463,4)),"")</f>
        <v>2025</v>
      </c>
      <c r="C463" s="17" t="n">
        <f aca="false">IFERROR(VALUE(RIGHT($A463,2)),"")</f>
        <v>11</v>
      </c>
      <c r="D463" s="17" t="n">
        <f aca="false">IFERROR(ROUNDUP($C463/3,0),"")</f>
        <v>4</v>
      </c>
      <c r="E463" s="11" t="str">
        <f aca="false">TRIM('수출입 실적(성질별_수입)'!C467)</f>
        <v>가. 기계류와 정밀기기</v>
      </c>
      <c r="F463" s="18" t="n">
        <f aca="false">IFERROR(VALUE(SUBSTITUTE(TRIM('수출입 실적(성질별_수입)'!D467),",","")),"")</f>
        <v>181898.7</v>
      </c>
      <c r="G463" s="19" t="n">
        <f aca="false">IFERROR(VALUE(SUBSTITUTE(TRIM('수출입 실적(성질별_수입)'!E467),",","")),"")</f>
        <v>6183232</v>
      </c>
    </row>
    <row r="464" customFormat="false" ht="15" hidden="false" customHeight="true" outlineLevel="0" collapsed="false">
      <c r="A464" s="11" t="str">
        <f aca="false">TRIM('수출입 실적(성질별_수입)'!A468)</f>
        <v>2025.11</v>
      </c>
      <c r="B464" s="17" t="n">
        <f aca="false">IFERROR(VALUE(LEFT($A464,4)),"")</f>
        <v>2025</v>
      </c>
      <c r="C464" s="17" t="n">
        <f aca="false">IFERROR(VALUE(RIGHT($A464,2)),"")</f>
        <v>11</v>
      </c>
      <c r="D464" s="17" t="n">
        <f aca="false">IFERROR(ROUNDUP($C464/3,0),"")</f>
        <v>4</v>
      </c>
      <c r="E464" s="11" t="str">
        <f aca="false">TRIM('수출입 실적(성질별_수입)'!C468)</f>
        <v>나. 전기·전자기기</v>
      </c>
      <c r="F464" s="18" t="n">
        <f aca="false">IFERROR(VALUE(SUBSTITUTE(TRIM('수출입 실적(성질별_수입)'!D468),",","")),"")</f>
        <v>180583</v>
      </c>
      <c r="G464" s="19" t="n">
        <f aca="false">IFERROR(VALUE(SUBSTITUTE(TRIM('수출입 실적(성질별_수입)'!E468),",","")),"")</f>
        <v>12203271</v>
      </c>
    </row>
    <row r="465" customFormat="false" ht="15" hidden="false" customHeight="true" outlineLevel="0" collapsed="false">
      <c r="A465" s="11" t="str">
        <f aca="false">TRIM('수출입 실적(성질별_수입)'!A469)</f>
        <v>2025.11</v>
      </c>
      <c r="B465" s="17" t="n">
        <f aca="false">IFERROR(VALUE(LEFT($A465,4)),"")</f>
        <v>2025</v>
      </c>
      <c r="C465" s="17" t="n">
        <f aca="false">IFERROR(VALUE(RIGHT($A465,2)),"")</f>
        <v>11</v>
      </c>
      <c r="D465" s="17" t="n">
        <f aca="false">IFERROR(ROUNDUP($C465/3,0),"")</f>
        <v>4</v>
      </c>
      <c r="E465" s="11" t="str">
        <f aca="false">TRIM('수출입 실적(성질별_수입)'!C469)</f>
        <v>다. 수송장비</v>
      </c>
      <c r="F465" s="18" t="n">
        <f aca="false">IFERROR(VALUE(SUBSTITUTE(TRIM('수출입 실적(성질별_수입)'!D469),",","")),"")</f>
        <v>441477.1</v>
      </c>
      <c r="G465" s="19" t="n">
        <f aca="false">IFERROR(VALUE(SUBSTITUTE(TRIM('수출입 실적(성질별_수입)'!E469),",","")),"")</f>
        <v>1459814</v>
      </c>
    </row>
    <row r="466" customFormat="false" ht="15" hidden="false" customHeight="true" outlineLevel="0" collapsed="false">
      <c r="A466" s="11" t="str">
        <f aca="false">TRIM('수출입 실적(성질별_수입)'!A470)</f>
        <v>2025.11</v>
      </c>
      <c r="B466" s="17" t="n">
        <f aca="false">IFERROR(VALUE(LEFT($A466,4)),"")</f>
        <v>2025</v>
      </c>
      <c r="C466" s="17" t="n">
        <f aca="false">IFERROR(VALUE(RIGHT($A466,2)),"")</f>
        <v>11</v>
      </c>
      <c r="D466" s="17" t="n">
        <f aca="false">IFERROR(ROUNDUP($C466/3,0),"")</f>
        <v>4</v>
      </c>
      <c r="E466" s="11" t="str">
        <f aca="false">TRIM('수출입 실적(성질별_수입)'!C470)</f>
        <v>라. 기 타</v>
      </c>
      <c r="F466" s="18" t="n">
        <f aca="false">IFERROR(VALUE(SUBSTITUTE(TRIM('수출입 실적(성질별_수입)'!D470),",","")),"")</f>
        <v>12283.8</v>
      </c>
      <c r="G466" s="19" t="n">
        <f aca="false">IFERROR(VALUE(SUBSTITUTE(TRIM('수출입 실적(성질별_수입)'!E470),",","")),"")</f>
        <v>207281</v>
      </c>
    </row>
    <row r="467" customFormat="false" ht="15" hidden="false" customHeight="true" outlineLevel="0" collapsed="false">
      <c r="A467" s="11" t="str">
        <f aca="false">TRIM('수출입 실적(성질별_수입)'!A471)</f>
        <v>2025.12</v>
      </c>
      <c r="B467" s="17" t="n">
        <f aca="false">IFERROR(VALUE(LEFT($A467,4)),"")</f>
        <v>2025</v>
      </c>
      <c r="C467" s="17" t="n">
        <f aca="false">IFERROR(VALUE(RIGHT($A467,2)),"")</f>
        <v>12</v>
      </c>
      <c r="D467" s="17" t="n">
        <f aca="false">IFERROR(ROUNDUP($C467/3,0),"")</f>
        <v>4</v>
      </c>
      <c r="E467" s="11" t="str">
        <f aca="false">TRIM('수출입 실적(성질별_수입)'!C471)</f>
        <v>1. 소비재</v>
      </c>
      <c r="F467" s="18" t="n">
        <f aca="false">IFERROR(VALUE(SUBSTITUTE(TRIM('수출입 실적(성질별_수입)'!D471),",","")),"")</f>
        <v>3621192.6</v>
      </c>
      <c r="G467" s="19" t="n">
        <f aca="false">IFERROR(VALUE(SUBSTITUTE(TRIM('수출입 실적(성질별_수입)'!E471),",","")),"")</f>
        <v>9720377</v>
      </c>
    </row>
    <row r="468" customFormat="false" ht="15" hidden="false" customHeight="true" outlineLevel="0" collapsed="false">
      <c r="A468" s="11" t="str">
        <f aca="false">TRIM('수출입 실적(성질별_수입)'!A472)</f>
        <v>2025.12</v>
      </c>
      <c r="B468" s="17" t="n">
        <f aca="false">IFERROR(VALUE(LEFT($A468,4)),"")</f>
        <v>2025</v>
      </c>
      <c r="C468" s="17" t="n">
        <f aca="false">IFERROR(VALUE(RIGHT($A468,2)),"")</f>
        <v>12</v>
      </c>
      <c r="D468" s="17" t="n">
        <f aca="false">IFERROR(ROUNDUP($C468/3,0),"")</f>
        <v>4</v>
      </c>
      <c r="E468" s="11" t="str">
        <f aca="false">TRIM('수출입 실적(성질별_수입)'!C472)</f>
        <v>가. 곡물</v>
      </c>
      <c r="F468" s="18" t="n">
        <f aca="false">IFERROR(VALUE(SUBSTITUTE(TRIM('수출입 실적(성질별_수입)'!D472),",","")),"")</f>
        <v>2397961.8</v>
      </c>
      <c r="G468" s="19" t="n">
        <f aca="false">IFERROR(VALUE(SUBSTITUTE(TRIM('수출입 실적(성질별_수입)'!E472),",","")),"")</f>
        <v>724958</v>
      </c>
    </row>
    <row r="469" customFormat="false" ht="15" hidden="false" customHeight="true" outlineLevel="0" collapsed="false">
      <c r="A469" s="11" t="str">
        <f aca="false">TRIM('수출입 실적(성질별_수입)'!A473)</f>
        <v>2025.12</v>
      </c>
      <c r="B469" s="17" t="n">
        <f aca="false">IFERROR(VALUE(LEFT($A469,4)),"")</f>
        <v>2025</v>
      </c>
      <c r="C469" s="17" t="n">
        <f aca="false">IFERROR(VALUE(RIGHT($A469,2)),"")</f>
        <v>12</v>
      </c>
      <c r="D469" s="17" t="n">
        <f aca="false">IFERROR(ROUNDUP($C469/3,0),"")</f>
        <v>4</v>
      </c>
      <c r="E469" s="11" t="str">
        <f aca="false">TRIM('수출입 실적(성질별_수입)'!C473)</f>
        <v>나. 직접소비재</v>
      </c>
      <c r="F469" s="18" t="n">
        <f aca="false">IFERROR(VALUE(SUBSTITUTE(TRIM('수출입 실적(성질별_수입)'!D473),",","")),"")</f>
        <v>786593.9</v>
      </c>
      <c r="G469" s="19" t="n">
        <f aca="false">IFERROR(VALUE(SUBSTITUTE(TRIM('수출입 실적(성질별_수입)'!E473),",","")),"")</f>
        <v>2479785</v>
      </c>
    </row>
    <row r="470" customFormat="false" ht="15" hidden="false" customHeight="true" outlineLevel="0" collapsed="false">
      <c r="A470" s="11" t="str">
        <f aca="false">TRIM('수출입 실적(성질별_수입)'!A474)</f>
        <v>2025.12</v>
      </c>
      <c r="B470" s="17" t="n">
        <f aca="false">IFERROR(VALUE(LEFT($A470,4)),"")</f>
        <v>2025</v>
      </c>
      <c r="C470" s="17" t="n">
        <f aca="false">IFERROR(VALUE(RIGHT($A470,2)),"")</f>
        <v>12</v>
      </c>
      <c r="D470" s="17" t="n">
        <f aca="false">IFERROR(ROUNDUP($C470/3,0),"")</f>
        <v>4</v>
      </c>
      <c r="E470" s="11" t="str">
        <f aca="false">TRIM('수출입 실적(성질별_수입)'!C474)</f>
        <v>다. 내구소비재</v>
      </c>
      <c r="F470" s="18" t="n">
        <f aca="false">IFERROR(VALUE(SUBSTITUTE(TRIM('수출입 실적(성질별_수입)'!D474),",","")),"")</f>
        <v>297003.3</v>
      </c>
      <c r="G470" s="19" t="n">
        <f aca="false">IFERROR(VALUE(SUBSTITUTE(TRIM('수출입 실적(성질별_수입)'!E474),",","")),"")</f>
        <v>4373815</v>
      </c>
    </row>
    <row r="471" customFormat="false" ht="15" hidden="false" customHeight="true" outlineLevel="0" collapsed="false">
      <c r="A471" s="11" t="str">
        <f aca="false">TRIM('수출입 실적(성질별_수입)'!A475)</f>
        <v>2025.12</v>
      </c>
      <c r="B471" s="17" t="n">
        <f aca="false">IFERROR(VALUE(LEFT($A471,4)),"")</f>
        <v>2025</v>
      </c>
      <c r="C471" s="17" t="n">
        <f aca="false">IFERROR(VALUE(RIGHT($A471,2)),"")</f>
        <v>12</v>
      </c>
      <c r="D471" s="17" t="n">
        <f aca="false">IFERROR(ROUNDUP($C471/3,0),"")</f>
        <v>4</v>
      </c>
      <c r="E471" s="11" t="str">
        <f aca="false">TRIM('수출입 실적(성질별_수입)'!C475)</f>
        <v>라. 비내구 소비재</v>
      </c>
      <c r="F471" s="18" t="n">
        <f aca="false">IFERROR(VALUE(SUBSTITUTE(TRIM('수출입 실적(성질별_수입)'!D475),",","")),"")</f>
        <v>139633.7</v>
      </c>
      <c r="G471" s="19" t="n">
        <f aca="false">IFERROR(VALUE(SUBSTITUTE(TRIM('수출입 실적(성질별_수입)'!E475),",","")),"")</f>
        <v>2141819</v>
      </c>
    </row>
    <row r="472" customFormat="false" ht="15" hidden="false" customHeight="true" outlineLevel="0" collapsed="false">
      <c r="A472" s="11" t="str">
        <f aca="false">TRIM('수출입 실적(성질별_수입)'!A476)</f>
        <v>2025.12</v>
      </c>
      <c r="B472" s="17" t="n">
        <f aca="false">IFERROR(VALUE(LEFT($A472,4)),"")</f>
        <v>2025</v>
      </c>
      <c r="C472" s="17" t="n">
        <f aca="false">IFERROR(VALUE(RIGHT($A472,2)),"")</f>
        <v>12</v>
      </c>
      <c r="D472" s="17" t="n">
        <f aca="false">IFERROR(ROUNDUP($C472/3,0),"")</f>
        <v>4</v>
      </c>
      <c r="E472" s="11" t="str">
        <f aca="false">TRIM('수출입 실적(성질별_수입)'!C476)</f>
        <v>2. 원자재</v>
      </c>
      <c r="F472" s="18" t="n">
        <f aca="false">IFERROR(VALUE(SUBSTITUTE(TRIM('수출입 실적(성질별_수입)'!D476),",","")),"")</f>
        <v>43268516.2</v>
      </c>
      <c r="G472" s="19" t="n">
        <f aca="false">IFERROR(VALUE(SUBSTITUTE(TRIM('수출입 실적(성질별_수입)'!E476),",","")),"")</f>
        <v>24558340</v>
      </c>
    </row>
    <row r="473" customFormat="false" ht="15" hidden="false" customHeight="true" outlineLevel="0" collapsed="false">
      <c r="A473" s="11" t="str">
        <f aca="false">TRIM('수출입 실적(성질별_수입)'!A477)</f>
        <v>2025.12</v>
      </c>
      <c r="B473" s="17" t="n">
        <f aca="false">IFERROR(VALUE(LEFT($A473,4)),"")</f>
        <v>2025</v>
      </c>
      <c r="C473" s="17" t="n">
        <f aca="false">IFERROR(VALUE(RIGHT($A473,2)),"")</f>
        <v>12</v>
      </c>
      <c r="D473" s="17" t="n">
        <f aca="false">IFERROR(ROUNDUP($C473/3,0),"")</f>
        <v>4</v>
      </c>
      <c r="E473" s="11" t="str">
        <f aca="false">TRIM('수출입 실적(성질별_수입)'!C477)</f>
        <v>가. 연 료</v>
      </c>
      <c r="F473" s="18" t="n">
        <f aca="false">IFERROR(VALUE(SUBSTITUTE(TRIM('수출입 실적(성질별_수입)'!D477),",","")),"")</f>
        <v>29163633.8</v>
      </c>
      <c r="G473" s="19" t="n">
        <f aca="false">IFERROR(VALUE(SUBSTITUTE(TRIM('수출입 실적(성질별_수입)'!E477),",","")),"")</f>
        <v>11212688</v>
      </c>
    </row>
    <row r="474" customFormat="false" ht="15" hidden="false" customHeight="true" outlineLevel="0" collapsed="false">
      <c r="A474" s="11" t="str">
        <f aca="false">TRIM('수출입 실적(성질별_수입)'!A478)</f>
        <v>2025.12</v>
      </c>
      <c r="B474" s="17" t="n">
        <f aca="false">IFERROR(VALUE(LEFT($A474,4)),"")</f>
        <v>2025</v>
      </c>
      <c r="C474" s="17" t="n">
        <f aca="false">IFERROR(VALUE(RIGHT($A474,2)),"")</f>
        <v>12</v>
      </c>
      <c r="D474" s="17" t="n">
        <f aca="false">IFERROR(ROUNDUP($C474/3,0),"")</f>
        <v>4</v>
      </c>
      <c r="E474" s="11" t="str">
        <f aca="false">TRIM('수출입 실적(성질별_수입)'!C478)</f>
        <v>나. 광 물</v>
      </c>
      <c r="F474" s="18" t="n">
        <f aca="false">IFERROR(VALUE(SUBSTITUTE(TRIM('수출입 실적(성질별_수입)'!D478),",","")),"")</f>
        <v>8117729.6</v>
      </c>
      <c r="G474" s="19" t="n">
        <f aca="false">IFERROR(VALUE(SUBSTITUTE(TRIM('수출입 실적(성질별_수입)'!E478),",","")),"")</f>
        <v>2546895</v>
      </c>
    </row>
    <row r="475" customFormat="false" ht="15" hidden="false" customHeight="true" outlineLevel="0" collapsed="false">
      <c r="A475" s="11" t="str">
        <f aca="false">TRIM('수출입 실적(성질별_수입)'!A479)</f>
        <v>2025.12</v>
      </c>
      <c r="B475" s="17" t="n">
        <f aca="false">IFERROR(VALUE(LEFT($A475,4)),"")</f>
        <v>2025</v>
      </c>
      <c r="C475" s="17" t="n">
        <f aca="false">IFERROR(VALUE(RIGHT($A475,2)),"")</f>
        <v>12</v>
      </c>
      <c r="D475" s="17" t="n">
        <f aca="false">IFERROR(ROUNDUP($C475/3,0),"")</f>
        <v>4</v>
      </c>
      <c r="E475" s="11" t="str">
        <f aca="false">TRIM('수출입 실적(성질별_수입)'!C479)</f>
        <v>다. 경공업 원료</v>
      </c>
      <c r="F475" s="18" t="n">
        <f aca="false">IFERROR(VALUE(SUBSTITUTE(TRIM('수출입 실적(성질별_수입)'!D479),",","")),"")</f>
        <v>1210409.4</v>
      </c>
      <c r="G475" s="19" t="n">
        <f aca="false">IFERROR(VALUE(SUBSTITUTE(TRIM('수출입 실적(성질별_수입)'!E479),",","")),"")</f>
        <v>533769</v>
      </c>
    </row>
    <row r="476" customFormat="false" ht="15" hidden="false" customHeight="true" outlineLevel="0" collapsed="false">
      <c r="A476" s="11" t="str">
        <f aca="false">TRIM('수출입 실적(성질별_수입)'!A480)</f>
        <v>2025.12</v>
      </c>
      <c r="B476" s="17" t="n">
        <f aca="false">IFERROR(VALUE(LEFT($A476,4)),"")</f>
        <v>2025</v>
      </c>
      <c r="C476" s="17" t="n">
        <f aca="false">IFERROR(VALUE(RIGHT($A476,2)),"")</f>
        <v>12</v>
      </c>
      <c r="D476" s="17" t="n">
        <f aca="false">IFERROR(ROUNDUP($C476/3,0),"")</f>
        <v>4</v>
      </c>
      <c r="E476" s="11" t="str">
        <f aca="false">TRIM('수출입 실적(성질별_수입)'!C480)</f>
        <v>라. 유 지</v>
      </c>
      <c r="F476" s="18" t="n">
        <f aca="false">IFERROR(VALUE(SUBSTITUTE(TRIM('수출입 실적(성질별_수입)'!D480),",","")),"")</f>
        <v>141511</v>
      </c>
      <c r="G476" s="19" t="n">
        <f aca="false">IFERROR(VALUE(SUBSTITUTE(TRIM('수출입 실적(성질별_수입)'!E480),",","")),"")</f>
        <v>220196</v>
      </c>
    </row>
    <row r="477" customFormat="false" ht="15" hidden="false" customHeight="true" outlineLevel="0" collapsed="false">
      <c r="A477" s="11" t="str">
        <f aca="false">TRIM('수출입 실적(성질별_수입)'!A481)</f>
        <v>2025.12</v>
      </c>
      <c r="B477" s="17" t="n">
        <f aca="false">IFERROR(VALUE(LEFT($A477,4)),"")</f>
        <v>2025</v>
      </c>
      <c r="C477" s="17" t="n">
        <f aca="false">IFERROR(VALUE(RIGHT($A477,2)),"")</f>
        <v>12</v>
      </c>
      <c r="D477" s="17" t="n">
        <f aca="false">IFERROR(ROUNDUP($C477/3,0),"")</f>
        <v>4</v>
      </c>
      <c r="E477" s="11" t="str">
        <f aca="false">TRIM('수출입 실적(성질별_수입)'!C481)</f>
        <v>마. 섬유류</v>
      </c>
      <c r="F477" s="18" t="n">
        <f aca="false">IFERROR(VALUE(SUBSTITUTE(TRIM('수출입 실적(성질별_수입)'!D481),",","")),"")</f>
        <v>110050.5</v>
      </c>
      <c r="G477" s="19" t="n">
        <f aca="false">IFERROR(VALUE(SUBSTITUTE(TRIM('수출입 실적(성질별_수입)'!E481),",","")),"")</f>
        <v>317990</v>
      </c>
    </row>
    <row r="478" customFormat="false" ht="15" hidden="false" customHeight="true" outlineLevel="0" collapsed="false">
      <c r="A478" s="11" t="str">
        <f aca="false">TRIM('수출입 실적(성질별_수입)'!A482)</f>
        <v>2025.12</v>
      </c>
      <c r="B478" s="17" t="n">
        <f aca="false">IFERROR(VALUE(LEFT($A478,4)),"")</f>
        <v>2025</v>
      </c>
      <c r="C478" s="17" t="n">
        <f aca="false">IFERROR(VALUE(RIGHT($A478,2)),"")</f>
        <v>12</v>
      </c>
      <c r="D478" s="17" t="n">
        <f aca="false">IFERROR(ROUNDUP($C478/3,0),"")</f>
        <v>4</v>
      </c>
      <c r="E478" s="11" t="str">
        <f aca="false">TRIM('수출입 실적(성질별_수입)'!C482)</f>
        <v>바. 화공품</v>
      </c>
      <c r="F478" s="18" t="n">
        <f aca="false">IFERROR(VALUE(SUBSTITUTE(TRIM('수출입 실적(성질별_수입)'!D482),",","")),"")</f>
        <v>1979238.6</v>
      </c>
      <c r="G478" s="19" t="n">
        <f aca="false">IFERROR(VALUE(SUBSTITUTE(TRIM('수출입 실적(성질별_수입)'!E482),",","")),"")</f>
        <v>5045262</v>
      </c>
    </row>
    <row r="479" customFormat="false" ht="15" hidden="false" customHeight="true" outlineLevel="0" collapsed="false">
      <c r="A479" s="11" t="str">
        <f aca="false">TRIM('수출입 실적(성질별_수입)'!A483)</f>
        <v>2025.12</v>
      </c>
      <c r="B479" s="17" t="n">
        <f aca="false">IFERROR(VALUE(LEFT($A479,4)),"")</f>
        <v>2025</v>
      </c>
      <c r="C479" s="17" t="n">
        <f aca="false">IFERROR(VALUE(RIGHT($A479,2)),"")</f>
        <v>12</v>
      </c>
      <c r="D479" s="17" t="n">
        <f aca="false">IFERROR(ROUNDUP($C479/3,0),"")</f>
        <v>4</v>
      </c>
      <c r="E479" s="11" t="str">
        <f aca="false">TRIM('수출입 실적(성질별_수입)'!C483)</f>
        <v>사. 철강재</v>
      </c>
      <c r="F479" s="18" t="n">
        <f aca="false">IFERROR(VALUE(SUBSTITUTE(TRIM('수출입 실적(성질별_수입)'!D483),",","")),"")</f>
        <v>1444980.1</v>
      </c>
      <c r="G479" s="19" t="n">
        <f aca="false">IFERROR(VALUE(SUBSTITUTE(TRIM('수출입 실적(성질별_수입)'!E483),",","")),"")</f>
        <v>1627440</v>
      </c>
    </row>
    <row r="480" customFormat="false" ht="15" hidden="false" customHeight="true" outlineLevel="0" collapsed="false">
      <c r="A480" s="11" t="str">
        <f aca="false">TRIM('수출입 실적(성질별_수입)'!A484)</f>
        <v>2025.12</v>
      </c>
      <c r="B480" s="17" t="n">
        <f aca="false">IFERROR(VALUE(LEFT($A480,4)),"")</f>
        <v>2025</v>
      </c>
      <c r="C480" s="17" t="n">
        <f aca="false">IFERROR(VALUE(RIGHT($A480,2)),"")</f>
        <v>12</v>
      </c>
      <c r="D480" s="17" t="n">
        <f aca="false">IFERROR(ROUNDUP($C480/3,0),"")</f>
        <v>4</v>
      </c>
      <c r="E480" s="11" t="str">
        <f aca="false">TRIM('수출입 실적(성질별_수입)'!C484)</f>
        <v>아. 비철금속</v>
      </c>
      <c r="F480" s="18" t="n">
        <f aca="false">IFERROR(VALUE(SUBSTITUTE(TRIM('수출입 실적(성질별_수입)'!D484),",","")),"")</f>
        <v>224819</v>
      </c>
      <c r="G480" s="19" t="n">
        <f aca="false">IFERROR(VALUE(SUBSTITUTE(TRIM('수출입 실적(성질별_수입)'!E484),",","")),"")</f>
        <v>1555044</v>
      </c>
    </row>
    <row r="481" customFormat="false" ht="15" hidden="false" customHeight="true" outlineLevel="0" collapsed="false">
      <c r="A481" s="11" t="str">
        <f aca="false">TRIM('수출입 실적(성질별_수입)'!A485)</f>
        <v>2025.12</v>
      </c>
      <c r="B481" s="17" t="n">
        <f aca="false">IFERROR(VALUE(LEFT($A481,4)),"")</f>
        <v>2025</v>
      </c>
      <c r="C481" s="17" t="n">
        <f aca="false">IFERROR(VALUE(RIGHT($A481,2)),"")</f>
        <v>12</v>
      </c>
      <c r="D481" s="17" t="n">
        <f aca="false">IFERROR(ROUNDUP($C481/3,0),"")</f>
        <v>4</v>
      </c>
      <c r="E481" s="11" t="str">
        <f aca="false">TRIM('수출입 실적(성질별_수입)'!C485)</f>
        <v>자. 기 타</v>
      </c>
      <c r="F481" s="18" t="n">
        <f aca="false">IFERROR(VALUE(SUBSTITUTE(TRIM('수출입 실적(성질별_수입)'!D485),",","")),"")</f>
        <v>876144.4</v>
      </c>
      <c r="G481" s="19" t="n">
        <f aca="false">IFERROR(VALUE(SUBSTITUTE(TRIM('수출입 실적(성질별_수입)'!E485),",","")),"")</f>
        <v>1499055</v>
      </c>
    </row>
    <row r="482" customFormat="false" ht="15" hidden="false" customHeight="true" outlineLevel="0" collapsed="false">
      <c r="A482" s="11" t="str">
        <f aca="false">TRIM('수출입 실적(성질별_수입)'!A486)</f>
        <v>2025.12</v>
      </c>
      <c r="B482" s="17" t="n">
        <f aca="false">IFERROR(VALUE(LEFT($A482,4)),"")</f>
        <v>2025</v>
      </c>
      <c r="C482" s="17" t="n">
        <f aca="false">IFERROR(VALUE(RIGHT($A482,2)),"")</f>
        <v>12</v>
      </c>
      <c r="D482" s="17" t="n">
        <f aca="false">IFERROR(ROUNDUP($C482/3,0),"")</f>
        <v>4</v>
      </c>
      <c r="E482" s="11" t="str">
        <f aca="false">TRIM('수출입 실적(성질별_수입)'!C486)</f>
        <v>3. 자본재</v>
      </c>
      <c r="F482" s="18" t="n">
        <f aca="false">IFERROR(VALUE(SUBSTITUTE(TRIM('수출입 실적(성질별_수입)'!D486),",","")),"")</f>
        <v>620697.4</v>
      </c>
      <c r="G482" s="19" t="n">
        <f aca="false">IFERROR(VALUE(SUBSTITUTE(TRIM('수출입 실적(성질별_수입)'!E486),",","")),"")</f>
        <v>23088968</v>
      </c>
    </row>
    <row r="483" customFormat="false" ht="15" hidden="false" customHeight="true" outlineLevel="0" collapsed="false">
      <c r="A483" s="11" t="str">
        <f aca="false">TRIM('수출입 실적(성질별_수입)'!A487)</f>
        <v>2025.12</v>
      </c>
      <c r="B483" s="17" t="n">
        <f aca="false">IFERROR(VALUE(LEFT($A483,4)),"")</f>
        <v>2025</v>
      </c>
      <c r="C483" s="17" t="n">
        <f aca="false">IFERROR(VALUE(RIGHT($A483,2)),"")</f>
        <v>12</v>
      </c>
      <c r="D483" s="17" t="n">
        <f aca="false">IFERROR(ROUNDUP($C483/3,0),"")</f>
        <v>4</v>
      </c>
      <c r="E483" s="11" t="str">
        <f aca="false">TRIM('수출입 실적(성질별_수입)'!C487)</f>
        <v>가. 기계류와 정밀기기</v>
      </c>
      <c r="F483" s="18" t="n">
        <f aca="false">IFERROR(VALUE(SUBSTITUTE(TRIM('수출입 실적(성질별_수입)'!D487),",","")),"")</f>
        <v>203713.8</v>
      </c>
      <c r="G483" s="19" t="n">
        <f aca="false">IFERROR(VALUE(SUBSTITUTE(TRIM('수출입 실적(성질별_수입)'!E487),",","")),"")</f>
        <v>7366924</v>
      </c>
    </row>
    <row r="484" customFormat="false" ht="15" hidden="false" customHeight="true" outlineLevel="0" collapsed="false">
      <c r="A484" s="11" t="str">
        <f aca="false">TRIM('수출입 실적(성질별_수입)'!A488)</f>
        <v>2025.12</v>
      </c>
      <c r="B484" s="17" t="n">
        <f aca="false">IFERROR(VALUE(LEFT($A484,4)),"")</f>
        <v>2025</v>
      </c>
      <c r="C484" s="17" t="n">
        <f aca="false">IFERROR(VALUE(RIGHT($A484,2)),"")</f>
        <v>12</v>
      </c>
      <c r="D484" s="17" t="n">
        <f aca="false">IFERROR(ROUNDUP($C484/3,0),"")</f>
        <v>4</v>
      </c>
      <c r="E484" s="11" t="str">
        <f aca="false">TRIM('수출입 실적(성질별_수입)'!C488)</f>
        <v>나. 전기·전자기기</v>
      </c>
      <c r="F484" s="18" t="n">
        <f aca="false">IFERROR(VALUE(SUBSTITUTE(TRIM('수출입 실적(성질별_수입)'!D488),",","")),"")</f>
        <v>221319.9</v>
      </c>
      <c r="G484" s="19" t="n">
        <f aca="false">IFERROR(VALUE(SUBSTITUTE(TRIM('수출입 실적(성질별_수입)'!E488),",","")),"")</f>
        <v>14149043</v>
      </c>
    </row>
    <row r="485" customFormat="false" ht="15" hidden="false" customHeight="true" outlineLevel="0" collapsed="false">
      <c r="A485" s="11" t="str">
        <f aca="false">TRIM('수출입 실적(성질별_수입)'!A489)</f>
        <v>2025.12</v>
      </c>
      <c r="B485" s="17" t="n">
        <f aca="false">IFERROR(VALUE(LEFT($A485,4)),"")</f>
        <v>2025</v>
      </c>
      <c r="C485" s="17" t="n">
        <f aca="false">IFERROR(VALUE(RIGHT($A485,2)),"")</f>
        <v>12</v>
      </c>
      <c r="D485" s="17" t="n">
        <f aca="false">IFERROR(ROUNDUP($C485/3,0),"")</f>
        <v>4</v>
      </c>
      <c r="E485" s="11" t="str">
        <f aca="false">TRIM('수출입 실적(성질별_수입)'!C489)</f>
        <v>다. 수송장비</v>
      </c>
      <c r="F485" s="18" t="n">
        <f aca="false">IFERROR(VALUE(SUBSTITUTE(TRIM('수출입 실적(성질별_수입)'!D489),",","")),"")</f>
        <v>181476.9</v>
      </c>
      <c r="G485" s="19" t="n">
        <f aca="false">IFERROR(VALUE(SUBSTITUTE(TRIM('수출입 실적(성질별_수입)'!E489),",","")),"")</f>
        <v>1349564</v>
      </c>
    </row>
    <row r="486" customFormat="false" ht="15" hidden="false" customHeight="true" outlineLevel="0" collapsed="false">
      <c r="A486" s="11" t="str">
        <f aca="false">TRIM('수출입 실적(성질별_수입)'!A490)</f>
        <v>2025.12</v>
      </c>
      <c r="B486" s="17" t="n">
        <f aca="false">IFERROR(VALUE(LEFT($A486,4)),"")</f>
        <v>2025</v>
      </c>
      <c r="C486" s="17" t="n">
        <f aca="false">IFERROR(VALUE(RIGHT($A486,2)),"")</f>
        <v>12</v>
      </c>
      <c r="D486" s="17" t="n">
        <f aca="false">IFERROR(ROUNDUP($C486/3,0),"")</f>
        <v>4</v>
      </c>
      <c r="E486" s="11" t="str">
        <f aca="false">TRIM('수출입 실적(성질별_수입)'!C490)</f>
        <v>라. 기 타</v>
      </c>
      <c r="F486" s="18" t="n">
        <f aca="false">IFERROR(VALUE(SUBSTITUTE(TRIM('수출입 실적(성질별_수입)'!D490),",","")),"")</f>
        <v>14186.8</v>
      </c>
      <c r="G486" s="19" t="n">
        <f aca="false">IFERROR(VALUE(SUBSTITUTE(TRIM('수출입 실적(성질별_수입)'!E490),",","")),"")</f>
        <v>223437</v>
      </c>
    </row>
    <row r="487" customFormat="false" ht="15" hidden="false" customHeight="true" outlineLevel="0" collapsed="false">
      <c r="A487" s="11" t="str">
        <f aca="false">TRIM('수출입 실적(성질별_수입)'!A491)</f>
        <v>2026.01</v>
      </c>
      <c r="B487" s="17" t="n">
        <f aca="false">IFERROR(VALUE(LEFT($A487,4)),"")</f>
        <v>2026</v>
      </c>
      <c r="C487" s="17" t="n">
        <f aca="false">IFERROR(VALUE(RIGHT($A487,2)),"")</f>
        <v>1</v>
      </c>
      <c r="D487" s="17" t="n">
        <f aca="false">IFERROR(ROUNDUP($C487/3,0),"")</f>
        <v>1</v>
      </c>
      <c r="E487" s="11" t="str">
        <f aca="false">TRIM('수출입 실적(성질별_수입)'!C491)</f>
        <v>1. 소비재</v>
      </c>
      <c r="F487" s="18" t="n">
        <f aca="false">IFERROR(VALUE(SUBSTITUTE(TRIM('수출입 실적(성질별_수입)'!D491),",","")),"")</f>
        <v>3288193.4</v>
      </c>
      <c r="G487" s="19" t="n">
        <f aca="false">IFERROR(VALUE(SUBSTITUTE(TRIM('수출입 실적(성질별_수입)'!E491),",","")),"")</f>
        <v>10025439</v>
      </c>
    </row>
    <row r="488" customFormat="false" ht="15" hidden="false" customHeight="true" outlineLevel="0" collapsed="false">
      <c r="A488" s="11" t="str">
        <f aca="false">TRIM('수출입 실적(성질별_수입)'!A492)</f>
        <v>2026.01</v>
      </c>
      <c r="B488" s="17" t="n">
        <f aca="false">IFERROR(VALUE(LEFT($A488,4)),"")</f>
        <v>2026</v>
      </c>
      <c r="C488" s="17" t="n">
        <f aca="false">IFERROR(VALUE(RIGHT($A488,2)),"")</f>
        <v>1</v>
      </c>
      <c r="D488" s="17" t="n">
        <f aca="false">IFERROR(ROUNDUP($C488/3,0),"")</f>
        <v>1</v>
      </c>
      <c r="E488" s="11" t="str">
        <f aca="false">TRIM('수출입 실적(성질별_수입)'!C492)</f>
        <v>가. 곡물</v>
      </c>
      <c r="F488" s="18" t="n">
        <f aca="false">IFERROR(VALUE(SUBSTITUTE(TRIM('수출입 실적(성질별_수입)'!D492),",","")),"")</f>
        <v>2075482.2</v>
      </c>
      <c r="G488" s="19" t="n">
        <f aca="false">IFERROR(VALUE(SUBSTITUTE(TRIM('수출입 실적(성질별_수입)'!E492),",","")),"")</f>
        <v>666519</v>
      </c>
    </row>
    <row r="489" customFormat="false" ht="15" hidden="false" customHeight="true" outlineLevel="0" collapsed="false">
      <c r="A489" s="11" t="str">
        <f aca="false">TRIM('수출입 실적(성질별_수입)'!A493)</f>
        <v>2026.01</v>
      </c>
      <c r="B489" s="17" t="n">
        <f aca="false">IFERROR(VALUE(LEFT($A489,4)),"")</f>
        <v>2026</v>
      </c>
      <c r="C489" s="17" t="n">
        <f aca="false">IFERROR(VALUE(RIGHT($A489,2)),"")</f>
        <v>1</v>
      </c>
      <c r="D489" s="17" t="n">
        <f aca="false">IFERROR(ROUNDUP($C489/3,0),"")</f>
        <v>1</v>
      </c>
      <c r="E489" s="11" t="str">
        <f aca="false">TRIM('수출입 실적(성질별_수입)'!C493)</f>
        <v>나. 직접소비재</v>
      </c>
      <c r="F489" s="18" t="n">
        <f aca="false">IFERROR(VALUE(SUBSTITUTE(TRIM('수출입 실적(성질별_수입)'!D493),",","")),"")</f>
        <v>803590.4</v>
      </c>
      <c r="G489" s="19" t="n">
        <f aca="false">IFERROR(VALUE(SUBSTITUTE(TRIM('수출입 실적(성질별_수입)'!E493),",","")),"")</f>
        <v>2960981</v>
      </c>
    </row>
    <row r="490" customFormat="false" ht="15" hidden="false" customHeight="true" outlineLevel="0" collapsed="false">
      <c r="A490" s="11" t="str">
        <f aca="false">TRIM('수출입 실적(성질별_수입)'!A494)</f>
        <v>2026.01</v>
      </c>
      <c r="B490" s="17" t="n">
        <f aca="false">IFERROR(VALUE(LEFT($A490,4)),"")</f>
        <v>2026</v>
      </c>
      <c r="C490" s="17" t="n">
        <f aca="false">IFERROR(VALUE(RIGHT($A490,2)),"")</f>
        <v>1</v>
      </c>
      <c r="D490" s="17" t="n">
        <f aca="false">IFERROR(ROUNDUP($C490/3,0),"")</f>
        <v>1</v>
      </c>
      <c r="E490" s="11" t="str">
        <f aca="false">TRIM('수출입 실적(성질별_수입)'!C494)</f>
        <v>다. 내구소비재</v>
      </c>
      <c r="F490" s="18" t="n">
        <f aca="false">IFERROR(VALUE(SUBSTITUTE(TRIM('수출입 실적(성질별_수입)'!D494),",","")),"")</f>
        <v>284483.4</v>
      </c>
      <c r="G490" s="19" t="n">
        <f aca="false">IFERROR(VALUE(SUBSTITUTE(TRIM('수출입 실적(성질별_수입)'!E494),",","")),"")</f>
        <v>4347447</v>
      </c>
    </row>
    <row r="491" customFormat="false" ht="15" hidden="false" customHeight="true" outlineLevel="0" collapsed="false">
      <c r="A491" s="11" t="str">
        <f aca="false">TRIM('수출입 실적(성질별_수입)'!A495)</f>
        <v>2026.01</v>
      </c>
      <c r="B491" s="17" t="n">
        <f aca="false">IFERROR(VALUE(LEFT($A491,4)),"")</f>
        <v>2026</v>
      </c>
      <c r="C491" s="17" t="n">
        <f aca="false">IFERROR(VALUE(RIGHT($A491,2)),"")</f>
        <v>1</v>
      </c>
      <c r="D491" s="17" t="n">
        <f aca="false">IFERROR(ROUNDUP($C491/3,0),"")</f>
        <v>1</v>
      </c>
      <c r="E491" s="11" t="str">
        <f aca="false">TRIM('수출입 실적(성질별_수입)'!C495)</f>
        <v>라. 비내구 소비재</v>
      </c>
      <c r="F491" s="18" t="n">
        <f aca="false">IFERROR(VALUE(SUBSTITUTE(TRIM('수출입 실적(성질별_수입)'!D495),",","")),"")</f>
        <v>124637.5</v>
      </c>
      <c r="G491" s="19" t="n">
        <f aca="false">IFERROR(VALUE(SUBSTITUTE(TRIM('수출입 실적(성질별_수입)'!E495),",","")),"")</f>
        <v>2050491</v>
      </c>
    </row>
    <row r="492" customFormat="false" ht="15" hidden="false" customHeight="true" outlineLevel="0" collapsed="false">
      <c r="A492" s="11" t="str">
        <f aca="false">TRIM('수출입 실적(성질별_수입)'!A496)</f>
        <v>2026.01</v>
      </c>
      <c r="B492" s="17" t="n">
        <f aca="false">IFERROR(VALUE(LEFT($A492,4)),"")</f>
        <v>2026</v>
      </c>
      <c r="C492" s="17" t="n">
        <f aca="false">IFERROR(VALUE(RIGHT($A492,2)),"")</f>
        <v>1</v>
      </c>
      <c r="D492" s="17" t="n">
        <f aca="false">IFERROR(ROUNDUP($C492/3,0),"")</f>
        <v>1</v>
      </c>
      <c r="E492" s="11" t="str">
        <f aca="false">TRIM('수출입 실적(성질별_수입)'!C496)</f>
        <v>2. 원자재</v>
      </c>
      <c r="F492" s="18" t="n">
        <f aca="false">IFERROR(VALUE(SUBSTITUTE(TRIM('수출입 실적(성질별_수입)'!D496),",","")),"")</f>
        <v>46079124.3</v>
      </c>
      <c r="G492" s="19" t="n">
        <f aca="false">IFERROR(VALUE(SUBSTITUTE(TRIM('수출입 실적(성질별_수입)'!E496),",","")),"")</f>
        <v>25446510</v>
      </c>
    </row>
    <row r="493" customFormat="false" ht="15" hidden="false" customHeight="true" outlineLevel="0" collapsed="false">
      <c r="A493" s="11" t="str">
        <f aca="false">TRIM('수출입 실적(성질별_수입)'!A497)</f>
        <v>2026.01</v>
      </c>
      <c r="B493" s="17" t="n">
        <f aca="false">IFERROR(VALUE(LEFT($A493,4)),"")</f>
        <v>2026</v>
      </c>
      <c r="C493" s="17" t="n">
        <f aca="false">IFERROR(VALUE(RIGHT($A493,2)),"")</f>
        <v>1</v>
      </c>
      <c r="D493" s="17" t="n">
        <f aca="false">IFERROR(ROUNDUP($C493/3,0),"")</f>
        <v>1</v>
      </c>
      <c r="E493" s="11" t="str">
        <f aca="false">TRIM('수출입 실적(성질별_수입)'!C497)</f>
        <v>가. 연 료</v>
      </c>
      <c r="F493" s="18" t="n">
        <f aca="false">IFERROR(VALUE(SUBSTITUTE(TRIM('수출입 실적(성질별_수입)'!D497),",","")),"")</f>
        <v>32363417.5</v>
      </c>
      <c r="G493" s="19" t="n">
        <f aca="false">IFERROR(VALUE(SUBSTITUTE(TRIM('수출입 실적(성질별_수입)'!E497),",","")),"")</f>
        <v>11983830</v>
      </c>
    </row>
    <row r="494" customFormat="false" ht="15" hidden="false" customHeight="true" outlineLevel="0" collapsed="false">
      <c r="A494" s="11" t="str">
        <f aca="false">TRIM('수출입 실적(성질별_수입)'!A498)</f>
        <v>2026.01</v>
      </c>
      <c r="B494" s="17" t="n">
        <f aca="false">IFERROR(VALUE(LEFT($A494,4)),"")</f>
        <v>2026</v>
      </c>
      <c r="C494" s="17" t="n">
        <f aca="false">IFERROR(VALUE(RIGHT($A494,2)),"")</f>
        <v>1</v>
      </c>
      <c r="D494" s="17" t="n">
        <f aca="false">IFERROR(ROUNDUP($C494/3,0),"")</f>
        <v>1</v>
      </c>
      <c r="E494" s="11" t="str">
        <f aca="false">TRIM('수출입 실적(성질별_수입)'!C498)</f>
        <v>나. 광 물</v>
      </c>
      <c r="F494" s="18" t="n">
        <f aca="false">IFERROR(VALUE(SUBSTITUTE(TRIM('수출입 실적(성질별_수입)'!D498),",","")),"")</f>
        <v>8258394.6</v>
      </c>
      <c r="G494" s="19" t="n">
        <f aca="false">IFERROR(VALUE(SUBSTITUTE(TRIM('수출입 실적(성질별_수입)'!E498),",","")),"")</f>
        <v>3257631</v>
      </c>
    </row>
    <row r="495" customFormat="false" ht="15" hidden="false" customHeight="true" outlineLevel="0" collapsed="false">
      <c r="A495" s="11" t="str">
        <f aca="false">TRIM('수출입 실적(성질별_수입)'!A499)</f>
        <v>2026.01</v>
      </c>
      <c r="B495" s="17" t="n">
        <f aca="false">IFERROR(VALUE(LEFT($A495,4)),"")</f>
        <v>2026</v>
      </c>
      <c r="C495" s="17" t="n">
        <f aca="false">IFERROR(VALUE(RIGHT($A495,2)),"")</f>
        <v>1</v>
      </c>
      <c r="D495" s="17" t="n">
        <f aca="false">IFERROR(ROUNDUP($C495/3,0),"")</f>
        <v>1</v>
      </c>
      <c r="E495" s="11" t="str">
        <f aca="false">TRIM('수출입 실적(성질별_수입)'!C499)</f>
        <v>다. 경공업 원료</v>
      </c>
      <c r="F495" s="18" t="n">
        <f aca="false">IFERROR(VALUE(SUBSTITUTE(TRIM('수출입 실적(성질별_수입)'!D499),",","")),"")</f>
        <v>1193121.4</v>
      </c>
      <c r="G495" s="19" t="n">
        <f aca="false">IFERROR(VALUE(SUBSTITUTE(TRIM('수출입 실적(성질별_수입)'!E499),",","")),"")</f>
        <v>502100</v>
      </c>
    </row>
    <row r="496" customFormat="false" ht="15" hidden="false" customHeight="true" outlineLevel="0" collapsed="false">
      <c r="A496" s="11" t="str">
        <f aca="false">TRIM('수출입 실적(성질별_수입)'!A500)</f>
        <v>2026.01</v>
      </c>
      <c r="B496" s="17" t="n">
        <f aca="false">IFERROR(VALUE(LEFT($A496,4)),"")</f>
        <v>2026</v>
      </c>
      <c r="C496" s="17" t="n">
        <f aca="false">IFERROR(VALUE(RIGHT($A496,2)),"")</f>
        <v>1</v>
      </c>
      <c r="D496" s="17" t="n">
        <f aca="false">IFERROR(ROUNDUP($C496/3,0),"")</f>
        <v>1</v>
      </c>
      <c r="E496" s="11" t="str">
        <f aca="false">TRIM('수출입 실적(성질별_수입)'!C500)</f>
        <v>라. 유 지</v>
      </c>
      <c r="F496" s="18" t="n">
        <f aca="false">IFERROR(VALUE(SUBSTITUTE(TRIM('수출입 실적(성질별_수입)'!D500),",","")),"")</f>
        <v>147699.1</v>
      </c>
      <c r="G496" s="19" t="n">
        <f aca="false">IFERROR(VALUE(SUBSTITUTE(TRIM('수출입 실적(성질별_수입)'!E500),",","")),"")</f>
        <v>219924</v>
      </c>
    </row>
    <row r="497" customFormat="false" ht="15" hidden="false" customHeight="true" outlineLevel="0" collapsed="false">
      <c r="A497" s="11" t="str">
        <f aca="false">TRIM('수출입 실적(성질별_수입)'!A501)</f>
        <v>2026.01</v>
      </c>
      <c r="B497" s="17" t="n">
        <f aca="false">IFERROR(VALUE(LEFT($A497,4)),"")</f>
        <v>2026</v>
      </c>
      <c r="C497" s="17" t="n">
        <f aca="false">IFERROR(VALUE(RIGHT($A497,2)),"")</f>
        <v>1</v>
      </c>
      <c r="D497" s="17" t="n">
        <f aca="false">IFERROR(ROUNDUP($C497/3,0),"")</f>
        <v>1</v>
      </c>
      <c r="E497" s="11" t="str">
        <f aca="false">TRIM('수출입 실적(성질별_수입)'!C501)</f>
        <v>마. 섬유류</v>
      </c>
      <c r="F497" s="18" t="n">
        <f aca="false">IFERROR(VALUE(SUBSTITUTE(TRIM('수출입 실적(성질별_수입)'!D501),",","")),"")</f>
        <v>97870.3</v>
      </c>
      <c r="G497" s="19" t="n">
        <f aca="false">IFERROR(VALUE(SUBSTITUTE(TRIM('수출입 실적(성질별_수입)'!E501),",","")),"")</f>
        <v>283326</v>
      </c>
    </row>
    <row r="498" customFormat="false" ht="15" hidden="false" customHeight="true" outlineLevel="0" collapsed="false">
      <c r="A498" s="11" t="str">
        <f aca="false">TRIM('수출입 실적(성질별_수입)'!A502)</f>
        <v>2026.01</v>
      </c>
      <c r="B498" s="17" t="n">
        <f aca="false">IFERROR(VALUE(LEFT($A498,4)),"")</f>
        <v>2026</v>
      </c>
      <c r="C498" s="17" t="n">
        <f aca="false">IFERROR(VALUE(RIGHT($A498,2)),"")</f>
        <v>1</v>
      </c>
      <c r="D498" s="17" t="n">
        <f aca="false">IFERROR(ROUNDUP($C498/3,0),"")</f>
        <v>1</v>
      </c>
      <c r="E498" s="11" t="str">
        <f aca="false">TRIM('수출입 실적(성질별_수입)'!C502)</f>
        <v>바. 화공품</v>
      </c>
      <c r="F498" s="18" t="n">
        <f aca="false">IFERROR(VALUE(SUBSTITUTE(TRIM('수출입 실적(성질별_수입)'!D502),",","")),"")</f>
        <v>1727611.9</v>
      </c>
      <c r="G498" s="19" t="n">
        <f aca="false">IFERROR(VALUE(SUBSTITUTE(TRIM('수출입 실적(성질별_수입)'!E502),",","")),"")</f>
        <v>4486555</v>
      </c>
    </row>
    <row r="499" customFormat="false" ht="15" hidden="false" customHeight="true" outlineLevel="0" collapsed="false">
      <c r="A499" s="11" t="str">
        <f aca="false">TRIM('수출입 실적(성질별_수입)'!A503)</f>
        <v>2026.01</v>
      </c>
      <c r="B499" s="17" t="n">
        <f aca="false">IFERROR(VALUE(LEFT($A499,4)),"")</f>
        <v>2026</v>
      </c>
      <c r="C499" s="17" t="n">
        <f aca="false">IFERROR(VALUE(RIGHT($A499,2)),"")</f>
        <v>1</v>
      </c>
      <c r="D499" s="17" t="n">
        <f aca="false">IFERROR(ROUNDUP($C499/3,0),"")</f>
        <v>1</v>
      </c>
      <c r="E499" s="11" t="str">
        <f aca="false">TRIM('수출입 실적(성질별_수입)'!C503)</f>
        <v>사. 철강재</v>
      </c>
      <c r="F499" s="18" t="n">
        <f aca="false">IFERROR(VALUE(SUBSTITUTE(TRIM('수출입 실적(성질별_수입)'!D503),",","")),"")</f>
        <v>1195804</v>
      </c>
      <c r="G499" s="19" t="n">
        <f aca="false">IFERROR(VALUE(SUBSTITUTE(TRIM('수출입 실적(성질별_수입)'!E503),",","")),"")</f>
        <v>1354633</v>
      </c>
    </row>
    <row r="500" customFormat="false" ht="15" hidden="false" customHeight="true" outlineLevel="0" collapsed="false">
      <c r="A500" s="11" t="str">
        <f aca="false">TRIM('수출입 실적(성질별_수입)'!A504)</f>
        <v>2026.01</v>
      </c>
      <c r="B500" s="17" t="n">
        <f aca="false">IFERROR(VALUE(LEFT($A500,4)),"")</f>
        <v>2026</v>
      </c>
      <c r="C500" s="17" t="n">
        <f aca="false">IFERROR(VALUE(RIGHT($A500,2)),"")</f>
        <v>1</v>
      </c>
      <c r="D500" s="17" t="n">
        <f aca="false">IFERROR(ROUNDUP($C500/3,0),"")</f>
        <v>1</v>
      </c>
      <c r="E500" s="11" t="str">
        <f aca="false">TRIM('수출입 실적(성질별_수입)'!C504)</f>
        <v>아. 비철금속</v>
      </c>
      <c r="F500" s="18" t="n">
        <f aca="false">IFERROR(VALUE(SUBSTITUTE(TRIM('수출입 실적(성질별_수입)'!D504),",","")),"")</f>
        <v>261800.8</v>
      </c>
      <c r="G500" s="19" t="n">
        <f aca="false">IFERROR(VALUE(SUBSTITUTE(TRIM('수출입 실적(성질별_수입)'!E504),",","")),"")</f>
        <v>1766282</v>
      </c>
    </row>
    <row r="501" customFormat="false" ht="15" hidden="false" customHeight="true" outlineLevel="0" collapsed="false">
      <c r="A501" s="11" t="str">
        <f aca="false">TRIM('수출입 실적(성질별_수입)'!A505)</f>
        <v>2026.01</v>
      </c>
      <c r="B501" s="17" t="n">
        <f aca="false">IFERROR(VALUE(LEFT($A501,4)),"")</f>
        <v>2026</v>
      </c>
      <c r="C501" s="17" t="n">
        <f aca="false">IFERROR(VALUE(RIGHT($A501,2)),"")</f>
        <v>1</v>
      </c>
      <c r="D501" s="17" t="n">
        <f aca="false">IFERROR(ROUNDUP($C501/3,0),"")</f>
        <v>1</v>
      </c>
      <c r="E501" s="11" t="str">
        <f aca="false">TRIM('수출입 실적(성질별_수입)'!C505)</f>
        <v>자. 기 타</v>
      </c>
      <c r="F501" s="18" t="n">
        <f aca="false">IFERROR(VALUE(SUBSTITUTE(TRIM('수출입 실적(성질별_수입)'!D505),",","")),"")</f>
        <v>833404.7</v>
      </c>
      <c r="G501" s="19" t="n">
        <f aca="false">IFERROR(VALUE(SUBSTITUTE(TRIM('수출입 실적(성질별_수입)'!E505),",","")),"")</f>
        <v>1592229</v>
      </c>
    </row>
    <row r="502" customFormat="false" ht="15" hidden="false" customHeight="true" outlineLevel="0" collapsed="false">
      <c r="A502" s="11" t="str">
        <f aca="false">TRIM('수출입 실적(성질별_수입)'!A506)</f>
        <v>2026.01</v>
      </c>
      <c r="B502" s="17" t="n">
        <f aca="false">IFERROR(VALUE(LEFT($A502,4)),"")</f>
        <v>2026</v>
      </c>
      <c r="C502" s="17" t="n">
        <f aca="false">IFERROR(VALUE(RIGHT($A502,2)),"")</f>
        <v>1</v>
      </c>
      <c r="D502" s="17" t="n">
        <f aca="false">IFERROR(ROUNDUP($C502/3,0),"")</f>
        <v>1</v>
      </c>
      <c r="E502" s="11" t="str">
        <f aca="false">TRIM('수출입 실적(성질별_수입)'!C506)</f>
        <v>3. 자본재</v>
      </c>
      <c r="F502" s="18" t="n">
        <f aca="false">IFERROR(VALUE(SUBSTITUTE(TRIM('수출입 실적(성질별_수입)'!D506),",","")),"")</f>
        <v>647798.5</v>
      </c>
      <c r="G502" s="19" t="n">
        <f aca="false">IFERROR(VALUE(SUBSTITUTE(TRIM('수출입 실적(성질별_수입)'!E506),",","")),"")</f>
        <v>21671520</v>
      </c>
    </row>
    <row r="503" customFormat="false" ht="15" hidden="false" customHeight="true" outlineLevel="0" collapsed="false">
      <c r="A503" s="11" t="str">
        <f aca="false">TRIM('수출입 실적(성질별_수입)'!A507)</f>
        <v>2026.01</v>
      </c>
      <c r="B503" s="17" t="n">
        <f aca="false">IFERROR(VALUE(LEFT($A503,4)),"")</f>
        <v>2026</v>
      </c>
      <c r="C503" s="17" t="n">
        <f aca="false">IFERROR(VALUE(RIGHT($A503,2)),"")</f>
        <v>1</v>
      </c>
      <c r="D503" s="17" t="n">
        <f aca="false">IFERROR(ROUNDUP($C503/3,0),"")</f>
        <v>1</v>
      </c>
      <c r="E503" s="11" t="str">
        <f aca="false">TRIM('수출입 실적(성질별_수입)'!C507)</f>
        <v>가. 기계류와 정밀기기</v>
      </c>
      <c r="F503" s="18" t="n">
        <f aca="false">IFERROR(VALUE(SUBSTITUTE(TRIM('수출입 실적(성질별_수입)'!D507),",","")),"")</f>
        <v>190374.7</v>
      </c>
      <c r="G503" s="19" t="n">
        <f aca="false">IFERROR(VALUE(SUBSTITUTE(TRIM('수출입 실적(성질별_수입)'!E507),",","")),"")</f>
        <v>6808687</v>
      </c>
    </row>
    <row r="504" customFormat="false" ht="15" hidden="false" customHeight="true" outlineLevel="0" collapsed="false">
      <c r="A504" s="11" t="str">
        <f aca="false">TRIM('수출입 실적(성질별_수입)'!A508)</f>
        <v>2026.01</v>
      </c>
      <c r="B504" s="17" t="n">
        <f aca="false">IFERROR(VALUE(LEFT($A504,4)),"")</f>
        <v>2026</v>
      </c>
      <c r="C504" s="17" t="n">
        <f aca="false">IFERROR(VALUE(RIGHT($A504,2)),"")</f>
        <v>1</v>
      </c>
      <c r="D504" s="17" t="n">
        <f aca="false">IFERROR(ROUNDUP($C504/3,0),"")</f>
        <v>1</v>
      </c>
      <c r="E504" s="11" t="str">
        <f aca="false">TRIM('수출입 실적(성질별_수입)'!C508)</f>
        <v>나. 전기·전자기기</v>
      </c>
      <c r="F504" s="18" t="n">
        <f aca="false">IFERROR(VALUE(SUBSTITUTE(TRIM('수출입 실적(성질별_수입)'!D508),",","")),"")</f>
        <v>186749.4</v>
      </c>
      <c r="G504" s="19" t="n">
        <f aca="false">IFERROR(VALUE(SUBSTITUTE(TRIM('수출입 실적(성질별_수입)'!E508),",","")),"")</f>
        <v>13445934</v>
      </c>
    </row>
    <row r="505" customFormat="false" ht="15" hidden="false" customHeight="true" outlineLevel="0" collapsed="false">
      <c r="A505" s="11" t="str">
        <f aca="false">TRIM('수출입 실적(성질별_수입)'!A509)</f>
        <v>2026.01</v>
      </c>
      <c r="B505" s="17" t="n">
        <f aca="false">IFERROR(VALUE(LEFT($A505,4)),"")</f>
        <v>2026</v>
      </c>
      <c r="C505" s="17" t="n">
        <f aca="false">IFERROR(VALUE(RIGHT($A505,2)),"")</f>
        <v>1</v>
      </c>
      <c r="D505" s="17" t="n">
        <f aca="false">IFERROR(ROUNDUP($C505/3,0),"")</f>
        <v>1</v>
      </c>
      <c r="E505" s="11" t="str">
        <f aca="false">TRIM('수출입 실적(성질별_수입)'!C509)</f>
        <v>다. 수송장비</v>
      </c>
      <c r="F505" s="18" t="n">
        <f aca="false">IFERROR(VALUE(SUBSTITUTE(TRIM('수출입 실적(성질별_수입)'!D509),",","")),"")</f>
        <v>257735.5</v>
      </c>
      <c r="G505" s="19" t="n">
        <f aca="false">IFERROR(VALUE(SUBSTITUTE(TRIM('수출입 실적(성질별_수입)'!E509),",","")),"")</f>
        <v>1228066</v>
      </c>
    </row>
    <row r="506" customFormat="false" ht="15" hidden="false" customHeight="true" outlineLevel="0" collapsed="false">
      <c r="A506" s="11" t="str">
        <f aca="false">TRIM('수출입 실적(성질별_수입)'!A510)</f>
        <v>2026.01</v>
      </c>
      <c r="B506" s="17" t="n">
        <f aca="false">IFERROR(VALUE(LEFT($A506,4)),"")</f>
        <v>2026</v>
      </c>
      <c r="C506" s="17" t="n">
        <f aca="false">IFERROR(VALUE(RIGHT($A506,2)),"")</f>
        <v>1</v>
      </c>
      <c r="D506" s="17" t="n">
        <f aca="false">IFERROR(ROUNDUP($C506/3,0),"")</f>
        <v>1</v>
      </c>
      <c r="E506" s="11" t="str">
        <f aca="false">TRIM('수출입 실적(성질별_수입)'!C510)</f>
        <v>라. 기 타</v>
      </c>
      <c r="F506" s="18" t="n">
        <f aca="false">IFERROR(VALUE(SUBSTITUTE(TRIM('수출입 실적(성질별_수입)'!D510),",","")),"")</f>
        <v>12938.9</v>
      </c>
      <c r="G506" s="19" t="n">
        <f aca="false">IFERROR(VALUE(SUBSTITUTE(TRIM('수출입 실적(성질별_수입)'!E510),",","")),"")</f>
        <v>188833</v>
      </c>
    </row>
    <row r="507" customFormat="false" ht="15" hidden="false" customHeight="true" outlineLevel="0" collapsed="false">
      <c r="A507" s="11" t="str">
        <f aca="false">TRIM('수출입 실적(성질별_수입)'!A511)</f>
        <v>2026.02</v>
      </c>
      <c r="B507" s="17" t="n">
        <f aca="false">IFERROR(VALUE(LEFT($A507,4)),"")</f>
        <v>2026</v>
      </c>
      <c r="C507" s="17" t="n">
        <f aca="false">IFERROR(VALUE(RIGHT($A507,2)),"")</f>
        <v>2</v>
      </c>
      <c r="D507" s="17" t="n">
        <f aca="false">IFERROR(ROUNDUP($C507/3,0),"")</f>
        <v>1</v>
      </c>
      <c r="E507" s="11" t="str">
        <f aca="false">TRIM('수출입 실적(성질별_수입)'!C511)</f>
        <v>1. 소비재</v>
      </c>
      <c r="F507" s="18" t="n">
        <f aca="false">IFERROR(VALUE(SUBSTITUTE(TRIM('수출입 실적(성질별_수입)'!D511),",","")),"")</f>
        <v>3013842.6</v>
      </c>
      <c r="G507" s="19" t="n">
        <f aca="false">IFERROR(VALUE(SUBSTITUTE(TRIM('수출입 실적(성질별_수입)'!E511),",","")),"")</f>
        <v>9273669</v>
      </c>
    </row>
    <row r="508" customFormat="false" ht="15" hidden="false" customHeight="true" outlineLevel="0" collapsed="false">
      <c r="A508" s="11" t="str">
        <f aca="false">TRIM('수출입 실적(성질별_수입)'!A512)</f>
        <v>2026.02</v>
      </c>
      <c r="B508" s="17" t="n">
        <f aca="false">IFERROR(VALUE(LEFT($A508,4)),"")</f>
        <v>2026</v>
      </c>
      <c r="C508" s="17" t="n">
        <f aca="false">IFERROR(VALUE(RIGHT($A508,2)),"")</f>
        <v>2</v>
      </c>
      <c r="D508" s="17" t="n">
        <f aca="false">IFERROR(ROUNDUP($C508/3,0),"")</f>
        <v>1</v>
      </c>
      <c r="E508" s="11" t="str">
        <f aca="false">TRIM('수출입 실적(성질별_수입)'!C512)</f>
        <v>가. 곡물</v>
      </c>
      <c r="F508" s="18" t="n">
        <f aca="false">IFERROR(VALUE(SUBSTITUTE(TRIM('수출입 실적(성질별_수입)'!D512),",","")),"")</f>
        <v>2000175.2</v>
      </c>
      <c r="G508" s="19" t="n">
        <f aca="false">IFERROR(VALUE(SUBSTITUTE(TRIM('수출입 실적(성질별_수입)'!E512),",","")),"")</f>
        <v>606179</v>
      </c>
    </row>
    <row r="509" customFormat="false" ht="15" hidden="false" customHeight="true" outlineLevel="0" collapsed="false">
      <c r="A509" s="11" t="str">
        <f aca="false">TRIM('수출입 실적(성질별_수입)'!A513)</f>
        <v>2026.02</v>
      </c>
      <c r="B509" s="17" t="n">
        <f aca="false">IFERROR(VALUE(LEFT($A509,4)),"")</f>
        <v>2026</v>
      </c>
      <c r="C509" s="17" t="n">
        <f aca="false">IFERROR(VALUE(RIGHT($A509,2)),"")</f>
        <v>2</v>
      </c>
      <c r="D509" s="17" t="n">
        <f aca="false">IFERROR(ROUNDUP($C509/3,0),"")</f>
        <v>1</v>
      </c>
      <c r="E509" s="11" t="str">
        <f aca="false">TRIM('수출입 실적(성질별_수입)'!C513)</f>
        <v>나. 직접소비재</v>
      </c>
      <c r="F509" s="18" t="n">
        <f aca="false">IFERROR(VALUE(SUBSTITUTE(TRIM('수출입 실적(성질별_수입)'!D513),",","")),"")</f>
        <v>638993.8</v>
      </c>
      <c r="G509" s="19" t="n">
        <f aca="false">IFERROR(VALUE(SUBSTITUTE(TRIM('수출입 실적(성질별_수입)'!E513),",","")),"")</f>
        <v>2184307</v>
      </c>
    </row>
    <row r="510" customFormat="false" ht="15" hidden="false" customHeight="true" outlineLevel="0" collapsed="false">
      <c r="A510" s="11" t="str">
        <f aca="false">TRIM('수출입 실적(성질별_수입)'!A514)</f>
        <v>2026.02</v>
      </c>
      <c r="B510" s="17" t="n">
        <f aca="false">IFERROR(VALUE(LEFT($A510,4)),"")</f>
        <v>2026</v>
      </c>
      <c r="C510" s="17" t="n">
        <f aca="false">IFERROR(VALUE(RIGHT($A510,2)),"")</f>
        <v>2</v>
      </c>
      <c r="D510" s="17" t="n">
        <f aca="false">IFERROR(ROUNDUP($C510/3,0),"")</f>
        <v>1</v>
      </c>
      <c r="E510" s="11" t="str">
        <f aca="false">TRIM('수출입 실적(성질별_수입)'!C514)</f>
        <v>다. 내구소비재</v>
      </c>
      <c r="F510" s="18" t="n">
        <f aca="false">IFERROR(VALUE(SUBSTITUTE(TRIM('수출입 실적(성질별_수입)'!D514),",","")),"")</f>
        <v>264298.3</v>
      </c>
      <c r="G510" s="19" t="n">
        <f aca="false">IFERROR(VALUE(SUBSTITUTE(TRIM('수출입 실적(성질별_수입)'!E514),",","")),"")</f>
        <v>4571702</v>
      </c>
    </row>
    <row r="511" customFormat="false" ht="15" hidden="false" customHeight="true" outlineLevel="0" collapsed="false">
      <c r="A511" s="11" t="str">
        <f aca="false">TRIM('수출입 실적(성질별_수입)'!A515)</f>
        <v>2026.02</v>
      </c>
      <c r="B511" s="17" t="n">
        <f aca="false">IFERROR(VALUE(LEFT($A511,4)),"")</f>
        <v>2026</v>
      </c>
      <c r="C511" s="17" t="n">
        <f aca="false">IFERROR(VALUE(RIGHT($A511,2)),"")</f>
        <v>2</v>
      </c>
      <c r="D511" s="17" t="n">
        <f aca="false">IFERROR(ROUNDUP($C511/3,0),"")</f>
        <v>1</v>
      </c>
      <c r="E511" s="11" t="str">
        <f aca="false">TRIM('수출입 실적(성질별_수입)'!C515)</f>
        <v>라. 비내구 소비재</v>
      </c>
      <c r="F511" s="18" t="n">
        <f aca="false">IFERROR(VALUE(SUBSTITUTE(TRIM('수출입 실적(성질별_수입)'!D515),",","")),"")</f>
        <v>110375.3</v>
      </c>
      <c r="G511" s="19" t="n">
        <f aca="false">IFERROR(VALUE(SUBSTITUTE(TRIM('수출입 실적(성질별_수입)'!E515),",","")),"")</f>
        <v>1911482</v>
      </c>
    </row>
    <row r="512" customFormat="false" ht="15" hidden="false" customHeight="true" outlineLevel="0" collapsed="false">
      <c r="A512" s="11" t="str">
        <f aca="false">TRIM('수출입 실적(성질별_수입)'!A516)</f>
        <v>2026.02</v>
      </c>
      <c r="B512" s="17" t="n">
        <f aca="false">IFERROR(VALUE(LEFT($A512,4)),"")</f>
        <v>2026</v>
      </c>
      <c r="C512" s="17" t="n">
        <f aca="false">IFERROR(VALUE(RIGHT($A512,2)),"")</f>
        <v>2</v>
      </c>
      <c r="D512" s="17" t="n">
        <f aca="false">IFERROR(ROUNDUP($C512/3,0),"")</f>
        <v>1</v>
      </c>
      <c r="E512" s="11" t="str">
        <f aca="false">TRIM('수출입 실적(성질별_수입)'!C516)</f>
        <v>2. 원자재</v>
      </c>
      <c r="F512" s="18" t="n">
        <f aca="false">IFERROR(VALUE(SUBSTITUTE(TRIM('수출입 실적(성질별_수입)'!D516),",","")),"")</f>
        <v>39814232.4</v>
      </c>
      <c r="G512" s="19" t="n">
        <f aca="false">IFERROR(VALUE(SUBSTITUTE(TRIM('수출입 실적(성질별_수입)'!E516),",","")),"")</f>
        <v>22237363</v>
      </c>
    </row>
    <row r="513" customFormat="false" ht="15" hidden="false" customHeight="true" outlineLevel="0" collapsed="false">
      <c r="A513" s="11" t="str">
        <f aca="false">TRIM('수출입 실적(성질별_수입)'!A517)</f>
        <v>2026.02</v>
      </c>
      <c r="B513" s="17" t="n">
        <f aca="false">IFERROR(VALUE(LEFT($A513,4)),"")</f>
        <v>2026</v>
      </c>
      <c r="C513" s="17" t="n">
        <f aca="false">IFERROR(VALUE(RIGHT($A513,2)),"")</f>
        <v>2</v>
      </c>
      <c r="D513" s="17" t="n">
        <f aca="false">IFERROR(ROUNDUP($C513/3,0),"")</f>
        <v>1</v>
      </c>
      <c r="E513" s="11" t="str">
        <f aca="false">TRIM('수출입 실적(성질별_수입)'!C517)</f>
        <v>가. 연 료</v>
      </c>
      <c r="F513" s="18" t="n">
        <f aca="false">IFERROR(VALUE(SUBSTITUTE(TRIM('수출입 실적(성질별_수입)'!D517),",","")),"")</f>
        <v>28578358</v>
      </c>
      <c r="G513" s="19" t="n">
        <f aca="false">IFERROR(VALUE(SUBSTITUTE(TRIM('수출입 실적(성질별_수입)'!E517),",","")),"")</f>
        <v>10888628</v>
      </c>
    </row>
    <row r="514" customFormat="false" ht="15" hidden="false" customHeight="true" outlineLevel="0" collapsed="false">
      <c r="A514" s="11" t="str">
        <f aca="false">TRIM('수출입 실적(성질별_수입)'!A518)</f>
        <v>2026.02</v>
      </c>
      <c r="B514" s="17" t="n">
        <f aca="false">IFERROR(VALUE(LEFT($A514,4)),"")</f>
        <v>2026</v>
      </c>
      <c r="C514" s="17" t="n">
        <f aca="false">IFERROR(VALUE(RIGHT($A514,2)),"")</f>
        <v>2</v>
      </c>
      <c r="D514" s="17" t="n">
        <f aca="false">IFERROR(ROUNDUP($C514/3,0),"")</f>
        <v>1</v>
      </c>
      <c r="E514" s="11" t="str">
        <f aca="false">TRIM('수출입 실적(성질별_수입)'!C518)</f>
        <v>나. 광 물</v>
      </c>
      <c r="F514" s="18" t="n">
        <f aca="false">IFERROR(VALUE(SUBSTITUTE(TRIM('수출입 실적(성질별_수입)'!D518),",","")),"")</f>
        <v>6573373.9</v>
      </c>
      <c r="G514" s="19" t="n">
        <f aca="false">IFERROR(VALUE(SUBSTITUTE(TRIM('수출입 실적(성질별_수입)'!E518),",","")),"")</f>
        <v>2341918</v>
      </c>
    </row>
    <row r="515" customFormat="false" ht="15" hidden="false" customHeight="true" outlineLevel="0" collapsed="false">
      <c r="A515" s="11" t="str">
        <f aca="false">TRIM('수출입 실적(성질별_수입)'!A519)</f>
        <v>2026.02</v>
      </c>
      <c r="B515" s="17" t="n">
        <f aca="false">IFERROR(VALUE(LEFT($A515,4)),"")</f>
        <v>2026</v>
      </c>
      <c r="C515" s="17" t="n">
        <f aca="false">IFERROR(VALUE(RIGHT($A515,2)),"")</f>
        <v>2</v>
      </c>
      <c r="D515" s="17" t="n">
        <f aca="false">IFERROR(ROUNDUP($C515/3,0),"")</f>
        <v>1</v>
      </c>
      <c r="E515" s="11" t="str">
        <f aca="false">TRIM('수출입 실적(성질별_수입)'!C519)</f>
        <v>다. 경공업 원료</v>
      </c>
      <c r="F515" s="18" t="n">
        <f aca="false">IFERROR(VALUE(SUBSTITUTE(TRIM('수출입 실적(성질별_수입)'!D519),",","")),"")</f>
        <v>958246.1</v>
      </c>
      <c r="G515" s="19" t="n">
        <f aca="false">IFERROR(VALUE(SUBSTITUTE(TRIM('수출입 실적(성질별_수입)'!E519),",","")),"")</f>
        <v>427991</v>
      </c>
    </row>
    <row r="516" customFormat="false" ht="15" hidden="false" customHeight="true" outlineLevel="0" collapsed="false">
      <c r="A516" s="11" t="str">
        <f aca="false">TRIM('수출입 실적(성질별_수입)'!A520)</f>
        <v>2026.02</v>
      </c>
      <c r="B516" s="17" t="n">
        <f aca="false">IFERROR(VALUE(LEFT($A516,4)),"")</f>
        <v>2026</v>
      </c>
      <c r="C516" s="17" t="n">
        <f aca="false">IFERROR(VALUE(RIGHT($A516,2)),"")</f>
        <v>2</v>
      </c>
      <c r="D516" s="17" t="n">
        <f aca="false">IFERROR(ROUNDUP($C516/3,0),"")</f>
        <v>1</v>
      </c>
      <c r="E516" s="11" t="str">
        <f aca="false">TRIM('수출입 실적(성질별_수입)'!C520)</f>
        <v>라. 유 지</v>
      </c>
      <c r="F516" s="18" t="n">
        <f aca="false">IFERROR(VALUE(SUBSTITUTE(TRIM('수출입 실적(성질별_수입)'!D520),",","")),"")</f>
        <v>114904.4</v>
      </c>
      <c r="G516" s="19" t="n">
        <f aca="false">IFERROR(VALUE(SUBSTITUTE(TRIM('수출입 실적(성질별_수입)'!E520),",","")),"")</f>
        <v>161239</v>
      </c>
    </row>
    <row r="517" customFormat="false" ht="15" hidden="false" customHeight="true" outlineLevel="0" collapsed="false">
      <c r="A517" s="11" t="str">
        <f aca="false">TRIM('수출입 실적(성질별_수입)'!A521)</f>
        <v>2026.02</v>
      </c>
      <c r="B517" s="17" t="n">
        <f aca="false">IFERROR(VALUE(LEFT($A517,4)),"")</f>
        <v>2026</v>
      </c>
      <c r="C517" s="17" t="n">
        <f aca="false">IFERROR(VALUE(RIGHT($A517,2)),"")</f>
        <v>2</v>
      </c>
      <c r="D517" s="17" t="n">
        <f aca="false">IFERROR(ROUNDUP($C517/3,0),"")</f>
        <v>1</v>
      </c>
      <c r="E517" s="11" t="str">
        <f aca="false">TRIM('수출입 실적(성질별_수입)'!C521)</f>
        <v>마. 섬유류</v>
      </c>
      <c r="F517" s="18" t="n">
        <f aca="false">IFERROR(VALUE(SUBSTITUTE(TRIM('수출입 실적(성질별_수입)'!D521),",","")),"")</f>
        <v>83747.1</v>
      </c>
      <c r="G517" s="19" t="n">
        <f aca="false">IFERROR(VALUE(SUBSTITUTE(TRIM('수출입 실적(성질별_수입)'!E521),",","")),"")</f>
        <v>246677</v>
      </c>
    </row>
    <row r="518" customFormat="false" ht="15" hidden="false" customHeight="true" outlineLevel="0" collapsed="false">
      <c r="A518" s="11" t="str">
        <f aca="false">TRIM('수출입 실적(성질별_수입)'!A522)</f>
        <v>2026.02</v>
      </c>
      <c r="B518" s="17" t="n">
        <f aca="false">IFERROR(VALUE(LEFT($A518,4)),"")</f>
        <v>2026</v>
      </c>
      <c r="C518" s="17" t="n">
        <f aca="false">IFERROR(VALUE(RIGHT($A518,2)),"")</f>
        <v>2</v>
      </c>
      <c r="D518" s="17" t="n">
        <f aca="false">IFERROR(ROUNDUP($C518/3,0),"")</f>
        <v>1</v>
      </c>
      <c r="E518" s="11" t="str">
        <f aca="false">TRIM('수출입 실적(성질별_수입)'!C522)</f>
        <v>바. 화공품</v>
      </c>
      <c r="F518" s="18" t="n">
        <f aca="false">IFERROR(VALUE(SUBSTITUTE(TRIM('수출입 실적(성질별_수입)'!D522),",","")),"")</f>
        <v>1520788.9</v>
      </c>
      <c r="G518" s="19" t="n">
        <f aca="false">IFERROR(VALUE(SUBSTITUTE(TRIM('수출입 실적(성질별_수입)'!E522),",","")),"")</f>
        <v>4216160</v>
      </c>
    </row>
    <row r="519" customFormat="false" ht="15" hidden="false" customHeight="true" outlineLevel="0" collapsed="false">
      <c r="A519" s="11" t="str">
        <f aca="false">TRIM('수출입 실적(성질별_수입)'!A523)</f>
        <v>2026.02</v>
      </c>
      <c r="B519" s="17" t="n">
        <f aca="false">IFERROR(VALUE(LEFT($A519,4)),"")</f>
        <v>2026</v>
      </c>
      <c r="C519" s="17" t="n">
        <f aca="false">IFERROR(VALUE(RIGHT($A519,2)),"")</f>
        <v>2</v>
      </c>
      <c r="D519" s="17" t="n">
        <f aca="false">IFERROR(ROUNDUP($C519/3,0),"")</f>
        <v>1</v>
      </c>
      <c r="E519" s="11" t="str">
        <f aca="false">TRIM('수출입 실적(성질별_수입)'!C523)</f>
        <v>사. 철강재</v>
      </c>
      <c r="F519" s="18" t="n">
        <f aca="false">IFERROR(VALUE(SUBSTITUTE(TRIM('수출입 실적(성질별_수입)'!D523),",","")),"")</f>
        <v>1111690.9</v>
      </c>
      <c r="G519" s="19" t="n">
        <f aca="false">IFERROR(VALUE(SUBSTITUTE(TRIM('수출입 실적(성질별_수입)'!E523),",","")),"")</f>
        <v>1321394</v>
      </c>
    </row>
    <row r="520" customFormat="false" ht="15" hidden="false" customHeight="true" outlineLevel="0" collapsed="false">
      <c r="A520" s="11" t="str">
        <f aca="false">TRIM('수출입 실적(성질별_수입)'!A524)</f>
        <v>2026.02</v>
      </c>
      <c r="B520" s="17" t="n">
        <f aca="false">IFERROR(VALUE(LEFT($A520,4)),"")</f>
        <v>2026</v>
      </c>
      <c r="C520" s="17" t="n">
        <f aca="false">IFERROR(VALUE(RIGHT($A520,2)),"")</f>
        <v>2</v>
      </c>
      <c r="D520" s="17" t="n">
        <f aca="false">IFERROR(ROUNDUP($C520/3,0),"")</f>
        <v>1</v>
      </c>
      <c r="E520" s="11" t="str">
        <f aca="false">TRIM('수출입 실적(성질별_수입)'!C524)</f>
        <v>아. 비철금속</v>
      </c>
      <c r="F520" s="18" t="n">
        <f aca="false">IFERROR(VALUE(SUBSTITUTE(TRIM('수출입 실적(성질별_수입)'!D524),",","")),"")</f>
        <v>190373.5</v>
      </c>
      <c r="G520" s="19" t="n">
        <f aca="false">IFERROR(VALUE(SUBSTITUTE(TRIM('수출입 실적(성질별_수입)'!E524),",","")),"")</f>
        <v>1460865</v>
      </c>
    </row>
    <row r="521" customFormat="false" ht="15" hidden="false" customHeight="true" outlineLevel="0" collapsed="false">
      <c r="A521" s="11" t="str">
        <f aca="false">TRIM('수출입 실적(성질별_수입)'!A525)</f>
        <v>2026.02</v>
      </c>
      <c r="B521" s="17" t="n">
        <f aca="false">IFERROR(VALUE(LEFT($A521,4)),"")</f>
        <v>2026</v>
      </c>
      <c r="C521" s="17" t="n">
        <f aca="false">IFERROR(VALUE(RIGHT($A521,2)),"")</f>
        <v>2</v>
      </c>
      <c r="D521" s="17" t="n">
        <f aca="false">IFERROR(ROUNDUP($C521/3,0),"")</f>
        <v>1</v>
      </c>
      <c r="E521" s="11" t="str">
        <f aca="false">TRIM('수출입 실적(성질별_수입)'!C525)</f>
        <v>자. 기 타</v>
      </c>
      <c r="F521" s="18" t="n">
        <f aca="false">IFERROR(VALUE(SUBSTITUTE(TRIM('수출입 실적(성질별_수입)'!D525),",","")),"")</f>
        <v>682749.6</v>
      </c>
      <c r="G521" s="19" t="n">
        <f aca="false">IFERROR(VALUE(SUBSTITUTE(TRIM('수출입 실적(성질별_수입)'!E525),",","")),"")</f>
        <v>1172490</v>
      </c>
    </row>
    <row r="522" customFormat="false" ht="15" hidden="false" customHeight="true" outlineLevel="0" collapsed="false">
      <c r="A522" s="11" t="str">
        <f aca="false">TRIM('수출입 실적(성질별_수입)'!A526)</f>
        <v>2026.02</v>
      </c>
      <c r="B522" s="17" t="n">
        <f aca="false">IFERROR(VALUE(LEFT($A522,4)),"")</f>
        <v>2026</v>
      </c>
      <c r="C522" s="17" t="n">
        <f aca="false">IFERROR(VALUE(RIGHT($A522,2)),"")</f>
        <v>2</v>
      </c>
      <c r="D522" s="17" t="n">
        <f aca="false">IFERROR(ROUNDUP($C522/3,0),"")</f>
        <v>1</v>
      </c>
      <c r="E522" s="11" t="str">
        <f aca="false">TRIM('수출입 실적(성질별_수입)'!C526)</f>
        <v>3. 자본재</v>
      </c>
      <c r="F522" s="18" t="n">
        <f aca="false">IFERROR(VALUE(SUBSTITUTE(TRIM('수출입 실적(성질별_수입)'!D526),",","")),"")</f>
        <v>475212</v>
      </c>
      <c r="G522" s="19" t="n">
        <f aca="false">IFERROR(VALUE(SUBSTITUTE(TRIM('수출입 실적(성질별_수입)'!E526),",","")),"")</f>
        <v>20422881</v>
      </c>
    </row>
    <row r="523" customFormat="false" ht="15" hidden="false" customHeight="true" outlineLevel="0" collapsed="false">
      <c r="A523" s="11" t="str">
        <f aca="false">TRIM('수출입 실적(성질별_수입)'!A527)</f>
        <v>2026.02</v>
      </c>
      <c r="B523" s="17" t="n">
        <f aca="false">IFERROR(VALUE(LEFT($A523,4)),"")</f>
        <v>2026</v>
      </c>
      <c r="C523" s="17" t="n">
        <f aca="false">IFERROR(VALUE(RIGHT($A523,2)),"")</f>
        <v>2</v>
      </c>
      <c r="D523" s="17" t="n">
        <f aca="false">IFERROR(ROUNDUP($C523/3,0),"")</f>
        <v>1</v>
      </c>
      <c r="E523" s="11" t="str">
        <f aca="false">TRIM('수출입 실적(성질별_수입)'!C527)</f>
        <v>가. 기계류와 정밀기기</v>
      </c>
      <c r="F523" s="18" t="n">
        <f aca="false">IFERROR(VALUE(SUBSTITUTE(TRIM('수출입 실적(성질별_수입)'!D527),",","")),"")</f>
        <v>164765.9</v>
      </c>
      <c r="G523" s="19" t="n">
        <f aca="false">IFERROR(VALUE(SUBSTITUTE(TRIM('수출입 실적(성질별_수입)'!E527),",","")),"")</f>
        <v>6714180</v>
      </c>
    </row>
    <row r="524" customFormat="false" ht="15" hidden="false" customHeight="true" outlineLevel="0" collapsed="false">
      <c r="A524" s="11" t="str">
        <f aca="false">TRIM('수출입 실적(성질별_수입)'!A528)</f>
        <v>2026.02</v>
      </c>
      <c r="B524" s="17" t="n">
        <f aca="false">IFERROR(VALUE(LEFT($A524,4)),"")</f>
        <v>2026</v>
      </c>
      <c r="C524" s="17" t="n">
        <f aca="false">IFERROR(VALUE(RIGHT($A524,2)),"")</f>
        <v>2</v>
      </c>
      <c r="D524" s="17" t="n">
        <f aca="false">IFERROR(ROUNDUP($C524/3,0),"")</f>
        <v>1</v>
      </c>
      <c r="E524" s="11" t="str">
        <f aca="false">TRIM('수출입 실적(성질별_수입)'!C528)</f>
        <v>나. 전기·전자기기</v>
      </c>
      <c r="F524" s="18" t="n">
        <f aca="false">IFERROR(VALUE(SUBSTITUTE(TRIM('수출입 실적(성질별_수입)'!D528),",","")),"")</f>
        <v>169158.8</v>
      </c>
      <c r="G524" s="19" t="n">
        <f aca="false">IFERROR(VALUE(SUBSTITUTE(TRIM('수출입 실적(성질별_수입)'!E528),",","")),"")</f>
        <v>12458999</v>
      </c>
    </row>
    <row r="525" customFormat="false" ht="15" hidden="false" customHeight="true" outlineLevel="0" collapsed="false">
      <c r="A525" s="11" t="str">
        <f aca="false">TRIM('수출입 실적(성질별_수입)'!A529)</f>
        <v>2026.02</v>
      </c>
      <c r="B525" s="17" t="n">
        <f aca="false">IFERROR(VALUE(LEFT($A525,4)),"")</f>
        <v>2026</v>
      </c>
      <c r="C525" s="17" t="n">
        <f aca="false">IFERROR(VALUE(RIGHT($A525,2)),"")</f>
        <v>2</v>
      </c>
      <c r="D525" s="17" t="n">
        <f aca="false">IFERROR(ROUNDUP($C525/3,0),"")</f>
        <v>1</v>
      </c>
      <c r="E525" s="11" t="str">
        <f aca="false">TRIM('수출입 실적(성질별_수입)'!C529)</f>
        <v>다. 수송장비</v>
      </c>
      <c r="F525" s="18" t="n">
        <f aca="false">IFERROR(VALUE(SUBSTITUTE(TRIM('수출입 실적(성질별_수입)'!D529),",","")),"")</f>
        <v>126605.6</v>
      </c>
      <c r="G525" s="19" t="n">
        <f aca="false">IFERROR(VALUE(SUBSTITUTE(TRIM('수출입 실적(성질별_수입)'!E529),",","")),"")</f>
        <v>1054136</v>
      </c>
    </row>
    <row r="526" customFormat="false" ht="15" hidden="false" customHeight="true" outlineLevel="0" collapsed="false">
      <c r="A526" s="11" t="str">
        <f aca="false">TRIM('수출입 실적(성질별_수입)'!A530)</f>
        <v>2026.02</v>
      </c>
      <c r="B526" s="17" t="n">
        <f aca="false">IFERROR(VALUE(LEFT($A526,4)),"")</f>
        <v>2026</v>
      </c>
      <c r="C526" s="17" t="n">
        <f aca="false">IFERROR(VALUE(RIGHT($A526,2)),"")</f>
        <v>2</v>
      </c>
      <c r="D526" s="17" t="n">
        <f aca="false">IFERROR(ROUNDUP($C526/3,0),"")</f>
        <v>1</v>
      </c>
      <c r="E526" s="11" t="str">
        <f aca="false">TRIM('수출입 실적(성질별_수입)'!C530)</f>
        <v>라. 기 타</v>
      </c>
      <c r="F526" s="18" t="n">
        <f aca="false">IFERROR(VALUE(SUBSTITUTE(TRIM('수출입 실적(성질별_수입)'!D530),",","")),"")</f>
        <v>14681.6</v>
      </c>
      <c r="G526" s="19" t="n">
        <f aca="false">IFERROR(VALUE(SUBSTITUTE(TRIM('수출입 실적(성질별_수입)'!E530),",","")),"")</f>
        <v>195567</v>
      </c>
    </row>
    <row r="527" customFormat="false" ht="15" hidden="false" customHeight="true" outlineLevel="0" collapsed="false">
      <c r="A527" s="11" t="str">
        <f aca="false">TRIM('수출입 실적(성질별_수입)'!A531)</f>
        <v>2026.03</v>
      </c>
      <c r="B527" s="17" t="n">
        <f aca="false">IFERROR(VALUE(LEFT($A527,4)),"")</f>
        <v>2026</v>
      </c>
      <c r="C527" s="17" t="n">
        <f aca="false">IFERROR(VALUE(RIGHT($A527,2)),"")</f>
        <v>3</v>
      </c>
      <c r="D527" s="17" t="n">
        <f aca="false">IFERROR(ROUNDUP($C527/3,0),"")</f>
        <v>1</v>
      </c>
      <c r="E527" s="11" t="str">
        <f aca="false">TRIM('수출입 실적(성질별_수입)'!C531)</f>
        <v>1. 소비재</v>
      </c>
      <c r="F527" s="18" t="n">
        <f aca="false">IFERROR(VALUE(SUBSTITUTE(TRIM('수출입 실적(성질별_수입)'!D531),",","")),"")</f>
        <v>3488992.1</v>
      </c>
      <c r="G527" s="19" t="n">
        <f aca="false">IFERROR(VALUE(SUBSTITUTE(TRIM('수출입 실적(성질별_수입)'!E531),",","")),"")</f>
        <v>9243250</v>
      </c>
    </row>
    <row r="528" customFormat="false" ht="15" hidden="false" customHeight="true" outlineLevel="0" collapsed="false">
      <c r="A528" s="11" t="str">
        <f aca="false">TRIM('수출입 실적(성질별_수입)'!A532)</f>
        <v>2026.03</v>
      </c>
      <c r="B528" s="17" t="n">
        <f aca="false">IFERROR(VALUE(LEFT($A528,4)),"")</f>
        <v>2026</v>
      </c>
      <c r="C528" s="17" t="n">
        <f aca="false">IFERROR(VALUE(RIGHT($A528,2)),"")</f>
        <v>3</v>
      </c>
      <c r="D528" s="17" t="n">
        <f aca="false">IFERROR(ROUNDUP($C528/3,0),"")</f>
        <v>1</v>
      </c>
      <c r="E528" s="11" t="str">
        <f aca="false">TRIM('수출입 실적(성질별_수입)'!C532)</f>
        <v>가. 곡물</v>
      </c>
      <c r="F528" s="18" t="n">
        <f aca="false">IFERROR(VALUE(SUBSTITUTE(TRIM('수출입 실적(성질별_수입)'!D532),",","")),"")</f>
        <v>2269886.4</v>
      </c>
      <c r="G528" s="19" t="n">
        <f aca="false">IFERROR(VALUE(SUBSTITUTE(TRIM('수출입 실적(성질별_수입)'!E532),",","")),"")</f>
        <v>671019</v>
      </c>
    </row>
    <row r="529" customFormat="false" ht="15" hidden="false" customHeight="true" outlineLevel="0" collapsed="false">
      <c r="A529" s="11" t="str">
        <f aca="false">TRIM('수출입 실적(성질별_수입)'!A533)</f>
        <v>2026.03</v>
      </c>
      <c r="B529" s="17" t="n">
        <f aca="false">IFERROR(VALUE(LEFT($A529,4)),"")</f>
        <v>2026</v>
      </c>
      <c r="C529" s="17" t="n">
        <f aca="false">IFERROR(VALUE(RIGHT($A529,2)),"")</f>
        <v>3</v>
      </c>
      <c r="D529" s="17" t="n">
        <f aca="false">IFERROR(ROUNDUP($C529/3,0),"")</f>
        <v>1</v>
      </c>
      <c r="E529" s="11" t="str">
        <f aca="false">TRIM('수출입 실적(성질별_수입)'!C533)</f>
        <v>나. 직접소비재</v>
      </c>
      <c r="F529" s="18" t="n">
        <f aca="false">IFERROR(VALUE(SUBSTITUTE(TRIM('수출입 실적(성질별_수입)'!D533),",","")),"")</f>
        <v>841251.7</v>
      </c>
      <c r="G529" s="19" t="n">
        <f aca="false">IFERROR(VALUE(SUBSTITUTE(TRIM('수출입 실적(성질별_수입)'!E533),",","")),"")</f>
        <v>2696633</v>
      </c>
    </row>
    <row r="530" customFormat="false" ht="15" hidden="false" customHeight="true" outlineLevel="0" collapsed="false">
      <c r="A530" s="11" t="str">
        <f aca="false">TRIM('수출입 실적(성질별_수입)'!A534)</f>
        <v>2026.03</v>
      </c>
      <c r="B530" s="17" t="n">
        <f aca="false">IFERROR(VALUE(LEFT($A530,4)),"")</f>
        <v>2026</v>
      </c>
      <c r="C530" s="17" t="n">
        <f aca="false">IFERROR(VALUE(RIGHT($A530,2)),"")</f>
        <v>3</v>
      </c>
      <c r="D530" s="17" t="n">
        <f aca="false">IFERROR(ROUNDUP($C530/3,0),"")</f>
        <v>1</v>
      </c>
      <c r="E530" s="11" t="str">
        <f aca="false">TRIM('수출입 실적(성질별_수입)'!C534)</f>
        <v>다. 내구소비재</v>
      </c>
      <c r="F530" s="18" t="n">
        <f aca="false">IFERROR(VALUE(SUBSTITUTE(TRIM('수출입 실적(성질별_수입)'!D534),",","")),"")</f>
        <v>260776.8</v>
      </c>
      <c r="G530" s="19" t="n">
        <f aca="false">IFERROR(VALUE(SUBSTITUTE(TRIM('수출입 실적(성질별_수입)'!E534),",","")),"")</f>
        <v>3858739</v>
      </c>
    </row>
    <row r="531" customFormat="false" ht="15" hidden="false" customHeight="true" outlineLevel="0" collapsed="false">
      <c r="A531" s="11" t="str">
        <f aca="false">TRIM('수출입 실적(성질별_수입)'!A535)</f>
        <v>2026.03</v>
      </c>
      <c r="B531" s="17" t="n">
        <f aca="false">IFERROR(VALUE(LEFT($A531,4)),"")</f>
        <v>2026</v>
      </c>
      <c r="C531" s="17" t="n">
        <f aca="false">IFERROR(VALUE(RIGHT($A531,2)),"")</f>
        <v>3</v>
      </c>
      <c r="D531" s="17" t="n">
        <f aca="false">IFERROR(ROUNDUP($C531/3,0),"")</f>
        <v>1</v>
      </c>
      <c r="E531" s="11" t="str">
        <f aca="false">TRIM('수출입 실적(성질별_수입)'!C535)</f>
        <v>라. 비내구 소비재</v>
      </c>
      <c r="F531" s="18" t="n">
        <f aca="false">IFERROR(VALUE(SUBSTITUTE(TRIM('수출입 실적(성질별_수입)'!D535),",","")),"")</f>
        <v>117077.1</v>
      </c>
      <c r="G531" s="19" t="n">
        <f aca="false">IFERROR(VALUE(SUBSTITUTE(TRIM('수출입 실적(성질별_수입)'!E535),",","")),"")</f>
        <v>2016859</v>
      </c>
    </row>
    <row r="532" customFormat="false" ht="15" hidden="false" customHeight="true" outlineLevel="0" collapsed="false">
      <c r="A532" s="11" t="str">
        <f aca="false">TRIM('수출입 실적(성질별_수입)'!A536)</f>
        <v>2026.03</v>
      </c>
      <c r="B532" s="17" t="n">
        <f aca="false">IFERROR(VALUE(LEFT($A532,4)),"")</f>
        <v>2026</v>
      </c>
      <c r="C532" s="17" t="n">
        <f aca="false">IFERROR(VALUE(RIGHT($A532,2)),"")</f>
        <v>3</v>
      </c>
      <c r="D532" s="17" t="n">
        <f aca="false">IFERROR(ROUNDUP($C532/3,0),"")</f>
        <v>1</v>
      </c>
      <c r="E532" s="11" t="str">
        <f aca="false">TRIM('수출입 실적(성질별_수입)'!C536)</f>
        <v>마. 간이세율 적용분</v>
      </c>
      <c r="F532" s="18" t="n">
        <f aca="false">IFERROR(VALUE(SUBSTITUTE(TRIM('수출입 실적(성질별_수입)'!D536),",","")),"")</f>
        <v>0.1</v>
      </c>
      <c r="G532" s="19" t="n">
        <f aca="false">IFERROR(VALUE(SUBSTITUTE(TRIM('수출입 실적(성질별_수입)'!E536),",","")),"")</f>
        <v>0</v>
      </c>
    </row>
    <row r="533" customFormat="false" ht="15" hidden="false" customHeight="true" outlineLevel="0" collapsed="false">
      <c r="A533" s="11" t="str">
        <f aca="false">TRIM('수출입 실적(성질별_수입)'!A537)</f>
        <v>2026.03</v>
      </c>
      <c r="B533" s="17" t="n">
        <f aca="false">IFERROR(VALUE(LEFT($A533,4)),"")</f>
        <v>2026</v>
      </c>
      <c r="C533" s="17" t="n">
        <f aca="false">IFERROR(VALUE(RIGHT($A533,2)),"")</f>
        <v>3</v>
      </c>
      <c r="D533" s="17" t="n">
        <f aca="false">IFERROR(ROUNDUP($C533/3,0),"")</f>
        <v>1</v>
      </c>
      <c r="E533" s="11" t="str">
        <f aca="false">TRIM('수출입 실적(성질별_수입)'!C537)</f>
        <v>2. 원자재</v>
      </c>
      <c r="F533" s="18" t="n">
        <f aca="false">IFERROR(VALUE(SUBSTITUTE(TRIM('수출입 실적(성질별_수입)'!D537),",","")),"")</f>
        <v>39823733.9</v>
      </c>
      <c r="G533" s="19" t="n">
        <f aca="false">IFERROR(VALUE(SUBSTITUTE(TRIM('수출입 실적(성질별_수입)'!E537),",","")),"")</f>
        <v>26198227</v>
      </c>
    </row>
    <row r="534" customFormat="false" ht="15" hidden="false" customHeight="true" outlineLevel="0" collapsed="false">
      <c r="A534" s="11" t="str">
        <f aca="false">TRIM('수출입 실적(성질별_수입)'!A538)</f>
        <v>2026.03</v>
      </c>
      <c r="B534" s="17" t="n">
        <f aca="false">IFERROR(VALUE(LEFT($A534,4)),"")</f>
        <v>2026</v>
      </c>
      <c r="C534" s="17" t="n">
        <f aca="false">IFERROR(VALUE(RIGHT($A534,2)),"")</f>
        <v>3</v>
      </c>
      <c r="D534" s="17" t="n">
        <f aca="false">IFERROR(ROUNDUP($C534/3,0),"")</f>
        <v>1</v>
      </c>
      <c r="E534" s="11" t="str">
        <f aca="false">TRIM('수출입 실적(성질별_수입)'!C538)</f>
        <v>가. 연 료</v>
      </c>
      <c r="F534" s="18" t="n">
        <f aca="false">IFERROR(VALUE(SUBSTITUTE(TRIM('수출입 실적(성질별_수입)'!D538),",","")),"")</f>
        <v>26689974</v>
      </c>
      <c r="G534" s="19" t="n">
        <f aca="false">IFERROR(VALUE(SUBSTITUTE(TRIM('수출입 실적(성질별_수입)'!E538),",","")),"")</f>
        <v>11600059</v>
      </c>
    </row>
    <row r="535" customFormat="false" ht="15" hidden="false" customHeight="true" outlineLevel="0" collapsed="false">
      <c r="A535" s="11" t="str">
        <f aca="false">TRIM('수출입 실적(성질별_수입)'!A539)</f>
        <v>2026.03</v>
      </c>
      <c r="B535" s="17" t="n">
        <f aca="false">IFERROR(VALUE(LEFT($A535,4)),"")</f>
        <v>2026</v>
      </c>
      <c r="C535" s="17" t="n">
        <f aca="false">IFERROR(VALUE(RIGHT($A535,2)),"")</f>
        <v>3</v>
      </c>
      <c r="D535" s="17" t="n">
        <f aca="false">IFERROR(ROUNDUP($C535/3,0),"")</f>
        <v>1</v>
      </c>
      <c r="E535" s="11" t="str">
        <f aca="false">TRIM('수출입 실적(성질별_수입)'!C539)</f>
        <v>나. 광 물</v>
      </c>
      <c r="F535" s="18" t="n">
        <f aca="false">IFERROR(VALUE(SUBSTITUTE(TRIM('수출입 실적(성질별_수입)'!D539),",","")),"")</f>
        <v>7513012.7</v>
      </c>
      <c r="G535" s="19" t="n">
        <f aca="false">IFERROR(VALUE(SUBSTITUTE(TRIM('수출입 실적(성질별_수입)'!E539),",","")),"")</f>
        <v>2949586</v>
      </c>
    </row>
    <row r="536" customFormat="false" ht="15" hidden="false" customHeight="true" outlineLevel="0" collapsed="false">
      <c r="A536" s="11" t="str">
        <f aca="false">TRIM('수출입 실적(성질별_수입)'!A540)</f>
        <v>2026.03</v>
      </c>
      <c r="B536" s="17" t="n">
        <f aca="false">IFERROR(VALUE(LEFT($A536,4)),"")</f>
        <v>2026</v>
      </c>
      <c r="C536" s="17" t="n">
        <f aca="false">IFERROR(VALUE(RIGHT($A536,2)),"")</f>
        <v>3</v>
      </c>
      <c r="D536" s="17" t="n">
        <f aca="false">IFERROR(ROUNDUP($C536/3,0),"")</f>
        <v>1</v>
      </c>
      <c r="E536" s="11" t="str">
        <f aca="false">TRIM('수출입 실적(성질별_수입)'!C540)</f>
        <v>다. 경공업 원료</v>
      </c>
      <c r="F536" s="18" t="n">
        <f aca="false">IFERROR(VALUE(SUBSTITUTE(TRIM('수출입 실적(성질별_수입)'!D540),",","")),"")</f>
        <v>1124635.7</v>
      </c>
      <c r="G536" s="19" t="n">
        <f aca="false">IFERROR(VALUE(SUBSTITUTE(TRIM('수출입 실적(성질별_수입)'!E540),",","")),"")</f>
        <v>462386</v>
      </c>
    </row>
    <row r="537" customFormat="false" ht="15" hidden="false" customHeight="true" outlineLevel="0" collapsed="false">
      <c r="A537" s="11" t="str">
        <f aca="false">TRIM('수출입 실적(성질별_수입)'!A541)</f>
        <v>2026.03</v>
      </c>
      <c r="B537" s="17" t="n">
        <f aca="false">IFERROR(VALUE(LEFT($A537,4)),"")</f>
        <v>2026</v>
      </c>
      <c r="C537" s="17" t="n">
        <f aca="false">IFERROR(VALUE(RIGHT($A537,2)),"")</f>
        <v>3</v>
      </c>
      <c r="D537" s="17" t="n">
        <f aca="false">IFERROR(ROUNDUP($C537/3,0),"")</f>
        <v>1</v>
      </c>
      <c r="E537" s="11" t="str">
        <f aca="false">TRIM('수출입 실적(성질별_수입)'!C541)</f>
        <v>라. 유 지</v>
      </c>
      <c r="F537" s="18" t="n">
        <f aca="false">IFERROR(VALUE(SUBSTITUTE(TRIM('수출입 실적(성질별_수입)'!D541),",","")),"")</f>
        <v>168034.7</v>
      </c>
      <c r="G537" s="19" t="n">
        <f aca="false">IFERROR(VALUE(SUBSTITUTE(TRIM('수출입 실적(성질별_수입)'!E541),",","")),"")</f>
        <v>238481</v>
      </c>
    </row>
    <row r="538" customFormat="false" ht="15" hidden="false" customHeight="true" outlineLevel="0" collapsed="false">
      <c r="A538" s="11" t="str">
        <f aca="false">TRIM('수출입 실적(성질별_수입)'!A542)</f>
        <v>2026.03</v>
      </c>
      <c r="B538" s="17" t="n">
        <f aca="false">IFERROR(VALUE(LEFT($A538,4)),"")</f>
        <v>2026</v>
      </c>
      <c r="C538" s="17" t="n">
        <f aca="false">IFERROR(VALUE(RIGHT($A538,2)),"")</f>
        <v>3</v>
      </c>
      <c r="D538" s="17" t="n">
        <f aca="false">IFERROR(ROUNDUP($C538/3,0),"")</f>
        <v>1</v>
      </c>
      <c r="E538" s="11" t="str">
        <f aca="false">TRIM('수출입 실적(성질별_수입)'!C542)</f>
        <v>마. 섬유류</v>
      </c>
      <c r="F538" s="18" t="n">
        <f aca="false">IFERROR(VALUE(SUBSTITUTE(TRIM('수출입 실적(성질별_수입)'!D542),",","")),"")</f>
        <v>99579.5</v>
      </c>
      <c r="G538" s="19" t="n">
        <f aca="false">IFERROR(VALUE(SUBSTITUTE(TRIM('수출입 실적(성질별_수입)'!E542),",","")),"")</f>
        <v>300938</v>
      </c>
    </row>
    <row r="539" customFormat="false" ht="15" hidden="false" customHeight="true" outlineLevel="0" collapsed="false">
      <c r="A539" s="11" t="str">
        <f aca="false">TRIM('수출입 실적(성질별_수입)'!A543)</f>
        <v>2026.03</v>
      </c>
      <c r="B539" s="17" t="n">
        <f aca="false">IFERROR(VALUE(LEFT($A539,4)),"")</f>
        <v>2026</v>
      </c>
      <c r="C539" s="17" t="n">
        <f aca="false">IFERROR(VALUE(RIGHT($A539,2)),"")</f>
        <v>3</v>
      </c>
      <c r="D539" s="17" t="n">
        <f aca="false">IFERROR(ROUNDUP($C539/3,0),"")</f>
        <v>1</v>
      </c>
      <c r="E539" s="11" t="str">
        <f aca="false">TRIM('수출입 실적(성질별_수입)'!C543)</f>
        <v>바. 화공품</v>
      </c>
      <c r="F539" s="18" t="n">
        <f aca="false">IFERROR(VALUE(SUBSTITUTE(TRIM('수출입 실적(성질별_수입)'!D543),",","")),"")</f>
        <v>1785665.3</v>
      </c>
      <c r="G539" s="19" t="n">
        <f aca="false">IFERROR(VALUE(SUBSTITUTE(TRIM('수출입 실적(성질별_수입)'!E543),",","")),"")</f>
        <v>5285912</v>
      </c>
    </row>
    <row r="540" customFormat="false" ht="15" hidden="false" customHeight="true" outlineLevel="0" collapsed="false">
      <c r="A540" s="11" t="str">
        <f aca="false">TRIM('수출입 실적(성질별_수입)'!A544)</f>
        <v>2026.03</v>
      </c>
      <c r="B540" s="17" t="n">
        <f aca="false">IFERROR(VALUE(LEFT($A540,4)),"")</f>
        <v>2026</v>
      </c>
      <c r="C540" s="17" t="n">
        <f aca="false">IFERROR(VALUE(RIGHT($A540,2)),"")</f>
        <v>3</v>
      </c>
      <c r="D540" s="17" t="n">
        <f aca="false">IFERROR(ROUNDUP($C540/3,0),"")</f>
        <v>1</v>
      </c>
      <c r="E540" s="11" t="str">
        <f aca="false">TRIM('수출입 실적(성질별_수입)'!C544)</f>
        <v>사. 철강재</v>
      </c>
      <c r="F540" s="18" t="n">
        <f aca="false">IFERROR(VALUE(SUBSTITUTE(TRIM('수출입 실적(성질별_수입)'!D544),",","")),"")</f>
        <v>1414061.4</v>
      </c>
      <c r="G540" s="19" t="n">
        <f aca="false">IFERROR(VALUE(SUBSTITUTE(TRIM('수출입 실적(성질별_수입)'!E544),",","")),"")</f>
        <v>1537356</v>
      </c>
    </row>
    <row r="541" customFormat="false" ht="15" hidden="false" customHeight="true" outlineLevel="0" collapsed="false">
      <c r="A541" s="11" t="str">
        <f aca="false">TRIM('수출입 실적(성질별_수입)'!A545)</f>
        <v>2026.03</v>
      </c>
      <c r="B541" s="17" t="n">
        <f aca="false">IFERROR(VALUE(LEFT($A541,4)),"")</f>
        <v>2026</v>
      </c>
      <c r="C541" s="17" t="n">
        <f aca="false">IFERROR(VALUE(RIGHT($A541,2)),"")</f>
        <v>3</v>
      </c>
      <c r="D541" s="17" t="n">
        <f aca="false">IFERROR(ROUNDUP($C541/3,0),"")</f>
        <v>1</v>
      </c>
      <c r="E541" s="11" t="str">
        <f aca="false">TRIM('수출입 실적(성질별_수입)'!C545)</f>
        <v>아. 비철금속</v>
      </c>
      <c r="F541" s="18" t="n">
        <f aca="false">IFERROR(VALUE(SUBSTITUTE(TRIM('수출입 실적(성질별_수입)'!D545),",","")),"")</f>
        <v>262149.9</v>
      </c>
      <c r="G541" s="19" t="n">
        <f aca="false">IFERROR(VALUE(SUBSTITUTE(TRIM('수출입 실적(성질별_수입)'!E545),",","")),"")</f>
        <v>1966091</v>
      </c>
    </row>
    <row r="542" customFormat="false" ht="15" hidden="false" customHeight="true" outlineLevel="0" collapsed="false">
      <c r="A542" s="11" t="str">
        <f aca="false">TRIM('수출입 실적(성질별_수입)'!A546)</f>
        <v>2026.03</v>
      </c>
      <c r="B542" s="17" t="n">
        <f aca="false">IFERROR(VALUE(LEFT($A542,4)),"")</f>
        <v>2026</v>
      </c>
      <c r="C542" s="17" t="n">
        <f aca="false">IFERROR(VALUE(RIGHT($A542,2)),"")</f>
        <v>3</v>
      </c>
      <c r="D542" s="17" t="n">
        <f aca="false">IFERROR(ROUNDUP($C542/3,0),"")</f>
        <v>1</v>
      </c>
      <c r="E542" s="11" t="str">
        <f aca="false">TRIM('수출입 실적(성질별_수입)'!C546)</f>
        <v>자. 기 타</v>
      </c>
      <c r="F542" s="18" t="n">
        <f aca="false">IFERROR(VALUE(SUBSTITUTE(TRIM('수출입 실적(성질별_수입)'!D546),",","")),"")</f>
        <v>766620.7</v>
      </c>
      <c r="G542" s="19" t="n">
        <f aca="false">IFERROR(VALUE(SUBSTITUTE(TRIM('수출입 실적(성질별_수입)'!E546),",","")),"")</f>
        <v>1857419</v>
      </c>
    </row>
    <row r="543" customFormat="false" ht="15" hidden="false" customHeight="true" outlineLevel="0" collapsed="false">
      <c r="A543" s="11" t="str">
        <f aca="false">TRIM('수출입 실적(성질별_수입)'!A547)</f>
        <v>2026.03</v>
      </c>
      <c r="B543" s="17" t="n">
        <f aca="false">IFERROR(VALUE(LEFT($A543,4)),"")</f>
        <v>2026</v>
      </c>
      <c r="C543" s="17" t="n">
        <f aca="false">IFERROR(VALUE(RIGHT($A543,2)),"")</f>
        <v>3</v>
      </c>
      <c r="D543" s="17" t="n">
        <f aca="false">IFERROR(ROUNDUP($C543/3,0),"")</f>
        <v>1</v>
      </c>
      <c r="E543" s="11" t="str">
        <f aca="false">TRIM('수출입 실적(성질별_수입)'!C547)</f>
        <v>3. 자본재</v>
      </c>
      <c r="F543" s="18" t="n">
        <f aca="false">IFERROR(VALUE(SUBSTITUTE(TRIM('수출입 실적(성질별_수입)'!D547),",","")),"")</f>
        <v>652687.1</v>
      </c>
      <c r="G543" s="19" t="n">
        <f aca="false">IFERROR(VALUE(SUBSTITUTE(TRIM('수출입 실적(성질별_수입)'!E547),",","")),"")</f>
        <v>25311968</v>
      </c>
    </row>
    <row r="544" customFormat="false" ht="15" hidden="false" customHeight="true" outlineLevel="0" collapsed="false">
      <c r="A544" s="11" t="str">
        <f aca="false">TRIM('수출입 실적(성질별_수입)'!A548)</f>
        <v>2026.03</v>
      </c>
      <c r="B544" s="17" t="n">
        <f aca="false">IFERROR(VALUE(LEFT($A544,4)),"")</f>
        <v>2026</v>
      </c>
      <c r="C544" s="17" t="n">
        <f aca="false">IFERROR(VALUE(RIGHT($A544,2)),"")</f>
        <v>3</v>
      </c>
      <c r="D544" s="17" t="n">
        <f aca="false">IFERROR(ROUNDUP($C544/3,0),"")</f>
        <v>1</v>
      </c>
      <c r="E544" s="11" t="str">
        <f aca="false">TRIM('수출입 실적(성질별_수입)'!C548)</f>
        <v>가. 기계류와 정밀기기</v>
      </c>
      <c r="F544" s="18" t="n">
        <f aca="false">IFERROR(VALUE(SUBSTITUTE(TRIM('수출입 실적(성질별_수입)'!D548),",","")),"")</f>
        <v>188095.7</v>
      </c>
      <c r="G544" s="19" t="n">
        <f aca="false">IFERROR(VALUE(SUBSTITUTE(TRIM('수출입 실적(성질별_수입)'!E548),",","")),"")</f>
        <v>8030035</v>
      </c>
    </row>
    <row r="545" customFormat="false" ht="15" hidden="false" customHeight="true" outlineLevel="0" collapsed="false">
      <c r="A545" s="11" t="str">
        <f aca="false">TRIM('수출입 실적(성질별_수입)'!A549)</f>
        <v>2026.03</v>
      </c>
      <c r="B545" s="17" t="n">
        <f aca="false">IFERROR(VALUE(LEFT($A545,4)),"")</f>
        <v>2026</v>
      </c>
      <c r="C545" s="17" t="n">
        <f aca="false">IFERROR(VALUE(RIGHT($A545,2)),"")</f>
        <v>3</v>
      </c>
      <c r="D545" s="17" t="n">
        <f aca="false">IFERROR(ROUNDUP($C545/3,0),"")</f>
        <v>1</v>
      </c>
      <c r="E545" s="11" t="str">
        <f aca="false">TRIM('수출입 실적(성질별_수입)'!C549)</f>
        <v>나. 전기·전자기기</v>
      </c>
      <c r="F545" s="18" t="n">
        <f aca="false">IFERROR(VALUE(SUBSTITUTE(TRIM('수출입 실적(성질별_수입)'!D549),",","")),"")</f>
        <v>211966.7</v>
      </c>
      <c r="G545" s="19" t="n">
        <f aca="false">IFERROR(VALUE(SUBSTITUTE(TRIM('수출입 실적(성질별_수입)'!E549),",","")),"")</f>
        <v>15380690</v>
      </c>
    </row>
    <row r="546" customFormat="false" ht="15" hidden="false" customHeight="true" outlineLevel="0" collapsed="false">
      <c r="A546" s="11" t="str">
        <f aca="false">TRIM('수출입 실적(성질별_수입)'!A550)</f>
        <v>2026.03</v>
      </c>
      <c r="B546" s="17" t="n">
        <f aca="false">IFERROR(VALUE(LEFT($A546,4)),"")</f>
        <v>2026</v>
      </c>
      <c r="C546" s="17" t="n">
        <f aca="false">IFERROR(VALUE(RIGHT($A546,2)),"")</f>
        <v>3</v>
      </c>
      <c r="D546" s="17" t="n">
        <f aca="false">IFERROR(ROUNDUP($C546/3,0),"")</f>
        <v>1</v>
      </c>
      <c r="E546" s="11" t="str">
        <f aca="false">TRIM('수출입 실적(성질별_수입)'!C550)</f>
        <v>다. 수송장비</v>
      </c>
      <c r="F546" s="18" t="n">
        <f aca="false">IFERROR(VALUE(SUBSTITUTE(TRIM('수출입 실적(성질별_수입)'!D550),",","")),"")</f>
        <v>236547.9</v>
      </c>
      <c r="G546" s="19" t="n">
        <f aca="false">IFERROR(VALUE(SUBSTITUTE(TRIM('수출입 실적(성질별_수입)'!E550),",","")),"")</f>
        <v>1633092</v>
      </c>
    </row>
    <row r="547" customFormat="false" ht="15" hidden="false" customHeight="true" outlineLevel="0" collapsed="false">
      <c r="A547" s="11" t="str">
        <f aca="false">TRIM('수출입 실적(성질별_수입)'!A551)</f>
        <v>2026.03</v>
      </c>
      <c r="B547" s="17" t="n">
        <f aca="false">IFERROR(VALUE(LEFT($A547,4)),"")</f>
        <v>2026</v>
      </c>
      <c r="C547" s="17" t="n">
        <f aca="false">IFERROR(VALUE(RIGHT($A547,2)),"")</f>
        <v>3</v>
      </c>
      <c r="D547" s="17" t="n">
        <f aca="false">IFERROR(ROUNDUP($C547/3,0),"")</f>
        <v>1</v>
      </c>
      <c r="E547" s="11" t="str">
        <f aca="false">TRIM('수출입 실적(성질별_수입)'!C551)</f>
        <v>라. 기 타</v>
      </c>
      <c r="F547" s="18" t="n">
        <f aca="false">IFERROR(VALUE(SUBSTITUTE(TRIM('수출입 실적(성질별_수입)'!D551),",","")),"")</f>
        <v>16076.8</v>
      </c>
      <c r="G547" s="19" t="n">
        <f aca="false">IFERROR(VALUE(SUBSTITUTE(TRIM('수출입 실적(성질별_수입)'!E551),",","")),"")</f>
        <v>268151</v>
      </c>
    </row>
    <row r="548" customFormat="false" ht="15" hidden="false" customHeight="true" outlineLevel="0" collapsed="false">
      <c r="A548" s="11" t="str">
        <f aca="false">TRIM('수출입 실적(성질별_수입)'!A552)</f>
        <v>2026.04</v>
      </c>
      <c r="B548" s="17" t="n">
        <f aca="false">IFERROR(VALUE(LEFT($A548,4)),"")</f>
        <v>2026</v>
      </c>
      <c r="C548" s="17" t="n">
        <f aca="false">IFERROR(VALUE(RIGHT($A548,2)),"")</f>
        <v>4</v>
      </c>
      <c r="D548" s="17" t="n">
        <f aca="false">IFERROR(ROUNDUP($C548/3,0),"")</f>
        <v>2</v>
      </c>
      <c r="E548" s="11" t="str">
        <f aca="false">TRIM('수출입 실적(성질별_수입)'!C552)</f>
        <v>1. 소비재</v>
      </c>
      <c r="F548" s="18" t="n">
        <f aca="false">IFERROR(VALUE(SUBSTITUTE(TRIM('수출입 실적(성질별_수입)'!D552),",","")),"")</f>
        <v>3624287.9</v>
      </c>
      <c r="G548" s="19" t="n">
        <f aca="false">IFERROR(VALUE(SUBSTITUTE(TRIM('수출입 실적(성질별_수입)'!E552),",","")),"")</f>
        <v>9616391</v>
      </c>
    </row>
    <row r="549" customFormat="false" ht="15" hidden="false" customHeight="true" outlineLevel="0" collapsed="false">
      <c r="A549" s="11" t="str">
        <f aca="false">TRIM('수출입 실적(성질별_수입)'!A553)</f>
        <v>2026.04</v>
      </c>
      <c r="B549" s="17" t="n">
        <f aca="false">IFERROR(VALUE(LEFT($A549,4)),"")</f>
        <v>2026</v>
      </c>
      <c r="C549" s="17" t="n">
        <f aca="false">IFERROR(VALUE(RIGHT($A549,2)),"")</f>
        <v>4</v>
      </c>
      <c r="D549" s="17" t="n">
        <f aca="false">IFERROR(ROUNDUP($C549/3,0),"")</f>
        <v>2</v>
      </c>
      <c r="E549" s="11" t="str">
        <f aca="false">TRIM('수출입 실적(성질별_수입)'!C553)</f>
        <v>가. 곡물</v>
      </c>
      <c r="F549" s="18" t="n">
        <f aca="false">IFERROR(VALUE(SUBSTITUTE(TRIM('수출입 실적(성질별_수입)'!D553),",","")),"")</f>
        <v>2337194.9</v>
      </c>
      <c r="G549" s="19" t="n">
        <f aca="false">IFERROR(VALUE(SUBSTITUTE(TRIM('수출입 실적(성질별_수입)'!E553),",","")),"")</f>
        <v>718989</v>
      </c>
    </row>
    <row r="550" customFormat="false" ht="15" hidden="false" customHeight="true" outlineLevel="0" collapsed="false">
      <c r="A550" s="11" t="str">
        <f aca="false">TRIM('수출입 실적(성질별_수입)'!A554)</f>
        <v>2026.04</v>
      </c>
      <c r="B550" s="17" t="n">
        <f aca="false">IFERROR(VALUE(LEFT($A550,4)),"")</f>
        <v>2026</v>
      </c>
      <c r="C550" s="17" t="n">
        <f aca="false">IFERROR(VALUE(RIGHT($A550,2)),"")</f>
        <v>4</v>
      </c>
      <c r="D550" s="17" t="n">
        <f aca="false">IFERROR(ROUNDUP($C550/3,0),"")</f>
        <v>2</v>
      </c>
      <c r="E550" s="11" t="str">
        <f aca="false">TRIM('수출입 실적(성질별_수입)'!C554)</f>
        <v>나. 직접소비재</v>
      </c>
      <c r="F550" s="18" t="n">
        <f aca="false">IFERROR(VALUE(SUBSTITUTE(TRIM('수출입 실적(성질별_수입)'!D554),",","")),"")</f>
        <v>818618.4</v>
      </c>
      <c r="G550" s="19" t="n">
        <f aca="false">IFERROR(VALUE(SUBSTITUTE(TRIM('수출입 실적(성질별_수입)'!E554),",","")),"")</f>
        <v>2615745</v>
      </c>
    </row>
    <row r="551" customFormat="false" ht="15" hidden="false" customHeight="true" outlineLevel="0" collapsed="false">
      <c r="A551" s="11" t="str">
        <f aca="false">TRIM('수출입 실적(성질별_수입)'!A555)</f>
        <v>2026.04</v>
      </c>
      <c r="B551" s="17" t="n">
        <f aca="false">IFERROR(VALUE(LEFT($A551,4)),"")</f>
        <v>2026</v>
      </c>
      <c r="C551" s="17" t="n">
        <f aca="false">IFERROR(VALUE(RIGHT($A551,2)),"")</f>
        <v>4</v>
      </c>
      <c r="D551" s="17" t="n">
        <f aca="false">IFERROR(ROUNDUP($C551/3,0),"")</f>
        <v>2</v>
      </c>
      <c r="E551" s="11" t="str">
        <f aca="false">TRIM('수출입 실적(성질별_수입)'!C555)</f>
        <v>다. 내구소비재</v>
      </c>
      <c r="F551" s="18" t="n">
        <f aca="false">IFERROR(VALUE(SUBSTITUTE(TRIM('수출입 실적(성질별_수입)'!D555),",","")),"")</f>
        <v>330224</v>
      </c>
      <c r="G551" s="19" t="n">
        <f aca="false">IFERROR(VALUE(SUBSTITUTE(TRIM('수출입 실적(성질별_수입)'!E555),",","")),"")</f>
        <v>4190378</v>
      </c>
    </row>
    <row r="552" customFormat="false" ht="15" hidden="false" customHeight="true" outlineLevel="0" collapsed="false">
      <c r="A552" s="11" t="str">
        <f aca="false">TRIM('수출입 실적(성질별_수입)'!A556)</f>
        <v>2026.04</v>
      </c>
      <c r="B552" s="17" t="n">
        <f aca="false">IFERROR(VALUE(LEFT($A552,4)),"")</f>
        <v>2026</v>
      </c>
      <c r="C552" s="17" t="n">
        <f aca="false">IFERROR(VALUE(RIGHT($A552,2)),"")</f>
        <v>4</v>
      </c>
      <c r="D552" s="17" t="n">
        <f aca="false">IFERROR(ROUNDUP($C552/3,0),"")</f>
        <v>2</v>
      </c>
      <c r="E552" s="11" t="str">
        <f aca="false">TRIM('수출입 실적(성질별_수입)'!C556)</f>
        <v>라. 비내구 소비재</v>
      </c>
      <c r="F552" s="18" t="n">
        <f aca="false">IFERROR(VALUE(SUBSTITUTE(TRIM('수출입 실적(성질별_수입)'!D556),",","")),"")</f>
        <v>138250.5</v>
      </c>
      <c r="G552" s="19" t="n">
        <f aca="false">IFERROR(VALUE(SUBSTITUTE(TRIM('수출입 실적(성질별_수입)'!E556),",","")),"")</f>
        <v>2091279</v>
      </c>
    </row>
    <row r="553" customFormat="false" ht="15" hidden="false" customHeight="true" outlineLevel="0" collapsed="false">
      <c r="A553" s="11" t="str">
        <f aca="false">TRIM('수출입 실적(성질별_수입)'!A557)</f>
        <v>2026.04</v>
      </c>
      <c r="B553" s="17" t="n">
        <f aca="false">IFERROR(VALUE(LEFT($A553,4)),"")</f>
        <v>2026</v>
      </c>
      <c r="C553" s="17" t="n">
        <f aca="false">IFERROR(VALUE(RIGHT($A553,2)),"")</f>
        <v>4</v>
      </c>
      <c r="D553" s="17" t="n">
        <f aca="false">IFERROR(ROUNDUP($C553/3,0),"")</f>
        <v>2</v>
      </c>
      <c r="E553" s="11" t="str">
        <f aca="false">TRIM('수출입 실적(성질별_수입)'!C557)</f>
        <v>2. 원자재</v>
      </c>
      <c r="F553" s="18" t="n">
        <f aca="false">IFERROR(VALUE(SUBSTITUTE(TRIM('수출입 실적(성질별_수입)'!D557),",","")),"")</f>
        <v>37548785</v>
      </c>
      <c r="G553" s="19" t="n">
        <f aca="false">IFERROR(VALUE(SUBSTITUTE(TRIM('수출입 실적(성질별_수입)'!E557),",","")),"")</f>
        <v>27622728</v>
      </c>
    </row>
    <row r="554" customFormat="false" ht="15" hidden="false" customHeight="true" outlineLevel="0" collapsed="false">
      <c r="A554" s="11" t="str">
        <f aca="false">TRIM('수출입 실적(성질별_수입)'!A558)</f>
        <v>2026.04</v>
      </c>
      <c r="B554" s="17" t="n">
        <f aca="false">IFERROR(VALUE(LEFT($A554,4)),"")</f>
        <v>2026</v>
      </c>
      <c r="C554" s="17" t="n">
        <f aca="false">IFERROR(VALUE(RIGHT($A554,2)),"")</f>
        <v>4</v>
      </c>
      <c r="D554" s="17" t="n">
        <f aca="false">IFERROR(ROUNDUP($C554/3,0),"")</f>
        <v>2</v>
      </c>
      <c r="E554" s="11" t="str">
        <f aca="false">TRIM('수출입 실적(성질별_수입)'!C558)</f>
        <v>가. 연 료</v>
      </c>
      <c r="F554" s="18" t="n">
        <f aca="false">IFERROR(VALUE(SUBSTITUTE(TRIM('수출입 실적(성질별_수입)'!D558),",","")),"")</f>
        <v>23588336.5</v>
      </c>
      <c r="G554" s="19" t="n">
        <f aca="false">IFERROR(VALUE(SUBSTITUTE(TRIM('수출입 실적(성질별_수입)'!E558),",","")),"")</f>
        <v>12581224</v>
      </c>
    </row>
    <row r="555" customFormat="false" ht="15" hidden="false" customHeight="true" outlineLevel="0" collapsed="false">
      <c r="A555" s="11" t="str">
        <f aca="false">TRIM('수출입 실적(성질별_수입)'!A559)</f>
        <v>2026.04</v>
      </c>
      <c r="B555" s="17" t="n">
        <f aca="false">IFERROR(VALUE(LEFT($A555,4)),"")</f>
        <v>2026</v>
      </c>
      <c r="C555" s="17" t="n">
        <f aca="false">IFERROR(VALUE(RIGHT($A555,2)),"")</f>
        <v>4</v>
      </c>
      <c r="D555" s="17" t="n">
        <f aca="false">IFERROR(ROUNDUP($C555/3,0),"")</f>
        <v>2</v>
      </c>
      <c r="E555" s="11" t="str">
        <f aca="false">TRIM('수출입 실적(성질별_수입)'!C559)</f>
        <v>나. 광 물</v>
      </c>
      <c r="F555" s="18" t="n">
        <f aca="false">IFERROR(VALUE(SUBSTITUTE(TRIM('수출입 실적(성질별_수입)'!D559),",","")),"")</f>
        <v>8044009.7</v>
      </c>
      <c r="G555" s="19" t="n">
        <f aca="false">IFERROR(VALUE(SUBSTITUTE(TRIM('수출입 실적(성질별_수입)'!E559),",","")),"")</f>
        <v>3124043</v>
      </c>
    </row>
    <row r="556" customFormat="false" ht="15" hidden="false" customHeight="true" outlineLevel="0" collapsed="false">
      <c r="A556" s="11" t="str">
        <f aca="false">TRIM('수출입 실적(성질별_수입)'!A560)</f>
        <v>2026.04</v>
      </c>
      <c r="B556" s="17" t="n">
        <f aca="false">IFERROR(VALUE(LEFT($A556,4)),"")</f>
        <v>2026</v>
      </c>
      <c r="C556" s="17" t="n">
        <f aca="false">IFERROR(VALUE(RIGHT($A556,2)),"")</f>
        <v>4</v>
      </c>
      <c r="D556" s="17" t="n">
        <f aca="false">IFERROR(ROUNDUP($C556/3,0),"")</f>
        <v>2</v>
      </c>
      <c r="E556" s="11" t="str">
        <f aca="false">TRIM('수출입 실적(성질별_수입)'!C560)</f>
        <v>다. 경공업 원료</v>
      </c>
      <c r="F556" s="18" t="n">
        <f aca="false">IFERROR(VALUE(SUBSTITUTE(TRIM('수출입 실적(성질별_수입)'!D560),",","")),"")</f>
        <v>1191853</v>
      </c>
      <c r="G556" s="19" t="n">
        <f aca="false">IFERROR(VALUE(SUBSTITUTE(TRIM('수출입 실적(성질별_수입)'!E560),",","")),"")</f>
        <v>501918</v>
      </c>
    </row>
    <row r="557" customFormat="false" ht="15" hidden="false" customHeight="true" outlineLevel="0" collapsed="false">
      <c r="A557" s="11" t="str">
        <f aca="false">TRIM('수출입 실적(성질별_수입)'!A561)</f>
        <v>2026.04</v>
      </c>
      <c r="B557" s="17" t="n">
        <f aca="false">IFERROR(VALUE(LEFT($A557,4)),"")</f>
        <v>2026</v>
      </c>
      <c r="C557" s="17" t="n">
        <f aca="false">IFERROR(VALUE(RIGHT($A557,2)),"")</f>
        <v>4</v>
      </c>
      <c r="D557" s="17" t="n">
        <f aca="false">IFERROR(ROUNDUP($C557/3,0),"")</f>
        <v>2</v>
      </c>
      <c r="E557" s="11" t="str">
        <f aca="false">TRIM('수출입 실적(성질별_수입)'!C561)</f>
        <v>라. 유 지</v>
      </c>
      <c r="F557" s="18" t="n">
        <f aca="false">IFERROR(VALUE(SUBSTITUTE(TRIM('수출입 실적(성질별_수입)'!D561),",","")),"")</f>
        <v>173476.7</v>
      </c>
      <c r="G557" s="19" t="n">
        <f aca="false">IFERROR(VALUE(SUBSTITUTE(TRIM('수출입 실적(성질별_수입)'!E561),",","")),"")</f>
        <v>251652</v>
      </c>
    </row>
    <row r="558" customFormat="false" ht="15" hidden="false" customHeight="true" outlineLevel="0" collapsed="false">
      <c r="A558" s="11" t="str">
        <f aca="false">TRIM('수출입 실적(성질별_수입)'!A562)</f>
        <v>2026.04</v>
      </c>
      <c r="B558" s="17" t="n">
        <f aca="false">IFERROR(VALUE(LEFT($A558,4)),"")</f>
        <v>2026</v>
      </c>
      <c r="C558" s="17" t="n">
        <f aca="false">IFERROR(VALUE(RIGHT($A558,2)),"")</f>
        <v>4</v>
      </c>
      <c r="D558" s="17" t="n">
        <f aca="false">IFERROR(ROUNDUP($C558/3,0),"")</f>
        <v>2</v>
      </c>
      <c r="E558" s="11" t="str">
        <f aca="false">TRIM('수출입 실적(성질별_수입)'!C562)</f>
        <v>마. 섬유류</v>
      </c>
      <c r="F558" s="18" t="n">
        <f aca="false">IFERROR(VALUE(SUBSTITUTE(TRIM('수출입 실적(성질별_수입)'!D562),",","")),"")</f>
        <v>108983</v>
      </c>
      <c r="G558" s="19" t="n">
        <f aca="false">IFERROR(VALUE(SUBSTITUTE(TRIM('수출입 실적(성질별_수입)'!E562),",","")),"")</f>
        <v>334959</v>
      </c>
    </row>
    <row r="559" customFormat="false" ht="15" hidden="false" customHeight="true" outlineLevel="0" collapsed="false">
      <c r="A559" s="11" t="str">
        <f aca="false">TRIM('수출입 실적(성질별_수입)'!A563)</f>
        <v>2026.04</v>
      </c>
      <c r="B559" s="17" t="n">
        <f aca="false">IFERROR(VALUE(LEFT($A559,4)),"")</f>
        <v>2026</v>
      </c>
      <c r="C559" s="17" t="n">
        <f aca="false">IFERROR(VALUE(RIGHT($A559,2)),"")</f>
        <v>4</v>
      </c>
      <c r="D559" s="17" t="n">
        <f aca="false">IFERROR(ROUNDUP($C559/3,0),"")</f>
        <v>2</v>
      </c>
      <c r="E559" s="11" t="str">
        <f aca="false">TRIM('수출입 실적(성질별_수입)'!C563)</f>
        <v>바. 화공품</v>
      </c>
      <c r="F559" s="18" t="n">
        <f aca="false">IFERROR(VALUE(SUBSTITUTE(TRIM('수출입 실적(성질별_수입)'!D563),",","")),"")</f>
        <v>1935909.8</v>
      </c>
      <c r="G559" s="19" t="n">
        <f aca="false">IFERROR(VALUE(SUBSTITUTE(TRIM('수출입 실적(성질별_수입)'!E563),",","")),"")</f>
        <v>5711336</v>
      </c>
    </row>
    <row r="560" customFormat="false" ht="15" hidden="false" customHeight="true" outlineLevel="0" collapsed="false">
      <c r="A560" s="11" t="str">
        <f aca="false">TRIM('수출입 실적(성질별_수입)'!A564)</f>
        <v>2026.04</v>
      </c>
      <c r="B560" s="17" t="n">
        <f aca="false">IFERROR(VALUE(LEFT($A560,4)),"")</f>
        <v>2026</v>
      </c>
      <c r="C560" s="17" t="n">
        <f aca="false">IFERROR(VALUE(RIGHT($A560,2)),"")</f>
        <v>4</v>
      </c>
      <c r="D560" s="17" t="n">
        <f aca="false">IFERROR(ROUNDUP($C560/3,0),"")</f>
        <v>2</v>
      </c>
      <c r="E560" s="11" t="str">
        <f aca="false">TRIM('수출입 실적(성질별_수입)'!C564)</f>
        <v>사. 철강재</v>
      </c>
      <c r="F560" s="18" t="n">
        <f aca="false">IFERROR(VALUE(SUBSTITUTE(TRIM('수출입 실적(성질별_수입)'!D564),",","")),"")</f>
        <v>1390937.1</v>
      </c>
      <c r="G560" s="19" t="n">
        <f aca="false">IFERROR(VALUE(SUBSTITUTE(TRIM('수출입 실적(성질별_수입)'!E564),",","")),"")</f>
        <v>1553202</v>
      </c>
    </row>
    <row r="561" customFormat="false" ht="15" hidden="false" customHeight="true" outlineLevel="0" collapsed="false">
      <c r="A561" s="11" t="str">
        <f aca="false">TRIM('수출입 실적(성질별_수입)'!A565)</f>
        <v>2026.04</v>
      </c>
      <c r="B561" s="17" t="n">
        <f aca="false">IFERROR(VALUE(LEFT($A561,4)),"")</f>
        <v>2026</v>
      </c>
      <c r="C561" s="17" t="n">
        <f aca="false">IFERROR(VALUE(RIGHT($A561,2)),"")</f>
        <v>4</v>
      </c>
      <c r="D561" s="17" t="n">
        <f aca="false">IFERROR(ROUNDUP($C561/3,0),"")</f>
        <v>2</v>
      </c>
      <c r="E561" s="11" t="str">
        <f aca="false">TRIM('수출입 실적(성질별_수입)'!C565)</f>
        <v>아. 비철금속</v>
      </c>
      <c r="F561" s="18" t="n">
        <f aca="false">IFERROR(VALUE(SUBSTITUTE(TRIM('수출입 실적(성질별_수입)'!D565),",","")),"")</f>
        <v>261438.6</v>
      </c>
      <c r="G561" s="19" t="n">
        <f aca="false">IFERROR(VALUE(SUBSTITUTE(TRIM('수출입 실적(성질별_수입)'!E565),",","")),"")</f>
        <v>2054856</v>
      </c>
    </row>
    <row r="562" customFormat="false" ht="15" hidden="false" customHeight="true" outlineLevel="0" collapsed="false">
      <c r="A562" s="11" t="str">
        <f aca="false">TRIM('수출입 실적(성질별_수입)'!A566)</f>
        <v>2026.04</v>
      </c>
      <c r="B562" s="17" t="n">
        <f aca="false">IFERROR(VALUE(LEFT($A562,4)),"")</f>
        <v>2026</v>
      </c>
      <c r="C562" s="17" t="n">
        <f aca="false">IFERROR(VALUE(RIGHT($A562,2)),"")</f>
        <v>4</v>
      </c>
      <c r="D562" s="17" t="n">
        <f aca="false">IFERROR(ROUNDUP($C562/3,0),"")</f>
        <v>2</v>
      </c>
      <c r="E562" s="11" t="str">
        <f aca="false">TRIM('수출입 실적(성질별_수입)'!C566)</f>
        <v>자. 기 타</v>
      </c>
      <c r="F562" s="18" t="n">
        <f aca="false">IFERROR(VALUE(SUBSTITUTE(TRIM('수출입 실적(성질별_수입)'!D566),",","")),"")</f>
        <v>853840.7</v>
      </c>
      <c r="G562" s="19" t="n">
        <f aca="false">IFERROR(VALUE(SUBSTITUTE(TRIM('수출입 실적(성질별_수입)'!E566),",","")),"")</f>
        <v>1509538</v>
      </c>
    </row>
    <row r="563" customFormat="false" ht="15" hidden="false" customHeight="true" outlineLevel="0" collapsed="false">
      <c r="A563" s="11" t="str">
        <f aca="false">TRIM('수출입 실적(성질별_수입)'!A567)</f>
        <v>2026.04</v>
      </c>
      <c r="B563" s="17" t="n">
        <f aca="false">IFERROR(VALUE(LEFT($A563,4)),"")</f>
        <v>2026</v>
      </c>
      <c r="C563" s="17" t="n">
        <f aca="false">IFERROR(VALUE(RIGHT($A563,2)),"")</f>
        <v>4</v>
      </c>
      <c r="D563" s="17" t="n">
        <f aca="false">IFERROR(ROUNDUP($C563/3,0),"")</f>
        <v>2</v>
      </c>
      <c r="E563" s="11" t="str">
        <f aca="false">TRIM('수출입 실적(성질별_수입)'!C567)</f>
        <v>3. 자본재</v>
      </c>
      <c r="F563" s="18" t="n">
        <f aca="false">IFERROR(VALUE(SUBSTITUTE(TRIM('수출입 실적(성질별_수입)'!D567),",","")),"")</f>
        <v>825407.8</v>
      </c>
      <c r="G563" s="19" t="n">
        <f aca="false">IFERROR(VALUE(SUBSTITUTE(TRIM('수출입 실적(성질별_수입)'!E567),",","")),"")</f>
        <v>24865788</v>
      </c>
    </row>
    <row r="564" customFormat="false" ht="15" hidden="false" customHeight="true" outlineLevel="0" collapsed="false">
      <c r="A564" s="11" t="str">
        <f aca="false">TRIM('수출입 실적(성질별_수입)'!A568)</f>
        <v>2026.04</v>
      </c>
      <c r="B564" s="17" t="n">
        <f aca="false">IFERROR(VALUE(LEFT($A564,4)),"")</f>
        <v>2026</v>
      </c>
      <c r="C564" s="17" t="n">
        <f aca="false">IFERROR(VALUE(RIGHT($A564,2)),"")</f>
        <v>4</v>
      </c>
      <c r="D564" s="17" t="n">
        <f aca="false">IFERROR(ROUNDUP($C564/3,0),"")</f>
        <v>2</v>
      </c>
      <c r="E564" s="11" t="str">
        <f aca="false">TRIM('수출입 실적(성질별_수입)'!C568)</f>
        <v>가. 기계류와 정밀기기</v>
      </c>
      <c r="F564" s="18" t="n">
        <f aca="false">IFERROR(VALUE(SUBSTITUTE(TRIM('수출입 실적(성질별_수입)'!D568),",","")),"")</f>
        <v>212570.3</v>
      </c>
      <c r="G564" s="19" t="n">
        <f aca="false">IFERROR(VALUE(SUBSTITUTE(TRIM('수출입 실적(성질별_수입)'!E568),",","")),"")</f>
        <v>7551789</v>
      </c>
    </row>
    <row r="565" customFormat="false" ht="15" hidden="false" customHeight="true" outlineLevel="0" collapsed="false">
      <c r="A565" s="11" t="str">
        <f aca="false">TRIM('수출입 실적(성질별_수입)'!A569)</f>
        <v>2026.04</v>
      </c>
      <c r="B565" s="17" t="n">
        <f aca="false">IFERROR(VALUE(LEFT($A565,4)),"")</f>
        <v>2026</v>
      </c>
      <c r="C565" s="17" t="n">
        <f aca="false">IFERROR(VALUE(RIGHT($A565,2)),"")</f>
        <v>4</v>
      </c>
      <c r="D565" s="17" t="n">
        <f aca="false">IFERROR(ROUNDUP($C565/3,0),"")</f>
        <v>2</v>
      </c>
      <c r="E565" s="11" t="str">
        <f aca="false">TRIM('수출입 실적(성질별_수입)'!C569)</f>
        <v>나. 전기·전자기기</v>
      </c>
      <c r="F565" s="18" t="n">
        <f aca="false">IFERROR(VALUE(SUBSTITUTE(TRIM('수출입 실적(성질별_수입)'!D569),",","")),"")</f>
        <v>208890.5</v>
      </c>
      <c r="G565" s="19" t="n">
        <f aca="false">IFERROR(VALUE(SUBSTITUTE(TRIM('수출입 실적(성질별_수입)'!E569),",","")),"")</f>
        <v>15474206</v>
      </c>
    </row>
    <row r="566" customFormat="false" ht="15" hidden="false" customHeight="true" outlineLevel="0" collapsed="false">
      <c r="A566" s="11" t="str">
        <f aca="false">TRIM('수출입 실적(성질별_수입)'!A570)</f>
        <v>2026.04</v>
      </c>
      <c r="B566" s="17" t="n">
        <f aca="false">IFERROR(VALUE(LEFT($A566,4)),"")</f>
        <v>2026</v>
      </c>
      <c r="C566" s="17" t="n">
        <f aca="false">IFERROR(VALUE(RIGHT($A566,2)),"")</f>
        <v>4</v>
      </c>
      <c r="D566" s="17" t="n">
        <f aca="false">IFERROR(ROUNDUP($C566/3,0),"")</f>
        <v>2</v>
      </c>
      <c r="E566" s="11" t="str">
        <f aca="false">TRIM('수출입 실적(성질별_수입)'!C570)</f>
        <v>다. 수송장비</v>
      </c>
      <c r="F566" s="18" t="n">
        <f aca="false">IFERROR(VALUE(SUBSTITUTE(TRIM('수출입 실적(성질별_수입)'!D570),",","")),"")</f>
        <v>385804.7</v>
      </c>
      <c r="G566" s="19" t="n">
        <f aca="false">IFERROR(VALUE(SUBSTITUTE(TRIM('수출입 실적(성질별_수입)'!E570),",","")),"")</f>
        <v>1589297</v>
      </c>
    </row>
    <row r="567" customFormat="false" ht="15" hidden="false" customHeight="true" outlineLevel="0" collapsed="false">
      <c r="A567" s="11" t="str">
        <f aca="false">TRIM('수출입 실적(성질별_수입)'!A571)</f>
        <v>2026.04</v>
      </c>
      <c r="B567" s="17" t="n">
        <f aca="false">IFERROR(VALUE(LEFT($A567,4)),"")</f>
        <v>2026</v>
      </c>
      <c r="C567" s="17" t="n">
        <f aca="false">IFERROR(VALUE(RIGHT($A567,2)),"")</f>
        <v>4</v>
      </c>
      <c r="D567" s="17" t="n">
        <f aca="false">IFERROR(ROUNDUP($C567/3,0),"")</f>
        <v>2</v>
      </c>
      <c r="E567" s="11" t="str">
        <f aca="false">TRIM('수출입 실적(성질별_수입)'!C571)</f>
        <v>라. 기 타</v>
      </c>
      <c r="F567" s="18" t="n">
        <f aca="false">IFERROR(VALUE(SUBSTITUTE(TRIM('수출입 실적(성질별_수입)'!D571),",","")),"")</f>
        <v>18142.3</v>
      </c>
      <c r="G567" s="19" t="n">
        <f aca="false">IFERROR(VALUE(SUBSTITUTE(TRIM('수출입 실적(성질별_수입)'!E571),",","")),"")</f>
        <v>250497</v>
      </c>
    </row>
    <row r="568" customFormat="false" ht="15" hidden="false" customHeight="true" outlineLevel="0" collapsed="false">
      <c r="A568" s="11" t="str">
        <f aca="false">TRIM('수출입 실적(성질별_수입)'!A572)</f>
        <v>2026.05</v>
      </c>
      <c r="B568" s="17" t="n">
        <f aca="false">IFERROR(VALUE(LEFT($A568,4)),"")</f>
        <v>2026</v>
      </c>
      <c r="C568" s="17" t="n">
        <f aca="false">IFERROR(VALUE(RIGHT($A568,2)),"")</f>
        <v>5</v>
      </c>
      <c r="D568" s="17" t="n">
        <f aca="false">IFERROR(ROUNDUP($C568/3,0),"")</f>
        <v>2</v>
      </c>
      <c r="E568" s="11" t="str">
        <f aca="false">TRIM('수출입 실적(성질별_수입)'!C572)</f>
        <v>1. 소비재</v>
      </c>
      <c r="F568" s="18" t="n">
        <f aca="false">IFERROR(VALUE(SUBSTITUTE(TRIM('수출입 실적(성질별_수입)'!D572),",","")),"")</f>
        <v>3184986.3</v>
      </c>
      <c r="G568" s="19" t="n">
        <f aca="false">IFERROR(VALUE(SUBSTITUTE(TRIM('수출입 실적(성질별_수입)'!E572),",","")),"")</f>
        <v>8836336</v>
      </c>
    </row>
    <row r="569" customFormat="false" ht="15" hidden="false" customHeight="true" outlineLevel="0" collapsed="false">
      <c r="A569" s="11" t="str">
        <f aca="false">TRIM('수출입 실적(성질별_수입)'!A573)</f>
        <v>2026.05</v>
      </c>
      <c r="B569" s="17" t="n">
        <f aca="false">IFERROR(VALUE(LEFT($A569,4)),"")</f>
        <v>2026</v>
      </c>
      <c r="C569" s="17" t="n">
        <f aca="false">IFERROR(VALUE(RIGHT($A569,2)),"")</f>
        <v>5</v>
      </c>
      <c r="D569" s="17" t="n">
        <f aca="false">IFERROR(ROUNDUP($C569/3,0),"")</f>
        <v>2</v>
      </c>
      <c r="E569" s="11" t="str">
        <f aca="false">TRIM('수출입 실적(성질별_수입)'!C573)</f>
        <v>가. 곡물</v>
      </c>
      <c r="F569" s="18" t="n">
        <f aca="false">IFERROR(VALUE(SUBSTITUTE(TRIM('수출입 실적(성질별_수입)'!D573),",","")),"")</f>
        <v>2032910.6</v>
      </c>
      <c r="G569" s="19" t="n">
        <f aca="false">IFERROR(VALUE(SUBSTITUTE(TRIM('수출입 실적(성질별_수입)'!E573),",","")),"")</f>
        <v>628717</v>
      </c>
    </row>
    <row r="570" customFormat="false" ht="15" hidden="false" customHeight="true" outlineLevel="0" collapsed="false">
      <c r="A570" s="11" t="str">
        <f aca="false">TRIM('수출입 실적(성질별_수입)'!A574)</f>
        <v>2026.05</v>
      </c>
      <c r="B570" s="17" t="n">
        <f aca="false">IFERROR(VALUE(LEFT($A570,4)),"")</f>
        <v>2026</v>
      </c>
      <c r="C570" s="17" t="n">
        <f aca="false">IFERROR(VALUE(RIGHT($A570,2)),"")</f>
        <v>5</v>
      </c>
      <c r="D570" s="17" t="n">
        <f aca="false">IFERROR(ROUNDUP($C570/3,0),"")</f>
        <v>2</v>
      </c>
      <c r="E570" s="11" t="str">
        <f aca="false">TRIM('수출입 실적(성질별_수입)'!C574)</f>
        <v>나. 직접소비재</v>
      </c>
      <c r="F570" s="18" t="n">
        <f aca="false">IFERROR(VALUE(SUBSTITUTE(TRIM('수출입 실적(성질별_수입)'!D574),",","")),"")</f>
        <v>721555</v>
      </c>
      <c r="G570" s="19" t="n">
        <f aca="false">IFERROR(VALUE(SUBSTITUTE(TRIM('수출입 실적(성질별_수입)'!E574),",","")),"")</f>
        <v>2385630</v>
      </c>
    </row>
    <row r="571" customFormat="false" ht="15" hidden="false" customHeight="true" outlineLevel="0" collapsed="false">
      <c r="A571" s="11" t="str">
        <f aca="false">TRIM('수출입 실적(성질별_수입)'!A575)</f>
        <v>2026.05</v>
      </c>
      <c r="B571" s="17" t="n">
        <f aca="false">IFERROR(VALUE(LEFT($A571,4)),"")</f>
        <v>2026</v>
      </c>
      <c r="C571" s="17" t="n">
        <f aca="false">IFERROR(VALUE(RIGHT($A571,2)),"")</f>
        <v>5</v>
      </c>
      <c r="D571" s="17" t="n">
        <f aca="false">IFERROR(ROUNDUP($C571/3,0),"")</f>
        <v>2</v>
      </c>
      <c r="E571" s="11" t="str">
        <f aca="false">TRIM('수출입 실적(성질별_수입)'!C575)</f>
        <v>다. 내구소비재</v>
      </c>
      <c r="F571" s="18" t="n">
        <f aca="false">IFERROR(VALUE(SUBSTITUTE(TRIM('수출입 실적(성질별_수입)'!D575),",","")),"")</f>
        <v>313660.5</v>
      </c>
      <c r="G571" s="19" t="n">
        <f aca="false">IFERROR(VALUE(SUBSTITUTE(TRIM('수출입 실적(성질별_수입)'!E575),",","")),"")</f>
        <v>4027523</v>
      </c>
    </row>
    <row r="572" customFormat="false" ht="15" hidden="false" customHeight="true" outlineLevel="0" collapsed="false">
      <c r="A572" s="11" t="str">
        <f aca="false">TRIM('수출입 실적(성질별_수입)'!A576)</f>
        <v>2026.05</v>
      </c>
      <c r="B572" s="17" t="n">
        <f aca="false">IFERROR(VALUE(LEFT($A572,4)),"")</f>
        <v>2026</v>
      </c>
      <c r="C572" s="17" t="n">
        <f aca="false">IFERROR(VALUE(RIGHT($A572,2)),"")</f>
        <v>5</v>
      </c>
      <c r="D572" s="17" t="n">
        <f aca="false">IFERROR(ROUNDUP($C572/3,0),"")</f>
        <v>2</v>
      </c>
      <c r="E572" s="11" t="str">
        <f aca="false">TRIM('수출입 실적(성질별_수입)'!C576)</f>
        <v>라. 비내구 소비재</v>
      </c>
      <c r="F572" s="18" t="n">
        <f aca="false">IFERROR(VALUE(SUBSTITUTE(TRIM('수출입 실적(성질별_수입)'!D576),",","")),"")</f>
        <v>116860.1</v>
      </c>
      <c r="G572" s="19" t="n">
        <f aca="false">IFERROR(VALUE(SUBSTITUTE(TRIM('수출입 실적(성질별_수입)'!E576),",","")),"")</f>
        <v>1794465</v>
      </c>
    </row>
    <row r="573" customFormat="false" ht="15" hidden="false" customHeight="true" outlineLevel="0" collapsed="false">
      <c r="A573" s="11" t="str">
        <f aca="false">TRIM('수출입 실적(성질별_수입)'!A577)</f>
        <v>2026.05</v>
      </c>
      <c r="B573" s="17" t="n">
        <f aca="false">IFERROR(VALUE(LEFT($A573,4)),"")</f>
        <v>2026</v>
      </c>
      <c r="C573" s="17" t="n">
        <f aca="false">IFERROR(VALUE(RIGHT($A573,2)),"")</f>
        <v>5</v>
      </c>
      <c r="D573" s="17" t="n">
        <f aca="false">IFERROR(ROUNDUP($C573/3,0),"")</f>
        <v>2</v>
      </c>
      <c r="E573" s="11" t="str">
        <f aca="false">TRIM('수출입 실적(성질별_수입)'!C577)</f>
        <v>2. 원자재</v>
      </c>
      <c r="F573" s="18" t="n">
        <f aca="false">IFERROR(VALUE(SUBSTITUTE(TRIM('수출입 실적(성질별_수입)'!D577),",","")),"")</f>
        <v>35552285.9</v>
      </c>
      <c r="G573" s="19" t="n">
        <f aca="false">IFERROR(VALUE(SUBSTITUTE(TRIM('수출입 실적(성질별_수입)'!E577),",","")),"")</f>
        <v>28424410</v>
      </c>
    </row>
    <row r="574" customFormat="false" ht="15" hidden="false" customHeight="true" outlineLevel="0" collapsed="false">
      <c r="A574" s="11" t="str">
        <f aca="false">TRIM('수출입 실적(성질별_수입)'!A578)</f>
        <v>2026.05</v>
      </c>
      <c r="B574" s="17" t="n">
        <f aca="false">IFERROR(VALUE(LEFT($A574,4)),"")</f>
        <v>2026</v>
      </c>
      <c r="C574" s="17" t="n">
        <f aca="false">IFERROR(VALUE(RIGHT($A574,2)),"")</f>
        <v>5</v>
      </c>
      <c r="D574" s="17" t="n">
        <f aca="false">IFERROR(ROUNDUP($C574/3,0),"")</f>
        <v>2</v>
      </c>
      <c r="E574" s="11" t="str">
        <f aca="false">TRIM('수출입 실적(성질별_수입)'!C578)</f>
        <v>가. 연 료</v>
      </c>
      <c r="F574" s="18" t="n">
        <f aca="false">IFERROR(VALUE(SUBSTITUTE(TRIM('수출입 실적(성질별_수입)'!D578),",","")),"")</f>
        <v>23911375.3</v>
      </c>
      <c r="G574" s="19" t="n">
        <f aca="false">IFERROR(VALUE(SUBSTITUTE(TRIM('수출입 실적(성질별_수입)'!E578),",","")),"")</f>
        <v>14292320</v>
      </c>
    </row>
    <row r="575" customFormat="false" ht="15" hidden="false" customHeight="true" outlineLevel="0" collapsed="false">
      <c r="A575" s="11" t="str">
        <f aca="false">TRIM('수출입 실적(성질별_수입)'!A579)</f>
        <v>2026.05</v>
      </c>
      <c r="B575" s="17" t="n">
        <f aca="false">IFERROR(VALUE(LEFT($A575,4)),"")</f>
        <v>2026</v>
      </c>
      <c r="C575" s="17" t="n">
        <f aca="false">IFERROR(VALUE(RIGHT($A575,2)),"")</f>
        <v>5</v>
      </c>
      <c r="D575" s="17" t="n">
        <f aca="false">IFERROR(ROUNDUP($C575/3,0),"")</f>
        <v>2</v>
      </c>
      <c r="E575" s="11" t="str">
        <f aca="false">TRIM('수출입 실적(성질별_수입)'!C579)</f>
        <v>나. 광 물</v>
      </c>
      <c r="F575" s="18" t="n">
        <f aca="false">IFERROR(VALUE(SUBSTITUTE(TRIM('수출입 실적(성질별_수입)'!D579),",","")),"")</f>
        <v>6217240.9</v>
      </c>
      <c r="G575" s="19" t="n">
        <f aca="false">IFERROR(VALUE(SUBSTITUTE(TRIM('수출입 실적(성질별_수입)'!E579),",","")),"")</f>
        <v>2602652</v>
      </c>
    </row>
    <row r="576" customFormat="false" ht="15" hidden="false" customHeight="true" outlineLevel="0" collapsed="false">
      <c r="A576" s="11" t="str">
        <f aca="false">TRIM('수출입 실적(성질별_수입)'!A580)</f>
        <v>2026.05</v>
      </c>
      <c r="B576" s="17" t="n">
        <f aca="false">IFERROR(VALUE(LEFT($A576,4)),"")</f>
        <v>2026</v>
      </c>
      <c r="C576" s="17" t="n">
        <f aca="false">IFERROR(VALUE(RIGHT($A576,2)),"")</f>
        <v>5</v>
      </c>
      <c r="D576" s="17" t="n">
        <f aca="false">IFERROR(ROUNDUP($C576/3,0),"")</f>
        <v>2</v>
      </c>
      <c r="E576" s="11" t="str">
        <f aca="false">TRIM('수출입 실적(성질별_수입)'!C580)</f>
        <v>다. 경공업 원료</v>
      </c>
      <c r="F576" s="18" t="n">
        <f aca="false">IFERROR(VALUE(SUBSTITUTE(TRIM('수출입 실적(성질별_수입)'!D580),",","")),"")</f>
        <v>1055616</v>
      </c>
      <c r="G576" s="19" t="n">
        <f aca="false">IFERROR(VALUE(SUBSTITUTE(TRIM('수출입 실적(성질별_수입)'!E580),",","")),"")</f>
        <v>477322</v>
      </c>
    </row>
    <row r="577" customFormat="false" ht="15" hidden="false" customHeight="true" outlineLevel="0" collapsed="false">
      <c r="A577" s="11" t="str">
        <f aca="false">TRIM('수출입 실적(성질별_수입)'!A581)</f>
        <v>2026.05</v>
      </c>
      <c r="B577" s="17" t="n">
        <f aca="false">IFERROR(VALUE(LEFT($A577,4)),"")</f>
        <v>2026</v>
      </c>
      <c r="C577" s="17" t="n">
        <f aca="false">IFERROR(VALUE(RIGHT($A577,2)),"")</f>
        <v>5</v>
      </c>
      <c r="D577" s="17" t="n">
        <f aca="false">IFERROR(ROUNDUP($C577/3,0),"")</f>
        <v>2</v>
      </c>
      <c r="E577" s="11" t="str">
        <f aca="false">TRIM('수출입 실적(성질별_수입)'!C581)</f>
        <v>라. 유 지</v>
      </c>
      <c r="F577" s="18" t="n">
        <f aca="false">IFERROR(VALUE(SUBSTITUTE(TRIM('수출입 실적(성질별_수입)'!D581),",","")),"")</f>
        <v>143184.5</v>
      </c>
      <c r="G577" s="19" t="n">
        <f aca="false">IFERROR(VALUE(SUBSTITUTE(TRIM('수출입 실적(성질별_수입)'!E581),",","")),"")</f>
        <v>210506</v>
      </c>
    </row>
    <row r="578" customFormat="false" ht="15" hidden="false" customHeight="true" outlineLevel="0" collapsed="false">
      <c r="A578" s="11" t="str">
        <f aca="false">TRIM('수출입 실적(성질별_수입)'!A582)</f>
        <v>2026.05</v>
      </c>
      <c r="B578" s="17" t="n">
        <f aca="false">IFERROR(VALUE(LEFT($A578,4)),"")</f>
        <v>2026</v>
      </c>
      <c r="C578" s="17" t="n">
        <f aca="false">IFERROR(VALUE(RIGHT($A578,2)),"")</f>
        <v>5</v>
      </c>
      <c r="D578" s="17" t="n">
        <f aca="false">IFERROR(ROUNDUP($C578/3,0),"")</f>
        <v>2</v>
      </c>
      <c r="E578" s="11" t="str">
        <f aca="false">TRIM('수출입 실적(성질별_수입)'!C582)</f>
        <v>마. 섬유류</v>
      </c>
      <c r="F578" s="18" t="n">
        <f aca="false">IFERROR(VALUE(SUBSTITUTE(TRIM('수출입 실적(성질별_수입)'!D582),",","")),"")</f>
        <v>94304.2</v>
      </c>
      <c r="G578" s="19" t="n">
        <f aca="false">IFERROR(VALUE(SUBSTITUTE(TRIM('수출입 실적(성질별_수입)'!E582),",","")),"")</f>
        <v>310370</v>
      </c>
    </row>
    <row r="579" customFormat="false" ht="15" hidden="false" customHeight="true" outlineLevel="0" collapsed="false">
      <c r="A579" s="11" t="str">
        <f aca="false">TRIM('수출입 실적(성질별_수입)'!A583)</f>
        <v>2026.05</v>
      </c>
      <c r="B579" s="17" t="n">
        <f aca="false">IFERROR(VALUE(LEFT($A579,4)),"")</f>
        <v>2026</v>
      </c>
      <c r="C579" s="17" t="n">
        <f aca="false">IFERROR(VALUE(RIGHT($A579,2)),"")</f>
        <v>5</v>
      </c>
      <c r="D579" s="17" t="n">
        <f aca="false">IFERROR(ROUNDUP($C579/3,0),"")</f>
        <v>2</v>
      </c>
      <c r="E579" s="11" t="str">
        <f aca="false">TRIM('수출입 실적(성질별_수입)'!C583)</f>
        <v>바. 화공품</v>
      </c>
      <c r="F579" s="18" t="n">
        <f aca="false">IFERROR(VALUE(SUBSTITUTE(TRIM('수출입 실적(성질별_수입)'!D583),",","")),"")</f>
        <v>1796365.7</v>
      </c>
      <c r="G579" s="19" t="n">
        <f aca="false">IFERROR(VALUE(SUBSTITUTE(TRIM('수출입 실적(성질별_수입)'!E583),",","")),"")</f>
        <v>5563663</v>
      </c>
    </row>
    <row r="580" customFormat="false" ht="15" hidden="false" customHeight="true" outlineLevel="0" collapsed="false">
      <c r="A580" s="11" t="str">
        <f aca="false">TRIM('수출입 실적(성질별_수입)'!A584)</f>
        <v>2026.05</v>
      </c>
      <c r="B580" s="17" t="n">
        <f aca="false">IFERROR(VALUE(LEFT($A580,4)),"")</f>
        <v>2026</v>
      </c>
      <c r="C580" s="17" t="n">
        <f aca="false">IFERROR(VALUE(RIGHT($A580,2)),"")</f>
        <v>5</v>
      </c>
      <c r="D580" s="17" t="n">
        <f aca="false">IFERROR(ROUNDUP($C580/3,0),"")</f>
        <v>2</v>
      </c>
      <c r="E580" s="11" t="str">
        <f aca="false">TRIM('수출입 실적(성질별_수입)'!C584)</f>
        <v>사. 철강재</v>
      </c>
      <c r="F580" s="18" t="n">
        <f aca="false">IFERROR(VALUE(SUBSTITUTE(TRIM('수출입 실적(성질별_수입)'!D584),",","")),"")</f>
        <v>1335234.8</v>
      </c>
      <c r="G580" s="19" t="n">
        <f aca="false">IFERROR(VALUE(SUBSTITUTE(TRIM('수출입 실적(성질별_수입)'!E584),",","")),"")</f>
        <v>1508549</v>
      </c>
    </row>
    <row r="581" customFormat="false" ht="15" hidden="false" customHeight="true" outlineLevel="0" collapsed="false">
      <c r="A581" s="11" t="str">
        <f aca="false">TRIM('수출입 실적(성질별_수입)'!A585)</f>
        <v>2026.05</v>
      </c>
      <c r="B581" s="17" t="n">
        <f aca="false">IFERROR(VALUE(LEFT($A581,4)),"")</f>
        <v>2026</v>
      </c>
      <c r="C581" s="17" t="n">
        <f aca="false">IFERROR(VALUE(RIGHT($A581,2)),"")</f>
        <v>5</v>
      </c>
      <c r="D581" s="17" t="n">
        <f aca="false">IFERROR(ROUNDUP($C581/3,0),"")</f>
        <v>2</v>
      </c>
      <c r="E581" s="11" t="str">
        <f aca="false">TRIM('수출입 실적(성질별_수입)'!C585)</f>
        <v>아. 비철금속</v>
      </c>
      <c r="F581" s="18" t="n">
        <f aca="false">IFERROR(VALUE(SUBSTITUTE(TRIM('수출입 실적(성질별_수입)'!D585),",","")),"")</f>
        <v>264029.5</v>
      </c>
      <c r="G581" s="19" t="n">
        <f aca="false">IFERROR(VALUE(SUBSTITUTE(TRIM('수출입 실적(성질별_수입)'!E585),",","")),"")</f>
        <v>2042257</v>
      </c>
    </row>
    <row r="582" customFormat="false" ht="15" hidden="false" customHeight="true" outlineLevel="0" collapsed="false">
      <c r="A582" s="11" t="str">
        <f aca="false">TRIM('수출입 실적(성질별_수입)'!A586)</f>
        <v>2026.05</v>
      </c>
      <c r="B582" s="17" t="n">
        <f aca="false">IFERROR(VALUE(LEFT($A582,4)),"")</f>
        <v>2026</v>
      </c>
      <c r="C582" s="17" t="n">
        <f aca="false">IFERROR(VALUE(RIGHT($A582,2)),"")</f>
        <v>5</v>
      </c>
      <c r="D582" s="17" t="n">
        <f aca="false">IFERROR(ROUNDUP($C582/3,0),"")</f>
        <v>2</v>
      </c>
      <c r="E582" s="11" t="str">
        <f aca="false">TRIM('수출입 실적(성질별_수입)'!C586)</f>
        <v>자. 기 타</v>
      </c>
      <c r="F582" s="18" t="n">
        <f aca="false">IFERROR(VALUE(SUBSTITUTE(TRIM('수출입 실적(성질별_수입)'!D586),",","")),"")</f>
        <v>734935</v>
      </c>
      <c r="G582" s="19" t="n">
        <f aca="false">IFERROR(VALUE(SUBSTITUTE(TRIM('수출입 실적(성질별_수입)'!E586),",","")),"")</f>
        <v>1416772</v>
      </c>
    </row>
    <row r="583" customFormat="false" ht="15" hidden="false" customHeight="true" outlineLevel="0" collapsed="false">
      <c r="A583" s="11" t="str">
        <f aca="false">TRIM('수출입 실적(성질별_수입)'!A587)</f>
        <v>2026.05</v>
      </c>
      <c r="B583" s="17" t="n">
        <f aca="false">IFERROR(VALUE(LEFT($A583,4)),"")</f>
        <v>2026</v>
      </c>
      <c r="C583" s="17" t="n">
        <f aca="false">IFERROR(VALUE(RIGHT($A583,2)),"")</f>
        <v>5</v>
      </c>
      <c r="D583" s="17" t="n">
        <f aca="false">IFERROR(ROUNDUP($C583/3,0),"")</f>
        <v>2</v>
      </c>
      <c r="E583" s="11" t="str">
        <f aca="false">TRIM('수출입 실적(성질별_수입)'!C587)</f>
        <v>3. 자본재</v>
      </c>
      <c r="F583" s="18" t="n">
        <f aca="false">IFERROR(VALUE(SUBSTITUTE(TRIM('수출입 실적(성질별_수입)'!D587),",","")),"")</f>
        <v>990242.9</v>
      </c>
      <c r="G583" s="19" t="n">
        <f aca="false">IFERROR(VALUE(SUBSTITUTE(TRIM('수출입 실적(성질별_수입)'!E587),",","")),"")</f>
        <v>23487604</v>
      </c>
    </row>
    <row r="584" customFormat="false" ht="15" hidden="false" customHeight="true" outlineLevel="0" collapsed="false">
      <c r="A584" s="11" t="str">
        <f aca="false">TRIM('수출입 실적(성질별_수입)'!A588)</f>
        <v>2026.05</v>
      </c>
      <c r="B584" s="17" t="n">
        <f aca="false">IFERROR(VALUE(LEFT($A584,4)),"")</f>
        <v>2026</v>
      </c>
      <c r="C584" s="17" t="n">
        <f aca="false">IFERROR(VALUE(RIGHT($A584,2)),"")</f>
        <v>5</v>
      </c>
      <c r="D584" s="17" t="n">
        <f aca="false">IFERROR(ROUNDUP($C584/3,0),"")</f>
        <v>2</v>
      </c>
      <c r="E584" s="11" t="str">
        <f aca="false">TRIM('수출입 실적(성질별_수입)'!C588)</f>
        <v>가. 기계류와 정밀기기</v>
      </c>
      <c r="F584" s="18" t="n">
        <f aca="false">IFERROR(VALUE(SUBSTITUTE(TRIM('수출입 실적(성질별_수입)'!D588),",","")),"")</f>
        <v>192691.8</v>
      </c>
      <c r="G584" s="19" t="n">
        <f aca="false">IFERROR(VALUE(SUBSTITUTE(TRIM('수출입 실적(성질별_수입)'!E588),",","")),"")</f>
        <v>6901204</v>
      </c>
    </row>
    <row r="585" customFormat="false" ht="15" hidden="false" customHeight="true" outlineLevel="0" collapsed="false">
      <c r="A585" s="11" t="str">
        <f aca="false">TRIM('수출입 실적(성질별_수입)'!A589)</f>
        <v>2026.05</v>
      </c>
      <c r="B585" s="17" t="n">
        <f aca="false">IFERROR(VALUE(LEFT($A585,4)),"")</f>
        <v>2026</v>
      </c>
      <c r="C585" s="17" t="n">
        <f aca="false">IFERROR(VALUE(RIGHT($A585,2)),"")</f>
        <v>5</v>
      </c>
      <c r="D585" s="17" t="n">
        <f aca="false">IFERROR(ROUNDUP($C585/3,0),"")</f>
        <v>2</v>
      </c>
      <c r="E585" s="11" t="str">
        <f aca="false">TRIM('수출입 실적(성질별_수입)'!C589)</f>
        <v>나. 전기·전자기기</v>
      </c>
      <c r="F585" s="18" t="n">
        <f aca="false">IFERROR(VALUE(SUBSTITUTE(TRIM('수출입 실적(성질별_수입)'!D589),",","")),"")</f>
        <v>180014.7</v>
      </c>
      <c r="G585" s="19" t="n">
        <f aca="false">IFERROR(VALUE(SUBSTITUTE(TRIM('수출입 실적(성질별_수입)'!E589),",","")),"")</f>
        <v>14885302</v>
      </c>
    </row>
    <row r="586" customFormat="false" ht="15" hidden="false" customHeight="true" outlineLevel="0" collapsed="false">
      <c r="A586" s="11" t="str">
        <f aca="false">TRIM('수출입 실적(성질별_수입)'!A590)</f>
        <v>2026.05</v>
      </c>
      <c r="B586" s="17" t="n">
        <f aca="false">IFERROR(VALUE(LEFT($A586,4)),"")</f>
        <v>2026</v>
      </c>
      <c r="C586" s="17" t="n">
        <f aca="false">IFERROR(VALUE(RIGHT($A586,2)),"")</f>
        <v>5</v>
      </c>
      <c r="D586" s="17" t="n">
        <f aca="false">IFERROR(ROUNDUP($C586/3,0),"")</f>
        <v>2</v>
      </c>
      <c r="E586" s="11" t="str">
        <f aca="false">TRIM('수출입 실적(성질별_수입)'!C590)</f>
        <v>다. 수송장비</v>
      </c>
      <c r="F586" s="18" t="n">
        <f aca="false">IFERROR(VALUE(SUBSTITUTE(TRIM('수출입 실적(성질별_수입)'!D590),",","")),"")</f>
        <v>600788.6</v>
      </c>
      <c r="G586" s="19" t="n">
        <f aca="false">IFERROR(VALUE(SUBSTITUTE(TRIM('수출입 실적(성질별_수입)'!E590),",","")),"")</f>
        <v>1471599</v>
      </c>
    </row>
    <row r="587" customFormat="false" ht="15" hidden="false" customHeight="true" outlineLevel="0" collapsed="false">
      <c r="A587" s="11" t="str">
        <f aca="false">TRIM('수출입 실적(성질별_수입)'!A591)</f>
        <v>2026.05</v>
      </c>
      <c r="B587" s="17" t="n">
        <f aca="false">IFERROR(VALUE(LEFT($A587,4)),"")</f>
        <v>2026</v>
      </c>
      <c r="C587" s="17" t="n">
        <f aca="false">IFERROR(VALUE(RIGHT($A587,2)),"")</f>
        <v>5</v>
      </c>
      <c r="D587" s="17" t="n">
        <f aca="false">IFERROR(ROUNDUP($C587/3,0),"")</f>
        <v>2</v>
      </c>
      <c r="E587" s="11" t="str">
        <f aca="false">TRIM('수출입 실적(성질별_수입)'!C591)</f>
        <v>라. 기 타</v>
      </c>
      <c r="F587" s="18" t="n">
        <f aca="false">IFERROR(VALUE(SUBSTITUTE(TRIM('수출입 실적(성질별_수입)'!D591),",","")),"")</f>
        <v>16747.9</v>
      </c>
      <c r="G587" s="19" t="n">
        <f aca="false">IFERROR(VALUE(SUBSTITUTE(TRIM('수출입 실적(성질별_수입)'!E591),",","")),"")</f>
        <v>229499</v>
      </c>
    </row>
    <row r="588" customFormat="false" ht="15" hidden="false" customHeight="true" outlineLevel="0" collapsed="false">
      <c r="A588" s="11" t="str">
        <f aca="false">TRIM('수출입 실적(성질별_수입)'!A592)</f>
        <v>2026.06</v>
      </c>
      <c r="B588" s="17" t="n">
        <f aca="false">IFERROR(VALUE(LEFT($A588,4)),"")</f>
        <v>2026</v>
      </c>
      <c r="C588" s="17" t="n">
        <f aca="false">IFERROR(VALUE(RIGHT($A588,2)),"")</f>
        <v>6</v>
      </c>
      <c r="D588" s="17" t="n">
        <f aca="false">IFERROR(ROUNDUP($C588/3,0),"")</f>
        <v>2</v>
      </c>
      <c r="E588" s="11" t="str">
        <f aca="false">TRIM('수출입 실적(성질별_수입)'!C592)</f>
        <v>1. 소비재</v>
      </c>
      <c r="F588" s="18" t="n">
        <f aca="false">IFERROR(VALUE(SUBSTITUTE(TRIM('수출입 실적(성질별_수입)'!D592),",","")),"")</f>
        <v>3378945.1</v>
      </c>
      <c r="G588" s="19" t="n">
        <f aca="false">IFERROR(VALUE(SUBSTITUTE(TRIM('수출입 실적(성질별_수입)'!E592),",","")),"")</f>
        <v>9874771</v>
      </c>
    </row>
    <row r="589" customFormat="false" ht="15" hidden="false" customHeight="true" outlineLevel="0" collapsed="false">
      <c r="A589" s="11" t="str">
        <f aca="false">TRIM('수출입 실적(성질별_수입)'!A593)</f>
        <v>2026.06</v>
      </c>
      <c r="B589" s="17" t="n">
        <f aca="false">IFERROR(VALUE(LEFT($A589,4)),"")</f>
        <v>2026</v>
      </c>
      <c r="C589" s="17" t="n">
        <f aca="false">IFERROR(VALUE(RIGHT($A589,2)),"")</f>
        <v>6</v>
      </c>
      <c r="D589" s="17" t="n">
        <f aca="false">IFERROR(ROUNDUP($C589/3,0),"")</f>
        <v>2</v>
      </c>
      <c r="E589" s="11" t="str">
        <f aca="false">TRIM('수출입 실적(성질별_수입)'!C593)</f>
        <v>가. 곡물</v>
      </c>
      <c r="F589" s="18" t="n">
        <f aca="false">IFERROR(VALUE(SUBSTITUTE(TRIM('수출입 실적(성질별_수입)'!D593),",","")),"")</f>
        <v>2108485.1</v>
      </c>
      <c r="G589" s="19" t="n">
        <f aca="false">IFERROR(VALUE(SUBSTITUTE(TRIM('수출입 실적(성질별_수입)'!E593),",","")),"")</f>
        <v>659174</v>
      </c>
    </row>
    <row r="590" customFormat="false" ht="15" hidden="false" customHeight="true" outlineLevel="0" collapsed="false">
      <c r="A590" s="11" t="str">
        <f aca="false">TRIM('수출입 실적(성질별_수입)'!A594)</f>
        <v>2026.06</v>
      </c>
      <c r="B590" s="17" t="n">
        <f aca="false">IFERROR(VALUE(LEFT($A590,4)),"")</f>
        <v>2026</v>
      </c>
      <c r="C590" s="17" t="n">
        <f aca="false">IFERROR(VALUE(RIGHT($A590,2)),"")</f>
        <v>6</v>
      </c>
      <c r="D590" s="17" t="n">
        <f aca="false">IFERROR(ROUNDUP($C590/3,0),"")</f>
        <v>2</v>
      </c>
      <c r="E590" s="11" t="str">
        <f aca="false">TRIM('수출입 실적(성질별_수입)'!C594)</f>
        <v>나. 직접소비재</v>
      </c>
      <c r="F590" s="18" t="n">
        <f aca="false">IFERROR(VALUE(SUBSTITUTE(TRIM('수출입 실적(성질별_수입)'!D594),",","")),"")</f>
        <v>780113.8</v>
      </c>
      <c r="G590" s="19" t="n">
        <f aca="false">IFERROR(VALUE(SUBSTITUTE(TRIM('수출입 실적(성질별_수입)'!E594),",","")),"")</f>
        <v>2527323</v>
      </c>
    </row>
    <row r="591" customFormat="false" ht="15" hidden="false" customHeight="true" outlineLevel="0" collapsed="false">
      <c r="A591" s="11" t="str">
        <f aca="false">TRIM('수출입 실적(성질별_수입)'!A595)</f>
        <v>2026.06</v>
      </c>
      <c r="B591" s="17" t="n">
        <f aca="false">IFERROR(VALUE(LEFT($A591,4)),"")</f>
        <v>2026</v>
      </c>
      <c r="C591" s="17" t="n">
        <f aca="false">IFERROR(VALUE(RIGHT($A591,2)),"")</f>
        <v>6</v>
      </c>
      <c r="D591" s="17" t="n">
        <f aca="false">IFERROR(ROUNDUP($C591/3,0),"")</f>
        <v>2</v>
      </c>
      <c r="E591" s="11" t="str">
        <f aca="false">TRIM('수출입 실적(성질별_수입)'!C595)</f>
        <v>다. 내구소비재</v>
      </c>
      <c r="F591" s="18" t="n">
        <f aca="false">IFERROR(VALUE(SUBSTITUTE(TRIM('수출입 실적(성질별_수입)'!D595),",","")),"")</f>
        <v>360252.9</v>
      </c>
      <c r="G591" s="19" t="n">
        <f aca="false">IFERROR(VALUE(SUBSTITUTE(TRIM('수출입 실적(성질별_수입)'!E595),",","")),"")</f>
        <v>4670794</v>
      </c>
    </row>
    <row r="592" customFormat="false" ht="15" hidden="false" customHeight="true" outlineLevel="0" collapsed="false">
      <c r="A592" s="11" t="str">
        <f aca="false">TRIM('수출입 실적(성질별_수입)'!A596)</f>
        <v>2026.06</v>
      </c>
      <c r="B592" s="17" t="n">
        <f aca="false">IFERROR(VALUE(LEFT($A592,4)),"")</f>
        <v>2026</v>
      </c>
      <c r="C592" s="17" t="n">
        <f aca="false">IFERROR(VALUE(RIGHT($A592,2)),"")</f>
        <v>6</v>
      </c>
      <c r="D592" s="17" t="n">
        <f aca="false">IFERROR(ROUNDUP($C592/3,0),"")</f>
        <v>2</v>
      </c>
      <c r="E592" s="11" t="str">
        <f aca="false">TRIM('수출입 실적(성질별_수입)'!C596)</f>
        <v>라. 비내구 소비재</v>
      </c>
      <c r="F592" s="18" t="n">
        <f aca="false">IFERROR(VALUE(SUBSTITUTE(TRIM('수출입 실적(성질별_수입)'!D596),",","")),"")</f>
        <v>130093.3</v>
      </c>
      <c r="G592" s="19" t="n">
        <f aca="false">IFERROR(VALUE(SUBSTITUTE(TRIM('수출입 실적(성질별_수입)'!E596),",","")),"")</f>
        <v>2017479</v>
      </c>
    </row>
    <row r="593" customFormat="false" ht="15" hidden="false" customHeight="true" outlineLevel="0" collapsed="false">
      <c r="A593" s="11" t="str">
        <f aca="false">TRIM('수출입 실적(성질별_수입)'!A597)</f>
        <v>2026.06</v>
      </c>
      <c r="B593" s="17" t="n">
        <f aca="false">IFERROR(VALUE(LEFT($A593,4)),"")</f>
        <v>2026</v>
      </c>
      <c r="C593" s="17" t="n">
        <f aca="false">IFERROR(VALUE(RIGHT($A593,2)),"")</f>
        <v>6</v>
      </c>
      <c r="D593" s="17" t="n">
        <f aca="false">IFERROR(ROUNDUP($C593/3,0),"")</f>
        <v>2</v>
      </c>
      <c r="E593" s="11" t="str">
        <f aca="false">TRIM('수출입 실적(성질별_수입)'!C597)</f>
        <v>2. 원자재</v>
      </c>
      <c r="F593" s="18" t="n">
        <f aca="false">IFERROR(VALUE(SUBSTITUTE(TRIM('수출입 실적(성질별_수입)'!D597),",","")),"")</f>
        <v>39046417.2</v>
      </c>
      <c r="G593" s="19" t="n">
        <f aca="false">IFERROR(VALUE(SUBSTITUTE(TRIM('수출입 실적(성질별_수입)'!E597),",","")),"")</f>
        <v>29348553</v>
      </c>
    </row>
    <row r="594" customFormat="false" ht="15" hidden="false" customHeight="true" outlineLevel="0" collapsed="false">
      <c r="A594" s="11" t="str">
        <f aca="false">TRIM('수출입 실적(성질별_수입)'!A598)</f>
        <v>2026.06</v>
      </c>
      <c r="B594" s="17" t="n">
        <f aca="false">IFERROR(VALUE(LEFT($A594,4)),"")</f>
        <v>2026</v>
      </c>
      <c r="C594" s="17" t="n">
        <f aca="false">IFERROR(VALUE(RIGHT($A594,2)),"")</f>
        <v>6</v>
      </c>
      <c r="D594" s="17" t="n">
        <f aca="false">IFERROR(ROUNDUP($C594/3,0),"")</f>
        <v>2</v>
      </c>
      <c r="E594" s="11" t="str">
        <f aca="false">TRIM('수출입 실적(성질별_수입)'!C598)</f>
        <v>가. 연 료</v>
      </c>
      <c r="F594" s="18" t="n">
        <f aca="false">IFERROR(VALUE(SUBSTITUTE(TRIM('수출입 실적(성질별_수입)'!D598),",","")),"")</f>
        <v>25769632.1</v>
      </c>
      <c r="G594" s="19" t="n">
        <f aca="false">IFERROR(VALUE(SUBSTITUTE(TRIM('수출입 실적(성질별_수입)'!E598),",","")),"")</f>
        <v>14281133</v>
      </c>
    </row>
    <row r="595" customFormat="false" ht="15" hidden="false" customHeight="true" outlineLevel="0" collapsed="false">
      <c r="A595" s="11" t="str">
        <f aca="false">TRIM('수출입 실적(성질별_수입)'!A599)</f>
        <v>2026.06</v>
      </c>
      <c r="B595" s="17" t="n">
        <f aca="false">IFERROR(VALUE(LEFT($A595,4)),"")</f>
        <v>2026</v>
      </c>
      <c r="C595" s="17" t="n">
        <f aca="false">IFERROR(VALUE(RIGHT($A595,2)),"")</f>
        <v>6</v>
      </c>
      <c r="D595" s="17" t="n">
        <f aca="false">IFERROR(ROUNDUP($C595/3,0),"")</f>
        <v>2</v>
      </c>
      <c r="E595" s="11" t="str">
        <f aca="false">TRIM('수출입 실적(성질별_수입)'!C599)</f>
        <v>나. 광 물</v>
      </c>
      <c r="F595" s="18" t="n">
        <f aca="false">IFERROR(VALUE(SUBSTITUTE(TRIM('수출입 실적(성질별_수입)'!D599),",","")),"")</f>
        <v>7508379.4</v>
      </c>
      <c r="G595" s="19" t="n">
        <f aca="false">IFERROR(VALUE(SUBSTITUTE(TRIM('수출입 실적(성질별_수입)'!E599),",","")),"")</f>
        <v>2659923</v>
      </c>
    </row>
    <row r="596" customFormat="false" ht="15" hidden="false" customHeight="true" outlineLevel="0" collapsed="false">
      <c r="A596" s="11" t="str">
        <f aca="false">TRIM('수출입 실적(성질별_수입)'!A600)</f>
        <v>2026.06</v>
      </c>
      <c r="B596" s="17" t="n">
        <f aca="false">IFERROR(VALUE(LEFT($A596,4)),"")</f>
        <v>2026</v>
      </c>
      <c r="C596" s="17" t="n">
        <f aca="false">IFERROR(VALUE(RIGHT($A596,2)),"")</f>
        <v>6</v>
      </c>
      <c r="D596" s="17" t="n">
        <f aca="false">IFERROR(ROUNDUP($C596/3,0),"")</f>
        <v>2</v>
      </c>
      <c r="E596" s="11" t="str">
        <f aca="false">TRIM('수출입 실적(성질별_수입)'!C600)</f>
        <v>다. 경공업 원료</v>
      </c>
      <c r="F596" s="18" t="n">
        <f aca="false">IFERROR(VALUE(SUBSTITUTE(TRIM('수출입 실적(성질별_수입)'!D600),",","")),"")</f>
        <v>1242745.8</v>
      </c>
      <c r="G596" s="19" t="n">
        <f aca="false">IFERROR(VALUE(SUBSTITUTE(TRIM('수출입 실적(성질별_수입)'!E600),",","")),"")</f>
        <v>541438</v>
      </c>
    </row>
    <row r="597" customFormat="false" ht="15" hidden="false" customHeight="true" outlineLevel="0" collapsed="false">
      <c r="A597" s="11" t="str">
        <f aca="false">TRIM('수출입 실적(성질별_수입)'!A601)</f>
        <v>2026.06</v>
      </c>
      <c r="B597" s="17" t="n">
        <f aca="false">IFERROR(VALUE(LEFT($A597,4)),"")</f>
        <v>2026</v>
      </c>
      <c r="C597" s="17" t="n">
        <f aca="false">IFERROR(VALUE(RIGHT($A597,2)),"")</f>
        <v>6</v>
      </c>
      <c r="D597" s="17" t="n">
        <f aca="false">IFERROR(ROUNDUP($C597/3,0),"")</f>
        <v>2</v>
      </c>
      <c r="E597" s="11" t="str">
        <f aca="false">TRIM('수출입 실적(성질별_수입)'!C601)</f>
        <v>라. 유 지</v>
      </c>
      <c r="F597" s="18" t="n">
        <f aca="false">IFERROR(VALUE(SUBSTITUTE(TRIM('수출입 실적(성질별_수입)'!D601),",","")),"")</f>
        <v>193618.2</v>
      </c>
      <c r="G597" s="19" t="n">
        <f aca="false">IFERROR(VALUE(SUBSTITUTE(TRIM('수출입 실적(성질별_수입)'!E601),",","")),"")</f>
        <v>284407</v>
      </c>
    </row>
    <row r="598" customFormat="false" ht="15" hidden="false" customHeight="true" outlineLevel="0" collapsed="false">
      <c r="A598" s="11" t="str">
        <f aca="false">TRIM('수출입 실적(성질별_수입)'!A602)</f>
        <v>2026.06</v>
      </c>
      <c r="B598" s="17" t="n">
        <f aca="false">IFERROR(VALUE(LEFT($A598,4)),"")</f>
        <v>2026</v>
      </c>
      <c r="C598" s="17" t="n">
        <f aca="false">IFERROR(VALUE(RIGHT($A598,2)),"")</f>
        <v>6</v>
      </c>
      <c r="D598" s="17" t="n">
        <f aca="false">IFERROR(ROUNDUP($C598/3,0),"")</f>
        <v>2</v>
      </c>
      <c r="E598" s="11" t="str">
        <f aca="false">TRIM('수출입 실적(성질별_수입)'!C602)</f>
        <v>마. 섬유류</v>
      </c>
      <c r="F598" s="18" t="n">
        <f aca="false">IFERROR(VALUE(SUBSTITUTE(TRIM('수출입 실적(성질별_수입)'!D602),",","")),"")</f>
        <v>107052</v>
      </c>
      <c r="G598" s="19" t="n">
        <f aca="false">IFERROR(VALUE(SUBSTITUTE(TRIM('수출입 실적(성질별_수입)'!E602),",","")),"")</f>
        <v>352467</v>
      </c>
    </row>
    <row r="599" customFormat="false" ht="15" hidden="false" customHeight="true" outlineLevel="0" collapsed="false">
      <c r="A599" s="11" t="str">
        <f aca="false">TRIM('수출입 실적(성질별_수입)'!A603)</f>
        <v>2026.06</v>
      </c>
      <c r="B599" s="17" t="n">
        <f aca="false">IFERROR(VALUE(LEFT($A599,4)),"")</f>
        <v>2026</v>
      </c>
      <c r="C599" s="17" t="n">
        <f aca="false">IFERROR(VALUE(RIGHT($A599,2)),"")</f>
        <v>6</v>
      </c>
      <c r="D599" s="17" t="n">
        <f aca="false">IFERROR(ROUNDUP($C599/3,0),"")</f>
        <v>2</v>
      </c>
      <c r="E599" s="11" t="str">
        <f aca="false">TRIM('수출입 실적(성질별_수입)'!C603)</f>
        <v>바. 화공품</v>
      </c>
      <c r="F599" s="18" t="n">
        <f aca="false">IFERROR(VALUE(SUBSTITUTE(TRIM('수출입 실적(성질별_수입)'!D603),",","")),"")</f>
        <v>1743316.5</v>
      </c>
      <c r="G599" s="19" t="n">
        <f aca="false">IFERROR(VALUE(SUBSTITUTE(TRIM('수출입 실적(성질별_수입)'!E603),",","")),"")</f>
        <v>5733065</v>
      </c>
    </row>
    <row r="600" customFormat="false" ht="15" hidden="false" customHeight="true" outlineLevel="0" collapsed="false">
      <c r="A600" s="11" t="str">
        <f aca="false">TRIM('수출입 실적(성질별_수입)'!A604)</f>
        <v>2026.06</v>
      </c>
      <c r="B600" s="17" t="n">
        <f aca="false">IFERROR(VALUE(LEFT($A600,4)),"")</f>
        <v>2026</v>
      </c>
      <c r="C600" s="17" t="n">
        <f aca="false">IFERROR(VALUE(RIGHT($A600,2)),"")</f>
        <v>6</v>
      </c>
      <c r="D600" s="17" t="n">
        <f aca="false">IFERROR(ROUNDUP($C600/3,0),"")</f>
        <v>2</v>
      </c>
      <c r="E600" s="11" t="str">
        <f aca="false">TRIM('수출입 실적(성질별_수입)'!C604)</f>
        <v>사. 철강재</v>
      </c>
      <c r="F600" s="18" t="n">
        <f aca="false">IFERROR(VALUE(SUBSTITUTE(TRIM('수출입 실적(성질별_수입)'!D604),",","")),"")</f>
        <v>1351115.3</v>
      </c>
      <c r="G600" s="19" t="n">
        <f aca="false">IFERROR(VALUE(SUBSTITUTE(TRIM('수출입 실적(성질별_수입)'!E604),",","")),"")</f>
        <v>1621422</v>
      </c>
    </row>
    <row r="601" customFormat="false" ht="15" hidden="false" customHeight="true" outlineLevel="0" collapsed="false">
      <c r="A601" s="11" t="str">
        <f aca="false">TRIM('수출입 실적(성질별_수입)'!A605)</f>
        <v>2026.06</v>
      </c>
      <c r="B601" s="17" t="n">
        <f aca="false">IFERROR(VALUE(LEFT($A601,4)),"")</f>
        <v>2026</v>
      </c>
      <c r="C601" s="17" t="n">
        <f aca="false">IFERROR(VALUE(RIGHT($A601,2)),"")</f>
        <v>6</v>
      </c>
      <c r="D601" s="17" t="n">
        <f aca="false">IFERROR(ROUNDUP($C601/3,0),"")</f>
        <v>2</v>
      </c>
      <c r="E601" s="11" t="str">
        <f aca="false">TRIM('수출입 실적(성질별_수입)'!C605)</f>
        <v>아. 비철금속</v>
      </c>
      <c r="F601" s="18" t="n">
        <f aca="false">IFERROR(VALUE(SUBSTITUTE(TRIM('수출입 실적(성질별_수입)'!D605),",","")),"")</f>
        <v>305696.6</v>
      </c>
      <c r="G601" s="19" t="n">
        <f aca="false">IFERROR(VALUE(SUBSTITUTE(TRIM('수출입 실적(성질별_수입)'!E605),",","")),"")</f>
        <v>2475660</v>
      </c>
    </row>
    <row r="602" customFormat="false" ht="15" hidden="false" customHeight="true" outlineLevel="0" collapsed="false">
      <c r="A602" s="11" t="str">
        <f aca="false">TRIM('수출입 실적(성질별_수입)'!A606)</f>
        <v>2026.06</v>
      </c>
      <c r="B602" s="17" t="n">
        <f aca="false">IFERROR(VALUE(LEFT($A602,4)),"")</f>
        <v>2026</v>
      </c>
      <c r="C602" s="17" t="n">
        <f aca="false">IFERROR(VALUE(RIGHT($A602,2)),"")</f>
        <v>6</v>
      </c>
      <c r="D602" s="17" t="n">
        <f aca="false">IFERROR(ROUNDUP($C602/3,0),"")</f>
        <v>2</v>
      </c>
      <c r="E602" s="11" t="str">
        <f aca="false">TRIM('수출입 실적(성질별_수입)'!C606)</f>
        <v>자. 기 타</v>
      </c>
      <c r="F602" s="18" t="n">
        <f aca="false">IFERROR(VALUE(SUBSTITUTE(TRIM('수출입 실적(성질별_수입)'!D606),",","")),"")</f>
        <v>824861.4</v>
      </c>
      <c r="G602" s="19" t="n">
        <f aca="false">IFERROR(VALUE(SUBSTITUTE(TRIM('수출입 실적(성질별_수입)'!E606),",","")),"")</f>
        <v>1399037</v>
      </c>
    </row>
    <row r="603" customFormat="false" ht="15" hidden="false" customHeight="true" outlineLevel="0" collapsed="false">
      <c r="A603" s="11" t="str">
        <f aca="false">TRIM('수출입 실적(성질별_수입)'!A607)</f>
        <v>2026.06</v>
      </c>
      <c r="B603" s="17" t="n">
        <f aca="false">IFERROR(VALUE(LEFT($A603,4)),"")</f>
        <v>2026</v>
      </c>
      <c r="C603" s="17" t="n">
        <f aca="false">IFERROR(VALUE(RIGHT($A603,2)),"")</f>
        <v>6</v>
      </c>
      <c r="D603" s="17" t="n">
        <f aca="false">IFERROR(ROUNDUP($C603/3,0),"")</f>
        <v>2</v>
      </c>
      <c r="E603" s="11" t="str">
        <f aca="false">TRIM('수출입 실적(성질별_수입)'!C607)</f>
        <v>3. 자본재</v>
      </c>
      <c r="F603" s="18" t="n">
        <f aca="false">IFERROR(VALUE(SUBSTITUTE(TRIM('수출입 실적(성질별_수입)'!D607),",","")),"")</f>
        <v>1263700</v>
      </c>
      <c r="G603" s="19" t="n">
        <f aca="false">IFERROR(VALUE(SUBSTITUTE(TRIM('수출입 실적(성질별_수입)'!E607),",","")),"")</f>
        <v>26828263</v>
      </c>
    </row>
    <row r="604" customFormat="false" ht="15" hidden="false" customHeight="true" outlineLevel="0" collapsed="false">
      <c r="A604" s="11" t="str">
        <f aca="false">TRIM('수출입 실적(성질별_수입)'!A608)</f>
        <v>2026.06</v>
      </c>
      <c r="B604" s="17" t="n">
        <f aca="false">IFERROR(VALUE(LEFT($A604,4)),"")</f>
        <v>2026</v>
      </c>
      <c r="C604" s="17" t="n">
        <f aca="false">IFERROR(VALUE(RIGHT($A604,2)),"")</f>
        <v>6</v>
      </c>
      <c r="D604" s="17" t="n">
        <f aca="false">IFERROR(ROUNDUP($C604/3,0),"")</f>
        <v>2</v>
      </c>
      <c r="E604" s="11" t="str">
        <f aca="false">TRIM('수출입 실적(성질별_수입)'!C608)</f>
        <v>가. 기계류와 정밀기기</v>
      </c>
      <c r="F604" s="18" t="n">
        <f aca="false">IFERROR(VALUE(SUBSTITUTE(TRIM('수출입 실적(성질별_수입)'!D608),",","")),"")</f>
        <v>218901.4</v>
      </c>
      <c r="G604" s="19" t="n">
        <f aca="false">IFERROR(VALUE(SUBSTITUTE(TRIM('수출입 실적(성질별_수입)'!E608),",","")),"")</f>
        <v>7798768</v>
      </c>
    </row>
    <row r="605" customFormat="false" ht="15" hidden="false" customHeight="true" outlineLevel="0" collapsed="false">
      <c r="A605" s="11" t="str">
        <f aca="false">TRIM('수출입 실적(성질별_수입)'!A609)</f>
        <v>2026.06</v>
      </c>
      <c r="B605" s="17" t="n">
        <f aca="false">IFERROR(VALUE(LEFT($A605,4)),"")</f>
        <v>2026</v>
      </c>
      <c r="C605" s="17" t="n">
        <f aca="false">IFERROR(VALUE(RIGHT($A605,2)),"")</f>
        <v>6</v>
      </c>
      <c r="D605" s="17" t="n">
        <f aca="false">IFERROR(ROUNDUP($C605/3,0),"")</f>
        <v>2</v>
      </c>
      <c r="E605" s="11" t="str">
        <f aca="false">TRIM('수출입 실적(성질별_수입)'!C609)</f>
        <v>나. 전기·전자기기</v>
      </c>
      <c r="F605" s="18" t="n">
        <f aca="false">IFERROR(VALUE(SUBSTITUTE(TRIM('수출입 실적(성질별_수입)'!D609),",","")),"")</f>
        <v>195007.4</v>
      </c>
      <c r="G605" s="19" t="n">
        <f aca="false">IFERROR(VALUE(SUBSTITUTE(TRIM('수출입 실적(성질별_수입)'!E609),",","")),"")</f>
        <v>17292037</v>
      </c>
    </row>
    <row r="606" customFormat="false" ht="15" hidden="false" customHeight="true" outlineLevel="0" collapsed="false">
      <c r="A606" s="11" t="str">
        <f aca="false">TRIM('수출입 실적(성질별_수입)'!A610)</f>
        <v>2026.06</v>
      </c>
      <c r="B606" s="17" t="n">
        <f aca="false">IFERROR(VALUE(LEFT($A606,4)),"")</f>
        <v>2026</v>
      </c>
      <c r="C606" s="17" t="n">
        <f aca="false">IFERROR(VALUE(RIGHT($A606,2)),"")</f>
        <v>6</v>
      </c>
      <c r="D606" s="17" t="n">
        <f aca="false">IFERROR(ROUNDUP($C606/3,0),"")</f>
        <v>2</v>
      </c>
      <c r="E606" s="11" t="str">
        <f aca="false">TRIM('수출입 실적(성질별_수입)'!C610)</f>
        <v>다. 수송장비</v>
      </c>
      <c r="F606" s="18" t="n">
        <f aca="false">IFERROR(VALUE(SUBSTITUTE(TRIM('수출입 실적(성질별_수입)'!D610),",","")),"")</f>
        <v>831664.1</v>
      </c>
      <c r="G606" s="19" t="n">
        <f aca="false">IFERROR(VALUE(SUBSTITUTE(TRIM('수출입 실적(성질별_수입)'!E610),",","")),"")</f>
        <v>1461784</v>
      </c>
    </row>
    <row r="607" customFormat="false" ht="15" hidden="false" customHeight="true" outlineLevel="0" collapsed="false">
      <c r="A607" s="11" t="str">
        <f aca="false">TRIM('수출입 실적(성질별_수입)'!A611)</f>
        <v>2026.06</v>
      </c>
      <c r="B607" s="17" t="n">
        <f aca="false">IFERROR(VALUE(LEFT($A607,4)),"")</f>
        <v>2026</v>
      </c>
      <c r="C607" s="17" t="n">
        <f aca="false">IFERROR(VALUE(RIGHT($A607,2)),"")</f>
        <v>6</v>
      </c>
      <c r="D607" s="17" t="n">
        <f aca="false">IFERROR(ROUNDUP($C607/3,0),"")</f>
        <v>2</v>
      </c>
      <c r="E607" s="11" t="str">
        <f aca="false">TRIM('수출입 실적(성질별_수입)'!C611)</f>
        <v>라. 기 타</v>
      </c>
      <c r="F607" s="18" t="n">
        <f aca="false">IFERROR(VALUE(SUBSTITUTE(TRIM('수출입 실적(성질별_수입)'!D611),",","")),"")</f>
        <v>18127.1</v>
      </c>
      <c r="G607" s="19" t="n">
        <f aca="false">IFERROR(VALUE(SUBSTITUTE(TRIM('수출입 실적(성질별_수입)'!E611),",","")),"")</f>
        <v>275673</v>
      </c>
    </row>
    <row r="608" customFormat="false" ht="15" hidden="false" customHeight="true" outlineLevel="0" collapsed="false">
      <c r="A608" s="11" t="str">
        <f aca="false">TRIM('수출입 실적(성질별_수입)'!A612)</f>
        <v>2026.07</v>
      </c>
      <c r="B608" s="17" t="n">
        <f aca="false">IFERROR(VALUE(LEFT($A608,4)),"")</f>
        <v>2026</v>
      </c>
      <c r="C608" s="17" t="n">
        <f aca="false">IFERROR(VALUE(RIGHT($A608,2)),"")</f>
        <v>7</v>
      </c>
      <c r="D608" s="17" t="n">
        <f aca="false">IFERROR(ROUNDUP($C608/3,0),"")</f>
        <v>3</v>
      </c>
      <c r="E608" s="11" t="str">
        <f aca="false">TRIM('수출입 실적(성질별_수입)'!C612)</f>
        <v>1. 소비재</v>
      </c>
      <c r="F608" s="18" t="n">
        <f aca="false">IFERROR(VALUE(SUBSTITUTE(TRIM('수출입 실적(성질별_수입)'!D612),",","")),"")</f>
        <v>3578556</v>
      </c>
      <c r="G608" s="19" t="n">
        <f aca="false">IFERROR(VALUE(SUBSTITUTE(TRIM('수출입 실적(성질별_수입)'!E612),",","")),"")</f>
        <v>8959525</v>
      </c>
    </row>
    <row r="609" customFormat="false" ht="15" hidden="false" customHeight="true" outlineLevel="0" collapsed="false">
      <c r="A609" s="11" t="str">
        <f aca="false">TRIM('수출입 실적(성질별_수입)'!A613)</f>
        <v>2026.07</v>
      </c>
      <c r="B609" s="17" t="n">
        <f aca="false">IFERROR(VALUE(LEFT($A609,4)),"")</f>
        <v>2026</v>
      </c>
      <c r="C609" s="17" t="n">
        <f aca="false">IFERROR(VALUE(RIGHT($A609,2)),"")</f>
        <v>7</v>
      </c>
      <c r="D609" s="17" t="n">
        <f aca="false">IFERROR(ROUNDUP($C609/3,0),"")</f>
        <v>3</v>
      </c>
      <c r="E609" s="11" t="str">
        <f aca="false">TRIM('수출입 실적(성질별_수입)'!C613)</f>
        <v>가. 곡물</v>
      </c>
      <c r="F609" s="18" t="n">
        <f aca="false">IFERROR(VALUE(SUBSTITUTE(TRIM('수출입 실적(성질별_수입)'!D613),",","")),"")</f>
        <v>2412142.5</v>
      </c>
      <c r="G609" s="19" t="n">
        <f aca="false">IFERROR(VALUE(SUBSTITUTE(TRIM('수출입 실적(성질별_수입)'!E613),",","")),"")</f>
        <v>761327</v>
      </c>
    </row>
    <row r="610" customFormat="false" ht="15" hidden="false" customHeight="true" outlineLevel="0" collapsed="false">
      <c r="A610" s="11" t="str">
        <f aca="false">TRIM('수출입 실적(성질별_수입)'!A614)</f>
        <v>2026.07</v>
      </c>
      <c r="B610" s="17" t="n">
        <f aca="false">IFERROR(VALUE(LEFT($A610,4)),"")</f>
        <v>2026</v>
      </c>
      <c r="C610" s="17" t="n">
        <f aca="false">IFERROR(VALUE(RIGHT($A610,2)),"")</f>
        <v>7</v>
      </c>
      <c r="D610" s="17" t="n">
        <f aca="false">IFERROR(ROUNDUP($C610/3,0),"")</f>
        <v>3</v>
      </c>
      <c r="E610" s="11" t="str">
        <f aca="false">TRIM('수출입 실적(성질별_수입)'!C614)</f>
        <v>나. 직접소비재</v>
      </c>
      <c r="F610" s="18" t="n">
        <f aca="false">IFERROR(VALUE(SUBSTITUTE(TRIM('수출입 실적(성질별_수입)'!D614),",","")),"")</f>
        <v>744609.6</v>
      </c>
      <c r="G610" s="19" t="n">
        <f aca="false">IFERROR(VALUE(SUBSTITUTE(TRIM('수출입 실적(성질별_수입)'!E614),",","")),"")</f>
        <v>2487369</v>
      </c>
    </row>
    <row r="611" customFormat="false" ht="15" hidden="false" customHeight="true" outlineLevel="0" collapsed="false">
      <c r="A611" s="11" t="str">
        <f aca="false">TRIM('수출입 실적(성질별_수입)'!A615)</f>
        <v>2026.07</v>
      </c>
      <c r="B611" s="17" t="n">
        <f aca="false">IFERROR(VALUE(LEFT($A611,4)),"")</f>
        <v>2026</v>
      </c>
      <c r="C611" s="17" t="n">
        <f aca="false">IFERROR(VALUE(RIGHT($A611,2)),"")</f>
        <v>7</v>
      </c>
      <c r="D611" s="17" t="n">
        <f aca="false">IFERROR(ROUNDUP($C611/3,0),"")</f>
        <v>3</v>
      </c>
      <c r="E611" s="11" t="str">
        <f aca="false">TRIM('수출입 실적(성질별_수입)'!C615)</f>
        <v>다. 내구소비재</v>
      </c>
      <c r="F611" s="18" t="n">
        <f aca="false">IFERROR(VALUE(SUBSTITUTE(TRIM('수출입 실적(성질별_수입)'!D615),",","")),"")</f>
        <v>302518.2</v>
      </c>
      <c r="G611" s="19" t="n">
        <f aca="false">IFERROR(VALUE(SUBSTITUTE(TRIM('수출입 실적(성질별_수입)'!E615),",","")),"")</f>
        <v>3703259</v>
      </c>
    </row>
    <row r="612" customFormat="false" ht="15" hidden="false" customHeight="true" outlineLevel="0" collapsed="false">
      <c r="A612" s="11" t="str">
        <f aca="false">TRIM('수출입 실적(성질별_수입)'!A616)</f>
        <v>2026.07</v>
      </c>
      <c r="B612" s="17" t="n">
        <f aca="false">IFERROR(VALUE(LEFT($A612,4)),"")</f>
        <v>2026</v>
      </c>
      <c r="C612" s="17" t="n">
        <f aca="false">IFERROR(VALUE(RIGHT($A612,2)),"")</f>
        <v>7</v>
      </c>
      <c r="D612" s="17" t="n">
        <f aca="false">IFERROR(ROUNDUP($C612/3,0),"")</f>
        <v>3</v>
      </c>
      <c r="E612" s="11" t="str">
        <f aca="false">TRIM('수출입 실적(성질별_수입)'!C616)</f>
        <v>라. 비내구 소비재</v>
      </c>
      <c r="F612" s="18" t="n">
        <f aca="false">IFERROR(VALUE(SUBSTITUTE(TRIM('수출입 실적(성질별_수입)'!D616),",","")),"")</f>
        <v>119285.7</v>
      </c>
      <c r="G612" s="19" t="n">
        <f aca="false">IFERROR(VALUE(SUBSTITUTE(TRIM('수출입 실적(성질별_수입)'!E616),",","")),"")</f>
        <v>2007570</v>
      </c>
    </row>
    <row r="613" customFormat="false" ht="15" hidden="false" customHeight="true" outlineLevel="0" collapsed="false">
      <c r="A613" s="11" t="str">
        <f aca="false">TRIM('수출입 실적(성질별_수입)'!A617)</f>
        <v>2026.07</v>
      </c>
      <c r="B613" s="17" t="n">
        <f aca="false">IFERROR(VALUE(LEFT($A613,4)),"")</f>
        <v>2026</v>
      </c>
      <c r="C613" s="17" t="n">
        <f aca="false">IFERROR(VALUE(RIGHT($A613,2)),"")</f>
        <v>7</v>
      </c>
      <c r="D613" s="17" t="n">
        <f aca="false">IFERROR(ROUNDUP($C613/3,0),"")</f>
        <v>3</v>
      </c>
      <c r="E613" s="11" t="str">
        <f aca="false">TRIM('수출입 실적(성질별_수입)'!C617)</f>
        <v>2. 원자재</v>
      </c>
      <c r="F613" s="18" t="n">
        <f aca="false">IFERROR(VALUE(SUBSTITUTE(TRIM('수출입 실적(성질별_수입)'!D617),",","")),"")</f>
        <v>46096705.7</v>
      </c>
      <c r="G613" s="19" t="n">
        <f aca="false">IFERROR(VALUE(SUBSTITUTE(TRIM('수출입 실적(성질별_수입)'!E617),",","")),"")</f>
        <v>31627152</v>
      </c>
    </row>
    <row r="614" customFormat="false" ht="15" hidden="false" customHeight="true" outlineLevel="0" collapsed="false">
      <c r="A614" s="11" t="str">
        <f aca="false">TRIM('수출입 실적(성질별_수입)'!A618)</f>
        <v>2026.07</v>
      </c>
      <c r="B614" s="17" t="n">
        <f aca="false">IFERROR(VALUE(LEFT($A614,4)),"")</f>
        <v>2026</v>
      </c>
      <c r="C614" s="17" t="n">
        <f aca="false">IFERROR(VALUE(RIGHT($A614,2)),"")</f>
        <v>7</v>
      </c>
      <c r="D614" s="17" t="n">
        <f aca="false">IFERROR(ROUNDUP($C614/3,0),"")</f>
        <v>3</v>
      </c>
      <c r="E614" s="11" t="str">
        <f aca="false">TRIM('수출입 실적(성질별_수입)'!C618)</f>
        <v>가. 연 료</v>
      </c>
      <c r="F614" s="18" t="n">
        <f aca="false">IFERROR(VALUE(SUBSTITUTE(TRIM('수출입 실적(성질별_수입)'!D618),",","")),"")</f>
        <v>31745906.4</v>
      </c>
      <c r="G614" s="19" t="n">
        <f aca="false">IFERROR(VALUE(SUBSTITUTE(TRIM('수출입 실적(성질별_수입)'!E618),",","")),"")</f>
        <v>16215924</v>
      </c>
    </row>
    <row r="615" customFormat="false" ht="15" hidden="false" customHeight="true" outlineLevel="0" collapsed="false">
      <c r="A615" s="11" t="str">
        <f aca="false">TRIM('수출입 실적(성질별_수입)'!A619)</f>
        <v>2026.07</v>
      </c>
      <c r="B615" s="17" t="n">
        <f aca="false">IFERROR(VALUE(LEFT($A615,4)),"")</f>
        <v>2026</v>
      </c>
      <c r="C615" s="17" t="n">
        <f aca="false">IFERROR(VALUE(RIGHT($A615,2)),"")</f>
        <v>7</v>
      </c>
      <c r="D615" s="17" t="n">
        <f aca="false">IFERROR(ROUNDUP($C615/3,0),"")</f>
        <v>3</v>
      </c>
      <c r="E615" s="11" t="str">
        <f aca="false">TRIM('수출입 실적(성질별_수입)'!C619)</f>
        <v>나. 광 물</v>
      </c>
      <c r="F615" s="18" t="n">
        <f aca="false">IFERROR(VALUE(SUBSTITUTE(TRIM('수출입 실적(성질별_수입)'!D619),",","")),"")</f>
        <v>8824301.3</v>
      </c>
      <c r="G615" s="19" t="n">
        <f aca="false">IFERROR(VALUE(SUBSTITUTE(TRIM('수출입 실적(성질별_수입)'!E619),",","")),"")</f>
        <v>3331889</v>
      </c>
    </row>
    <row r="616" customFormat="false" ht="15" hidden="false" customHeight="true" outlineLevel="0" collapsed="false">
      <c r="A616" s="11" t="str">
        <f aca="false">TRIM('수출입 실적(성질별_수입)'!A620)</f>
        <v>2026.07</v>
      </c>
      <c r="B616" s="17" t="n">
        <f aca="false">IFERROR(VALUE(LEFT($A616,4)),"")</f>
        <v>2026</v>
      </c>
      <c r="C616" s="17" t="n">
        <f aca="false">IFERROR(VALUE(RIGHT($A616,2)),"")</f>
        <v>7</v>
      </c>
      <c r="D616" s="17" t="n">
        <f aca="false">IFERROR(ROUNDUP($C616/3,0),"")</f>
        <v>3</v>
      </c>
      <c r="E616" s="11" t="str">
        <f aca="false">TRIM('수출입 실적(성질별_수입)'!C620)</f>
        <v>다. 경공업 원료</v>
      </c>
      <c r="F616" s="18" t="n">
        <f aca="false">IFERROR(VALUE(SUBSTITUTE(TRIM('수출입 실적(성질별_수입)'!D620),",","")),"")</f>
        <v>1086490.8</v>
      </c>
      <c r="G616" s="19" t="n">
        <f aca="false">IFERROR(VALUE(SUBSTITUTE(TRIM('수출입 실적(성질별_수입)'!E620),",","")),"")</f>
        <v>510215</v>
      </c>
    </row>
    <row r="617" customFormat="false" ht="15" hidden="false" customHeight="true" outlineLevel="0" collapsed="false">
      <c r="A617" s="11" t="str">
        <f aca="false">TRIM('수출입 실적(성질별_수입)'!A621)</f>
        <v>2026.07</v>
      </c>
      <c r="B617" s="17" t="n">
        <f aca="false">IFERROR(VALUE(LEFT($A617,4)),"")</f>
        <v>2026</v>
      </c>
      <c r="C617" s="17" t="n">
        <f aca="false">IFERROR(VALUE(RIGHT($A617,2)),"")</f>
        <v>7</v>
      </c>
      <c r="D617" s="17" t="n">
        <f aca="false">IFERROR(ROUNDUP($C617/3,0),"")</f>
        <v>3</v>
      </c>
      <c r="E617" s="11" t="str">
        <f aca="false">TRIM('수출입 실적(성질별_수입)'!C621)</f>
        <v>라. 유 지</v>
      </c>
      <c r="F617" s="18" t="n">
        <f aca="false">IFERROR(VALUE(SUBSTITUTE(TRIM('수출입 실적(성질별_수입)'!D621),",","")),"")</f>
        <v>211294</v>
      </c>
      <c r="G617" s="19" t="n">
        <f aca="false">IFERROR(VALUE(SUBSTITUTE(TRIM('수출입 실적(성질별_수입)'!E621),",","")),"")</f>
        <v>302258</v>
      </c>
    </row>
    <row r="618" customFormat="false" ht="15" hidden="false" customHeight="true" outlineLevel="0" collapsed="false">
      <c r="A618" s="11" t="str">
        <f aca="false">TRIM('수출입 실적(성질별_수입)'!A622)</f>
        <v>2026.07</v>
      </c>
      <c r="B618" s="17" t="n">
        <f aca="false">IFERROR(VALUE(LEFT($A618,4)),"")</f>
        <v>2026</v>
      </c>
      <c r="C618" s="17" t="n">
        <f aca="false">IFERROR(VALUE(RIGHT($A618,2)),"")</f>
        <v>7</v>
      </c>
      <c r="D618" s="17" t="n">
        <f aca="false">IFERROR(ROUNDUP($C618/3,0),"")</f>
        <v>3</v>
      </c>
      <c r="E618" s="11" t="str">
        <f aca="false">TRIM('수출입 실적(성질별_수입)'!C622)</f>
        <v>마. 섬유류</v>
      </c>
      <c r="F618" s="18" t="n">
        <f aca="false">IFERROR(VALUE(SUBSTITUTE(TRIM('수출입 실적(성질별_수입)'!D622),",","")),"")</f>
        <v>98802.2</v>
      </c>
      <c r="G618" s="19" t="n">
        <f aca="false">IFERROR(VALUE(SUBSTITUTE(TRIM('수출입 실적(성질별_수입)'!E622),",","")),"")</f>
        <v>316673</v>
      </c>
    </row>
    <row r="619" customFormat="false" ht="15" hidden="false" customHeight="true" outlineLevel="0" collapsed="false">
      <c r="A619" s="11" t="str">
        <f aca="false">TRIM('수출입 실적(성질별_수입)'!A623)</f>
        <v>2026.07</v>
      </c>
      <c r="B619" s="17" t="n">
        <f aca="false">IFERROR(VALUE(LEFT($A619,4)),"")</f>
        <v>2026</v>
      </c>
      <c r="C619" s="17" t="n">
        <f aca="false">IFERROR(VALUE(RIGHT($A619,2)),"")</f>
        <v>7</v>
      </c>
      <c r="D619" s="17" t="n">
        <f aca="false">IFERROR(ROUNDUP($C619/3,0),"")</f>
        <v>3</v>
      </c>
      <c r="E619" s="11" t="str">
        <f aca="false">TRIM('수출입 실적(성질별_수입)'!C623)</f>
        <v>바. 화공품</v>
      </c>
      <c r="F619" s="18" t="n">
        <f aca="false">IFERROR(VALUE(SUBSTITUTE(TRIM('수출입 실적(성질별_수입)'!D623),",","")),"")</f>
        <v>1703847.5</v>
      </c>
      <c r="G619" s="19" t="n">
        <f aca="false">IFERROR(VALUE(SUBSTITUTE(TRIM('수출입 실적(성질별_수입)'!E623),",","")),"")</f>
        <v>5650336</v>
      </c>
    </row>
    <row r="620" customFormat="false" ht="15" hidden="false" customHeight="true" outlineLevel="0" collapsed="false">
      <c r="A620" s="11" t="str">
        <f aca="false">TRIM('수출입 실적(성질별_수입)'!A624)</f>
        <v>2026.07</v>
      </c>
      <c r="B620" s="17" t="n">
        <f aca="false">IFERROR(VALUE(LEFT($A620,4)),"")</f>
        <v>2026</v>
      </c>
      <c r="C620" s="17" t="n">
        <f aca="false">IFERROR(VALUE(RIGHT($A620,2)),"")</f>
        <v>7</v>
      </c>
      <c r="D620" s="17" t="n">
        <f aca="false">IFERROR(ROUNDUP($C620/3,0),"")</f>
        <v>3</v>
      </c>
      <c r="E620" s="11" t="str">
        <f aca="false">TRIM('수출입 실적(성질별_수입)'!C624)</f>
        <v>사. 철강재</v>
      </c>
      <c r="F620" s="18" t="n">
        <f aca="false">IFERROR(VALUE(SUBSTITUTE(TRIM('수출입 실적(성질별_수입)'!D624),",","")),"")</f>
        <v>1360446.3</v>
      </c>
      <c r="G620" s="19" t="n">
        <f aca="false">IFERROR(VALUE(SUBSTITUTE(TRIM('수출입 실적(성질별_수입)'!E624),",","")),"")</f>
        <v>1602807</v>
      </c>
    </row>
    <row r="621" customFormat="false" ht="15" hidden="false" customHeight="true" outlineLevel="0" collapsed="false">
      <c r="A621" s="11" t="str">
        <f aca="false">TRIM('수출입 실적(성질별_수입)'!A625)</f>
        <v>2026.07</v>
      </c>
      <c r="B621" s="17" t="n">
        <f aca="false">IFERROR(VALUE(LEFT($A621,4)),"")</f>
        <v>2026</v>
      </c>
      <c r="C621" s="17" t="n">
        <f aca="false">IFERROR(VALUE(RIGHT($A621,2)),"")</f>
        <v>7</v>
      </c>
      <c r="D621" s="17" t="n">
        <f aca="false">IFERROR(ROUNDUP($C621/3,0),"")</f>
        <v>3</v>
      </c>
      <c r="E621" s="11" t="str">
        <f aca="false">TRIM('수출입 실적(성질별_수입)'!C625)</f>
        <v>아. 비철금속</v>
      </c>
      <c r="F621" s="18" t="n">
        <f aca="false">IFERROR(VALUE(SUBSTITUTE(TRIM('수출입 실적(성질별_수입)'!D625),",","")),"")</f>
        <v>287628.2</v>
      </c>
      <c r="G621" s="19" t="n">
        <f aca="false">IFERROR(VALUE(SUBSTITUTE(TRIM('수출입 실적(성질별_수입)'!E625),",","")),"")</f>
        <v>2223256</v>
      </c>
    </row>
    <row r="622" customFormat="false" ht="15" hidden="false" customHeight="true" outlineLevel="0" collapsed="false">
      <c r="A622" s="11" t="str">
        <f aca="false">TRIM('수출입 실적(성질별_수입)'!A626)</f>
        <v>2026.07</v>
      </c>
      <c r="B622" s="17" t="n">
        <f aca="false">IFERROR(VALUE(LEFT($A622,4)),"")</f>
        <v>2026</v>
      </c>
      <c r="C622" s="17" t="n">
        <f aca="false">IFERROR(VALUE(RIGHT($A622,2)),"")</f>
        <v>7</v>
      </c>
      <c r="D622" s="17" t="n">
        <f aca="false">IFERROR(ROUNDUP($C622/3,0),"")</f>
        <v>3</v>
      </c>
      <c r="E622" s="11" t="str">
        <f aca="false">TRIM('수출입 실적(성질별_수입)'!C626)</f>
        <v>자. 기 타</v>
      </c>
      <c r="F622" s="18" t="n">
        <f aca="false">IFERROR(VALUE(SUBSTITUTE(TRIM('수출입 실적(성질별_수입)'!D626),",","")),"")</f>
        <v>777989.1</v>
      </c>
      <c r="G622" s="19" t="n">
        <f aca="false">IFERROR(VALUE(SUBSTITUTE(TRIM('수출입 실적(성질별_수입)'!E626),",","")),"")</f>
        <v>1473795</v>
      </c>
    </row>
    <row r="623" customFormat="false" ht="15" hidden="false" customHeight="true" outlineLevel="0" collapsed="false">
      <c r="A623" s="11" t="str">
        <f aca="false">TRIM('수출입 실적(성질별_수입)'!A627)</f>
        <v>2026.07</v>
      </c>
      <c r="B623" s="17" t="n">
        <f aca="false">IFERROR(VALUE(LEFT($A623,4)),"")</f>
        <v>2026</v>
      </c>
      <c r="C623" s="17" t="n">
        <f aca="false">IFERROR(VALUE(RIGHT($A623,2)),"")</f>
        <v>7</v>
      </c>
      <c r="D623" s="17" t="n">
        <f aca="false">IFERROR(ROUNDUP($C623/3,0),"")</f>
        <v>3</v>
      </c>
      <c r="E623" s="11" t="str">
        <f aca="false">TRIM('수출입 실적(성질별_수입)'!C627)</f>
        <v>3. 자본재</v>
      </c>
      <c r="F623" s="18" t="n">
        <f aca="false">IFERROR(VALUE(SUBSTITUTE(TRIM('수출입 실적(성질별_수입)'!D627),",","")),"")</f>
        <v>1468914.5</v>
      </c>
      <c r="G623" s="19" t="n">
        <f aca="false">IFERROR(VALUE(SUBSTITUTE(TRIM('수출입 실적(성질별_수입)'!E627),",","")),"")</f>
        <v>27980796</v>
      </c>
    </row>
    <row r="624" customFormat="false" ht="15" hidden="false" customHeight="true" outlineLevel="0" collapsed="false">
      <c r="A624" s="11" t="str">
        <f aca="false">TRIM('수출입 실적(성질별_수입)'!A628)</f>
        <v>2026.07</v>
      </c>
      <c r="B624" s="17" t="n">
        <f aca="false">IFERROR(VALUE(LEFT($A624,4)),"")</f>
        <v>2026</v>
      </c>
      <c r="C624" s="17" t="n">
        <f aca="false">IFERROR(VALUE(RIGHT($A624,2)),"")</f>
        <v>7</v>
      </c>
      <c r="D624" s="17" t="n">
        <f aca="false">IFERROR(ROUNDUP($C624/3,0),"")</f>
        <v>3</v>
      </c>
      <c r="E624" s="11" t="str">
        <f aca="false">TRIM('수출입 실적(성질별_수입)'!C628)</f>
        <v>가. 기계류와 정밀기기</v>
      </c>
      <c r="F624" s="18" t="n">
        <f aca="false">IFERROR(VALUE(SUBSTITUTE(TRIM('수출입 실적(성질별_수입)'!D628),",","")),"")</f>
        <v>209677.8</v>
      </c>
      <c r="G624" s="19" t="n">
        <f aca="false">IFERROR(VALUE(SUBSTITUTE(TRIM('수출입 실적(성질별_수입)'!E628),",","")),"")</f>
        <v>7784623</v>
      </c>
    </row>
    <row r="625" customFormat="false" ht="15" hidden="false" customHeight="true" outlineLevel="0" collapsed="false">
      <c r="A625" s="11" t="str">
        <f aca="false">TRIM('수출입 실적(성질별_수입)'!A629)</f>
        <v>2026.07</v>
      </c>
      <c r="B625" s="17" t="n">
        <f aca="false">IFERROR(VALUE(LEFT($A625,4)),"")</f>
        <v>2026</v>
      </c>
      <c r="C625" s="17" t="n">
        <f aca="false">IFERROR(VALUE(RIGHT($A625,2)),"")</f>
        <v>7</v>
      </c>
      <c r="D625" s="17" t="n">
        <f aca="false">IFERROR(ROUNDUP($C625/3,0),"")</f>
        <v>3</v>
      </c>
      <c r="E625" s="11" t="str">
        <f aca="false">TRIM('수출입 실적(성질별_수입)'!C629)</f>
        <v>나. 전기·전자기기</v>
      </c>
      <c r="F625" s="18" t="n">
        <f aca="false">IFERROR(VALUE(SUBSTITUTE(TRIM('수출입 실적(성질별_수입)'!D629),",","")),"")</f>
        <v>198139.3</v>
      </c>
      <c r="G625" s="19" t="n">
        <f aca="false">IFERROR(VALUE(SUBSTITUTE(TRIM('수출입 실적(성질별_수입)'!E629),",","")),"")</f>
        <v>17759882</v>
      </c>
    </row>
    <row r="626" customFormat="false" ht="15" hidden="false" customHeight="true" outlineLevel="0" collapsed="false">
      <c r="A626" s="11" t="str">
        <f aca="false">TRIM('수출입 실적(성질별_수입)'!A630)</f>
        <v>2026.07</v>
      </c>
      <c r="B626" s="17" t="n">
        <f aca="false">IFERROR(VALUE(LEFT($A626,4)),"")</f>
        <v>2026</v>
      </c>
      <c r="C626" s="17" t="n">
        <f aca="false">IFERROR(VALUE(RIGHT($A626,2)),"")</f>
        <v>7</v>
      </c>
      <c r="D626" s="17" t="n">
        <f aca="false">IFERROR(ROUNDUP($C626/3,0),"")</f>
        <v>3</v>
      </c>
      <c r="E626" s="11" t="str">
        <f aca="false">TRIM('수출입 실적(성질별_수입)'!C630)</f>
        <v>다. 수송장비</v>
      </c>
      <c r="F626" s="18" t="n">
        <f aca="false">IFERROR(VALUE(SUBSTITUTE(TRIM('수출입 실적(성질별_수입)'!D630),",","")),"")</f>
        <v>1044643.4</v>
      </c>
      <c r="G626" s="19" t="n">
        <f aca="false">IFERROR(VALUE(SUBSTITUTE(TRIM('수출입 실적(성질별_수입)'!E630),",","")),"")</f>
        <v>2189673</v>
      </c>
    </row>
    <row r="627" customFormat="false" ht="15" hidden="false" customHeight="true" outlineLevel="0" collapsed="false">
      <c r="A627" s="11" t="str">
        <f aca="false">TRIM('수출입 실적(성질별_수입)'!A631)</f>
        <v>2026.07</v>
      </c>
      <c r="B627" s="17" t="n">
        <f aca="false">IFERROR(VALUE(LEFT($A627,4)),"")</f>
        <v>2026</v>
      </c>
      <c r="C627" s="17" t="n">
        <f aca="false">IFERROR(VALUE(RIGHT($A627,2)),"")</f>
        <v>7</v>
      </c>
      <c r="D627" s="17" t="n">
        <f aca="false">IFERROR(ROUNDUP($C627/3,0),"")</f>
        <v>3</v>
      </c>
      <c r="E627" s="11" t="str">
        <f aca="false">TRIM('수출입 실적(성질별_수입)'!C631)</f>
        <v>라. 기 타</v>
      </c>
      <c r="F627" s="18" t="n">
        <f aca="false">IFERROR(VALUE(SUBSTITUTE(TRIM('수출입 실적(성질별_수입)'!D631),",","")),"")</f>
        <v>16454</v>
      </c>
      <c r="G627" s="19" t="n">
        <f aca="false">IFERROR(VALUE(SUBSTITUTE(TRIM('수출입 실적(성질별_수입)'!E631),",","")),"")</f>
        <v>246617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34"/>
    <col collapsed="false" customWidth="true" hidden="false" outlineLevel="0" max="9" min="6" style="1" width="12"/>
  </cols>
  <sheetData>
    <row r="1" customFormat="false" ht="15" hidden="false" customHeight="true" outlineLevel="0" collapsed="false">
      <c r="A1" s="15" t="s">
        <v>19652</v>
      </c>
    </row>
    <row r="2" customFormat="false" ht="15" hidden="false" customHeight="true" outlineLevel="0" collapsed="false">
      <c r="A2" s="16" t="s">
        <v>56</v>
      </c>
      <c r="B2" s="16" t="s">
        <v>19653</v>
      </c>
      <c r="C2" s="16" t="s">
        <v>19654</v>
      </c>
      <c r="D2" s="16" t="s">
        <v>19655</v>
      </c>
      <c r="E2" s="16" t="s">
        <v>17598</v>
      </c>
      <c r="F2" s="16" t="s">
        <v>59</v>
      </c>
      <c r="G2" s="16" t="s">
        <v>60</v>
      </c>
      <c r="H2" s="16" t="s">
        <v>338</v>
      </c>
      <c r="I2" s="16" t="s">
        <v>339</v>
      </c>
    </row>
    <row r="3" customFormat="false" ht="15" hidden="false" customHeight="true" outlineLevel="0" collapsed="false">
      <c r="A3" s="11" t="str">
        <f aca="false">TRIM('수출입 실적(신성질별)'!A7)</f>
        <v>2024.01</v>
      </c>
      <c r="B3" s="17" t="n">
        <f aca="false">IFERROR(VALUE(LEFT($A3,4)),"")</f>
        <v>2024</v>
      </c>
      <c r="C3" s="17" t="n">
        <f aca="false">IFERROR(VALUE(RIGHT($A3,2)),"")</f>
        <v>1</v>
      </c>
      <c r="D3" s="17" t="n">
        <f aca="false">IFERROR(ROUNDUP($C3/3,0),"")</f>
        <v>1</v>
      </c>
      <c r="E3" s="11" t="str">
        <f aca="false">TRIM('수출입 실적(신성질별)'!B7)</f>
        <v>1.소비재</v>
      </c>
      <c r="F3" s="18" t="n">
        <f aca="false">IFERROR(VALUE(SUBSTITUTE(TRIM('수출입 실적(신성질별)'!C7),",","")),"")</f>
        <v>890383</v>
      </c>
      <c r="G3" s="19" t="n">
        <f aca="false">IFERROR(VALUE(SUBSTITUTE(TRIM('수출입 실적(신성질별)'!D7),",","")),"")</f>
        <v>8679299</v>
      </c>
      <c r="H3" s="18" t="n">
        <f aca="false">IFERROR(VALUE(SUBSTITUTE(TRIM('수출입 실적(신성질별)'!E7),",","")),"")</f>
        <v>2368995.8</v>
      </c>
      <c r="I3" s="19" t="n">
        <f aca="false">IFERROR(VALUE(SUBSTITUTE(TRIM('수출입 실적(신성질별)'!F7),",","")),"")</f>
        <v>7508719</v>
      </c>
    </row>
    <row r="4" customFormat="false" ht="15" hidden="false" customHeight="true" outlineLevel="0" collapsed="false">
      <c r="A4" s="11" t="str">
        <f aca="false">TRIM('수출입 실적(신성질별)'!A8)</f>
        <v>2024.01</v>
      </c>
      <c r="B4" s="17" t="n">
        <f aca="false">IFERROR(VALUE(LEFT($A4,4)),"")</f>
        <v>2024</v>
      </c>
      <c r="C4" s="17" t="n">
        <f aca="false">IFERROR(VALUE(RIGHT($A4,2)),"")</f>
        <v>1</v>
      </c>
      <c r="D4" s="17" t="n">
        <f aca="false">IFERROR(ROUNDUP($C4/3,0),"")</f>
        <v>1</v>
      </c>
      <c r="E4" s="11" t="str">
        <f aca="false">TRIM('수출입 실적(신성질별)'!B8)</f>
        <v>가.직접소비재</v>
      </c>
      <c r="F4" s="18" t="n">
        <f aca="false">IFERROR(VALUE(SUBSTITUTE(TRIM('수출입 실적(신성질별)'!C8),",","")),"")</f>
        <v>245293.6</v>
      </c>
      <c r="G4" s="19" t="n">
        <f aca="false">IFERROR(VALUE(SUBSTITUTE(TRIM('수출입 실적(신성질별)'!D8),",","")),"")</f>
        <v>810359</v>
      </c>
      <c r="H4" s="18" t="n">
        <f aca="false">IFERROR(VALUE(SUBSTITUTE(TRIM('수출입 실적(신성질별)'!E8),",","")),"")</f>
        <v>1996413.8</v>
      </c>
      <c r="I4" s="19" t="n">
        <f aca="false">IFERROR(VALUE(SUBSTITUTE(TRIM('수출입 실적(신성질별)'!F8),",","")),"")</f>
        <v>3062773</v>
      </c>
    </row>
    <row r="5" customFormat="false" ht="15" hidden="false" customHeight="true" outlineLevel="0" collapsed="false">
      <c r="A5" s="11" t="str">
        <f aca="false">TRIM('수출입 실적(신성질별)'!A9)</f>
        <v>2024.01</v>
      </c>
      <c r="B5" s="17" t="n">
        <f aca="false">IFERROR(VALUE(LEFT($A5,4)),"")</f>
        <v>2024</v>
      </c>
      <c r="C5" s="17" t="n">
        <f aca="false">IFERROR(VALUE(RIGHT($A5,2)),"")</f>
        <v>1</v>
      </c>
      <c r="D5" s="17" t="n">
        <f aca="false">IFERROR(ROUNDUP($C5/3,0),"")</f>
        <v>1</v>
      </c>
      <c r="E5" s="11" t="str">
        <f aca="false">TRIM('수출입 실적(신성질별)'!B9)</f>
        <v>나.내구소비재</v>
      </c>
      <c r="F5" s="18" t="n">
        <f aca="false">IFERROR(VALUE(SUBSTITUTE(TRIM('수출입 실적(신성질별)'!C9),",","")),"")</f>
        <v>490546.6</v>
      </c>
      <c r="G5" s="19" t="n">
        <f aca="false">IFERROR(VALUE(SUBSTITUTE(TRIM('수출입 실적(신성질별)'!D9),",","")),"")</f>
        <v>6352080</v>
      </c>
      <c r="H5" s="18" t="n">
        <f aca="false">IFERROR(VALUE(SUBSTITUTE(TRIM('수출입 실적(신성질별)'!E9),",","")),"")</f>
        <v>201838</v>
      </c>
      <c r="I5" s="19" t="n">
        <f aca="false">IFERROR(VALUE(SUBSTITUTE(TRIM('수출입 실적(신성질별)'!F9),",","")),"")</f>
        <v>1929589</v>
      </c>
    </row>
    <row r="6" customFormat="false" ht="15" hidden="false" customHeight="true" outlineLevel="0" collapsed="false">
      <c r="A6" s="11" t="str">
        <f aca="false">TRIM('수출입 실적(신성질별)'!A10)</f>
        <v>2024.01</v>
      </c>
      <c r="B6" s="17" t="n">
        <f aca="false">IFERROR(VALUE(LEFT($A6,4)),"")</f>
        <v>2024</v>
      </c>
      <c r="C6" s="17" t="n">
        <f aca="false">IFERROR(VALUE(RIGHT($A6,2)),"")</f>
        <v>1</v>
      </c>
      <c r="D6" s="17" t="n">
        <f aca="false">IFERROR(ROUNDUP($C6/3,0),"")</f>
        <v>1</v>
      </c>
      <c r="E6" s="11" t="str">
        <f aca="false">TRIM('수출입 실적(신성질별)'!B10)</f>
        <v>다.비내구소비재</v>
      </c>
      <c r="F6" s="18" t="n">
        <f aca="false">IFERROR(VALUE(SUBSTITUTE(TRIM('수출입 실적(신성질별)'!C10),",","")),"")</f>
        <v>151038</v>
      </c>
      <c r="G6" s="19" t="n">
        <f aca="false">IFERROR(VALUE(SUBSTITUTE(TRIM('수출입 실적(신성질별)'!D10),",","")),"")</f>
        <v>1512572</v>
      </c>
      <c r="H6" s="18" t="n">
        <f aca="false">IFERROR(VALUE(SUBSTITUTE(TRIM('수출입 실적(신성질별)'!E10),",","")),"")</f>
        <v>170248.2</v>
      </c>
      <c r="I6" s="19" t="n">
        <f aca="false">IFERROR(VALUE(SUBSTITUTE(TRIM('수출입 실적(신성질별)'!F10),",","")),"")</f>
        <v>2516357</v>
      </c>
    </row>
    <row r="7" customFormat="false" ht="15" hidden="false" customHeight="true" outlineLevel="0" collapsed="false">
      <c r="A7" s="11" t="str">
        <f aca="false">TRIM('수출입 실적(신성질별)'!A11)</f>
        <v>2024.01</v>
      </c>
      <c r="B7" s="17" t="n">
        <f aca="false">IFERROR(VALUE(LEFT($A7,4)),"")</f>
        <v>2024</v>
      </c>
      <c r="C7" s="17" t="n">
        <f aca="false">IFERROR(VALUE(RIGHT($A7,2)),"")</f>
        <v>1</v>
      </c>
      <c r="D7" s="17" t="n">
        <f aca="false">IFERROR(ROUNDUP($C7/3,0),"")</f>
        <v>1</v>
      </c>
      <c r="E7" s="11" t="str">
        <f aca="false">TRIM('수출입 실적(신성질별)'!B11)</f>
        <v>라.간이세율적용분</v>
      </c>
      <c r="F7" s="18" t="n">
        <f aca="false">IFERROR(VALUE(SUBSTITUTE(TRIM('수출입 실적(신성질별)'!C11),",","")),"")</f>
        <v>3504.9</v>
      </c>
      <c r="G7" s="19" t="n">
        <f aca="false">IFERROR(VALUE(SUBSTITUTE(TRIM('수출입 실적(신성질별)'!D11),",","")),"")</f>
        <v>4289</v>
      </c>
      <c r="H7" s="18" t="n">
        <f aca="false">IFERROR(VALUE(SUBSTITUTE(TRIM('수출입 실적(신성질별)'!E11),",","")),"")</f>
        <v>495.8</v>
      </c>
      <c r="I7" s="19" t="n">
        <f aca="false">IFERROR(VALUE(SUBSTITUTE(TRIM('수출입 실적(신성질별)'!F11),",","")),"")</f>
        <v>0</v>
      </c>
    </row>
    <row r="8" customFormat="false" ht="15" hidden="false" customHeight="true" outlineLevel="0" collapsed="false">
      <c r="A8" s="11" t="str">
        <f aca="false">TRIM('수출입 실적(신성질별)'!A12)</f>
        <v>2024.01</v>
      </c>
      <c r="B8" s="17" t="n">
        <f aca="false">IFERROR(VALUE(LEFT($A8,4)),"")</f>
        <v>2024</v>
      </c>
      <c r="C8" s="17" t="n">
        <f aca="false">IFERROR(VALUE(RIGHT($A8,2)),"")</f>
        <v>1</v>
      </c>
      <c r="D8" s="17" t="n">
        <f aca="false">IFERROR(ROUNDUP($C8/3,0),"")</f>
        <v>1</v>
      </c>
      <c r="E8" s="11" t="str">
        <f aca="false">TRIM('수출입 실적(신성질별)'!B12)</f>
        <v>2.원자재</v>
      </c>
      <c r="F8" s="18" t="n">
        <f aca="false">IFERROR(VALUE(SUBSTITUTE(TRIM('수출입 실적(신성질별)'!C12),",","")),"")</f>
        <v>14038084.2</v>
      </c>
      <c r="G8" s="19" t="n">
        <f aca="false">IFERROR(VALUE(SUBSTITUTE(TRIM('수출입 실적(신성질별)'!D12),",","")),"")</f>
        <v>17436372</v>
      </c>
      <c r="H8" s="18" t="n">
        <f aca="false">IFERROR(VALUE(SUBSTITUTE(TRIM('수출입 실적(신성질별)'!E12),",","")),"")</f>
        <v>48283050</v>
      </c>
      <c r="I8" s="19" t="n">
        <f aca="false">IFERROR(VALUE(SUBSTITUTE(TRIM('수출입 실적(신성질별)'!F12),",","")),"")</f>
        <v>27933007</v>
      </c>
    </row>
    <row r="9" customFormat="false" ht="15" hidden="false" customHeight="true" outlineLevel="0" collapsed="false">
      <c r="A9" s="11" t="str">
        <f aca="false">TRIM('수출입 실적(신성질별)'!A13)</f>
        <v>2024.01</v>
      </c>
      <c r="B9" s="17" t="n">
        <f aca="false">IFERROR(VALUE(LEFT($A9,4)),"")</f>
        <v>2024</v>
      </c>
      <c r="C9" s="17" t="n">
        <f aca="false">IFERROR(VALUE(RIGHT($A9,2)),"")</f>
        <v>1</v>
      </c>
      <c r="D9" s="17" t="n">
        <f aca="false">IFERROR(ROUNDUP($C9/3,0),"")</f>
        <v>1</v>
      </c>
      <c r="E9" s="11" t="str">
        <f aca="false">TRIM('수출입 실적(신성질별)'!B13)</f>
        <v>가.동식물성 연·원료</v>
      </c>
      <c r="F9" s="18" t="n">
        <f aca="false">IFERROR(VALUE(SUBSTITUTE(TRIM('수출입 실적(신성질별)'!C13),",","")),"")</f>
        <v>348452.9</v>
      </c>
      <c r="G9" s="19" t="n">
        <f aca="false">IFERROR(VALUE(SUBSTITUTE(TRIM('수출입 실적(신성질별)'!D13),",","")),"")</f>
        <v>435996</v>
      </c>
      <c r="H9" s="18" t="n">
        <f aca="false">IFERROR(VALUE(SUBSTITUTE(TRIM('수출입 실적(신성질별)'!E13),",","")),"")</f>
        <v>2872182.6</v>
      </c>
      <c r="I9" s="19" t="n">
        <f aca="false">IFERROR(VALUE(SUBSTITUTE(TRIM('수출입 실적(신성질별)'!F13),",","")),"")</f>
        <v>1428481</v>
      </c>
    </row>
    <row r="10" customFormat="false" ht="15" hidden="false" customHeight="true" outlineLevel="0" collapsed="false">
      <c r="A10" s="11" t="str">
        <f aca="false">TRIM('수출입 실적(신성질별)'!A14)</f>
        <v>2024.01</v>
      </c>
      <c r="B10" s="17" t="n">
        <f aca="false">IFERROR(VALUE(LEFT($A10,4)),"")</f>
        <v>2024</v>
      </c>
      <c r="C10" s="17" t="n">
        <f aca="false">IFERROR(VALUE(RIGHT($A10,2)),"")</f>
        <v>1</v>
      </c>
      <c r="D10" s="17" t="n">
        <f aca="false">IFERROR(ROUNDUP($C10/3,0),"")</f>
        <v>1</v>
      </c>
      <c r="E10" s="11" t="str">
        <f aca="false">TRIM('수출입 실적(신성질별)'!B14)</f>
        <v>나.섬유류</v>
      </c>
      <c r="F10" s="18" t="n">
        <f aca="false">IFERROR(VALUE(SUBSTITUTE(TRIM('수출입 실적(신성질별)'!C14),",","")),"")</f>
        <v>130863</v>
      </c>
      <c r="G10" s="19" t="n">
        <f aca="false">IFERROR(VALUE(SUBSTITUTE(TRIM('수출입 실적(신성질별)'!D14),",","")),"")</f>
        <v>613936</v>
      </c>
      <c r="H10" s="18" t="n">
        <f aca="false">IFERROR(VALUE(SUBSTITUTE(TRIM('수출입 실적(신성질별)'!E14),",","")),"")</f>
        <v>106123.8</v>
      </c>
      <c r="I10" s="19" t="n">
        <f aca="false">IFERROR(VALUE(SUBSTITUTE(TRIM('수출입 실적(신성질별)'!F14),",","")),"")</f>
        <v>342160</v>
      </c>
    </row>
    <row r="11" customFormat="false" ht="15" hidden="false" customHeight="true" outlineLevel="0" collapsed="false">
      <c r="A11" s="11" t="str">
        <f aca="false">TRIM('수출입 실적(신성질별)'!A15)</f>
        <v>2024.01</v>
      </c>
      <c r="B11" s="17" t="n">
        <f aca="false">IFERROR(VALUE(LEFT($A11,4)),"")</f>
        <v>2024</v>
      </c>
      <c r="C11" s="17" t="n">
        <f aca="false">IFERROR(VALUE(RIGHT($A11,2)),"")</f>
        <v>1</v>
      </c>
      <c r="D11" s="17" t="n">
        <f aca="false">IFERROR(ROUNDUP($C11/3,0),"")</f>
        <v>1</v>
      </c>
      <c r="E11" s="11" t="str">
        <f aca="false">TRIM('수출입 실적(신성질별)'!B15)</f>
        <v>다.광산물</v>
      </c>
      <c r="F11" s="18" t="n">
        <f aca="false">IFERROR(VALUE(SUBSTITUTE(TRIM('수출입 실적(신성질별)'!C15),",","")),"")</f>
        <v>6716263.2</v>
      </c>
      <c r="G11" s="19" t="n">
        <f aca="false">IFERROR(VALUE(SUBSTITUTE(TRIM('수출입 실적(신성질별)'!D15),",","")),"")</f>
        <v>5478639</v>
      </c>
      <c r="H11" s="18" t="n">
        <f aca="false">IFERROR(VALUE(SUBSTITUTE(TRIM('수출입 실적(신성질별)'!E15),",","")),"")</f>
        <v>41389665.4</v>
      </c>
      <c r="I11" s="19" t="n">
        <f aca="false">IFERROR(VALUE(SUBSTITUTE(TRIM('수출입 실적(신성질별)'!F15),",","")),"")</f>
        <v>18384560</v>
      </c>
    </row>
    <row r="12" customFormat="false" ht="15" hidden="false" customHeight="true" outlineLevel="0" collapsed="false">
      <c r="A12" s="11" t="str">
        <f aca="false">TRIM('수출입 실적(신성질별)'!A16)</f>
        <v>2024.01</v>
      </c>
      <c r="B12" s="17" t="n">
        <f aca="false">IFERROR(VALUE(LEFT($A12,4)),"")</f>
        <v>2024</v>
      </c>
      <c r="C12" s="17" t="n">
        <f aca="false">IFERROR(VALUE(RIGHT($A12,2)),"")</f>
        <v>1</v>
      </c>
      <c r="D12" s="17" t="n">
        <f aca="false">IFERROR(ROUNDUP($C12/3,0),"")</f>
        <v>1</v>
      </c>
      <c r="E12" s="11" t="str">
        <f aca="false">TRIM('수출입 실적(신성질별)'!B16)</f>
        <v>라.철강 및 금속제품</v>
      </c>
      <c r="F12" s="18" t="n">
        <f aca="false">IFERROR(VALUE(SUBSTITUTE(TRIM('수출입 실적(신성질별)'!C16),",","")),"")</f>
        <v>2568224.3</v>
      </c>
      <c r="G12" s="19" t="n">
        <f aca="false">IFERROR(VALUE(SUBSTITUTE(TRIM('수출입 실적(신성질별)'!D16),",","")),"")</f>
        <v>3358972</v>
      </c>
      <c r="H12" s="18" t="n">
        <f aca="false">IFERROR(VALUE(SUBSTITUTE(TRIM('수출입 실적(신성질별)'!E16),",","")),"")</f>
        <v>1949849.1</v>
      </c>
      <c r="I12" s="19" t="n">
        <f aca="false">IFERROR(VALUE(SUBSTITUTE(TRIM('수출입 실적(신성질별)'!F16),",","")),"")</f>
        <v>2827181</v>
      </c>
    </row>
    <row r="13" customFormat="false" ht="15" hidden="false" customHeight="true" outlineLevel="0" collapsed="false">
      <c r="A13" s="11" t="str">
        <f aca="false">TRIM('수출입 실적(신성질별)'!A17)</f>
        <v>2024.01</v>
      </c>
      <c r="B13" s="17" t="n">
        <f aca="false">IFERROR(VALUE(LEFT($A13,4)),"")</f>
        <v>2024</v>
      </c>
      <c r="C13" s="17" t="n">
        <f aca="false">IFERROR(VALUE(RIGHT($A13,2)),"")</f>
        <v>1</v>
      </c>
      <c r="D13" s="17" t="n">
        <f aca="false">IFERROR(ROUNDUP($C13/3,0),"")</f>
        <v>1</v>
      </c>
      <c r="E13" s="11" t="str">
        <f aca="false">TRIM('수출입 실적(신성질별)'!B17)</f>
        <v>마.화학공업제품</v>
      </c>
      <c r="F13" s="18" t="n">
        <f aca="false">IFERROR(VALUE(SUBSTITUTE(TRIM('수출입 실적(신성질별)'!C17),",","")),"")</f>
        <v>4270890.6</v>
      </c>
      <c r="G13" s="19" t="n">
        <f aca="false">IFERROR(VALUE(SUBSTITUTE(TRIM('수출입 실적(신성질별)'!D17),",","")),"")</f>
        <v>7536310</v>
      </c>
      <c r="H13" s="18" t="n">
        <f aca="false">IFERROR(VALUE(SUBSTITUTE(TRIM('수출입 실적(신성질별)'!E17),",","")),"")</f>
        <v>1961851.4</v>
      </c>
      <c r="I13" s="19" t="n">
        <f aca="false">IFERROR(VALUE(SUBSTITUTE(TRIM('수출입 실적(신성질별)'!F17),",","")),"")</f>
        <v>4943661</v>
      </c>
    </row>
    <row r="14" customFormat="false" ht="15" hidden="false" customHeight="true" outlineLevel="0" collapsed="false">
      <c r="A14" s="11" t="str">
        <f aca="false">TRIM('수출입 실적(신성질별)'!A18)</f>
        <v>2024.01</v>
      </c>
      <c r="B14" s="17" t="n">
        <f aca="false">IFERROR(VALUE(LEFT($A14,4)),"")</f>
        <v>2024</v>
      </c>
      <c r="C14" s="17" t="n">
        <f aca="false">IFERROR(VALUE(RIGHT($A14,2)),"")</f>
        <v>1</v>
      </c>
      <c r="D14" s="17" t="n">
        <f aca="false">IFERROR(ROUNDUP($C14/3,0),"")</f>
        <v>1</v>
      </c>
      <c r="E14" s="11" t="str">
        <f aca="false">TRIM('수출입 실적(신성질별)'!B18)</f>
        <v>바.기타 원자재</v>
      </c>
      <c r="F14" s="18" t="n">
        <f aca="false">IFERROR(VALUE(SUBSTITUTE(TRIM('수출입 실적(신성질별)'!C18),",","")),"")</f>
        <v>3390.1</v>
      </c>
      <c r="G14" s="19" t="n">
        <f aca="false">IFERROR(VALUE(SUBSTITUTE(TRIM('수출입 실적(신성질별)'!D18),",","")),"")</f>
        <v>12520</v>
      </c>
      <c r="H14" s="18" t="n">
        <f aca="false">IFERROR(VALUE(SUBSTITUTE(TRIM('수출입 실적(신성질별)'!E18),",","")),"")</f>
        <v>3377.7</v>
      </c>
      <c r="I14" s="19" t="n">
        <f aca="false">IFERROR(VALUE(SUBSTITUTE(TRIM('수출입 실적(신성질별)'!F18),",","")),"")</f>
        <v>6963</v>
      </c>
    </row>
    <row r="15" customFormat="false" ht="15" hidden="false" customHeight="true" outlineLevel="0" collapsed="false">
      <c r="A15" s="11" t="str">
        <f aca="false">TRIM('수출입 실적(신성질별)'!A19)</f>
        <v>2024.01</v>
      </c>
      <c r="B15" s="17" t="n">
        <f aca="false">IFERROR(VALUE(LEFT($A15,4)),"")</f>
        <v>2024</v>
      </c>
      <c r="C15" s="17" t="n">
        <f aca="false">IFERROR(VALUE(RIGHT($A15,2)),"")</f>
        <v>1</v>
      </c>
      <c r="D15" s="17" t="n">
        <f aca="false">IFERROR(ROUNDUP($C15/3,0),"")</f>
        <v>1</v>
      </c>
      <c r="E15" s="11" t="str">
        <f aca="false">TRIM('수출입 실적(신성질별)'!B19)</f>
        <v>3.자본재</v>
      </c>
      <c r="F15" s="18" t="n">
        <f aca="false">IFERROR(VALUE(SUBSTITUTE(TRIM('수출입 실적(신성질별)'!C19),",","")),"")</f>
        <v>2177323.5</v>
      </c>
      <c r="G15" s="19" t="n">
        <f aca="false">IFERROR(VALUE(SUBSTITUTE(TRIM('수출입 실적(신성질별)'!D19),",","")),"")</f>
        <v>28594152</v>
      </c>
      <c r="H15" s="18" t="n">
        <f aca="false">IFERROR(VALUE(SUBSTITUTE(TRIM('수출입 실적(신성질별)'!E19),",","")),"")</f>
        <v>725723.6</v>
      </c>
      <c r="I15" s="19" t="n">
        <f aca="false">IFERROR(VALUE(SUBSTITUTE(TRIM('수출입 실적(신성질별)'!F19),",","")),"")</f>
        <v>19032885</v>
      </c>
    </row>
    <row r="16" customFormat="false" ht="15" hidden="false" customHeight="true" outlineLevel="0" collapsed="false">
      <c r="A16" s="11" t="str">
        <f aca="false">TRIM('수출입 실적(신성질별)'!A20)</f>
        <v>2024.01</v>
      </c>
      <c r="B16" s="17" t="n">
        <f aca="false">IFERROR(VALUE(LEFT($A16,4)),"")</f>
        <v>2024</v>
      </c>
      <c r="C16" s="17" t="n">
        <f aca="false">IFERROR(VALUE(RIGHT($A16,2)),"")</f>
        <v>1</v>
      </c>
      <c r="D16" s="17" t="n">
        <f aca="false">IFERROR(ROUNDUP($C16/3,0),"")</f>
        <v>1</v>
      </c>
      <c r="E16" s="11" t="str">
        <f aca="false">TRIM('수출입 실적(신성질별)'!B20)</f>
        <v>가.수송장비</v>
      </c>
      <c r="F16" s="18" t="n">
        <f aca="false">IFERROR(VALUE(SUBSTITUTE(TRIM('수출입 실적(신성질별)'!C20),",","")),"")</f>
        <v>1461210</v>
      </c>
      <c r="G16" s="19" t="n">
        <f aca="false">IFERROR(VALUE(SUBSTITUTE(TRIM('수출입 실적(신성질별)'!D20),",","")),"")</f>
        <v>5981050</v>
      </c>
      <c r="H16" s="18" t="n">
        <f aca="false">IFERROR(VALUE(SUBSTITUTE(TRIM('수출입 실적(신성질별)'!E20),",","")),"")</f>
        <v>144518.4</v>
      </c>
      <c r="I16" s="19" t="n">
        <f aca="false">IFERROR(VALUE(SUBSTITUTE(TRIM('수출입 실적(신성질별)'!F20),",","")),"")</f>
        <v>1591298</v>
      </c>
    </row>
    <row r="17" customFormat="false" ht="15" hidden="false" customHeight="true" outlineLevel="0" collapsed="false">
      <c r="A17" s="11" t="str">
        <f aca="false">TRIM('수출입 실적(신성질별)'!A21)</f>
        <v>2024.01</v>
      </c>
      <c r="B17" s="17" t="n">
        <f aca="false">IFERROR(VALUE(LEFT($A17,4)),"")</f>
        <v>2024</v>
      </c>
      <c r="C17" s="17" t="n">
        <f aca="false">IFERROR(VALUE(RIGHT($A17,2)),"")</f>
        <v>1</v>
      </c>
      <c r="D17" s="17" t="n">
        <f aca="false">IFERROR(ROUNDUP($C17/3,0),"")</f>
        <v>1</v>
      </c>
      <c r="E17" s="11" t="str">
        <f aca="false">TRIM('수출입 실적(신성질별)'!B21)</f>
        <v>나.기계류</v>
      </c>
      <c r="F17" s="18" t="n">
        <f aca="false">IFERROR(VALUE(SUBSTITUTE(TRIM('수출입 실적(신성질별)'!C21),",","")),"")</f>
        <v>664512.2</v>
      </c>
      <c r="G17" s="19" t="n">
        <f aca="false">IFERROR(VALUE(SUBSTITUTE(TRIM('수출입 실적(신성질별)'!D21),",","")),"")</f>
        <v>8592906</v>
      </c>
      <c r="H17" s="18" t="n">
        <f aca="false">IFERROR(VALUE(SUBSTITUTE(TRIM('수출입 실적(신성질별)'!E21),",","")),"")</f>
        <v>523561</v>
      </c>
      <c r="I17" s="19" t="n">
        <f aca="false">IFERROR(VALUE(SUBSTITUTE(TRIM('수출입 실적(신성질별)'!F21),",","")),"")</f>
        <v>7965930</v>
      </c>
    </row>
    <row r="18" customFormat="false" ht="15" hidden="false" customHeight="true" outlineLevel="0" collapsed="false">
      <c r="A18" s="11" t="str">
        <f aca="false">TRIM('수출입 실적(신성질별)'!A22)</f>
        <v>2024.01</v>
      </c>
      <c r="B18" s="17" t="n">
        <f aca="false">IFERROR(VALUE(LEFT($A18,4)),"")</f>
        <v>2024</v>
      </c>
      <c r="C18" s="17" t="n">
        <f aca="false">IFERROR(VALUE(RIGHT($A18,2)),"")</f>
        <v>1</v>
      </c>
      <c r="D18" s="17" t="n">
        <f aca="false">IFERROR(ROUNDUP($C18/3,0),"")</f>
        <v>1</v>
      </c>
      <c r="E18" s="11" t="str">
        <f aca="false">TRIM('수출입 실적(신성질별)'!B22)</f>
        <v>다.IT제품</v>
      </c>
      <c r="F18" s="18" t="n">
        <f aca="false">IFERROR(VALUE(SUBSTITUTE(TRIM('수출입 실적(신성질별)'!C22),",","")),"")</f>
        <v>13870.7</v>
      </c>
      <c r="G18" s="19" t="n">
        <f aca="false">IFERROR(VALUE(SUBSTITUTE(TRIM('수출입 실적(신성질별)'!D22),",","")),"")</f>
        <v>3114163</v>
      </c>
      <c r="H18" s="18" t="n">
        <f aca="false">IFERROR(VALUE(SUBSTITUTE(TRIM('수출입 실적(신성질별)'!E22),",","")),"")</f>
        <v>22996.7</v>
      </c>
      <c r="I18" s="19" t="n">
        <f aca="false">IFERROR(VALUE(SUBSTITUTE(TRIM('수출입 실적(신성질별)'!F22),",","")),"")</f>
        <v>3006470</v>
      </c>
    </row>
    <row r="19" customFormat="false" ht="15" hidden="false" customHeight="true" outlineLevel="0" collapsed="false">
      <c r="A19" s="11" t="str">
        <f aca="false">TRIM('수출입 실적(신성질별)'!A23)</f>
        <v>2024.01</v>
      </c>
      <c r="B19" s="17" t="n">
        <f aca="false">IFERROR(VALUE(LEFT($A19,4)),"")</f>
        <v>2024</v>
      </c>
      <c r="C19" s="17" t="n">
        <f aca="false">IFERROR(VALUE(RIGHT($A19,2)),"")</f>
        <v>1</v>
      </c>
      <c r="D19" s="17" t="n">
        <f aca="false">IFERROR(ROUNDUP($C19/3,0),"")</f>
        <v>1</v>
      </c>
      <c r="E19" s="11" t="str">
        <f aca="false">TRIM('수출입 실적(신성질별)'!B23)</f>
        <v>라.IT부품</v>
      </c>
      <c r="F19" s="18" t="n">
        <f aca="false">IFERROR(VALUE(SUBSTITUTE(TRIM('수출입 실적(신성질별)'!C23),",","")),"")</f>
        <v>37730.7</v>
      </c>
      <c r="G19" s="19" t="n">
        <f aca="false">IFERROR(VALUE(SUBSTITUTE(TRIM('수출입 실적(신성질별)'!D23),",","")),"")</f>
        <v>10906032</v>
      </c>
      <c r="H19" s="18" t="n">
        <f aca="false">IFERROR(VALUE(SUBSTITUTE(TRIM('수출입 실적(신성질별)'!E23),",","")),"")</f>
        <v>34647.4</v>
      </c>
      <c r="I19" s="19" t="n">
        <f aca="false">IFERROR(VALUE(SUBSTITUTE(TRIM('수출입 실적(신성질별)'!F23),",","")),"")</f>
        <v>6469187</v>
      </c>
    </row>
    <row r="20" customFormat="false" ht="15" hidden="false" customHeight="true" outlineLevel="0" collapsed="false">
      <c r="A20" s="11" t="str">
        <f aca="false">TRIM('수출입 실적(신성질별)'!A24)</f>
        <v>2024.02</v>
      </c>
      <c r="B20" s="17" t="n">
        <f aca="false">IFERROR(VALUE(LEFT($A20,4)),"")</f>
        <v>2024</v>
      </c>
      <c r="C20" s="17" t="n">
        <f aca="false">IFERROR(VALUE(RIGHT($A20,2)),"")</f>
        <v>2</v>
      </c>
      <c r="D20" s="17" t="n">
        <f aca="false">IFERROR(ROUNDUP($C20/3,0),"")</f>
        <v>1</v>
      </c>
      <c r="E20" s="11" t="str">
        <f aca="false">TRIM('수출입 실적(신성질별)'!B24)</f>
        <v>1.소비재</v>
      </c>
      <c r="F20" s="18" t="n">
        <f aca="false">IFERROR(VALUE(SUBSTITUTE(TRIM('수출입 실적(신성질별)'!C24),",","")),"")</f>
        <v>813761.8</v>
      </c>
      <c r="G20" s="19" t="n">
        <f aca="false">IFERROR(VALUE(SUBSTITUTE(TRIM('수출입 실적(신성질별)'!D24),",","")),"")</f>
        <v>7463027</v>
      </c>
      <c r="H20" s="18" t="n">
        <f aca="false">IFERROR(VALUE(SUBSTITUTE(TRIM('수출입 실적(신성질별)'!E24),",","")),"")</f>
        <v>1762160.8</v>
      </c>
      <c r="I20" s="19" t="n">
        <f aca="false">IFERROR(VALUE(SUBSTITUTE(TRIM('수출입 실적(신성질별)'!F24),",","")),"")</f>
        <v>6298555</v>
      </c>
    </row>
    <row r="21" customFormat="false" ht="15" hidden="false" customHeight="true" outlineLevel="0" collapsed="false">
      <c r="A21" s="11" t="str">
        <f aca="false">TRIM('수출입 실적(신성질별)'!A25)</f>
        <v>2024.02</v>
      </c>
      <c r="B21" s="17" t="n">
        <f aca="false">IFERROR(VALUE(LEFT($A21,4)),"")</f>
        <v>2024</v>
      </c>
      <c r="C21" s="17" t="n">
        <f aca="false">IFERROR(VALUE(RIGHT($A21,2)),"")</f>
        <v>2</v>
      </c>
      <c r="D21" s="17" t="n">
        <f aca="false">IFERROR(ROUNDUP($C21/3,0),"")</f>
        <v>1</v>
      </c>
      <c r="E21" s="11" t="str">
        <f aca="false">TRIM('수출입 실적(신성질별)'!B25)</f>
        <v>가.직접소비재</v>
      </c>
      <c r="F21" s="18" t="n">
        <f aca="false">IFERROR(VALUE(SUBSTITUTE(TRIM('수출입 실적(신성질별)'!C25),",","")),"")</f>
        <v>242975</v>
      </c>
      <c r="G21" s="19" t="n">
        <f aca="false">IFERROR(VALUE(SUBSTITUTE(TRIM('수출입 실적(신성질별)'!D25),",","")),"")</f>
        <v>798960</v>
      </c>
      <c r="H21" s="18" t="n">
        <f aca="false">IFERROR(VALUE(SUBSTITUTE(TRIM('수출입 실적(신성질별)'!E25),",","")),"")</f>
        <v>1463840.5</v>
      </c>
      <c r="I21" s="19" t="n">
        <f aca="false">IFERROR(VALUE(SUBSTITUTE(TRIM('수출입 실적(신성질별)'!F25),",","")),"")</f>
        <v>2270601</v>
      </c>
    </row>
    <row r="22" customFormat="false" ht="15" hidden="false" customHeight="true" outlineLevel="0" collapsed="false">
      <c r="A22" s="11" t="str">
        <f aca="false">TRIM('수출입 실적(신성질별)'!A26)</f>
        <v>2024.02</v>
      </c>
      <c r="B22" s="17" t="n">
        <f aca="false">IFERROR(VALUE(LEFT($A22,4)),"")</f>
        <v>2024</v>
      </c>
      <c r="C22" s="17" t="n">
        <f aca="false">IFERROR(VALUE(RIGHT($A22,2)),"")</f>
        <v>2</v>
      </c>
      <c r="D22" s="17" t="n">
        <f aca="false">IFERROR(ROUNDUP($C22/3,0),"")</f>
        <v>1</v>
      </c>
      <c r="E22" s="11" t="str">
        <f aca="false">TRIM('수출입 실적(신성질별)'!B26)</f>
        <v>나.내구소비재</v>
      </c>
      <c r="F22" s="18" t="n">
        <f aca="false">IFERROR(VALUE(SUBSTITUTE(TRIM('수출입 실적(신성질별)'!C26),",","")),"")</f>
        <v>424949.4</v>
      </c>
      <c r="G22" s="19" t="n">
        <f aca="false">IFERROR(VALUE(SUBSTITUTE(TRIM('수출입 실적(신성질별)'!D26),",","")),"")</f>
        <v>5305583</v>
      </c>
      <c r="H22" s="18" t="n">
        <f aca="false">IFERROR(VALUE(SUBSTITUTE(TRIM('수출입 실적(신성질별)'!E26),",","")),"")</f>
        <v>172143.4</v>
      </c>
      <c r="I22" s="19" t="n">
        <f aca="false">IFERROR(VALUE(SUBSTITUTE(TRIM('수출입 실적(신성질별)'!F26),",","")),"")</f>
        <v>1974611</v>
      </c>
    </row>
    <row r="23" customFormat="false" ht="15" hidden="false" customHeight="true" outlineLevel="0" collapsed="false">
      <c r="A23" s="11" t="str">
        <f aca="false">TRIM('수출입 실적(신성질별)'!A27)</f>
        <v>2024.02</v>
      </c>
      <c r="B23" s="17" t="n">
        <f aca="false">IFERROR(VALUE(LEFT($A23,4)),"")</f>
        <v>2024</v>
      </c>
      <c r="C23" s="17" t="n">
        <f aca="false">IFERROR(VALUE(RIGHT($A23,2)),"")</f>
        <v>2</v>
      </c>
      <c r="D23" s="17" t="n">
        <f aca="false">IFERROR(ROUNDUP($C23/3,0),"")</f>
        <v>1</v>
      </c>
      <c r="E23" s="11" t="str">
        <f aca="false">TRIM('수출입 실적(신성질별)'!B27)</f>
        <v>다.비내구소비재</v>
      </c>
      <c r="F23" s="18" t="n">
        <f aca="false">IFERROR(VALUE(SUBSTITUTE(TRIM('수출입 실적(신성질별)'!C27),",","")),"")</f>
        <v>142979.2</v>
      </c>
      <c r="G23" s="19" t="n">
        <f aca="false">IFERROR(VALUE(SUBSTITUTE(TRIM('수출입 실적(신성질별)'!D27),",","")),"")</f>
        <v>1354601</v>
      </c>
      <c r="H23" s="18" t="n">
        <f aca="false">IFERROR(VALUE(SUBSTITUTE(TRIM('수출입 실적(신성질별)'!E27),",","")),"")</f>
        <v>126167.9</v>
      </c>
      <c r="I23" s="19" t="n">
        <f aca="false">IFERROR(VALUE(SUBSTITUTE(TRIM('수출입 실적(신성질별)'!F27),",","")),"")</f>
        <v>2053344</v>
      </c>
    </row>
    <row r="24" customFormat="false" ht="15" hidden="false" customHeight="true" outlineLevel="0" collapsed="false">
      <c r="A24" s="11" t="str">
        <f aca="false">TRIM('수출입 실적(신성질별)'!A28)</f>
        <v>2024.02</v>
      </c>
      <c r="B24" s="17" t="n">
        <f aca="false">IFERROR(VALUE(LEFT($A24,4)),"")</f>
        <v>2024</v>
      </c>
      <c r="C24" s="17" t="n">
        <f aca="false">IFERROR(VALUE(RIGHT($A24,2)),"")</f>
        <v>2</v>
      </c>
      <c r="D24" s="17" t="n">
        <f aca="false">IFERROR(ROUNDUP($C24/3,0),"")</f>
        <v>1</v>
      </c>
      <c r="E24" s="11" t="str">
        <f aca="false">TRIM('수출입 실적(신성질별)'!B28)</f>
        <v>라.간이세율적용분</v>
      </c>
      <c r="F24" s="18" t="n">
        <f aca="false">IFERROR(VALUE(SUBSTITUTE(TRIM('수출입 실적(신성질별)'!C28),",","")),"")</f>
        <v>2858.2</v>
      </c>
      <c r="G24" s="19" t="n">
        <f aca="false">IFERROR(VALUE(SUBSTITUTE(TRIM('수출입 실적(신성질별)'!D28),",","")),"")</f>
        <v>3883</v>
      </c>
      <c r="H24" s="18" t="n">
        <f aca="false">IFERROR(VALUE(SUBSTITUTE(TRIM('수출입 실적(신성질별)'!E28),",","")),"")</f>
        <v>9</v>
      </c>
      <c r="I24" s="19" t="n">
        <f aca="false">IFERROR(VALUE(SUBSTITUTE(TRIM('수출입 실적(신성질별)'!F28),",","")),"")</f>
        <v>0</v>
      </c>
    </row>
    <row r="25" customFormat="false" ht="15" hidden="false" customHeight="true" outlineLevel="0" collapsed="false">
      <c r="A25" s="11" t="str">
        <f aca="false">TRIM('수출입 실적(신성질별)'!A29)</f>
        <v>2024.02</v>
      </c>
      <c r="B25" s="17" t="n">
        <f aca="false">IFERROR(VALUE(LEFT($A25,4)),"")</f>
        <v>2024</v>
      </c>
      <c r="C25" s="17" t="n">
        <f aca="false">IFERROR(VALUE(RIGHT($A25,2)),"")</f>
        <v>2</v>
      </c>
      <c r="D25" s="17" t="n">
        <f aca="false">IFERROR(ROUNDUP($C25/3,0),"")</f>
        <v>1</v>
      </c>
      <c r="E25" s="11" t="str">
        <f aca="false">TRIM('수출입 실적(신성질별)'!B29)</f>
        <v>2.원자재</v>
      </c>
      <c r="F25" s="18" t="n">
        <f aca="false">IFERROR(VALUE(SUBSTITUTE(TRIM('수출입 실적(신성질별)'!C29),",","")),"")</f>
        <v>13246526.7</v>
      </c>
      <c r="G25" s="19" t="n">
        <f aca="false">IFERROR(VALUE(SUBSTITUTE(TRIM('수출입 실적(신성질별)'!D29),",","")),"")</f>
        <v>16695241</v>
      </c>
      <c r="H25" s="18" t="n">
        <f aca="false">IFERROR(VALUE(SUBSTITUTE(TRIM('수출입 실적(신성질별)'!E29),",","")),"")</f>
        <v>43227855</v>
      </c>
      <c r="I25" s="19" t="n">
        <f aca="false">IFERROR(VALUE(SUBSTITUTE(TRIM('수출입 실적(신성질별)'!F29),",","")),"")</f>
        <v>24762496</v>
      </c>
    </row>
    <row r="26" customFormat="false" ht="15" hidden="false" customHeight="true" outlineLevel="0" collapsed="false">
      <c r="A26" s="11" t="str">
        <f aca="false">TRIM('수출입 실적(신성질별)'!A30)</f>
        <v>2024.02</v>
      </c>
      <c r="B26" s="17" t="n">
        <f aca="false">IFERROR(VALUE(LEFT($A26,4)),"")</f>
        <v>2024</v>
      </c>
      <c r="C26" s="17" t="n">
        <f aca="false">IFERROR(VALUE(RIGHT($A26,2)),"")</f>
        <v>2</v>
      </c>
      <c r="D26" s="17" t="n">
        <f aca="false">IFERROR(ROUNDUP($C26/3,0),"")</f>
        <v>1</v>
      </c>
      <c r="E26" s="11" t="str">
        <f aca="false">TRIM('수출입 실적(신성질별)'!B30)</f>
        <v>가.동식물성 연·원료</v>
      </c>
      <c r="F26" s="18" t="n">
        <f aca="false">IFERROR(VALUE(SUBSTITUTE(TRIM('수출입 실적(신성질별)'!C30),",","")),"")</f>
        <v>350231.7</v>
      </c>
      <c r="G26" s="19" t="n">
        <f aca="false">IFERROR(VALUE(SUBSTITUTE(TRIM('수출입 실적(신성질별)'!D30),",","")),"")</f>
        <v>419191</v>
      </c>
      <c r="H26" s="18" t="n">
        <f aca="false">IFERROR(VALUE(SUBSTITUTE(TRIM('수출입 실적(신성질별)'!E30),",","")),"")</f>
        <v>2723807.4</v>
      </c>
      <c r="I26" s="19" t="n">
        <f aca="false">IFERROR(VALUE(SUBSTITUTE(TRIM('수출입 실적(신성질별)'!F30),",","")),"")</f>
        <v>1374564</v>
      </c>
    </row>
    <row r="27" customFormat="false" ht="15" hidden="false" customHeight="true" outlineLevel="0" collapsed="false">
      <c r="A27" s="11" t="str">
        <f aca="false">TRIM('수출입 실적(신성질별)'!A31)</f>
        <v>2024.02</v>
      </c>
      <c r="B27" s="17" t="n">
        <f aca="false">IFERROR(VALUE(LEFT($A27,4)),"")</f>
        <v>2024</v>
      </c>
      <c r="C27" s="17" t="n">
        <f aca="false">IFERROR(VALUE(RIGHT($A27,2)),"")</f>
        <v>2</v>
      </c>
      <c r="D27" s="17" t="n">
        <f aca="false">IFERROR(ROUNDUP($C27/3,0),"")</f>
        <v>1</v>
      </c>
      <c r="E27" s="11" t="str">
        <f aca="false">TRIM('수출입 실적(신성질별)'!B31)</f>
        <v>나.섬유류</v>
      </c>
      <c r="F27" s="18" t="n">
        <f aca="false">IFERROR(VALUE(SUBSTITUTE(TRIM('수출입 실적(신성질별)'!C31),",","")),"")</f>
        <v>123209.8</v>
      </c>
      <c r="G27" s="19" t="n">
        <f aca="false">IFERROR(VALUE(SUBSTITUTE(TRIM('수출입 실적(신성질별)'!D31),",","")),"")</f>
        <v>601139</v>
      </c>
      <c r="H27" s="18" t="n">
        <f aca="false">IFERROR(VALUE(SUBSTITUTE(TRIM('수출입 실적(신성질별)'!E31),",","")),"")</f>
        <v>85825.6</v>
      </c>
      <c r="I27" s="19" t="n">
        <f aca="false">IFERROR(VALUE(SUBSTITUTE(TRIM('수출입 실적(신성질별)'!F31),",","")),"")</f>
        <v>286614</v>
      </c>
    </row>
    <row r="28" customFormat="false" ht="15" hidden="false" customHeight="true" outlineLevel="0" collapsed="false">
      <c r="A28" s="11" t="str">
        <f aca="false">TRIM('수출입 실적(신성질별)'!A32)</f>
        <v>2024.02</v>
      </c>
      <c r="B28" s="17" t="n">
        <f aca="false">IFERROR(VALUE(LEFT($A28,4)),"")</f>
        <v>2024</v>
      </c>
      <c r="C28" s="17" t="n">
        <f aca="false">IFERROR(VALUE(RIGHT($A28,2)),"")</f>
        <v>2</v>
      </c>
      <c r="D28" s="17" t="n">
        <f aca="false">IFERROR(ROUNDUP($C28/3,0),"")</f>
        <v>1</v>
      </c>
      <c r="E28" s="11" t="str">
        <f aca="false">TRIM('수출입 실적(신성질별)'!B32)</f>
        <v>다.광산물</v>
      </c>
      <c r="F28" s="18" t="n">
        <f aca="false">IFERROR(VALUE(SUBSTITUTE(TRIM('수출입 실적(신성질별)'!C32),",","")),"")</f>
        <v>6182109.3</v>
      </c>
      <c r="G28" s="19" t="n">
        <f aca="false">IFERROR(VALUE(SUBSTITUTE(TRIM('수출입 실적(신성질별)'!D32),",","")),"")</f>
        <v>5096884</v>
      </c>
      <c r="H28" s="18" t="n">
        <f aca="false">IFERROR(VALUE(SUBSTITUTE(TRIM('수출입 실적(신성질별)'!E32),",","")),"")</f>
        <v>36842006.1</v>
      </c>
      <c r="I28" s="19" t="n">
        <f aca="false">IFERROR(VALUE(SUBSTITUTE(TRIM('수출입 실적(신성질별)'!F32),",","")),"")</f>
        <v>16032582</v>
      </c>
    </row>
    <row r="29" customFormat="false" ht="15" hidden="false" customHeight="true" outlineLevel="0" collapsed="false">
      <c r="A29" s="11" t="str">
        <f aca="false">TRIM('수출입 실적(신성질별)'!A33)</f>
        <v>2024.02</v>
      </c>
      <c r="B29" s="17" t="n">
        <f aca="false">IFERROR(VALUE(LEFT($A29,4)),"")</f>
        <v>2024</v>
      </c>
      <c r="C29" s="17" t="n">
        <f aca="false">IFERROR(VALUE(RIGHT($A29,2)),"")</f>
        <v>2</v>
      </c>
      <c r="D29" s="17" t="n">
        <f aca="false">IFERROR(ROUNDUP($C29/3,0),"")</f>
        <v>1</v>
      </c>
      <c r="E29" s="11" t="str">
        <f aca="false">TRIM('수출입 실적(신성질별)'!B33)</f>
        <v>라.철강 및 금속제품</v>
      </c>
      <c r="F29" s="18" t="n">
        <f aca="false">IFERROR(VALUE(SUBSTITUTE(TRIM('수출입 실적(신성질별)'!C33),",","")),"")</f>
        <v>2472033.8</v>
      </c>
      <c r="G29" s="19" t="n">
        <f aca="false">IFERROR(VALUE(SUBSTITUTE(TRIM('수출입 실적(신성질별)'!D33),",","")),"")</f>
        <v>3167040</v>
      </c>
      <c r="H29" s="18" t="n">
        <f aca="false">IFERROR(VALUE(SUBSTITUTE(TRIM('수출입 실적(신성질별)'!E33),",","")),"")</f>
        <v>1914587.9</v>
      </c>
      <c r="I29" s="19" t="n">
        <f aca="false">IFERROR(VALUE(SUBSTITUTE(TRIM('수출입 실적(신성질별)'!F33),",","")),"")</f>
        <v>2696453</v>
      </c>
    </row>
    <row r="30" customFormat="false" ht="15" hidden="false" customHeight="true" outlineLevel="0" collapsed="false">
      <c r="A30" s="11" t="str">
        <f aca="false">TRIM('수출입 실적(신성질별)'!A34)</f>
        <v>2024.02</v>
      </c>
      <c r="B30" s="17" t="n">
        <f aca="false">IFERROR(VALUE(LEFT($A30,4)),"")</f>
        <v>2024</v>
      </c>
      <c r="C30" s="17" t="n">
        <f aca="false">IFERROR(VALUE(RIGHT($A30,2)),"")</f>
        <v>2</v>
      </c>
      <c r="D30" s="17" t="n">
        <f aca="false">IFERROR(ROUNDUP($C30/3,0),"")</f>
        <v>1</v>
      </c>
      <c r="E30" s="11" t="str">
        <f aca="false">TRIM('수출입 실적(신성질별)'!B34)</f>
        <v>마.화학공업제품</v>
      </c>
      <c r="F30" s="18" t="n">
        <f aca="false">IFERROR(VALUE(SUBSTITUTE(TRIM('수출입 실적(신성질별)'!C34),",","")),"")</f>
        <v>4116098</v>
      </c>
      <c r="G30" s="19" t="n">
        <f aca="false">IFERROR(VALUE(SUBSTITUTE(TRIM('수출입 실적(신성질별)'!D34),",","")),"")</f>
        <v>7400218</v>
      </c>
      <c r="H30" s="18" t="n">
        <f aca="false">IFERROR(VALUE(SUBSTITUTE(TRIM('수출입 실적(신성질별)'!E34),",","")),"")</f>
        <v>1659318.6</v>
      </c>
      <c r="I30" s="19" t="n">
        <f aca="false">IFERROR(VALUE(SUBSTITUTE(TRIM('수출입 실적(신성질별)'!F34),",","")),"")</f>
        <v>4366251</v>
      </c>
    </row>
    <row r="31" customFormat="false" ht="15" hidden="false" customHeight="true" outlineLevel="0" collapsed="false">
      <c r="A31" s="11" t="str">
        <f aca="false">TRIM('수출입 실적(신성질별)'!A35)</f>
        <v>2024.02</v>
      </c>
      <c r="B31" s="17" t="n">
        <f aca="false">IFERROR(VALUE(LEFT($A31,4)),"")</f>
        <v>2024</v>
      </c>
      <c r="C31" s="17" t="n">
        <f aca="false">IFERROR(VALUE(RIGHT($A31,2)),"")</f>
        <v>2</v>
      </c>
      <c r="D31" s="17" t="n">
        <f aca="false">IFERROR(ROUNDUP($C31/3,0),"")</f>
        <v>1</v>
      </c>
      <c r="E31" s="11" t="str">
        <f aca="false">TRIM('수출입 실적(신성질별)'!B35)</f>
        <v>바.기타 원자재</v>
      </c>
      <c r="F31" s="18" t="n">
        <f aca="false">IFERROR(VALUE(SUBSTITUTE(TRIM('수출입 실적(신성질별)'!C35),",","")),"")</f>
        <v>2844.1</v>
      </c>
      <c r="G31" s="19" t="n">
        <f aca="false">IFERROR(VALUE(SUBSTITUTE(TRIM('수출입 실적(신성질별)'!D35),",","")),"")</f>
        <v>10768</v>
      </c>
      <c r="H31" s="18" t="n">
        <f aca="false">IFERROR(VALUE(SUBSTITUTE(TRIM('수출입 실적(신성질별)'!E35),",","")),"")</f>
        <v>2309.4</v>
      </c>
      <c r="I31" s="19" t="n">
        <f aca="false">IFERROR(VALUE(SUBSTITUTE(TRIM('수출입 실적(신성질별)'!F35),",","")),"")</f>
        <v>6031</v>
      </c>
    </row>
    <row r="32" customFormat="false" ht="15" hidden="false" customHeight="true" outlineLevel="0" collapsed="false">
      <c r="A32" s="11" t="str">
        <f aca="false">TRIM('수출입 실적(신성질별)'!A36)</f>
        <v>2024.02</v>
      </c>
      <c r="B32" s="17" t="n">
        <f aca="false">IFERROR(VALUE(LEFT($A32,4)),"")</f>
        <v>2024</v>
      </c>
      <c r="C32" s="17" t="n">
        <f aca="false">IFERROR(VALUE(RIGHT($A32,2)),"")</f>
        <v>2</v>
      </c>
      <c r="D32" s="17" t="n">
        <f aca="false">IFERROR(ROUNDUP($C32/3,0),"")</f>
        <v>1</v>
      </c>
      <c r="E32" s="11" t="str">
        <f aca="false">TRIM('수출입 실적(신성질별)'!B36)</f>
        <v>3.자본재</v>
      </c>
      <c r="F32" s="18" t="n">
        <f aca="false">IFERROR(VALUE(SUBSTITUTE(TRIM('수출입 실적(신성질별)'!C36),",","")),"")</f>
        <v>1618697.3</v>
      </c>
      <c r="G32" s="19" t="n">
        <f aca="false">IFERROR(VALUE(SUBSTITUTE(TRIM('수출입 실적(신성질별)'!D36),",","")),"")</f>
        <v>27918122</v>
      </c>
      <c r="H32" s="18" t="n">
        <f aca="false">IFERROR(VALUE(SUBSTITUTE(TRIM('수출입 실적(신성질별)'!E36),",","")),"")</f>
        <v>699868</v>
      </c>
      <c r="I32" s="19" t="n">
        <f aca="false">IFERROR(VALUE(SUBSTITUTE(TRIM('수출입 실적(신성질별)'!F36),",","")),"")</f>
        <v>17160810</v>
      </c>
    </row>
    <row r="33" customFormat="false" ht="15" hidden="false" customHeight="true" outlineLevel="0" collapsed="false">
      <c r="A33" s="11" t="str">
        <f aca="false">TRIM('수출입 실적(신성질별)'!A37)</f>
        <v>2024.02</v>
      </c>
      <c r="B33" s="17" t="n">
        <f aca="false">IFERROR(VALUE(LEFT($A33,4)),"")</f>
        <v>2024</v>
      </c>
      <c r="C33" s="17" t="n">
        <f aca="false">IFERROR(VALUE(RIGHT($A33,2)),"")</f>
        <v>2</v>
      </c>
      <c r="D33" s="17" t="n">
        <f aca="false">IFERROR(ROUNDUP($C33/3,0),"")</f>
        <v>1</v>
      </c>
      <c r="E33" s="11" t="str">
        <f aca="false">TRIM('수출입 실적(신성질별)'!B37)</f>
        <v>가.수송장비</v>
      </c>
      <c r="F33" s="18" t="n">
        <f aca="false">IFERROR(VALUE(SUBSTITUTE(TRIM('수출입 실적(신성질별)'!C37),",","")),"")</f>
        <v>856532.3</v>
      </c>
      <c r="G33" s="19" t="n">
        <f aca="false">IFERROR(VALUE(SUBSTITUTE(TRIM('수출입 실적(신성질별)'!D37),",","")),"")</f>
        <v>5103018</v>
      </c>
      <c r="H33" s="18" t="n">
        <f aca="false">IFERROR(VALUE(SUBSTITUTE(TRIM('수출입 실적(신성질별)'!E37),",","")),"")</f>
        <v>230776.4</v>
      </c>
      <c r="I33" s="19" t="n">
        <f aca="false">IFERROR(VALUE(SUBSTITUTE(TRIM('수출입 실적(신성질별)'!F37),",","")),"")</f>
        <v>1705020</v>
      </c>
    </row>
    <row r="34" customFormat="false" ht="15" hidden="false" customHeight="true" outlineLevel="0" collapsed="false">
      <c r="A34" s="11" t="str">
        <f aca="false">TRIM('수출입 실적(신성질별)'!A38)</f>
        <v>2024.02</v>
      </c>
      <c r="B34" s="17" t="n">
        <f aca="false">IFERROR(VALUE(LEFT($A34,4)),"")</f>
        <v>2024</v>
      </c>
      <c r="C34" s="17" t="n">
        <f aca="false">IFERROR(VALUE(RIGHT($A34,2)),"")</f>
        <v>2</v>
      </c>
      <c r="D34" s="17" t="n">
        <f aca="false">IFERROR(ROUNDUP($C34/3,0),"")</f>
        <v>1</v>
      </c>
      <c r="E34" s="11" t="str">
        <f aca="false">TRIM('수출입 실적(신성질별)'!B38)</f>
        <v>나.기계류</v>
      </c>
      <c r="F34" s="18" t="n">
        <f aca="false">IFERROR(VALUE(SUBSTITUTE(TRIM('수출입 실적(신성질별)'!C38),",","")),"")</f>
        <v>716606.1</v>
      </c>
      <c r="G34" s="19" t="n">
        <f aca="false">IFERROR(VALUE(SUBSTITUTE(TRIM('수출입 실적(신성질별)'!D38),",","")),"")</f>
        <v>8669058</v>
      </c>
      <c r="H34" s="18" t="n">
        <f aca="false">IFERROR(VALUE(SUBSTITUTE(TRIM('수출입 실적(신성질별)'!E38),",","")),"")</f>
        <v>426765.1</v>
      </c>
      <c r="I34" s="19" t="n">
        <f aca="false">IFERROR(VALUE(SUBSTITUTE(TRIM('수출입 실적(신성질별)'!F38),",","")),"")</f>
        <v>7211811</v>
      </c>
    </row>
    <row r="35" customFormat="false" ht="15" hidden="false" customHeight="true" outlineLevel="0" collapsed="false">
      <c r="A35" s="11" t="str">
        <f aca="false">TRIM('수출입 실적(신성질별)'!A39)</f>
        <v>2024.02</v>
      </c>
      <c r="B35" s="17" t="n">
        <f aca="false">IFERROR(VALUE(LEFT($A35,4)),"")</f>
        <v>2024</v>
      </c>
      <c r="C35" s="17" t="n">
        <f aca="false">IFERROR(VALUE(RIGHT($A35,2)),"")</f>
        <v>2</v>
      </c>
      <c r="D35" s="17" t="n">
        <f aca="false">IFERROR(ROUNDUP($C35/3,0),"")</f>
        <v>1</v>
      </c>
      <c r="E35" s="11" t="str">
        <f aca="false">TRIM('수출입 실적(신성질별)'!B39)</f>
        <v>다.IT제품</v>
      </c>
      <c r="F35" s="18" t="n">
        <f aca="false">IFERROR(VALUE(SUBSTITUTE(TRIM('수출입 실적(신성질별)'!C39),",","")),"")</f>
        <v>13233.5</v>
      </c>
      <c r="G35" s="19" t="n">
        <f aca="false">IFERROR(VALUE(SUBSTITUTE(TRIM('수출입 실적(신성질별)'!D39),",","")),"")</f>
        <v>2808720</v>
      </c>
      <c r="H35" s="18" t="n">
        <f aca="false">IFERROR(VALUE(SUBSTITUTE(TRIM('수출입 실적(신성질별)'!E39),",","")),"")</f>
        <v>16381.9</v>
      </c>
      <c r="I35" s="19" t="n">
        <f aca="false">IFERROR(VALUE(SUBSTITUTE(TRIM('수출입 실적(신성질별)'!F39),",","")),"")</f>
        <v>2040304</v>
      </c>
    </row>
    <row r="36" customFormat="false" ht="15" hidden="false" customHeight="true" outlineLevel="0" collapsed="false">
      <c r="A36" s="11" t="str">
        <f aca="false">TRIM('수출입 실적(신성질별)'!A40)</f>
        <v>2024.02</v>
      </c>
      <c r="B36" s="17" t="n">
        <f aca="false">IFERROR(VALUE(LEFT($A36,4)),"")</f>
        <v>2024</v>
      </c>
      <c r="C36" s="17" t="n">
        <f aca="false">IFERROR(VALUE(RIGHT($A36,2)),"")</f>
        <v>2</v>
      </c>
      <c r="D36" s="17" t="n">
        <f aca="false">IFERROR(ROUNDUP($C36/3,0),"")</f>
        <v>1</v>
      </c>
      <c r="E36" s="11" t="str">
        <f aca="false">TRIM('수출입 실적(신성질별)'!B40)</f>
        <v>라.IT부품</v>
      </c>
      <c r="F36" s="18" t="n">
        <f aca="false">IFERROR(VALUE(SUBSTITUTE(TRIM('수출입 실적(신성질별)'!C40),",","")),"")</f>
        <v>32325.4</v>
      </c>
      <c r="G36" s="19" t="n">
        <f aca="false">IFERROR(VALUE(SUBSTITUTE(TRIM('수출입 실적(신성질별)'!D40),",","")),"")</f>
        <v>11337326</v>
      </c>
      <c r="H36" s="18" t="n">
        <f aca="false">IFERROR(VALUE(SUBSTITUTE(TRIM('수출입 실적(신성질별)'!E40),",","")),"")</f>
        <v>25944.6</v>
      </c>
      <c r="I36" s="19" t="n">
        <f aca="false">IFERROR(VALUE(SUBSTITUTE(TRIM('수출입 실적(신성질별)'!F40),",","")),"")</f>
        <v>6203675</v>
      </c>
    </row>
    <row r="37" customFormat="false" ht="15" hidden="false" customHeight="true" outlineLevel="0" collapsed="false">
      <c r="A37" s="11" t="str">
        <f aca="false">TRIM('수출입 실적(신성질별)'!A41)</f>
        <v>2024.03</v>
      </c>
      <c r="B37" s="17" t="n">
        <f aca="false">IFERROR(VALUE(LEFT($A37,4)),"")</f>
        <v>2024</v>
      </c>
      <c r="C37" s="17" t="n">
        <f aca="false">IFERROR(VALUE(RIGHT($A37,2)),"")</f>
        <v>3</v>
      </c>
      <c r="D37" s="17" t="n">
        <f aca="false">IFERROR(ROUNDUP($C37/3,0),"")</f>
        <v>1</v>
      </c>
      <c r="E37" s="11" t="str">
        <f aca="false">TRIM('수출입 실적(신성질별)'!B41)</f>
        <v>1.소비재</v>
      </c>
      <c r="F37" s="18" t="n">
        <f aca="false">IFERROR(VALUE(SUBSTITUTE(TRIM('수출입 실적(신성질별)'!C41),",","")),"")</f>
        <v>903388.2</v>
      </c>
      <c r="G37" s="19" t="n">
        <f aca="false">IFERROR(VALUE(SUBSTITUTE(TRIM('수출입 실적(신성질별)'!D41),",","")),"")</f>
        <v>8578703</v>
      </c>
      <c r="H37" s="18" t="n">
        <f aca="false">IFERROR(VALUE(SUBSTITUTE(TRIM('수출입 실적(신성질별)'!E41),",","")),"")</f>
        <v>2174396.7</v>
      </c>
      <c r="I37" s="19" t="n">
        <f aca="false">IFERROR(VALUE(SUBSTITUTE(TRIM('수출입 실적(신성질별)'!F41),",","")),"")</f>
        <v>7272092</v>
      </c>
    </row>
    <row r="38" customFormat="false" ht="15" hidden="false" customHeight="true" outlineLevel="0" collapsed="false">
      <c r="A38" s="11" t="str">
        <f aca="false">TRIM('수출입 실적(신성질별)'!A42)</f>
        <v>2024.03</v>
      </c>
      <c r="B38" s="17" t="n">
        <f aca="false">IFERROR(VALUE(LEFT($A38,4)),"")</f>
        <v>2024</v>
      </c>
      <c r="C38" s="17" t="n">
        <f aca="false">IFERROR(VALUE(RIGHT($A38,2)),"")</f>
        <v>3</v>
      </c>
      <c r="D38" s="17" t="n">
        <f aca="false">IFERROR(ROUNDUP($C38/3,0),"")</f>
        <v>1</v>
      </c>
      <c r="E38" s="11" t="str">
        <f aca="false">TRIM('수출입 실적(신성질별)'!B42)</f>
        <v>가.직접소비재</v>
      </c>
      <c r="F38" s="18" t="n">
        <f aca="false">IFERROR(VALUE(SUBSTITUTE(TRIM('수출입 실적(신성질별)'!C42),",","")),"")</f>
        <v>259447.8</v>
      </c>
      <c r="G38" s="19" t="n">
        <f aca="false">IFERROR(VALUE(SUBSTITUTE(TRIM('수출입 실적(신성질별)'!D42),",","")),"")</f>
        <v>879948</v>
      </c>
      <c r="H38" s="18" t="n">
        <f aca="false">IFERROR(VALUE(SUBSTITUTE(TRIM('수출입 실적(신성질별)'!E42),",","")),"")</f>
        <v>1843536</v>
      </c>
      <c r="I38" s="19" t="n">
        <f aca="false">IFERROR(VALUE(SUBSTITUTE(TRIM('수출입 실적(신성질별)'!F42),",","")),"")</f>
        <v>2822652</v>
      </c>
    </row>
    <row r="39" customFormat="false" ht="15" hidden="false" customHeight="true" outlineLevel="0" collapsed="false">
      <c r="A39" s="11" t="str">
        <f aca="false">TRIM('수출입 실적(신성질별)'!A43)</f>
        <v>2024.03</v>
      </c>
      <c r="B39" s="17" t="n">
        <f aca="false">IFERROR(VALUE(LEFT($A39,4)),"")</f>
        <v>2024</v>
      </c>
      <c r="C39" s="17" t="n">
        <f aca="false">IFERROR(VALUE(RIGHT($A39,2)),"")</f>
        <v>3</v>
      </c>
      <c r="D39" s="17" t="n">
        <f aca="false">IFERROR(ROUNDUP($C39/3,0),"")</f>
        <v>1</v>
      </c>
      <c r="E39" s="11" t="str">
        <f aca="false">TRIM('수출입 실적(신성질별)'!B43)</f>
        <v>나.내구소비재</v>
      </c>
      <c r="F39" s="18" t="n">
        <f aca="false">IFERROR(VALUE(SUBSTITUTE(TRIM('수출입 실적(신성질별)'!C43),",","")),"")</f>
        <v>489944.8</v>
      </c>
      <c r="G39" s="19" t="n">
        <f aca="false">IFERROR(VALUE(SUBSTITUTE(TRIM('수출입 실적(신성질별)'!D43),",","")),"")</f>
        <v>6235551</v>
      </c>
      <c r="H39" s="18" t="n">
        <f aca="false">IFERROR(VALUE(SUBSTITUTE(TRIM('수출입 실적(신성질별)'!E43),",","")),"")</f>
        <v>178806.8</v>
      </c>
      <c r="I39" s="19" t="n">
        <f aca="false">IFERROR(VALUE(SUBSTITUTE(TRIM('수출입 실적(신성질별)'!F43),",","")),"")</f>
        <v>2118764</v>
      </c>
    </row>
    <row r="40" customFormat="false" ht="15" hidden="false" customHeight="true" outlineLevel="0" collapsed="false">
      <c r="A40" s="11" t="str">
        <f aca="false">TRIM('수출입 실적(신성질별)'!A44)</f>
        <v>2024.03</v>
      </c>
      <c r="B40" s="17" t="n">
        <f aca="false">IFERROR(VALUE(LEFT($A40,4)),"")</f>
        <v>2024</v>
      </c>
      <c r="C40" s="17" t="n">
        <f aca="false">IFERROR(VALUE(RIGHT($A40,2)),"")</f>
        <v>3</v>
      </c>
      <c r="D40" s="17" t="n">
        <f aca="false">IFERROR(ROUNDUP($C40/3,0),"")</f>
        <v>1</v>
      </c>
      <c r="E40" s="11" t="str">
        <f aca="false">TRIM('수출입 실적(신성질별)'!B44)</f>
        <v>다.비내구소비재</v>
      </c>
      <c r="F40" s="18" t="n">
        <f aca="false">IFERROR(VALUE(SUBSTITUTE(TRIM('수출입 실적(신성질별)'!C44),",","")),"")</f>
        <v>151961.9</v>
      </c>
      <c r="G40" s="19" t="n">
        <f aca="false">IFERROR(VALUE(SUBSTITUTE(TRIM('수출입 실적(신성질별)'!D44),",","")),"")</f>
        <v>1459749</v>
      </c>
      <c r="H40" s="18" t="n">
        <f aca="false">IFERROR(VALUE(SUBSTITUTE(TRIM('수출입 실적(신성질별)'!E44),",","")),"")</f>
        <v>152053.9</v>
      </c>
      <c r="I40" s="19" t="n">
        <f aca="false">IFERROR(VALUE(SUBSTITUTE(TRIM('수출입 실적(신성질별)'!F44),",","")),"")</f>
        <v>2330675</v>
      </c>
    </row>
    <row r="41" customFormat="false" ht="15" hidden="false" customHeight="true" outlineLevel="0" collapsed="false">
      <c r="A41" s="11" t="str">
        <f aca="false">TRIM('수출입 실적(신성질별)'!A45)</f>
        <v>2024.03</v>
      </c>
      <c r="B41" s="17" t="n">
        <f aca="false">IFERROR(VALUE(LEFT($A41,4)),"")</f>
        <v>2024</v>
      </c>
      <c r="C41" s="17" t="n">
        <f aca="false">IFERROR(VALUE(RIGHT($A41,2)),"")</f>
        <v>3</v>
      </c>
      <c r="D41" s="17" t="n">
        <f aca="false">IFERROR(ROUNDUP($C41/3,0),"")</f>
        <v>1</v>
      </c>
      <c r="E41" s="11" t="str">
        <f aca="false">TRIM('수출입 실적(신성질별)'!B45)</f>
        <v>라.간이세율적용분</v>
      </c>
      <c r="F41" s="18" t="n">
        <f aca="false">IFERROR(VALUE(SUBSTITUTE(TRIM('수출입 실적(신성질별)'!C45),",","")),"")</f>
        <v>2033.6</v>
      </c>
      <c r="G41" s="19" t="n">
        <f aca="false">IFERROR(VALUE(SUBSTITUTE(TRIM('수출입 실적(신성질별)'!D45),",","")),"")</f>
        <v>3454</v>
      </c>
      <c r="H41" s="18" t="n">
        <f aca="false">IFERROR(VALUE(SUBSTITUTE(TRIM('수출입 실적(신성질별)'!E45),",","")),"")</f>
        <v>0</v>
      </c>
      <c r="I41" s="19" t="n">
        <f aca="false">IFERROR(VALUE(SUBSTITUTE(TRIM('수출입 실적(신성질별)'!F45),",","")),"")</f>
        <v>0</v>
      </c>
    </row>
    <row r="42" customFormat="false" ht="15" hidden="false" customHeight="true" outlineLevel="0" collapsed="false">
      <c r="A42" s="11" t="str">
        <f aca="false">TRIM('수출입 실적(신성질별)'!A46)</f>
        <v>2024.03</v>
      </c>
      <c r="B42" s="17" t="n">
        <f aca="false">IFERROR(VALUE(LEFT($A42,4)),"")</f>
        <v>2024</v>
      </c>
      <c r="C42" s="17" t="n">
        <f aca="false">IFERROR(VALUE(RIGHT($A42,2)),"")</f>
        <v>3</v>
      </c>
      <c r="D42" s="17" t="n">
        <f aca="false">IFERROR(ROUNDUP($C42/3,0),"")</f>
        <v>1</v>
      </c>
      <c r="E42" s="11" t="str">
        <f aca="false">TRIM('수출입 실적(신성질별)'!B46)</f>
        <v>2.원자재</v>
      </c>
      <c r="F42" s="18" t="n">
        <f aca="false">IFERROR(VALUE(SUBSTITUTE(TRIM('수출입 실적(신성질별)'!C46),",","")),"")</f>
        <v>13556192.9</v>
      </c>
      <c r="G42" s="19" t="n">
        <f aca="false">IFERROR(VALUE(SUBSTITUTE(TRIM('수출입 실적(신성질별)'!D46),",","")),"")</f>
        <v>17230521</v>
      </c>
      <c r="H42" s="18" t="n">
        <f aca="false">IFERROR(VALUE(SUBSTITUTE(TRIM('수출입 실적(신성질별)'!E46),",","")),"")</f>
        <v>40956402.6</v>
      </c>
      <c r="I42" s="19" t="n">
        <f aca="false">IFERROR(VALUE(SUBSTITUTE(TRIM('수출입 실적(신성질별)'!F46),",","")),"")</f>
        <v>25640358</v>
      </c>
    </row>
    <row r="43" customFormat="false" ht="15" hidden="false" customHeight="true" outlineLevel="0" collapsed="false">
      <c r="A43" s="11" t="str">
        <f aca="false">TRIM('수출입 실적(신성질별)'!A47)</f>
        <v>2024.03</v>
      </c>
      <c r="B43" s="17" t="n">
        <f aca="false">IFERROR(VALUE(LEFT($A43,4)),"")</f>
        <v>2024</v>
      </c>
      <c r="C43" s="17" t="n">
        <f aca="false">IFERROR(VALUE(RIGHT($A43,2)),"")</f>
        <v>3</v>
      </c>
      <c r="D43" s="17" t="n">
        <f aca="false">IFERROR(ROUNDUP($C43/3,0),"")</f>
        <v>1</v>
      </c>
      <c r="E43" s="11" t="str">
        <f aca="false">TRIM('수출입 실적(신성질별)'!B47)</f>
        <v>가.동식물성 연·원료</v>
      </c>
      <c r="F43" s="18" t="n">
        <f aca="false">IFERROR(VALUE(SUBSTITUTE(TRIM('수출입 실적(신성질별)'!C47),",","")),"")</f>
        <v>365588.4</v>
      </c>
      <c r="G43" s="19" t="n">
        <f aca="false">IFERROR(VALUE(SUBSTITUTE(TRIM('수출입 실적(신성질별)'!D47),",","")),"")</f>
        <v>434929</v>
      </c>
      <c r="H43" s="18" t="n">
        <f aca="false">IFERROR(VALUE(SUBSTITUTE(TRIM('수출입 실적(신성질별)'!E47),",","")),"")</f>
        <v>2510665.8</v>
      </c>
      <c r="I43" s="19" t="n">
        <f aca="false">IFERROR(VALUE(SUBSTITUTE(TRIM('수출입 실적(신성질별)'!F47),",","")),"")</f>
        <v>1318900</v>
      </c>
    </row>
    <row r="44" customFormat="false" ht="15" hidden="false" customHeight="true" outlineLevel="0" collapsed="false">
      <c r="A44" s="11" t="str">
        <f aca="false">TRIM('수출입 실적(신성질별)'!A48)</f>
        <v>2024.03</v>
      </c>
      <c r="B44" s="17" t="n">
        <f aca="false">IFERROR(VALUE(LEFT($A44,4)),"")</f>
        <v>2024</v>
      </c>
      <c r="C44" s="17" t="n">
        <f aca="false">IFERROR(VALUE(RIGHT($A44,2)),"")</f>
        <v>3</v>
      </c>
      <c r="D44" s="17" t="n">
        <f aca="false">IFERROR(ROUNDUP($C44/3,0),"")</f>
        <v>1</v>
      </c>
      <c r="E44" s="11" t="str">
        <f aca="false">TRIM('수출입 실적(신성질별)'!B48)</f>
        <v>나.섬유류</v>
      </c>
      <c r="F44" s="18" t="n">
        <f aca="false">IFERROR(VALUE(SUBSTITUTE(TRIM('수출입 실적(신성질별)'!C48),",","")),"")</f>
        <v>131097.5</v>
      </c>
      <c r="G44" s="19" t="n">
        <f aca="false">IFERROR(VALUE(SUBSTITUTE(TRIM('수출입 실적(신성질별)'!D48),",","")),"")</f>
        <v>627177</v>
      </c>
      <c r="H44" s="18" t="n">
        <f aca="false">IFERROR(VALUE(SUBSTITUTE(TRIM('수출입 실적(신성질별)'!E48),",","")),"")</f>
        <v>104257.7</v>
      </c>
      <c r="I44" s="19" t="n">
        <f aca="false">IFERROR(VALUE(SUBSTITUTE(TRIM('수출입 실적(신성질별)'!F48),",","")),"")</f>
        <v>348007</v>
      </c>
    </row>
    <row r="45" customFormat="false" ht="15" hidden="false" customHeight="true" outlineLevel="0" collapsed="false">
      <c r="A45" s="11" t="str">
        <f aca="false">TRIM('수출입 실적(신성질별)'!A49)</f>
        <v>2024.03</v>
      </c>
      <c r="B45" s="17" t="n">
        <f aca="false">IFERROR(VALUE(LEFT($A45,4)),"")</f>
        <v>2024</v>
      </c>
      <c r="C45" s="17" t="n">
        <f aca="false">IFERROR(VALUE(RIGHT($A45,2)),"")</f>
        <v>3</v>
      </c>
      <c r="D45" s="17" t="n">
        <f aca="false">IFERROR(ROUNDUP($C45/3,0),"")</f>
        <v>1</v>
      </c>
      <c r="E45" s="11" t="str">
        <f aca="false">TRIM('수출입 실적(신성질별)'!B49)</f>
        <v>다.광산물</v>
      </c>
      <c r="F45" s="18" t="n">
        <f aca="false">IFERROR(VALUE(SUBSTITUTE(TRIM('수출입 실적(신성질별)'!C49),",","")),"")</f>
        <v>6277238.4</v>
      </c>
      <c r="G45" s="19" t="n">
        <f aca="false">IFERROR(VALUE(SUBSTITUTE(TRIM('수출입 실적(신성질별)'!D49),",","")),"")</f>
        <v>5257705</v>
      </c>
      <c r="H45" s="18" t="n">
        <f aca="false">IFERROR(VALUE(SUBSTITUTE(TRIM('수출입 실적(신성질별)'!E49),",","")),"")</f>
        <v>34512475.1</v>
      </c>
      <c r="I45" s="19" t="n">
        <f aca="false">IFERROR(VALUE(SUBSTITUTE(TRIM('수출입 실적(신성질별)'!F49),",","")),"")</f>
        <v>15441846</v>
      </c>
    </row>
    <row r="46" customFormat="false" ht="15" hidden="false" customHeight="true" outlineLevel="0" collapsed="false">
      <c r="A46" s="11" t="str">
        <f aca="false">TRIM('수출입 실적(신성질별)'!A50)</f>
        <v>2024.03</v>
      </c>
      <c r="B46" s="17" t="n">
        <f aca="false">IFERROR(VALUE(LEFT($A46,4)),"")</f>
        <v>2024</v>
      </c>
      <c r="C46" s="17" t="n">
        <f aca="false">IFERROR(VALUE(RIGHT($A46,2)),"")</f>
        <v>3</v>
      </c>
      <c r="D46" s="17" t="n">
        <f aca="false">IFERROR(ROUNDUP($C46/3,0),"")</f>
        <v>1</v>
      </c>
      <c r="E46" s="11" t="str">
        <f aca="false">TRIM('수출입 실적(신성질별)'!B50)</f>
        <v>라.철강 및 금속제품</v>
      </c>
      <c r="F46" s="18" t="n">
        <f aca="false">IFERROR(VALUE(SUBSTITUTE(TRIM('수출입 실적(신성질별)'!C50),",","")),"")</f>
        <v>2604071.4</v>
      </c>
      <c r="G46" s="19" t="n">
        <f aca="false">IFERROR(VALUE(SUBSTITUTE(TRIM('수출입 실적(신성질별)'!D50),",","")),"")</f>
        <v>3343185</v>
      </c>
      <c r="H46" s="18" t="n">
        <f aca="false">IFERROR(VALUE(SUBSTITUTE(TRIM('수출입 실적(신성질별)'!E50),",","")),"")</f>
        <v>2074833.2</v>
      </c>
      <c r="I46" s="19" t="n">
        <f aca="false">IFERROR(VALUE(SUBSTITUTE(TRIM('수출입 실적(신성질별)'!F50),",","")),"")</f>
        <v>3078556</v>
      </c>
    </row>
    <row r="47" customFormat="false" ht="15" hidden="false" customHeight="true" outlineLevel="0" collapsed="false">
      <c r="A47" s="11" t="str">
        <f aca="false">TRIM('수출입 실적(신성질별)'!A51)</f>
        <v>2024.03</v>
      </c>
      <c r="B47" s="17" t="n">
        <f aca="false">IFERROR(VALUE(LEFT($A47,4)),"")</f>
        <v>2024</v>
      </c>
      <c r="C47" s="17" t="n">
        <f aca="false">IFERROR(VALUE(RIGHT($A47,2)),"")</f>
        <v>3</v>
      </c>
      <c r="D47" s="17" t="n">
        <f aca="false">IFERROR(ROUNDUP($C47/3,0),"")</f>
        <v>1</v>
      </c>
      <c r="E47" s="11" t="str">
        <f aca="false">TRIM('수출입 실적(신성질별)'!B51)</f>
        <v>마.화학공업제품</v>
      </c>
      <c r="F47" s="18" t="n">
        <f aca="false">IFERROR(VALUE(SUBSTITUTE(TRIM('수출입 실적(신성질별)'!C51),",","")),"")</f>
        <v>4175356.8</v>
      </c>
      <c r="G47" s="19" t="n">
        <f aca="false">IFERROR(VALUE(SUBSTITUTE(TRIM('수출입 실적(신성질별)'!D51),",","")),"")</f>
        <v>7556822</v>
      </c>
      <c r="H47" s="18" t="n">
        <f aca="false">IFERROR(VALUE(SUBSTITUTE(TRIM('수출입 실적(신성질별)'!E51),",","")),"")</f>
        <v>1751516.2</v>
      </c>
      <c r="I47" s="19" t="n">
        <f aca="false">IFERROR(VALUE(SUBSTITUTE(TRIM('수출입 실적(신성질별)'!F51),",","")),"")</f>
        <v>5447574</v>
      </c>
    </row>
    <row r="48" customFormat="false" ht="15" hidden="false" customHeight="true" outlineLevel="0" collapsed="false">
      <c r="A48" s="11" t="str">
        <f aca="false">TRIM('수출입 실적(신성질별)'!A52)</f>
        <v>2024.03</v>
      </c>
      <c r="B48" s="17" t="n">
        <f aca="false">IFERROR(VALUE(LEFT($A48,4)),"")</f>
        <v>2024</v>
      </c>
      <c r="C48" s="17" t="n">
        <f aca="false">IFERROR(VALUE(RIGHT($A48,2)),"")</f>
        <v>3</v>
      </c>
      <c r="D48" s="17" t="n">
        <f aca="false">IFERROR(ROUNDUP($C48/3,0),"")</f>
        <v>1</v>
      </c>
      <c r="E48" s="11" t="str">
        <f aca="false">TRIM('수출입 실적(신성질별)'!B52)</f>
        <v>바.기타 원자재</v>
      </c>
      <c r="F48" s="18" t="n">
        <f aca="false">IFERROR(VALUE(SUBSTITUTE(TRIM('수출입 실적(신성질별)'!C52),",","")),"")</f>
        <v>2840.4</v>
      </c>
      <c r="G48" s="19" t="n">
        <f aca="false">IFERROR(VALUE(SUBSTITUTE(TRIM('수출입 실적(신성질별)'!D52),",","")),"")</f>
        <v>10703</v>
      </c>
      <c r="H48" s="18" t="n">
        <f aca="false">IFERROR(VALUE(SUBSTITUTE(TRIM('수출입 실적(신성질별)'!E52),",","")),"")</f>
        <v>2654.4</v>
      </c>
      <c r="I48" s="19" t="n">
        <f aca="false">IFERROR(VALUE(SUBSTITUTE(TRIM('수출입 실적(신성질별)'!F52),",","")),"")</f>
        <v>5476</v>
      </c>
    </row>
    <row r="49" customFormat="false" ht="15" hidden="false" customHeight="true" outlineLevel="0" collapsed="false">
      <c r="A49" s="11" t="str">
        <f aca="false">TRIM('수출입 실적(신성질별)'!A53)</f>
        <v>2024.03</v>
      </c>
      <c r="B49" s="17" t="n">
        <f aca="false">IFERROR(VALUE(LEFT($A49,4)),"")</f>
        <v>2024</v>
      </c>
      <c r="C49" s="17" t="n">
        <f aca="false">IFERROR(VALUE(RIGHT($A49,2)),"")</f>
        <v>3</v>
      </c>
      <c r="D49" s="17" t="n">
        <f aca="false">IFERROR(ROUNDUP($C49/3,0),"")</f>
        <v>1</v>
      </c>
      <c r="E49" s="11" t="str">
        <f aca="false">TRIM('수출입 실적(신성질별)'!B53)</f>
        <v>3.자본재</v>
      </c>
      <c r="F49" s="18" t="n">
        <f aca="false">IFERROR(VALUE(SUBSTITUTE(TRIM('수출입 실적(신성질별)'!C53),",","")),"")</f>
        <v>2346050.4</v>
      </c>
      <c r="G49" s="19" t="n">
        <f aca="false">IFERROR(VALUE(SUBSTITUTE(TRIM('수출입 실적(신성질별)'!D53),",","")),"")</f>
        <v>30709085</v>
      </c>
      <c r="H49" s="18" t="n">
        <f aca="false">IFERROR(VALUE(SUBSTITUTE(TRIM('수출입 실적(신성질별)'!E53),",","")),"")</f>
        <v>1185860.8</v>
      </c>
      <c r="I49" s="19" t="n">
        <f aca="false">IFERROR(VALUE(SUBSTITUTE(TRIM('수출입 실적(신성질별)'!F53),",","")),"")</f>
        <v>19200455</v>
      </c>
    </row>
    <row r="50" customFormat="false" ht="15" hidden="false" customHeight="true" outlineLevel="0" collapsed="false">
      <c r="A50" s="11" t="str">
        <f aca="false">TRIM('수출입 실적(신성질별)'!A54)</f>
        <v>2024.03</v>
      </c>
      <c r="B50" s="17" t="n">
        <f aca="false">IFERROR(VALUE(LEFT($A50,4)),"")</f>
        <v>2024</v>
      </c>
      <c r="C50" s="17" t="n">
        <f aca="false">IFERROR(VALUE(RIGHT($A50,2)),"")</f>
        <v>3</v>
      </c>
      <c r="D50" s="17" t="n">
        <f aca="false">IFERROR(ROUNDUP($C50/3,0),"")</f>
        <v>1</v>
      </c>
      <c r="E50" s="11" t="str">
        <f aca="false">TRIM('수출입 실적(신성질별)'!B54)</f>
        <v>가.수송장비</v>
      </c>
      <c r="F50" s="18" t="n">
        <f aca="false">IFERROR(VALUE(SUBSTITUTE(TRIM('수출입 실적(신성질별)'!C54),",","")),"")</f>
        <v>1617156.2</v>
      </c>
      <c r="G50" s="19" t="n">
        <f aca="false">IFERROR(VALUE(SUBSTITUTE(TRIM('수출입 실적(신성질별)'!D54),",","")),"")</f>
        <v>5602097</v>
      </c>
      <c r="H50" s="18" t="n">
        <f aca="false">IFERROR(VALUE(SUBSTITUTE(TRIM('수출입 실적(신성질별)'!E54),",","")),"")</f>
        <v>661862.6</v>
      </c>
      <c r="I50" s="19" t="n">
        <f aca="false">IFERROR(VALUE(SUBSTITUTE(TRIM('수출입 실적(신성질별)'!F54),",","")),"")</f>
        <v>1971006</v>
      </c>
    </row>
    <row r="51" customFormat="false" ht="15" hidden="false" customHeight="true" outlineLevel="0" collapsed="false">
      <c r="A51" s="11" t="str">
        <f aca="false">TRIM('수출입 실적(신성질별)'!A55)</f>
        <v>2024.03</v>
      </c>
      <c r="B51" s="17" t="n">
        <f aca="false">IFERROR(VALUE(LEFT($A51,4)),"")</f>
        <v>2024</v>
      </c>
      <c r="C51" s="17" t="n">
        <f aca="false">IFERROR(VALUE(RIGHT($A51,2)),"")</f>
        <v>3</v>
      </c>
      <c r="D51" s="17" t="n">
        <f aca="false">IFERROR(ROUNDUP($C51/3,0),"")</f>
        <v>1</v>
      </c>
      <c r="E51" s="11" t="str">
        <f aca="false">TRIM('수출입 실적(신성질별)'!B55)</f>
        <v>나.기계류</v>
      </c>
      <c r="F51" s="18" t="n">
        <f aca="false">IFERROR(VALUE(SUBSTITUTE(TRIM('수출입 실적(신성질별)'!C55),",","")),"")</f>
        <v>684508.4</v>
      </c>
      <c r="G51" s="19" t="n">
        <f aca="false">IFERROR(VALUE(SUBSTITUTE(TRIM('수출입 실적(신성질별)'!D55),",","")),"")</f>
        <v>8774099</v>
      </c>
      <c r="H51" s="18" t="n">
        <f aca="false">IFERROR(VALUE(SUBSTITUTE(TRIM('수출입 실적(신성질별)'!E55),",","")),"")</f>
        <v>472312.1</v>
      </c>
      <c r="I51" s="19" t="n">
        <f aca="false">IFERROR(VALUE(SUBSTITUTE(TRIM('수출입 실적(신성질별)'!F55),",","")),"")</f>
        <v>8069212</v>
      </c>
    </row>
    <row r="52" customFormat="false" ht="15" hidden="false" customHeight="true" outlineLevel="0" collapsed="false">
      <c r="A52" s="11" t="str">
        <f aca="false">TRIM('수출입 실적(신성질별)'!A56)</f>
        <v>2024.03</v>
      </c>
      <c r="B52" s="17" t="n">
        <f aca="false">IFERROR(VALUE(LEFT($A52,4)),"")</f>
        <v>2024</v>
      </c>
      <c r="C52" s="17" t="n">
        <f aca="false">IFERROR(VALUE(RIGHT($A52,2)),"")</f>
        <v>3</v>
      </c>
      <c r="D52" s="17" t="n">
        <f aca="false">IFERROR(ROUNDUP($C52/3,0),"")</f>
        <v>1</v>
      </c>
      <c r="E52" s="11" t="str">
        <f aca="false">TRIM('수출입 실적(신성질별)'!B56)</f>
        <v>다.IT제품</v>
      </c>
      <c r="F52" s="18" t="n">
        <f aca="false">IFERROR(VALUE(SUBSTITUTE(TRIM('수출입 실적(신성질별)'!C56),",","")),"")</f>
        <v>13084.5</v>
      </c>
      <c r="G52" s="19" t="n">
        <f aca="false">IFERROR(VALUE(SUBSTITUTE(TRIM('수출입 실적(신성질별)'!D56),",","")),"")</f>
        <v>3232430</v>
      </c>
      <c r="H52" s="18" t="n">
        <f aca="false">IFERROR(VALUE(SUBSTITUTE(TRIM('수출입 실적(신성질별)'!E56),",","")),"")</f>
        <v>19490.9</v>
      </c>
      <c r="I52" s="19" t="n">
        <f aca="false">IFERROR(VALUE(SUBSTITUTE(TRIM('수출입 실적(신성질별)'!F56),",","")),"")</f>
        <v>2411733</v>
      </c>
    </row>
    <row r="53" customFormat="false" ht="15" hidden="false" customHeight="true" outlineLevel="0" collapsed="false">
      <c r="A53" s="11" t="str">
        <f aca="false">TRIM('수출입 실적(신성질별)'!A57)</f>
        <v>2024.03</v>
      </c>
      <c r="B53" s="17" t="n">
        <f aca="false">IFERROR(VALUE(LEFT($A53,4)),"")</f>
        <v>2024</v>
      </c>
      <c r="C53" s="17" t="n">
        <f aca="false">IFERROR(VALUE(RIGHT($A53,2)),"")</f>
        <v>3</v>
      </c>
      <c r="D53" s="17" t="n">
        <f aca="false">IFERROR(ROUNDUP($C53/3,0),"")</f>
        <v>1</v>
      </c>
      <c r="E53" s="11" t="str">
        <f aca="false">TRIM('수출입 실적(신성질별)'!B57)</f>
        <v>라.IT부품</v>
      </c>
      <c r="F53" s="18" t="n">
        <f aca="false">IFERROR(VALUE(SUBSTITUTE(TRIM('수출입 실적(신성질별)'!C57),",","")),"")</f>
        <v>31301.4</v>
      </c>
      <c r="G53" s="19" t="n">
        <f aca="false">IFERROR(VALUE(SUBSTITUTE(TRIM('수출입 실적(신성질별)'!D57),",","")),"")</f>
        <v>13100458</v>
      </c>
      <c r="H53" s="18" t="n">
        <f aca="false">IFERROR(VALUE(SUBSTITUTE(TRIM('수출입 실적(신성질별)'!E57),",","")),"")</f>
        <v>32195.2</v>
      </c>
      <c r="I53" s="19" t="n">
        <f aca="false">IFERROR(VALUE(SUBSTITUTE(TRIM('수출입 실적(신성질별)'!F57),",","")),"")</f>
        <v>6748505</v>
      </c>
    </row>
    <row r="54" customFormat="false" ht="15" hidden="false" customHeight="true" outlineLevel="0" collapsed="false">
      <c r="A54" s="11" t="str">
        <f aca="false">TRIM('수출입 실적(신성질별)'!A58)</f>
        <v>2024.04</v>
      </c>
      <c r="B54" s="17" t="n">
        <f aca="false">IFERROR(VALUE(LEFT($A54,4)),"")</f>
        <v>2024</v>
      </c>
      <c r="C54" s="17" t="n">
        <f aca="false">IFERROR(VALUE(RIGHT($A54,2)),"")</f>
        <v>4</v>
      </c>
      <c r="D54" s="17" t="n">
        <f aca="false">IFERROR(ROUNDUP($C54/3,0),"")</f>
        <v>2</v>
      </c>
      <c r="E54" s="11" t="str">
        <f aca="false">TRIM('수출입 실적(신성질별)'!B58)</f>
        <v>1.소비재</v>
      </c>
      <c r="F54" s="18" t="n">
        <f aca="false">IFERROR(VALUE(SUBSTITUTE(TRIM('수출입 실적(신성질별)'!C58),",","")),"")</f>
        <v>1037934</v>
      </c>
      <c r="G54" s="19" t="n">
        <f aca="false">IFERROR(VALUE(SUBSTITUTE(TRIM('수출입 실적(신성질별)'!D58),",","")),"")</f>
        <v>9284516</v>
      </c>
      <c r="H54" s="18" t="n">
        <f aca="false">IFERROR(VALUE(SUBSTITUTE(TRIM('수출입 실적(신성질별)'!E58),",","")),"")</f>
        <v>2139558.7</v>
      </c>
      <c r="I54" s="19" t="n">
        <f aca="false">IFERROR(VALUE(SUBSTITUTE(TRIM('수출입 실적(신성질별)'!F58),",","")),"")</f>
        <v>7628245</v>
      </c>
    </row>
    <row r="55" customFormat="false" ht="15" hidden="false" customHeight="true" outlineLevel="0" collapsed="false">
      <c r="A55" s="11" t="str">
        <f aca="false">TRIM('수출입 실적(신성질별)'!A59)</f>
        <v>2024.04</v>
      </c>
      <c r="B55" s="17" t="n">
        <f aca="false">IFERROR(VALUE(LEFT($A55,4)),"")</f>
        <v>2024</v>
      </c>
      <c r="C55" s="17" t="n">
        <f aca="false">IFERROR(VALUE(RIGHT($A55,2)),"")</f>
        <v>4</v>
      </c>
      <c r="D55" s="17" t="n">
        <f aca="false">IFERROR(ROUNDUP($C55/3,0),"")</f>
        <v>2</v>
      </c>
      <c r="E55" s="11" t="str">
        <f aca="false">TRIM('수출입 실적(신성질별)'!B59)</f>
        <v>가.직접소비재</v>
      </c>
      <c r="F55" s="18" t="n">
        <f aca="false">IFERROR(VALUE(SUBSTITUTE(TRIM('수출입 실적(신성질별)'!C59),",","")),"")</f>
        <v>337890.5</v>
      </c>
      <c r="G55" s="19" t="n">
        <f aca="false">IFERROR(VALUE(SUBSTITUTE(TRIM('수출입 실적(신성질별)'!D59),",","")),"")</f>
        <v>993472</v>
      </c>
      <c r="H55" s="18" t="n">
        <f aca="false">IFERROR(VALUE(SUBSTITUTE(TRIM('수출입 실적(신성질별)'!E59),",","")),"")</f>
        <v>1741322.6</v>
      </c>
      <c r="I55" s="19" t="n">
        <f aca="false">IFERROR(VALUE(SUBSTITUTE(TRIM('수출입 실적(신성질별)'!F59),",","")),"")</f>
        <v>2863911</v>
      </c>
    </row>
    <row r="56" customFormat="false" ht="15" hidden="false" customHeight="true" outlineLevel="0" collapsed="false">
      <c r="A56" s="11" t="str">
        <f aca="false">TRIM('수출입 실적(신성질별)'!A60)</f>
        <v>2024.04</v>
      </c>
      <c r="B56" s="17" t="n">
        <f aca="false">IFERROR(VALUE(LEFT($A56,4)),"")</f>
        <v>2024</v>
      </c>
      <c r="C56" s="17" t="n">
        <f aca="false">IFERROR(VALUE(RIGHT($A56,2)),"")</f>
        <v>4</v>
      </c>
      <c r="D56" s="17" t="n">
        <f aca="false">IFERROR(ROUNDUP($C56/3,0),"")</f>
        <v>2</v>
      </c>
      <c r="E56" s="11" t="str">
        <f aca="false">TRIM('수출입 실적(신성질별)'!B60)</f>
        <v>나.내구소비재</v>
      </c>
      <c r="F56" s="18" t="n">
        <f aca="false">IFERROR(VALUE(SUBSTITUTE(TRIM('수출입 실적(신성질별)'!C60),",","")),"")</f>
        <v>529000.7</v>
      </c>
      <c r="G56" s="19" t="n">
        <f aca="false">IFERROR(VALUE(SUBSTITUTE(TRIM('수출입 실적(신성질별)'!D60),",","")),"")</f>
        <v>6701236</v>
      </c>
      <c r="H56" s="18" t="n">
        <f aca="false">IFERROR(VALUE(SUBSTITUTE(TRIM('수출입 실적(신성질별)'!E60),",","")),"")</f>
        <v>225431.7</v>
      </c>
      <c r="I56" s="19" t="n">
        <f aca="false">IFERROR(VALUE(SUBSTITUTE(TRIM('수출입 실적(신성질별)'!F60),",","")),"")</f>
        <v>2387210</v>
      </c>
    </row>
    <row r="57" customFormat="false" ht="15" hidden="false" customHeight="true" outlineLevel="0" collapsed="false">
      <c r="A57" s="11" t="str">
        <f aca="false">TRIM('수출입 실적(신성질별)'!A61)</f>
        <v>2024.04</v>
      </c>
      <c r="B57" s="17" t="n">
        <f aca="false">IFERROR(VALUE(LEFT($A57,4)),"")</f>
        <v>2024</v>
      </c>
      <c r="C57" s="17" t="n">
        <f aca="false">IFERROR(VALUE(RIGHT($A57,2)),"")</f>
        <v>4</v>
      </c>
      <c r="D57" s="17" t="n">
        <f aca="false">IFERROR(ROUNDUP($C57/3,0),"")</f>
        <v>2</v>
      </c>
      <c r="E57" s="11" t="str">
        <f aca="false">TRIM('수출입 실적(신성질별)'!B61)</f>
        <v>다.비내구소비재</v>
      </c>
      <c r="F57" s="18" t="n">
        <f aca="false">IFERROR(VALUE(SUBSTITUTE(TRIM('수출입 실적(신성질별)'!C61),",","")),"")</f>
        <v>168917.3</v>
      </c>
      <c r="G57" s="19" t="n">
        <f aca="false">IFERROR(VALUE(SUBSTITUTE(TRIM('수출입 실적(신성질별)'!D61),",","")),"")</f>
        <v>1587201</v>
      </c>
      <c r="H57" s="18" t="n">
        <f aca="false">IFERROR(VALUE(SUBSTITUTE(TRIM('수출입 실적(신성질별)'!E61),",","")),"")</f>
        <v>172804.4</v>
      </c>
      <c r="I57" s="19" t="n">
        <f aca="false">IFERROR(VALUE(SUBSTITUTE(TRIM('수출입 실적(신성질별)'!F61),",","")),"")</f>
        <v>2377124</v>
      </c>
    </row>
    <row r="58" customFormat="false" ht="15" hidden="false" customHeight="true" outlineLevel="0" collapsed="false">
      <c r="A58" s="11" t="str">
        <f aca="false">TRIM('수출입 실적(신성질별)'!A62)</f>
        <v>2024.04</v>
      </c>
      <c r="B58" s="17" t="n">
        <f aca="false">IFERROR(VALUE(LEFT($A58,4)),"")</f>
        <v>2024</v>
      </c>
      <c r="C58" s="17" t="n">
        <f aca="false">IFERROR(VALUE(RIGHT($A58,2)),"")</f>
        <v>4</v>
      </c>
      <c r="D58" s="17" t="n">
        <f aca="false">IFERROR(ROUNDUP($C58/3,0),"")</f>
        <v>2</v>
      </c>
      <c r="E58" s="11" t="str">
        <f aca="false">TRIM('수출입 실적(신성질별)'!B62)</f>
        <v>라.간이세율적용분</v>
      </c>
      <c r="F58" s="18" t="n">
        <f aca="false">IFERROR(VALUE(SUBSTITUTE(TRIM('수출입 실적(신성질별)'!C62),",","")),"")</f>
        <v>2125.4</v>
      </c>
      <c r="G58" s="19" t="n">
        <f aca="false">IFERROR(VALUE(SUBSTITUTE(TRIM('수출입 실적(신성질별)'!D62),",","")),"")</f>
        <v>2607</v>
      </c>
      <c r="H58" s="18" t="n">
        <f aca="false">IFERROR(VALUE(SUBSTITUTE(TRIM('수출입 실적(신성질별)'!E62),",","")),"")</f>
        <v>0</v>
      </c>
      <c r="I58" s="19" t="n">
        <f aca="false">IFERROR(VALUE(SUBSTITUTE(TRIM('수출입 실적(신성질별)'!F62),",","")),"")</f>
        <v>0</v>
      </c>
    </row>
    <row r="59" customFormat="false" ht="15" hidden="false" customHeight="true" outlineLevel="0" collapsed="false">
      <c r="A59" s="11" t="str">
        <f aca="false">TRIM('수출입 실적(신성질별)'!A63)</f>
        <v>2024.04</v>
      </c>
      <c r="B59" s="17" t="n">
        <f aca="false">IFERROR(VALUE(LEFT($A59,4)),"")</f>
        <v>2024</v>
      </c>
      <c r="C59" s="17" t="n">
        <f aca="false">IFERROR(VALUE(RIGHT($A59,2)),"")</f>
        <v>4</v>
      </c>
      <c r="D59" s="17" t="n">
        <f aca="false">IFERROR(ROUNDUP($C59/3,0),"")</f>
        <v>2</v>
      </c>
      <c r="E59" s="11" t="str">
        <f aca="false">TRIM('수출입 실적(신성질별)'!B63)</f>
        <v>2.원자재</v>
      </c>
      <c r="F59" s="18" t="n">
        <f aca="false">IFERROR(VALUE(SUBSTITUTE(TRIM('수출입 실적(신성질별)'!C63),",","")),"")</f>
        <v>13293551.9</v>
      </c>
      <c r="G59" s="19" t="n">
        <f aca="false">IFERROR(VALUE(SUBSTITUTE(TRIM('수출입 실적(신성질별)'!D63),",","")),"")</f>
        <v>17464076</v>
      </c>
      <c r="H59" s="18" t="n">
        <f aca="false">IFERROR(VALUE(SUBSTITUTE(TRIM('수출입 실적(신성질별)'!E63),",","")),"")</f>
        <v>44276753.8</v>
      </c>
      <c r="I59" s="19" t="n">
        <f aca="false">IFERROR(VALUE(SUBSTITUTE(TRIM('수출입 실적(신성질별)'!F63),",","")),"")</f>
        <v>27693181</v>
      </c>
    </row>
    <row r="60" customFormat="false" ht="15" hidden="false" customHeight="true" outlineLevel="0" collapsed="false">
      <c r="A60" s="11" t="str">
        <f aca="false">TRIM('수출입 실적(신성질별)'!A64)</f>
        <v>2024.04</v>
      </c>
      <c r="B60" s="17" t="n">
        <f aca="false">IFERROR(VALUE(LEFT($A60,4)),"")</f>
        <v>2024</v>
      </c>
      <c r="C60" s="17" t="n">
        <f aca="false">IFERROR(VALUE(RIGHT($A60,2)),"")</f>
        <v>4</v>
      </c>
      <c r="D60" s="17" t="n">
        <f aca="false">IFERROR(ROUNDUP($C60/3,0),"")</f>
        <v>2</v>
      </c>
      <c r="E60" s="11" t="str">
        <f aca="false">TRIM('수출입 실적(신성질별)'!B64)</f>
        <v>가.동식물성 연·원료</v>
      </c>
      <c r="F60" s="18" t="n">
        <f aca="false">IFERROR(VALUE(SUBSTITUTE(TRIM('수출입 실적(신성질별)'!C64),",","")),"")</f>
        <v>383013.1</v>
      </c>
      <c r="G60" s="19" t="n">
        <f aca="false">IFERROR(VALUE(SUBSTITUTE(TRIM('수출입 실적(신성질별)'!D64),",","")),"")</f>
        <v>471336</v>
      </c>
      <c r="H60" s="18" t="n">
        <f aca="false">IFERROR(VALUE(SUBSTITUTE(TRIM('수출입 실적(신성질별)'!E64),",","")),"")</f>
        <v>3152362.5</v>
      </c>
      <c r="I60" s="19" t="n">
        <f aca="false">IFERROR(VALUE(SUBSTITUTE(TRIM('수출입 실적(신성질별)'!F64),",","")),"")</f>
        <v>1611515</v>
      </c>
    </row>
    <row r="61" customFormat="false" ht="15" hidden="false" customHeight="true" outlineLevel="0" collapsed="false">
      <c r="A61" s="11" t="str">
        <f aca="false">TRIM('수출입 실적(신성질별)'!A65)</f>
        <v>2024.04</v>
      </c>
      <c r="B61" s="17" t="n">
        <f aca="false">IFERROR(VALUE(LEFT($A61,4)),"")</f>
        <v>2024</v>
      </c>
      <c r="C61" s="17" t="n">
        <f aca="false">IFERROR(VALUE(RIGHT($A61,2)),"")</f>
        <v>4</v>
      </c>
      <c r="D61" s="17" t="n">
        <f aca="false">IFERROR(ROUNDUP($C61/3,0),"")</f>
        <v>2</v>
      </c>
      <c r="E61" s="11" t="str">
        <f aca="false">TRIM('수출입 실적(신성질별)'!B65)</f>
        <v>나.섬유류</v>
      </c>
      <c r="F61" s="18" t="n">
        <f aca="false">IFERROR(VALUE(SUBSTITUTE(TRIM('수출입 실적(신성질별)'!C65),",","")),"")</f>
        <v>139414.7</v>
      </c>
      <c r="G61" s="19" t="n">
        <f aca="false">IFERROR(VALUE(SUBSTITUTE(TRIM('수출입 실적(신성질별)'!D65),",","")),"")</f>
        <v>682936</v>
      </c>
      <c r="H61" s="18" t="n">
        <f aca="false">IFERROR(VALUE(SUBSTITUTE(TRIM('수출입 실적(신성질별)'!E65),",","")),"")</f>
        <v>111368.3</v>
      </c>
      <c r="I61" s="19" t="n">
        <f aca="false">IFERROR(VALUE(SUBSTITUTE(TRIM('수출입 실적(신성질별)'!F65),",","")),"")</f>
        <v>377921</v>
      </c>
    </row>
    <row r="62" customFormat="false" ht="15" hidden="false" customHeight="true" outlineLevel="0" collapsed="false">
      <c r="A62" s="11" t="str">
        <f aca="false">TRIM('수출입 실적(신성질별)'!A66)</f>
        <v>2024.04</v>
      </c>
      <c r="B62" s="17" t="n">
        <f aca="false">IFERROR(VALUE(LEFT($A62,4)),"")</f>
        <v>2024</v>
      </c>
      <c r="C62" s="17" t="n">
        <f aca="false">IFERROR(VALUE(RIGHT($A62,2)),"")</f>
        <v>4</v>
      </c>
      <c r="D62" s="17" t="n">
        <f aca="false">IFERROR(ROUNDUP($C62/3,0),"")</f>
        <v>2</v>
      </c>
      <c r="E62" s="11" t="str">
        <f aca="false">TRIM('수출입 실적(신성질별)'!B66)</f>
        <v>다.광산물</v>
      </c>
      <c r="F62" s="18" t="n">
        <f aca="false">IFERROR(VALUE(SUBSTITUTE(TRIM('수출입 실적(신성질별)'!C66),",","")),"")</f>
        <v>5888443.9</v>
      </c>
      <c r="G62" s="19" t="n">
        <f aca="false">IFERROR(VALUE(SUBSTITUTE(TRIM('수출입 실적(신성질별)'!D66),",","")),"")</f>
        <v>5006457</v>
      </c>
      <c r="H62" s="18" t="n">
        <f aca="false">IFERROR(VALUE(SUBSTITUTE(TRIM('수출입 실적(신성질별)'!E66),",","")),"")</f>
        <v>36884543.3</v>
      </c>
      <c r="I62" s="19" t="n">
        <f aca="false">IFERROR(VALUE(SUBSTITUTE(TRIM('수출입 실적(신성질별)'!F66),",","")),"")</f>
        <v>17460560</v>
      </c>
    </row>
    <row r="63" customFormat="false" ht="15" hidden="false" customHeight="true" outlineLevel="0" collapsed="false">
      <c r="A63" s="11" t="str">
        <f aca="false">TRIM('수출입 실적(신성질별)'!A67)</f>
        <v>2024.04</v>
      </c>
      <c r="B63" s="17" t="n">
        <f aca="false">IFERROR(VALUE(LEFT($A63,4)),"")</f>
        <v>2024</v>
      </c>
      <c r="C63" s="17" t="n">
        <f aca="false">IFERROR(VALUE(RIGHT($A63,2)),"")</f>
        <v>4</v>
      </c>
      <c r="D63" s="17" t="n">
        <f aca="false">IFERROR(ROUNDUP($C63/3,0),"")</f>
        <v>2</v>
      </c>
      <c r="E63" s="11" t="str">
        <f aca="false">TRIM('수출입 실적(신성질별)'!B67)</f>
        <v>라.철강 및 금속제품</v>
      </c>
      <c r="F63" s="18" t="n">
        <f aca="false">IFERROR(VALUE(SUBSTITUTE(TRIM('수출입 실적(신성질별)'!C67),",","")),"")</f>
        <v>2405841.1</v>
      </c>
      <c r="G63" s="19" t="n">
        <f aca="false">IFERROR(VALUE(SUBSTITUTE(TRIM('수출입 실적(신성질별)'!D67),",","")),"")</f>
        <v>3266573</v>
      </c>
      <c r="H63" s="18" t="n">
        <f aca="false">IFERROR(VALUE(SUBSTITUTE(TRIM('수출입 실적(신성질별)'!E67),",","")),"")</f>
        <v>2113949.8</v>
      </c>
      <c r="I63" s="19" t="n">
        <f aca="false">IFERROR(VALUE(SUBSTITUTE(TRIM('수출입 실적(신성질별)'!F67),",","")),"")</f>
        <v>3142687</v>
      </c>
    </row>
    <row r="64" customFormat="false" ht="15" hidden="false" customHeight="true" outlineLevel="0" collapsed="false">
      <c r="A64" s="11" t="str">
        <f aca="false">TRIM('수출입 실적(신성질별)'!A68)</f>
        <v>2024.04</v>
      </c>
      <c r="B64" s="17" t="n">
        <f aca="false">IFERROR(VALUE(LEFT($A64,4)),"")</f>
        <v>2024</v>
      </c>
      <c r="C64" s="17" t="n">
        <f aca="false">IFERROR(VALUE(RIGHT($A64,2)),"")</f>
        <v>4</v>
      </c>
      <c r="D64" s="17" t="n">
        <f aca="false">IFERROR(ROUNDUP($C64/3,0),"")</f>
        <v>2</v>
      </c>
      <c r="E64" s="11" t="str">
        <f aca="false">TRIM('수출입 실적(신성질별)'!B68)</f>
        <v>마.화학공업제품</v>
      </c>
      <c r="F64" s="18" t="n">
        <f aca="false">IFERROR(VALUE(SUBSTITUTE(TRIM('수출입 실적(신성질별)'!C68),",","")),"")</f>
        <v>4473794.7</v>
      </c>
      <c r="G64" s="19" t="n">
        <f aca="false">IFERROR(VALUE(SUBSTITUTE(TRIM('수출입 실적(신성질별)'!D68),",","")),"")</f>
        <v>8024778</v>
      </c>
      <c r="H64" s="18" t="n">
        <f aca="false">IFERROR(VALUE(SUBSTITUTE(TRIM('수출입 실적(신성질별)'!E68),",","")),"")</f>
        <v>2011016.2</v>
      </c>
      <c r="I64" s="19" t="n">
        <f aca="false">IFERROR(VALUE(SUBSTITUTE(TRIM('수출입 실적(신성질별)'!F68),",","")),"")</f>
        <v>5093342</v>
      </c>
    </row>
    <row r="65" customFormat="false" ht="15" hidden="false" customHeight="true" outlineLevel="0" collapsed="false">
      <c r="A65" s="11" t="str">
        <f aca="false">TRIM('수출입 실적(신성질별)'!A69)</f>
        <v>2024.04</v>
      </c>
      <c r="B65" s="17" t="n">
        <f aca="false">IFERROR(VALUE(LEFT($A65,4)),"")</f>
        <v>2024</v>
      </c>
      <c r="C65" s="17" t="n">
        <f aca="false">IFERROR(VALUE(RIGHT($A65,2)),"")</f>
        <v>4</v>
      </c>
      <c r="D65" s="17" t="n">
        <f aca="false">IFERROR(ROUNDUP($C65/3,0),"")</f>
        <v>2</v>
      </c>
      <c r="E65" s="11" t="str">
        <f aca="false">TRIM('수출입 실적(신성질별)'!B69)</f>
        <v>바.기타 원자재</v>
      </c>
      <c r="F65" s="18" t="n">
        <f aca="false">IFERROR(VALUE(SUBSTITUTE(TRIM('수출입 실적(신성질별)'!C69),",","")),"")</f>
        <v>3044.3</v>
      </c>
      <c r="G65" s="19" t="n">
        <f aca="false">IFERROR(VALUE(SUBSTITUTE(TRIM('수출입 실적(신성질별)'!D69),",","")),"")</f>
        <v>11996</v>
      </c>
      <c r="H65" s="18" t="n">
        <f aca="false">IFERROR(VALUE(SUBSTITUTE(TRIM('수출입 실적(신성질별)'!E69),",","")),"")</f>
        <v>3513.8</v>
      </c>
      <c r="I65" s="19" t="n">
        <f aca="false">IFERROR(VALUE(SUBSTITUTE(TRIM('수출입 실적(신성질별)'!F69),",","")),"")</f>
        <v>7156</v>
      </c>
    </row>
    <row r="66" customFormat="false" ht="15" hidden="false" customHeight="true" outlineLevel="0" collapsed="false">
      <c r="A66" s="11" t="str">
        <f aca="false">TRIM('수출입 실적(신성질별)'!A70)</f>
        <v>2024.04</v>
      </c>
      <c r="B66" s="17" t="n">
        <f aca="false">IFERROR(VALUE(LEFT($A66,4)),"")</f>
        <v>2024</v>
      </c>
      <c r="C66" s="17" t="n">
        <f aca="false">IFERROR(VALUE(RIGHT($A66,2)),"")</f>
        <v>4</v>
      </c>
      <c r="D66" s="17" t="n">
        <f aca="false">IFERROR(ROUNDUP($C66/3,0),"")</f>
        <v>2</v>
      </c>
      <c r="E66" s="11" t="str">
        <f aca="false">TRIM('수출입 실적(신성질별)'!B70)</f>
        <v>3.자본재</v>
      </c>
      <c r="F66" s="18" t="n">
        <f aca="false">IFERROR(VALUE(SUBSTITUTE(TRIM('수출입 실적(신성질별)'!C70),",","")),"")</f>
        <v>2160003.5</v>
      </c>
      <c r="G66" s="19" t="n">
        <f aca="false">IFERROR(VALUE(SUBSTITUTE(TRIM('수출입 실적(신성질별)'!D70),",","")),"")</f>
        <v>29399707</v>
      </c>
      <c r="H66" s="18" t="n">
        <f aca="false">IFERROR(VALUE(SUBSTITUTE(TRIM('수출입 실적(신성질별)'!E70),",","")),"")</f>
        <v>1199672.2</v>
      </c>
      <c r="I66" s="19" t="n">
        <f aca="false">IFERROR(VALUE(SUBSTITUTE(TRIM('수출입 실적(신성질별)'!F70),",","")),"")</f>
        <v>19499755</v>
      </c>
    </row>
    <row r="67" customFormat="false" ht="15" hidden="false" customHeight="true" outlineLevel="0" collapsed="false">
      <c r="A67" s="11" t="str">
        <f aca="false">TRIM('수출입 실적(신성질별)'!A71)</f>
        <v>2024.04</v>
      </c>
      <c r="B67" s="17" t="n">
        <f aca="false">IFERROR(VALUE(LEFT($A67,4)),"")</f>
        <v>2024</v>
      </c>
      <c r="C67" s="17" t="n">
        <f aca="false">IFERROR(VALUE(RIGHT($A67,2)),"")</f>
        <v>4</v>
      </c>
      <c r="D67" s="17" t="n">
        <f aca="false">IFERROR(ROUNDUP($C67/3,0),"")</f>
        <v>2</v>
      </c>
      <c r="E67" s="11" t="str">
        <f aca="false">TRIM('수출입 실적(신성질별)'!B71)</f>
        <v>가.수송장비</v>
      </c>
      <c r="F67" s="18" t="n">
        <f aca="false">IFERROR(VALUE(SUBSTITUTE(TRIM('수출입 실적(신성질별)'!C71),",","")),"")</f>
        <v>1388447.1</v>
      </c>
      <c r="G67" s="19" t="n">
        <f aca="false">IFERROR(VALUE(SUBSTITUTE(TRIM('수출입 실적(신성질별)'!D71),",","")),"")</f>
        <v>5516298</v>
      </c>
      <c r="H67" s="18" t="n">
        <f aca="false">IFERROR(VALUE(SUBSTITUTE(TRIM('수출입 실적(신성질별)'!E71),",","")),"")</f>
        <v>581442.4</v>
      </c>
      <c r="I67" s="19" t="n">
        <f aca="false">IFERROR(VALUE(SUBSTITUTE(TRIM('수출입 실적(신성질별)'!F71),",","")),"")</f>
        <v>2156675</v>
      </c>
    </row>
    <row r="68" customFormat="false" ht="15" hidden="false" customHeight="true" outlineLevel="0" collapsed="false">
      <c r="A68" s="11" t="str">
        <f aca="false">TRIM('수출입 실적(신성질별)'!A72)</f>
        <v>2024.04</v>
      </c>
      <c r="B68" s="17" t="n">
        <f aca="false">IFERROR(VALUE(LEFT($A68,4)),"")</f>
        <v>2024</v>
      </c>
      <c r="C68" s="17" t="n">
        <f aca="false">IFERROR(VALUE(RIGHT($A68,2)),"")</f>
        <v>4</v>
      </c>
      <c r="D68" s="17" t="n">
        <f aca="false">IFERROR(ROUNDUP($C68/3,0),"")</f>
        <v>2</v>
      </c>
      <c r="E68" s="11" t="str">
        <f aca="false">TRIM('수출입 실적(신성질별)'!B72)</f>
        <v>나.기계류</v>
      </c>
      <c r="F68" s="18" t="n">
        <f aca="false">IFERROR(VALUE(SUBSTITUTE(TRIM('수출입 실적(신성질별)'!C72),",","")),"")</f>
        <v>726224.5</v>
      </c>
      <c r="G68" s="19" t="n">
        <f aca="false">IFERROR(VALUE(SUBSTITUTE(TRIM('수출입 실적(신성질별)'!D72),",","")),"")</f>
        <v>9276130</v>
      </c>
      <c r="H68" s="18" t="n">
        <f aca="false">IFERROR(VALUE(SUBSTITUTE(TRIM('수출입 실적(신성질별)'!E72),",","")),"")</f>
        <v>564136.7</v>
      </c>
      <c r="I68" s="19" t="n">
        <f aca="false">IFERROR(VALUE(SUBSTITUTE(TRIM('수출입 실적(신성질별)'!F72),",","")),"")</f>
        <v>8148287</v>
      </c>
    </row>
    <row r="69" customFormat="false" ht="15" hidden="false" customHeight="true" outlineLevel="0" collapsed="false">
      <c r="A69" s="11" t="str">
        <f aca="false">TRIM('수출입 실적(신성질별)'!A73)</f>
        <v>2024.04</v>
      </c>
      <c r="B69" s="17" t="n">
        <f aca="false">IFERROR(VALUE(LEFT($A69,4)),"")</f>
        <v>2024</v>
      </c>
      <c r="C69" s="17" t="n">
        <f aca="false">IFERROR(VALUE(RIGHT($A69,2)),"")</f>
        <v>4</v>
      </c>
      <c r="D69" s="17" t="n">
        <f aca="false">IFERROR(ROUNDUP($C69/3,0),"")</f>
        <v>2</v>
      </c>
      <c r="E69" s="11" t="str">
        <f aca="false">TRIM('수출입 실적(신성질별)'!B73)</f>
        <v>다.IT제품</v>
      </c>
      <c r="F69" s="18" t="n">
        <f aca="false">IFERROR(VALUE(SUBSTITUTE(TRIM('수출입 실적(신성질별)'!C73),",","")),"")</f>
        <v>14147.8</v>
      </c>
      <c r="G69" s="19" t="n">
        <f aca="false">IFERROR(VALUE(SUBSTITUTE(TRIM('수출입 실적(신성질별)'!D73),",","")),"")</f>
        <v>3144964</v>
      </c>
      <c r="H69" s="18" t="n">
        <f aca="false">IFERROR(VALUE(SUBSTITUTE(TRIM('수출입 실적(신성질별)'!E73),",","")),"")</f>
        <v>20575.1</v>
      </c>
      <c r="I69" s="19" t="n">
        <f aca="false">IFERROR(VALUE(SUBSTITUTE(TRIM('수출입 실적(신성질별)'!F73),",","")),"")</f>
        <v>2453319</v>
      </c>
    </row>
    <row r="70" customFormat="false" ht="15" hidden="false" customHeight="true" outlineLevel="0" collapsed="false">
      <c r="A70" s="11" t="str">
        <f aca="false">TRIM('수출입 실적(신성질별)'!A74)</f>
        <v>2024.04</v>
      </c>
      <c r="B70" s="17" t="n">
        <f aca="false">IFERROR(VALUE(LEFT($A70,4)),"")</f>
        <v>2024</v>
      </c>
      <c r="C70" s="17" t="n">
        <f aca="false">IFERROR(VALUE(RIGHT($A70,2)),"")</f>
        <v>4</v>
      </c>
      <c r="D70" s="17" t="n">
        <f aca="false">IFERROR(ROUNDUP($C70/3,0),"")</f>
        <v>2</v>
      </c>
      <c r="E70" s="11" t="str">
        <f aca="false">TRIM('수출입 실적(신성질별)'!B74)</f>
        <v>라.IT부품</v>
      </c>
      <c r="F70" s="18" t="n">
        <f aca="false">IFERROR(VALUE(SUBSTITUTE(TRIM('수출입 실적(신성질별)'!C74),",","")),"")</f>
        <v>31184.1</v>
      </c>
      <c r="G70" s="19" t="n">
        <f aca="false">IFERROR(VALUE(SUBSTITUTE(TRIM('수출입 실적(신성질별)'!D74),",","")),"")</f>
        <v>11462315</v>
      </c>
      <c r="H70" s="18" t="n">
        <f aca="false">IFERROR(VALUE(SUBSTITUTE(TRIM('수출입 실적(신성질별)'!E74),",","")),"")</f>
        <v>33518.1</v>
      </c>
      <c r="I70" s="19" t="n">
        <f aca="false">IFERROR(VALUE(SUBSTITUTE(TRIM('수출입 실적(신성질별)'!F74),",","")),"")</f>
        <v>6741474</v>
      </c>
    </row>
    <row r="71" customFormat="false" ht="15" hidden="false" customHeight="true" outlineLevel="0" collapsed="false">
      <c r="A71" s="11" t="str">
        <f aca="false">TRIM('수출입 실적(신성질별)'!A75)</f>
        <v>2024.05</v>
      </c>
      <c r="B71" s="17" t="n">
        <f aca="false">IFERROR(VALUE(LEFT($A71,4)),"")</f>
        <v>2024</v>
      </c>
      <c r="C71" s="17" t="n">
        <f aca="false">IFERROR(VALUE(RIGHT($A71,2)),"")</f>
        <v>5</v>
      </c>
      <c r="D71" s="17" t="n">
        <f aca="false">IFERROR(ROUNDUP($C71/3,0),"")</f>
        <v>2</v>
      </c>
      <c r="E71" s="11" t="str">
        <f aca="false">TRIM('수출입 실적(신성질별)'!B75)</f>
        <v>1.소비재</v>
      </c>
      <c r="F71" s="18" t="n">
        <f aca="false">IFERROR(VALUE(SUBSTITUTE(TRIM('수출입 실적(신성질별)'!C75),",","")),"")</f>
        <v>1009125</v>
      </c>
      <c r="G71" s="19" t="n">
        <f aca="false">IFERROR(VALUE(SUBSTITUTE(TRIM('수출입 실적(신성질별)'!D75),",","")),"")</f>
        <v>8857146</v>
      </c>
      <c r="H71" s="18" t="n">
        <f aca="false">IFERROR(VALUE(SUBSTITUTE(TRIM('수출입 실적(신성질별)'!E75),",","")),"")</f>
        <v>2274850.9</v>
      </c>
      <c r="I71" s="19" t="n">
        <f aca="false">IFERROR(VALUE(SUBSTITUTE(TRIM('수출입 실적(신성질별)'!F75),",","")),"")</f>
        <v>7408914</v>
      </c>
    </row>
    <row r="72" customFormat="false" ht="15" hidden="false" customHeight="true" outlineLevel="0" collapsed="false">
      <c r="A72" s="11" t="str">
        <f aca="false">TRIM('수출입 실적(신성질별)'!A76)</f>
        <v>2024.05</v>
      </c>
      <c r="B72" s="17" t="n">
        <f aca="false">IFERROR(VALUE(LEFT($A72,4)),"")</f>
        <v>2024</v>
      </c>
      <c r="C72" s="17" t="n">
        <f aca="false">IFERROR(VALUE(RIGHT($A72,2)),"")</f>
        <v>5</v>
      </c>
      <c r="D72" s="17" t="n">
        <f aca="false">IFERROR(ROUNDUP($C72/3,0),"")</f>
        <v>2</v>
      </c>
      <c r="E72" s="11" t="str">
        <f aca="false">TRIM('수출입 실적(신성질별)'!B76)</f>
        <v>가.직접소비재</v>
      </c>
      <c r="F72" s="18" t="n">
        <f aca="false">IFERROR(VALUE(SUBSTITUTE(TRIM('수출입 실적(신성질별)'!C76),",","")),"")</f>
        <v>323568.6</v>
      </c>
      <c r="G72" s="19" t="n">
        <f aca="false">IFERROR(VALUE(SUBSTITUTE(TRIM('수출입 실적(신성질별)'!D76),",","")),"")</f>
        <v>918339</v>
      </c>
      <c r="H72" s="18" t="n">
        <f aca="false">IFERROR(VALUE(SUBSTITUTE(TRIM('수출입 실적(신성질별)'!E76),",","")),"")</f>
        <v>1881251.2</v>
      </c>
      <c r="I72" s="19" t="n">
        <f aca="false">IFERROR(VALUE(SUBSTITUTE(TRIM('수출입 실적(신성질별)'!F76),",","")),"")</f>
        <v>2856730</v>
      </c>
    </row>
    <row r="73" customFormat="false" ht="15" hidden="false" customHeight="true" outlineLevel="0" collapsed="false">
      <c r="A73" s="11" t="str">
        <f aca="false">TRIM('수출입 실적(신성질별)'!A77)</f>
        <v>2024.05</v>
      </c>
      <c r="B73" s="17" t="n">
        <f aca="false">IFERROR(VALUE(LEFT($A73,4)),"")</f>
        <v>2024</v>
      </c>
      <c r="C73" s="17" t="n">
        <f aca="false">IFERROR(VALUE(RIGHT($A73,2)),"")</f>
        <v>5</v>
      </c>
      <c r="D73" s="17" t="n">
        <f aca="false">IFERROR(ROUNDUP($C73/3,0),"")</f>
        <v>2</v>
      </c>
      <c r="E73" s="11" t="str">
        <f aca="false">TRIM('수출입 실적(신성질별)'!B77)</f>
        <v>나.내구소비재</v>
      </c>
      <c r="F73" s="18" t="n">
        <f aca="false">IFERROR(VALUE(SUBSTITUTE(TRIM('수출입 실적(신성질별)'!C77),",","")),"")</f>
        <v>511171.5</v>
      </c>
      <c r="G73" s="19" t="n">
        <f aca="false">IFERROR(VALUE(SUBSTITUTE(TRIM('수출입 실적(신성질별)'!D77),",","")),"")</f>
        <v>6261792</v>
      </c>
      <c r="H73" s="18" t="n">
        <f aca="false">IFERROR(VALUE(SUBSTITUTE(TRIM('수출입 실적(신성질별)'!E77),",","")),"")</f>
        <v>230785.3</v>
      </c>
      <c r="I73" s="19" t="n">
        <f aca="false">IFERROR(VALUE(SUBSTITUTE(TRIM('수출입 실적(신성질별)'!F77),",","")),"")</f>
        <v>2450790</v>
      </c>
    </row>
    <row r="74" customFormat="false" ht="15" hidden="false" customHeight="true" outlineLevel="0" collapsed="false">
      <c r="A74" s="11" t="str">
        <f aca="false">TRIM('수출입 실적(신성질별)'!A78)</f>
        <v>2024.05</v>
      </c>
      <c r="B74" s="17" t="n">
        <f aca="false">IFERROR(VALUE(LEFT($A74,4)),"")</f>
        <v>2024</v>
      </c>
      <c r="C74" s="17" t="n">
        <f aca="false">IFERROR(VALUE(RIGHT($A74,2)),"")</f>
        <v>5</v>
      </c>
      <c r="D74" s="17" t="n">
        <f aca="false">IFERROR(ROUNDUP($C74/3,0),"")</f>
        <v>2</v>
      </c>
      <c r="E74" s="11" t="str">
        <f aca="false">TRIM('수출입 실적(신성질별)'!B78)</f>
        <v>다.비내구소비재</v>
      </c>
      <c r="F74" s="18" t="n">
        <f aca="false">IFERROR(VALUE(SUBSTITUTE(TRIM('수출입 실적(신성질별)'!C78),",","")),"")</f>
        <v>171550.1</v>
      </c>
      <c r="G74" s="19" t="n">
        <f aca="false">IFERROR(VALUE(SUBSTITUTE(TRIM('수출입 실적(신성질별)'!D78),",","")),"")</f>
        <v>1674154</v>
      </c>
      <c r="H74" s="18" t="n">
        <f aca="false">IFERROR(VALUE(SUBSTITUTE(TRIM('수출입 실적(신성질별)'!E78),",","")),"")</f>
        <v>162814.5</v>
      </c>
      <c r="I74" s="19" t="n">
        <f aca="false">IFERROR(VALUE(SUBSTITUTE(TRIM('수출입 실적(신성질별)'!F78),",","")),"")</f>
        <v>2101394</v>
      </c>
    </row>
    <row r="75" customFormat="false" ht="15" hidden="false" customHeight="true" outlineLevel="0" collapsed="false">
      <c r="A75" s="11" t="str">
        <f aca="false">TRIM('수출입 실적(신성질별)'!A79)</f>
        <v>2024.05</v>
      </c>
      <c r="B75" s="17" t="n">
        <f aca="false">IFERROR(VALUE(LEFT($A75,4)),"")</f>
        <v>2024</v>
      </c>
      <c r="C75" s="17" t="n">
        <f aca="false">IFERROR(VALUE(RIGHT($A75,2)),"")</f>
        <v>5</v>
      </c>
      <c r="D75" s="17" t="n">
        <f aca="false">IFERROR(ROUNDUP($C75/3,0),"")</f>
        <v>2</v>
      </c>
      <c r="E75" s="11" t="str">
        <f aca="false">TRIM('수출입 실적(신성질별)'!B79)</f>
        <v>라.간이세율적용분</v>
      </c>
      <c r="F75" s="18" t="n">
        <f aca="false">IFERROR(VALUE(SUBSTITUTE(TRIM('수출입 실적(신성질별)'!C79),",","")),"")</f>
        <v>2834.8</v>
      </c>
      <c r="G75" s="19" t="n">
        <f aca="false">IFERROR(VALUE(SUBSTITUTE(TRIM('수출입 실적(신성질별)'!D79),",","")),"")</f>
        <v>2861</v>
      </c>
      <c r="H75" s="18" t="n">
        <f aca="false">IFERROR(VALUE(SUBSTITUTE(TRIM('수출입 실적(신성질별)'!E79),",","")),"")</f>
        <v>0</v>
      </c>
      <c r="I75" s="19" t="n">
        <f aca="false">IFERROR(VALUE(SUBSTITUTE(TRIM('수출입 실적(신성질별)'!F79),",","")),"")</f>
        <v>0</v>
      </c>
    </row>
    <row r="76" customFormat="false" ht="15" hidden="false" customHeight="true" outlineLevel="0" collapsed="false">
      <c r="A76" s="11" t="str">
        <f aca="false">TRIM('수출입 실적(신성질별)'!A80)</f>
        <v>2024.05</v>
      </c>
      <c r="B76" s="17" t="n">
        <f aca="false">IFERROR(VALUE(LEFT($A76,4)),"")</f>
        <v>2024</v>
      </c>
      <c r="C76" s="17" t="n">
        <f aca="false">IFERROR(VALUE(RIGHT($A76,2)),"")</f>
        <v>5</v>
      </c>
      <c r="D76" s="17" t="n">
        <f aca="false">IFERROR(ROUNDUP($C76/3,0),"")</f>
        <v>2</v>
      </c>
      <c r="E76" s="11" t="str">
        <f aca="false">TRIM('수출입 실적(신성질별)'!B80)</f>
        <v>2.원자재</v>
      </c>
      <c r="F76" s="18" t="n">
        <f aca="false">IFERROR(VALUE(SUBSTITUTE(TRIM('수출입 실적(신성질별)'!C80),",","")),"")</f>
        <v>13739488.8</v>
      </c>
      <c r="G76" s="19" t="n">
        <f aca="false">IFERROR(VALUE(SUBSTITUTE(TRIM('수출입 실적(신성질별)'!D80),",","")),"")</f>
        <v>17751761</v>
      </c>
      <c r="H76" s="18" t="n">
        <f aca="false">IFERROR(VALUE(SUBSTITUTE(TRIM('수출입 실적(신성질별)'!E80),",","")),"")</f>
        <v>42597760.2</v>
      </c>
      <c r="I76" s="19" t="n">
        <f aca="false">IFERROR(VALUE(SUBSTITUTE(TRIM('수출입 실적(신성질별)'!F80),",","")),"")</f>
        <v>26767236</v>
      </c>
    </row>
    <row r="77" customFormat="false" ht="15" hidden="false" customHeight="true" outlineLevel="0" collapsed="false">
      <c r="A77" s="11" t="str">
        <f aca="false">TRIM('수출입 실적(신성질별)'!A81)</f>
        <v>2024.05</v>
      </c>
      <c r="B77" s="17" t="n">
        <f aca="false">IFERROR(VALUE(LEFT($A77,4)),"")</f>
        <v>2024</v>
      </c>
      <c r="C77" s="17" t="n">
        <f aca="false">IFERROR(VALUE(RIGHT($A77,2)),"")</f>
        <v>5</v>
      </c>
      <c r="D77" s="17" t="n">
        <f aca="false">IFERROR(ROUNDUP($C77/3,0),"")</f>
        <v>2</v>
      </c>
      <c r="E77" s="11" t="str">
        <f aca="false">TRIM('수출입 실적(신성질별)'!B81)</f>
        <v>가.동식물성 연·원료</v>
      </c>
      <c r="F77" s="18" t="n">
        <f aca="false">IFERROR(VALUE(SUBSTITUTE(TRIM('수출입 실적(신성질별)'!C81),",","")),"")</f>
        <v>388503.8</v>
      </c>
      <c r="G77" s="19" t="n">
        <f aca="false">IFERROR(VALUE(SUBSTITUTE(TRIM('수출입 실적(신성질별)'!D81),",","")),"")</f>
        <v>462643</v>
      </c>
      <c r="H77" s="18" t="n">
        <f aca="false">IFERROR(VALUE(SUBSTITUTE(TRIM('수출입 실적(신성질별)'!E81),",","")),"")</f>
        <v>2936597.1</v>
      </c>
      <c r="I77" s="19" t="n">
        <f aca="false">IFERROR(VALUE(SUBSTITUTE(TRIM('수출입 실적(신성질별)'!F81),",","")),"")</f>
        <v>1472869</v>
      </c>
    </row>
    <row r="78" customFormat="false" ht="15" hidden="false" customHeight="true" outlineLevel="0" collapsed="false">
      <c r="A78" s="11" t="str">
        <f aca="false">TRIM('수출입 실적(신성질별)'!A82)</f>
        <v>2024.05</v>
      </c>
      <c r="B78" s="17" t="n">
        <f aca="false">IFERROR(VALUE(LEFT($A78,4)),"")</f>
        <v>2024</v>
      </c>
      <c r="C78" s="17" t="n">
        <f aca="false">IFERROR(VALUE(RIGHT($A78,2)),"")</f>
        <v>5</v>
      </c>
      <c r="D78" s="17" t="n">
        <f aca="false">IFERROR(ROUNDUP($C78/3,0),"")</f>
        <v>2</v>
      </c>
      <c r="E78" s="11" t="str">
        <f aca="false">TRIM('수출입 실적(신성질별)'!B82)</f>
        <v>나.섬유류</v>
      </c>
      <c r="F78" s="18" t="n">
        <f aca="false">IFERROR(VALUE(SUBSTITUTE(TRIM('수출입 실적(신성질별)'!C82),",","")),"")</f>
        <v>136069.9</v>
      </c>
      <c r="G78" s="19" t="n">
        <f aca="false">IFERROR(VALUE(SUBSTITUTE(TRIM('수출입 실적(신성질별)'!D82),",","")),"")</f>
        <v>692122</v>
      </c>
      <c r="H78" s="18" t="n">
        <f aca="false">IFERROR(VALUE(SUBSTITUTE(TRIM('수출입 실적(신성질별)'!E82),",","")),"")</f>
        <v>109739.1</v>
      </c>
      <c r="I78" s="19" t="n">
        <f aca="false">IFERROR(VALUE(SUBSTITUTE(TRIM('수출입 실적(신성질별)'!F82),",","")),"")</f>
        <v>373775</v>
      </c>
    </row>
    <row r="79" customFormat="false" ht="15" hidden="false" customHeight="true" outlineLevel="0" collapsed="false">
      <c r="A79" s="11" t="str">
        <f aca="false">TRIM('수출입 실적(신성질별)'!A83)</f>
        <v>2024.05</v>
      </c>
      <c r="B79" s="17" t="n">
        <f aca="false">IFERROR(VALUE(LEFT($A79,4)),"")</f>
        <v>2024</v>
      </c>
      <c r="C79" s="17" t="n">
        <f aca="false">IFERROR(VALUE(RIGHT($A79,2)),"")</f>
        <v>5</v>
      </c>
      <c r="D79" s="17" t="n">
        <f aca="false">IFERROR(ROUNDUP($C79/3,0),"")</f>
        <v>2</v>
      </c>
      <c r="E79" s="11" t="str">
        <f aca="false">TRIM('수출입 실적(신성질별)'!B83)</f>
        <v>다.광산물</v>
      </c>
      <c r="F79" s="18" t="n">
        <f aca="false">IFERROR(VALUE(SUBSTITUTE(TRIM('수출입 실적(신성질별)'!C83),",","")),"")</f>
        <v>6447225.5</v>
      </c>
      <c r="G79" s="19" t="n">
        <f aca="false">IFERROR(VALUE(SUBSTITUTE(TRIM('수출입 실적(신성질별)'!D83),",","")),"")</f>
        <v>5329632</v>
      </c>
      <c r="H79" s="18" t="n">
        <f aca="false">IFERROR(VALUE(SUBSTITUTE(TRIM('수출입 실적(신성질별)'!E83),",","")),"")</f>
        <v>35638635.8</v>
      </c>
      <c r="I79" s="19" t="n">
        <f aca="false">IFERROR(VALUE(SUBSTITUTE(TRIM('수출입 실적(신성질별)'!F83),",","")),"")</f>
        <v>16598610</v>
      </c>
    </row>
    <row r="80" customFormat="false" ht="15" hidden="false" customHeight="true" outlineLevel="0" collapsed="false">
      <c r="A80" s="11" t="str">
        <f aca="false">TRIM('수출입 실적(신성질별)'!A84)</f>
        <v>2024.05</v>
      </c>
      <c r="B80" s="17" t="n">
        <f aca="false">IFERROR(VALUE(LEFT($A80,4)),"")</f>
        <v>2024</v>
      </c>
      <c r="C80" s="17" t="n">
        <f aca="false">IFERROR(VALUE(RIGHT($A80,2)),"")</f>
        <v>5</v>
      </c>
      <c r="D80" s="17" t="n">
        <f aca="false">IFERROR(ROUNDUP($C80/3,0),"")</f>
        <v>2</v>
      </c>
      <c r="E80" s="11" t="str">
        <f aca="false">TRIM('수출입 실적(신성질별)'!B84)</f>
        <v>라.철강 및 금속제품</v>
      </c>
      <c r="F80" s="18" t="n">
        <f aca="false">IFERROR(VALUE(SUBSTITUTE(TRIM('수출입 실적(신성질별)'!C84),",","")),"")</f>
        <v>2594695.1</v>
      </c>
      <c r="G80" s="19" t="n">
        <f aca="false">IFERROR(VALUE(SUBSTITUTE(TRIM('수출입 실적(신성질별)'!D84),",","")),"")</f>
        <v>3570820</v>
      </c>
      <c r="H80" s="18" t="n">
        <f aca="false">IFERROR(VALUE(SUBSTITUTE(TRIM('수출입 실적(신성질별)'!E84),",","")),"")</f>
        <v>1996395.6</v>
      </c>
      <c r="I80" s="19" t="n">
        <f aca="false">IFERROR(VALUE(SUBSTITUTE(TRIM('수출입 실적(신성질별)'!F84),",","")),"")</f>
        <v>3103368</v>
      </c>
    </row>
    <row r="81" customFormat="false" ht="15" hidden="false" customHeight="true" outlineLevel="0" collapsed="false">
      <c r="A81" s="11" t="str">
        <f aca="false">TRIM('수출입 실적(신성질별)'!A85)</f>
        <v>2024.05</v>
      </c>
      <c r="B81" s="17" t="n">
        <f aca="false">IFERROR(VALUE(LEFT($A81,4)),"")</f>
        <v>2024</v>
      </c>
      <c r="C81" s="17" t="n">
        <f aca="false">IFERROR(VALUE(RIGHT($A81,2)),"")</f>
        <v>5</v>
      </c>
      <c r="D81" s="17" t="n">
        <f aca="false">IFERROR(ROUNDUP($C81/3,0),"")</f>
        <v>2</v>
      </c>
      <c r="E81" s="11" t="str">
        <f aca="false">TRIM('수출입 실적(신성질별)'!B85)</f>
        <v>마.화학공업제품</v>
      </c>
      <c r="F81" s="18" t="n">
        <f aca="false">IFERROR(VALUE(SUBSTITUTE(TRIM('수출입 실적(신성질별)'!C85),",","")),"")</f>
        <v>4169974.6</v>
      </c>
      <c r="G81" s="19" t="n">
        <f aca="false">IFERROR(VALUE(SUBSTITUTE(TRIM('수출입 실적(신성질별)'!D85),",","")),"")</f>
        <v>7685707</v>
      </c>
      <c r="H81" s="18" t="n">
        <f aca="false">IFERROR(VALUE(SUBSTITUTE(TRIM('수출입 실적(신성질별)'!E85),",","")),"")</f>
        <v>1913058</v>
      </c>
      <c r="I81" s="19" t="n">
        <f aca="false">IFERROR(VALUE(SUBSTITUTE(TRIM('수출입 실적(신성질별)'!F85),",","")),"")</f>
        <v>5212246</v>
      </c>
    </row>
    <row r="82" customFormat="false" ht="15" hidden="false" customHeight="true" outlineLevel="0" collapsed="false">
      <c r="A82" s="11" t="str">
        <f aca="false">TRIM('수출입 실적(신성질별)'!A86)</f>
        <v>2024.05</v>
      </c>
      <c r="B82" s="17" t="n">
        <f aca="false">IFERROR(VALUE(LEFT($A82,4)),"")</f>
        <v>2024</v>
      </c>
      <c r="C82" s="17" t="n">
        <f aca="false">IFERROR(VALUE(RIGHT($A82,2)),"")</f>
        <v>5</v>
      </c>
      <c r="D82" s="17" t="n">
        <f aca="false">IFERROR(ROUNDUP($C82/3,0),"")</f>
        <v>2</v>
      </c>
      <c r="E82" s="11" t="str">
        <f aca="false">TRIM('수출입 실적(신성질별)'!B86)</f>
        <v>바.기타 원자재</v>
      </c>
      <c r="F82" s="18" t="n">
        <f aca="false">IFERROR(VALUE(SUBSTITUTE(TRIM('수출입 실적(신성질별)'!C86),",","")),"")</f>
        <v>3020</v>
      </c>
      <c r="G82" s="19" t="n">
        <f aca="false">IFERROR(VALUE(SUBSTITUTE(TRIM('수출입 실적(신성질별)'!D86),",","")),"")</f>
        <v>10837</v>
      </c>
      <c r="H82" s="18" t="n">
        <f aca="false">IFERROR(VALUE(SUBSTITUTE(TRIM('수출입 실적(신성질별)'!E86),",","")),"")</f>
        <v>3334.6</v>
      </c>
      <c r="I82" s="19" t="n">
        <f aca="false">IFERROR(VALUE(SUBSTITUTE(TRIM('수출입 실적(신성질별)'!F86),",","")),"")</f>
        <v>6368</v>
      </c>
    </row>
    <row r="83" customFormat="false" ht="15" hidden="false" customHeight="true" outlineLevel="0" collapsed="false">
      <c r="A83" s="11" t="str">
        <f aca="false">TRIM('수출입 실적(신성질별)'!A87)</f>
        <v>2024.05</v>
      </c>
      <c r="B83" s="17" t="n">
        <f aca="false">IFERROR(VALUE(LEFT($A83,4)),"")</f>
        <v>2024</v>
      </c>
      <c r="C83" s="17" t="n">
        <f aca="false">IFERROR(VALUE(RIGHT($A83,2)),"")</f>
        <v>5</v>
      </c>
      <c r="D83" s="17" t="n">
        <f aca="false">IFERROR(ROUNDUP($C83/3,0),"")</f>
        <v>2</v>
      </c>
      <c r="E83" s="11" t="str">
        <f aca="false">TRIM('수출입 실적(신성질별)'!B87)</f>
        <v>3.자본재</v>
      </c>
      <c r="F83" s="18" t="n">
        <f aca="false">IFERROR(VALUE(SUBSTITUTE(TRIM('수출입 실적(신성질별)'!C87),",","")),"")</f>
        <v>2045184.6</v>
      </c>
      <c r="G83" s="19" t="n">
        <f aca="false">IFERROR(VALUE(SUBSTITUTE(TRIM('수출입 실적(신성질별)'!D87),",","")),"")</f>
        <v>31411650</v>
      </c>
      <c r="H83" s="18" t="n">
        <f aca="false">IFERROR(VALUE(SUBSTITUTE(TRIM('수출입 실적(신성질별)'!E87),",","")),"")</f>
        <v>1007676</v>
      </c>
      <c r="I83" s="19" t="n">
        <f aca="false">IFERROR(VALUE(SUBSTITUTE(TRIM('수출입 실적(신성질별)'!F87),",","")),"")</f>
        <v>18956787</v>
      </c>
    </row>
    <row r="84" customFormat="false" ht="15" hidden="false" customHeight="true" outlineLevel="0" collapsed="false">
      <c r="A84" s="11" t="str">
        <f aca="false">TRIM('수출입 실적(신성질별)'!A88)</f>
        <v>2024.05</v>
      </c>
      <c r="B84" s="17" t="n">
        <f aca="false">IFERROR(VALUE(LEFT($A84,4)),"")</f>
        <v>2024</v>
      </c>
      <c r="C84" s="17" t="n">
        <f aca="false">IFERROR(VALUE(RIGHT($A84,2)),"")</f>
        <v>5</v>
      </c>
      <c r="D84" s="17" t="n">
        <f aca="false">IFERROR(ROUNDUP($C84/3,0),"")</f>
        <v>2</v>
      </c>
      <c r="E84" s="11" t="str">
        <f aca="false">TRIM('수출입 실적(신성질별)'!B88)</f>
        <v>가.수송장비</v>
      </c>
      <c r="F84" s="18" t="n">
        <f aca="false">IFERROR(VALUE(SUBSTITUTE(TRIM('수출입 실적(신성질별)'!C88),",","")),"")</f>
        <v>1289404.7</v>
      </c>
      <c r="G84" s="19" t="n">
        <f aca="false">IFERROR(VALUE(SUBSTITUTE(TRIM('수출입 실적(신성질별)'!D88),",","")),"")</f>
        <v>5805916</v>
      </c>
      <c r="H84" s="18" t="n">
        <f aca="false">IFERROR(VALUE(SUBSTITUTE(TRIM('수출입 실적(신성질별)'!E88),",","")),"")</f>
        <v>345868.4</v>
      </c>
      <c r="I84" s="19" t="n">
        <f aca="false">IFERROR(VALUE(SUBSTITUTE(TRIM('수출입 실적(신성질별)'!F88),",","")),"")</f>
        <v>1788933</v>
      </c>
    </row>
    <row r="85" customFormat="false" ht="15" hidden="false" customHeight="true" outlineLevel="0" collapsed="false">
      <c r="A85" s="11" t="str">
        <f aca="false">TRIM('수출입 실적(신성질별)'!A89)</f>
        <v>2024.05</v>
      </c>
      <c r="B85" s="17" t="n">
        <f aca="false">IFERROR(VALUE(LEFT($A85,4)),"")</f>
        <v>2024</v>
      </c>
      <c r="C85" s="17" t="n">
        <f aca="false">IFERROR(VALUE(RIGHT($A85,2)),"")</f>
        <v>5</v>
      </c>
      <c r="D85" s="17" t="n">
        <f aca="false">IFERROR(ROUNDUP($C85/3,0),"")</f>
        <v>2</v>
      </c>
      <c r="E85" s="11" t="str">
        <f aca="false">TRIM('수출입 실적(신성질별)'!B89)</f>
        <v>나.기계류</v>
      </c>
      <c r="F85" s="18" t="n">
        <f aca="false">IFERROR(VALUE(SUBSTITUTE(TRIM('수출입 실적(신성질별)'!C89),",","")),"")</f>
        <v>711183.2</v>
      </c>
      <c r="G85" s="19" t="n">
        <f aca="false">IFERROR(VALUE(SUBSTITUTE(TRIM('수출입 실적(신성질별)'!D89),",","")),"")</f>
        <v>9013094</v>
      </c>
      <c r="H85" s="18" t="n">
        <f aca="false">IFERROR(VALUE(SUBSTITUTE(TRIM('수출입 실적(신성질별)'!E89),",","")),"")</f>
        <v>608478.7</v>
      </c>
      <c r="I85" s="19" t="n">
        <f aca="false">IFERROR(VALUE(SUBSTITUTE(TRIM('수출입 실적(신성질별)'!F89),",","")),"")</f>
        <v>8149958</v>
      </c>
    </row>
    <row r="86" customFormat="false" ht="15" hidden="false" customHeight="true" outlineLevel="0" collapsed="false">
      <c r="A86" s="11" t="str">
        <f aca="false">TRIM('수출입 실적(신성질별)'!A90)</f>
        <v>2024.05</v>
      </c>
      <c r="B86" s="17" t="n">
        <f aca="false">IFERROR(VALUE(LEFT($A86,4)),"")</f>
        <v>2024</v>
      </c>
      <c r="C86" s="17" t="n">
        <f aca="false">IFERROR(VALUE(RIGHT($A86,2)),"")</f>
        <v>5</v>
      </c>
      <c r="D86" s="17" t="n">
        <f aca="false">IFERROR(ROUNDUP($C86/3,0),"")</f>
        <v>2</v>
      </c>
      <c r="E86" s="11" t="str">
        <f aca="false">TRIM('수출입 실적(신성질별)'!B90)</f>
        <v>다.IT제품</v>
      </c>
      <c r="F86" s="18" t="n">
        <f aca="false">IFERROR(VALUE(SUBSTITUTE(TRIM('수출입 실적(신성질별)'!C90),",","")),"")</f>
        <v>13885.2</v>
      </c>
      <c r="G86" s="19" t="n">
        <f aca="false">IFERROR(VALUE(SUBSTITUTE(TRIM('수출입 실적(신성질별)'!D90),",","")),"")</f>
        <v>3707430</v>
      </c>
      <c r="H86" s="18" t="n">
        <f aca="false">IFERROR(VALUE(SUBSTITUTE(TRIM('수출입 실적(신성질별)'!E90),",","")),"")</f>
        <v>17960.1</v>
      </c>
      <c r="I86" s="19" t="n">
        <f aca="false">IFERROR(VALUE(SUBSTITUTE(TRIM('수출입 실적(신성질별)'!F90),",","")),"")</f>
        <v>2186322</v>
      </c>
    </row>
    <row r="87" customFormat="false" ht="15" hidden="false" customHeight="true" outlineLevel="0" collapsed="false">
      <c r="A87" s="11" t="str">
        <f aca="false">TRIM('수출입 실적(신성질별)'!A91)</f>
        <v>2024.05</v>
      </c>
      <c r="B87" s="17" t="n">
        <f aca="false">IFERROR(VALUE(LEFT($A87,4)),"")</f>
        <v>2024</v>
      </c>
      <c r="C87" s="17" t="n">
        <f aca="false">IFERROR(VALUE(RIGHT($A87,2)),"")</f>
        <v>5</v>
      </c>
      <c r="D87" s="17" t="n">
        <f aca="false">IFERROR(ROUNDUP($C87/3,0),"")</f>
        <v>2</v>
      </c>
      <c r="E87" s="11" t="str">
        <f aca="false">TRIM('수출입 실적(신성질별)'!B91)</f>
        <v>라.IT부품</v>
      </c>
      <c r="F87" s="18" t="n">
        <f aca="false">IFERROR(VALUE(SUBSTITUTE(TRIM('수출입 실적(신성질별)'!C91),",","")),"")</f>
        <v>30711.5</v>
      </c>
      <c r="G87" s="19" t="n">
        <f aca="false">IFERROR(VALUE(SUBSTITUTE(TRIM('수출입 실적(신성질별)'!D91),",","")),"")</f>
        <v>12885210</v>
      </c>
      <c r="H87" s="18" t="n">
        <f aca="false">IFERROR(VALUE(SUBSTITUTE(TRIM('수출입 실적(신성질별)'!E91),",","")),"")</f>
        <v>35368.7</v>
      </c>
      <c r="I87" s="19" t="n">
        <f aca="false">IFERROR(VALUE(SUBSTITUTE(TRIM('수출입 실적(신성질별)'!F91),",","")),"")</f>
        <v>6831575</v>
      </c>
    </row>
    <row r="88" customFormat="false" ht="15" hidden="false" customHeight="true" outlineLevel="0" collapsed="false">
      <c r="A88" s="11" t="str">
        <f aca="false">TRIM('수출입 실적(신성질별)'!A92)</f>
        <v>2024.06</v>
      </c>
      <c r="B88" s="17" t="n">
        <f aca="false">IFERROR(VALUE(LEFT($A88,4)),"")</f>
        <v>2024</v>
      </c>
      <c r="C88" s="17" t="n">
        <f aca="false">IFERROR(VALUE(RIGHT($A88,2)),"")</f>
        <v>6</v>
      </c>
      <c r="D88" s="17" t="n">
        <f aca="false">IFERROR(ROUNDUP($C88/3,0),"")</f>
        <v>2</v>
      </c>
      <c r="E88" s="11" t="str">
        <f aca="false">TRIM('수출입 실적(신성질별)'!B92)</f>
        <v>1.소비재</v>
      </c>
      <c r="F88" s="18" t="n">
        <f aca="false">IFERROR(VALUE(SUBSTITUTE(TRIM('수출입 실적(신성질별)'!C92),",","")),"")</f>
        <v>900495.5</v>
      </c>
      <c r="G88" s="19" t="n">
        <f aca="false">IFERROR(VALUE(SUBSTITUTE(TRIM('수출입 실적(신성질별)'!D92),",","")),"")</f>
        <v>8389368</v>
      </c>
      <c r="H88" s="18" t="n">
        <f aca="false">IFERROR(VALUE(SUBSTITUTE(TRIM('수출입 실적(신성질별)'!E92),",","")),"")</f>
        <v>2032591.4</v>
      </c>
      <c r="I88" s="19" t="n">
        <f aca="false">IFERROR(VALUE(SUBSTITUTE(TRIM('수출입 실적(신성질별)'!F92),",","")),"")</f>
        <v>6791787</v>
      </c>
    </row>
    <row r="89" customFormat="false" ht="15" hidden="false" customHeight="true" outlineLevel="0" collapsed="false">
      <c r="A89" s="11" t="str">
        <f aca="false">TRIM('수출입 실적(신성질별)'!A93)</f>
        <v>2024.06</v>
      </c>
      <c r="B89" s="17" t="n">
        <f aca="false">IFERROR(VALUE(LEFT($A89,4)),"")</f>
        <v>2024</v>
      </c>
      <c r="C89" s="17" t="n">
        <f aca="false">IFERROR(VALUE(RIGHT($A89,2)),"")</f>
        <v>6</v>
      </c>
      <c r="D89" s="17" t="n">
        <f aca="false">IFERROR(ROUNDUP($C89/3,0),"")</f>
        <v>2</v>
      </c>
      <c r="E89" s="11" t="str">
        <f aca="false">TRIM('수출입 실적(신성질별)'!B93)</f>
        <v>가.직접소비재</v>
      </c>
      <c r="F89" s="18" t="n">
        <f aca="false">IFERROR(VALUE(SUBSTITUTE(TRIM('수출입 실적(신성질별)'!C93),",","")),"")</f>
        <v>260004.2</v>
      </c>
      <c r="G89" s="19" t="n">
        <f aca="false">IFERROR(VALUE(SUBSTITUTE(TRIM('수출입 실적(신성질별)'!D93),",","")),"")</f>
        <v>882056</v>
      </c>
      <c r="H89" s="18" t="n">
        <f aca="false">IFERROR(VALUE(SUBSTITUTE(TRIM('수출입 실적(신성질별)'!E93),",","")),"")</f>
        <v>1682238.8</v>
      </c>
      <c r="I89" s="19" t="n">
        <f aca="false">IFERROR(VALUE(SUBSTITUTE(TRIM('수출입 실적(신성질별)'!F93),",","")),"")</f>
        <v>2582059</v>
      </c>
    </row>
    <row r="90" customFormat="false" ht="15" hidden="false" customHeight="true" outlineLevel="0" collapsed="false">
      <c r="A90" s="11" t="str">
        <f aca="false">TRIM('수출입 실적(신성질별)'!A94)</f>
        <v>2024.06</v>
      </c>
      <c r="B90" s="17" t="n">
        <f aca="false">IFERROR(VALUE(LEFT($A90,4)),"")</f>
        <v>2024</v>
      </c>
      <c r="C90" s="17" t="n">
        <f aca="false">IFERROR(VALUE(RIGHT($A90,2)),"")</f>
        <v>6</v>
      </c>
      <c r="D90" s="17" t="n">
        <f aca="false">IFERROR(ROUNDUP($C90/3,0),"")</f>
        <v>2</v>
      </c>
      <c r="E90" s="11" t="str">
        <f aca="false">TRIM('수출입 실적(신성질별)'!B94)</f>
        <v>나.내구소비재</v>
      </c>
      <c r="F90" s="18" t="n">
        <f aca="false">IFERROR(VALUE(SUBSTITUTE(TRIM('수출입 실적(신성질별)'!C94),",","")),"")</f>
        <v>481187</v>
      </c>
      <c r="G90" s="19" t="n">
        <f aca="false">IFERROR(VALUE(SUBSTITUTE(TRIM('수출입 실적(신성질별)'!D94),",","")),"")</f>
        <v>5970552</v>
      </c>
      <c r="H90" s="18" t="n">
        <f aca="false">IFERROR(VALUE(SUBSTITUTE(TRIM('수출입 실적(신성질별)'!E94),",","")),"")</f>
        <v>203764.8</v>
      </c>
      <c r="I90" s="19" t="n">
        <f aca="false">IFERROR(VALUE(SUBSTITUTE(TRIM('수출입 실적(신성질별)'!F94),",","")),"")</f>
        <v>2180868</v>
      </c>
    </row>
    <row r="91" customFormat="false" ht="15" hidden="false" customHeight="true" outlineLevel="0" collapsed="false">
      <c r="A91" s="11" t="str">
        <f aca="false">TRIM('수출입 실적(신성질별)'!A95)</f>
        <v>2024.06</v>
      </c>
      <c r="B91" s="17" t="n">
        <f aca="false">IFERROR(VALUE(LEFT($A91,4)),"")</f>
        <v>2024</v>
      </c>
      <c r="C91" s="17" t="n">
        <f aca="false">IFERROR(VALUE(RIGHT($A91,2)),"")</f>
        <v>6</v>
      </c>
      <c r="D91" s="17" t="n">
        <f aca="false">IFERROR(ROUNDUP($C91/3,0),"")</f>
        <v>2</v>
      </c>
      <c r="E91" s="11" t="str">
        <f aca="false">TRIM('수출입 실적(신성질별)'!B95)</f>
        <v>다.비내구소비재</v>
      </c>
      <c r="F91" s="18" t="n">
        <f aca="false">IFERROR(VALUE(SUBSTITUTE(TRIM('수출입 실적(신성질별)'!C95),",","")),"")</f>
        <v>155962.5</v>
      </c>
      <c r="G91" s="19" t="n">
        <f aca="false">IFERROR(VALUE(SUBSTITUTE(TRIM('수출입 실적(신성질별)'!D95),",","")),"")</f>
        <v>1533466</v>
      </c>
      <c r="H91" s="18" t="n">
        <f aca="false">IFERROR(VALUE(SUBSTITUTE(TRIM('수출입 실적(신성질별)'!E95),",","")),"")</f>
        <v>146587.9</v>
      </c>
      <c r="I91" s="19" t="n">
        <f aca="false">IFERROR(VALUE(SUBSTITUTE(TRIM('수출입 실적(신성질별)'!F95),",","")),"")</f>
        <v>2028860</v>
      </c>
    </row>
    <row r="92" customFormat="false" ht="15" hidden="false" customHeight="true" outlineLevel="0" collapsed="false">
      <c r="A92" s="11" t="str">
        <f aca="false">TRIM('수출입 실적(신성질별)'!A96)</f>
        <v>2024.06</v>
      </c>
      <c r="B92" s="17" t="n">
        <f aca="false">IFERROR(VALUE(LEFT($A92,4)),"")</f>
        <v>2024</v>
      </c>
      <c r="C92" s="17" t="n">
        <f aca="false">IFERROR(VALUE(RIGHT($A92,2)),"")</f>
        <v>6</v>
      </c>
      <c r="D92" s="17" t="n">
        <f aca="false">IFERROR(ROUNDUP($C92/3,0),"")</f>
        <v>2</v>
      </c>
      <c r="E92" s="11" t="str">
        <f aca="false">TRIM('수출입 실적(신성질별)'!B96)</f>
        <v>라.간이세율적용분</v>
      </c>
      <c r="F92" s="18" t="n">
        <f aca="false">IFERROR(VALUE(SUBSTITUTE(TRIM('수출입 실적(신성질별)'!C96),",","")),"")</f>
        <v>3341.8</v>
      </c>
      <c r="G92" s="19" t="n">
        <f aca="false">IFERROR(VALUE(SUBSTITUTE(TRIM('수출입 실적(신성질별)'!D96),",","")),"")</f>
        <v>3294</v>
      </c>
      <c r="H92" s="18" t="n">
        <f aca="false">IFERROR(VALUE(SUBSTITUTE(TRIM('수출입 실적(신성질별)'!E96),",","")),"")</f>
        <v>0</v>
      </c>
      <c r="I92" s="19" t="n">
        <f aca="false">IFERROR(VALUE(SUBSTITUTE(TRIM('수출입 실적(신성질별)'!F96),",","")),"")</f>
        <v>0</v>
      </c>
    </row>
    <row r="93" customFormat="false" ht="15" hidden="false" customHeight="true" outlineLevel="0" collapsed="false">
      <c r="A93" s="11" t="str">
        <f aca="false">TRIM('수출입 실적(신성질별)'!A97)</f>
        <v>2024.06</v>
      </c>
      <c r="B93" s="17" t="n">
        <f aca="false">IFERROR(VALUE(LEFT($A93,4)),"")</f>
        <v>2024</v>
      </c>
      <c r="C93" s="17" t="n">
        <f aca="false">IFERROR(VALUE(RIGHT($A93,2)),"")</f>
        <v>6</v>
      </c>
      <c r="D93" s="17" t="n">
        <f aca="false">IFERROR(ROUNDUP($C93/3,0),"")</f>
        <v>2</v>
      </c>
      <c r="E93" s="11" t="str">
        <f aca="false">TRIM('수출입 실적(신성질별)'!B97)</f>
        <v>2.원자재</v>
      </c>
      <c r="F93" s="18" t="n">
        <f aca="false">IFERROR(VALUE(SUBSTITUTE(TRIM('수출입 실적(신성질별)'!C97),",","")),"")</f>
        <v>11918186.3</v>
      </c>
      <c r="G93" s="19" t="n">
        <f aca="false">IFERROR(VALUE(SUBSTITUTE(TRIM('수출입 실적(신성질별)'!D97),",","")),"")</f>
        <v>16038910</v>
      </c>
      <c r="H93" s="18" t="n">
        <f aca="false">IFERROR(VALUE(SUBSTITUTE(TRIM('수출입 실적(신성질별)'!E97),",","")),"")</f>
        <v>39807712.4</v>
      </c>
      <c r="I93" s="19" t="n">
        <f aca="false">IFERROR(VALUE(SUBSTITUTE(TRIM('수출입 실적(신성질별)'!F97),",","")),"")</f>
        <v>23739756</v>
      </c>
    </row>
    <row r="94" customFormat="false" ht="15" hidden="false" customHeight="true" outlineLevel="0" collapsed="false">
      <c r="A94" s="11" t="str">
        <f aca="false">TRIM('수출입 실적(신성질별)'!A98)</f>
        <v>2024.06</v>
      </c>
      <c r="B94" s="17" t="n">
        <f aca="false">IFERROR(VALUE(LEFT($A94,4)),"")</f>
        <v>2024</v>
      </c>
      <c r="C94" s="17" t="n">
        <f aca="false">IFERROR(VALUE(RIGHT($A94,2)),"")</f>
        <v>6</v>
      </c>
      <c r="D94" s="17" t="n">
        <f aca="false">IFERROR(ROUNDUP($C94/3,0),"")</f>
        <v>2</v>
      </c>
      <c r="E94" s="11" t="str">
        <f aca="false">TRIM('수출입 실적(신성질별)'!B98)</f>
        <v>가.동식물성 연·원료</v>
      </c>
      <c r="F94" s="18" t="n">
        <f aca="false">IFERROR(VALUE(SUBSTITUTE(TRIM('수출입 실적(신성질별)'!C98),",","")),"")</f>
        <v>350144</v>
      </c>
      <c r="G94" s="19" t="n">
        <f aca="false">IFERROR(VALUE(SUBSTITUTE(TRIM('수출입 실적(신성질별)'!D98),",","")),"")</f>
        <v>432593</v>
      </c>
      <c r="H94" s="18" t="n">
        <f aca="false">IFERROR(VALUE(SUBSTITUTE(TRIM('수출입 실적(신성질별)'!E98),",","")),"")</f>
        <v>2684241.5</v>
      </c>
      <c r="I94" s="19" t="n">
        <f aca="false">IFERROR(VALUE(SUBSTITUTE(TRIM('수출입 실적(신성질별)'!F98),",","")),"")</f>
        <v>1383228</v>
      </c>
    </row>
    <row r="95" customFormat="false" ht="15" hidden="false" customHeight="true" outlineLevel="0" collapsed="false">
      <c r="A95" s="11" t="str">
        <f aca="false">TRIM('수출입 실적(신성질별)'!A99)</f>
        <v>2024.06</v>
      </c>
      <c r="B95" s="17" t="n">
        <f aca="false">IFERROR(VALUE(LEFT($A95,4)),"")</f>
        <v>2024</v>
      </c>
      <c r="C95" s="17" t="n">
        <f aca="false">IFERROR(VALUE(RIGHT($A95,2)),"")</f>
        <v>6</v>
      </c>
      <c r="D95" s="17" t="n">
        <f aca="false">IFERROR(ROUNDUP($C95/3,0),"")</f>
        <v>2</v>
      </c>
      <c r="E95" s="11" t="str">
        <f aca="false">TRIM('수출입 실적(신성질별)'!B99)</f>
        <v>나.섬유류</v>
      </c>
      <c r="F95" s="18" t="n">
        <f aca="false">IFERROR(VALUE(SUBSTITUTE(TRIM('수출입 실적(신성질별)'!C99),",","")),"")</f>
        <v>125543.7</v>
      </c>
      <c r="G95" s="19" t="n">
        <f aca="false">IFERROR(VALUE(SUBSTITUTE(TRIM('수출입 실적(신성질별)'!D99),",","")),"")</f>
        <v>621067</v>
      </c>
      <c r="H95" s="18" t="n">
        <f aca="false">IFERROR(VALUE(SUBSTITUTE(TRIM('수출입 실적(신성질별)'!E99),",","")),"")</f>
        <v>97184.7</v>
      </c>
      <c r="I95" s="19" t="n">
        <f aca="false">IFERROR(VALUE(SUBSTITUTE(TRIM('수출입 실적(신성질별)'!F99),",","")),"")</f>
        <v>335008</v>
      </c>
    </row>
    <row r="96" customFormat="false" ht="15" hidden="false" customHeight="true" outlineLevel="0" collapsed="false">
      <c r="A96" s="11" t="str">
        <f aca="false">TRIM('수출입 실적(신성질별)'!A100)</f>
        <v>2024.06</v>
      </c>
      <c r="B96" s="17" t="n">
        <f aca="false">IFERROR(VALUE(LEFT($A96,4)),"")</f>
        <v>2024</v>
      </c>
      <c r="C96" s="17" t="n">
        <f aca="false">IFERROR(VALUE(RIGHT($A96,2)),"")</f>
        <v>6</v>
      </c>
      <c r="D96" s="17" t="n">
        <f aca="false">IFERROR(ROUNDUP($C96/3,0),"")</f>
        <v>2</v>
      </c>
      <c r="E96" s="11" t="str">
        <f aca="false">TRIM('수출입 실적(신성질별)'!B100)</f>
        <v>다.광산물</v>
      </c>
      <c r="F96" s="18" t="n">
        <f aca="false">IFERROR(VALUE(SUBSTITUTE(TRIM('수출입 실적(신성질별)'!C100),",","")),"")</f>
        <v>5262525.2</v>
      </c>
      <c r="G96" s="19" t="n">
        <f aca="false">IFERROR(VALUE(SUBSTITUTE(TRIM('수출입 실적(신성질별)'!D100),",","")),"")</f>
        <v>4405107</v>
      </c>
      <c r="H96" s="18" t="n">
        <f aca="false">IFERROR(VALUE(SUBSTITUTE(TRIM('수출입 실적(신성질별)'!E100),",","")),"")</f>
        <v>33575983.9</v>
      </c>
      <c r="I96" s="19" t="n">
        <f aca="false">IFERROR(VALUE(SUBSTITUTE(TRIM('수출입 실적(신성질별)'!F100),",","")),"")</f>
        <v>14584424</v>
      </c>
    </row>
    <row r="97" customFormat="false" ht="15" hidden="false" customHeight="true" outlineLevel="0" collapsed="false">
      <c r="A97" s="11" t="str">
        <f aca="false">TRIM('수출입 실적(신성질별)'!A101)</f>
        <v>2024.06</v>
      </c>
      <c r="B97" s="17" t="n">
        <f aca="false">IFERROR(VALUE(LEFT($A97,4)),"")</f>
        <v>2024</v>
      </c>
      <c r="C97" s="17" t="n">
        <f aca="false">IFERROR(VALUE(RIGHT($A97,2)),"")</f>
        <v>6</v>
      </c>
      <c r="D97" s="17" t="n">
        <f aca="false">IFERROR(ROUNDUP($C97/3,0),"")</f>
        <v>2</v>
      </c>
      <c r="E97" s="11" t="str">
        <f aca="false">TRIM('수출입 실적(신성질별)'!B101)</f>
        <v>라.철강 및 금속제품</v>
      </c>
      <c r="F97" s="18" t="n">
        <f aca="false">IFERROR(VALUE(SUBSTITUTE(TRIM('수출입 실적(신성질별)'!C101),",","")),"")</f>
        <v>2340414.8</v>
      </c>
      <c r="G97" s="19" t="n">
        <f aca="false">IFERROR(VALUE(SUBSTITUTE(TRIM('수출입 실적(신성질별)'!D101),",","")),"")</f>
        <v>3246251</v>
      </c>
      <c r="H97" s="18" t="n">
        <f aca="false">IFERROR(VALUE(SUBSTITUTE(TRIM('수출입 실적(신성질별)'!E101),",","")),"")</f>
        <v>1639593.8</v>
      </c>
      <c r="I97" s="19" t="n">
        <f aca="false">IFERROR(VALUE(SUBSTITUTE(TRIM('수출입 실적(신성질별)'!F101),",","")),"")</f>
        <v>2814851</v>
      </c>
    </row>
    <row r="98" customFormat="false" ht="15" hidden="false" customHeight="true" outlineLevel="0" collapsed="false">
      <c r="A98" s="11" t="str">
        <f aca="false">TRIM('수출입 실적(신성질별)'!A102)</f>
        <v>2024.06</v>
      </c>
      <c r="B98" s="17" t="n">
        <f aca="false">IFERROR(VALUE(LEFT($A98,4)),"")</f>
        <v>2024</v>
      </c>
      <c r="C98" s="17" t="n">
        <f aca="false">IFERROR(VALUE(RIGHT($A98,2)),"")</f>
        <v>6</v>
      </c>
      <c r="D98" s="17" t="n">
        <f aca="false">IFERROR(ROUNDUP($C98/3,0),"")</f>
        <v>2</v>
      </c>
      <c r="E98" s="11" t="str">
        <f aca="false">TRIM('수출입 실적(신성질별)'!B102)</f>
        <v>마.화학공업제품</v>
      </c>
      <c r="F98" s="18" t="n">
        <f aca="false">IFERROR(VALUE(SUBSTITUTE(TRIM('수출입 실적(신성질별)'!C102),",","")),"")</f>
        <v>3836517.4</v>
      </c>
      <c r="G98" s="19" t="n">
        <f aca="false">IFERROR(VALUE(SUBSTITUTE(TRIM('수출입 실적(신성질별)'!D102),",","")),"")</f>
        <v>7323360</v>
      </c>
      <c r="H98" s="18" t="n">
        <f aca="false">IFERROR(VALUE(SUBSTITUTE(TRIM('수출입 실적(신성질별)'!E102),",","")),"")</f>
        <v>1807769.3</v>
      </c>
      <c r="I98" s="19" t="n">
        <f aca="false">IFERROR(VALUE(SUBSTITUTE(TRIM('수출입 실적(신성질별)'!F102),",","")),"")</f>
        <v>4615581</v>
      </c>
    </row>
    <row r="99" customFormat="false" ht="15" hidden="false" customHeight="true" outlineLevel="0" collapsed="false">
      <c r="A99" s="11" t="str">
        <f aca="false">TRIM('수출입 실적(신성질별)'!A103)</f>
        <v>2024.06</v>
      </c>
      <c r="B99" s="17" t="n">
        <f aca="false">IFERROR(VALUE(LEFT($A99,4)),"")</f>
        <v>2024</v>
      </c>
      <c r="C99" s="17" t="n">
        <f aca="false">IFERROR(VALUE(RIGHT($A99,2)),"")</f>
        <v>6</v>
      </c>
      <c r="D99" s="17" t="n">
        <f aca="false">IFERROR(ROUNDUP($C99/3,0),"")</f>
        <v>2</v>
      </c>
      <c r="E99" s="11" t="str">
        <f aca="false">TRIM('수출입 실적(신성질별)'!B103)</f>
        <v>바.기타 원자재</v>
      </c>
      <c r="F99" s="18" t="n">
        <f aca="false">IFERROR(VALUE(SUBSTITUTE(TRIM('수출입 실적(신성질별)'!C103),",","")),"")</f>
        <v>3041.3</v>
      </c>
      <c r="G99" s="19" t="n">
        <f aca="false">IFERROR(VALUE(SUBSTITUTE(TRIM('수출입 실적(신성질별)'!D103),",","")),"")</f>
        <v>10532</v>
      </c>
      <c r="H99" s="18" t="n">
        <f aca="false">IFERROR(VALUE(SUBSTITUTE(TRIM('수출입 실적(신성질별)'!E103),",","")),"")</f>
        <v>2939.2</v>
      </c>
      <c r="I99" s="19" t="n">
        <f aca="false">IFERROR(VALUE(SUBSTITUTE(TRIM('수출입 실적(신성질별)'!F103),",","")),"")</f>
        <v>6664</v>
      </c>
    </row>
    <row r="100" customFormat="false" ht="15" hidden="false" customHeight="true" outlineLevel="0" collapsed="false">
      <c r="A100" s="11" t="str">
        <f aca="false">TRIM('수출입 실적(신성질별)'!A104)</f>
        <v>2024.06</v>
      </c>
      <c r="B100" s="17" t="n">
        <f aca="false">IFERROR(VALUE(LEFT($A100,4)),"")</f>
        <v>2024</v>
      </c>
      <c r="C100" s="17" t="n">
        <f aca="false">IFERROR(VALUE(RIGHT($A100,2)),"")</f>
        <v>6</v>
      </c>
      <c r="D100" s="17" t="n">
        <f aca="false">IFERROR(ROUNDUP($C100/3,0),"")</f>
        <v>2</v>
      </c>
      <c r="E100" s="11" t="str">
        <f aca="false">TRIM('수출입 실적(신성질별)'!B104)</f>
        <v>3.자본재</v>
      </c>
      <c r="F100" s="18" t="n">
        <f aca="false">IFERROR(VALUE(SUBSTITUTE(TRIM('수출입 실적(신성질별)'!C104),",","")),"")</f>
        <v>1822752.7</v>
      </c>
      <c r="G100" s="19" t="n">
        <f aca="false">IFERROR(VALUE(SUBSTITUTE(TRIM('수출입 실적(신성질별)'!D104),",","")),"")</f>
        <v>32913356</v>
      </c>
      <c r="H100" s="18" t="n">
        <f aca="false">IFERROR(VALUE(SUBSTITUTE(TRIM('수출입 실적(신성질별)'!E104),",","")),"")</f>
        <v>861060.8</v>
      </c>
      <c r="I100" s="19" t="n">
        <f aca="false">IFERROR(VALUE(SUBSTITUTE(TRIM('수출입 실적(신성질별)'!F104),",","")),"")</f>
        <v>18558651</v>
      </c>
    </row>
    <row r="101" customFormat="false" ht="15" hidden="false" customHeight="true" outlineLevel="0" collapsed="false">
      <c r="A101" s="11" t="str">
        <f aca="false">TRIM('수출입 실적(신성질별)'!A105)</f>
        <v>2024.06</v>
      </c>
      <c r="B101" s="17" t="n">
        <f aca="false">IFERROR(VALUE(LEFT($A101,4)),"")</f>
        <v>2024</v>
      </c>
      <c r="C101" s="17" t="n">
        <f aca="false">IFERROR(VALUE(RIGHT($A101,2)),"")</f>
        <v>6</v>
      </c>
      <c r="D101" s="17" t="n">
        <f aca="false">IFERROR(ROUNDUP($C101/3,0),"")</f>
        <v>2</v>
      </c>
      <c r="E101" s="11" t="str">
        <f aca="false">TRIM('수출입 실적(신성질별)'!B105)</f>
        <v>가.수송장비</v>
      </c>
      <c r="F101" s="18" t="n">
        <f aca="false">IFERROR(VALUE(SUBSTITUTE(TRIM('수출입 실적(신성질별)'!C105),",","")),"")</f>
        <v>1100876.3</v>
      </c>
      <c r="G101" s="19" t="n">
        <f aca="false">IFERROR(VALUE(SUBSTITUTE(TRIM('수출입 실적(신성질별)'!D105),",","")),"")</f>
        <v>5078499</v>
      </c>
      <c r="H101" s="18" t="n">
        <f aca="false">IFERROR(VALUE(SUBSTITUTE(TRIM('수출입 실적(신성질별)'!E105),",","")),"")</f>
        <v>301355.8</v>
      </c>
      <c r="I101" s="19" t="n">
        <f aca="false">IFERROR(VALUE(SUBSTITUTE(TRIM('수출입 실적(신성질별)'!F105),",","")),"")</f>
        <v>2032124</v>
      </c>
    </row>
    <row r="102" customFormat="false" ht="15" hidden="false" customHeight="true" outlineLevel="0" collapsed="false">
      <c r="A102" s="11" t="str">
        <f aca="false">TRIM('수출입 실적(신성질별)'!A106)</f>
        <v>2024.06</v>
      </c>
      <c r="B102" s="17" t="n">
        <f aca="false">IFERROR(VALUE(LEFT($A102,4)),"")</f>
        <v>2024</v>
      </c>
      <c r="C102" s="17" t="n">
        <f aca="false">IFERROR(VALUE(RIGHT($A102,2)),"")</f>
        <v>6</v>
      </c>
      <c r="D102" s="17" t="n">
        <f aca="false">IFERROR(ROUNDUP($C102/3,0),"")</f>
        <v>2</v>
      </c>
      <c r="E102" s="11" t="str">
        <f aca="false">TRIM('수출입 실적(신성질별)'!B106)</f>
        <v>나.기계류</v>
      </c>
      <c r="F102" s="18" t="n">
        <f aca="false">IFERROR(VALUE(SUBSTITUTE(TRIM('수출입 실적(신성질별)'!C106),",","")),"")</f>
        <v>676633.4</v>
      </c>
      <c r="G102" s="19" t="n">
        <f aca="false">IFERROR(VALUE(SUBSTITUTE(TRIM('수출입 실적(신성질별)'!D106),",","")),"")</f>
        <v>9185715</v>
      </c>
      <c r="H102" s="18" t="n">
        <f aca="false">IFERROR(VALUE(SUBSTITUTE(TRIM('수출입 실적(신성질별)'!E106),",","")),"")</f>
        <v>513898.8</v>
      </c>
      <c r="I102" s="19" t="n">
        <f aca="false">IFERROR(VALUE(SUBSTITUTE(TRIM('수출입 실적(신성질별)'!F106),",","")),"")</f>
        <v>8011792</v>
      </c>
    </row>
    <row r="103" customFormat="false" ht="15" hidden="false" customHeight="true" outlineLevel="0" collapsed="false">
      <c r="A103" s="11" t="str">
        <f aca="false">TRIM('수출입 실적(신성질별)'!A107)</f>
        <v>2024.06</v>
      </c>
      <c r="B103" s="17" t="n">
        <f aca="false">IFERROR(VALUE(LEFT($A103,4)),"")</f>
        <v>2024</v>
      </c>
      <c r="C103" s="17" t="n">
        <f aca="false">IFERROR(VALUE(RIGHT($A103,2)),"")</f>
        <v>6</v>
      </c>
      <c r="D103" s="17" t="n">
        <f aca="false">IFERROR(ROUNDUP($C103/3,0),"")</f>
        <v>2</v>
      </c>
      <c r="E103" s="11" t="str">
        <f aca="false">TRIM('수출입 실적(신성질별)'!B107)</f>
        <v>다.IT제품</v>
      </c>
      <c r="F103" s="18" t="n">
        <f aca="false">IFERROR(VALUE(SUBSTITUTE(TRIM('수출입 실적(신성질별)'!C107),",","")),"")</f>
        <v>14205</v>
      </c>
      <c r="G103" s="19" t="n">
        <f aca="false">IFERROR(VALUE(SUBSTITUTE(TRIM('수출입 실적(신성질별)'!D107),",","")),"")</f>
        <v>3790198</v>
      </c>
      <c r="H103" s="18" t="n">
        <f aca="false">IFERROR(VALUE(SUBSTITUTE(TRIM('수출입 실적(신성질별)'!E107),",","")),"")</f>
        <v>16056.7</v>
      </c>
      <c r="I103" s="19" t="n">
        <f aca="false">IFERROR(VALUE(SUBSTITUTE(TRIM('수출입 실적(신성질별)'!F107),",","")),"")</f>
        <v>2474513</v>
      </c>
    </row>
    <row r="104" customFormat="false" ht="15" hidden="false" customHeight="true" outlineLevel="0" collapsed="false">
      <c r="A104" s="11" t="str">
        <f aca="false">TRIM('수출입 실적(신성질별)'!A108)</f>
        <v>2024.06</v>
      </c>
      <c r="B104" s="17" t="n">
        <f aca="false">IFERROR(VALUE(LEFT($A104,4)),"")</f>
        <v>2024</v>
      </c>
      <c r="C104" s="17" t="n">
        <f aca="false">IFERROR(VALUE(RIGHT($A104,2)),"")</f>
        <v>6</v>
      </c>
      <c r="D104" s="17" t="n">
        <f aca="false">IFERROR(ROUNDUP($C104/3,0),"")</f>
        <v>2</v>
      </c>
      <c r="E104" s="11" t="str">
        <f aca="false">TRIM('수출입 실적(신성질별)'!B108)</f>
        <v>라.IT부품</v>
      </c>
      <c r="F104" s="18" t="n">
        <f aca="false">IFERROR(VALUE(SUBSTITUTE(TRIM('수출입 실적(신성질별)'!C108),",","")),"")</f>
        <v>31038</v>
      </c>
      <c r="G104" s="19" t="n">
        <f aca="false">IFERROR(VALUE(SUBSTITUTE(TRIM('수출입 실적(신성질별)'!D108),",","")),"")</f>
        <v>14858944</v>
      </c>
      <c r="H104" s="18" t="n">
        <f aca="false">IFERROR(VALUE(SUBSTITUTE(TRIM('수출입 실적(신성질별)'!E108),",","")),"")</f>
        <v>29749.6</v>
      </c>
      <c r="I104" s="19" t="n">
        <f aca="false">IFERROR(VALUE(SUBSTITUTE(TRIM('수출입 실적(신성질별)'!F108),",","")),"")</f>
        <v>6040222</v>
      </c>
    </row>
    <row r="105" customFormat="false" ht="15" hidden="false" customHeight="true" outlineLevel="0" collapsed="false">
      <c r="A105" s="11" t="str">
        <f aca="false">TRIM('수출입 실적(신성질별)'!A109)</f>
        <v>2024.07</v>
      </c>
      <c r="B105" s="17" t="n">
        <f aca="false">IFERROR(VALUE(LEFT($A105,4)),"")</f>
        <v>2024</v>
      </c>
      <c r="C105" s="17" t="n">
        <f aca="false">IFERROR(VALUE(RIGHT($A105,2)),"")</f>
        <v>7</v>
      </c>
      <c r="D105" s="17" t="n">
        <f aca="false">IFERROR(ROUNDUP($C105/3,0),"")</f>
        <v>3</v>
      </c>
      <c r="E105" s="11" t="str">
        <f aca="false">TRIM('수출입 실적(신성질별)'!B109)</f>
        <v>1.소비재</v>
      </c>
      <c r="F105" s="18" t="n">
        <f aca="false">IFERROR(VALUE(SUBSTITUTE(TRIM('수출입 실적(신성질별)'!C109),",","")),"")</f>
        <v>902097.8</v>
      </c>
      <c r="G105" s="19" t="n">
        <f aca="false">IFERROR(VALUE(SUBSTITUTE(TRIM('수출입 실적(신성질별)'!D109),",","")),"")</f>
        <v>7835923</v>
      </c>
      <c r="H105" s="18" t="n">
        <f aca="false">IFERROR(VALUE(SUBSTITUTE(TRIM('수출입 실적(신성질별)'!E109),",","")),"")</f>
        <v>2188381.1</v>
      </c>
      <c r="I105" s="19" t="n">
        <f aca="false">IFERROR(VALUE(SUBSTITUTE(TRIM('수출입 실적(신성질별)'!F109),",","")),"")</f>
        <v>7519995</v>
      </c>
    </row>
    <row r="106" customFormat="false" ht="15" hidden="false" customHeight="true" outlineLevel="0" collapsed="false">
      <c r="A106" s="11" t="str">
        <f aca="false">TRIM('수출입 실적(신성질별)'!A110)</f>
        <v>2024.07</v>
      </c>
      <c r="B106" s="17" t="n">
        <f aca="false">IFERROR(VALUE(LEFT($A106,4)),"")</f>
        <v>2024</v>
      </c>
      <c r="C106" s="17" t="n">
        <f aca="false">IFERROR(VALUE(RIGHT($A106,2)),"")</f>
        <v>7</v>
      </c>
      <c r="D106" s="17" t="n">
        <f aca="false">IFERROR(ROUNDUP($C106/3,0),"")</f>
        <v>3</v>
      </c>
      <c r="E106" s="11" t="str">
        <f aca="false">TRIM('수출입 실적(신성질별)'!B110)</f>
        <v>가.직접소비재</v>
      </c>
      <c r="F106" s="18" t="n">
        <f aca="false">IFERROR(VALUE(SUBSTITUTE(TRIM('수출입 실적(신성질별)'!C110),",","")),"")</f>
        <v>289722.8</v>
      </c>
      <c r="G106" s="19" t="n">
        <f aca="false">IFERROR(VALUE(SUBSTITUTE(TRIM('수출입 실적(신성질별)'!D110),",","")),"")</f>
        <v>949194</v>
      </c>
      <c r="H106" s="18" t="n">
        <f aca="false">IFERROR(VALUE(SUBSTITUTE(TRIM('수출입 실적(신성질별)'!E110),",","")),"")</f>
        <v>1801980</v>
      </c>
      <c r="I106" s="19" t="n">
        <f aca="false">IFERROR(VALUE(SUBSTITUTE(TRIM('수출입 실적(신성질별)'!F110),",","")),"")</f>
        <v>2781623</v>
      </c>
    </row>
    <row r="107" customFormat="false" ht="15" hidden="false" customHeight="true" outlineLevel="0" collapsed="false">
      <c r="A107" s="11" t="str">
        <f aca="false">TRIM('수출입 실적(신성질별)'!A111)</f>
        <v>2024.07</v>
      </c>
      <c r="B107" s="17" t="n">
        <f aca="false">IFERROR(VALUE(LEFT($A107,4)),"")</f>
        <v>2024</v>
      </c>
      <c r="C107" s="17" t="n">
        <f aca="false">IFERROR(VALUE(RIGHT($A107,2)),"")</f>
        <v>7</v>
      </c>
      <c r="D107" s="17" t="n">
        <f aca="false">IFERROR(ROUNDUP($C107/3,0),"")</f>
        <v>3</v>
      </c>
      <c r="E107" s="11" t="str">
        <f aca="false">TRIM('수출입 실적(신성질별)'!B111)</f>
        <v>나.내구소비재</v>
      </c>
      <c r="F107" s="18" t="n">
        <f aca="false">IFERROR(VALUE(SUBSTITUTE(TRIM('수출입 실적(신성질별)'!C111),",","")),"")</f>
        <v>441263.9</v>
      </c>
      <c r="G107" s="19" t="n">
        <f aca="false">IFERROR(VALUE(SUBSTITUTE(TRIM('수출입 실적(신성질별)'!D111),",","")),"")</f>
        <v>5276699</v>
      </c>
      <c r="H107" s="18" t="n">
        <f aca="false">IFERROR(VALUE(SUBSTITUTE(TRIM('수출입 실적(신성질별)'!E111),",","")),"")</f>
        <v>219350.8</v>
      </c>
      <c r="I107" s="19" t="n">
        <f aca="false">IFERROR(VALUE(SUBSTITUTE(TRIM('수출입 실적(신성질별)'!F111),",","")),"")</f>
        <v>2334728</v>
      </c>
    </row>
    <row r="108" customFormat="false" ht="15" hidden="false" customHeight="true" outlineLevel="0" collapsed="false">
      <c r="A108" s="11" t="str">
        <f aca="false">TRIM('수출입 실적(신성질별)'!A112)</f>
        <v>2024.07</v>
      </c>
      <c r="B108" s="17" t="n">
        <f aca="false">IFERROR(VALUE(LEFT($A108,4)),"")</f>
        <v>2024</v>
      </c>
      <c r="C108" s="17" t="n">
        <f aca="false">IFERROR(VALUE(RIGHT($A108,2)),"")</f>
        <v>7</v>
      </c>
      <c r="D108" s="17" t="n">
        <f aca="false">IFERROR(ROUNDUP($C108/3,0),"")</f>
        <v>3</v>
      </c>
      <c r="E108" s="11" t="str">
        <f aca="false">TRIM('수출입 실적(신성질별)'!B112)</f>
        <v>다.비내구소비재</v>
      </c>
      <c r="F108" s="18" t="n">
        <f aca="false">IFERROR(VALUE(SUBSTITUTE(TRIM('수출입 실적(신성질별)'!C112),",","")),"")</f>
        <v>167381.2</v>
      </c>
      <c r="G108" s="19" t="n">
        <f aca="false">IFERROR(VALUE(SUBSTITUTE(TRIM('수출입 실적(신성질별)'!D112),",","")),"")</f>
        <v>1605808</v>
      </c>
      <c r="H108" s="18" t="n">
        <f aca="false">IFERROR(VALUE(SUBSTITUTE(TRIM('수출입 실적(신성질별)'!E112),",","")),"")</f>
        <v>167050.3</v>
      </c>
      <c r="I108" s="19" t="n">
        <f aca="false">IFERROR(VALUE(SUBSTITUTE(TRIM('수출입 실적(신성질별)'!F112),",","")),"")</f>
        <v>2403644</v>
      </c>
    </row>
    <row r="109" customFormat="false" ht="15" hidden="false" customHeight="true" outlineLevel="0" collapsed="false">
      <c r="A109" s="11" t="str">
        <f aca="false">TRIM('수출입 실적(신성질별)'!A113)</f>
        <v>2024.07</v>
      </c>
      <c r="B109" s="17" t="n">
        <f aca="false">IFERROR(VALUE(LEFT($A109,4)),"")</f>
        <v>2024</v>
      </c>
      <c r="C109" s="17" t="n">
        <f aca="false">IFERROR(VALUE(RIGHT($A109,2)),"")</f>
        <v>7</v>
      </c>
      <c r="D109" s="17" t="n">
        <f aca="false">IFERROR(ROUNDUP($C109/3,0),"")</f>
        <v>3</v>
      </c>
      <c r="E109" s="11" t="str">
        <f aca="false">TRIM('수출입 실적(신성질별)'!B113)</f>
        <v>라.간이세율적용분</v>
      </c>
      <c r="F109" s="18" t="n">
        <f aca="false">IFERROR(VALUE(SUBSTITUTE(TRIM('수출입 실적(신성질별)'!C113),",","")),"")</f>
        <v>3729.9</v>
      </c>
      <c r="G109" s="19" t="n">
        <f aca="false">IFERROR(VALUE(SUBSTITUTE(TRIM('수출입 실적(신성질별)'!D113),",","")),"")</f>
        <v>4221</v>
      </c>
      <c r="H109" s="18" t="n">
        <f aca="false">IFERROR(VALUE(SUBSTITUTE(TRIM('수출입 실적(신성질별)'!E113),",","")),"")</f>
        <v>0</v>
      </c>
      <c r="I109" s="19" t="n">
        <f aca="false">IFERROR(VALUE(SUBSTITUTE(TRIM('수출입 실적(신성질별)'!F113),",","")),"")</f>
        <v>0</v>
      </c>
    </row>
    <row r="110" customFormat="false" ht="15" hidden="false" customHeight="true" outlineLevel="0" collapsed="false">
      <c r="A110" s="11" t="str">
        <f aca="false">TRIM('수출입 실적(신성질별)'!A114)</f>
        <v>2024.07</v>
      </c>
      <c r="B110" s="17" t="n">
        <f aca="false">IFERROR(VALUE(LEFT($A110,4)),"")</f>
        <v>2024</v>
      </c>
      <c r="C110" s="17" t="n">
        <f aca="false">IFERROR(VALUE(RIGHT($A110,2)),"")</f>
        <v>7</v>
      </c>
      <c r="D110" s="17" t="n">
        <f aca="false">IFERROR(ROUNDUP($C110/3,0),"")</f>
        <v>3</v>
      </c>
      <c r="E110" s="11" t="str">
        <f aca="false">TRIM('수출입 실적(신성질별)'!B114)</f>
        <v>2.원자재</v>
      </c>
      <c r="F110" s="18" t="n">
        <f aca="false">IFERROR(VALUE(SUBSTITUTE(TRIM('수출입 실적(신성질별)'!C114),",","")),"")</f>
        <v>14106995.6</v>
      </c>
      <c r="G110" s="19" t="n">
        <f aca="false">IFERROR(VALUE(SUBSTITUTE(TRIM('수출입 실적(신성질별)'!D114),",","")),"")</f>
        <v>17689412</v>
      </c>
      <c r="H110" s="18" t="n">
        <f aca="false">IFERROR(VALUE(SUBSTITUTE(TRIM('수출입 실적(신성질별)'!E114),",","")),"")</f>
        <v>42312807.5</v>
      </c>
      <c r="I110" s="19" t="n">
        <f aca="false">IFERROR(VALUE(SUBSTITUTE(TRIM('수출입 실적(신성질별)'!F114),",","")),"")</f>
        <v>25490289</v>
      </c>
    </row>
    <row r="111" customFormat="false" ht="15" hidden="false" customHeight="true" outlineLevel="0" collapsed="false">
      <c r="A111" s="11" t="str">
        <f aca="false">TRIM('수출입 실적(신성질별)'!A115)</f>
        <v>2024.07</v>
      </c>
      <c r="B111" s="17" t="n">
        <f aca="false">IFERROR(VALUE(LEFT($A111,4)),"")</f>
        <v>2024</v>
      </c>
      <c r="C111" s="17" t="n">
        <f aca="false">IFERROR(VALUE(RIGHT($A111,2)),"")</f>
        <v>7</v>
      </c>
      <c r="D111" s="17" t="n">
        <f aca="false">IFERROR(ROUNDUP($C111/3,0),"")</f>
        <v>3</v>
      </c>
      <c r="E111" s="11" t="str">
        <f aca="false">TRIM('수출입 실적(신성질별)'!B115)</f>
        <v>가.동식물성 연·원료</v>
      </c>
      <c r="F111" s="18" t="n">
        <f aca="false">IFERROR(VALUE(SUBSTITUTE(TRIM('수출입 실적(신성질별)'!C115),",","")),"")</f>
        <v>369400.8</v>
      </c>
      <c r="G111" s="19" t="n">
        <f aca="false">IFERROR(VALUE(SUBSTITUTE(TRIM('수출입 실적(신성질별)'!D115),",","")),"")</f>
        <v>492029</v>
      </c>
      <c r="H111" s="18" t="n">
        <f aca="false">IFERROR(VALUE(SUBSTITUTE(TRIM('수출입 실적(신성질별)'!E115),",","")),"")</f>
        <v>2771813.7</v>
      </c>
      <c r="I111" s="19" t="n">
        <f aca="false">IFERROR(VALUE(SUBSTITUTE(TRIM('수출입 실적(신성질별)'!F115),",","")),"")</f>
        <v>1416251</v>
      </c>
    </row>
    <row r="112" customFormat="false" ht="15" hidden="false" customHeight="true" outlineLevel="0" collapsed="false">
      <c r="A112" s="11" t="str">
        <f aca="false">TRIM('수출입 실적(신성질별)'!A116)</f>
        <v>2024.07</v>
      </c>
      <c r="B112" s="17" t="n">
        <f aca="false">IFERROR(VALUE(LEFT($A112,4)),"")</f>
        <v>2024</v>
      </c>
      <c r="C112" s="17" t="n">
        <f aca="false">IFERROR(VALUE(RIGHT($A112,2)),"")</f>
        <v>7</v>
      </c>
      <c r="D112" s="17" t="n">
        <f aca="false">IFERROR(ROUNDUP($C112/3,0),"")</f>
        <v>3</v>
      </c>
      <c r="E112" s="11" t="str">
        <f aca="false">TRIM('수출입 실적(신성질별)'!B116)</f>
        <v>나.섬유류</v>
      </c>
      <c r="F112" s="18" t="n">
        <f aca="false">IFERROR(VALUE(SUBSTITUTE(TRIM('수출입 실적(신성질별)'!C116),",","")),"")</f>
        <v>129960.4</v>
      </c>
      <c r="G112" s="19" t="n">
        <f aca="false">IFERROR(VALUE(SUBSTITUTE(TRIM('수출입 실적(신성질별)'!D116),",","")),"")</f>
        <v>640215</v>
      </c>
      <c r="H112" s="18" t="n">
        <f aca="false">IFERROR(VALUE(SUBSTITUTE(TRIM('수출입 실적(신성질별)'!E116),",","")),"")</f>
        <v>105664.2</v>
      </c>
      <c r="I112" s="19" t="n">
        <f aca="false">IFERROR(VALUE(SUBSTITUTE(TRIM('수출입 실적(신성질별)'!F116),",","")),"")</f>
        <v>362989</v>
      </c>
    </row>
    <row r="113" customFormat="false" ht="15" hidden="false" customHeight="true" outlineLevel="0" collapsed="false">
      <c r="A113" s="11" t="str">
        <f aca="false">TRIM('수출입 실적(신성질별)'!A117)</f>
        <v>2024.07</v>
      </c>
      <c r="B113" s="17" t="n">
        <f aca="false">IFERROR(VALUE(LEFT($A113,4)),"")</f>
        <v>2024</v>
      </c>
      <c r="C113" s="17" t="n">
        <f aca="false">IFERROR(VALUE(RIGHT($A113,2)),"")</f>
        <v>7</v>
      </c>
      <c r="D113" s="17" t="n">
        <f aca="false">IFERROR(ROUNDUP($C113/3,0),"")</f>
        <v>3</v>
      </c>
      <c r="E113" s="11" t="str">
        <f aca="false">TRIM('수출입 실적(신성질별)'!B117)</f>
        <v>다.광산물</v>
      </c>
      <c r="F113" s="18" t="n">
        <f aca="false">IFERROR(VALUE(SUBSTITUTE(TRIM('수출입 실적(신성질별)'!C117),",","")),"")</f>
        <v>6503314.5</v>
      </c>
      <c r="G113" s="19" t="n">
        <f aca="false">IFERROR(VALUE(SUBSTITUTE(TRIM('수출입 실적(신성질별)'!D117),",","")),"")</f>
        <v>5294645</v>
      </c>
      <c r="H113" s="18" t="n">
        <f aca="false">IFERROR(VALUE(SUBSTITUTE(TRIM('수출입 실적(신성질별)'!E117),",","")),"")</f>
        <v>35877575</v>
      </c>
      <c r="I113" s="19" t="n">
        <f aca="false">IFERROR(VALUE(SUBSTITUTE(TRIM('수출입 실적(신성질별)'!F117),",","")),"")</f>
        <v>15681029</v>
      </c>
    </row>
    <row r="114" customFormat="false" ht="15" hidden="false" customHeight="true" outlineLevel="0" collapsed="false">
      <c r="A114" s="11" t="str">
        <f aca="false">TRIM('수출입 실적(신성질별)'!A118)</f>
        <v>2024.07</v>
      </c>
      <c r="B114" s="17" t="n">
        <f aca="false">IFERROR(VALUE(LEFT($A114,4)),"")</f>
        <v>2024</v>
      </c>
      <c r="C114" s="17" t="n">
        <f aca="false">IFERROR(VALUE(RIGHT($A114,2)),"")</f>
        <v>7</v>
      </c>
      <c r="D114" s="17" t="n">
        <f aca="false">IFERROR(ROUNDUP($C114/3,0),"")</f>
        <v>3</v>
      </c>
      <c r="E114" s="11" t="str">
        <f aca="false">TRIM('수출입 실적(신성질별)'!B118)</f>
        <v>라.철강 및 금속제품</v>
      </c>
      <c r="F114" s="18" t="n">
        <f aca="false">IFERROR(VALUE(SUBSTITUTE(TRIM('수출입 실적(신성질별)'!C118),",","")),"")</f>
        <v>2646338.2</v>
      </c>
      <c r="G114" s="19" t="n">
        <f aca="false">IFERROR(VALUE(SUBSTITUTE(TRIM('수출입 실적(신성질별)'!D118),",","")),"")</f>
        <v>3595447</v>
      </c>
      <c r="H114" s="18" t="n">
        <f aca="false">IFERROR(VALUE(SUBSTITUTE(TRIM('수출입 실적(신성질별)'!E118),",","")),"")</f>
        <v>1692602.8</v>
      </c>
      <c r="I114" s="19" t="n">
        <f aca="false">IFERROR(VALUE(SUBSTITUTE(TRIM('수출입 실적(신성질별)'!F118),",","")),"")</f>
        <v>3004132</v>
      </c>
    </row>
    <row r="115" customFormat="false" ht="15" hidden="false" customHeight="true" outlineLevel="0" collapsed="false">
      <c r="A115" s="11" t="str">
        <f aca="false">TRIM('수출입 실적(신성질별)'!A119)</f>
        <v>2024.07</v>
      </c>
      <c r="B115" s="17" t="n">
        <f aca="false">IFERROR(VALUE(LEFT($A115,4)),"")</f>
        <v>2024</v>
      </c>
      <c r="C115" s="17" t="n">
        <f aca="false">IFERROR(VALUE(RIGHT($A115,2)),"")</f>
        <v>7</v>
      </c>
      <c r="D115" s="17" t="n">
        <f aca="false">IFERROR(ROUNDUP($C115/3,0),"")</f>
        <v>3</v>
      </c>
      <c r="E115" s="11" t="str">
        <f aca="false">TRIM('수출입 실적(신성질별)'!B119)</f>
        <v>마.화학공업제품</v>
      </c>
      <c r="F115" s="18" t="n">
        <f aca="false">IFERROR(VALUE(SUBSTITUTE(TRIM('수출입 실적(신성질별)'!C119),",","")),"")</f>
        <v>4454997.8</v>
      </c>
      <c r="G115" s="19" t="n">
        <f aca="false">IFERROR(VALUE(SUBSTITUTE(TRIM('수출입 실적(신성질별)'!D119),",","")),"")</f>
        <v>7655024</v>
      </c>
      <c r="H115" s="18" t="n">
        <f aca="false">IFERROR(VALUE(SUBSTITUTE(TRIM('수출입 실적(신성질별)'!E119),",","")),"")</f>
        <v>1861904.8</v>
      </c>
      <c r="I115" s="19" t="n">
        <f aca="false">IFERROR(VALUE(SUBSTITUTE(TRIM('수출입 실적(신성질별)'!F119),",","")),"")</f>
        <v>5017786</v>
      </c>
    </row>
    <row r="116" customFormat="false" ht="15" hidden="false" customHeight="true" outlineLevel="0" collapsed="false">
      <c r="A116" s="11" t="str">
        <f aca="false">TRIM('수출입 실적(신성질별)'!A120)</f>
        <v>2024.07</v>
      </c>
      <c r="B116" s="17" t="n">
        <f aca="false">IFERROR(VALUE(LEFT($A116,4)),"")</f>
        <v>2024</v>
      </c>
      <c r="C116" s="17" t="n">
        <f aca="false">IFERROR(VALUE(RIGHT($A116,2)),"")</f>
        <v>7</v>
      </c>
      <c r="D116" s="17" t="n">
        <f aca="false">IFERROR(ROUNDUP($C116/3,0),"")</f>
        <v>3</v>
      </c>
      <c r="E116" s="11" t="str">
        <f aca="false">TRIM('수출입 실적(신성질별)'!B120)</f>
        <v>바.기타 원자재</v>
      </c>
      <c r="F116" s="18" t="n">
        <f aca="false">IFERROR(VALUE(SUBSTITUTE(TRIM('수출입 실적(신성질별)'!C120),",","")),"")</f>
        <v>2983.8</v>
      </c>
      <c r="G116" s="19" t="n">
        <f aca="false">IFERROR(VALUE(SUBSTITUTE(TRIM('수출입 실적(신성질별)'!D120),",","")),"")</f>
        <v>12052</v>
      </c>
      <c r="H116" s="18" t="n">
        <f aca="false">IFERROR(VALUE(SUBSTITUTE(TRIM('수출입 실적(신성질별)'!E120),",","")),"")</f>
        <v>3247</v>
      </c>
      <c r="I116" s="19" t="n">
        <f aca="false">IFERROR(VALUE(SUBSTITUTE(TRIM('수출입 실적(신성질별)'!F120),",","")),"")</f>
        <v>8101</v>
      </c>
    </row>
    <row r="117" customFormat="false" ht="15" hidden="false" customHeight="true" outlineLevel="0" collapsed="false">
      <c r="A117" s="11" t="str">
        <f aca="false">TRIM('수출입 실적(신성질별)'!A121)</f>
        <v>2024.07</v>
      </c>
      <c r="B117" s="17" t="n">
        <f aca="false">IFERROR(VALUE(LEFT($A117,4)),"")</f>
        <v>2024</v>
      </c>
      <c r="C117" s="17" t="n">
        <f aca="false">IFERROR(VALUE(RIGHT($A117,2)),"")</f>
        <v>7</v>
      </c>
      <c r="D117" s="17" t="n">
        <f aca="false">IFERROR(ROUNDUP($C117/3,0),"")</f>
        <v>3</v>
      </c>
      <c r="E117" s="11" t="str">
        <f aca="false">TRIM('수출입 실적(신성질별)'!B121)</f>
        <v>3.자본재</v>
      </c>
      <c r="F117" s="18" t="n">
        <f aca="false">IFERROR(VALUE(SUBSTITUTE(TRIM('수출입 실적(신성질별)'!C121),",","")),"")</f>
        <v>1688019.9</v>
      </c>
      <c r="G117" s="19" t="n">
        <f aca="false">IFERROR(VALUE(SUBSTITUTE(TRIM('수출입 실적(신성질별)'!D121),",","")),"")</f>
        <v>31933452</v>
      </c>
      <c r="H117" s="18" t="n">
        <f aca="false">IFERROR(VALUE(SUBSTITUTE(TRIM('수출입 실적(신성질별)'!E121),",","")),"")</f>
        <v>766610</v>
      </c>
      <c r="I117" s="19" t="n">
        <f aca="false">IFERROR(VALUE(SUBSTITUTE(TRIM('수출입 실적(신성질별)'!F121),",","")),"")</f>
        <v>20828458</v>
      </c>
    </row>
    <row r="118" customFormat="false" ht="15" hidden="false" customHeight="true" outlineLevel="0" collapsed="false">
      <c r="A118" s="11" t="str">
        <f aca="false">TRIM('수출입 실적(신성질별)'!A122)</f>
        <v>2024.07</v>
      </c>
      <c r="B118" s="17" t="n">
        <f aca="false">IFERROR(VALUE(LEFT($A118,4)),"")</f>
        <v>2024</v>
      </c>
      <c r="C118" s="17" t="n">
        <f aca="false">IFERROR(VALUE(RIGHT($A118,2)),"")</f>
        <v>7</v>
      </c>
      <c r="D118" s="17" t="n">
        <f aca="false">IFERROR(ROUNDUP($C118/3,0),"")</f>
        <v>3</v>
      </c>
      <c r="E118" s="11" t="str">
        <f aca="false">TRIM('수출입 실적(신성질별)'!B122)</f>
        <v>가.수송장비</v>
      </c>
      <c r="F118" s="18" t="n">
        <f aca="false">IFERROR(VALUE(SUBSTITUTE(TRIM('수출입 실적(신성질별)'!C122),",","")),"")</f>
        <v>914100.7</v>
      </c>
      <c r="G118" s="19" t="n">
        <f aca="false">IFERROR(VALUE(SUBSTITUTE(TRIM('수출입 실적(신성질별)'!D122),",","")),"")</f>
        <v>5084743</v>
      </c>
      <c r="H118" s="18" t="n">
        <f aca="false">IFERROR(VALUE(SUBSTITUTE(TRIM('수출입 실적(신성질별)'!E122),",","")),"")</f>
        <v>178827</v>
      </c>
      <c r="I118" s="19" t="n">
        <f aca="false">IFERROR(VALUE(SUBSTITUTE(TRIM('수출입 실적(신성질별)'!F122),",","")),"")</f>
        <v>3079759</v>
      </c>
    </row>
    <row r="119" customFormat="false" ht="15" hidden="false" customHeight="true" outlineLevel="0" collapsed="false">
      <c r="A119" s="11" t="str">
        <f aca="false">TRIM('수출입 실적(신성질별)'!A123)</f>
        <v>2024.07</v>
      </c>
      <c r="B119" s="17" t="n">
        <f aca="false">IFERROR(VALUE(LEFT($A119,4)),"")</f>
        <v>2024</v>
      </c>
      <c r="C119" s="17" t="n">
        <f aca="false">IFERROR(VALUE(RIGHT($A119,2)),"")</f>
        <v>7</v>
      </c>
      <c r="D119" s="17" t="n">
        <f aca="false">IFERROR(ROUNDUP($C119/3,0),"")</f>
        <v>3</v>
      </c>
      <c r="E119" s="11" t="str">
        <f aca="false">TRIM('수출입 실적(신성질별)'!B123)</f>
        <v>나.기계류</v>
      </c>
      <c r="F119" s="18" t="n">
        <f aca="false">IFERROR(VALUE(SUBSTITUTE(TRIM('수출입 실적(신성질별)'!C123),",","")),"")</f>
        <v>720911.4</v>
      </c>
      <c r="G119" s="19" t="n">
        <f aca="false">IFERROR(VALUE(SUBSTITUTE(TRIM('수출입 실적(신성질별)'!D123),",","")),"")</f>
        <v>9916416</v>
      </c>
      <c r="H119" s="18" t="n">
        <f aca="false">IFERROR(VALUE(SUBSTITUTE(TRIM('수출입 실적(신성질별)'!E123),",","")),"")</f>
        <v>537421.9</v>
      </c>
      <c r="I119" s="19" t="n">
        <f aca="false">IFERROR(VALUE(SUBSTITUTE(TRIM('수출입 실적(신성질별)'!F123),",","")),"")</f>
        <v>8056958</v>
      </c>
    </row>
    <row r="120" customFormat="false" ht="15" hidden="false" customHeight="true" outlineLevel="0" collapsed="false">
      <c r="A120" s="11" t="str">
        <f aca="false">TRIM('수출입 실적(신성질별)'!A124)</f>
        <v>2024.07</v>
      </c>
      <c r="B120" s="17" t="n">
        <f aca="false">IFERROR(VALUE(LEFT($A120,4)),"")</f>
        <v>2024</v>
      </c>
      <c r="C120" s="17" t="n">
        <f aca="false">IFERROR(VALUE(RIGHT($A120,2)),"")</f>
        <v>7</v>
      </c>
      <c r="D120" s="17" t="n">
        <f aca="false">IFERROR(ROUNDUP($C120/3,0),"")</f>
        <v>3</v>
      </c>
      <c r="E120" s="11" t="str">
        <f aca="false">TRIM('수출입 실적(신성질별)'!B124)</f>
        <v>다.IT제품</v>
      </c>
      <c r="F120" s="18" t="n">
        <f aca="false">IFERROR(VALUE(SUBSTITUTE(TRIM('수출입 실적(신성질별)'!C124),",","")),"")</f>
        <v>15884.2</v>
      </c>
      <c r="G120" s="19" t="n">
        <f aca="false">IFERROR(VALUE(SUBSTITUTE(TRIM('수출입 실적(신성질별)'!D124),",","")),"")</f>
        <v>4153118</v>
      </c>
      <c r="H120" s="18" t="n">
        <f aca="false">IFERROR(VALUE(SUBSTITUTE(TRIM('수출입 실적(신성질별)'!E124),",","")),"")</f>
        <v>18155.6</v>
      </c>
      <c r="I120" s="19" t="n">
        <f aca="false">IFERROR(VALUE(SUBSTITUTE(TRIM('수출입 실적(신성질별)'!F124),",","")),"")</f>
        <v>2593891</v>
      </c>
    </row>
    <row r="121" customFormat="false" ht="15" hidden="false" customHeight="true" outlineLevel="0" collapsed="false">
      <c r="A121" s="11" t="str">
        <f aca="false">TRIM('수출입 실적(신성질별)'!A125)</f>
        <v>2024.07</v>
      </c>
      <c r="B121" s="17" t="n">
        <f aca="false">IFERROR(VALUE(LEFT($A121,4)),"")</f>
        <v>2024</v>
      </c>
      <c r="C121" s="17" t="n">
        <f aca="false">IFERROR(VALUE(RIGHT($A121,2)),"")</f>
        <v>7</v>
      </c>
      <c r="D121" s="17" t="n">
        <f aca="false">IFERROR(ROUNDUP($C121/3,0),"")</f>
        <v>3</v>
      </c>
      <c r="E121" s="11" t="str">
        <f aca="false">TRIM('수출입 실적(신성질별)'!B125)</f>
        <v>라.IT부품</v>
      </c>
      <c r="F121" s="18" t="n">
        <f aca="false">IFERROR(VALUE(SUBSTITUTE(TRIM('수출입 실적(신성질별)'!C125),",","")),"")</f>
        <v>37123.5</v>
      </c>
      <c r="G121" s="19" t="n">
        <f aca="false">IFERROR(VALUE(SUBSTITUTE(TRIM('수출입 실적(신성질별)'!D125),",","")),"")</f>
        <v>12779175</v>
      </c>
      <c r="H121" s="18" t="n">
        <f aca="false">IFERROR(VALUE(SUBSTITUTE(TRIM('수출입 실적(신성질별)'!E125),",","")),"")</f>
        <v>32205.5</v>
      </c>
      <c r="I121" s="19" t="n">
        <f aca="false">IFERROR(VALUE(SUBSTITUTE(TRIM('수출입 실적(신성질별)'!F125),",","")),"")</f>
        <v>7097851</v>
      </c>
    </row>
    <row r="122" customFormat="false" ht="15" hidden="false" customHeight="true" outlineLevel="0" collapsed="false">
      <c r="A122" s="11" t="str">
        <f aca="false">TRIM('수출입 실적(신성질별)'!A126)</f>
        <v>2024.08</v>
      </c>
      <c r="B122" s="17" t="n">
        <f aca="false">IFERROR(VALUE(LEFT($A122,4)),"")</f>
        <v>2024</v>
      </c>
      <c r="C122" s="17" t="n">
        <f aca="false">IFERROR(VALUE(RIGHT($A122,2)),"")</f>
        <v>8</v>
      </c>
      <c r="D122" s="17" t="n">
        <f aca="false">IFERROR(ROUNDUP($C122/3,0),"")</f>
        <v>3</v>
      </c>
      <c r="E122" s="11" t="str">
        <f aca="false">TRIM('수출입 실적(신성질별)'!B126)</f>
        <v>1.소비재</v>
      </c>
      <c r="F122" s="18" t="n">
        <f aca="false">IFERROR(VALUE(SUBSTITUTE(TRIM('수출입 실적(신성질별)'!C126),",","")),"")</f>
        <v>822647.5</v>
      </c>
      <c r="G122" s="19" t="n">
        <f aca="false">IFERROR(VALUE(SUBSTITUTE(TRIM('수출입 실적(신성질별)'!D126),",","")),"")</f>
        <v>7246561</v>
      </c>
      <c r="H122" s="18" t="n">
        <f aca="false">IFERROR(VALUE(SUBSTITUTE(TRIM('수출입 실적(신성질별)'!E126),",","")),"")</f>
        <v>2051181.8</v>
      </c>
      <c r="I122" s="19" t="n">
        <f aca="false">IFERROR(VALUE(SUBSTITUTE(TRIM('수출입 실적(신성질별)'!F126),",","")),"")</f>
        <v>7286578</v>
      </c>
    </row>
    <row r="123" customFormat="false" ht="15" hidden="false" customHeight="true" outlineLevel="0" collapsed="false">
      <c r="A123" s="11" t="str">
        <f aca="false">TRIM('수출입 실적(신성질별)'!A127)</f>
        <v>2024.08</v>
      </c>
      <c r="B123" s="17" t="n">
        <f aca="false">IFERROR(VALUE(LEFT($A123,4)),"")</f>
        <v>2024</v>
      </c>
      <c r="C123" s="17" t="n">
        <f aca="false">IFERROR(VALUE(RIGHT($A123,2)),"")</f>
        <v>8</v>
      </c>
      <c r="D123" s="17" t="n">
        <f aca="false">IFERROR(ROUNDUP($C123/3,0),"")</f>
        <v>3</v>
      </c>
      <c r="E123" s="11" t="str">
        <f aca="false">TRIM('수출입 실적(신성질별)'!B127)</f>
        <v>가.직접소비재</v>
      </c>
      <c r="F123" s="18" t="n">
        <f aca="false">IFERROR(VALUE(SUBSTITUTE(TRIM('수출입 실적(신성질별)'!C127),",","")),"")</f>
        <v>266860.3</v>
      </c>
      <c r="G123" s="19" t="n">
        <f aca="false">IFERROR(VALUE(SUBSTITUTE(TRIM('수출입 실적(신성질별)'!D127),",","")),"")</f>
        <v>864881</v>
      </c>
      <c r="H123" s="18" t="n">
        <f aca="false">IFERROR(VALUE(SUBSTITUTE(TRIM('수출입 실적(신성질별)'!E127),",","")),"")</f>
        <v>1685615.1</v>
      </c>
      <c r="I123" s="19" t="n">
        <f aca="false">IFERROR(VALUE(SUBSTITUTE(TRIM('수출입 실적(신성질별)'!F127),",","")),"")</f>
        <v>2608710</v>
      </c>
    </row>
    <row r="124" customFormat="false" ht="15" hidden="false" customHeight="true" outlineLevel="0" collapsed="false">
      <c r="A124" s="11" t="str">
        <f aca="false">TRIM('수출입 실적(신성질별)'!A128)</f>
        <v>2024.08</v>
      </c>
      <c r="B124" s="17" t="n">
        <f aca="false">IFERROR(VALUE(LEFT($A124,4)),"")</f>
        <v>2024</v>
      </c>
      <c r="C124" s="17" t="n">
        <f aca="false">IFERROR(VALUE(RIGHT($A124,2)),"")</f>
        <v>8</v>
      </c>
      <c r="D124" s="17" t="n">
        <f aca="false">IFERROR(ROUNDUP($C124/3,0),"")</f>
        <v>3</v>
      </c>
      <c r="E124" s="11" t="str">
        <f aca="false">TRIM('수출입 실적(신성질별)'!B128)</f>
        <v>나.내구소비재</v>
      </c>
      <c r="F124" s="18" t="n">
        <f aca="false">IFERROR(VALUE(SUBSTITUTE(TRIM('수출입 실적(신성질별)'!C128),",","")),"")</f>
        <v>405915.8</v>
      </c>
      <c r="G124" s="19" t="n">
        <f aca="false">IFERROR(VALUE(SUBSTITUTE(TRIM('수출입 실적(신성질별)'!D128),",","")),"")</f>
        <v>4917244</v>
      </c>
      <c r="H124" s="18" t="n">
        <f aca="false">IFERROR(VALUE(SUBSTITUTE(TRIM('수출입 실적(신성질별)'!E128),",","")),"")</f>
        <v>196684</v>
      </c>
      <c r="I124" s="19" t="n">
        <f aca="false">IFERROR(VALUE(SUBSTITUTE(TRIM('수출입 실적(신성질별)'!F128),",","")),"")</f>
        <v>2114969</v>
      </c>
    </row>
    <row r="125" customFormat="false" ht="15" hidden="false" customHeight="true" outlineLevel="0" collapsed="false">
      <c r="A125" s="11" t="str">
        <f aca="false">TRIM('수출입 실적(신성질별)'!A129)</f>
        <v>2024.08</v>
      </c>
      <c r="B125" s="17" t="n">
        <f aca="false">IFERROR(VALUE(LEFT($A125,4)),"")</f>
        <v>2024</v>
      </c>
      <c r="C125" s="17" t="n">
        <f aca="false">IFERROR(VALUE(RIGHT($A125,2)),"")</f>
        <v>8</v>
      </c>
      <c r="D125" s="17" t="n">
        <f aca="false">IFERROR(ROUNDUP($C125/3,0),"")</f>
        <v>3</v>
      </c>
      <c r="E125" s="11" t="str">
        <f aca="false">TRIM('수출입 실적(신성질별)'!B129)</f>
        <v>다.비내구소비재</v>
      </c>
      <c r="F125" s="18" t="n">
        <f aca="false">IFERROR(VALUE(SUBSTITUTE(TRIM('수출입 실적(신성질별)'!C129),",","")),"")</f>
        <v>147302.1</v>
      </c>
      <c r="G125" s="19" t="n">
        <f aca="false">IFERROR(VALUE(SUBSTITUTE(TRIM('수출입 실적(신성질별)'!D129),",","")),"")</f>
        <v>1461153</v>
      </c>
      <c r="H125" s="18" t="n">
        <f aca="false">IFERROR(VALUE(SUBSTITUTE(TRIM('수출입 실적(신성질별)'!E129),",","")),"")</f>
        <v>168882.6</v>
      </c>
      <c r="I125" s="19" t="n">
        <f aca="false">IFERROR(VALUE(SUBSTITUTE(TRIM('수출입 실적(신성질별)'!F129),",","")),"")</f>
        <v>2562899</v>
      </c>
    </row>
    <row r="126" customFormat="false" ht="15" hidden="false" customHeight="true" outlineLevel="0" collapsed="false">
      <c r="A126" s="11" t="str">
        <f aca="false">TRIM('수출입 실적(신성질별)'!A130)</f>
        <v>2024.08</v>
      </c>
      <c r="B126" s="17" t="n">
        <f aca="false">IFERROR(VALUE(LEFT($A126,4)),"")</f>
        <v>2024</v>
      </c>
      <c r="C126" s="17" t="n">
        <f aca="false">IFERROR(VALUE(RIGHT($A126,2)),"")</f>
        <v>8</v>
      </c>
      <c r="D126" s="17" t="n">
        <f aca="false">IFERROR(ROUNDUP($C126/3,0),"")</f>
        <v>3</v>
      </c>
      <c r="E126" s="11" t="str">
        <f aca="false">TRIM('수출입 실적(신성질별)'!B130)</f>
        <v>라.간이세율적용분</v>
      </c>
      <c r="F126" s="18" t="n">
        <f aca="false">IFERROR(VALUE(SUBSTITUTE(TRIM('수출입 실적(신성질별)'!C130),",","")),"")</f>
        <v>2569.3</v>
      </c>
      <c r="G126" s="19" t="n">
        <f aca="false">IFERROR(VALUE(SUBSTITUTE(TRIM('수출입 실적(신성질별)'!D130),",","")),"")</f>
        <v>3283</v>
      </c>
      <c r="H126" s="18" t="n">
        <f aca="false">IFERROR(VALUE(SUBSTITUTE(TRIM('수출입 실적(신성질별)'!E130),",","")),"")</f>
        <v>0</v>
      </c>
      <c r="I126" s="19" t="n">
        <f aca="false">IFERROR(VALUE(SUBSTITUTE(TRIM('수출입 실적(신성질별)'!F130),",","")),"")</f>
        <v>0</v>
      </c>
    </row>
    <row r="127" customFormat="false" ht="15" hidden="false" customHeight="true" outlineLevel="0" collapsed="false">
      <c r="A127" s="11" t="str">
        <f aca="false">TRIM('수출입 실적(신성질별)'!A131)</f>
        <v>2024.08</v>
      </c>
      <c r="B127" s="17" t="n">
        <f aca="false">IFERROR(VALUE(LEFT($A127,4)),"")</f>
        <v>2024</v>
      </c>
      <c r="C127" s="17" t="n">
        <f aca="false">IFERROR(VALUE(RIGHT($A127,2)),"")</f>
        <v>8</v>
      </c>
      <c r="D127" s="17" t="n">
        <f aca="false">IFERROR(ROUNDUP($C127/3,0),"")</f>
        <v>3</v>
      </c>
      <c r="E127" s="11" t="str">
        <f aca="false">TRIM('수출입 실적(신성질별)'!B131)</f>
        <v>2.원자재</v>
      </c>
      <c r="F127" s="18" t="n">
        <f aca="false">IFERROR(VALUE(SUBSTITUTE(TRIM('수출입 실적(신성질별)'!C131),",","")),"")</f>
        <v>14130488</v>
      </c>
      <c r="G127" s="19" t="n">
        <f aca="false">IFERROR(VALUE(SUBSTITUTE(TRIM('수출입 실적(신성질별)'!D131),",","")),"")</f>
        <v>17208861</v>
      </c>
      <c r="H127" s="18" t="n">
        <f aca="false">IFERROR(VALUE(SUBSTITUTE(TRIM('수출입 실적(신성질별)'!E131),",","")),"")</f>
        <v>46531546.8</v>
      </c>
      <c r="I127" s="19" t="n">
        <f aca="false">IFERROR(VALUE(SUBSTITUTE(TRIM('수출입 실적(신성질별)'!F131),",","")),"")</f>
        <v>27190023</v>
      </c>
    </row>
    <row r="128" customFormat="false" ht="15" hidden="false" customHeight="true" outlineLevel="0" collapsed="false">
      <c r="A128" s="11" t="str">
        <f aca="false">TRIM('수출입 실적(신성질별)'!A132)</f>
        <v>2024.08</v>
      </c>
      <c r="B128" s="17" t="n">
        <f aca="false">IFERROR(VALUE(LEFT($A128,4)),"")</f>
        <v>2024</v>
      </c>
      <c r="C128" s="17" t="n">
        <f aca="false">IFERROR(VALUE(RIGHT($A128,2)),"")</f>
        <v>8</v>
      </c>
      <c r="D128" s="17" t="n">
        <f aca="false">IFERROR(ROUNDUP($C128/3,0),"")</f>
        <v>3</v>
      </c>
      <c r="E128" s="11" t="str">
        <f aca="false">TRIM('수출입 실적(신성질별)'!B132)</f>
        <v>가.동식물성 연·원료</v>
      </c>
      <c r="F128" s="18" t="n">
        <f aca="false">IFERROR(VALUE(SUBSTITUTE(TRIM('수출입 실적(신성질별)'!C132),",","")),"")</f>
        <v>336548.9</v>
      </c>
      <c r="G128" s="19" t="n">
        <f aca="false">IFERROR(VALUE(SUBSTITUTE(TRIM('수출입 실적(신성질별)'!D132),",","")),"")</f>
        <v>427344</v>
      </c>
      <c r="H128" s="18" t="n">
        <f aca="false">IFERROR(VALUE(SUBSTITUTE(TRIM('수출입 실적(신성질별)'!E132),",","")),"")</f>
        <v>2945544.6</v>
      </c>
      <c r="I128" s="19" t="n">
        <f aca="false">IFERROR(VALUE(SUBSTITUTE(TRIM('수출입 실적(신성질별)'!F132),",","")),"")</f>
        <v>1512193</v>
      </c>
    </row>
    <row r="129" customFormat="false" ht="15" hidden="false" customHeight="true" outlineLevel="0" collapsed="false">
      <c r="A129" s="11" t="str">
        <f aca="false">TRIM('수출입 실적(신성질별)'!A133)</f>
        <v>2024.08</v>
      </c>
      <c r="B129" s="17" t="n">
        <f aca="false">IFERROR(VALUE(LEFT($A129,4)),"")</f>
        <v>2024</v>
      </c>
      <c r="C129" s="17" t="n">
        <f aca="false">IFERROR(VALUE(RIGHT($A129,2)),"")</f>
        <v>8</v>
      </c>
      <c r="D129" s="17" t="n">
        <f aca="false">IFERROR(ROUNDUP($C129/3,0),"")</f>
        <v>3</v>
      </c>
      <c r="E129" s="11" t="str">
        <f aca="false">TRIM('수출입 실적(신성질별)'!B133)</f>
        <v>나.섬유류</v>
      </c>
      <c r="F129" s="18" t="n">
        <f aca="false">IFERROR(VALUE(SUBSTITUTE(TRIM('수출입 실적(신성질별)'!C133),",","")),"")</f>
        <v>118831</v>
      </c>
      <c r="G129" s="19" t="n">
        <f aca="false">IFERROR(VALUE(SUBSTITUTE(TRIM('수출입 실적(신성질별)'!D133),",","")),"")</f>
        <v>573304</v>
      </c>
      <c r="H129" s="18" t="n">
        <f aca="false">IFERROR(VALUE(SUBSTITUTE(TRIM('수출입 실적(신성질별)'!E133),",","")),"")</f>
        <v>101835.3</v>
      </c>
      <c r="I129" s="19" t="n">
        <f aca="false">IFERROR(VALUE(SUBSTITUTE(TRIM('수출입 실적(신성질별)'!F133),",","")),"")</f>
        <v>330784</v>
      </c>
    </row>
    <row r="130" customFormat="false" ht="15" hidden="false" customHeight="true" outlineLevel="0" collapsed="false">
      <c r="A130" s="11" t="str">
        <f aca="false">TRIM('수출입 실적(신성질별)'!A134)</f>
        <v>2024.08</v>
      </c>
      <c r="B130" s="17" t="n">
        <f aca="false">IFERROR(VALUE(LEFT($A130,4)),"")</f>
        <v>2024</v>
      </c>
      <c r="C130" s="17" t="n">
        <f aca="false">IFERROR(VALUE(RIGHT($A130,2)),"")</f>
        <v>8</v>
      </c>
      <c r="D130" s="17" t="n">
        <f aca="false">IFERROR(ROUNDUP($C130/3,0),"")</f>
        <v>3</v>
      </c>
      <c r="E130" s="11" t="str">
        <f aca="false">TRIM('수출입 실적(신성질별)'!B134)</f>
        <v>다.광산물</v>
      </c>
      <c r="F130" s="18" t="n">
        <f aca="false">IFERROR(VALUE(SUBSTITUTE(TRIM('수출입 실적(신성질별)'!C134),",","")),"")</f>
        <v>6550354.5</v>
      </c>
      <c r="G130" s="19" t="n">
        <f aca="false">IFERROR(VALUE(SUBSTITUTE(TRIM('수출입 실적(신성질별)'!D134),",","")),"")</f>
        <v>5154127</v>
      </c>
      <c r="H130" s="18" t="n">
        <f aca="false">IFERROR(VALUE(SUBSTITUTE(TRIM('수출입 실적(신성질별)'!E134),",","")),"")</f>
        <v>39845753.4</v>
      </c>
      <c r="I130" s="19" t="n">
        <f aca="false">IFERROR(VALUE(SUBSTITUTE(TRIM('수출입 실적(신성질별)'!F134),",","")),"")</f>
        <v>17316937</v>
      </c>
    </row>
    <row r="131" customFormat="false" ht="15" hidden="false" customHeight="true" outlineLevel="0" collapsed="false">
      <c r="A131" s="11" t="str">
        <f aca="false">TRIM('수출입 실적(신성질별)'!A135)</f>
        <v>2024.08</v>
      </c>
      <c r="B131" s="17" t="n">
        <f aca="false">IFERROR(VALUE(LEFT($A131,4)),"")</f>
        <v>2024</v>
      </c>
      <c r="C131" s="17" t="n">
        <f aca="false">IFERROR(VALUE(RIGHT($A131,2)),"")</f>
        <v>8</v>
      </c>
      <c r="D131" s="17" t="n">
        <f aca="false">IFERROR(ROUNDUP($C131/3,0),"")</f>
        <v>3</v>
      </c>
      <c r="E131" s="11" t="str">
        <f aca="false">TRIM('수출입 실적(신성질별)'!B135)</f>
        <v>라.철강 및 금속제품</v>
      </c>
      <c r="F131" s="18" t="n">
        <f aca="false">IFERROR(VALUE(SUBSTITUTE(TRIM('수출입 실적(신성질별)'!C135),",","")),"")</f>
        <v>2725738.9</v>
      </c>
      <c r="G131" s="19" t="n">
        <f aca="false">IFERROR(VALUE(SUBSTITUTE(TRIM('수출입 실적(신성질별)'!D135),",","")),"")</f>
        <v>3512860</v>
      </c>
      <c r="H131" s="18" t="n">
        <f aca="false">IFERROR(VALUE(SUBSTITUTE(TRIM('수출입 실적(신성질별)'!E135),",","")),"")</f>
        <v>1864475.6</v>
      </c>
      <c r="I131" s="19" t="n">
        <f aca="false">IFERROR(VALUE(SUBSTITUTE(TRIM('수출입 실적(신성질별)'!F135),",","")),"")</f>
        <v>2945471</v>
      </c>
    </row>
    <row r="132" customFormat="false" ht="15" hidden="false" customHeight="true" outlineLevel="0" collapsed="false">
      <c r="A132" s="11" t="str">
        <f aca="false">TRIM('수출입 실적(신성질별)'!A136)</f>
        <v>2024.08</v>
      </c>
      <c r="B132" s="17" t="n">
        <f aca="false">IFERROR(VALUE(LEFT($A132,4)),"")</f>
        <v>2024</v>
      </c>
      <c r="C132" s="17" t="n">
        <f aca="false">IFERROR(VALUE(RIGHT($A132,2)),"")</f>
        <v>8</v>
      </c>
      <c r="D132" s="17" t="n">
        <f aca="false">IFERROR(ROUNDUP($C132/3,0),"")</f>
        <v>3</v>
      </c>
      <c r="E132" s="11" t="str">
        <f aca="false">TRIM('수출입 실적(신성질별)'!B136)</f>
        <v>마.화학공업제품</v>
      </c>
      <c r="F132" s="18" t="n">
        <f aca="false">IFERROR(VALUE(SUBSTITUTE(TRIM('수출입 실적(신성질별)'!C136),",","")),"")</f>
        <v>4396207</v>
      </c>
      <c r="G132" s="19" t="n">
        <f aca="false">IFERROR(VALUE(SUBSTITUTE(TRIM('수출입 실적(신성질별)'!D136),",","")),"")</f>
        <v>7530158</v>
      </c>
      <c r="H132" s="18" t="n">
        <f aca="false">IFERROR(VALUE(SUBSTITUTE(TRIM('수출입 실적(신성질별)'!E136),",","")),"")</f>
        <v>1771101.6</v>
      </c>
      <c r="I132" s="19" t="n">
        <f aca="false">IFERROR(VALUE(SUBSTITUTE(TRIM('수출입 실적(신성질별)'!F136),",","")),"")</f>
        <v>5077073</v>
      </c>
    </row>
    <row r="133" customFormat="false" ht="15" hidden="false" customHeight="true" outlineLevel="0" collapsed="false">
      <c r="A133" s="11" t="str">
        <f aca="false">TRIM('수출입 실적(신성질별)'!A137)</f>
        <v>2024.08</v>
      </c>
      <c r="B133" s="17" t="n">
        <f aca="false">IFERROR(VALUE(LEFT($A133,4)),"")</f>
        <v>2024</v>
      </c>
      <c r="C133" s="17" t="n">
        <f aca="false">IFERROR(VALUE(RIGHT($A133,2)),"")</f>
        <v>8</v>
      </c>
      <c r="D133" s="17" t="n">
        <f aca="false">IFERROR(ROUNDUP($C133/3,0),"")</f>
        <v>3</v>
      </c>
      <c r="E133" s="11" t="str">
        <f aca="false">TRIM('수출입 실적(신성질별)'!B137)</f>
        <v>바.기타 원자재</v>
      </c>
      <c r="F133" s="18" t="n">
        <f aca="false">IFERROR(VALUE(SUBSTITUTE(TRIM('수출입 실적(신성질별)'!C137),",","")),"")</f>
        <v>2807.8</v>
      </c>
      <c r="G133" s="19" t="n">
        <f aca="false">IFERROR(VALUE(SUBSTITUTE(TRIM('수출입 실적(신성질별)'!D137),",","")),"")</f>
        <v>11068</v>
      </c>
      <c r="H133" s="18" t="n">
        <f aca="false">IFERROR(VALUE(SUBSTITUTE(TRIM('수출입 실적(신성질별)'!E137),",","")),"")</f>
        <v>2836.3</v>
      </c>
      <c r="I133" s="19" t="n">
        <f aca="false">IFERROR(VALUE(SUBSTITUTE(TRIM('수출입 실적(신성질별)'!F137),",","")),"")</f>
        <v>7564</v>
      </c>
    </row>
    <row r="134" customFormat="false" ht="15" hidden="false" customHeight="true" outlineLevel="0" collapsed="false">
      <c r="A134" s="11" t="str">
        <f aca="false">TRIM('수출입 실적(신성질별)'!A138)</f>
        <v>2024.08</v>
      </c>
      <c r="B134" s="17" t="n">
        <f aca="false">IFERROR(VALUE(LEFT($A134,4)),"")</f>
        <v>2024</v>
      </c>
      <c r="C134" s="17" t="n">
        <f aca="false">IFERROR(VALUE(RIGHT($A134,2)),"")</f>
        <v>8</v>
      </c>
      <c r="D134" s="17" t="n">
        <f aca="false">IFERROR(ROUNDUP($C134/3,0),"")</f>
        <v>3</v>
      </c>
      <c r="E134" s="11" t="str">
        <f aca="false">TRIM('수출입 실적(신성질별)'!B138)</f>
        <v>3.자본재</v>
      </c>
      <c r="F134" s="18" t="n">
        <f aca="false">IFERROR(VALUE(SUBSTITUTE(TRIM('수출입 실적(신성질별)'!C138),",","")),"")</f>
        <v>2116905.4</v>
      </c>
      <c r="G134" s="19" t="n">
        <f aca="false">IFERROR(VALUE(SUBSTITUTE(TRIM('수출입 실적(신성질별)'!D138),",","")),"")</f>
        <v>33187502</v>
      </c>
      <c r="H134" s="18" t="n">
        <f aca="false">IFERROR(VALUE(SUBSTITUTE(TRIM('수출입 실적(신성질별)'!E138),",","")),"")</f>
        <v>1082611.8</v>
      </c>
      <c r="I134" s="19" t="n">
        <f aca="false">IFERROR(VALUE(SUBSTITUTE(TRIM('수출입 실적(신성질별)'!F138),",","")),"")</f>
        <v>19578294</v>
      </c>
    </row>
    <row r="135" customFormat="false" ht="15" hidden="false" customHeight="true" outlineLevel="0" collapsed="false">
      <c r="A135" s="11" t="str">
        <f aca="false">TRIM('수출입 실적(신성질별)'!A139)</f>
        <v>2024.08</v>
      </c>
      <c r="B135" s="17" t="n">
        <f aca="false">IFERROR(VALUE(LEFT($A135,4)),"")</f>
        <v>2024</v>
      </c>
      <c r="C135" s="17" t="n">
        <f aca="false">IFERROR(VALUE(RIGHT($A135,2)),"")</f>
        <v>8</v>
      </c>
      <c r="D135" s="17" t="n">
        <f aca="false">IFERROR(ROUNDUP($C135/3,0),"")</f>
        <v>3</v>
      </c>
      <c r="E135" s="11" t="str">
        <f aca="false">TRIM('수출입 실적(신성질별)'!B139)</f>
        <v>가.수송장비</v>
      </c>
      <c r="F135" s="18" t="n">
        <f aca="false">IFERROR(VALUE(SUBSTITUTE(TRIM('수출입 실적(신성질별)'!C139),",","")),"")</f>
        <v>1468993.6</v>
      </c>
      <c r="G135" s="19" t="n">
        <f aca="false">IFERROR(VALUE(SUBSTITUTE(TRIM('수출입 실적(신성질별)'!D139),",","")),"")</f>
        <v>6482408</v>
      </c>
      <c r="H135" s="18" t="n">
        <f aca="false">IFERROR(VALUE(SUBSTITUTE(TRIM('수출입 실적(신성질별)'!E139),",","")),"")</f>
        <v>537152.1</v>
      </c>
      <c r="I135" s="19" t="n">
        <f aca="false">IFERROR(VALUE(SUBSTITUTE(TRIM('수출입 실적(신성질별)'!F139),",","")),"")</f>
        <v>2454230</v>
      </c>
    </row>
    <row r="136" customFormat="false" ht="15" hidden="false" customHeight="true" outlineLevel="0" collapsed="false">
      <c r="A136" s="11" t="str">
        <f aca="false">TRIM('수출입 실적(신성질별)'!A140)</f>
        <v>2024.08</v>
      </c>
      <c r="B136" s="17" t="n">
        <f aca="false">IFERROR(VALUE(LEFT($A136,4)),"")</f>
        <v>2024</v>
      </c>
      <c r="C136" s="17" t="n">
        <f aca="false">IFERROR(VALUE(RIGHT($A136,2)),"")</f>
        <v>8</v>
      </c>
      <c r="D136" s="17" t="n">
        <f aca="false">IFERROR(ROUNDUP($C136/3,0),"")</f>
        <v>3</v>
      </c>
      <c r="E136" s="11" t="str">
        <f aca="false">TRIM('수출입 실적(신성질별)'!B140)</f>
        <v>나.기계류</v>
      </c>
      <c r="F136" s="18" t="n">
        <f aca="false">IFERROR(VALUE(SUBSTITUTE(TRIM('수출입 실적(신성질별)'!C140),",","")),"")</f>
        <v>603142.1</v>
      </c>
      <c r="G136" s="19" t="n">
        <f aca="false">IFERROR(VALUE(SUBSTITUTE(TRIM('수출입 실적(신성질별)'!D140),",","")),"")</f>
        <v>8472722</v>
      </c>
      <c r="H136" s="18" t="n">
        <f aca="false">IFERROR(VALUE(SUBSTITUTE(TRIM('수출입 실적(신성질별)'!E140),",","")),"")</f>
        <v>499805.8</v>
      </c>
      <c r="I136" s="19" t="n">
        <f aca="false">IFERROR(VALUE(SUBSTITUTE(TRIM('수출입 실적(신성질별)'!F140),",","")),"")</f>
        <v>7869738</v>
      </c>
    </row>
    <row r="137" customFormat="false" ht="15" hidden="false" customHeight="true" outlineLevel="0" collapsed="false">
      <c r="A137" s="11" t="str">
        <f aca="false">TRIM('수출입 실적(신성질별)'!A141)</f>
        <v>2024.08</v>
      </c>
      <c r="B137" s="17" t="n">
        <f aca="false">IFERROR(VALUE(LEFT($A137,4)),"")</f>
        <v>2024</v>
      </c>
      <c r="C137" s="17" t="n">
        <f aca="false">IFERROR(VALUE(RIGHT($A137,2)),"")</f>
        <v>8</v>
      </c>
      <c r="D137" s="17" t="n">
        <f aca="false">IFERROR(ROUNDUP($C137/3,0),"")</f>
        <v>3</v>
      </c>
      <c r="E137" s="11" t="str">
        <f aca="false">TRIM('수출입 실적(신성질별)'!B141)</f>
        <v>다.IT제품</v>
      </c>
      <c r="F137" s="18" t="n">
        <f aca="false">IFERROR(VALUE(SUBSTITUTE(TRIM('수출입 실적(신성질별)'!C141),",","")),"")</f>
        <v>14163.1</v>
      </c>
      <c r="G137" s="19" t="n">
        <f aca="false">IFERROR(VALUE(SUBSTITUTE(TRIM('수출입 실적(신성질별)'!D141),",","")),"")</f>
        <v>4877249</v>
      </c>
      <c r="H137" s="18" t="n">
        <f aca="false">IFERROR(VALUE(SUBSTITUTE(TRIM('수출입 실적(신성질별)'!E141),",","")),"")</f>
        <v>16478.4</v>
      </c>
      <c r="I137" s="19" t="n">
        <f aca="false">IFERROR(VALUE(SUBSTITUTE(TRIM('수출입 실적(신성질별)'!F141),",","")),"")</f>
        <v>1960875</v>
      </c>
    </row>
    <row r="138" customFormat="false" ht="15" hidden="false" customHeight="true" outlineLevel="0" collapsed="false">
      <c r="A138" s="11" t="str">
        <f aca="false">TRIM('수출입 실적(신성질별)'!A142)</f>
        <v>2024.08</v>
      </c>
      <c r="B138" s="17" t="n">
        <f aca="false">IFERROR(VALUE(LEFT($A138,4)),"")</f>
        <v>2024</v>
      </c>
      <c r="C138" s="17" t="n">
        <f aca="false">IFERROR(VALUE(RIGHT($A138,2)),"")</f>
        <v>8</v>
      </c>
      <c r="D138" s="17" t="n">
        <f aca="false">IFERROR(ROUNDUP($C138/3,0),"")</f>
        <v>3</v>
      </c>
      <c r="E138" s="11" t="str">
        <f aca="false">TRIM('수출입 실적(신성질별)'!B142)</f>
        <v>라.IT부품</v>
      </c>
      <c r="F138" s="18" t="n">
        <f aca="false">IFERROR(VALUE(SUBSTITUTE(TRIM('수출입 실적(신성질별)'!C142),",","")),"")</f>
        <v>30606.6</v>
      </c>
      <c r="G138" s="19" t="n">
        <f aca="false">IFERROR(VALUE(SUBSTITUTE(TRIM('수출입 실적(신성질별)'!D142),",","")),"")</f>
        <v>13355124</v>
      </c>
      <c r="H138" s="18" t="n">
        <f aca="false">IFERROR(VALUE(SUBSTITUTE(TRIM('수출입 실적(신성질별)'!E142),",","")),"")</f>
        <v>29175.5</v>
      </c>
      <c r="I138" s="19" t="n">
        <f aca="false">IFERROR(VALUE(SUBSTITUTE(TRIM('수출입 실적(신성질별)'!F142),",","")),"")</f>
        <v>7293451</v>
      </c>
    </row>
    <row r="139" customFormat="false" ht="15" hidden="false" customHeight="true" outlineLevel="0" collapsed="false">
      <c r="A139" s="11" t="str">
        <f aca="false">TRIM('수출입 실적(신성질별)'!A143)</f>
        <v>2024.09</v>
      </c>
      <c r="B139" s="17" t="n">
        <f aca="false">IFERROR(VALUE(LEFT($A139,4)),"")</f>
        <v>2024</v>
      </c>
      <c r="C139" s="17" t="n">
        <f aca="false">IFERROR(VALUE(RIGHT($A139,2)),"")</f>
        <v>9</v>
      </c>
      <c r="D139" s="17" t="n">
        <f aca="false">IFERROR(ROUNDUP($C139/3,0),"")</f>
        <v>3</v>
      </c>
      <c r="E139" s="11" t="str">
        <f aca="false">TRIM('수출입 실적(신성질별)'!B143)</f>
        <v>1.소비재</v>
      </c>
      <c r="F139" s="18" t="n">
        <f aca="false">IFERROR(VALUE(SUBSTITUTE(TRIM('수출입 실적(신성질별)'!C143),",","")),"")</f>
        <v>861958.7</v>
      </c>
      <c r="G139" s="19" t="n">
        <f aca="false">IFERROR(VALUE(SUBSTITUTE(TRIM('수출입 실적(신성질별)'!D143),",","")),"")</f>
        <v>7731284</v>
      </c>
      <c r="H139" s="18" t="n">
        <f aca="false">IFERROR(VALUE(SUBSTITUTE(TRIM('수출입 실적(신성질별)'!E143),",","")),"")</f>
        <v>1882913.5</v>
      </c>
      <c r="I139" s="19" t="n">
        <f aca="false">IFERROR(VALUE(SUBSTITUTE(TRIM('수출입 실적(신성질별)'!F143),",","")),"")</f>
        <v>7143433</v>
      </c>
    </row>
    <row r="140" customFormat="false" ht="15" hidden="false" customHeight="true" outlineLevel="0" collapsed="false">
      <c r="A140" s="11" t="str">
        <f aca="false">TRIM('수출입 실적(신성질별)'!A144)</f>
        <v>2024.09</v>
      </c>
      <c r="B140" s="17" t="n">
        <f aca="false">IFERROR(VALUE(LEFT($A140,4)),"")</f>
        <v>2024</v>
      </c>
      <c r="C140" s="17" t="n">
        <f aca="false">IFERROR(VALUE(RIGHT($A140,2)),"")</f>
        <v>9</v>
      </c>
      <c r="D140" s="17" t="n">
        <f aca="false">IFERROR(ROUNDUP($C140/3,0),"")</f>
        <v>3</v>
      </c>
      <c r="E140" s="11" t="str">
        <f aca="false">TRIM('수출입 실적(신성질별)'!B144)</f>
        <v>가.직접소비재</v>
      </c>
      <c r="F140" s="18" t="n">
        <f aca="false">IFERROR(VALUE(SUBSTITUTE(TRIM('수출입 실적(신성질별)'!C144),",","")),"")</f>
        <v>289945.8</v>
      </c>
      <c r="G140" s="19" t="n">
        <f aca="false">IFERROR(VALUE(SUBSTITUTE(TRIM('수출입 실적(신성질별)'!D144),",","")),"")</f>
        <v>882584</v>
      </c>
      <c r="H140" s="18" t="n">
        <f aca="false">IFERROR(VALUE(SUBSTITUTE(TRIM('수출입 실적(신성질별)'!E144),",","")),"")</f>
        <v>1525663</v>
      </c>
      <c r="I140" s="19" t="n">
        <f aca="false">IFERROR(VALUE(SUBSTITUTE(TRIM('수출입 실적(신성질별)'!F144),",","")),"")</f>
        <v>2492869</v>
      </c>
    </row>
    <row r="141" customFormat="false" ht="15" hidden="false" customHeight="true" outlineLevel="0" collapsed="false">
      <c r="A141" s="11" t="str">
        <f aca="false">TRIM('수출입 실적(신성질별)'!A145)</f>
        <v>2024.09</v>
      </c>
      <c r="B141" s="17" t="n">
        <f aca="false">IFERROR(VALUE(LEFT($A141,4)),"")</f>
        <v>2024</v>
      </c>
      <c r="C141" s="17" t="n">
        <f aca="false">IFERROR(VALUE(RIGHT($A141,2)),"")</f>
        <v>9</v>
      </c>
      <c r="D141" s="17" t="n">
        <f aca="false">IFERROR(ROUNDUP($C141/3,0),"")</f>
        <v>3</v>
      </c>
      <c r="E141" s="11" t="str">
        <f aca="false">TRIM('수출입 실적(신성질별)'!B145)</f>
        <v>나.내구소비재</v>
      </c>
      <c r="F141" s="18" t="n">
        <f aca="false">IFERROR(VALUE(SUBSTITUTE(TRIM('수출입 실적(신성질별)'!C145),",","")),"")</f>
        <v>428282.2</v>
      </c>
      <c r="G141" s="19" t="n">
        <f aca="false">IFERROR(VALUE(SUBSTITUTE(TRIM('수출입 실적(신성질별)'!D145),",","")),"")</f>
        <v>5309388</v>
      </c>
      <c r="H141" s="18" t="n">
        <f aca="false">IFERROR(VALUE(SUBSTITUTE(TRIM('수출입 실적(신성질별)'!E145),",","")),"")</f>
        <v>186064.3</v>
      </c>
      <c r="I141" s="19" t="n">
        <f aca="false">IFERROR(VALUE(SUBSTITUTE(TRIM('수출입 실적(신성질별)'!F145),",","")),"")</f>
        <v>1992720</v>
      </c>
    </row>
    <row r="142" customFormat="false" ht="15" hidden="false" customHeight="true" outlineLevel="0" collapsed="false">
      <c r="A142" s="11" t="str">
        <f aca="false">TRIM('수출입 실적(신성질별)'!A146)</f>
        <v>2024.09</v>
      </c>
      <c r="B142" s="17" t="n">
        <f aca="false">IFERROR(VALUE(LEFT($A142,4)),"")</f>
        <v>2024</v>
      </c>
      <c r="C142" s="17" t="n">
        <f aca="false">IFERROR(VALUE(RIGHT($A142,2)),"")</f>
        <v>9</v>
      </c>
      <c r="D142" s="17" t="n">
        <f aca="false">IFERROR(ROUNDUP($C142/3,0),"")</f>
        <v>3</v>
      </c>
      <c r="E142" s="11" t="str">
        <f aca="false">TRIM('수출입 실적(신성질별)'!B146)</f>
        <v>다.비내구소비재</v>
      </c>
      <c r="F142" s="18" t="n">
        <f aca="false">IFERROR(VALUE(SUBSTITUTE(TRIM('수출입 실적(신성질별)'!C146),",","")),"")</f>
        <v>142168.6</v>
      </c>
      <c r="G142" s="19" t="n">
        <f aca="false">IFERROR(VALUE(SUBSTITUTE(TRIM('수출입 실적(신성질별)'!D146),",","")),"")</f>
        <v>1537137</v>
      </c>
      <c r="H142" s="18" t="n">
        <f aca="false">IFERROR(VALUE(SUBSTITUTE(TRIM('수출입 실적(신성질별)'!E146),",","")),"")</f>
        <v>171186.2</v>
      </c>
      <c r="I142" s="19" t="n">
        <f aca="false">IFERROR(VALUE(SUBSTITUTE(TRIM('수출입 실적(신성질별)'!F146),",","")),"")</f>
        <v>2657845</v>
      </c>
    </row>
    <row r="143" customFormat="false" ht="15" hidden="false" customHeight="true" outlineLevel="0" collapsed="false">
      <c r="A143" s="11" t="str">
        <f aca="false">TRIM('수출입 실적(신성질별)'!A147)</f>
        <v>2024.09</v>
      </c>
      <c r="B143" s="17" t="n">
        <f aca="false">IFERROR(VALUE(LEFT($A143,4)),"")</f>
        <v>2024</v>
      </c>
      <c r="C143" s="17" t="n">
        <f aca="false">IFERROR(VALUE(RIGHT($A143,2)),"")</f>
        <v>9</v>
      </c>
      <c r="D143" s="17" t="n">
        <f aca="false">IFERROR(ROUNDUP($C143/3,0),"")</f>
        <v>3</v>
      </c>
      <c r="E143" s="11" t="str">
        <f aca="false">TRIM('수출입 실적(신성질별)'!B147)</f>
        <v>라.간이세율적용분</v>
      </c>
      <c r="F143" s="18" t="n">
        <f aca="false">IFERROR(VALUE(SUBSTITUTE(TRIM('수출입 실적(신성질별)'!C147),",","")),"")</f>
        <v>1562.1</v>
      </c>
      <c r="G143" s="19" t="n">
        <f aca="false">IFERROR(VALUE(SUBSTITUTE(TRIM('수출입 실적(신성질별)'!D147),",","")),"")</f>
        <v>2175</v>
      </c>
      <c r="H143" s="18" t="n">
        <f aca="false">IFERROR(VALUE(SUBSTITUTE(TRIM('수출입 실적(신성질별)'!E147),",","")),"")</f>
        <v>0</v>
      </c>
      <c r="I143" s="19" t="n">
        <f aca="false">IFERROR(VALUE(SUBSTITUTE(TRIM('수출입 실적(신성질별)'!F147),",","")),"")</f>
        <v>0</v>
      </c>
    </row>
    <row r="144" customFormat="false" ht="15" hidden="false" customHeight="true" outlineLevel="0" collapsed="false">
      <c r="A144" s="11" t="str">
        <f aca="false">TRIM('수출입 실적(신성질별)'!A148)</f>
        <v>2024.09</v>
      </c>
      <c r="B144" s="17" t="n">
        <f aca="false">IFERROR(VALUE(LEFT($A144,4)),"")</f>
        <v>2024</v>
      </c>
      <c r="C144" s="17" t="n">
        <f aca="false">IFERROR(VALUE(RIGHT($A144,2)),"")</f>
        <v>9</v>
      </c>
      <c r="D144" s="17" t="n">
        <f aca="false">IFERROR(ROUNDUP($C144/3,0),"")</f>
        <v>3</v>
      </c>
      <c r="E144" s="11" t="str">
        <f aca="false">TRIM('수출입 실적(신성질별)'!B148)</f>
        <v>2.원자재</v>
      </c>
      <c r="F144" s="18" t="n">
        <f aca="false">IFERROR(VALUE(SUBSTITUTE(TRIM('수출입 실적(신성질별)'!C148),",","")),"")</f>
        <v>13671735.9</v>
      </c>
      <c r="G144" s="19" t="n">
        <f aca="false">IFERROR(VALUE(SUBSTITUTE(TRIM('수출입 실적(신성질별)'!D148),",","")),"")</f>
        <v>16067859</v>
      </c>
      <c r="H144" s="18" t="n">
        <f aca="false">IFERROR(VALUE(SUBSTITUTE(TRIM('수출입 실적(신성질별)'!E148),",","")),"")</f>
        <v>41511778.4</v>
      </c>
      <c r="I144" s="19" t="n">
        <f aca="false">IFERROR(VALUE(SUBSTITUTE(TRIM('수출입 실적(신성질별)'!F148),",","")),"")</f>
        <v>24247269</v>
      </c>
    </row>
    <row r="145" customFormat="false" ht="15" hidden="false" customHeight="true" outlineLevel="0" collapsed="false">
      <c r="A145" s="11" t="str">
        <f aca="false">TRIM('수출입 실적(신성질별)'!A149)</f>
        <v>2024.09</v>
      </c>
      <c r="B145" s="17" t="n">
        <f aca="false">IFERROR(VALUE(LEFT($A145,4)),"")</f>
        <v>2024</v>
      </c>
      <c r="C145" s="17" t="n">
        <f aca="false">IFERROR(VALUE(RIGHT($A145,2)),"")</f>
        <v>9</v>
      </c>
      <c r="D145" s="17" t="n">
        <f aca="false">IFERROR(ROUNDUP($C145/3,0),"")</f>
        <v>3</v>
      </c>
      <c r="E145" s="11" t="str">
        <f aca="false">TRIM('수출입 실적(신성질별)'!B149)</f>
        <v>가.동식물성 연·원료</v>
      </c>
      <c r="F145" s="18" t="n">
        <f aca="false">IFERROR(VALUE(SUBSTITUTE(TRIM('수출입 실적(신성질별)'!C149),",","")),"")</f>
        <v>331192.7</v>
      </c>
      <c r="G145" s="19" t="n">
        <f aca="false">IFERROR(VALUE(SUBSTITUTE(TRIM('수출입 실적(신성질별)'!D149),",","")),"")</f>
        <v>415497</v>
      </c>
      <c r="H145" s="18" t="n">
        <f aca="false">IFERROR(VALUE(SUBSTITUTE(TRIM('수출입 실적(신성질별)'!E149),",","")),"")</f>
        <v>2644075.4</v>
      </c>
      <c r="I145" s="19" t="n">
        <f aca="false">IFERROR(VALUE(SUBSTITUTE(TRIM('수출입 실적(신성질별)'!F149),",","")),"")</f>
        <v>1374179</v>
      </c>
    </row>
    <row r="146" customFormat="false" ht="15" hidden="false" customHeight="true" outlineLevel="0" collapsed="false">
      <c r="A146" s="11" t="str">
        <f aca="false">TRIM('수출입 실적(신성질별)'!A150)</f>
        <v>2024.09</v>
      </c>
      <c r="B146" s="17" t="n">
        <f aca="false">IFERROR(VALUE(LEFT($A146,4)),"")</f>
        <v>2024</v>
      </c>
      <c r="C146" s="17" t="n">
        <f aca="false">IFERROR(VALUE(RIGHT($A146,2)),"")</f>
        <v>9</v>
      </c>
      <c r="D146" s="17" t="n">
        <f aca="false">IFERROR(ROUNDUP($C146/3,0),"")</f>
        <v>3</v>
      </c>
      <c r="E146" s="11" t="str">
        <f aca="false">TRIM('수출입 실적(신성질별)'!B150)</f>
        <v>나.섬유류</v>
      </c>
      <c r="F146" s="18" t="n">
        <f aca="false">IFERROR(VALUE(SUBSTITUTE(TRIM('수출입 실적(신성질별)'!C150),",","")),"")</f>
        <v>117497.4</v>
      </c>
      <c r="G146" s="19" t="n">
        <f aca="false">IFERROR(VALUE(SUBSTITUTE(TRIM('수출입 실적(신성질별)'!D150),",","")),"")</f>
        <v>571601</v>
      </c>
      <c r="H146" s="18" t="n">
        <f aca="false">IFERROR(VALUE(SUBSTITUTE(TRIM('수출입 실적(신성질별)'!E150),",","")),"")</f>
        <v>96973.1</v>
      </c>
      <c r="I146" s="19" t="n">
        <f aca="false">IFERROR(VALUE(SUBSTITUTE(TRIM('수출입 실적(신성질별)'!F150),",","")),"")</f>
        <v>316388</v>
      </c>
    </row>
    <row r="147" customFormat="false" ht="15" hidden="false" customHeight="true" outlineLevel="0" collapsed="false">
      <c r="A147" s="11" t="str">
        <f aca="false">TRIM('수출입 실적(신성질별)'!A151)</f>
        <v>2024.09</v>
      </c>
      <c r="B147" s="17" t="n">
        <f aca="false">IFERROR(VALUE(LEFT($A147,4)),"")</f>
        <v>2024</v>
      </c>
      <c r="C147" s="17" t="n">
        <f aca="false">IFERROR(VALUE(RIGHT($A147,2)),"")</f>
        <v>9</v>
      </c>
      <c r="D147" s="17" t="n">
        <f aca="false">IFERROR(ROUNDUP($C147/3,0),"")</f>
        <v>3</v>
      </c>
      <c r="E147" s="11" t="str">
        <f aca="false">TRIM('수출입 실적(신성질별)'!B151)</f>
        <v>다.광산물</v>
      </c>
      <c r="F147" s="18" t="n">
        <f aca="false">IFERROR(VALUE(SUBSTITUTE(TRIM('수출입 실적(신성질별)'!C151),",","")),"")</f>
        <v>6433547.7</v>
      </c>
      <c r="G147" s="19" t="n">
        <f aca="false">IFERROR(VALUE(SUBSTITUTE(TRIM('수출입 실적(신성질별)'!D151),",","")),"")</f>
        <v>4757062</v>
      </c>
      <c r="H147" s="18" t="n">
        <f aca="false">IFERROR(VALUE(SUBSTITUTE(TRIM('수출입 실적(신성질별)'!E151),",","")),"")</f>
        <v>35392782.7</v>
      </c>
      <c r="I147" s="19" t="n">
        <f aca="false">IFERROR(VALUE(SUBSTITUTE(TRIM('수출입 실적(신성질별)'!F151),",","")),"")</f>
        <v>15121587</v>
      </c>
    </row>
    <row r="148" customFormat="false" ht="15" hidden="false" customHeight="true" outlineLevel="0" collapsed="false">
      <c r="A148" s="11" t="str">
        <f aca="false">TRIM('수출입 실적(신성질별)'!A152)</f>
        <v>2024.09</v>
      </c>
      <c r="B148" s="17" t="n">
        <f aca="false">IFERROR(VALUE(LEFT($A148,4)),"")</f>
        <v>2024</v>
      </c>
      <c r="C148" s="17" t="n">
        <f aca="false">IFERROR(VALUE(RIGHT($A148,2)),"")</f>
        <v>9</v>
      </c>
      <c r="D148" s="17" t="n">
        <f aca="false">IFERROR(ROUNDUP($C148/3,0),"")</f>
        <v>3</v>
      </c>
      <c r="E148" s="11" t="str">
        <f aca="false">TRIM('수출입 실적(신성질별)'!B152)</f>
        <v>라.철강 및 금속제품</v>
      </c>
      <c r="F148" s="18" t="n">
        <f aca="false">IFERROR(VALUE(SUBSTITUTE(TRIM('수출입 실적(신성질별)'!C152),",","")),"")</f>
        <v>2599002.7</v>
      </c>
      <c r="G148" s="19" t="n">
        <f aca="false">IFERROR(VALUE(SUBSTITUTE(TRIM('수출입 실적(신성질별)'!D152),",","")),"")</f>
        <v>3355087</v>
      </c>
      <c r="H148" s="18" t="n">
        <f aca="false">IFERROR(VALUE(SUBSTITUTE(TRIM('수출입 실적(신성질별)'!E152),",","")),"")</f>
        <v>1690127</v>
      </c>
      <c r="I148" s="19" t="n">
        <f aca="false">IFERROR(VALUE(SUBSTITUTE(TRIM('수출입 실적(신성질별)'!F152),",","")),"")</f>
        <v>2666754</v>
      </c>
    </row>
    <row r="149" customFormat="false" ht="15" hidden="false" customHeight="true" outlineLevel="0" collapsed="false">
      <c r="A149" s="11" t="str">
        <f aca="false">TRIM('수출입 실적(신성질별)'!A153)</f>
        <v>2024.09</v>
      </c>
      <c r="B149" s="17" t="n">
        <f aca="false">IFERROR(VALUE(LEFT($A149,4)),"")</f>
        <v>2024</v>
      </c>
      <c r="C149" s="17" t="n">
        <f aca="false">IFERROR(VALUE(RIGHT($A149,2)),"")</f>
        <v>9</v>
      </c>
      <c r="D149" s="17" t="n">
        <f aca="false">IFERROR(ROUNDUP($C149/3,0),"")</f>
        <v>3</v>
      </c>
      <c r="E149" s="11" t="str">
        <f aca="false">TRIM('수출입 실적(신성질별)'!B153)</f>
        <v>마.화학공업제품</v>
      </c>
      <c r="F149" s="18" t="n">
        <f aca="false">IFERROR(VALUE(SUBSTITUTE(TRIM('수출입 실적(신성질별)'!C153),",","")),"")</f>
        <v>4187739</v>
      </c>
      <c r="G149" s="19" t="n">
        <f aca="false">IFERROR(VALUE(SUBSTITUTE(TRIM('수출입 실적(신성질별)'!D153),",","")),"")</f>
        <v>6959327</v>
      </c>
      <c r="H149" s="18" t="n">
        <f aca="false">IFERROR(VALUE(SUBSTITUTE(TRIM('수출입 실적(신성질별)'!E153),",","")),"")</f>
        <v>1684905.8</v>
      </c>
      <c r="I149" s="19" t="n">
        <f aca="false">IFERROR(VALUE(SUBSTITUTE(TRIM('수출입 실적(신성질별)'!F153),",","")),"")</f>
        <v>4762334</v>
      </c>
    </row>
    <row r="150" customFormat="false" ht="15" hidden="false" customHeight="true" outlineLevel="0" collapsed="false">
      <c r="A150" s="11" t="str">
        <f aca="false">TRIM('수출입 실적(신성질별)'!A154)</f>
        <v>2024.09</v>
      </c>
      <c r="B150" s="17" t="n">
        <f aca="false">IFERROR(VALUE(LEFT($A150,4)),"")</f>
        <v>2024</v>
      </c>
      <c r="C150" s="17" t="n">
        <f aca="false">IFERROR(VALUE(RIGHT($A150,2)),"")</f>
        <v>9</v>
      </c>
      <c r="D150" s="17" t="n">
        <f aca="false">IFERROR(ROUNDUP($C150/3,0),"")</f>
        <v>3</v>
      </c>
      <c r="E150" s="11" t="str">
        <f aca="false">TRIM('수출입 실적(신성질별)'!B154)</f>
        <v>바.기타 원자재</v>
      </c>
      <c r="F150" s="18" t="n">
        <f aca="false">IFERROR(VALUE(SUBSTITUTE(TRIM('수출입 실적(신성질별)'!C154),",","")),"")</f>
        <v>2756.4</v>
      </c>
      <c r="G150" s="19" t="n">
        <f aca="false">IFERROR(VALUE(SUBSTITUTE(TRIM('수출입 실적(신성질별)'!D154),",","")),"")</f>
        <v>9286</v>
      </c>
      <c r="H150" s="18" t="n">
        <f aca="false">IFERROR(VALUE(SUBSTITUTE(TRIM('수출입 실적(신성질별)'!E154),",","")),"")</f>
        <v>2914.5</v>
      </c>
      <c r="I150" s="19" t="n">
        <f aca="false">IFERROR(VALUE(SUBSTITUTE(TRIM('수출입 실적(신성질별)'!F154),",","")),"")</f>
        <v>6027</v>
      </c>
    </row>
    <row r="151" customFormat="false" ht="15" hidden="false" customHeight="true" outlineLevel="0" collapsed="false">
      <c r="A151" s="11" t="str">
        <f aca="false">TRIM('수출입 실적(신성질별)'!A155)</f>
        <v>2024.09</v>
      </c>
      <c r="B151" s="17" t="n">
        <f aca="false">IFERROR(VALUE(LEFT($A151,4)),"")</f>
        <v>2024</v>
      </c>
      <c r="C151" s="17" t="n">
        <f aca="false">IFERROR(VALUE(RIGHT($A151,2)),"")</f>
        <v>9</v>
      </c>
      <c r="D151" s="17" t="n">
        <f aca="false">IFERROR(ROUNDUP($C151/3,0),"")</f>
        <v>3</v>
      </c>
      <c r="E151" s="11" t="str">
        <f aca="false">TRIM('수출입 실적(신성질별)'!B155)</f>
        <v>3.자본재</v>
      </c>
      <c r="F151" s="18" t="n">
        <f aca="false">IFERROR(VALUE(SUBSTITUTE(TRIM('수출입 실적(신성질별)'!C155),",","")),"")</f>
        <v>1916080.7</v>
      </c>
      <c r="G151" s="19" t="n">
        <f aca="false">IFERROR(VALUE(SUBSTITUTE(TRIM('수출입 실적(신성질별)'!D155),",","")),"")</f>
        <v>34745551</v>
      </c>
      <c r="H151" s="18" t="n">
        <f aca="false">IFERROR(VALUE(SUBSTITUTE(TRIM('수출입 실적(신성질별)'!E155),",","")),"")</f>
        <v>750729.8</v>
      </c>
      <c r="I151" s="19" t="n">
        <f aca="false">IFERROR(VALUE(SUBSTITUTE(TRIM('수출입 실적(신성질별)'!F155),",","")),"")</f>
        <v>20712222</v>
      </c>
    </row>
    <row r="152" customFormat="false" ht="15" hidden="false" customHeight="true" outlineLevel="0" collapsed="false">
      <c r="A152" s="11" t="str">
        <f aca="false">TRIM('수출입 실적(신성질별)'!A156)</f>
        <v>2024.09</v>
      </c>
      <c r="B152" s="17" t="n">
        <f aca="false">IFERROR(VALUE(LEFT($A152,4)),"")</f>
        <v>2024</v>
      </c>
      <c r="C152" s="17" t="n">
        <f aca="false">IFERROR(VALUE(RIGHT($A152,2)),"")</f>
        <v>9</v>
      </c>
      <c r="D152" s="17" t="n">
        <f aca="false">IFERROR(ROUNDUP($C152/3,0),"")</f>
        <v>3</v>
      </c>
      <c r="E152" s="11" t="str">
        <f aca="false">TRIM('수출입 실적(신성질별)'!B156)</f>
        <v>가.수송장비</v>
      </c>
      <c r="F152" s="18" t="n">
        <f aca="false">IFERROR(VALUE(SUBSTITUTE(TRIM('수출입 실적(신성질별)'!C156),",","")),"")</f>
        <v>1259572.2</v>
      </c>
      <c r="G152" s="19" t="n">
        <f aca="false">IFERROR(VALUE(SUBSTITUTE(TRIM('수출입 실적(신성질별)'!D156),",","")),"")</f>
        <v>6032293</v>
      </c>
      <c r="H152" s="18" t="n">
        <f aca="false">IFERROR(VALUE(SUBSTITUTE(TRIM('수출입 실적(신성질별)'!E156),",","")),"")</f>
        <v>223097.5</v>
      </c>
      <c r="I152" s="19" t="n">
        <f aca="false">IFERROR(VALUE(SUBSTITUTE(TRIM('수출입 실적(신성질별)'!F156),",","")),"")</f>
        <v>1885561</v>
      </c>
    </row>
    <row r="153" customFormat="false" ht="15" hidden="false" customHeight="true" outlineLevel="0" collapsed="false">
      <c r="A153" s="11" t="str">
        <f aca="false">TRIM('수출입 실적(신성질별)'!A157)</f>
        <v>2024.09</v>
      </c>
      <c r="B153" s="17" t="n">
        <f aca="false">IFERROR(VALUE(LEFT($A153,4)),"")</f>
        <v>2024</v>
      </c>
      <c r="C153" s="17" t="n">
        <f aca="false">IFERROR(VALUE(RIGHT($A153,2)),"")</f>
        <v>9</v>
      </c>
      <c r="D153" s="17" t="n">
        <f aca="false">IFERROR(ROUNDUP($C153/3,0),"")</f>
        <v>3</v>
      </c>
      <c r="E153" s="11" t="str">
        <f aca="false">TRIM('수출입 실적(신성질별)'!B157)</f>
        <v>나.기계류</v>
      </c>
      <c r="F153" s="18" t="n">
        <f aca="false">IFERROR(VALUE(SUBSTITUTE(TRIM('수출입 실적(신성질별)'!C157),",","")),"")</f>
        <v>616522.4</v>
      </c>
      <c r="G153" s="19" t="n">
        <f aca="false">IFERROR(VALUE(SUBSTITUTE(TRIM('수출입 실적(신성질별)'!D157),",","")),"")</f>
        <v>8774784</v>
      </c>
      <c r="H153" s="18" t="n">
        <f aca="false">IFERROR(VALUE(SUBSTITUTE(TRIM('수출입 실적(신성질별)'!E157),",","")),"")</f>
        <v>479929.5</v>
      </c>
      <c r="I153" s="19" t="n">
        <f aca="false">IFERROR(VALUE(SUBSTITUTE(TRIM('수출입 실적(신성질별)'!F157),",","")),"")</f>
        <v>8697691</v>
      </c>
    </row>
    <row r="154" customFormat="false" ht="15" hidden="false" customHeight="true" outlineLevel="0" collapsed="false">
      <c r="A154" s="11" t="str">
        <f aca="false">TRIM('수출입 실적(신성질별)'!A158)</f>
        <v>2024.09</v>
      </c>
      <c r="B154" s="17" t="n">
        <f aca="false">IFERROR(VALUE(LEFT($A154,4)),"")</f>
        <v>2024</v>
      </c>
      <c r="C154" s="17" t="n">
        <f aca="false">IFERROR(VALUE(RIGHT($A154,2)),"")</f>
        <v>9</v>
      </c>
      <c r="D154" s="17" t="n">
        <f aca="false">IFERROR(ROUNDUP($C154/3,0),"")</f>
        <v>3</v>
      </c>
      <c r="E154" s="11" t="str">
        <f aca="false">TRIM('수출입 실적(신성질별)'!B158)</f>
        <v>다.IT제품</v>
      </c>
      <c r="F154" s="18" t="n">
        <f aca="false">IFERROR(VALUE(SUBSTITUTE(TRIM('수출입 실적(신성질별)'!C158),",","")),"")</f>
        <v>12041.6</v>
      </c>
      <c r="G154" s="19" t="n">
        <f aca="false">IFERROR(VALUE(SUBSTITUTE(TRIM('수출입 실적(신성질별)'!D158),",","")),"")</f>
        <v>4926301</v>
      </c>
      <c r="H154" s="18" t="n">
        <f aca="false">IFERROR(VALUE(SUBSTITUTE(TRIM('수출입 실적(신성질별)'!E158),",","")),"")</f>
        <v>16381</v>
      </c>
      <c r="I154" s="19" t="n">
        <f aca="false">IFERROR(VALUE(SUBSTITUTE(TRIM('수출입 실적(신성질별)'!F158),",","")),"")</f>
        <v>2589080</v>
      </c>
    </row>
    <row r="155" customFormat="false" ht="15" hidden="false" customHeight="true" outlineLevel="0" collapsed="false">
      <c r="A155" s="11" t="str">
        <f aca="false">TRIM('수출입 실적(신성질별)'!A159)</f>
        <v>2024.09</v>
      </c>
      <c r="B155" s="17" t="n">
        <f aca="false">IFERROR(VALUE(LEFT($A155,4)),"")</f>
        <v>2024</v>
      </c>
      <c r="C155" s="17" t="n">
        <f aca="false">IFERROR(VALUE(RIGHT($A155,2)),"")</f>
        <v>9</v>
      </c>
      <c r="D155" s="17" t="n">
        <f aca="false">IFERROR(ROUNDUP($C155/3,0),"")</f>
        <v>3</v>
      </c>
      <c r="E155" s="11" t="str">
        <f aca="false">TRIM('수출입 실적(신성질별)'!B159)</f>
        <v>라.IT부품</v>
      </c>
      <c r="F155" s="18" t="n">
        <f aca="false">IFERROR(VALUE(SUBSTITUTE(TRIM('수출입 실적(신성질별)'!C159),",","")),"")</f>
        <v>27944.5</v>
      </c>
      <c r="G155" s="19" t="n">
        <f aca="false">IFERROR(VALUE(SUBSTITUTE(TRIM('수출입 실적(신성질별)'!D159),",","")),"")</f>
        <v>15012173</v>
      </c>
      <c r="H155" s="18" t="n">
        <f aca="false">IFERROR(VALUE(SUBSTITUTE(TRIM('수출입 실적(신성질별)'!E159),",","")),"")</f>
        <v>31321.7</v>
      </c>
      <c r="I155" s="19" t="n">
        <f aca="false">IFERROR(VALUE(SUBSTITUTE(TRIM('수출입 실적(신성질별)'!F159),",","")),"")</f>
        <v>7539891</v>
      </c>
    </row>
    <row r="156" customFormat="false" ht="15" hidden="false" customHeight="true" outlineLevel="0" collapsed="false">
      <c r="A156" s="11" t="str">
        <f aca="false">TRIM('수출입 실적(신성질별)'!A160)</f>
        <v>2024.10</v>
      </c>
      <c r="B156" s="17" t="n">
        <f aca="false">IFERROR(VALUE(LEFT($A156,4)),"")</f>
        <v>2024</v>
      </c>
      <c r="C156" s="17" t="n">
        <f aca="false">IFERROR(VALUE(RIGHT($A156,2)),"")</f>
        <v>10</v>
      </c>
      <c r="D156" s="17" t="n">
        <f aca="false">IFERROR(ROUNDUP($C156/3,0),"")</f>
        <v>4</v>
      </c>
      <c r="E156" s="11" t="str">
        <f aca="false">TRIM('수출입 실적(신성질별)'!B160)</f>
        <v>1.소비재</v>
      </c>
      <c r="F156" s="18" t="n">
        <f aca="false">IFERROR(VALUE(SUBSTITUTE(TRIM('수출입 실적(신성질별)'!C160),",","")),"")</f>
        <v>957113.2</v>
      </c>
      <c r="G156" s="19" t="n">
        <f aca="false">IFERROR(VALUE(SUBSTITUTE(TRIM('수출입 실적(신성질별)'!D160),",","")),"")</f>
        <v>8663202</v>
      </c>
      <c r="H156" s="18" t="n">
        <f aca="false">IFERROR(VALUE(SUBSTITUTE(TRIM('수출입 실적(신성질별)'!E160),",","")),"")</f>
        <v>2240880.3</v>
      </c>
      <c r="I156" s="19" t="n">
        <f aca="false">IFERROR(VALUE(SUBSTITUTE(TRIM('수출입 실적(신성질별)'!F160),",","")),"")</f>
        <v>7777285</v>
      </c>
    </row>
    <row r="157" customFormat="false" ht="15" hidden="false" customHeight="true" outlineLevel="0" collapsed="false">
      <c r="A157" s="11" t="str">
        <f aca="false">TRIM('수출입 실적(신성질별)'!A161)</f>
        <v>2024.10</v>
      </c>
      <c r="B157" s="17" t="n">
        <f aca="false">IFERROR(VALUE(LEFT($A157,4)),"")</f>
        <v>2024</v>
      </c>
      <c r="C157" s="17" t="n">
        <f aca="false">IFERROR(VALUE(RIGHT($A157,2)),"")</f>
        <v>10</v>
      </c>
      <c r="D157" s="17" t="n">
        <f aca="false">IFERROR(ROUNDUP($C157/3,0),"")</f>
        <v>4</v>
      </c>
      <c r="E157" s="11" t="str">
        <f aca="false">TRIM('수출입 실적(신성질별)'!B161)</f>
        <v>가.직접소비재</v>
      </c>
      <c r="F157" s="18" t="n">
        <f aca="false">IFERROR(VALUE(SUBSTITUTE(TRIM('수출입 실적(신성질별)'!C161),",","")),"")</f>
        <v>297165.1</v>
      </c>
      <c r="G157" s="19" t="n">
        <f aca="false">IFERROR(VALUE(SUBSTITUTE(TRIM('수출입 실적(신성질별)'!D161),",","")),"")</f>
        <v>980393</v>
      </c>
      <c r="H157" s="18" t="n">
        <f aca="false">IFERROR(VALUE(SUBSTITUTE(TRIM('수출입 실적(신성질별)'!E161),",","")),"")</f>
        <v>1845814.4</v>
      </c>
      <c r="I157" s="19" t="n">
        <f aca="false">IFERROR(VALUE(SUBSTITUTE(TRIM('수출입 실적(신성질별)'!F161),",","")),"")</f>
        <v>2898499</v>
      </c>
    </row>
    <row r="158" customFormat="false" ht="15" hidden="false" customHeight="true" outlineLevel="0" collapsed="false">
      <c r="A158" s="11" t="str">
        <f aca="false">TRIM('수출입 실적(신성질별)'!A162)</f>
        <v>2024.10</v>
      </c>
      <c r="B158" s="17" t="n">
        <f aca="false">IFERROR(VALUE(LEFT($A158,4)),"")</f>
        <v>2024</v>
      </c>
      <c r="C158" s="17" t="n">
        <f aca="false">IFERROR(VALUE(RIGHT($A158,2)),"")</f>
        <v>10</v>
      </c>
      <c r="D158" s="17" t="n">
        <f aca="false">IFERROR(ROUNDUP($C158/3,0),"")</f>
        <v>4</v>
      </c>
      <c r="E158" s="11" t="str">
        <f aca="false">TRIM('수출입 실적(신성질별)'!B162)</f>
        <v>나.내구소비재</v>
      </c>
      <c r="F158" s="18" t="n">
        <f aca="false">IFERROR(VALUE(SUBSTITUTE(TRIM('수출입 실적(신성질별)'!C162),",","")),"")</f>
        <v>502079.3</v>
      </c>
      <c r="G158" s="19" t="n">
        <f aca="false">IFERROR(VALUE(SUBSTITUTE(TRIM('수출입 실적(신성질별)'!D162),",","")),"")</f>
        <v>5961539</v>
      </c>
      <c r="H158" s="18" t="n">
        <f aca="false">IFERROR(VALUE(SUBSTITUTE(TRIM('수출입 실적(신성질별)'!E162),",","")),"")</f>
        <v>209181.3</v>
      </c>
      <c r="I158" s="19" t="n">
        <f aca="false">IFERROR(VALUE(SUBSTITUTE(TRIM('수출입 실적(신성질별)'!F162),",","")),"")</f>
        <v>2205525</v>
      </c>
    </row>
    <row r="159" customFormat="false" ht="15" hidden="false" customHeight="true" outlineLevel="0" collapsed="false">
      <c r="A159" s="11" t="str">
        <f aca="false">TRIM('수출입 실적(신성질별)'!A163)</f>
        <v>2024.10</v>
      </c>
      <c r="B159" s="17" t="n">
        <f aca="false">IFERROR(VALUE(LEFT($A159,4)),"")</f>
        <v>2024</v>
      </c>
      <c r="C159" s="17" t="n">
        <f aca="false">IFERROR(VALUE(RIGHT($A159,2)),"")</f>
        <v>10</v>
      </c>
      <c r="D159" s="17" t="n">
        <f aca="false">IFERROR(ROUNDUP($C159/3,0),"")</f>
        <v>4</v>
      </c>
      <c r="E159" s="11" t="str">
        <f aca="false">TRIM('수출입 실적(신성질별)'!B163)</f>
        <v>다.비내구소비재</v>
      </c>
      <c r="F159" s="18" t="n">
        <f aca="false">IFERROR(VALUE(SUBSTITUTE(TRIM('수출입 실적(신성질별)'!C163),",","")),"")</f>
        <v>156171.3</v>
      </c>
      <c r="G159" s="19" t="n">
        <f aca="false">IFERROR(VALUE(SUBSTITUTE(TRIM('수출입 실적(신성질별)'!D163),",","")),"")</f>
        <v>1719257</v>
      </c>
      <c r="H159" s="18" t="n">
        <f aca="false">IFERROR(VALUE(SUBSTITUTE(TRIM('수출입 실적(신성질별)'!E163),",","")),"")</f>
        <v>185884.7</v>
      </c>
      <c r="I159" s="19" t="n">
        <f aca="false">IFERROR(VALUE(SUBSTITUTE(TRIM('수출입 실적(신성질별)'!F163),",","")),"")</f>
        <v>2673261</v>
      </c>
    </row>
    <row r="160" customFormat="false" ht="15" hidden="false" customHeight="true" outlineLevel="0" collapsed="false">
      <c r="A160" s="11" t="str">
        <f aca="false">TRIM('수출입 실적(신성질별)'!A164)</f>
        <v>2024.10</v>
      </c>
      <c r="B160" s="17" t="n">
        <f aca="false">IFERROR(VALUE(LEFT($A160,4)),"")</f>
        <v>2024</v>
      </c>
      <c r="C160" s="17" t="n">
        <f aca="false">IFERROR(VALUE(RIGHT($A160,2)),"")</f>
        <v>10</v>
      </c>
      <c r="D160" s="17" t="n">
        <f aca="false">IFERROR(ROUNDUP($C160/3,0),"")</f>
        <v>4</v>
      </c>
      <c r="E160" s="11" t="str">
        <f aca="false">TRIM('수출입 실적(신성질별)'!B164)</f>
        <v>라.간이세율적용분</v>
      </c>
      <c r="F160" s="18" t="n">
        <f aca="false">IFERROR(VALUE(SUBSTITUTE(TRIM('수출입 실적(신성질별)'!C164),",","")),"")</f>
        <v>1697.5</v>
      </c>
      <c r="G160" s="19" t="n">
        <f aca="false">IFERROR(VALUE(SUBSTITUTE(TRIM('수출입 실적(신성질별)'!D164),",","")),"")</f>
        <v>2014</v>
      </c>
      <c r="H160" s="18" t="n">
        <f aca="false">IFERROR(VALUE(SUBSTITUTE(TRIM('수출입 실적(신성질별)'!E164),",","")),"")</f>
        <v>0</v>
      </c>
      <c r="I160" s="19" t="n">
        <f aca="false">IFERROR(VALUE(SUBSTITUTE(TRIM('수출입 실적(신성질별)'!F164),",","")),"")</f>
        <v>0</v>
      </c>
    </row>
    <row r="161" customFormat="false" ht="15" hidden="false" customHeight="true" outlineLevel="0" collapsed="false">
      <c r="A161" s="11" t="str">
        <f aca="false">TRIM('수출입 실적(신성질별)'!A165)</f>
        <v>2024.10</v>
      </c>
      <c r="B161" s="17" t="n">
        <f aca="false">IFERROR(VALUE(LEFT($A161,4)),"")</f>
        <v>2024</v>
      </c>
      <c r="C161" s="17" t="n">
        <f aca="false">IFERROR(VALUE(RIGHT($A161,2)),"")</f>
        <v>10</v>
      </c>
      <c r="D161" s="17" t="n">
        <f aca="false">IFERROR(ROUNDUP($C161/3,0),"")</f>
        <v>4</v>
      </c>
      <c r="E161" s="11" t="str">
        <f aca="false">TRIM('수출입 실적(신성질별)'!B165)</f>
        <v>2.원자재</v>
      </c>
      <c r="F161" s="18" t="n">
        <f aca="false">IFERROR(VALUE(SUBSTITUTE(TRIM('수출입 실적(신성질별)'!C165),",","")),"")</f>
        <v>13066381.6</v>
      </c>
      <c r="G161" s="19" t="n">
        <f aca="false">IFERROR(VALUE(SUBSTITUTE(TRIM('수출입 실적(신성질별)'!D165),",","")),"")</f>
        <v>15740462</v>
      </c>
      <c r="H161" s="18" t="n">
        <f aca="false">IFERROR(VALUE(SUBSTITUTE(TRIM('수출입 실적(신성질별)'!E165),",","")),"")</f>
        <v>44305429.8</v>
      </c>
      <c r="I161" s="19" t="n">
        <f aca="false">IFERROR(VALUE(SUBSTITUTE(TRIM('수출입 실적(신성질별)'!F165),",","")),"")</f>
        <v>25082974</v>
      </c>
    </row>
    <row r="162" customFormat="false" ht="15" hidden="false" customHeight="true" outlineLevel="0" collapsed="false">
      <c r="A162" s="11" t="str">
        <f aca="false">TRIM('수출입 실적(신성질별)'!A166)</f>
        <v>2024.10</v>
      </c>
      <c r="B162" s="17" t="n">
        <f aca="false">IFERROR(VALUE(LEFT($A162,4)),"")</f>
        <v>2024</v>
      </c>
      <c r="C162" s="17" t="n">
        <f aca="false">IFERROR(VALUE(RIGHT($A162,2)),"")</f>
        <v>10</v>
      </c>
      <c r="D162" s="17" t="n">
        <f aca="false">IFERROR(ROUNDUP($C162/3,0),"")</f>
        <v>4</v>
      </c>
      <c r="E162" s="11" t="str">
        <f aca="false">TRIM('수출입 실적(신성질별)'!B166)</f>
        <v>가.동식물성 연·원료</v>
      </c>
      <c r="F162" s="18" t="n">
        <f aca="false">IFERROR(VALUE(SUBSTITUTE(TRIM('수출입 실적(신성질별)'!C166),",","")),"")</f>
        <v>361955.2</v>
      </c>
      <c r="G162" s="19" t="n">
        <f aca="false">IFERROR(VALUE(SUBSTITUTE(TRIM('수출입 실적(신성질별)'!D166),",","")),"")</f>
        <v>441320</v>
      </c>
      <c r="H162" s="18" t="n">
        <f aca="false">IFERROR(VALUE(SUBSTITUTE(TRIM('수출입 실적(신성질별)'!E166),",","")),"")</f>
        <v>3041746.9</v>
      </c>
      <c r="I162" s="19" t="n">
        <f aca="false">IFERROR(VALUE(SUBSTITUTE(TRIM('수출입 실적(신성질별)'!F166),",","")),"")</f>
        <v>1490398</v>
      </c>
    </row>
    <row r="163" customFormat="false" ht="15" hidden="false" customHeight="true" outlineLevel="0" collapsed="false">
      <c r="A163" s="11" t="str">
        <f aca="false">TRIM('수출입 실적(신성질별)'!A167)</f>
        <v>2024.10</v>
      </c>
      <c r="B163" s="17" t="n">
        <f aca="false">IFERROR(VALUE(LEFT($A163,4)),"")</f>
        <v>2024</v>
      </c>
      <c r="C163" s="17" t="n">
        <f aca="false">IFERROR(VALUE(RIGHT($A163,2)),"")</f>
        <v>10</v>
      </c>
      <c r="D163" s="17" t="n">
        <f aca="false">IFERROR(ROUNDUP($C163/3,0),"")</f>
        <v>4</v>
      </c>
      <c r="E163" s="11" t="str">
        <f aca="false">TRIM('수출입 실적(신성질별)'!B167)</f>
        <v>나.섬유류</v>
      </c>
      <c r="F163" s="18" t="n">
        <f aca="false">IFERROR(VALUE(SUBSTITUTE(TRIM('수출입 실적(신성질별)'!C167),",","")),"")</f>
        <v>121920.4</v>
      </c>
      <c r="G163" s="19" t="n">
        <f aca="false">IFERROR(VALUE(SUBSTITUTE(TRIM('수출입 실적(신성질별)'!D167),",","")),"")</f>
        <v>600092</v>
      </c>
      <c r="H163" s="18" t="n">
        <f aca="false">IFERROR(VALUE(SUBSTITUTE(TRIM('수출입 실적(신성질별)'!E167),",","")),"")</f>
        <v>104038.1</v>
      </c>
      <c r="I163" s="19" t="n">
        <f aca="false">IFERROR(VALUE(SUBSTITUTE(TRIM('수출입 실적(신성질별)'!F167),",","")),"")</f>
        <v>343923</v>
      </c>
    </row>
    <row r="164" customFormat="false" ht="15" hidden="false" customHeight="true" outlineLevel="0" collapsed="false">
      <c r="A164" s="11" t="str">
        <f aca="false">TRIM('수출입 실적(신성질별)'!A168)</f>
        <v>2024.10</v>
      </c>
      <c r="B164" s="17" t="n">
        <f aca="false">IFERROR(VALUE(LEFT($A164,4)),"")</f>
        <v>2024</v>
      </c>
      <c r="C164" s="17" t="n">
        <f aca="false">IFERROR(VALUE(RIGHT($A164,2)),"")</f>
        <v>10</v>
      </c>
      <c r="D164" s="17" t="n">
        <f aca="false">IFERROR(ROUNDUP($C164/3,0),"")</f>
        <v>4</v>
      </c>
      <c r="E164" s="11" t="str">
        <f aca="false">TRIM('수출입 실적(신성질별)'!B168)</f>
        <v>다.광산물</v>
      </c>
      <c r="F164" s="18" t="n">
        <f aca="false">IFERROR(VALUE(SUBSTITUTE(TRIM('수출입 실적(신성질별)'!C168),",","")),"")</f>
        <v>5472812.3</v>
      </c>
      <c r="G164" s="19" t="n">
        <f aca="false">IFERROR(VALUE(SUBSTITUTE(TRIM('수출입 실적(신성질별)'!D168),",","")),"")</f>
        <v>4004845</v>
      </c>
      <c r="H164" s="18" t="n">
        <f aca="false">IFERROR(VALUE(SUBSTITUTE(TRIM('수출입 실적(신성질별)'!E168),",","")),"")</f>
        <v>37626877.2</v>
      </c>
      <c r="I164" s="19" t="n">
        <f aca="false">IFERROR(VALUE(SUBSTITUTE(TRIM('수출입 실적(신성질별)'!F168),",","")),"")</f>
        <v>15744285</v>
      </c>
    </row>
    <row r="165" customFormat="false" ht="15" hidden="false" customHeight="true" outlineLevel="0" collapsed="false">
      <c r="A165" s="11" t="str">
        <f aca="false">TRIM('수출입 실적(신성질별)'!A169)</f>
        <v>2024.10</v>
      </c>
      <c r="B165" s="17" t="n">
        <f aca="false">IFERROR(VALUE(LEFT($A165,4)),"")</f>
        <v>2024</v>
      </c>
      <c r="C165" s="17" t="n">
        <f aca="false">IFERROR(VALUE(RIGHT($A165,2)),"")</f>
        <v>10</v>
      </c>
      <c r="D165" s="17" t="n">
        <f aca="false">IFERROR(ROUNDUP($C165/3,0),"")</f>
        <v>4</v>
      </c>
      <c r="E165" s="11" t="str">
        <f aca="false">TRIM('수출입 실적(신성질별)'!B169)</f>
        <v>라.철강 및 금속제품</v>
      </c>
      <c r="F165" s="18" t="n">
        <f aca="false">IFERROR(VALUE(SUBSTITUTE(TRIM('수출입 실적(신성질별)'!C169),",","")),"")</f>
        <v>2713197.9</v>
      </c>
      <c r="G165" s="19" t="n">
        <f aca="false">IFERROR(VALUE(SUBSTITUTE(TRIM('수출입 실적(신성질별)'!D169),",","")),"")</f>
        <v>3480561</v>
      </c>
      <c r="H165" s="18" t="n">
        <f aca="false">IFERROR(VALUE(SUBSTITUTE(TRIM('수출입 실적(신성질별)'!E169),",","")),"")</f>
        <v>1816745.6</v>
      </c>
      <c r="I165" s="19" t="n">
        <f aca="false">IFERROR(VALUE(SUBSTITUTE(TRIM('수출입 실적(신성질별)'!F169),",","")),"")</f>
        <v>2820168</v>
      </c>
    </row>
    <row r="166" customFormat="false" ht="15" hidden="false" customHeight="true" outlineLevel="0" collapsed="false">
      <c r="A166" s="11" t="str">
        <f aca="false">TRIM('수출입 실적(신성질별)'!A170)</f>
        <v>2024.10</v>
      </c>
      <c r="B166" s="17" t="n">
        <f aca="false">IFERROR(VALUE(LEFT($A166,4)),"")</f>
        <v>2024</v>
      </c>
      <c r="C166" s="17" t="n">
        <f aca="false">IFERROR(VALUE(RIGHT($A166,2)),"")</f>
        <v>10</v>
      </c>
      <c r="D166" s="17" t="n">
        <f aca="false">IFERROR(ROUNDUP($C166/3,0),"")</f>
        <v>4</v>
      </c>
      <c r="E166" s="11" t="str">
        <f aca="false">TRIM('수출입 실적(신성질별)'!B170)</f>
        <v>마.화학공업제품</v>
      </c>
      <c r="F166" s="18" t="n">
        <f aca="false">IFERROR(VALUE(SUBSTITUTE(TRIM('수출입 실적(신성질별)'!C170),",","")),"")</f>
        <v>4393464</v>
      </c>
      <c r="G166" s="19" t="n">
        <f aca="false">IFERROR(VALUE(SUBSTITUTE(TRIM('수출입 실적(신성질별)'!D170),",","")),"")</f>
        <v>7203963</v>
      </c>
      <c r="H166" s="18" t="n">
        <f aca="false">IFERROR(VALUE(SUBSTITUTE(TRIM('수출입 실적(신성질별)'!E170),",","")),"")</f>
        <v>1713114.6</v>
      </c>
      <c r="I166" s="19" t="n">
        <f aca="false">IFERROR(VALUE(SUBSTITUTE(TRIM('수출입 실적(신성질별)'!F170),",","")),"")</f>
        <v>4677407</v>
      </c>
    </row>
    <row r="167" customFormat="false" ht="15" hidden="false" customHeight="true" outlineLevel="0" collapsed="false">
      <c r="A167" s="11" t="str">
        <f aca="false">TRIM('수출입 실적(신성질별)'!A171)</f>
        <v>2024.10</v>
      </c>
      <c r="B167" s="17" t="n">
        <f aca="false">IFERROR(VALUE(LEFT($A167,4)),"")</f>
        <v>2024</v>
      </c>
      <c r="C167" s="17" t="n">
        <f aca="false">IFERROR(VALUE(RIGHT($A167,2)),"")</f>
        <v>10</v>
      </c>
      <c r="D167" s="17" t="n">
        <f aca="false">IFERROR(ROUNDUP($C167/3,0),"")</f>
        <v>4</v>
      </c>
      <c r="E167" s="11" t="str">
        <f aca="false">TRIM('수출입 실적(신성질별)'!B171)</f>
        <v>바.기타 원자재</v>
      </c>
      <c r="F167" s="18" t="n">
        <f aca="false">IFERROR(VALUE(SUBSTITUTE(TRIM('수출입 실적(신성질별)'!C171),",","")),"")</f>
        <v>3031.9</v>
      </c>
      <c r="G167" s="19" t="n">
        <f aca="false">IFERROR(VALUE(SUBSTITUTE(TRIM('수출입 실적(신성질별)'!D171),",","")),"")</f>
        <v>9680</v>
      </c>
      <c r="H167" s="18" t="n">
        <f aca="false">IFERROR(VALUE(SUBSTITUTE(TRIM('수출입 실적(신성질별)'!E171),",","")),"")</f>
        <v>2907.4</v>
      </c>
      <c r="I167" s="19" t="n">
        <f aca="false">IFERROR(VALUE(SUBSTITUTE(TRIM('수출입 실적(신성질별)'!F171),",","")),"")</f>
        <v>6794</v>
      </c>
    </row>
    <row r="168" customFormat="false" ht="15" hidden="false" customHeight="true" outlineLevel="0" collapsed="false">
      <c r="A168" s="11" t="str">
        <f aca="false">TRIM('수출입 실적(신성질별)'!A172)</f>
        <v>2024.10</v>
      </c>
      <c r="B168" s="17" t="n">
        <f aca="false">IFERROR(VALUE(LEFT($A168,4)),"")</f>
        <v>2024</v>
      </c>
      <c r="C168" s="17" t="n">
        <f aca="false">IFERROR(VALUE(RIGHT($A168,2)),"")</f>
        <v>10</v>
      </c>
      <c r="D168" s="17" t="n">
        <f aca="false">IFERROR(ROUNDUP($C168/3,0),"")</f>
        <v>4</v>
      </c>
      <c r="E168" s="11" t="str">
        <f aca="false">TRIM('수출입 실적(신성질별)'!B172)</f>
        <v>3.자본재</v>
      </c>
      <c r="F168" s="18" t="n">
        <f aca="false">IFERROR(VALUE(SUBSTITUTE(TRIM('수출입 실적(신성질별)'!C172),",","")),"")</f>
        <v>1971368.7</v>
      </c>
      <c r="G168" s="19" t="n">
        <f aca="false">IFERROR(VALUE(SUBSTITUTE(TRIM('수출입 실적(신성질별)'!D172),",","")),"")</f>
        <v>33096529</v>
      </c>
      <c r="H168" s="18" t="n">
        <f aca="false">IFERROR(VALUE(SUBSTITUTE(TRIM('수출입 실적(신성질별)'!E172),",","")),"")</f>
        <v>906263.9</v>
      </c>
      <c r="I168" s="19" t="n">
        <f aca="false">IFERROR(VALUE(SUBSTITUTE(TRIM('수출입 실적(신성질별)'!F172),",","")),"")</f>
        <v>21471330</v>
      </c>
    </row>
    <row r="169" customFormat="false" ht="15" hidden="false" customHeight="true" outlineLevel="0" collapsed="false">
      <c r="A169" s="11" t="str">
        <f aca="false">TRIM('수출입 실적(신성질별)'!A173)</f>
        <v>2024.10</v>
      </c>
      <c r="B169" s="17" t="n">
        <f aca="false">IFERROR(VALUE(LEFT($A169,4)),"")</f>
        <v>2024</v>
      </c>
      <c r="C169" s="17" t="n">
        <f aca="false">IFERROR(VALUE(RIGHT($A169,2)),"")</f>
        <v>10</v>
      </c>
      <c r="D169" s="17" t="n">
        <f aca="false">IFERROR(ROUNDUP($C169/3,0),"")</f>
        <v>4</v>
      </c>
      <c r="E169" s="11" t="str">
        <f aca="false">TRIM('수출입 실적(신성질별)'!B173)</f>
        <v>가.수송장비</v>
      </c>
      <c r="F169" s="18" t="n">
        <f aca="false">IFERROR(VALUE(SUBSTITUTE(TRIM('수출입 실적(신성질별)'!C173),",","")),"")</f>
        <v>1294122.5</v>
      </c>
      <c r="G169" s="19" t="n">
        <f aca="false">IFERROR(VALUE(SUBSTITUTE(TRIM('수출입 실적(신성질별)'!D173),",","")),"")</f>
        <v>6059047</v>
      </c>
      <c r="H169" s="18" t="n">
        <f aca="false">IFERROR(VALUE(SUBSTITUTE(TRIM('수출입 실적(신성질별)'!E173),",","")),"")</f>
        <v>298267.6</v>
      </c>
      <c r="I169" s="19" t="n">
        <f aca="false">IFERROR(VALUE(SUBSTITUTE(TRIM('수출입 실적(신성질별)'!F173),",","")),"")</f>
        <v>2041628</v>
      </c>
    </row>
    <row r="170" customFormat="false" ht="15" hidden="false" customHeight="true" outlineLevel="0" collapsed="false">
      <c r="A170" s="11" t="str">
        <f aca="false">TRIM('수출입 실적(신성질별)'!A174)</f>
        <v>2024.10</v>
      </c>
      <c r="B170" s="17" t="n">
        <f aca="false">IFERROR(VALUE(LEFT($A170,4)),"")</f>
        <v>2024</v>
      </c>
      <c r="C170" s="17" t="n">
        <f aca="false">IFERROR(VALUE(RIGHT($A170,2)),"")</f>
        <v>10</v>
      </c>
      <c r="D170" s="17" t="n">
        <f aca="false">IFERROR(ROUNDUP($C170/3,0),"")</f>
        <v>4</v>
      </c>
      <c r="E170" s="11" t="str">
        <f aca="false">TRIM('수출입 실적(신성질별)'!B174)</f>
        <v>나.기계류</v>
      </c>
      <c r="F170" s="18" t="n">
        <f aca="false">IFERROR(VALUE(SUBSTITUTE(TRIM('수출입 실적(신성질별)'!C174),",","")),"")</f>
        <v>636998.2</v>
      </c>
      <c r="G170" s="19" t="n">
        <f aca="false">IFERROR(VALUE(SUBSTITUTE(TRIM('수출입 실적(신성질별)'!D174),",","")),"")</f>
        <v>8649573</v>
      </c>
      <c r="H170" s="18" t="n">
        <f aca="false">IFERROR(VALUE(SUBSTITUTE(TRIM('수출입 실적(신성질별)'!E174),",","")),"")</f>
        <v>548224.4</v>
      </c>
      <c r="I170" s="19" t="n">
        <f aca="false">IFERROR(VALUE(SUBSTITUTE(TRIM('수출입 실적(신성질별)'!F174),",","")),"")</f>
        <v>8681610</v>
      </c>
    </row>
    <row r="171" customFormat="false" ht="15" hidden="false" customHeight="true" outlineLevel="0" collapsed="false">
      <c r="A171" s="11" t="str">
        <f aca="false">TRIM('수출입 실적(신성질별)'!A175)</f>
        <v>2024.10</v>
      </c>
      <c r="B171" s="17" t="n">
        <f aca="false">IFERROR(VALUE(LEFT($A171,4)),"")</f>
        <v>2024</v>
      </c>
      <c r="C171" s="17" t="n">
        <f aca="false">IFERROR(VALUE(RIGHT($A171,2)),"")</f>
        <v>10</v>
      </c>
      <c r="D171" s="17" t="n">
        <f aca="false">IFERROR(ROUNDUP($C171/3,0),"")</f>
        <v>4</v>
      </c>
      <c r="E171" s="11" t="str">
        <f aca="false">TRIM('수출입 실적(신성질별)'!B175)</f>
        <v>다.IT제품</v>
      </c>
      <c r="F171" s="18" t="n">
        <f aca="false">IFERROR(VALUE(SUBSTITUTE(TRIM('수출입 실적(신성질별)'!C175),",","")),"")</f>
        <v>12990</v>
      </c>
      <c r="G171" s="19" t="n">
        <f aca="false">IFERROR(VALUE(SUBSTITUTE(TRIM('수출입 실적(신성질별)'!D175),",","")),"")</f>
        <v>4421318</v>
      </c>
      <c r="H171" s="18" t="n">
        <f aca="false">IFERROR(VALUE(SUBSTITUTE(TRIM('수출입 실적(신성질별)'!E175),",","")),"")</f>
        <v>18449.8</v>
      </c>
      <c r="I171" s="19" t="n">
        <f aca="false">IFERROR(VALUE(SUBSTITUTE(TRIM('수출입 실적(신성질별)'!F175),",","")),"")</f>
        <v>3029189</v>
      </c>
    </row>
    <row r="172" customFormat="false" ht="15" hidden="false" customHeight="true" outlineLevel="0" collapsed="false">
      <c r="A172" s="11" t="str">
        <f aca="false">TRIM('수출입 실적(신성질별)'!A176)</f>
        <v>2024.10</v>
      </c>
      <c r="B172" s="17" t="n">
        <f aca="false">IFERROR(VALUE(LEFT($A172,4)),"")</f>
        <v>2024</v>
      </c>
      <c r="C172" s="17" t="n">
        <f aca="false">IFERROR(VALUE(RIGHT($A172,2)),"")</f>
        <v>10</v>
      </c>
      <c r="D172" s="17" t="n">
        <f aca="false">IFERROR(ROUNDUP($C172/3,0),"")</f>
        <v>4</v>
      </c>
      <c r="E172" s="11" t="str">
        <f aca="false">TRIM('수출입 실적(신성질별)'!B176)</f>
        <v>라.IT부품</v>
      </c>
      <c r="F172" s="18" t="n">
        <f aca="false">IFERROR(VALUE(SUBSTITUTE(TRIM('수출입 실적(신성질별)'!C176),",","")),"")</f>
        <v>27258</v>
      </c>
      <c r="G172" s="19" t="n">
        <f aca="false">IFERROR(VALUE(SUBSTITUTE(TRIM('수출입 실적(신성질별)'!D176),",","")),"")</f>
        <v>13966592</v>
      </c>
      <c r="H172" s="18" t="n">
        <f aca="false">IFERROR(VALUE(SUBSTITUTE(TRIM('수출입 실적(신성질별)'!E176),",","")),"")</f>
        <v>41322.2</v>
      </c>
      <c r="I172" s="19" t="n">
        <f aca="false">IFERROR(VALUE(SUBSTITUTE(TRIM('수출입 실적(신성질별)'!F176),",","")),"")</f>
        <v>7718902</v>
      </c>
    </row>
    <row r="173" customFormat="false" ht="15" hidden="false" customHeight="true" outlineLevel="0" collapsed="false">
      <c r="A173" s="11" t="str">
        <f aca="false">TRIM('수출입 실적(신성질별)'!A177)</f>
        <v>2024.11</v>
      </c>
      <c r="B173" s="17" t="n">
        <f aca="false">IFERROR(VALUE(LEFT($A173,4)),"")</f>
        <v>2024</v>
      </c>
      <c r="C173" s="17" t="n">
        <f aca="false">IFERROR(VALUE(RIGHT($A173,2)),"")</f>
        <v>11</v>
      </c>
      <c r="D173" s="17" t="n">
        <f aca="false">IFERROR(ROUNDUP($C173/3,0),"")</f>
        <v>4</v>
      </c>
      <c r="E173" s="11" t="str">
        <f aca="false">TRIM('수출입 실적(신성질별)'!B177)</f>
        <v>1.소비재</v>
      </c>
      <c r="F173" s="18" t="n">
        <f aca="false">IFERROR(VALUE(SUBSTITUTE(TRIM('수출입 실적(신성질별)'!C177),",","")),"")</f>
        <v>899612.3</v>
      </c>
      <c r="G173" s="19" t="n">
        <f aca="false">IFERROR(VALUE(SUBSTITUTE(TRIM('수출입 실적(신성질별)'!D177),",","")),"")</f>
        <v>7995465</v>
      </c>
      <c r="H173" s="18" t="n">
        <f aca="false">IFERROR(VALUE(SUBSTITUTE(TRIM('수출입 실적(신성질별)'!E177),",","")),"")</f>
        <v>1925041.8</v>
      </c>
      <c r="I173" s="19" t="n">
        <f aca="false">IFERROR(VALUE(SUBSTITUTE(TRIM('수출입 실적(신성질별)'!F177),",","")),"")</f>
        <v>6594115</v>
      </c>
    </row>
    <row r="174" customFormat="false" ht="15" hidden="false" customHeight="true" outlineLevel="0" collapsed="false">
      <c r="A174" s="11" t="str">
        <f aca="false">TRIM('수출입 실적(신성질별)'!A178)</f>
        <v>2024.11</v>
      </c>
      <c r="B174" s="17" t="n">
        <f aca="false">IFERROR(VALUE(LEFT($A174,4)),"")</f>
        <v>2024</v>
      </c>
      <c r="C174" s="17" t="n">
        <f aca="false">IFERROR(VALUE(RIGHT($A174,2)),"")</f>
        <v>11</v>
      </c>
      <c r="D174" s="17" t="n">
        <f aca="false">IFERROR(ROUNDUP($C174/3,0),"")</f>
        <v>4</v>
      </c>
      <c r="E174" s="11" t="str">
        <f aca="false">TRIM('수출입 실적(신성질별)'!B178)</f>
        <v>가.직접소비재</v>
      </c>
      <c r="F174" s="18" t="n">
        <f aca="false">IFERROR(VALUE(SUBSTITUTE(TRIM('수출입 실적(신성질별)'!C178),",","")),"")</f>
        <v>296679.3</v>
      </c>
      <c r="G174" s="19" t="n">
        <f aca="false">IFERROR(VALUE(SUBSTITUTE(TRIM('수출입 실적(신성질별)'!D178),",","")),"")</f>
        <v>960465</v>
      </c>
      <c r="H174" s="18" t="n">
        <f aca="false">IFERROR(VALUE(SUBSTITUTE(TRIM('수출입 실적(신성질별)'!E178),",","")),"")</f>
        <v>1567502.2</v>
      </c>
      <c r="I174" s="19" t="n">
        <f aca="false">IFERROR(VALUE(SUBSTITUTE(TRIM('수출입 실적(신성질별)'!F178),",","")),"")</f>
        <v>2508777</v>
      </c>
    </row>
    <row r="175" customFormat="false" ht="15" hidden="false" customHeight="true" outlineLevel="0" collapsed="false">
      <c r="A175" s="11" t="str">
        <f aca="false">TRIM('수출입 실적(신성질별)'!A179)</f>
        <v>2024.11</v>
      </c>
      <c r="B175" s="17" t="n">
        <f aca="false">IFERROR(VALUE(LEFT($A175,4)),"")</f>
        <v>2024</v>
      </c>
      <c r="C175" s="17" t="n">
        <f aca="false">IFERROR(VALUE(RIGHT($A175,2)),"")</f>
        <v>11</v>
      </c>
      <c r="D175" s="17" t="n">
        <f aca="false">IFERROR(ROUNDUP($C175/3,0),"")</f>
        <v>4</v>
      </c>
      <c r="E175" s="11" t="str">
        <f aca="false">TRIM('수출입 실적(신성질별)'!B179)</f>
        <v>나.내구소비재</v>
      </c>
      <c r="F175" s="18" t="n">
        <f aca="false">IFERROR(VALUE(SUBSTITUTE(TRIM('수출입 실적(신성질별)'!C179),",","")),"")</f>
        <v>450425.4</v>
      </c>
      <c r="G175" s="19" t="n">
        <f aca="false">IFERROR(VALUE(SUBSTITUTE(TRIM('수출입 실적(신성질별)'!D179),",","")),"")</f>
        <v>5390536</v>
      </c>
      <c r="H175" s="18" t="n">
        <f aca="false">IFERROR(VALUE(SUBSTITUTE(TRIM('수출입 실적(신성질별)'!E179),",","")),"")</f>
        <v>191370.4</v>
      </c>
      <c r="I175" s="19" t="n">
        <f aca="false">IFERROR(VALUE(SUBSTITUTE(TRIM('수출입 실적(신성질별)'!F179),",","")),"")</f>
        <v>1966662</v>
      </c>
    </row>
    <row r="176" customFormat="false" ht="15" hidden="false" customHeight="true" outlineLevel="0" collapsed="false">
      <c r="A176" s="11" t="str">
        <f aca="false">TRIM('수출입 실적(신성질별)'!A180)</f>
        <v>2024.11</v>
      </c>
      <c r="B176" s="17" t="n">
        <f aca="false">IFERROR(VALUE(LEFT($A176,4)),"")</f>
        <v>2024</v>
      </c>
      <c r="C176" s="17" t="n">
        <f aca="false">IFERROR(VALUE(RIGHT($A176,2)),"")</f>
        <v>11</v>
      </c>
      <c r="D176" s="17" t="n">
        <f aca="false">IFERROR(ROUNDUP($C176/3,0),"")</f>
        <v>4</v>
      </c>
      <c r="E176" s="11" t="str">
        <f aca="false">TRIM('수출입 실적(신성질별)'!B180)</f>
        <v>다.비내구소비재</v>
      </c>
      <c r="F176" s="18" t="n">
        <f aca="false">IFERROR(VALUE(SUBSTITUTE(TRIM('수출입 실적(신성질별)'!C180),",","")),"")</f>
        <v>150599.3</v>
      </c>
      <c r="G176" s="19" t="n">
        <f aca="false">IFERROR(VALUE(SUBSTITUTE(TRIM('수출입 실적(신성질별)'!D180),",","")),"")</f>
        <v>1642288</v>
      </c>
      <c r="H176" s="18" t="n">
        <f aca="false">IFERROR(VALUE(SUBSTITUTE(TRIM('수출입 실적(신성질별)'!E180),",","")),"")</f>
        <v>166169.2</v>
      </c>
      <c r="I176" s="19" t="n">
        <f aca="false">IFERROR(VALUE(SUBSTITUTE(TRIM('수출입 실적(신성질별)'!F180),",","")),"")</f>
        <v>2118676</v>
      </c>
    </row>
    <row r="177" customFormat="false" ht="15" hidden="false" customHeight="true" outlineLevel="0" collapsed="false">
      <c r="A177" s="11" t="str">
        <f aca="false">TRIM('수출입 실적(신성질별)'!A181)</f>
        <v>2024.11</v>
      </c>
      <c r="B177" s="17" t="n">
        <f aca="false">IFERROR(VALUE(LEFT($A177,4)),"")</f>
        <v>2024</v>
      </c>
      <c r="C177" s="17" t="n">
        <f aca="false">IFERROR(VALUE(RIGHT($A177,2)),"")</f>
        <v>11</v>
      </c>
      <c r="D177" s="17" t="n">
        <f aca="false">IFERROR(ROUNDUP($C177/3,0),"")</f>
        <v>4</v>
      </c>
      <c r="E177" s="11" t="str">
        <f aca="false">TRIM('수출입 실적(신성질별)'!B181)</f>
        <v>라.간이세율적용분</v>
      </c>
      <c r="F177" s="18" t="n">
        <f aca="false">IFERROR(VALUE(SUBSTITUTE(TRIM('수출입 실적(신성질별)'!C181),",","")),"")</f>
        <v>1908.2</v>
      </c>
      <c r="G177" s="19" t="n">
        <f aca="false">IFERROR(VALUE(SUBSTITUTE(TRIM('수출입 실적(신성질별)'!D181),",","")),"")</f>
        <v>2176</v>
      </c>
      <c r="H177" s="18" t="n">
        <f aca="false">IFERROR(VALUE(SUBSTITUTE(TRIM('수출입 실적(신성질별)'!E181),",","")),"")</f>
        <v>0</v>
      </c>
      <c r="I177" s="19" t="n">
        <f aca="false">IFERROR(VALUE(SUBSTITUTE(TRIM('수출입 실적(신성질별)'!F181),",","")),"")</f>
        <v>0</v>
      </c>
    </row>
    <row r="178" customFormat="false" ht="15" hidden="false" customHeight="true" outlineLevel="0" collapsed="false">
      <c r="A178" s="11" t="str">
        <f aca="false">TRIM('수출입 실적(신성질별)'!A182)</f>
        <v>2024.11</v>
      </c>
      <c r="B178" s="17" t="n">
        <f aca="false">IFERROR(VALUE(LEFT($A178,4)),"")</f>
        <v>2024</v>
      </c>
      <c r="C178" s="17" t="n">
        <f aca="false">IFERROR(VALUE(RIGHT($A178,2)),"")</f>
        <v>11</v>
      </c>
      <c r="D178" s="17" t="n">
        <f aca="false">IFERROR(ROUNDUP($C178/3,0),"")</f>
        <v>4</v>
      </c>
      <c r="E178" s="11" t="str">
        <f aca="false">TRIM('수출입 실적(신성질별)'!B182)</f>
        <v>2.원자재</v>
      </c>
      <c r="F178" s="18" t="n">
        <f aca="false">IFERROR(VALUE(SUBSTITUTE(TRIM('수출입 실적(신성질별)'!C182),",","")),"")</f>
        <v>13118653.5</v>
      </c>
      <c r="G178" s="19" t="n">
        <f aca="false">IFERROR(VALUE(SUBSTITUTE(TRIM('수출입 실적(신성질별)'!D182),",","")),"")</f>
        <v>15574442</v>
      </c>
      <c r="H178" s="18" t="n">
        <f aca="false">IFERROR(VALUE(SUBSTITUTE(TRIM('수출입 실적(신성질별)'!E182),",","")),"")</f>
        <v>41436748.8</v>
      </c>
      <c r="I178" s="19" t="n">
        <f aca="false">IFERROR(VALUE(SUBSTITUTE(TRIM('수출입 실적(신성질별)'!F182),",","")),"")</f>
        <v>23451563</v>
      </c>
    </row>
    <row r="179" customFormat="false" ht="15" hidden="false" customHeight="true" outlineLevel="0" collapsed="false">
      <c r="A179" s="11" t="str">
        <f aca="false">TRIM('수출입 실적(신성질별)'!A183)</f>
        <v>2024.11</v>
      </c>
      <c r="B179" s="17" t="n">
        <f aca="false">IFERROR(VALUE(LEFT($A179,4)),"")</f>
        <v>2024</v>
      </c>
      <c r="C179" s="17" t="n">
        <f aca="false">IFERROR(VALUE(RIGHT($A179,2)),"")</f>
        <v>11</v>
      </c>
      <c r="D179" s="17" t="n">
        <f aca="false">IFERROR(ROUNDUP($C179/3,0),"")</f>
        <v>4</v>
      </c>
      <c r="E179" s="11" t="str">
        <f aca="false">TRIM('수출입 실적(신성질별)'!B183)</f>
        <v>가.동식물성 연·원료</v>
      </c>
      <c r="F179" s="18" t="n">
        <f aca="false">IFERROR(VALUE(SUBSTITUTE(TRIM('수출입 실적(신성질별)'!C183),",","")),"")</f>
        <v>318736.7</v>
      </c>
      <c r="G179" s="19" t="n">
        <f aca="false">IFERROR(VALUE(SUBSTITUTE(TRIM('수출입 실적(신성질별)'!D183),",","")),"")</f>
        <v>413627</v>
      </c>
      <c r="H179" s="18" t="n">
        <f aca="false">IFERROR(VALUE(SUBSTITUTE(TRIM('수출입 실적(신성질별)'!E183),",","")),"")</f>
        <v>2805052.9</v>
      </c>
      <c r="I179" s="19" t="n">
        <f aca="false">IFERROR(VALUE(SUBSTITUTE(TRIM('수출입 실적(신성질별)'!F183),",","")),"")</f>
        <v>1368799</v>
      </c>
    </row>
    <row r="180" customFormat="false" ht="15" hidden="false" customHeight="true" outlineLevel="0" collapsed="false">
      <c r="A180" s="11" t="str">
        <f aca="false">TRIM('수출입 실적(신성질별)'!A184)</f>
        <v>2024.11</v>
      </c>
      <c r="B180" s="17" t="n">
        <f aca="false">IFERROR(VALUE(LEFT($A180,4)),"")</f>
        <v>2024</v>
      </c>
      <c r="C180" s="17" t="n">
        <f aca="false">IFERROR(VALUE(RIGHT($A180,2)),"")</f>
        <v>11</v>
      </c>
      <c r="D180" s="17" t="n">
        <f aca="false">IFERROR(ROUNDUP($C180/3,0),"")</f>
        <v>4</v>
      </c>
      <c r="E180" s="11" t="str">
        <f aca="false">TRIM('수출입 실적(신성질별)'!B184)</f>
        <v>나.섬유류</v>
      </c>
      <c r="F180" s="18" t="n">
        <f aca="false">IFERROR(VALUE(SUBSTITUTE(TRIM('수출입 실적(신성질별)'!C184),",","")),"")</f>
        <v>123595.6</v>
      </c>
      <c r="G180" s="19" t="n">
        <f aca="false">IFERROR(VALUE(SUBSTITUTE(TRIM('수출입 실적(신성질별)'!D184),",","")),"")</f>
        <v>644576</v>
      </c>
      <c r="H180" s="18" t="n">
        <f aca="false">IFERROR(VALUE(SUBSTITUTE(TRIM('수출입 실적(신성질별)'!E184),",","")),"")</f>
        <v>96864.5</v>
      </c>
      <c r="I180" s="19" t="n">
        <f aca="false">IFERROR(VALUE(SUBSTITUTE(TRIM('수출입 실적(신성질별)'!F184),",","")),"")</f>
        <v>320020</v>
      </c>
    </row>
    <row r="181" customFormat="false" ht="15" hidden="false" customHeight="true" outlineLevel="0" collapsed="false">
      <c r="A181" s="11" t="str">
        <f aca="false">TRIM('수출입 실적(신성질별)'!A185)</f>
        <v>2024.11</v>
      </c>
      <c r="B181" s="17" t="n">
        <f aca="false">IFERROR(VALUE(LEFT($A181,4)),"")</f>
        <v>2024</v>
      </c>
      <c r="C181" s="17" t="n">
        <f aca="false">IFERROR(VALUE(RIGHT($A181,2)),"")</f>
        <v>11</v>
      </c>
      <c r="D181" s="17" t="n">
        <f aca="false">IFERROR(ROUNDUP($C181/3,0),"")</f>
        <v>4</v>
      </c>
      <c r="E181" s="11" t="str">
        <f aca="false">TRIM('수출입 실적(신성질별)'!B185)</f>
        <v>다.광산물</v>
      </c>
      <c r="F181" s="18" t="n">
        <f aca="false">IFERROR(VALUE(SUBSTITUTE(TRIM('수출입 실적(신성질별)'!C185),",","")),"")</f>
        <v>6031027.3</v>
      </c>
      <c r="G181" s="19" t="n">
        <f aca="false">IFERROR(VALUE(SUBSTITUTE(TRIM('수출입 실적(신성질별)'!D185),",","")),"")</f>
        <v>4334527</v>
      </c>
      <c r="H181" s="18" t="n">
        <f aca="false">IFERROR(VALUE(SUBSTITUTE(TRIM('수출입 실적(신성질별)'!E185),",","")),"")</f>
        <v>35069696</v>
      </c>
      <c r="I181" s="19" t="n">
        <f aca="false">IFERROR(VALUE(SUBSTITUTE(TRIM('수출입 실적(신성질별)'!F185),",","")),"")</f>
        <v>14803870</v>
      </c>
    </row>
    <row r="182" customFormat="false" ht="15" hidden="false" customHeight="true" outlineLevel="0" collapsed="false">
      <c r="A182" s="11" t="str">
        <f aca="false">TRIM('수출입 실적(신성질별)'!A186)</f>
        <v>2024.11</v>
      </c>
      <c r="B182" s="17" t="n">
        <f aca="false">IFERROR(VALUE(LEFT($A182,4)),"")</f>
        <v>2024</v>
      </c>
      <c r="C182" s="17" t="n">
        <f aca="false">IFERROR(VALUE(RIGHT($A182,2)),"")</f>
        <v>11</v>
      </c>
      <c r="D182" s="17" t="n">
        <f aca="false">IFERROR(ROUNDUP($C182/3,0),"")</f>
        <v>4</v>
      </c>
      <c r="E182" s="11" t="str">
        <f aca="false">TRIM('수출입 실적(신성질별)'!B186)</f>
        <v>라.철강 및 금속제품</v>
      </c>
      <c r="F182" s="18" t="n">
        <f aca="false">IFERROR(VALUE(SUBSTITUTE(TRIM('수출입 실적(신성질별)'!C186),",","")),"")</f>
        <v>2700429.8</v>
      </c>
      <c r="G182" s="19" t="n">
        <f aca="false">IFERROR(VALUE(SUBSTITUTE(TRIM('수출입 실적(신성질별)'!D186),",","")),"")</f>
        <v>3320696</v>
      </c>
      <c r="H182" s="18" t="n">
        <f aca="false">IFERROR(VALUE(SUBSTITUTE(TRIM('수출입 실적(신성질별)'!E186),",","")),"")</f>
        <v>1785338.1</v>
      </c>
      <c r="I182" s="19" t="n">
        <f aca="false">IFERROR(VALUE(SUBSTITUTE(TRIM('수출입 실적(신성질별)'!F186),",","")),"")</f>
        <v>2671396</v>
      </c>
    </row>
    <row r="183" customFormat="false" ht="15" hidden="false" customHeight="true" outlineLevel="0" collapsed="false">
      <c r="A183" s="11" t="str">
        <f aca="false">TRIM('수출입 실적(신성질별)'!A187)</f>
        <v>2024.11</v>
      </c>
      <c r="B183" s="17" t="n">
        <f aca="false">IFERROR(VALUE(LEFT($A183,4)),"")</f>
        <v>2024</v>
      </c>
      <c r="C183" s="17" t="n">
        <f aca="false">IFERROR(VALUE(RIGHT($A183,2)),"")</f>
        <v>11</v>
      </c>
      <c r="D183" s="17" t="n">
        <f aca="false">IFERROR(ROUNDUP($C183/3,0),"")</f>
        <v>4</v>
      </c>
      <c r="E183" s="11" t="str">
        <f aca="false">TRIM('수출입 실적(신성질별)'!B187)</f>
        <v>마.화학공업제품</v>
      </c>
      <c r="F183" s="18" t="n">
        <f aca="false">IFERROR(VALUE(SUBSTITUTE(TRIM('수출입 실적(신성질별)'!C187),",","")),"")</f>
        <v>3942059.4</v>
      </c>
      <c r="G183" s="19" t="n">
        <f aca="false">IFERROR(VALUE(SUBSTITUTE(TRIM('수출입 실적(신성질별)'!D187),",","")),"")</f>
        <v>6851506</v>
      </c>
      <c r="H183" s="18" t="n">
        <f aca="false">IFERROR(VALUE(SUBSTITUTE(TRIM('수출입 실적(신성질별)'!E187),",","")),"")</f>
        <v>1677406.6</v>
      </c>
      <c r="I183" s="19" t="n">
        <f aca="false">IFERROR(VALUE(SUBSTITUTE(TRIM('수출입 실적(신성질별)'!F187),",","")),"")</f>
        <v>4281821</v>
      </c>
    </row>
    <row r="184" customFormat="false" ht="15" hidden="false" customHeight="true" outlineLevel="0" collapsed="false">
      <c r="A184" s="11" t="str">
        <f aca="false">TRIM('수출입 실적(신성질별)'!A188)</f>
        <v>2024.11</v>
      </c>
      <c r="B184" s="17" t="n">
        <f aca="false">IFERROR(VALUE(LEFT($A184,4)),"")</f>
        <v>2024</v>
      </c>
      <c r="C184" s="17" t="n">
        <f aca="false">IFERROR(VALUE(RIGHT($A184,2)),"")</f>
        <v>11</v>
      </c>
      <c r="D184" s="17" t="n">
        <f aca="false">IFERROR(ROUNDUP($C184/3,0),"")</f>
        <v>4</v>
      </c>
      <c r="E184" s="11" t="str">
        <f aca="false">TRIM('수출입 실적(신성질별)'!B188)</f>
        <v>바.기타 원자재</v>
      </c>
      <c r="F184" s="18" t="n">
        <f aca="false">IFERROR(VALUE(SUBSTITUTE(TRIM('수출입 실적(신성질별)'!C188),",","")),"")</f>
        <v>2804.7</v>
      </c>
      <c r="G184" s="19" t="n">
        <f aca="false">IFERROR(VALUE(SUBSTITUTE(TRIM('수출입 실적(신성질별)'!D188),",","")),"")</f>
        <v>9510</v>
      </c>
      <c r="H184" s="18" t="n">
        <f aca="false">IFERROR(VALUE(SUBSTITUTE(TRIM('수출입 실적(신성질별)'!E188),",","")),"")</f>
        <v>2390.6</v>
      </c>
      <c r="I184" s="19" t="n">
        <f aca="false">IFERROR(VALUE(SUBSTITUTE(TRIM('수출입 실적(신성질별)'!F188),",","")),"")</f>
        <v>5657</v>
      </c>
    </row>
    <row r="185" customFormat="false" ht="15" hidden="false" customHeight="true" outlineLevel="0" collapsed="false">
      <c r="A185" s="11" t="str">
        <f aca="false">TRIM('수출입 실적(신성질별)'!A189)</f>
        <v>2024.11</v>
      </c>
      <c r="B185" s="17" t="n">
        <f aca="false">IFERROR(VALUE(LEFT($A185,4)),"")</f>
        <v>2024</v>
      </c>
      <c r="C185" s="17" t="n">
        <f aca="false">IFERROR(VALUE(RIGHT($A185,2)),"")</f>
        <v>11</v>
      </c>
      <c r="D185" s="17" t="n">
        <f aca="false">IFERROR(ROUNDUP($C185/3,0),"")</f>
        <v>4</v>
      </c>
      <c r="E185" s="11" t="str">
        <f aca="false">TRIM('수출입 실적(신성질별)'!B189)</f>
        <v>3.자본재</v>
      </c>
      <c r="F185" s="18" t="n">
        <f aca="false">IFERROR(VALUE(SUBSTITUTE(TRIM('수출입 실적(신성질별)'!C189),",","")),"")</f>
        <v>1875690.3</v>
      </c>
      <c r="G185" s="19" t="n">
        <f aca="false">IFERROR(VALUE(SUBSTITUTE(TRIM('수출입 실적(신성질별)'!D189),",","")),"")</f>
        <v>32718722</v>
      </c>
      <c r="H185" s="18" t="n">
        <f aca="false">IFERROR(VALUE(SUBSTITUTE(TRIM('수출입 실적(신성질별)'!E189),",","")),"")</f>
        <v>754504</v>
      </c>
      <c r="I185" s="19" t="n">
        <f aca="false">IFERROR(VALUE(SUBSTITUTE(TRIM('수출입 실적(신성질별)'!F189),",","")),"")</f>
        <v>20673314</v>
      </c>
    </row>
    <row r="186" customFormat="false" ht="15" hidden="false" customHeight="true" outlineLevel="0" collapsed="false">
      <c r="A186" s="11" t="str">
        <f aca="false">TRIM('수출입 실적(신성질별)'!A190)</f>
        <v>2024.11</v>
      </c>
      <c r="B186" s="17" t="n">
        <f aca="false">IFERROR(VALUE(LEFT($A186,4)),"")</f>
        <v>2024</v>
      </c>
      <c r="C186" s="17" t="n">
        <f aca="false">IFERROR(VALUE(RIGHT($A186,2)),"")</f>
        <v>11</v>
      </c>
      <c r="D186" s="17" t="n">
        <f aca="false">IFERROR(ROUNDUP($C186/3,0),"")</f>
        <v>4</v>
      </c>
      <c r="E186" s="11" t="str">
        <f aca="false">TRIM('수출입 실적(신성질별)'!B190)</f>
        <v>가.수송장비</v>
      </c>
      <c r="F186" s="18" t="n">
        <f aca="false">IFERROR(VALUE(SUBSTITUTE(TRIM('수출입 실적(신성질별)'!C190),",","")),"")</f>
        <v>1225069.5</v>
      </c>
      <c r="G186" s="19" t="n">
        <f aca="false">IFERROR(VALUE(SUBSTITUTE(TRIM('수출입 실적(신성질별)'!D190),",","")),"")</f>
        <v>5888413</v>
      </c>
      <c r="H186" s="18" t="n">
        <f aca="false">IFERROR(VALUE(SUBSTITUTE(TRIM('수출입 실적(신성질별)'!E190),",","")),"")</f>
        <v>185818.7</v>
      </c>
      <c r="I186" s="19" t="n">
        <f aca="false">IFERROR(VALUE(SUBSTITUTE(TRIM('수출입 실적(신성질별)'!F190),",","")),"")</f>
        <v>1914103</v>
      </c>
    </row>
    <row r="187" customFormat="false" ht="15" hidden="false" customHeight="true" outlineLevel="0" collapsed="false">
      <c r="A187" s="11" t="str">
        <f aca="false">TRIM('수출입 실적(신성질별)'!A191)</f>
        <v>2024.11</v>
      </c>
      <c r="B187" s="17" t="n">
        <f aca="false">IFERROR(VALUE(LEFT($A187,4)),"")</f>
        <v>2024</v>
      </c>
      <c r="C187" s="17" t="n">
        <f aca="false">IFERROR(VALUE(RIGHT($A187,2)),"")</f>
        <v>11</v>
      </c>
      <c r="D187" s="17" t="n">
        <f aca="false">IFERROR(ROUNDUP($C187/3,0),"")</f>
        <v>4</v>
      </c>
      <c r="E187" s="11" t="str">
        <f aca="false">TRIM('수출입 실적(신성질별)'!B191)</f>
        <v>나.기계류</v>
      </c>
      <c r="F187" s="18" t="n">
        <f aca="false">IFERROR(VALUE(SUBSTITUTE(TRIM('수출입 실적(신성질별)'!C191),",","")),"")</f>
        <v>610337</v>
      </c>
      <c r="G187" s="19" t="n">
        <f aca="false">IFERROR(VALUE(SUBSTITUTE(TRIM('수출입 실적(신성질별)'!D191),",","")),"")</f>
        <v>8633313</v>
      </c>
      <c r="H187" s="18" t="n">
        <f aca="false">IFERROR(VALUE(SUBSTITUTE(TRIM('수출입 실적(신성질별)'!E191),",","")),"")</f>
        <v>512201.6</v>
      </c>
      <c r="I187" s="19" t="n">
        <f aca="false">IFERROR(VALUE(SUBSTITUTE(TRIM('수출입 실적(신성질별)'!F191),",","")),"")</f>
        <v>8824839</v>
      </c>
    </row>
    <row r="188" customFormat="false" ht="15" hidden="false" customHeight="true" outlineLevel="0" collapsed="false">
      <c r="A188" s="11" t="str">
        <f aca="false">TRIM('수출입 실적(신성질별)'!A192)</f>
        <v>2024.11</v>
      </c>
      <c r="B188" s="17" t="n">
        <f aca="false">IFERROR(VALUE(LEFT($A188,4)),"")</f>
        <v>2024</v>
      </c>
      <c r="C188" s="17" t="n">
        <f aca="false">IFERROR(VALUE(RIGHT($A188,2)),"")</f>
        <v>11</v>
      </c>
      <c r="D188" s="17" t="n">
        <f aca="false">IFERROR(ROUNDUP($C188/3,0),"")</f>
        <v>4</v>
      </c>
      <c r="E188" s="11" t="str">
        <f aca="false">TRIM('수출입 실적(신성질별)'!B192)</f>
        <v>다.IT제품</v>
      </c>
      <c r="F188" s="18" t="n">
        <f aca="false">IFERROR(VALUE(SUBSTITUTE(TRIM('수출입 실적(신성질별)'!C192),",","")),"")</f>
        <v>12164.6</v>
      </c>
      <c r="G188" s="19" t="n">
        <f aca="false">IFERROR(VALUE(SUBSTITUTE(TRIM('수출입 실적(신성질별)'!D192),",","")),"")</f>
        <v>4343246</v>
      </c>
      <c r="H188" s="18" t="n">
        <f aca="false">IFERROR(VALUE(SUBSTITUTE(TRIM('수출입 실적(신성질별)'!E192),",","")),"")</f>
        <v>15964.8</v>
      </c>
      <c r="I188" s="19" t="n">
        <f aca="false">IFERROR(VALUE(SUBSTITUTE(TRIM('수출입 실적(신성질별)'!F192),",","")),"")</f>
        <v>2406551</v>
      </c>
    </row>
    <row r="189" customFormat="false" ht="15" hidden="false" customHeight="true" outlineLevel="0" collapsed="false">
      <c r="A189" s="11" t="str">
        <f aca="false">TRIM('수출입 실적(신성질별)'!A193)</f>
        <v>2024.11</v>
      </c>
      <c r="B189" s="17" t="n">
        <f aca="false">IFERROR(VALUE(LEFT($A189,4)),"")</f>
        <v>2024</v>
      </c>
      <c r="C189" s="17" t="n">
        <f aca="false">IFERROR(VALUE(RIGHT($A189,2)),"")</f>
        <v>11</v>
      </c>
      <c r="D189" s="17" t="n">
        <f aca="false">IFERROR(ROUNDUP($C189/3,0),"")</f>
        <v>4</v>
      </c>
      <c r="E189" s="11" t="str">
        <f aca="false">TRIM('수출입 실적(신성질별)'!B193)</f>
        <v>라.IT부품</v>
      </c>
      <c r="F189" s="18" t="n">
        <f aca="false">IFERROR(VALUE(SUBSTITUTE(TRIM('수출입 실적(신성질별)'!C193),",","")),"")</f>
        <v>28119.1</v>
      </c>
      <c r="G189" s="19" t="n">
        <f aca="false">IFERROR(VALUE(SUBSTITUTE(TRIM('수출입 실적(신성질별)'!D193),",","")),"")</f>
        <v>13853750</v>
      </c>
      <c r="H189" s="18" t="n">
        <f aca="false">IFERROR(VALUE(SUBSTITUTE(TRIM('수출입 실적(신성질별)'!E193),",","")),"")</f>
        <v>40519</v>
      </c>
      <c r="I189" s="19" t="n">
        <f aca="false">IFERROR(VALUE(SUBSTITUTE(TRIM('수출입 실적(신성질별)'!F193),",","")),"")</f>
        <v>7527822</v>
      </c>
    </row>
    <row r="190" customFormat="false" ht="15" hidden="false" customHeight="true" outlineLevel="0" collapsed="false">
      <c r="A190" s="11" t="str">
        <f aca="false">TRIM('수출입 실적(신성질별)'!A194)</f>
        <v>2024.12</v>
      </c>
      <c r="B190" s="17" t="n">
        <f aca="false">IFERROR(VALUE(LEFT($A190,4)),"")</f>
        <v>2024</v>
      </c>
      <c r="C190" s="17" t="n">
        <f aca="false">IFERROR(VALUE(RIGHT($A190,2)),"")</f>
        <v>12</v>
      </c>
      <c r="D190" s="17" t="n">
        <f aca="false">IFERROR(ROUNDUP($C190/3,0),"")</f>
        <v>4</v>
      </c>
      <c r="E190" s="11" t="str">
        <f aca="false">TRIM('수출입 실적(신성질별)'!B194)</f>
        <v>1.소비재</v>
      </c>
      <c r="F190" s="18" t="n">
        <f aca="false">IFERROR(VALUE(SUBSTITUTE(TRIM('수출입 실적(신성질별)'!C194),",","")),"")</f>
        <v>947742.2</v>
      </c>
      <c r="G190" s="19" t="n">
        <f aca="false">IFERROR(VALUE(SUBSTITUTE(TRIM('수출입 실적(신성질별)'!D194),",","")),"")</f>
        <v>8442231</v>
      </c>
      <c r="H190" s="18" t="n">
        <f aca="false">IFERROR(VALUE(SUBSTITUTE(TRIM('수출입 실적(신성질별)'!E194),",","")),"")</f>
        <v>2129534.2</v>
      </c>
      <c r="I190" s="19" t="n">
        <f aca="false">IFERROR(VALUE(SUBSTITUTE(TRIM('수출입 실적(신성질별)'!F194),",","")),"")</f>
        <v>6988623</v>
      </c>
    </row>
    <row r="191" customFormat="false" ht="15" hidden="false" customHeight="true" outlineLevel="0" collapsed="false">
      <c r="A191" s="11" t="str">
        <f aca="false">TRIM('수출입 실적(신성질별)'!A195)</f>
        <v>2024.12</v>
      </c>
      <c r="B191" s="17" t="n">
        <f aca="false">IFERROR(VALUE(LEFT($A191,4)),"")</f>
        <v>2024</v>
      </c>
      <c r="C191" s="17" t="n">
        <f aca="false">IFERROR(VALUE(RIGHT($A191,2)),"")</f>
        <v>12</v>
      </c>
      <c r="D191" s="17" t="n">
        <f aca="false">IFERROR(ROUNDUP($C191/3,0),"")</f>
        <v>4</v>
      </c>
      <c r="E191" s="11" t="str">
        <f aca="false">TRIM('수출입 실적(신성질별)'!B195)</f>
        <v>가.직접소비재</v>
      </c>
      <c r="F191" s="18" t="n">
        <f aca="false">IFERROR(VALUE(SUBSTITUTE(TRIM('수출입 실적(신성질별)'!C195),",","")),"")</f>
        <v>273831.4</v>
      </c>
      <c r="G191" s="19" t="n">
        <f aca="false">IFERROR(VALUE(SUBSTITUTE(TRIM('수출입 실적(신성질별)'!D195),",","")),"")</f>
        <v>969904</v>
      </c>
      <c r="H191" s="18" t="n">
        <f aca="false">IFERROR(VALUE(SUBSTITUTE(TRIM('수출입 실적(신성질별)'!E195),",","")),"")</f>
        <v>1737701</v>
      </c>
      <c r="I191" s="19" t="n">
        <f aca="false">IFERROR(VALUE(SUBSTITUTE(TRIM('수출입 실적(신성질별)'!F195),",","")),"")</f>
        <v>2560859</v>
      </c>
    </row>
    <row r="192" customFormat="false" ht="15" hidden="false" customHeight="true" outlineLevel="0" collapsed="false">
      <c r="A192" s="11" t="str">
        <f aca="false">TRIM('수출입 실적(신성질별)'!A196)</f>
        <v>2024.12</v>
      </c>
      <c r="B192" s="17" t="n">
        <f aca="false">IFERROR(VALUE(LEFT($A192,4)),"")</f>
        <v>2024</v>
      </c>
      <c r="C192" s="17" t="n">
        <f aca="false">IFERROR(VALUE(RIGHT($A192,2)),"")</f>
        <v>12</v>
      </c>
      <c r="D192" s="17" t="n">
        <f aca="false">IFERROR(ROUNDUP($C192/3,0),"")</f>
        <v>4</v>
      </c>
      <c r="E192" s="11" t="str">
        <f aca="false">TRIM('수출입 실적(신성질별)'!B196)</f>
        <v>나.내구소비재</v>
      </c>
      <c r="F192" s="18" t="n">
        <f aca="false">IFERROR(VALUE(SUBSTITUTE(TRIM('수출입 실적(신성질별)'!C196),",","")),"")</f>
        <v>514438.8</v>
      </c>
      <c r="G192" s="19" t="n">
        <f aca="false">IFERROR(VALUE(SUBSTITUTE(TRIM('수출입 실적(신성질별)'!D196),",","")),"")</f>
        <v>5856150</v>
      </c>
      <c r="H192" s="18" t="n">
        <f aca="false">IFERROR(VALUE(SUBSTITUTE(TRIM('수출입 실적(신성질별)'!E196),",","")),"")</f>
        <v>213224.8</v>
      </c>
      <c r="I192" s="19" t="n">
        <f aca="false">IFERROR(VALUE(SUBSTITUTE(TRIM('수출입 실적(신성질별)'!F196),",","")),"")</f>
        <v>2128775</v>
      </c>
    </row>
    <row r="193" customFormat="false" ht="15" hidden="false" customHeight="true" outlineLevel="0" collapsed="false">
      <c r="A193" s="11" t="str">
        <f aca="false">TRIM('수출입 실적(신성질별)'!A197)</f>
        <v>2024.12</v>
      </c>
      <c r="B193" s="17" t="n">
        <f aca="false">IFERROR(VALUE(LEFT($A193,4)),"")</f>
        <v>2024</v>
      </c>
      <c r="C193" s="17" t="n">
        <f aca="false">IFERROR(VALUE(RIGHT($A193,2)),"")</f>
        <v>12</v>
      </c>
      <c r="D193" s="17" t="n">
        <f aca="false">IFERROR(ROUNDUP($C193/3,0),"")</f>
        <v>4</v>
      </c>
      <c r="E193" s="11" t="str">
        <f aca="false">TRIM('수출입 실적(신성질별)'!B197)</f>
        <v>다.비내구소비재</v>
      </c>
      <c r="F193" s="18" t="n">
        <f aca="false">IFERROR(VALUE(SUBSTITUTE(TRIM('수출입 실적(신성질별)'!C197),",","")),"")</f>
        <v>156498.5</v>
      </c>
      <c r="G193" s="19" t="n">
        <f aca="false">IFERROR(VALUE(SUBSTITUTE(TRIM('수출입 실적(신성질별)'!D197),",","")),"")</f>
        <v>1612886</v>
      </c>
      <c r="H193" s="18" t="n">
        <f aca="false">IFERROR(VALUE(SUBSTITUTE(TRIM('수출입 실적(신성질별)'!E197),",","")),"")</f>
        <v>178608.4</v>
      </c>
      <c r="I193" s="19" t="n">
        <f aca="false">IFERROR(VALUE(SUBSTITUTE(TRIM('수출입 실적(신성질별)'!F197),",","")),"")</f>
        <v>2298989</v>
      </c>
    </row>
    <row r="194" customFormat="false" ht="15" hidden="false" customHeight="true" outlineLevel="0" collapsed="false">
      <c r="A194" s="11" t="str">
        <f aca="false">TRIM('수출입 실적(신성질별)'!A198)</f>
        <v>2024.12</v>
      </c>
      <c r="B194" s="17" t="n">
        <f aca="false">IFERROR(VALUE(LEFT($A194,4)),"")</f>
        <v>2024</v>
      </c>
      <c r="C194" s="17" t="n">
        <f aca="false">IFERROR(VALUE(RIGHT($A194,2)),"")</f>
        <v>12</v>
      </c>
      <c r="D194" s="17" t="n">
        <f aca="false">IFERROR(ROUNDUP($C194/3,0),"")</f>
        <v>4</v>
      </c>
      <c r="E194" s="11" t="str">
        <f aca="false">TRIM('수출입 실적(신성질별)'!B198)</f>
        <v>라.간이세율적용분</v>
      </c>
      <c r="F194" s="18" t="n">
        <f aca="false">IFERROR(VALUE(SUBSTITUTE(TRIM('수출입 실적(신성질별)'!C198),",","")),"")</f>
        <v>2973.4</v>
      </c>
      <c r="G194" s="19" t="n">
        <f aca="false">IFERROR(VALUE(SUBSTITUTE(TRIM('수출입 실적(신성질별)'!D198),",","")),"")</f>
        <v>3290</v>
      </c>
      <c r="H194" s="18" t="n">
        <f aca="false">IFERROR(VALUE(SUBSTITUTE(TRIM('수출입 실적(신성질별)'!E198),",","")),"")</f>
        <v>0</v>
      </c>
      <c r="I194" s="19" t="n">
        <f aca="false">IFERROR(VALUE(SUBSTITUTE(TRIM('수출입 실적(신성질별)'!F198),",","")),"")</f>
        <v>0</v>
      </c>
    </row>
    <row r="195" customFormat="false" ht="15" hidden="false" customHeight="true" outlineLevel="0" collapsed="false">
      <c r="A195" s="11" t="str">
        <f aca="false">TRIM('수출입 실적(신성질별)'!A199)</f>
        <v>2024.12</v>
      </c>
      <c r="B195" s="17" t="n">
        <f aca="false">IFERROR(VALUE(LEFT($A195,4)),"")</f>
        <v>2024</v>
      </c>
      <c r="C195" s="17" t="n">
        <f aca="false">IFERROR(VALUE(RIGHT($A195,2)),"")</f>
        <v>12</v>
      </c>
      <c r="D195" s="17" t="n">
        <f aca="false">IFERROR(ROUNDUP($C195/3,0),"")</f>
        <v>4</v>
      </c>
      <c r="E195" s="11" t="str">
        <f aca="false">TRIM('수출입 실적(신성질별)'!B199)</f>
        <v>2.원자재</v>
      </c>
      <c r="F195" s="18" t="n">
        <f aca="false">IFERROR(VALUE(SUBSTITUTE(TRIM('수출입 실적(신성질별)'!C199),",","")),"")</f>
        <v>14437578.5</v>
      </c>
      <c r="G195" s="19" t="n">
        <f aca="false">IFERROR(VALUE(SUBSTITUTE(TRIM('수출입 실적(신성질별)'!D199),",","")),"")</f>
        <v>16555544</v>
      </c>
      <c r="H195" s="18" t="n">
        <f aca="false">IFERROR(VALUE(SUBSTITUTE(TRIM('수출입 실적(신성질별)'!E199),",","")),"")</f>
        <v>44574114.8</v>
      </c>
      <c r="I195" s="19" t="n">
        <f aca="false">IFERROR(VALUE(SUBSTITUTE(TRIM('수출입 실적(신성질별)'!F199),",","")),"")</f>
        <v>24396003</v>
      </c>
    </row>
    <row r="196" customFormat="false" ht="15" hidden="false" customHeight="true" outlineLevel="0" collapsed="false">
      <c r="A196" s="11" t="str">
        <f aca="false">TRIM('수출입 실적(신성질별)'!A200)</f>
        <v>2024.12</v>
      </c>
      <c r="B196" s="17" t="n">
        <f aca="false">IFERROR(VALUE(LEFT($A196,4)),"")</f>
        <v>2024</v>
      </c>
      <c r="C196" s="17" t="n">
        <f aca="false">IFERROR(VALUE(RIGHT($A196,2)),"")</f>
        <v>12</v>
      </c>
      <c r="D196" s="17" t="n">
        <f aca="false">IFERROR(ROUNDUP($C196/3,0),"")</f>
        <v>4</v>
      </c>
      <c r="E196" s="11" t="str">
        <f aca="false">TRIM('수출입 실적(신성질별)'!B200)</f>
        <v>가.동식물성 연·원료</v>
      </c>
      <c r="F196" s="18" t="n">
        <f aca="false">IFERROR(VALUE(SUBSTITUTE(TRIM('수출입 실적(신성질별)'!C200),",","")),"")</f>
        <v>376604.2</v>
      </c>
      <c r="G196" s="19" t="n">
        <f aca="false">IFERROR(VALUE(SUBSTITUTE(TRIM('수출입 실적(신성질별)'!D200),",","")),"")</f>
        <v>460057</v>
      </c>
      <c r="H196" s="18" t="n">
        <f aca="false">IFERROR(VALUE(SUBSTITUTE(TRIM('수출입 실적(신성질별)'!E200),",","")),"")</f>
        <v>2948583.8</v>
      </c>
      <c r="I196" s="19" t="n">
        <f aca="false">IFERROR(VALUE(SUBSTITUTE(TRIM('수출입 실적(신성질별)'!F200),",","")),"")</f>
        <v>1465528</v>
      </c>
    </row>
    <row r="197" customFormat="false" ht="15" hidden="false" customHeight="true" outlineLevel="0" collapsed="false">
      <c r="A197" s="11" t="str">
        <f aca="false">TRIM('수출입 실적(신성질별)'!A201)</f>
        <v>2024.12</v>
      </c>
      <c r="B197" s="17" t="n">
        <f aca="false">IFERROR(VALUE(LEFT($A197,4)),"")</f>
        <v>2024</v>
      </c>
      <c r="C197" s="17" t="n">
        <f aca="false">IFERROR(VALUE(RIGHT($A197,2)),"")</f>
        <v>12</v>
      </c>
      <c r="D197" s="17" t="n">
        <f aca="false">IFERROR(ROUNDUP($C197/3,0),"")</f>
        <v>4</v>
      </c>
      <c r="E197" s="11" t="str">
        <f aca="false">TRIM('수출입 실적(신성질별)'!B201)</f>
        <v>나.섬유류</v>
      </c>
      <c r="F197" s="18" t="n">
        <f aca="false">IFERROR(VALUE(SUBSTITUTE(TRIM('수출입 실적(신성질별)'!C201),",","")),"")</f>
        <v>127374.9</v>
      </c>
      <c r="G197" s="19" t="n">
        <f aca="false">IFERROR(VALUE(SUBSTITUTE(TRIM('수출입 실적(신성질별)'!D201),",","")),"")</f>
        <v>621501</v>
      </c>
      <c r="H197" s="18" t="n">
        <f aca="false">IFERROR(VALUE(SUBSTITUTE(TRIM('수출입 실적(신성질별)'!E201),",","")),"")</f>
        <v>105682.8</v>
      </c>
      <c r="I197" s="19" t="n">
        <f aca="false">IFERROR(VALUE(SUBSTITUTE(TRIM('수출입 실적(신성질별)'!F201),",","")),"")</f>
        <v>337292</v>
      </c>
    </row>
    <row r="198" customFormat="false" ht="15" hidden="false" customHeight="true" outlineLevel="0" collapsed="false">
      <c r="A198" s="11" t="str">
        <f aca="false">TRIM('수출입 실적(신성질별)'!A202)</f>
        <v>2024.12</v>
      </c>
      <c r="B198" s="17" t="n">
        <f aca="false">IFERROR(VALUE(LEFT($A198,4)),"")</f>
        <v>2024</v>
      </c>
      <c r="C198" s="17" t="n">
        <f aca="false">IFERROR(VALUE(RIGHT($A198,2)),"")</f>
        <v>12</v>
      </c>
      <c r="D198" s="17" t="n">
        <f aca="false">IFERROR(ROUNDUP($C198/3,0),"")</f>
        <v>4</v>
      </c>
      <c r="E198" s="11" t="str">
        <f aca="false">TRIM('수출입 실적(신성질별)'!B202)</f>
        <v>다.광산물</v>
      </c>
      <c r="F198" s="18" t="n">
        <f aca="false">IFERROR(VALUE(SUBSTITUTE(TRIM('수출입 실적(신성질별)'!C202),",","")),"")</f>
        <v>6543854.7</v>
      </c>
      <c r="G198" s="19" t="n">
        <f aca="false">IFERROR(VALUE(SUBSTITUTE(TRIM('수출입 실적(신성질별)'!D202),",","")),"")</f>
        <v>4699907</v>
      </c>
      <c r="H198" s="18" t="n">
        <f aca="false">IFERROR(VALUE(SUBSTITUTE(TRIM('수출입 실적(신성질별)'!E202),",","")),"")</f>
        <v>37948266.9</v>
      </c>
      <c r="I198" s="19" t="n">
        <f aca="false">IFERROR(VALUE(SUBSTITUTE(TRIM('수출입 실적(신성질별)'!F202),",","")),"")</f>
        <v>15225594</v>
      </c>
    </row>
    <row r="199" customFormat="false" ht="15" hidden="false" customHeight="true" outlineLevel="0" collapsed="false">
      <c r="A199" s="11" t="str">
        <f aca="false">TRIM('수출입 실적(신성질별)'!A203)</f>
        <v>2024.12</v>
      </c>
      <c r="B199" s="17" t="n">
        <f aca="false">IFERROR(VALUE(LEFT($A199,4)),"")</f>
        <v>2024</v>
      </c>
      <c r="C199" s="17" t="n">
        <f aca="false">IFERROR(VALUE(RIGHT($A199,2)),"")</f>
        <v>12</v>
      </c>
      <c r="D199" s="17" t="n">
        <f aca="false">IFERROR(ROUNDUP($C199/3,0),"")</f>
        <v>4</v>
      </c>
      <c r="E199" s="11" t="str">
        <f aca="false">TRIM('수출입 실적(신성질별)'!B203)</f>
        <v>라.철강 및 금속제품</v>
      </c>
      <c r="F199" s="18" t="n">
        <f aca="false">IFERROR(VALUE(SUBSTITUTE(TRIM('수출입 실적(신성질별)'!C203),",","")),"")</f>
        <v>2893835.6</v>
      </c>
      <c r="G199" s="19" t="n">
        <f aca="false">IFERROR(VALUE(SUBSTITUTE(TRIM('수출입 실적(신성질별)'!D203),",","")),"")</f>
        <v>3583450</v>
      </c>
      <c r="H199" s="18" t="n">
        <f aca="false">IFERROR(VALUE(SUBSTITUTE(TRIM('수출입 실적(신성질별)'!E203),",","")),"")</f>
        <v>1701968.5</v>
      </c>
      <c r="I199" s="19" t="n">
        <f aca="false">IFERROR(VALUE(SUBSTITUTE(TRIM('수출입 실적(신성질별)'!F203),",","")),"")</f>
        <v>2752896</v>
      </c>
    </row>
    <row r="200" customFormat="false" ht="15" hidden="false" customHeight="true" outlineLevel="0" collapsed="false">
      <c r="A200" s="11" t="str">
        <f aca="false">TRIM('수출입 실적(신성질별)'!A204)</f>
        <v>2024.12</v>
      </c>
      <c r="B200" s="17" t="n">
        <f aca="false">IFERROR(VALUE(LEFT($A200,4)),"")</f>
        <v>2024</v>
      </c>
      <c r="C200" s="17" t="n">
        <f aca="false">IFERROR(VALUE(RIGHT($A200,2)),"")</f>
        <v>12</v>
      </c>
      <c r="D200" s="17" t="n">
        <f aca="false">IFERROR(ROUNDUP($C200/3,0),"")</f>
        <v>4</v>
      </c>
      <c r="E200" s="11" t="str">
        <f aca="false">TRIM('수출입 실적(신성질별)'!B204)</f>
        <v>마.화학공업제품</v>
      </c>
      <c r="F200" s="18" t="n">
        <f aca="false">IFERROR(VALUE(SUBSTITUTE(TRIM('수출입 실적(신성질별)'!C204),",","")),"")</f>
        <v>4492302.6</v>
      </c>
      <c r="G200" s="19" t="n">
        <f aca="false">IFERROR(VALUE(SUBSTITUTE(TRIM('수출입 실적(신성질별)'!D204),",","")),"")</f>
        <v>7178162</v>
      </c>
      <c r="H200" s="18" t="n">
        <f aca="false">IFERROR(VALUE(SUBSTITUTE(TRIM('수출입 실적(신성질별)'!E204),",","")),"")</f>
        <v>1865925.6</v>
      </c>
      <c r="I200" s="19" t="n">
        <f aca="false">IFERROR(VALUE(SUBSTITUTE(TRIM('수출입 실적(신성질별)'!F204),",","")),"")</f>
        <v>4607278</v>
      </c>
    </row>
    <row r="201" customFormat="false" ht="15" hidden="false" customHeight="true" outlineLevel="0" collapsed="false">
      <c r="A201" s="11" t="str">
        <f aca="false">TRIM('수출입 실적(신성질별)'!A205)</f>
        <v>2024.12</v>
      </c>
      <c r="B201" s="17" t="n">
        <f aca="false">IFERROR(VALUE(LEFT($A201,4)),"")</f>
        <v>2024</v>
      </c>
      <c r="C201" s="17" t="n">
        <f aca="false">IFERROR(VALUE(RIGHT($A201,2)),"")</f>
        <v>12</v>
      </c>
      <c r="D201" s="17" t="n">
        <f aca="false">IFERROR(ROUNDUP($C201/3,0),"")</f>
        <v>4</v>
      </c>
      <c r="E201" s="11" t="str">
        <f aca="false">TRIM('수출입 실적(신성질별)'!B205)</f>
        <v>바.기타 원자재</v>
      </c>
      <c r="F201" s="18" t="n">
        <f aca="false">IFERROR(VALUE(SUBSTITUTE(TRIM('수출입 실적(신성질별)'!C205),",","")),"")</f>
        <v>3606.6</v>
      </c>
      <c r="G201" s="19" t="n">
        <f aca="false">IFERROR(VALUE(SUBSTITUTE(TRIM('수출입 실적(신성질별)'!D205),",","")),"")</f>
        <v>12465</v>
      </c>
      <c r="H201" s="18" t="n">
        <f aca="false">IFERROR(VALUE(SUBSTITUTE(TRIM('수출입 실적(신성질별)'!E205),",","")),"")</f>
        <v>3687.2</v>
      </c>
      <c r="I201" s="19" t="n">
        <f aca="false">IFERROR(VALUE(SUBSTITUTE(TRIM('수출입 실적(신성질별)'!F205),",","")),"")</f>
        <v>7414</v>
      </c>
    </row>
    <row r="202" customFormat="false" ht="15" hidden="false" customHeight="true" outlineLevel="0" collapsed="false">
      <c r="A202" s="11" t="str">
        <f aca="false">TRIM('수출입 실적(신성질별)'!A206)</f>
        <v>2024.12</v>
      </c>
      <c r="B202" s="17" t="n">
        <f aca="false">IFERROR(VALUE(LEFT($A202,4)),"")</f>
        <v>2024</v>
      </c>
      <c r="C202" s="17" t="n">
        <f aca="false">IFERROR(VALUE(RIGHT($A202,2)),"")</f>
        <v>12</v>
      </c>
      <c r="D202" s="17" t="n">
        <f aca="false">IFERROR(ROUNDUP($C202/3,0),"")</f>
        <v>4</v>
      </c>
      <c r="E202" s="11" t="str">
        <f aca="false">TRIM('수출입 실적(신성질별)'!B206)</f>
        <v>3.자본재</v>
      </c>
      <c r="F202" s="18" t="n">
        <f aca="false">IFERROR(VALUE(SUBSTITUTE(TRIM('수출입 실적(신성질별)'!C206),",","")),"")</f>
        <v>2234970.7</v>
      </c>
      <c r="G202" s="19" t="n">
        <f aca="false">IFERROR(VALUE(SUBSTITUTE(TRIM('수출입 실적(신성질별)'!D206),",","")),"")</f>
        <v>36361475</v>
      </c>
      <c r="H202" s="18" t="n">
        <f aca="false">IFERROR(VALUE(SUBSTITUTE(TRIM('수출입 실적(신성질별)'!E206),",","")),"")</f>
        <v>1311349.3</v>
      </c>
      <c r="I202" s="19" t="n">
        <f aca="false">IFERROR(VALUE(SUBSTITUTE(TRIM('수출입 실적(신성질별)'!F206),",","")),"")</f>
        <v>23481754</v>
      </c>
    </row>
    <row r="203" customFormat="false" ht="15" hidden="false" customHeight="true" outlineLevel="0" collapsed="false">
      <c r="A203" s="11" t="str">
        <f aca="false">TRIM('수출입 실적(신성질별)'!A207)</f>
        <v>2024.12</v>
      </c>
      <c r="B203" s="17" t="n">
        <f aca="false">IFERROR(VALUE(LEFT($A203,4)),"")</f>
        <v>2024</v>
      </c>
      <c r="C203" s="17" t="n">
        <f aca="false">IFERROR(VALUE(RIGHT($A203,2)),"")</f>
        <v>12</v>
      </c>
      <c r="D203" s="17" t="n">
        <f aca="false">IFERROR(ROUNDUP($C203/3,0),"")</f>
        <v>4</v>
      </c>
      <c r="E203" s="11" t="str">
        <f aca="false">TRIM('수출입 실적(신성질별)'!B207)</f>
        <v>가.수송장비</v>
      </c>
      <c r="F203" s="18" t="n">
        <f aca="false">IFERROR(VALUE(SUBSTITUTE(TRIM('수출입 실적(신성질별)'!C207),",","")),"")</f>
        <v>1524593</v>
      </c>
      <c r="G203" s="19" t="n">
        <f aca="false">IFERROR(VALUE(SUBSTITUTE(TRIM('수출입 실적(신성질별)'!D207),",","")),"")</f>
        <v>6809089</v>
      </c>
      <c r="H203" s="18" t="n">
        <f aca="false">IFERROR(VALUE(SUBSTITUTE(TRIM('수출입 실적(신성질별)'!E207),",","")),"")</f>
        <v>698559.1</v>
      </c>
      <c r="I203" s="19" t="n">
        <f aca="false">IFERROR(VALUE(SUBSTITUTE(TRIM('수출입 실적(신성질별)'!F207),",","")),"")</f>
        <v>2935005</v>
      </c>
    </row>
    <row r="204" customFormat="false" ht="15" hidden="false" customHeight="true" outlineLevel="0" collapsed="false">
      <c r="A204" s="11" t="str">
        <f aca="false">TRIM('수출입 실적(신성질별)'!A208)</f>
        <v>2024.12</v>
      </c>
      <c r="B204" s="17" t="n">
        <f aca="false">IFERROR(VALUE(LEFT($A204,4)),"")</f>
        <v>2024</v>
      </c>
      <c r="C204" s="17" t="n">
        <f aca="false">IFERROR(VALUE(RIGHT($A204,2)),"")</f>
        <v>12</v>
      </c>
      <c r="D204" s="17" t="n">
        <f aca="false">IFERROR(ROUNDUP($C204/3,0),"")</f>
        <v>4</v>
      </c>
      <c r="E204" s="11" t="str">
        <f aca="false">TRIM('수출입 실적(신성질별)'!B208)</f>
        <v>나.기계류</v>
      </c>
      <c r="F204" s="18" t="n">
        <f aca="false">IFERROR(VALUE(SUBSTITUTE(TRIM('수출입 실적(신성질별)'!C208),",","")),"")</f>
        <v>664008.4</v>
      </c>
      <c r="G204" s="19" t="n">
        <f aca="false">IFERROR(VALUE(SUBSTITUTE(TRIM('수출입 실적(신성질별)'!D208),",","")),"")</f>
        <v>9408759</v>
      </c>
      <c r="H204" s="18" t="n">
        <f aca="false">IFERROR(VALUE(SUBSTITUTE(TRIM('수출입 실적(신성질별)'!E208),",","")),"")</f>
        <v>557695.2</v>
      </c>
      <c r="I204" s="19" t="n">
        <f aca="false">IFERROR(VALUE(SUBSTITUTE(TRIM('수출입 실적(신성질별)'!F208),",","")),"")</f>
        <v>10037686</v>
      </c>
    </row>
    <row r="205" customFormat="false" ht="15" hidden="false" customHeight="true" outlineLevel="0" collapsed="false">
      <c r="A205" s="11" t="str">
        <f aca="false">TRIM('수출입 실적(신성질별)'!A209)</f>
        <v>2024.12</v>
      </c>
      <c r="B205" s="17" t="n">
        <f aca="false">IFERROR(VALUE(LEFT($A205,4)),"")</f>
        <v>2024</v>
      </c>
      <c r="C205" s="17" t="n">
        <f aca="false">IFERROR(VALUE(RIGHT($A205,2)),"")</f>
        <v>12</v>
      </c>
      <c r="D205" s="17" t="n">
        <f aca="false">IFERROR(ROUNDUP($C205/3,0),"")</f>
        <v>4</v>
      </c>
      <c r="E205" s="11" t="str">
        <f aca="false">TRIM('수출입 실적(신성질별)'!B209)</f>
        <v>다.IT제품</v>
      </c>
      <c r="F205" s="18" t="n">
        <f aca="false">IFERROR(VALUE(SUBSTITUTE(TRIM('수출입 실적(신성질별)'!C209),",","")),"")</f>
        <v>12189.4</v>
      </c>
      <c r="G205" s="19" t="n">
        <f aca="false">IFERROR(VALUE(SUBSTITUTE(TRIM('수출입 실적(신성질별)'!D209),",","")),"")</f>
        <v>4136134</v>
      </c>
      <c r="H205" s="18" t="n">
        <f aca="false">IFERROR(VALUE(SUBSTITUTE(TRIM('수출입 실적(신성질별)'!E209),",","")),"")</f>
        <v>19336.5</v>
      </c>
      <c r="I205" s="19" t="n">
        <f aca="false">IFERROR(VALUE(SUBSTITUTE(TRIM('수출입 실적(신성질별)'!F209),",","")),"")</f>
        <v>2619773</v>
      </c>
    </row>
    <row r="206" customFormat="false" ht="15" hidden="false" customHeight="true" outlineLevel="0" collapsed="false">
      <c r="A206" s="11" t="str">
        <f aca="false">TRIM('수출입 실적(신성질별)'!A210)</f>
        <v>2024.12</v>
      </c>
      <c r="B206" s="17" t="n">
        <f aca="false">IFERROR(VALUE(LEFT($A206,4)),"")</f>
        <v>2024</v>
      </c>
      <c r="C206" s="17" t="n">
        <f aca="false">IFERROR(VALUE(RIGHT($A206,2)),"")</f>
        <v>12</v>
      </c>
      <c r="D206" s="17" t="n">
        <f aca="false">IFERROR(ROUNDUP($C206/3,0),"")</f>
        <v>4</v>
      </c>
      <c r="E206" s="11" t="str">
        <f aca="false">TRIM('수출입 실적(신성질별)'!B210)</f>
        <v>라.IT부품</v>
      </c>
      <c r="F206" s="18" t="n">
        <f aca="false">IFERROR(VALUE(SUBSTITUTE(TRIM('수출입 실적(신성질별)'!C210),",","")),"")</f>
        <v>34179.8</v>
      </c>
      <c r="G206" s="19" t="n">
        <f aca="false">IFERROR(VALUE(SUBSTITUTE(TRIM('수출입 실적(신성질별)'!D210),",","")),"")</f>
        <v>16007494</v>
      </c>
      <c r="H206" s="18" t="n">
        <f aca="false">IFERROR(VALUE(SUBSTITUTE(TRIM('수출입 실적(신성질별)'!E210),",","")),"")</f>
        <v>35758.5</v>
      </c>
      <c r="I206" s="19" t="n">
        <f aca="false">IFERROR(VALUE(SUBSTITUTE(TRIM('수출입 실적(신성질별)'!F210),",","")),"")</f>
        <v>7889290</v>
      </c>
    </row>
    <row r="207" customFormat="false" ht="15" hidden="false" customHeight="true" outlineLevel="0" collapsed="false">
      <c r="A207" s="11" t="str">
        <f aca="false">TRIM('수출입 실적(신성질별)'!A211)</f>
        <v>2025.01</v>
      </c>
      <c r="B207" s="17" t="n">
        <f aca="false">IFERROR(VALUE(LEFT($A207,4)),"")</f>
        <v>2025</v>
      </c>
      <c r="C207" s="17" t="n">
        <f aca="false">IFERROR(VALUE(RIGHT($A207,2)),"")</f>
        <v>1</v>
      </c>
      <c r="D207" s="17" t="n">
        <f aca="false">IFERROR(ROUNDUP($C207/3,0),"")</f>
        <v>1</v>
      </c>
      <c r="E207" s="11" t="str">
        <f aca="false">TRIM('수출입 실적(신성질별)'!B211)</f>
        <v>1.소비재</v>
      </c>
      <c r="F207" s="18" t="n">
        <f aca="false">IFERROR(VALUE(SUBSTITUTE(TRIM('수출입 실적(신성질별)'!C211),",","")),"")</f>
        <v>775717.7</v>
      </c>
      <c r="G207" s="19" t="n">
        <f aca="false">IFERROR(VALUE(SUBSTITUTE(TRIM('수출입 실적(신성질별)'!D211),",","")),"")</f>
        <v>6837296</v>
      </c>
      <c r="H207" s="18" t="n">
        <f aca="false">IFERROR(VALUE(SUBSTITUTE(TRIM('수출입 실적(신성질별)'!E211),",","")),"")</f>
        <v>2095799.4</v>
      </c>
      <c r="I207" s="19" t="n">
        <f aca="false">IFERROR(VALUE(SUBSTITUTE(TRIM('수출입 실적(신성질별)'!F211),",","")),"")</f>
        <v>6754074</v>
      </c>
    </row>
    <row r="208" customFormat="false" ht="15" hidden="false" customHeight="true" outlineLevel="0" collapsed="false">
      <c r="A208" s="11" t="str">
        <f aca="false">TRIM('수출입 실적(신성질별)'!A212)</f>
        <v>2025.01</v>
      </c>
      <c r="B208" s="17" t="n">
        <f aca="false">IFERROR(VALUE(LEFT($A208,4)),"")</f>
        <v>2025</v>
      </c>
      <c r="C208" s="17" t="n">
        <f aca="false">IFERROR(VALUE(RIGHT($A208,2)),"")</f>
        <v>1</v>
      </c>
      <c r="D208" s="17" t="n">
        <f aca="false">IFERROR(ROUNDUP($C208/3,0),"")</f>
        <v>1</v>
      </c>
      <c r="E208" s="11" t="str">
        <f aca="false">TRIM('수출입 실적(신성질별)'!B212)</f>
        <v>가.직접소비재</v>
      </c>
      <c r="F208" s="18" t="n">
        <f aca="false">IFERROR(VALUE(SUBSTITUTE(TRIM('수출입 실적(신성질별)'!C212),",","")),"")</f>
        <v>218831.1</v>
      </c>
      <c r="G208" s="19" t="n">
        <f aca="false">IFERROR(VALUE(SUBSTITUTE(TRIM('수출입 실적(신성질별)'!D212),",","")),"")</f>
        <v>769987</v>
      </c>
      <c r="H208" s="18" t="n">
        <f aca="false">IFERROR(VALUE(SUBSTITUTE(TRIM('수출입 실적(신성질별)'!E212),",","")),"")</f>
        <v>1737509.5</v>
      </c>
      <c r="I208" s="19" t="n">
        <f aca="false">IFERROR(VALUE(SUBSTITUTE(TRIM('수출입 실적(신성질별)'!F212),",","")),"")</f>
        <v>2716917</v>
      </c>
    </row>
    <row r="209" customFormat="false" ht="15" hidden="false" customHeight="true" outlineLevel="0" collapsed="false">
      <c r="A209" s="11" t="str">
        <f aca="false">TRIM('수출입 실적(신성질별)'!A213)</f>
        <v>2025.01</v>
      </c>
      <c r="B209" s="17" t="n">
        <f aca="false">IFERROR(VALUE(LEFT($A209,4)),"")</f>
        <v>2025</v>
      </c>
      <c r="C209" s="17" t="n">
        <f aca="false">IFERROR(VALUE(RIGHT($A209,2)),"")</f>
        <v>1</v>
      </c>
      <c r="D209" s="17" t="n">
        <f aca="false">IFERROR(ROUNDUP($C209/3,0),"")</f>
        <v>1</v>
      </c>
      <c r="E209" s="11" t="str">
        <f aca="false">TRIM('수출입 실적(신성질별)'!B213)</f>
        <v>나.내구소비재</v>
      </c>
      <c r="F209" s="18" t="n">
        <f aca="false">IFERROR(VALUE(SUBSTITUTE(TRIM('수출입 실적(신성질별)'!C213),",","")),"")</f>
        <v>416256.9</v>
      </c>
      <c r="G209" s="19" t="n">
        <f aca="false">IFERROR(VALUE(SUBSTITUTE(TRIM('수출입 실적(신성질별)'!D213),",","")),"")</f>
        <v>4694972</v>
      </c>
      <c r="H209" s="18" t="n">
        <f aca="false">IFERROR(VALUE(SUBSTITUTE(TRIM('수출입 실적(신성질별)'!E213),",","")),"")</f>
        <v>202111.2</v>
      </c>
      <c r="I209" s="19" t="n">
        <f aca="false">IFERROR(VALUE(SUBSTITUTE(TRIM('수출입 실적(신성질별)'!F213),",","")),"")</f>
        <v>1801934</v>
      </c>
    </row>
    <row r="210" customFormat="false" ht="15" hidden="false" customHeight="true" outlineLevel="0" collapsed="false">
      <c r="A210" s="11" t="str">
        <f aca="false">TRIM('수출입 실적(신성질별)'!A214)</f>
        <v>2025.01</v>
      </c>
      <c r="B210" s="17" t="n">
        <f aca="false">IFERROR(VALUE(LEFT($A210,4)),"")</f>
        <v>2025</v>
      </c>
      <c r="C210" s="17" t="n">
        <f aca="false">IFERROR(VALUE(RIGHT($A210,2)),"")</f>
        <v>1</v>
      </c>
      <c r="D210" s="17" t="n">
        <f aca="false">IFERROR(ROUNDUP($C210/3,0),"")</f>
        <v>1</v>
      </c>
      <c r="E210" s="11" t="str">
        <f aca="false">TRIM('수출입 실적(신성질별)'!B214)</f>
        <v>다.비내구소비재</v>
      </c>
      <c r="F210" s="18" t="n">
        <f aca="false">IFERROR(VALUE(SUBSTITUTE(TRIM('수출입 실적(신성질별)'!C214),",","")),"")</f>
        <v>137978.4</v>
      </c>
      <c r="G210" s="19" t="n">
        <f aca="false">IFERROR(VALUE(SUBSTITUTE(TRIM('수출입 실적(신성질별)'!D214),",","")),"")</f>
        <v>1369159</v>
      </c>
      <c r="H210" s="18" t="n">
        <f aca="false">IFERROR(VALUE(SUBSTITUTE(TRIM('수출입 실적(신성질별)'!E214),",","")),"")</f>
        <v>156178.8</v>
      </c>
      <c r="I210" s="19" t="n">
        <f aca="false">IFERROR(VALUE(SUBSTITUTE(TRIM('수출입 실적(신성질별)'!F214),",","")),"")</f>
        <v>2235223</v>
      </c>
    </row>
    <row r="211" customFormat="false" ht="15" hidden="false" customHeight="true" outlineLevel="0" collapsed="false">
      <c r="A211" s="11" t="str">
        <f aca="false">TRIM('수출입 실적(신성질별)'!A215)</f>
        <v>2025.01</v>
      </c>
      <c r="B211" s="17" t="n">
        <f aca="false">IFERROR(VALUE(LEFT($A211,4)),"")</f>
        <v>2025</v>
      </c>
      <c r="C211" s="17" t="n">
        <f aca="false">IFERROR(VALUE(RIGHT($A211,2)),"")</f>
        <v>1</v>
      </c>
      <c r="D211" s="17" t="n">
        <f aca="false">IFERROR(ROUNDUP($C211/3,0),"")</f>
        <v>1</v>
      </c>
      <c r="E211" s="11" t="str">
        <f aca="false">TRIM('수출입 실적(신성질별)'!B215)</f>
        <v>라.간이세율적용분</v>
      </c>
      <c r="F211" s="18" t="n">
        <f aca="false">IFERROR(VALUE(SUBSTITUTE(TRIM('수출입 실적(신성질별)'!C215),",","")),"")</f>
        <v>2651.3</v>
      </c>
      <c r="G211" s="19" t="n">
        <f aca="false">IFERROR(VALUE(SUBSTITUTE(TRIM('수출입 실적(신성질별)'!D215),",","")),"")</f>
        <v>3178</v>
      </c>
      <c r="H211" s="18" t="n">
        <f aca="false">IFERROR(VALUE(SUBSTITUTE(TRIM('수출입 실적(신성질별)'!E215),",","")),"")</f>
        <v>0</v>
      </c>
      <c r="I211" s="19" t="n">
        <f aca="false">IFERROR(VALUE(SUBSTITUTE(TRIM('수출입 실적(신성질별)'!F215),",","")),"")</f>
        <v>0</v>
      </c>
    </row>
    <row r="212" customFormat="false" ht="15" hidden="false" customHeight="true" outlineLevel="0" collapsed="false">
      <c r="A212" s="11" t="str">
        <f aca="false">TRIM('수출입 실적(신성질별)'!A216)</f>
        <v>2025.01</v>
      </c>
      <c r="B212" s="17" t="n">
        <f aca="false">IFERROR(VALUE(LEFT($A212,4)),"")</f>
        <v>2025</v>
      </c>
      <c r="C212" s="17" t="n">
        <f aca="false">IFERROR(VALUE(RIGHT($A212,2)),"")</f>
        <v>1</v>
      </c>
      <c r="D212" s="17" t="n">
        <f aca="false">IFERROR(ROUNDUP($C212/3,0),"")</f>
        <v>1</v>
      </c>
      <c r="E212" s="11" t="str">
        <f aca="false">TRIM('수출입 실적(신성질별)'!B216)</f>
        <v>2.원자재</v>
      </c>
      <c r="F212" s="18" t="n">
        <f aca="false">IFERROR(VALUE(SUBSTITUTE(TRIM('수출입 실적(신성질별)'!C216),",","")),"")</f>
        <v>12560803.9</v>
      </c>
      <c r="G212" s="19" t="n">
        <f aca="false">IFERROR(VALUE(SUBSTITUTE(TRIM('수출입 실적(신성질별)'!D216),",","")),"")</f>
        <v>14770147</v>
      </c>
      <c r="H212" s="18" t="n">
        <f aca="false">IFERROR(VALUE(SUBSTITUTE(TRIM('수출입 실적(신성질별)'!E216),",","")),"")</f>
        <v>45022913.6</v>
      </c>
      <c r="I212" s="19" t="n">
        <f aca="false">IFERROR(VALUE(SUBSTITUTE(TRIM('수출입 실적(신성질별)'!F216),",","")),"")</f>
        <v>25300265</v>
      </c>
    </row>
    <row r="213" customFormat="false" ht="15" hidden="false" customHeight="true" outlineLevel="0" collapsed="false">
      <c r="A213" s="11" t="str">
        <f aca="false">TRIM('수출입 실적(신성질별)'!A217)</f>
        <v>2025.01</v>
      </c>
      <c r="B213" s="17" t="n">
        <f aca="false">IFERROR(VALUE(LEFT($A213,4)),"")</f>
        <v>2025</v>
      </c>
      <c r="C213" s="17" t="n">
        <f aca="false">IFERROR(VALUE(RIGHT($A213,2)),"")</f>
        <v>1</v>
      </c>
      <c r="D213" s="17" t="n">
        <f aca="false">IFERROR(ROUNDUP($C213/3,0),"")</f>
        <v>1</v>
      </c>
      <c r="E213" s="11" t="str">
        <f aca="false">TRIM('수출입 실적(신성질별)'!B217)</f>
        <v>가.동식물성 연·원료</v>
      </c>
      <c r="F213" s="18" t="n">
        <f aca="false">IFERROR(VALUE(SUBSTITUTE(TRIM('수출입 실적(신성질별)'!C217),",","")),"")</f>
        <v>339279.8</v>
      </c>
      <c r="G213" s="19" t="n">
        <f aca="false">IFERROR(VALUE(SUBSTITUTE(TRIM('수출입 실적(신성질별)'!D217),",","")),"")</f>
        <v>419822</v>
      </c>
      <c r="H213" s="18" t="n">
        <f aca="false">IFERROR(VALUE(SUBSTITUTE(TRIM('수출입 실적(신성질별)'!E217),",","")),"")</f>
        <v>2705305.3</v>
      </c>
      <c r="I213" s="19" t="n">
        <f aca="false">IFERROR(VALUE(SUBSTITUTE(TRIM('수출입 실적(신성질별)'!F217),",","")),"")</f>
        <v>1396963</v>
      </c>
    </row>
    <row r="214" customFormat="false" ht="15" hidden="false" customHeight="true" outlineLevel="0" collapsed="false">
      <c r="A214" s="11" t="str">
        <f aca="false">TRIM('수출입 실적(신성질별)'!A218)</f>
        <v>2025.01</v>
      </c>
      <c r="B214" s="17" t="n">
        <f aca="false">IFERROR(VALUE(LEFT($A214,4)),"")</f>
        <v>2025</v>
      </c>
      <c r="C214" s="17" t="n">
        <f aca="false">IFERROR(VALUE(RIGHT($A214,2)),"")</f>
        <v>1</v>
      </c>
      <c r="D214" s="17" t="n">
        <f aca="false">IFERROR(ROUNDUP($C214/3,0),"")</f>
        <v>1</v>
      </c>
      <c r="E214" s="11" t="str">
        <f aca="false">TRIM('수출입 실적(신성질별)'!B218)</f>
        <v>나.섬유류</v>
      </c>
      <c r="F214" s="18" t="n">
        <f aca="false">IFERROR(VALUE(SUBSTITUTE(TRIM('수출입 실적(신성질별)'!C218),",","")),"")</f>
        <v>110571.4</v>
      </c>
      <c r="G214" s="19" t="n">
        <f aca="false">IFERROR(VALUE(SUBSTITUTE(TRIM('수출입 실적(신성질별)'!D218),",","")),"")</f>
        <v>522157</v>
      </c>
      <c r="H214" s="18" t="n">
        <f aca="false">IFERROR(VALUE(SUBSTITUTE(TRIM('수출입 실적(신성질별)'!E218),",","")),"")</f>
        <v>98221</v>
      </c>
      <c r="I214" s="19" t="n">
        <f aca="false">IFERROR(VALUE(SUBSTITUTE(TRIM('수출입 실적(신성질별)'!F218),",","")),"")</f>
        <v>300209</v>
      </c>
    </row>
    <row r="215" customFormat="false" ht="15" hidden="false" customHeight="true" outlineLevel="0" collapsed="false">
      <c r="A215" s="11" t="str">
        <f aca="false">TRIM('수출입 실적(신성질별)'!A219)</f>
        <v>2025.01</v>
      </c>
      <c r="B215" s="17" t="n">
        <f aca="false">IFERROR(VALUE(LEFT($A215,4)),"")</f>
        <v>2025</v>
      </c>
      <c r="C215" s="17" t="n">
        <f aca="false">IFERROR(VALUE(RIGHT($A215,2)),"")</f>
        <v>1</v>
      </c>
      <c r="D215" s="17" t="n">
        <f aca="false">IFERROR(ROUNDUP($C215/3,0),"")</f>
        <v>1</v>
      </c>
      <c r="E215" s="11" t="str">
        <f aca="false">TRIM('수출입 실적(신성질별)'!B219)</f>
        <v>다.광산물</v>
      </c>
      <c r="F215" s="18" t="n">
        <f aca="false">IFERROR(VALUE(SUBSTITUTE(TRIM('수출입 실적(신성질별)'!C219),",","")),"")</f>
        <v>5415324.4</v>
      </c>
      <c r="G215" s="19" t="n">
        <f aca="false">IFERROR(VALUE(SUBSTITUTE(TRIM('수출입 실적(신성질별)'!D219),",","")),"")</f>
        <v>4080925</v>
      </c>
      <c r="H215" s="18" t="n">
        <f aca="false">IFERROR(VALUE(SUBSTITUTE(TRIM('수출입 실적(신성질별)'!E219),",","")),"")</f>
        <v>38763299.2</v>
      </c>
      <c r="I215" s="19" t="n">
        <f aca="false">IFERROR(VALUE(SUBSTITUTE(TRIM('수출입 실적(신성질별)'!F219),",","")),"")</f>
        <v>16767335</v>
      </c>
    </row>
    <row r="216" customFormat="false" ht="15" hidden="false" customHeight="true" outlineLevel="0" collapsed="false">
      <c r="A216" s="11" t="str">
        <f aca="false">TRIM('수출입 실적(신성질별)'!A220)</f>
        <v>2025.01</v>
      </c>
      <c r="B216" s="17" t="n">
        <f aca="false">IFERROR(VALUE(LEFT($A216,4)),"")</f>
        <v>2025</v>
      </c>
      <c r="C216" s="17" t="n">
        <f aca="false">IFERROR(VALUE(RIGHT($A216,2)),"")</f>
        <v>1</v>
      </c>
      <c r="D216" s="17" t="n">
        <f aca="false">IFERROR(ROUNDUP($C216/3,0),"")</f>
        <v>1</v>
      </c>
      <c r="E216" s="11" t="str">
        <f aca="false">TRIM('수출입 실적(신성질별)'!B220)</f>
        <v>라.철강 및 금속제품</v>
      </c>
      <c r="F216" s="18" t="n">
        <f aca="false">IFERROR(VALUE(SUBSTITUTE(TRIM('수출입 실적(신성질별)'!C220),",","")),"")</f>
        <v>2638368</v>
      </c>
      <c r="G216" s="19" t="n">
        <f aca="false">IFERROR(VALUE(SUBSTITUTE(TRIM('수출입 실적(신성질별)'!D220),",","")),"")</f>
        <v>3130056</v>
      </c>
      <c r="H216" s="18" t="n">
        <f aca="false">IFERROR(VALUE(SUBSTITUTE(TRIM('수출입 실적(신성질별)'!E220),",","")),"")</f>
        <v>1571574.4</v>
      </c>
      <c r="I216" s="19" t="n">
        <f aca="false">IFERROR(VALUE(SUBSTITUTE(TRIM('수출입 실적(신성질별)'!F220),",","")),"")</f>
        <v>2485479</v>
      </c>
    </row>
    <row r="217" customFormat="false" ht="15" hidden="false" customHeight="true" outlineLevel="0" collapsed="false">
      <c r="A217" s="11" t="str">
        <f aca="false">TRIM('수출입 실적(신성질별)'!A221)</f>
        <v>2025.01</v>
      </c>
      <c r="B217" s="17" t="n">
        <f aca="false">IFERROR(VALUE(LEFT($A217,4)),"")</f>
        <v>2025</v>
      </c>
      <c r="C217" s="17" t="n">
        <f aca="false">IFERROR(VALUE(RIGHT($A217,2)),"")</f>
        <v>1</v>
      </c>
      <c r="D217" s="17" t="n">
        <f aca="false">IFERROR(ROUNDUP($C217/3,0),"")</f>
        <v>1</v>
      </c>
      <c r="E217" s="11" t="str">
        <f aca="false">TRIM('수출입 실적(신성질별)'!B221)</f>
        <v>마.화학공업제품</v>
      </c>
      <c r="F217" s="18" t="n">
        <f aca="false">IFERROR(VALUE(SUBSTITUTE(TRIM('수출입 실적(신성질별)'!C221),",","")),"")</f>
        <v>4054430.2</v>
      </c>
      <c r="G217" s="19" t="n">
        <f aca="false">IFERROR(VALUE(SUBSTITUTE(TRIM('수출입 실적(신성질별)'!D221),",","")),"")</f>
        <v>6605881</v>
      </c>
      <c r="H217" s="18" t="n">
        <f aca="false">IFERROR(VALUE(SUBSTITUTE(TRIM('수출입 실적(신성질별)'!E221),",","")),"")</f>
        <v>1881480.5</v>
      </c>
      <c r="I217" s="19" t="n">
        <f aca="false">IFERROR(VALUE(SUBSTITUTE(TRIM('수출입 실적(신성질별)'!F221),",","")),"")</f>
        <v>4343104</v>
      </c>
    </row>
    <row r="218" customFormat="false" ht="15" hidden="false" customHeight="true" outlineLevel="0" collapsed="false">
      <c r="A218" s="11" t="str">
        <f aca="false">TRIM('수출입 실적(신성질별)'!A222)</f>
        <v>2025.01</v>
      </c>
      <c r="B218" s="17" t="n">
        <f aca="false">IFERROR(VALUE(LEFT($A218,4)),"")</f>
        <v>2025</v>
      </c>
      <c r="C218" s="17" t="n">
        <f aca="false">IFERROR(VALUE(RIGHT($A218,2)),"")</f>
        <v>1</v>
      </c>
      <c r="D218" s="17" t="n">
        <f aca="false">IFERROR(ROUNDUP($C218/3,0),"")</f>
        <v>1</v>
      </c>
      <c r="E218" s="11" t="str">
        <f aca="false">TRIM('수출입 실적(신성질별)'!B222)</f>
        <v>바.기타 원자재</v>
      </c>
      <c r="F218" s="18" t="n">
        <f aca="false">IFERROR(VALUE(SUBSTITUTE(TRIM('수출입 실적(신성질별)'!C222),",","")),"")</f>
        <v>2830.1</v>
      </c>
      <c r="G218" s="19" t="n">
        <f aca="false">IFERROR(VALUE(SUBSTITUTE(TRIM('수출입 실적(신성질별)'!D222),",","")),"")</f>
        <v>11305</v>
      </c>
      <c r="H218" s="18" t="n">
        <f aca="false">IFERROR(VALUE(SUBSTITUTE(TRIM('수출입 실적(신성질별)'!E222),",","")),"")</f>
        <v>3033.2</v>
      </c>
      <c r="I218" s="19" t="n">
        <f aca="false">IFERROR(VALUE(SUBSTITUTE(TRIM('수출입 실적(신성질별)'!F222),",","")),"")</f>
        <v>7176</v>
      </c>
    </row>
    <row r="219" customFormat="false" ht="15" hidden="false" customHeight="true" outlineLevel="0" collapsed="false">
      <c r="A219" s="11" t="str">
        <f aca="false">TRIM('수출입 실적(신성질별)'!A223)</f>
        <v>2025.01</v>
      </c>
      <c r="B219" s="17" t="n">
        <f aca="false">IFERROR(VALUE(LEFT($A219,4)),"")</f>
        <v>2025</v>
      </c>
      <c r="C219" s="17" t="n">
        <f aca="false">IFERROR(VALUE(RIGHT($A219,2)),"")</f>
        <v>1</v>
      </c>
      <c r="D219" s="17" t="n">
        <f aca="false">IFERROR(ROUNDUP($C219/3,0),"")</f>
        <v>1</v>
      </c>
      <c r="E219" s="11" t="str">
        <f aca="false">TRIM('수출입 실적(신성질별)'!B223)</f>
        <v>3.자본재</v>
      </c>
      <c r="F219" s="18" t="n">
        <f aca="false">IFERROR(VALUE(SUBSTITUTE(TRIM('수출입 실적(신성질별)'!C223),",","")),"")</f>
        <v>1649780.1</v>
      </c>
      <c r="G219" s="19" t="n">
        <f aca="false">IFERROR(VALUE(SUBSTITUTE(TRIM('수출입 실적(신성질별)'!D223),",","")),"")</f>
        <v>27569540</v>
      </c>
      <c r="H219" s="18" t="n">
        <f aca="false">IFERROR(VALUE(SUBSTITUTE(TRIM('수출입 실적(신성질별)'!E223),",","")),"")</f>
        <v>808624.5</v>
      </c>
      <c r="I219" s="19" t="n">
        <f aca="false">IFERROR(VALUE(SUBSTITUTE(TRIM('수출입 실적(신성질별)'!F223),",","")),"")</f>
        <v>19117953</v>
      </c>
    </row>
    <row r="220" customFormat="false" ht="15" hidden="false" customHeight="true" outlineLevel="0" collapsed="false">
      <c r="A220" s="11" t="str">
        <f aca="false">TRIM('수출입 실적(신성질별)'!A224)</f>
        <v>2025.01</v>
      </c>
      <c r="B220" s="17" t="n">
        <f aca="false">IFERROR(VALUE(LEFT($A220,4)),"")</f>
        <v>2025</v>
      </c>
      <c r="C220" s="17" t="n">
        <f aca="false">IFERROR(VALUE(RIGHT($A220,2)),"")</f>
        <v>1</v>
      </c>
      <c r="D220" s="17" t="n">
        <f aca="false">IFERROR(ROUNDUP($C220/3,0),"")</f>
        <v>1</v>
      </c>
      <c r="E220" s="11" t="str">
        <f aca="false">TRIM('수출입 실적(신성질별)'!B224)</f>
        <v>가.수송장비</v>
      </c>
      <c r="F220" s="18" t="n">
        <f aca="false">IFERROR(VALUE(SUBSTITUTE(TRIM('수출입 실적(신성질별)'!C224),",","")),"")</f>
        <v>1028939.5</v>
      </c>
      <c r="G220" s="19" t="n">
        <f aca="false">IFERROR(VALUE(SUBSTITUTE(TRIM('수출입 실적(신성질별)'!D224),",","")),"")</f>
        <v>5948237</v>
      </c>
      <c r="H220" s="18" t="n">
        <f aca="false">IFERROR(VALUE(SUBSTITUTE(TRIM('수출입 실적(신성질별)'!E224),",","")),"")</f>
        <v>219017.6</v>
      </c>
      <c r="I220" s="19" t="n">
        <f aca="false">IFERROR(VALUE(SUBSTITUTE(TRIM('수출입 실적(신성질별)'!F224),",","")),"")</f>
        <v>1849911</v>
      </c>
    </row>
    <row r="221" customFormat="false" ht="15" hidden="false" customHeight="true" outlineLevel="0" collapsed="false">
      <c r="A221" s="11" t="str">
        <f aca="false">TRIM('수출입 실적(신성질별)'!A225)</f>
        <v>2025.01</v>
      </c>
      <c r="B221" s="17" t="n">
        <f aca="false">IFERROR(VALUE(LEFT($A221,4)),"")</f>
        <v>2025</v>
      </c>
      <c r="C221" s="17" t="n">
        <f aca="false">IFERROR(VALUE(RIGHT($A221,2)),"")</f>
        <v>1</v>
      </c>
      <c r="D221" s="17" t="n">
        <f aca="false">IFERROR(ROUNDUP($C221/3,0),"")</f>
        <v>1</v>
      </c>
      <c r="E221" s="11" t="str">
        <f aca="false">TRIM('수출입 실적(신성질별)'!B225)</f>
        <v>나.기계류</v>
      </c>
      <c r="F221" s="18" t="n">
        <f aca="false">IFERROR(VALUE(SUBSTITUTE(TRIM('수출입 실적(신성질별)'!C225),",","")),"")</f>
        <v>583661.3</v>
      </c>
      <c r="G221" s="19" t="n">
        <f aca="false">IFERROR(VALUE(SUBSTITUTE(TRIM('수출입 실적(신성질별)'!D225),",","")),"")</f>
        <v>7258462</v>
      </c>
      <c r="H221" s="18" t="n">
        <f aca="false">IFERROR(VALUE(SUBSTITUTE(TRIM('수출입 실적(신성질별)'!E225),",","")),"")</f>
        <v>538650.8</v>
      </c>
      <c r="I221" s="19" t="n">
        <f aca="false">IFERROR(VALUE(SUBSTITUTE(TRIM('수출입 실적(신성질별)'!F225),",","")),"")</f>
        <v>7669391</v>
      </c>
    </row>
    <row r="222" customFormat="false" ht="15" hidden="false" customHeight="true" outlineLevel="0" collapsed="false">
      <c r="A222" s="11" t="str">
        <f aca="false">TRIM('수출입 실적(신성질별)'!A226)</f>
        <v>2025.01</v>
      </c>
      <c r="B222" s="17" t="n">
        <f aca="false">IFERROR(VALUE(LEFT($A222,4)),"")</f>
        <v>2025</v>
      </c>
      <c r="C222" s="17" t="n">
        <f aca="false">IFERROR(VALUE(RIGHT($A222,2)),"")</f>
        <v>1</v>
      </c>
      <c r="D222" s="17" t="n">
        <f aca="false">IFERROR(ROUNDUP($C222/3,0),"")</f>
        <v>1</v>
      </c>
      <c r="E222" s="11" t="str">
        <f aca="false">TRIM('수출입 실적(신성질별)'!B226)</f>
        <v>다.IT제품</v>
      </c>
      <c r="F222" s="18" t="n">
        <f aca="false">IFERROR(VALUE(SUBSTITUTE(TRIM('수출입 실적(신성질별)'!C226),",","")),"")</f>
        <v>10624.2</v>
      </c>
      <c r="G222" s="19" t="n">
        <f aca="false">IFERROR(VALUE(SUBSTITUTE(TRIM('수출입 실적(신성질별)'!D226),",","")),"")</f>
        <v>2960976</v>
      </c>
      <c r="H222" s="18" t="n">
        <f aca="false">IFERROR(VALUE(SUBSTITUTE(TRIM('수출입 실적(신성질별)'!E226),",","")),"")</f>
        <v>19003.7</v>
      </c>
      <c r="I222" s="19" t="n">
        <f aca="false">IFERROR(VALUE(SUBSTITUTE(TRIM('수출입 실적(신성질별)'!F226),",","")),"")</f>
        <v>2653437</v>
      </c>
    </row>
    <row r="223" customFormat="false" ht="15" hidden="false" customHeight="true" outlineLevel="0" collapsed="false">
      <c r="A223" s="11" t="str">
        <f aca="false">TRIM('수출입 실적(신성질별)'!A227)</f>
        <v>2025.01</v>
      </c>
      <c r="B223" s="17" t="n">
        <f aca="false">IFERROR(VALUE(LEFT($A223,4)),"")</f>
        <v>2025</v>
      </c>
      <c r="C223" s="17" t="n">
        <f aca="false">IFERROR(VALUE(RIGHT($A223,2)),"")</f>
        <v>1</v>
      </c>
      <c r="D223" s="17" t="n">
        <f aca="false">IFERROR(ROUNDUP($C223/3,0),"")</f>
        <v>1</v>
      </c>
      <c r="E223" s="11" t="str">
        <f aca="false">TRIM('수출입 실적(신성질별)'!B227)</f>
        <v>라.IT부품</v>
      </c>
      <c r="F223" s="18" t="n">
        <f aca="false">IFERROR(VALUE(SUBSTITUTE(TRIM('수출입 실적(신성질별)'!C227),",","")),"")</f>
        <v>26555</v>
      </c>
      <c r="G223" s="19" t="n">
        <f aca="false">IFERROR(VALUE(SUBSTITUTE(TRIM('수출입 실적(신성질별)'!D227),",","")),"")</f>
        <v>11401866</v>
      </c>
      <c r="H223" s="18" t="n">
        <f aca="false">IFERROR(VALUE(SUBSTITUTE(TRIM('수출입 실적(신성질별)'!E227),",","")),"")</f>
        <v>31952.4</v>
      </c>
      <c r="I223" s="19" t="n">
        <f aca="false">IFERROR(VALUE(SUBSTITUTE(TRIM('수출입 실적(신성질별)'!F227),",","")),"")</f>
        <v>6945214</v>
      </c>
    </row>
    <row r="224" customFormat="false" ht="15" hidden="false" customHeight="true" outlineLevel="0" collapsed="false">
      <c r="A224" s="11" t="str">
        <f aca="false">TRIM('수출입 실적(신성질별)'!A228)</f>
        <v>2025.02</v>
      </c>
      <c r="B224" s="17" t="n">
        <f aca="false">IFERROR(VALUE(LEFT($A224,4)),"")</f>
        <v>2025</v>
      </c>
      <c r="C224" s="17" t="n">
        <f aca="false">IFERROR(VALUE(RIGHT($A224,2)),"")</f>
        <v>2</v>
      </c>
      <c r="D224" s="17" t="n">
        <f aca="false">IFERROR(ROUNDUP($C224/3,0),"")</f>
        <v>1</v>
      </c>
      <c r="E224" s="11" t="str">
        <f aca="false">TRIM('수출입 실적(신성질별)'!B228)</f>
        <v>1.소비재</v>
      </c>
      <c r="F224" s="18" t="n">
        <f aca="false">IFERROR(VALUE(SUBSTITUTE(TRIM('수출입 실적(신성질별)'!C228),",","")),"")</f>
        <v>936081.8</v>
      </c>
      <c r="G224" s="19" t="n">
        <f aca="false">IFERROR(VALUE(SUBSTITUTE(TRIM('수출입 실적(신성질별)'!D228),",","")),"")</f>
        <v>8228531</v>
      </c>
      <c r="H224" s="18" t="n">
        <f aca="false">IFERROR(VALUE(SUBSTITUTE(TRIM('수출입 실적(신성질별)'!E228),",","")),"")</f>
        <v>2007203.5</v>
      </c>
      <c r="I224" s="19" t="n">
        <f aca="false">IFERROR(VALUE(SUBSTITUTE(TRIM('수출입 실적(신성질별)'!F228),",","")),"")</f>
        <v>6448029</v>
      </c>
    </row>
    <row r="225" customFormat="false" ht="15" hidden="false" customHeight="true" outlineLevel="0" collapsed="false">
      <c r="A225" s="11" t="str">
        <f aca="false">TRIM('수출입 실적(신성질별)'!A229)</f>
        <v>2025.02</v>
      </c>
      <c r="B225" s="17" t="n">
        <f aca="false">IFERROR(VALUE(LEFT($A225,4)),"")</f>
        <v>2025</v>
      </c>
      <c r="C225" s="17" t="n">
        <f aca="false">IFERROR(VALUE(RIGHT($A225,2)),"")</f>
        <v>2</v>
      </c>
      <c r="D225" s="17" t="n">
        <f aca="false">IFERROR(ROUNDUP($C225/3,0),"")</f>
        <v>1</v>
      </c>
      <c r="E225" s="11" t="str">
        <f aca="false">TRIM('수출입 실적(신성질별)'!B229)</f>
        <v>가.직접소비재</v>
      </c>
      <c r="F225" s="18" t="n">
        <f aca="false">IFERROR(VALUE(SUBSTITUTE(TRIM('수출입 실적(신성질별)'!C229),",","")),"")</f>
        <v>277875.7</v>
      </c>
      <c r="G225" s="19" t="n">
        <f aca="false">IFERROR(VALUE(SUBSTITUTE(TRIM('수출입 실적(신성질별)'!D229),",","")),"")</f>
        <v>937313</v>
      </c>
      <c r="H225" s="18" t="n">
        <f aca="false">IFERROR(VALUE(SUBSTITUTE(TRIM('수출입 실적(신성질별)'!E229),",","")),"")</f>
        <v>1709917.7</v>
      </c>
      <c r="I225" s="19" t="n">
        <f aca="false">IFERROR(VALUE(SUBSTITUTE(TRIM('수출입 실적(신성질별)'!F229),",","")),"")</f>
        <v>2629082</v>
      </c>
    </row>
    <row r="226" customFormat="false" ht="15" hidden="false" customHeight="true" outlineLevel="0" collapsed="false">
      <c r="A226" s="11" t="str">
        <f aca="false">TRIM('수출입 실적(신성질별)'!A230)</f>
        <v>2025.02</v>
      </c>
      <c r="B226" s="17" t="n">
        <f aca="false">IFERROR(VALUE(LEFT($A226,4)),"")</f>
        <v>2025</v>
      </c>
      <c r="C226" s="17" t="n">
        <f aca="false">IFERROR(VALUE(RIGHT($A226,2)),"")</f>
        <v>2</v>
      </c>
      <c r="D226" s="17" t="n">
        <f aca="false">IFERROR(ROUNDUP($C226/3,0),"")</f>
        <v>1</v>
      </c>
      <c r="E226" s="11" t="str">
        <f aca="false">TRIM('수출입 실적(신성질별)'!B230)</f>
        <v>나.내구소비재</v>
      </c>
      <c r="F226" s="18" t="n">
        <f aca="false">IFERROR(VALUE(SUBSTITUTE(TRIM('수출입 실적(신성질별)'!C230),",","")),"")</f>
        <v>497605.9</v>
      </c>
      <c r="G226" s="19" t="n">
        <f aca="false">IFERROR(VALUE(SUBSTITUTE(TRIM('수출입 실적(신성질별)'!D230),",","")),"")</f>
        <v>5722405</v>
      </c>
      <c r="H226" s="18" t="n">
        <f aca="false">IFERROR(VALUE(SUBSTITUTE(TRIM('수출입 실적(신성질별)'!E230),",","")),"")</f>
        <v>164754.8</v>
      </c>
      <c r="I226" s="19" t="n">
        <f aca="false">IFERROR(VALUE(SUBSTITUTE(TRIM('수출입 실적(신성질별)'!F230),",","")),"")</f>
        <v>1747654</v>
      </c>
    </row>
    <row r="227" customFormat="false" ht="15" hidden="false" customHeight="true" outlineLevel="0" collapsed="false">
      <c r="A227" s="11" t="str">
        <f aca="false">TRIM('수출입 실적(신성질별)'!A231)</f>
        <v>2025.02</v>
      </c>
      <c r="B227" s="17" t="n">
        <f aca="false">IFERROR(VALUE(LEFT($A227,4)),"")</f>
        <v>2025</v>
      </c>
      <c r="C227" s="17" t="n">
        <f aca="false">IFERROR(VALUE(RIGHT($A227,2)),"")</f>
        <v>2</v>
      </c>
      <c r="D227" s="17" t="n">
        <f aca="false">IFERROR(ROUNDUP($C227/3,0),"")</f>
        <v>1</v>
      </c>
      <c r="E227" s="11" t="str">
        <f aca="false">TRIM('수출입 실적(신성질별)'!B231)</f>
        <v>다.비내구소비재</v>
      </c>
      <c r="F227" s="18" t="n">
        <f aca="false">IFERROR(VALUE(SUBSTITUTE(TRIM('수출입 실적(신성질별)'!C231),",","")),"")</f>
        <v>157944.6</v>
      </c>
      <c r="G227" s="19" t="n">
        <f aca="false">IFERROR(VALUE(SUBSTITUTE(TRIM('수출입 실적(신성질별)'!D231),",","")),"")</f>
        <v>1565336</v>
      </c>
      <c r="H227" s="18" t="n">
        <f aca="false">IFERROR(VALUE(SUBSTITUTE(TRIM('수출입 실적(신성질별)'!E231),",","")),"")</f>
        <v>132531</v>
      </c>
      <c r="I227" s="19" t="n">
        <f aca="false">IFERROR(VALUE(SUBSTITUTE(TRIM('수출입 실적(신성질별)'!F231),",","")),"")</f>
        <v>2071293</v>
      </c>
    </row>
    <row r="228" customFormat="false" ht="15" hidden="false" customHeight="true" outlineLevel="0" collapsed="false">
      <c r="A228" s="11" t="str">
        <f aca="false">TRIM('수출입 실적(신성질별)'!A232)</f>
        <v>2025.02</v>
      </c>
      <c r="B228" s="17" t="n">
        <f aca="false">IFERROR(VALUE(LEFT($A228,4)),"")</f>
        <v>2025</v>
      </c>
      <c r="C228" s="17" t="n">
        <f aca="false">IFERROR(VALUE(RIGHT($A228,2)),"")</f>
        <v>2</v>
      </c>
      <c r="D228" s="17" t="n">
        <f aca="false">IFERROR(ROUNDUP($C228/3,0),"")</f>
        <v>1</v>
      </c>
      <c r="E228" s="11" t="str">
        <f aca="false">TRIM('수출입 실적(신성질별)'!B232)</f>
        <v>라.간이세율적용분</v>
      </c>
      <c r="F228" s="18" t="n">
        <f aca="false">IFERROR(VALUE(SUBSTITUTE(TRIM('수출입 실적(신성질별)'!C232),",","")),"")</f>
        <v>2655.7</v>
      </c>
      <c r="G228" s="19" t="n">
        <f aca="false">IFERROR(VALUE(SUBSTITUTE(TRIM('수출입 실적(신성질별)'!D232),",","")),"")</f>
        <v>3476</v>
      </c>
      <c r="H228" s="18" t="n">
        <f aca="false">IFERROR(VALUE(SUBSTITUTE(TRIM('수출입 실적(신성질별)'!E232),",","")),"")</f>
        <v>0</v>
      </c>
      <c r="I228" s="19" t="n">
        <f aca="false">IFERROR(VALUE(SUBSTITUTE(TRIM('수출입 실적(신성질별)'!F232),",","")),"")</f>
        <v>0</v>
      </c>
    </row>
    <row r="229" customFormat="false" ht="15" hidden="false" customHeight="true" outlineLevel="0" collapsed="false">
      <c r="A229" s="11" t="str">
        <f aca="false">TRIM('수출입 실적(신성질별)'!A233)</f>
        <v>2025.02</v>
      </c>
      <c r="B229" s="17" t="n">
        <f aca="false">IFERROR(VALUE(LEFT($A229,4)),"")</f>
        <v>2025</v>
      </c>
      <c r="C229" s="17" t="n">
        <f aca="false">IFERROR(VALUE(RIGHT($A229,2)),"")</f>
        <v>2</v>
      </c>
      <c r="D229" s="17" t="n">
        <f aca="false">IFERROR(ROUNDUP($C229/3,0),"")</f>
        <v>1</v>
      </c>
      <c r="E229" s="11" t="str">
        <f aca="false">TRIM('수출입 실적(신성질별)'!B233)</f>
        <v>2.원자재</v>
      </c>
      <c r="F229" s="18" t="n">
        <f aca="false">IFERROR(VALUE(SUBSTITUTE(TRIM('수출입 실적(신성질별)'!C233),",","")),"")</f>
        <v>13438220.9</v>
      </c>
      <c r="G229" s="19" t="n">
        <f aca="false">IFERROR(VALUE(SUBSTITUTE(TRIM('수출입 실적(신성질별)'!D233),",","")),"")</f>
        <v>16029324</v>
      </c>
      <c r="H229" s="18" t="n">
        <f aca="false">IFERROR(VALUE(SUBSTITUTE(TRIM('수출입 실적(신성질별)'!E233),",","")),"")</f>
        <v>38798340.2</v>
      </c>
      <c r="I229" s="19" t="n">
        <f aca="false">IFERROR(VALUE(SUBSTITUTE(TRIM('수출입 실적(신성질별)'!F233),",","")),"")</f>
        <v>23085893</v>
      </c>
    </row>
    <row r="230" customFormat="false" ht="15" hidden="false" customHeight="true" outlineLevel="0" collapsed="false">
      <c r="A230" s="11" t="str">
        <f aca="false">TRIM('수출입 실적(신성질별)'!A234)</f>
        <v>2025.02</v>
      </c>
      <c r="B230" s="17" t="n">
        <f aca="false">IFERROR(VALUE(LEFT($A230,4)),"")</f>
        <v>2025</v>
      </c>
      <c r="C230" s="17" t="n">
        <f aca="false">IFERROR(VALUE(RIGHT($A230,2)),"")</f>
        <v>2</v>
      </c>
      <c r="D230" s="17" t="n">
        <f aca="false">IFERROR(ROUNDUP($C230/3,0),"")</f>
        <v>1</v>
      </c>
      <c r="E230" s="11" t="str">
        <f aca="false">TRIM('수출입 실적(신성질별)'!B234)</f>
        <v>가.동식물성 연·원료</v>
      </c>
      <c r="F230" s="18" t="n">
        <f aca="false">IFERROR(VALUE(SUBSTITUTE(TRIM('수출입 실적(신성질별)'!C234),",","")),"")</f>
        <v>379143.8</v>
      </c>
      <c r="G230" s="19" t="n">
        <f aca="false">IFERROR(VALUE(SUBSTITUTE(TRIM('수출입 실적(신성질별)'!D234),",","")),"")</f>
        <v>450589</v>
      </c>
      <c r="H230" s="18" t="n">
        <f aca="false">IFERROR(VALUE(SUBSTITUTE(TRIM('수출입 실적(신성질별)'!E234),",","")),"")</f>
        <v>2793346.9</v>
      </c>
      <c r="I230" s="19" t="n">
        <f aca="false">IFERROR(VALUE(SUBSTITUTE(TRIM('수출입 실적(신성질별)'!F234),",","")),"")</f>
        <v>1405567</v>
      </c>
    </row>
    <row r="231" customFormat="false" ht="15" hidden="false" customHeight="true" outlineLevel="0" collapsed="false">
      <c r="A231" s="11" t="str">
        <f aca="false">TRIM('수출입 실적(신성질별)'!A235)</f>
        <v>2025.02</v>
      </c>
      <c r="B231" s="17" t="n">
        <f aca="false">IFERROR(VALUE(LEFT($A231,4)),"")</f>
        <v>2025</v>
      </c>
      <c r="C231" s="17" t="n">
        <f aca="false">IFERROR(VALUE(RIGHT($A231,2)),"")</f>
        <v>2</v>
      </c>
      <c r="D231" s="17" t="n">
        <f aca="false">IFERROR(ROUNDUP($C231/3,0),"")</f>
        <v>1</v>
      </c>
      <c r="E231" s="11" t="str">
        <f aca="false">TRIM('수출입 실적(신성질별)'!B235)</f>
        <v>나.섬유류</v>
      </c>
      <c r="F231" s="18" t="n">
        <f aca="false">IFERROR(VALUE(SUBSTITUTE(TRIM('수출입 실적(신성질별)'!C235),",","")),"")</f>
        <v>127032.8</v>
      </c>
      <c r="G231" s="19" t="n">
        <f aca="false">IFERROR(VALUE(SUBSTITUTE(TRIM('수출입 실적(신성질별)'!D235),",","")),"")</f>
        <v>583737</v>
      </c>
      <c r="H231" s="18" t="n">
        <f aca="false">IFERROR(VALUE(SUBSTITUTE(TRIM('수출입 실적(신성질별)'!E235),",","")),"")</f>
        <v>98678.3</v>
      </c>
      <c r="I231" s="19" t="n">
        <f aca="false">IFERROR(VALUE(SUBSTITUTE(TRIM('수출입 실적(신성질별)'!F235),",","")),"")</f>
        <v>303487</v>
      </c>
    </row>
    <row r="232" customFormat="false" ht="15" hidden="false" customHeight="true" outlineLevel="0" collapsed="false">
      <c r="A232" s="11" t="str">
        <f aca="false">TRIM('수출입 실적(신성질별)'!A236)</f>
        <v>2025.02</v>
      </c>
      <c r="B232" s="17" t="n">
        <f aca="false">IFERROR(VALUE(LEFT($A232,4)),"")</f>
        <v>2025</v>
      </c>
      <c r="C232" s="17" t="n">
        <f aca="false">IFERROR(VALUE(RIGHT($A232,2)),"")</f>
        <v>2</v>
      </c>
      <c r="D232" s="17" t="n">
        <f aca="false">IFERROR(ROUNDUP($C232/3,0),"")</f>
        <v>1</v>
      </c>
      <c r="E232" s="11" t="str">
        <f aca="false">TRIM('수출입 실적(신성질별)'!B236)</f>
        <v>다.광산물</v>
      </c>
      <c r="F232" s="18" t="n">
        <f aca="false">IFERROR(VALUE(SUBSTITUTE(TRIM('수출입 실적(신성질별)'!C236),",","")),"")</f>
        <v>6094902.5</v>
      </c>
      <c r="G232" s="19" t="n">
        <f aca="false">IFERROR(VALUE(SUBSTITUTE(TRIM('수출입 실적(신성질별)'!D236),",","")),"")</f>
        <v>4587814</v>
      </c>
      <c r="H232" s="18" t="n">
        <f aca="false">IFERROR(VALUE(SUBSTITUTE(TRIM('수출입 실적(신성질별)'!E236),",","")),"")</f>
        <v>32444017.5</v>
      </c>
      <c r="I232" s="19" t="n">
        <f aca="false">IFERROR(VALUE(SUBSTITUTE(TRIM('수출입 실적(신성질별)'!F236),",","")),"")</f>
        <v>14145782</v>
      </c>
    </row>
    <row r="233" customFormat="false" ht="15" hidden="false" customHeight="true" outlineLevel="0" collapsed="false">
      <c r="A233" s="11" t="str">
        <f aca="false">TRIM('수출입 실적(신성질별)'!A237)</f>
        <v>2025.02</v>
      </c>
      <c r="B233" s="17" t="n">
        <f aca="false">IFERROR(VALUE(LEFT($A233,4)),"")</f>
        <v>2025</v>
      </c>
      <c r="C233" s="17" t="n">
        <f aca="false">IFERROR(VALUE(RIGHT($A233,2)),"")</f>
        <v>2</v>
      </c>
      <c r="D233" s="17" t="n">
        <f aca="false">IFERROR(ROUNDUP($C233/3,0),"")</f>
        <v>1</v>
      </c>
      <c r="E233" s="11" t="str">
        <f aca="false">TRIM('수출입 실적(신성질별)'!B237)</f>
        <v>라.철강 및 금속제품</v>
      </c>
      <c r="F233" s="18" t="n">
        <f aca="false">IFERROR(VALUE(SUBSTITUTE(TRIM('수출입 실적(신성질별)'!C237),",","")),"")</f>
        <v>2574684.2</v>
      </c>
      <c r="G233" s="19" t="n">
        <f aca="false">IFERROR(VALUE(SUBSTITUTE(TRIM('수출입 실적(신성질별)'!D237),",","")),"")</f>
        <v>3184279</v>
      </c>
      <c r="H233" s="18" t="n">
        <f aca="false">IFERROR(VALUE(SUBSTITUTE(TRIM('수출입 실적(신성질별)'!E237),",","")),"")</f>
        <v>1593746.9</v>
      </c>
      <c r="I233" s="19" t="n">
        <f aca="false">IFERROR(VALUE(SUBSTITUTE(TRIM('수출입 실적(신성질별)'!F237),",","")),"")</f>
        <v>2436460</v>
      </c>
    </row>
    <row r="234" customFormat="false" ht="15" hidden="false" customHeight="true" outlineLevel="0" collapsed="false">
      <c r="A234" s="11" t="str">
        <f aca="false">TRIM('수출입 실적(신성질별)'!A238)</f>
        <v>2025.02</v>
      </c>
      <c r="B234" s="17" t="n">
        <f aca="false">IFERROR(VALUE(LEFT($A234,4)),"")</f>
        <v>2025</v>
      </c>
      <c r="C234" s="17" t="n">
        <f aca="false">IFERROR(VALUE(RIGHT($A234,2)),"")</f>
        <v>2</v>
      </c>
      <c r="D234" s="17" t="n">
        <f aca="false">IFERROR(ROUNDUP($C234/3,0),"")</f>
        <v>1</v>
      </c>
      <c r="E234" s="11" t="str">
        <f aca="false">TRIM('수출입 실적(신성질별)'!B238)</f>
        <v>마.화학공업제품</v>
      </c>
      <c r="F234" s="18" t="n">
        <f aca="false">IFERROR(VALUE(SUBSTITUTE(TRIM('수출입 실적(신성질별)'!C238),",","")),"")</f>
        <v>4258628.9</v>
      </c>
      <c r="G234" s="19" t="n">
        <f aca="false">IFERROR(VALUE(SUBSTITUTE(TRIM('수출입 실적(신성질별)'!D238),",","")),"")</f>
        <v>7210289</v>
      </c>
      <c r="H234" s="18" t="n">
        <f aca="false">IFERROR(VALUE(SUBSTITUTE(TRIM('수출입 실적(신성질별)'!E238),",","")),"")</f>
        <v>1867053.8</v>
      </c>
      <c r="I234" s="19" t="n">
        <f aca="false">IFERROR(VALUE(SUBSTITUTE(TRIM('수출입 실적(신성질별)'!F238),",","")),"")</f>
        <v>4787092</v>
      </c>
    </row>
    <row r="235" customFormat="false" ht="15" hidden="false" customHeight="true" outlineLevel="0" collapsed="false">
      <c r="A235" s="11" t="str">
        <f aca="false">TRIM('수출입 실적(신성질별)'!A239)</f>
        <v>2025.02</v>
      </c>
      <c r="B235" s="17" t="n">
        <f aca="false">IFERROR(VALUE(LEFT($A235,4)),"")</f>
        <v>2025</v>
      </c>
      <c r="C235" s="17" t="n">
        <f aca="false">IFERROR(VALUE(RIGHT($A235,2)),"")</f>
        <v>2</v>
      </c>
      <c r="D235" s="17" t="n">
        <f aca="false">IFERROR(ROUNDUP($C235/3,0),"")</f>
        <v>1</v>
      </c>
      <c r="E235" s="11" t="str">
        <f aca="false">TRIM('수출입 실적(신성질별)'!B239)</f>
        <v>바.기타 원자재</v>
      </c>
      <c r="F235" s="18" t="n">
        <f aca="false">IFERROR(VALUE(SUBSTITUTE(TRIM('수출입 실적(신성질별)'!C239),",","")),"")</f>
        <v>3828.8</v>
      </c>
      <c r="G235" s="19" t="n">
        <f aca="false">IFERROR(VALUE(SUBSTITUTE(TRIM('수출입 실적(신성질별)'!D239),",","")),"")</f>
        <v>12616</v>
      </c>
      <c r="H235" s="18" t="n">
        <f aca="false">IFERROR(VALUE(SUBSTITUTE(TRIM('수출입 실적(신성질별)'!E239),",","")),"")</f>
        <v>1496.9</v>
      </c>
      <c r="I235" s="19" t="n">
        <f aca="false">IFERROR(VALUE(SUBSTITUTE(TRIM('수출입 실적(신성질별)'!F239),",","")),"")</f>
        <v>7505</v>
      </c>
    </row>
    <row r="236" customFormat="false" ht="15" hidden="false" customHeight="true" outlineLevel="0" collapsed="false">
      <c r="A236" s="11" t="str">
        <f aca="false">TRIM('수출입 실적(신성질별)'!A240)</f>
        <v>2025.02</v>
      </c>
      <c r="B236" s="17" t="n">
        <f aca="false">IFERROR(VALUE(LEFT($A236,4)),"")</f>
        <v>2025</v>
      </c>
      <c r="C236" s="17" t="n">
        <f aca="false">IFERROR(VALUE(RIGHT($A236,2)),"")</f>
        <v>2</v>
      </c>
      <c r="D236" s="17" t="n">
        <f aca="false">IFERROR(ROUNDUP($C236/3,0),"")</f>
        <v>1</v>
      </c>
      <c r="E236" s="11" t="str">
        <f aca="false">TRIM('수출입 실적(신성질별)'!B240)</f>
        <v>3.자본재</v>
      </c>
      <c r="F236" s="18" t="n">
        <f aca="false">IFERROR(VALUE(SUBSTITUTE(TRIM('수출입 실적(신성질별)'!C240),",","")),"")</f>
        <v>1777592.3</v>
      </c>
      <c r="G236" s="19" t="n">
        <f aca="false">IFERROR(VALUE(SUBSTITUTE(TRIM('수출입 실적(신성질별)'!D240),",","")),"")</f>
        <v>28034447</v>
      </c>
      <c r="H236" s="18" t="n">
        <f aca="false">IFERROR(VALUE(SUBSTITUTE(TRIM('수출입 실적(신성질별)'!E240),",","")),"")</f>
        <v>729656.7</v>
      </c>
      <c r="I236" s="19" t="n">
        <f aca="false">IFERROR(VALUE(SUBSTITUTE(TRIM('수출입 실적(신성질별)'!F240),",","")),"")</f>
        <v>18794820</v>
      </c>
    </row>
    <row r="237" customFormat="false" ht="15" hidden="false" customHeight="true" outlineLevel="0" collapsed="false">
      <c r="A237" s="11" t="str">
        <f aca="false">TRIM('수출입 실적(신성질별)'!A241)</f>
        <v>2025.02</v>
      </c>
      <c r="B237" s="17" t="n">
        <f aca="false">IFERROR(VALUE(LEFT($A237,4)),"")</f>
        <v>2025</v>
      </c>
      <c r="C237" s="17" t="n">
        <f aca="false">IFERROR(VALUE(RIGHT($A237,2)),"")</f>
        <v>2</v>
      </c>
      <c r="D237" s="17" t="n">
        <f aca="false">IFERROR(ROUNDUP($C237/3,0),"")</f>
        <v>1</v>
      </c>
      <c r="E237" s="11" t="str">
        <f aca="false">TRIM('수출입 실적(신성질별)'!B241)</f>
        <v>가.수송장비</v>
      </c>
      <c r="F237" s="18" t="n">
        <f aca="false">IFERROR(VALUE(SUBSTITUTE(TRIM('수출입 실적(신성질별)'!C241),",","")),"")</f>
        <v>1080582.5</v>
      </c>
      <c r="G237" s="19" t="n">
        <f aca="false">IFERROR(VALUE(SUBSTITUTE(TRIM('수출입 실적(신성질별)'!D241),",","")),"")</f>
        <v>5243443</v>
      </c>
      <c r="H237" s="18" t="n">
        <f aca="false">IFERROR(VALUE(SUBSTITUTE(TRIM('수출입 실적(신성질별)'!E241),",","")),"")</f>
        <v>195745.7</v>
      </c>
      <c r="I237" s="19" t="n">
        <f aca="false">IFERROR(VALUE(SUBSTITUTE(TRIM('수출입 실적(신성질별)'!F241),",","")),"")</f>
        <v>1933315</v>
      </c>
    </row>
    <row r="238" customFormat="false" ht="15" hidden="false" customHeight="true" outlineLevel="0" collapsed="false">
      <c r="A238" s="11" t="str">
        <f aca="false">TRIM('수출입 실적(신성질별)'!A242)</f>
        <v>2025.02</v>
      </c>
      <c r="B238" s="17" t="n">
        <f aca="false">IFERROR(VALUE(LEFT($A238,4)),"")</f>
        <v>2025</v>
      </c>
      <c r="C238" s="17" t="n">
        <f aca="false">IFERROR(VALUE(RIGHT($A238,2)),"")</f>
        <v>2</v>
      </c>
      <c r="D238" s="17" t="n">
        <f aca="false">IFERROR(ROUNDUP($C238/3,0),"")</f>
        <v>1</v>
      </c>
      <c r="E238" s="11" t="str">
        <f aca="false">TRIM('수출입 실적(신성질별)'!B242)</f>
        <v>나.기계류</v>
      </c>
      <c r="F238" s="18" t="n">
        <f aca="false">IFERROR(VALUE(SUBSTITUTE(TRIM('수출입 실적(신성질별)'!C242),",","")),"")</f>
        <v>655268.5</v>
      </c>
      <c r="G238" s="19" t="n">
        <f aca="false">IFERROR(VALUE(SUBSTITUTE(TRIM('수출입 실적(신성질별)'!D242),",","")),"")</f>
        <v>8545422</v>
      </c>
      <c r="H238" s="18" t="n">
        <f aca="false">IFERROR(VALUE(SUBSTITUTE(TRIM('수출입 실적(신성질별)'!E242),",","")),"")</f>
        <v>485627.7</v>
      </c>
      <c r="I238" s="19" t="n">
        <f aca="false">IFERROR(VALUE(SUBSTITUTE(TRIM('수출입 실적(신성질별)'!F242),",","")),"")</f>
        <v>8191759</v>
      </c>
    </row>
    <row r="239" customFormat="false" ht="15" hidden="false" customHeight="true" outlineLevel="0" collapsed="false">
      <c r="A239" s="11" t="str">
        <f aca="false">TRIM('수출입 실적(신성질별)'!A243)</f>
        <v>2025.02</v>
      </c>
      <c r="B239" s="17" t="n">
        <f aca="false">IFERROR(VALUE(LEFT($A239,4)),"")</f>
        <v>2025</v>
      </c>
      <c r="C239" s="17" t="n">
        <f aca="false">IFERROR(VALUE(RIGHT($A239,2)),"")</f>
        <v>2</v>
      </c>
      <c r="D239" s="17" t="n">
        <f aca="false">IFERROR(ROUNDUP($C239/3,0),"")</f>
        <v>1</v>
      </c>
      <c r="E239" s="11" t="str">
        <f aca="false">TRIM('수출입 실적(신성질별)'!B243)</f>
        <v>다.IT제품</v>
      </c>
      <c r="F239" s="18" t="n">
        <f aca="false">IFERROR(VALUE(SUBSTITUTE(TRIM('수출입 실적(신성질별)'!C243),",","")),"")</f>
        <v>11797.7</v>
      </c>
      <c r="G239" s="19" t="n">
        <f aca="false">IFERROR(VALUE(SUBSTITUTE(TRIM('수출입 실적(신성질별)'!D243),",","")),"")</f>
        <v>3197859</v>
      </c>
      <c r="H239" s="18" t="n">
        <f aca="false">IFERROR(VALUE(SUBSTITUTE(TRIM('수출입 실적(신성질별)'!E243),",","")),"")</f>
        <v>16282.3</v>
      </c>
      <c r="I239" s="19" t="n">
        <f aca="false">IFERROR(VALUE(SUBSTITUTE(TRIM('수출입 실적(신성질별)'!F243),",","")),"")</f>
        <v>2057146</v>
      </c>
    </row>
    <row r="240" customFormat="false" ht="15" hidden="false" customHeight="true" outlineLevel="0" collapsed="false">
      <c r="A240" s="11" t="str">
        <f aca="false">TRIM('수출입 실적(신성질별)'!A244)</f>
        <v>2025.02</v>
      </c>
      <c r="B240" s="17" t="n">
        <f aca="false">IFERROR(VALUE(LEFT($A240,4)),"")</f>
        <v>2025</v>
      </c>
      <c r="C240" s="17" t="n">
        <f aca="false">IFERROR(VALUE(RIGHT($A240,2)),"")</f>
        <v>2</v>
      </c>
      <c r="D240" s="17" t="n">
        <f aca="false">IFERROR(ROUNDUP($C240/3,0),"")</f>
        <v>1</v>
      </c>
      <c r="E240" s="11" t="str">
        <f aca="false">TRIM('수출입 실적(신성질별)'!B244)</f>
        <v>라.IT부품</v>
      </c>
      <c r="F240" s="18" t="n">
        <f aca="false">IFERROR(VALUE(SUBSTITUTE(TRIM('수출입 실적(신성질별)'!C244),",","")),"")</f>
        <v>29943.6</v>
      </c>
      <c r="G240" s="19" t="n">
        <f aca="false">IFERROR(VALUE(SUBSTITUTE(TRIM('수출입 실적(신성질별)'!D244),",","")),"")</f>
        <v>11047722</v>
      </c>
      <c r="H240" s="18" t="n">
        <f aca="false">IFERROR(VALUE(SUBSTITUTE(TRIM('수출입 실적(신성질별)'!E244),",","")),"")</f>
        <v>32001</v>
      </c>
      <c r="I240" s="19" t="n">
        <f aca="false">IFERROR(VALUE(SUBSTITUTE(TRIM('수출입 실적(신성질별)'!F244),",","")),"")</f>
        <v>6612600</v>
      </c>
    </row>
    <row r="241" customFormat="false" ht="15" hidden="false" customHeight="true" outlineLevel="0" collapsed="false">
      <c r="A241" s="11" t="str">
        <f aca="false">TRIM('수출입 실적(신성질별)'!A245)</f>
        <v>2025.03</v>
      </c>
      <c r="B241" s="17" t="n">
        <f aca="false">IFERROR(VALUE(LEFT($A241,4)),"")</f>
        <v>2025</v>
      </c>
      <c r="C241" s="17" t="n">
        <f aca="false">IFERROR(VALUE(RIGHT($A241,2)),"")</f>
        <v>3</v>
      </c>
      <c r="D241" s="17" t="n">
        <f aca="false">IFERROR(ROUNDUP($C241/3,0),"")</f>
        <v>1</v>
      </c>
      <c r="E241" s="11" t="str">
        <f aca="false">TRIM('수출입 실적(신성질별)'!B245)</f>
        <v>1.소비재</v>
      </c>
      <c r="F241" s="18" t="n">
        <f aca="false">IFERROR(VALUE(SUBSTITUTE(TRIM('수출입 실적(신성질별)'!C245),",","")),"")</f>
        <v>951050.3</v>
      </c>
      <c r="G241" s="19" t="n">
        <f aca="false">IFERROR(VALUE(SUBSTITUTE(TRIM('수출입 실적(신성질별)'!D245),",","")),"")</f>
        <v>8401761</v>
      </c>
      <c r="H241" s="18" t="n">
        <f aca="false">IFERROR(VALUE(SUBSTITUTE(TRIM('수출입 실적(신성질별)'!E245),",","")),"")</f>
        <v>2000321.9</v>
      </c>
      <c r="I241" s="19" t="n">
        <f aca="false">IFERROR(VALUE(SUBSTITUTE(TRIM('수출입 실적(신성질별)'!F245),",","")),"")</f>
        <v>7347078</v>
      </c>
    </row>
    <row r="242" customFormat="false" ht="15" hidden="false" customHeight="true" outlineLevel="0" collapsed="false">
      <c r="A242" s="11" t="str">
        <f aca="false">TRIM('수출입 실적(신성질별)'!A246)</f>
        <v>2025.03</v>
      </c>
      <c r="B242" s="17" t="n">
        <f aca="false">IFERROR(VALUE(LEFT($A242,4)),"")</f>
        <v>2025</v>
      </c>
      <c r="C242" s="17" t="n">
        <f aca="false">IFERROR(VALUE(RIGHT($A242,2)),"")</f>
        <v>3</v>
      </c>
      <c r="D242" s="17" t="n">
        <f aca="false">IFERROR(ROUNDUP($C242/3,0),"")</f>
        <v>1</v>
      </c>
      <c r="E242" s="11" t="str">
        <f aca="false">TRIM('수출입 실적(신성질별)'!B246)</f>
        <v>가.직접소비재</v>
      </c>
      <c r="F242" s="18" t="n">
        <f aca="false">IFERROR(VALUE(SUBSTITUTE(TRIM('수출입 실적(신성질별)'!C246),",","")),"")</f>
        <v>280722.2</v>
      </c>
      <c r="G242" s="19" t="n">
        <f aca="false">IFERROR(VALUE(SUBSTITUTE(TRIM('수출입 실적(신성질별)'!D246),",","")),"")</f>
        <v>948596</v>
      </c>
      <c r="H242" s="18" t="n">
        <f aca="false">IFERROR(VALUE(SUBSTITUTE(TRIM('수출입 실적(신성질별)'!E246),",","")),"")</f>
        <v>1633954.6</v>
      </c>
      <c r="I242" s="19" t="n">
        <f aca="false">IFERROR(VALUE(SUBSTITUTE(TRIM('수출입 실적(신성질별)'!F246),",","")),"")</f>
        <v>2724546</v>
      </c>
    </row>
    <row r="243" customFormat="false" ht="15" hidden="false" customHeight="true" outlineLevel="0" collapsed="false">
      <c r="A243" s="11" t="str">
        <f aca="false">TRIM('수출입 실적(신성질별)'!A247)</f>
        <v>2025.03</v>
      </c>
      <c r="B243" s="17" t="n">
        <f aca="false">IFERROR(VALUE(LEFT($A243,4)),"")</f>
        <v>2025</v>
      </c>
      <c r="C243" s="17" t="n">
        <f aca="false">IFERROR(VALUE(RIGHT($A243,2)),"")</f>
        <v>3</v>
      </c>
      <c r="D243" s="17" t="n">
        <f aca="false">IFERROR(ROUNDUP($C243/3,0),"")</f>
        <v>1</v>
      </c>
      <c r="E243" s="11" t="str">
        <f aca="false">TRIM('수출입 실적(신성질별)'!B247)</f>
        <v>나.내구소비재</v>
      </c>
      <c r="F243" s="18" t="n">
        <f aca="false">IFERROR(VALUE(SUBSTITUTE(TRIM('수출입 실적(신성질별)'!C247),",","")),"")</f>
        <v>505588.2</v>
      </c>
      <c r="G243" s="19" t="n">
        <f aca="false">IFERROR(VALUE(SUBSTITUTE(TRIM('수출입 실적(신성질별)'!D247),",","")),"")</f>
        <v>5800591</v>
      </c>
      <c r="H243" s="18" t="n">
        <f aca="false">IFERROR(VALUE(SUBSTITUTE(TRIM('수출입 실적(신성질별)'!E247),",","")),"")</f>
        <v>205186.3</v>
      </c>
      <c r="I243" s="19" t="n">
        <f aca="false">IFERROR(VALUE(SUBSTITUTE(TRIM('수출입 실적(신성질별)'!F247),",","")),"")</f>
        <v>2202954</v>
      </c>
    </row>
    <row r="244" customFormat="false" ht="15" hidden="false" customHeight="true" outlineLevel="0" collapsed="false">
      <c r="A244" s="11" t="str">
        <f aca="false">TRIM('수출입 실적(신성질별)'!A248)</f>
        <v>2025.03</v>
      </c>
      <c r="B244" s="17" t="n">
        <f aca="false">IFERROR(VALUE(LEFT($A244,4)),"")</f>
        <v>2025</v>
      </c>
      <c r="C244" s="17" t="n">
        <f aca="false">IFERROR(VALUE(RIGHT($A244,2)),"")</f>
        <v>3</v>
      </c>
      <c r="D244" s="17" t="n">
        <f aca="false">IFERROR(ROUNDUP($C244/3,0),"")</f>
        <v>1</v>
      </c>
      <c r="E244" s="11" t="str">
        <f aca="false">TRIM('수출입 실적(신성질별)'!B248)</f>
        <v>다.비내구소비재</v>
      </c>
      <c r="F244" s="18" t="n">
        <f aca="false">IFERROR(VALUE(SUBSTITUTE(TRIM('수출입 실적(신성질별)'!C248),",","")),"")</f>
        <v>162855.9</v>
      </c>
      <c r="G244" s="19" t="n">
        <f aca="false">IFERROR(VALUE(SUBSTITUTE(TRIM('수출입 실적(신성질별)'!D248),",","")),"")</f>
        <v>1649781</v>
      </c>
      <c r="H244" s="18" t="n">
        <f aca="false">IFERROR(VALUE(SUBSTITUTE(TRIM('수출입 실적(신성질별)'!E248),",","")),"")</f>
        <v>161181</v>
      </c>
      <c r="I244" s="19" t="n">
        <f aca="false">IFERROR(VALUE(SUBSTITUTE(TRIM('수출입 실적(신성질별)'!F248),",","")),"")</f>
        <v>2419577</v>
      </c>
    </row>
    <row r="245" customFormat="false" ht="15" hidden="false" customHeight="true" outlineLevel="0" collapsed="false">
      <c r="A245" s="11" t="str">
        <f aca="false">TRIM('수출입 실적(신성질별)'!A249)</f>
        <v>2025.03</v>
      </c>
      <c r="B245" s="17" t="n">
        <f aca="false">IFERROR(VALUE(LEFT($A245,4)),"")</f>
        <v>2025</v>
      </c>
      <c r="C245" s="17" t="n">
        <f aca="false">IFERROR(VALUE(RIGHT($A245,2)),"")</f>
        <v>3</v>
      </c>
      <c r="D245" s="17" t="n">
        <f aca="false">IFERROR(ROUNDUP($C245/3,0),"")</f>
        <v>1</v>
      </c>
      <c r="E245" s="11" t="str">
        <f aca="false">TRIM('수출입 실적(신성질별)'!B249)</f>
        <v>라.간이세율적용분</v>
      </c>
      <c r="F245" s="18" t="n">
        <f aca="false">IFERROR(VALUE(SUBSTITUTE(TRIM('수출입 실적(신성질별)'!C249),",","")),"")</f>
        <v>1883.9</v>
      </c>
      <c r="G245" s="19" t="n">
        <f aca="false">IFERROR(VALUE(SUBSTITUTE(TRIM('수출입 실적(신성질별)'!D249),",","")),"")</f>
        <v>2793</v>
      </c>
      <c r="H245" s="18" t="n">
        <f aca="false">IFERROR(VALUE(SUBSTITUTE(TRIM('수출입 실적(신성질별)'!E249),",","")),"")</f>
        <v>0</v>
      </c>
      <c r="I245" s="19" t="n">
        <f aca="false">IFERROR(VALUE(SUBSTITUTE(TRIM('수출입 실적(신성질별)'!F249),",","")),"")</f>
        <v>0</v>
      </c>
    </row>
    <row r="246" customFormat="false" ht="15" hidden="false" customHeight="true" outlineLevel="0" collapsed="false">
      <c r="A246" s="11" t="str">
        <f aca="false">TRIM('수출입 실적(신성질별)'!A250)</f>
        <v>2025.03</v>
      </c>
      <c r="B246" s="17" t="n">
        <f aca="false">IFERROR(VALUE(LEFT($A246,4)),"")</f>
        <v>2025</v>
      </c>
      <c r="C246" s="17" t="n">
        <f aca="false">IFERROR(VALUE(RIGHT($A246,2)),"")</f>
        <v>3</v>
      </c>
      <c r="D246" s="17" t="n">
        <f aca="false">IFERROR(ROUNDUP($C246/3,0),"")</f>
        <v>1</v>
      </c>
      <c r="E246" s="11" t="str">
        <f aca="false">TRIM('수출입 실적(신성질별)'!B250)</f>
        <v>2.원자재</v>
      </c>
      <c r="F246" s="18" t="n">
        <f aca="false">IFERROR(VALUE(SUBSTITUTE(TRIM('수출입 실적(신성질별)'!C250),",","")),"")</f>
        <v>12485766</v>
      </c>
      <c r="G246" s="19" t="n">
        <f aca="false">IFERROR(VALUE(SUBSTITUTE(TRIM('수출입 실적(신성질별)'!D250),",","")),"")</f>
        <v>15375651</v>
      </c>
      <c r="H246" s="18" t="n">
        <f aca="false">IFERROR(VALUE(SUBSTITUTE(TRIM('수출입 실적(신성질별)'!E250),",","")),"")</f>
        <v>38785132.4</v>
      </c>
      <c r="I246" s="19" t="n">
        <f aca="false">IFERROR(VALUE(SUBSTITUTE(TRIM('수출입 실적(신성질별)'!F250),",","")),"")</f>
        <v>23899187</v>
      </c>
    </row>
    <row r="247" customFormat="false" ht="15" hidden="false" customHeight="true" outlineLevel="0" collapsed="false">
      <c r="A247" s="11" t="str">
        <f aca="false">TRIM('수출입 실적(신성질별)'!A251)</f>
        <v>2025.03</v>
      </c>
      <c r="B247" s="17" t="n">
        <f aca="false">IFERROR(VALUE(LEFT($A247,4)),"")</f>
        <v>2025</v>
      </c>
      <c r="C247" s="17" t="n">
        <f aca="false">IFERROR(VALUE(RIGHT($A247,2)),"")</f>
        <v>3</v>
      </c>
      <c r="D247" s="17" t="n">
        <f aca="false">IFERROR(ROUNDUP($C247/3,0),"")</f>
        <v>1</v>
      </c>
      <c r="E247" s="11" t="str">
        <f aca="false">TRIM('수출입 실적(신성질별)'!B251)</f>
        <v>가.동식물성 연·원료</v>
      </c>
      <c r="F247" s="18" t="n">
        <f aca="false">IFERROR(VALUE(SUBSTITUTE(TRIM('수출입 실적(신성질별)'!C251),",","")),"")</f>
        <v>353451.9</v>
      </c>
      <c r="G247" s="19" t="n">
        <f aca="false">IFERROR(VALUE(SUBSTITUTE(TRIM('수출입 실적(신성질별)'!D251),",","")),"")</f>
        <v>440957</v>
      </c>
      <c r="H247" s="18" t="n">
        <f aca="false">IFERROR(VALUE(SUBSTITUTE(TRIM('수출입 실적(신성질별)'!E251),",","")),"")</f>
        <v>2611117</v>
      </c>
      <c r="I247" s="19" t="n">
        <f aca="false">IFERROR(VALUE(SUBSTITUTE(TRIM('수출입 실적(신성질별)'!F251),",","")),"")</f>
        <v>1415907</v>
      </c>
    </row>
    <row r="248" customFormat="false" ht="15" hidden="false" customHeight="true" outlineLevel="0" collapsed="false">
      <c r="A248" s="11" t="str">
        <f aca="false">TRIM('수출입 실적(신성질별)'!A252)</f>
        <v>2025.03</v>
      </c>
      <c r="B248" s="17" t="n">
        <f aca="false">IFERROR(VALUE(LEFT($A248,4)),"")</f>
        <v>2025</v>
      </c>
      <c r="C248" s="17" t="n">
        <f aca="false">IFERROR(VALUE(RIGHT($A248,2)),"")</f>
        <v>3</v>
      </c>
      <c r="D248" s="17" t="n">
        <f aca="false">IFERROR(ROUNDUP($C248/3,0),"")</f>
        <v>1</v>
      </c>
      <c r="E248" s="11" t="str">
        <f aca="false">TRIM('수출입 실적(신성질별)'!B252)</f>
        <v>나.섬유류</v>
      </c>
      <c r="F248" s="18" t="n">
        <f aca="false">IFERROR(VALUE(SUBSTITUTE(TRIM('수출입 실적(신성질별)'!C252),",","")),"")</f>
        <v>123501.8</v>
      </c>
      <c r="G248" s="19" t="n">
        <f aca="false">IFERROR(VALUE(SUBSTITUTE(TRIM('수출입 실적(신성질별)'!D252),",","")),"")</f>
        <v>579228</v>
      </c>
      <c r="H248" s="18" t="n">
        <f aca="false">IFERROR(VALUE(SUBSTITUTE(TRIM('수출입 실적(신성질별)'!E252),",","")),"")</f>
        <v>102609.7</v>
      </c>
      <c r="I248" s="19" t="n">
        <f aca="false">IFERROR(VALUE(SUBSTITUTE(TRIM('수출입 실적(신성질별)'!F252),",","")),"")</f>
        <v>339642</v>
      </c>
    </row>
    <row r="249" customFormat="false" ht="15" hidden="false" customHeight="true" outlineLevel="0" collapsed="false">
      <c r="A249" s="11" t="str">
        <f aca="false">TRIM('수출입 실적(신성질별)'!A253)</f>
        <v>2025.03</v>
      </c>
      <c r="B249" s="17" t="n">
        <f aca="false">IFERROR(VALUE(LEFT($A249,4)),"")</f>
        <v>2025</v>
      </c>
      <c r="C249" s="17" t="n">
        <f aca="false">IFERROR(VALUE(RIGHT($A249,2)),"")</f>
        <v>3</v>
      </c>
      <c r="D249" s="17" t="n">
        <f aca="false">IFERROR(ROUNDUP($C249/3,0),"")</f>
        <v>1</v>
      </c>
      <c r="E249" s="11" t="str">
        <f aca="false">TRIM('수출입 실적(신성질별)'!B253)</f>
        <v>다.광산물</v>
      </c>
      <c r="F249" s="18" t="n">
        <f aca="false">IFERROR(VALUE(SUBSTITUTE(TRIM('수출입 실적(신성질별)'!C253),",","")),"")</f>
        <v>5459519.2</v>
      </c>
      <c r="G249" s="19" t="n">
        <f aca="false">IFERROR(VALUE(SUBSTITUTE(TRIM('수출입 실적(신성질별)'!D253),",","")),"")</f>
        <v>3990034</v>
      </c>
      <c r="H249" s="18" t="n">
        <f aca="false">IFERROR(VALUE(SUBSTITUTE(TRIM('수출입 실적(신성질별)'!E253),",","")),"")</f>
        <v>32895702.5</v>
      </c>
      <c r="I249" s="19" t="n">
        <f aca="false">IFERROR(VALUE(SUBSTITUTE(TRIM('수출입 실적(신성질별)'!F253),",","")),"")</f>
        <v>14959089</v>
      </c>
    </row>
    <row r="250" customFormat="false" ht="15" hidden="false" customHeight="true" outlineLevel="0" collapsed="false">
      <c r="A250" s="11" t="str">
        <f aca="false">TRIM('수출입 실적(신성질별)'!A254)</f>
        <v>2025.03</v>
      </c>
      <c r="B250" s="17" t="n">
        <f aca="false">IFERROR(VALUE(LEFT($A250,4)),"")</f>
        <v>2025</v>
      </c>
      <c r="C250" s="17" t="n">
        <f aca="false">IFERROR(VALUE(RIGHT($A250,2)),"")</f>
        <v>3</v>
      </c>
      <c r="D250" s="17" t="n">
        <f aca="false">IFERROR(ROUNDUP($C250/3,0),"")</f>
        <v>1</v>
      </c>
      <c r="E250" s="11" t="str">
        <f aca="false">TRIM('수출입 실적(신성질별)'!B254)</f>
        <v>라.철강 및 금속제품</v>
      </c>
      <c r="F250" s="18" t="n">
        <f aca="false">IFERROR(VALUE(SUBSTITUTE(TRIM('수출입 실적(신성질별)'!C254),",","")),"")</f>
        <v>2530240.7</v>
      </c>
      <c r="G250" s="19" t="n">
        <f aca="false">IFERROR(VALUE(SUBSTITUTE(TRIM('수출입 실적(신성질별)'!D254),",","")),"")</f>
        <v>3234465</v>
      </c>
      <c r="H250" s="18" t="n">
        <f aca="false">IFERROR(VALUE(SUBSTITUTE(TRIM('수출입 실적(신성질별)'!E254),",","")),"")</f>
        <v>1565993.5</v>
      </c>
      <c r="I250" s="19" t="n">
        <f aca="false">IFERROR(VALUE(SUBSTITUTE(TRIM('수출입 실적(신성질별)'!F254),",","")),"")</f>
        <v>2658935</v>
      </c>
    </row>
    <row r="251" customFormat="false" ht="15" hidden="false" customHeight="true" outlineLevel="0" collapsed="false">
      <c r="A251" s="11" t="str">
        <f aca="false">TRIM('수출입 실적(신성질별)'!A255)</f>
        <v>2025.03</v>
      </c>
      <c r="B251" s="17" t="n">
        <f aca="false">IFERROR(VALUE(LEFT($A251,4)),"")</f>
        <v>2025</v>
      </c>
      <c r="C251" s="17" t="n">
        <f aca="false">IFERROR(VALUE(RIGHT($A251,2)),"")</f>
        <v>3</v>
      </c>
      <c r="D251" s="17" t="n">
        <f aca="false">IFERROR(ROUNDUP($C251/3,0),"")</f>
        <v>1</v>
      </c>
      <c r="E251" s="11" t="str">
        <f aca="false">TRIM('수출입 실적(신성질별)'!B255)</f>
        <v>마.화학공업제품</v>
      </c>
      <c r="F251" s="18" t="n">
        <f aca="false">IFERROR(VALUE(SUBSTITUTE(TRIM('수출입 실적(신성질별)'!C255),",","")),"")</f>
        <v>4016156.9</v>
      </c>
      <c r="G251" s="19" t="n">
        <f aca="false">IFERROR(VALUE(SUBSTITUTE(TRIM('수출입 실적(신성질별)'!D255),",","")),"")</f>
        <v>7120177</v>
      </c>
      <c r="H251" s="18" t="n">
        <f aca="false">IFERROR(VALUE(SUBSTITUTE(TRIM('수출입 실적(신성질별)'!E255),",","")),"")</f>
        <v>1606994.9</v>
      </c>
      <c r="I251" s="19" t="n">
        <f aca="false">IFERROR(VALUE(SUBSTITUTE(TRIM('수출입 실적(신성질별)'!F255),",","")),"")</f>
        <v>4519799</v>
      </c>
    </row>
    <row r="252" customFormat="false" ht="15" hidden="false" customHeight="true" outlineLevel="0" collapsed="false">
      <c r="A252" s="11" t="str">
        <f aca="false">TRIM('수출입 실적(신성질별)'!A256)</f>
        <v>2025.03</v>
      </c>
      <c r="B252" s="17" t="n">
        <f aca="false">IFERROR(VALUE(LEFT($A252,4)),"")</f>
        <v>2025</v>
      </c>
      <c r="C252" s="17" t="n">
        <f aca="false">IFERROR(VALUE(RIGHT($A252,2)),"")</f>
        <v>3</v>
      </c>
      <c r="D252" s="17" t="n">
        <f aca="false">IFERROR(ROUNDUP($C252/3,0),"")</f>
        <v>1</v>
      </c>
      <c r="E252" s="11" t="str">
        <f aca="false">TRIM('수출입 실적(신성질별)'!B256)</f>
        <v>바.기타 원자재</v>
      </c>
      <c r="F252" s="18" t="n">
        <f aca="false">IFERROR(VALUE(SUBSTITUTE(TRIM('수출입 실적(신성질별)'!C256),",","")),"")</f>
        <v>2895.4</v>
      </c>
      <c r="G252" s="19" t="n">
        <f aca="false">IFERROR(VALUE(SUBSTITUTE(TRIM('수출입 실적(신성질별)'!D256),",","")),"")</f>
        <v>10791</v>
      </c>
      <c r="H252" s="18" t="n">
        <f aca="false">IFERROR(VALUE(SUBSTITUTE(TRIM('수출입 실적(신성질별)'!E256),",","")),"")</f>
        <v>2714.7</v>
      </c>
      <c r="I252" s="19" t="n">
        <f aca="false">IFERROR(VALUE(SUBSTITUTE(TRIM('수출입 실적(신성질별)'!F256),",","")),"")</f>
        <v>5816</v>
      </c>
    </row>
    <row r="253" customFormat="false" ht="15" hidden="false" customHeight="true" outlineLevel="0" collapsed="false">
      <c r="A253" s="11" t="str">
        <f aca="false">TRIM('수출입 실적(신성질별)'!A257)</f>
        <v>2025.03</v>
      </c>
      <c r="B253" s="17" t="n">
        <f aca="false">IFERROR(VALUE(LEFT($A253,4)),"")</f>
        <v>2025</v>
      </c>
      <c r="C253" s="17" t="n">
        <f aca="false">IFERROR(VALUE(RIGHT($A253,2)),"")</f>
        <v>3</v>
      </c>
      <c r="D253" s="17" t="n">
        <f aca="false">IFERROR(ROUNDUP($C253/3,0),"")</f>
        <v>1</v>
      </c>
      <c r="E253" s="11" t="str">
        <f aca="false">TRIM('수출입 실적(신성질별)'!B257)</f>
        <v>3.자본재</v>
      </c>
      <c r="F253" s="18" t="n">
        <f aca="false">IFERROR(VALUE(SUBSTITUTE(TRIM('수출입 실적(신성질별)'!C257),",","")),"")</f>
        <v>2265243.3</v>
      </c>
      <c r="G253" s="19" t="n">
        <f aca="false">IFERROR(VALUE(SUBSTITUTE(TRIM('수출입 실적(신성질별)'!D257),",","")),"")</f>
        <v>34287150</v>
      </c>
      <c r="H253" s="18" t="n">
        <f aca="false">IFERROR(VALUE(SUBSTITUTE(TRIM('수출입 실적(신성질별)'!E257),",","")),"")</f>
        <v>1174798.4</v>
      </c>
      <c r="I253" s="19" t="n">
        <f aca="false">IFERROR(VALUE(SUBSTITUTE(TRIM('수출입 실적(신성질별)'!F257),",","")),"")</f>
        <v>22094767</v>
      </c>
    </row>
    <row r="254" customFormat="false" ht="15" hidden="false" customHeight="true" outlineLevel="0" collapsed="false">
      <c r="A254" s="11" t="str">
        <f aca="false">TRIM('수출입 실적(신성질별)'!A258)</f>
        <v>2025.03</v>
      </c>
      <c r="B254" s="17" t="n">
        <f aca="false">IFERROR(VALUE(LEFT($A254,4)),"")</f>
        <v>2025</v>
      </c>
      <c r="C254" s="17" t="n">
        <f aca="false">IFERROR(VALUE(RIGHT($A254,2)),"")</f>
        <v>3</v>
      </c>
      <c r="D254" s="17" t="n">
        <f aca="false">IFERROR(ROUNDUP($C254/3,0),"")</f>
        <v>1</v>
      </c>
      <c r="E254" s="11" t="str">
        <f aca="false">TRIM('수출입 실적(신성질별)'!B258)</f>
        <v>가.수송장비</v>
      </c>
      <c r="F254" s="18" t="n">
        <f aca="false">IFERROR(VALUE(SUBSTITUTE(TRIM('수출입 실적(신성질별)'!C258),",","")),"")</f>
        <v>1535479.2</v>
      </c>
      <c r="G254" s="19" t="n">
        <f aca="false">IFERROR(VALUE(SUBSTITUTE(TRIM('수출입 실적(신성질별)'!D258),",","")),"")</f>
        <v>7179975</v>
      </c>
      <c r="H254" s="18" t="n">
        <f aca="false">IFERROR(VALUE(SUBSTITUTE(TRIM('수출입 실적(신성질별)'!E258),",","")),"")</f>
        <v>559498.8</v>
      </c>
      <c r="I254" s="19" t="n">
        <f aca="false">IFERROR(VALUE(SUBSTITUTE(TRIM('수출입 실적(신성질별)'!F258),",","")),"")</f>
        <v>2098372</v>
      </c>
    </row>
    <row r="255" customFormat="false" ht="15" hidden="false" customHeight="true" outlineLevel="0" collapsed="false">
      <c r="A255" s="11" t="str">
        <f aca="false">TRIM('수출입 실적(신성질별)'!A259)</f>
        <v>2025.03</v>
      </c>
      <c r="B255" s="17" t="n">
        <f aca="false">IFERROR(VALUE(LEFT($A255,4)),"")</f>
        <v>2025</v>
      </c>
      <c r="C255" s="17" t="n">
        <f aca="false">IFERROR(VALUE(RIGHT($A255,2)),"")</f>
        <v>3</v>
      </c>
      <c r="D255" s="17" t="n">
        <f aca="false">IFERROR(ROUNDUP($C255/3,0),"")</f>
        <v>1</v>
      </c>
      <c r="E255" s="11" t="str">
        <f aca="false">TRIM('수출입 실적(신성질별)'!B259)</f>
        <v>나.기계류</v>
      </c>
      <c r="F255" s="18" t="n">
        <f aca="false">IFERROR(VALUE(SUBSTITUTE(TRIM('수출입 실적(신성질별)'!C259),",","")),"")</f>
        <v>689506.3</v>
      </c>
      <c r="G255" s="19" t="n">
        <f aca="false">IFERROR(VALUE(SUBSTITUTE(TRIM('수출입 실적(신성질별)'!D259),",","")),"")</f>
        <v>8891991</v>
      </c>
      <c r="H255" s="18" t="n">
        <f aca="false">IFERROR(VALUE(SUBSTITUTE(TRIM('수출입 실적(신성질별)'!E259),",","")),"")</f>
        <v>555622.5</v>
      </c>
      <c r="I255" s="19" t="n">
        <f aca="false">IFERROR(VALUE(SUBSTITUTE(TRIM('수출입 실적(신성질별)'!F259),",","")),"")</f>
        <v>10192667</v>
      </c>
    </row>
    <row r="256" customFormat="false" ht="15" hidden="false" customHeight="true" outlineLevel="0" collapsed="false">
      <c r="A256" s="11" t="str">
        <f aca="false">TRIM('수출입 실적(신성질별)'!A260)</f>
        <v>2025.03</v>
      </c>
      <c r="B256" s="17" t="n">
        <f aca="false">IFERROR(VALUE(LEFT($A256,4)),"")</f>
        <v>2025</v>
      </c>
      <c r="C256" s="17" t="n">
        <f aca="false">IFERROR(VALUE(RIGHT($A256,2)),"")</f>
        <v>3</v>
      </c>
      <c r="D256" s="17" t="n">
        <f aca="false">IFERROR(ROUNDUP($C256/3,0),"")</f>
        <v>1</v>
      </c>
      <c r="E256" s="11" t="str">
        <f aca="false">TRIM('수출입 실적(신성질별)'!B260)</f>
        <v>다.IT제품</v>
      </c>
      <c r="F256" s="18" t="n">
        <f aca="false">IFERROR(VALUE(SUBSTITUTE(TRIM('수출입 실적(신성질별)'!C260),",","")),"")</f>
        <v>11171.2</v>
      </c>
      <c r="G256" s="19" t="n">
        <f aca="false">IFERROR(VALUE(SUBSTITUTE(TRIM('수출입 실적(신성질별)'!D260),",","")),"")</f>
        <v>3719157</v>
      </c>
      <c r="H256" s="18" t="n">
        <f aca="false">IFERROR(VALUE(SUBSTITUTE(TRIM('수출입 실적(신성질별)'!E260),",","")),"")</f>
        <v>17250.3</v>
      </c>
      <c r="I256" s="19" t="n">
        <f aca="false">IFERROR(VALUE(SUBSTITUTE(TRIM('수출입 실적(신성질별)'!F260),",","")),"")</f>
        <v>2335676</v>
      </c>
    </row>
    <row r="257" customFormat="false" ht="15" hidden="false" customHeight="true" outlineLevel="0" collapsed="false">
      <c r="A257" s="11" t="str">
        <f aca="false">TRIM('수출입 실적(신성질별)'!A261)</f>
        <v>2025.03</v>
      </c>
      <c r="B257" s="17" t="n">
        <f aca="false">IFERROR(VALUE(LEFT($A257,4)),"")</f>
        <v>2025</v>
      </c>
      <c r="C257" s="17" t="n">
        <f aca="false">IFERROR(VALUE(RIGHT($A257,2)),"")</f>
        <v>3</v>
      </c>
      <c r="D257" s="17" t="n">
        <f aca="false">IFERROR(ROUNDUP($C257/3,0),"")</f>
        <v>1</v>
      </c>
      <c r="E257" s="11" t="str">
        <f aca="false">TRIM('수출입 실적(신성질별)'!B261)</f>
        <v>라.IT부품</v>
      </c>
      <c r="F257" s="18" t="n">
        <f aca="false">IFERROR(VALUE(SUBSTITUTE(TRIM('수출입 실적(신성질별)'!C261),",","")),"")</f>
        <v>29086.7</v>
      </c>
      <c r="G257" s="19" t="n">
        <f aca="false">IFERROR(VALUE(SUBSTITUTE(TRIM('수출입 실적(신성질별)'!D261),",","")),"")</f>
        <v>14496027</v>
      </c>
      <c r="H257" s="18" t="n">
        <f aca="false">IFERROR(VALUE(SUBSTITUTE(TRIM('수출입 실적(신성질별)'!E261),",","")),"")</f>
        <v>42426.8</v>
      </c>
      <c r="I257" s="19" t="n">
        <f aca="false">IFERROR(VALUE(SUBSTITUTE(TRIM('수출입 실적(신성질별)'!F261),",","")),"")</f>
        <v>7468052</v>
      </c>
    </row>
    <row r="258" customFormat="false" ht="15" hidden="false" customHeight="true" outlineLevel="0" collapsed="false">
      <c r="A258" s="11" t="str">
        <f aca="false">TRIM('수출입 실적(신성질별)'!A262)</f>
        <v>2025.04</v>
      </c>
      <c r="B258" s="17" t="n">
        <f aca="false">IFERROR(VALUE(LEFT($A258,4)),"")</f>
        <v>2025</v>
      </c>
      <c r="C258" s="17" t="n">
        <f aca="false">IFERROR(VALUE(RIGHT($A258,2)),"")</f>
        <v>4</v>
      </c>
      <c r="D258" s="17" t="n">
        <f aca="false">IFERROR(ROUNDUP($C258/3,0),"")</f>
        <v>2</v>
      </c>
      <c r="E258" s="11" t="str">
        <f aca="false">TRIM('수출입 실적(신성질별)'!B262)</f>
        <v>1.소비재</v>
      </c>
      <c r="F258" s="18" t="n">
        <f aca="false">IFERROR(VALUE(SUBSTITUTE(TRIM('수출입 실적(신성질별)'!C262),",","")),"")</f>
        <v>1040321.5</v>
      </c>
      <c r="G258" s="19" t="n">
        <f aca="false">IFERROR(VALUE(SUBSTITUTE(TRIM('수출입 실적(신성질별)'!D262),",","")),"")</f>
        <v>8915915</v>
      </c>
      <c r="H258" s="18" t="n">
        <f aca="false">IFERROR(VALUE(SUBSTITUTE(TRIM('수출입 실적(신성질별)'!E262),",","")),"")</f>
        <v>2240257.3</v>
      </c>
      <c r="I258" s="19" t="n">
        <f aca="false">IFERROR(VALUE(SUBSTITUTE(TRIM('수출입 실적(신성질별)'!F262),",","")),"")</f>
        <v>7650462</v>
      </c>
    </row>
    <row r="259" customFormat="false" ht="15" hidden="false" customHeight="true" outlineLevel="0" collapsed="false">
      <c r="A259" s="11" t="str">
        <f aca="false">TRIM('수출입 실적(신성질별)'!A263)</f>
        <v>2025.04</v>
      </c>
      <c r="B259" s="17" t="n">
        <f aca="false">IFERROR(VALUE(LEFT($A259,4)),"")</f>
        <v>2025</v>
      </c>
      <c r="C259" s="17" t="n">
        <f aca="false">IFERROR(VALUE(RIGHT($A259,2)),"")</f>
        <v>4</v>
      </c>
      <c r="D259" s="17" t="n">
        <f aca="false">IFERROR(ROUNDUP($C259/3,0),"")</f>
        <v>2</v>
      </c>
      <c r="E259" s="11" t="str">
        <f aca="false">TRIM('수출입 실적(신성질별)'!B263)</f>
        <v>가.직접소비재</v>
      </c>
      <c r="F259" s="18" t="n">
        <f aca="false">IFERROR(VALUE(SUBSTITUTE(TRIM('수출입 실적(신성질별)'!C263),",","")),"")</f>
        <v>331031.9</v>
      </c>
      <c r="G259" s="19" t="n">
        <f aca="false">IFERROR(VALUE(SUBSTITUTE(TRIM('수출입 실적(신성질별)'!D263),",","")),"")</f>
        <v>1044605</v>
      </c>
      <c r="H259" s="18" t="n">
        <f aca="false">IFERROR(VALUE(SUBSTITUTE(TRIM('수출입 실적(신성질별)'!E263),",","")),"")</f>
        <v>1826266.3</v>
      </c>
      <c r="I259" s="19" t="n">
        <f aca="false">IFERROR(VALUE(SUBSTITUTE(TRIM('수출입 실적(신성질별)'!F263),",","")),"")</f>
        <v>2912570</v>
      </c>
    </row>
    <row r="260" customFormat="false" ht="15" hidden="false" customHeight="true" outlineLevel="0" collapsed="false">
      <c r="A260" s="11" t="str">
        <f aca="false">TRIM('수출입 실적(신성질별)'!A264)</f>
        <v>2025.04</v>
      </c>
      <c r="B260" s="17" t="n">
        <f aca="false">IFERROR(VALUE(LEFT($A260,4)),"")</f>
        <v>2025</v>
      </c>
      <c r="C260" s="17" t="n">
        <f aca="false">IFERROR(VALUE(RIGHT($A260,2)),"")</f>
        <v>4</v>
      </c>
      <c r="D260" s="17" t="n">
        <f aca="false">IFERROR(ROUNDUP($C260/3,0),"")</f>
        <v>2</v>
      </c>
      <c r="E260" s="11" t="str">
        <f aca="false">TRIM('수출입 실적(신성질별)'!B264)</f>
        <v>나.내구소비재</v>
      </c>
      <c r="F260" s="18" t="n">
        <f aca="false">IFERROR(VALUE(SUBSTITUTE(TRIM('수출입 실적(신성질별)'!C264),",","")),"")</f>
        <v>525161.6</v>
      </c>
      <c r="G260" s="19" t="n">
        <f aca="false">IFERROR(VALUE(SUBSTITUTE(TRIM('수출입 실적(신성질별)'!D264),",","")),"")</f>
        <v>6054444</v>
      </c>
      <c r="H260" s="18" t="n">
        <f aca="false">IFERROR(VALUE(SUBSTITUTE(TRIM('수출입 실적(신성질별)'!E264),",","")),"")</f>
        <v>241074.9</v>
      </c>
      <c r="I260" s="19" t="n">
        <f aca="false">IFERROR(VALUE(SUBSTITUTE(TRIM('수출입 실적(신성질별)'!F264),",","")),"")</f>
        <v>2433623</v>
      </c>
    </row>
    <row r="261" customFormat="false" ht="15" hidden="false" customHeight="true" outlineLevel="0" collapsed="false">
      <c r="A261" s="11" t="str">
        <f aca="false">TRIM('수출입 실적(신성질별)'!A265)</f>
        <v>2025.04</v>
      </c>
      <c r="B261" s="17" t="n">
        <f aca="false">IFERROR(VALUE(LEFT($A261,4)),"")</f>
        <v>2025</v>
      </c>
      <c r="C261" s="17" t="n">
        <f aca="false">IFERROR(VALUE(RIGHT($A261,2)),"")</f>
        <v>4</v>
      </c>
      <c r="D261" s="17" t="n">
        <f aca="false">IFERROR(ROUNDUP($C261/3,0),"")</f>
        <v>2</v>
      </c>
      <c r="E261" s="11" t="str">
        <f aca="false">TRIM('수출입 실적(신성질별)'!B265)</f>
        <v>다.비내구소비재</v>
      </c>
      <c r="F261" s="18" t="n">
        <f aca="false">IFERROR(VALUE(SUBSTITUTE(TRIM('수출입 실적(신성질별)'!C265),",","")),"")</f>
        <v>182262.5</v>
      </c>
      <c r="G261" s="19" t="n">
        <f aca="false">IFERROR(VALUE(SUBSTITUTE(TRIM('수출입 실적(신성질별)'!D265),",","")),"")</f>
        <v>1814143</v>
      </c>
      <c r="H261" s="18" t="n">
        <f aca="false">IFERROR(VALUE(SUBSTITUTE(TRIM('수출입 실적(신성질별)'!E265),",","")),"")</f>
        <v>172916.1</v>
      </c>
      <c r="I261" s="19" t="n">
        <f aca="false">IFERROR(VALUE(SUBSTITUTE(TRIM('수출입 실적(신성질별)'!F265),",","")),"")</f>
        <v>2304269</v>
      </c>
    </row>
    <row r="262" customFormat="false" ht="15" hidden="false" customHeight="true" outlineLevel="0" collapsed="false">
      <c r="A262" s="11" t="str">
        <f aca="false">TRIM('수출입 실적(신성질별)'!A266)</f>
        <v>2025.04</v>
      </c>
      <c r="B262" s="17" t="n">
        <f aca="false">IFERROR(VALUE(LEFT($A262,4)),"")</f>
        <v>2025</v>
      </c>
      <c r="C262" s="17" t="n">
        <f aca="false">IFERROR(VALUE(RIGHT($A262,2)),"")</f>
        <v>4</v>
      </c>
      <c r="D262" s="17" t="n">
        <f aca="false">IFERROR(ROUNDUP($C262/3,0),"")</f>
        <v>2</v>
      </c>
      <c r="E262" s="11" t="str">
        <f aca="false">TRIM('수출입 실적(신성질별)'!B266)</f>
        <v>라.간이세율적용분</v>
      </c>
      <c r="F262" s="18" t="n">
        <f aca="false">IFERROR(VALUE(SUBSTITUTE(TRIM('수출입 실적(신성질별)'!C266),",","")),"")</f>
        <v>1865.5</v>
      </c>
      <c r="G262" s="19" t="n">
        <f aca="false">IFERROR(VALUE(SUBSTITUTE(TRIM('수출입 실적(신성질별)'!D266),",","")),"")</f>
        <v>2722</v>
      </c>
      <c r="H262" s="18" t="n">
        <f aca="false">IFERROR(VALUE(SUBSTITUTE(TRIM('수출입 실적(신성질별)'!E266),",","")),"")</f>
        <v>0</v>
      </c>
      <c r="I262" s="19" t="n">
        <f aca="false">IFERROR(VALUE(SUBSTITUTE(TRIM('수출입 실적(신성질별)'!F266),",","")),"")</f>
        <v>0</v>
      </c>
    </row>
    <row r="263" customFormat="false" ht="15" hidden="false" customHeight="true" outlineLevel="0" collapsed="false">
      <c r="A263" s="11" t="str">
        <f aca="false">TRIM('수출입 실적(신성질별)'!A267)</f>
        <v>2025.04</v>
      </c>
      <c r="B263" s="17" t="n">
        <f aca="false">IFERROR(VALUE(LEFT($A263,4)),"")</f>
        <v>2025</v>
      </c>
      <c r="C263" s="17" t="n">
        <f aca="false">IFERROR(VALUE(RIGHT($A263,2)),"")</f>
        <v>4</v>
      </c>
      <c r="D263" s="17" t="n">
        <f aca="false">IFERROR(ROUNDUP($C263/3,0),"")</f>
        <v>2</v>
      </c>
      <c r="E263" s="11" t="str">
        <f aca="false">TRIM('수출입 실적(신성질별)'!B267)</f>
        <v>2.원자재</v>
      </c>
      <c r="F263" s="18" t="n">
        <f aca="false">IFERROR(VALUE(SUBSTITUTE(TRIM('수출입 실적(신성질별)'!C267),",","")),"")</f>
        <v>14460203.1</v>
      </c>
      <c r="G263" s="19" t="n">
        <f aca="false">IFERROR(VALUE(SUBSTITUTE(TRIM('수출입 실적(신성질별)'!D267),",","")),"")</f>
        <v>16732501</v>
      </c>
      <c r="H263" s="18" t="n">
        <f aca="false">IFERROR(VALUE(SUBSTITUTE(TRIM('수출입 실적(신성질별)'!E267),",","")),"")</f>
        <v>41912360.2</v>
      </c>
      <c r="I263" s="19" t="n">
        <f aca="false">IFERROR(VALUE(SUBSTITUTE(TRIM('수출입 실적(신성질별)'!F267),",","")),"")</f>
        <v>24559602</v>
      </c>
    </row>
    <row r="264" customFormat="false" ht="15" hidden="false" customHeight="true" outlineLevel="0" collapsed="false">
      <c r="A264" s="11" t="str">
        <f aca="false">TRIM('수출입 실적(신성질별)'!A268)</f>
        <v>2025.04</v>
      </c>
      <c r="B264" s="17" t="n">
        <f aca="false">IFERROR(VALUE(LEFT($A264,4)),"")</f>
        <v>2025</v>
      </c>
      <c r="C264" s="17" t="n">
        <f aca="false">IFERROR(VALUE(RIGHT($A264,2)),"")</f>
        <v>4</v>
      </c>
      <c r="D264" s="17" t="n">
        <f aca="false">IFERROR(ROUNDUP($C264/3,0),"")</f>
        <v>2</v>
      </c>
      <c r="E264" s="11" t="str">
        <f aca="false">TRIM('수출입 실적(신성질별)'!B268)</f>
        <v>가.동식물성 연·원료</v>
      </c>
      <c r="F264" s="18" t="n">
        <f aca="false">IFERROR(VALUE(SUBSTITUTE(TRIM('수출입 실적(신성질별)'!C268),",","")),"")</f>
        <v>398915</v>
      </c>
      <c r="G264" s="19" t="n">
        <f aca="false">IFERROR(VALUE(SUBSTITUTE(TRIM('수출입 실적(신성질별)'!D268),",","")),"")</f>
        <v>472049</v>
      </c>
      <c r="H264" s="18" t="n">
        <f aca="false">IFERROR(VALUE(SUBSTITUTE(TRIM('수출입 실적(신성질별)'!E268),",","")),"")</f>
        <v>2941070.2</v>
      </c>
      <c r="I264" s="19" t="n">
        <f aca="false">IFERROR(VALUE(SUBSTITUTE(TRIM('수출입 실적(신성질별)'!F268),",","")),"")</f>
        <v>1568702</v>
      </c>
    </row>
    <row r="265" customFormat="false" ht="15" hidden="false" customHeight="true" outlineLevel="0" collapsed="false">
      <c r="A265" s="11" t="str">
        <f aca="false">TRIM('수출입 실적(신성질별)'!A269)</f>
        <v>2025.04</v>
      </c>
      <c r="B265" s="17" t="n">
        <f aca="false">IFERROR(VALUE(LEFT($A265,4)),"")</f>
        <v>2025</v>
      </c>
      <c r="C265" s="17" t="n">
        <f aca="false">IFERROR(VALUE(RIGHT($A265,2)),"")</f>
        <v>4</v>
      </c>
      <c r="D265" s="17" t="n">
        <f aca="false">IFERROR(ROUNDUP($C265/3,0),"")</f>
        <v>2</v>
      </c>
      <c r="E265" s="11" t="str">
        <f aca="false">TRIM('수출입 실적(신성질별)'!B269)</f>
        <v>나.섬유류</v>
      </c>
      <c r="F265" s="18" t="n">
        <f aca="false">IFERROR(VALUE(SUBSTITUTE(TRIM('수출입 실적(신성질별)'!C269),",","")),"")</f>
        <v>133909.8</v>
      </c>
      <c r="G265" s="19" t="n">
        <f aca="false">IFERROR(VALUE(SUBSTITUTE(TRIM('수출입 실적(신성질별)'!D269),",","")),"")</f>
        <v>649050</v>
      </c>
      <c r="H265" s="18" t="n">
        <f aca="false">IFERROR(VALUE(SUBSTITUTE(TRIM('수출입 실적(신성질별)'!E269),",","")),"")</f>
        <v>117287.3</v>
      </c>
      <c r="I265" s="19" t="n">
        <f aca="false">IFERROR(VALUE(SUBSTITUTE(TRIM('수출입 실적(신성질별)'!F269),",","")),"")</f>
        <v>368082</v>
      </c>
    </row>
    <row r="266" customFormat="false" ht="15" hidden="false" customHeight="true" outlineLevel="0" collapsed="false">
      <c r="A266" s="11" t="str">
        <f aca="false">TRIM('수출입 실적(신성질별)'!A270)</f>
        <v>2025.04</v>
      </c>
      <c r="B266" s="17" t="n">
        <f aca="false">IFERROR(VALUE(LEFT($A266,4)),"")</f>
        <v>2025</v>
      </c>
      <c r="C266" s="17" t="n">
        <f aca="false">IFERROR(VALUE(RIGHT($A266,2)),"")</f>
        <v>4</v>
      </c>
      <c r="D266" s="17" t="n">
        <f aca="false">IFERROR(ROUNDUP($C266/3,0),"")</f>
        <v>2</v>
      </c>
      <c r="E266" s="11" t="str">
        <f aca="false">TRIM('수출입 실적(신성질별)'!B270)</f>
        <v>다.광산물</v>
      </c>
      <c r="F266" s="18" t="n">
        <f aca="false">IFERROR(VALUE(SUBSTITUTE(TRIM('수출입 실적(신성질별)'!C270),",","")),"")</f>
        <v>6647507.1</v>
      </c>
      <c r="G266" s="19" t="n">
        <f aca="false">IFERROR(VALUE(SUBSTITUTE(TRIM('수출입 실적(신성질별)'!D270),",","")),"")</f>
        <v>4530019</v>
      </c>
      <c r="H266" s="18" t="n">
        <f aca="false">IFERROR(VALUE(SUBSTITUTE(TRIM('수출입 실적(신성질별)'!E270),",","")),"")</f>
        <v>35083281</v>
      </c>
      <c r="I266" s="19" t="n">
        <f aca="false">IFERROR(VALUE(SUBSTITUTE(TRIM('수출입 실적(신성질별)'!F270),",","")),"")</f>
        <v>14637793</v>
      </c>
    </row>
    <row r="267" customFormat="false" ht="15" hidden="false" customHeight="true" outlineLevel="0" collapsed="false">
      <c r="A267" s="11" t="str">
        <f aca="false">TRIM('수출입 실적(신성질별)'!A271)</f>
        <v>2025.04</v>
      </c>
      <c r="B267" s="17" t="n">
        <f aca="false">IFERROR(VALUE(LEFT($A267,4)),"")</f>
        <v>2025</v>
      </c>
      <c r="C267" s="17" t="n">
        <f aca="false">IFERROR(VALUE(RIGHT($A267,2)),"")</f>
        <v>4</v>
      </c>
      <c r="D267" s="17" t="n">
        <f aca="false">IFERROR(ROUNDUP($C267/3,0),"")</f>
        <v>2</v>
      </c>
      <c r="E267" s="11" t="str">
        <f aca="false">TRIM('수출입 실적(신성질별)'!B271)</f>
        <v>라.철강 및 금속제품</v>
      </c>
      <c r="F267" s="18" t="n">
        <f aca="false">IFERROR(VALUE(SUBSTITUTE(TRIM('수출입 실적(신성질별)'!C271),",","")),"")</f>
        <v>2952974.4</v>
      </c>
      <c r="G267" s="19" t="n">
        <f aca="false">IFERROR(VALUE(SUBSTITUTE(TRIM('수출입 실적(신성질별)'!D271),",","")),"")</f>
        <v>3652150</v>
      </c>
      <c r="H267" s="18" t="n">
        <f aca="false">IFERROR(VALUE(SUBSTITUTE(TRIM('수출입 실적(신성질별)'!E271),",","")),"")</f>
        <v>1848704</v>
      </c>
      <c r="I267" s="19" t="n">
        <f aca="false">IFERROR(VALUE(SUBSTITUTE(TRIM('수출입 실적(신성질별)'!F271),",","")),"")</f>
        <v>3025259</v>
      </c>
    </row>
    <row r="268" customFormat="false" ht="15" hidden="false" customHeight="true" outlineLevel="0" collapsed="false">
      <c r="A268" s="11" t="str">
        <f aca="false">TRIM('수출입 실적(신성질별)'!A272)</f>
        <v>2025.04</v>
      </c>
      <c r="B268" s="17" t="n">
        <f aca="false">IFERROR(VALUE(LEFT($A268,4)),"")</f>
        <v>2025</v>
      </c>
      <c r="C268" s="17" t="n">
        <f aca="false">IFERROR(VALUE(RIGHT($A268,2)),"")</f>
        <v>4</v>
      </c>
      <c r="D268" s="17" t="n">
        <f aca="false">IFERROR(ROUNDUP($C268/3,0),"")</f>
        <v>2</v>
      </c>
      <c r="E268" s="11" t="str">
        <f aca="false">TRIM('수출입 실적(신성질별)'!B272)</f>
        <v>마.화학공업제품</v>
      </c>
      <c r="F268" s="18" t="n">
        <f aca="false">IFERROR(VALUE(SUBSTITUTE(TRIM('수출입 실적(신성질별)'!C272),",","")),"")</f>
        <v>4324659.8</v>
      </c>
      <c r="G268" s="19" t="n">
        <f aca="false">IFERROR(VALUE(SUBSTITUTE(TRIM('수출입 실적(신성질별)'!D272),",","")),"")</f>
        <v>7419857</v>
      </c>
      <c r="H268" s="18" t="n">
        <f aca="false">IFERROR(VALUE(SUBSTITUTE(TRIM('수출입 실적(신성질별)'!E272),",","")),"")</f>
        <v>1918946.6</v>
      </c>
      <c r="I268" s="19" t="n">
        <f aca="false">IFERROR(VALUE(SUBSTITUTE(TRIM('수출입 실적(신성질별)'!F272),",","")),"")</f>
        <v>4951842</v>
      </c>
    </row>
    <row r="269" customFormat="false" ht="15" hidden="false" customHeight="true" outlineLevel="0" collapsed="false">
      <c r="A269" s="11" t="str">
        <f aca="false">TRIM('수출입 실적(신성질별)'!A273)</f>
        <v>2025.04</v>
      </c>
      <c r="B269" s="17" t="n">
        <f aca="false">IFERROR(VALUE(LEFT($A269,4)),"")</f>
        <v>2025</v>
      </c>
      <c r="C269" s="17" t="n">
        <f aca="false">IFERROR(VALUE(RIGHT($A269,2)),"")</f>
        <v>4</v>
      </c>
      <c r="D269" s="17" t="n">
        <f aca="false">IFERROR(ROUNDUP($C269/3,0),"")</f>
        <v>2</v>
      </c>
      <c r="E269" s="11" t="str">
        <f aca="false">TRIM('수출입 실적(신성질별)'!B273)</f>
        <v>바.기타 원자재</v>
      </c>
      <c r="F269" s="18" t="n">
        <f aca="false">IFERROR(VALUE(SUBSTITUTE(TRIM('수출입 실적(신성질별)'!C273),",","")),"")</f>
        <v>2236.9</v>
      </c>
      <c r="G269" s="19" t="n">
        <f aca="false">IFERROR(VALUE(SUBSTITUTE(TRIM('수출입 실적(신성질별)'!D273),",","")),"")</f>
        <v>9375</v>
      </c>
      <c r="H269" s="18" t="n">
        <f aca="false">IFERROR(VALUE(SUBSTITUTE(TRIM('수출입 실적(신성질별)'!E273),",","")),"")</f>
        <v>3071</v>
      </c>
      <c r="I269" s="19" t="n">
        <f aca="false">IFERROR(VALUE(SUBSTITUTE(TRIM('수출입 실적(신성질별)'!F273),",","")),"")</f>
        <v>7923</v>
      </c>
    </row>
    <row r="270" customFormat="false" ht="15" hidden="false" customHeight="true" outlineLevel="0" collapsed="false">
      <c r="A270" s="11" t="str">
        <f aca="false">TRIM('수출입 실적(신성질별)'!A274)</f>
        <v>2025.04</v>
      </c>
      <c r="B270" s="17" t="n">
        <f aca="false">IFERROR(VALUE(LEFT($A270,4)),"")</f>
        <v>2025</v>
      </c>
      <c r="C270" s="17" t="n">
        <f aca="false">IFERROR(VALUE(RIGHT($A270,2)),"")</f>
        <v>4</v>
      </c>
      <c r="D270" s="17" t="n">
        <f aca="false">IFERROR(ROUNDUP($C270/3,0),"")</f>
        <v>2</v>
      </c>
      <c r="E270" s="11" t="str">
        <f aca="false">TRIM('수출입 실적(신성질별)'!B274)</f>
        <v>3.자본재</v>
      </c>
      <c r="F270" s="18" t="n">
        <f aca="false">IFERROR(VALUE(SUBSTITUTE(TRIM('수출입 실적(신성질별)'!C274),",","")),"")</f>
        <v>2027280.3</v>
      </c>
      <c r="G270" s="19" t="n">
        <f aca="false">IFERROR(VALUE(SUBSTITUTE(TRIM('수출입 실적(신성질별)'!D274),",","")),"")</f>
        <v>32387330</v>
      </c>
      <c r="H270" s="18" t="n">
        <f aca="false">IFERROR(VALUE(SUBSTITUTE(TRIM('수출입 실적(신성질별)'!E274),",","")),"")</f>
        <v>1104012.6</v>
      </c>
      <c r="I270" s="19" t="n">
        <f aca="false">IFERROR(VALUE(SUBSTITUTE(TRIM('수출입 실적(신성질별)'!F274),",","")),"")</f>
        <v>21022652</v>
      </c>
    </row>
    <row r="271" customFormat="false" ht="15" hidden="false" customHeight="true" outlineLevel="0" collapsed="false">
      <c r="A271" s="11" t="str">
        <f aca="false">TRIM('수출입 실적(신성질별)'!A275)</f>
        <v>2025.04</v>
      </c>
      <c r="B271" s="17" t="n">
        <f aca="false">IFERROR(VALUE(LEFT($A271,4)),"")</f>
        <v>2025</v>
      </c>
      <c r="C271" s="17" t="n">
        <f aca="false">IFERROR(VALUE(RIGHT($A271,2)),"")</f>
        <v>4</v>
      </c>
      <c r="D271" s="17" t="n">
        <f aca="false">IFERROR(ROUNDUP($C271/3,0),"")</f>
        <v>2</v>
      </c>
      <c r="E271" s="11" t="str">
        <f aca="false">TRIM('수출입 실적(신성질별)'!B275)</f>
        <v>가.수송장비</v>
      </c>
      <c r="F271" s="18" t="n">
        <f aca="false">IFERROR(VALUE(SUBSTITUTE(TRIM('수출입 실적(신성질별)'!C275),",","")),"")</f>
        <v>1234876</v>
      </c>
      <c r="G271" s="19" t="n">
        <f aca="false">IFERROR(VALUE(SUBSTITUTE(TRIM('수출입 실적(신성질별)'!D275),",","")),"")</f>
        <v>6453424</v>
      </c>
      <c r="H271" s="18" t="n">
        <f aca="false">IFERROR(VALUE(SUBSTITUTE(TRIM('수출입 실적(신성질별)'!E275),",","")),"")</f>
        <v>451845.7</v>
      </c>
      <c r="I271" s="19" t="n">
        <f aca="false">IFERROR(VALUE(SUBSTITUTE(TRIM('수출입 실적(신성질별)'!F275),",","")),"")</f>
        <v>2487454</v>
      </c>
    </row>
    <row r="272" customFormat="false" ht="15" hidden="false" customHeight="true" outlineLevel="0" collapsed="false">
      <c r="A272" s="11" t="str">
        <f aca="false">TRIM('수출입 실적(신성질별)'!A276)</f>
        <v>2025.04</v>
      </c>
      <c r="B272" s="17" t="n">
        <f aca="false">IFERROR(VALUE(LEFT($A272,4)),"")</f>
        <v>2025</v>
      </c>
      <c r="C272" s="17" t="n">
        <f aca="false">IFERROR(VALUE(RIGHT($A272,2)),"")</f>
        <v>4</v>
      </c>
      <c r="D272" s="17" t="n">
        <f aca="false">IFERROR(ROUNDUP($C272/3,0),"")</f>
        <v>2</v>
      </c>
      <c r="E272" s="11" t="str">
        <f aca="false">TRIM('수출입 실적(신성질별)'!B276)</f>
        <v>나.기계류</v>
      </c>
      <c r="F272" s="18" t="n">
        <f aca="false">IFERROR(VALUE(SUBSTITUTE(TRIM('수출입 실적(신성질별)'!C276),",","")),"")</f>
        <v>748450.2</v>
      </c>
      <c r="G272" s="19" t="n">
        <f aca="false">IFERROR(VALUE(SUBSTITUTE(TRIM('수출입 실적(신성질별)'!D276),",","")),"")</f>
        <v>9531754</v>
      </c>
      <c r="H272" s="18" t="n">
        <f aca="false">IFERROR(VALUE(SUBSTITUTE(TRIM('수출입 실적(신성질별)'!E276),",","")),"")</f>
        <v>587518.2</v>
      </c>
      <c r="I272" s="19" t="n">
        <f aca="false">IFERROR(VALUE(SUBSTITUTE(TRIM('수출입 실적(신성질별)'!F276),",","")),"")</f>
        <v>9065877</v>
      </c>
    </row>
    <row r="273" customFormat="false" ht="15" hidden="false" customHeight="true" outlineLevel="0" collapsed="false">
      <c r="A273" s="11" t="str">
        <f aca="false">TRIM('수출입 실적(신성질별)'!A277)</f>
        <v>2025.04</v>
      </c>
      <c r="B273" s="17" t="n">
        <f aca="false">IFERROR(VALUE(LEFT($A273,4)),"")</f>
        <v>2025</v>
      </c>
      <c r="C273" s="17" t="n">
        <f aca="false">IFERROR(VALUE(RIGHT($A273,2)),"")</f>
        <v>4</v>
      </c>
      <c r="D273" s="17" t="n">
        <f aca="false">IFERROR(ROUNDUP($C273/3,0),"")</f>
        <v>2</v>
      </c>
      <c r="E273" s="11" t="str">
        <f aca="false">TRIM('수출입 실적(신성질별)'!B277)</f>
        <v>다.IT제품</v>
      </c>
      <c r="F273" s="18" t="n">
        <f aca="false">IFERROR(VALUE(SUBSTITUTE(TRIM('수출입 실적(신성질별)'!C277),",","")),"")</f>
        <v>12465.5</v>
      </c>
      <c r="G273" s="19" t="n">
        <f aca="false">IFERROR(VALUE(SUBSTITUTE(TRIM('수출입 실적(신성질별)'!D277),",","")),"")</f>
        <v>3238072</v>
      </c>
      <c r="H273" s="18" t="n">
        <f aca="false">IFERROR(VALUE(SUBSTITUTE(TRIM('수출입 실적(신성질별)'!E277),",","")),"")</f>
        <v>18976.9</v>
      </c>
      <c r="I273" s="19" t="n">
        <f aca="false">IFERROR(VALUE(SUBSTITUTE(TRIM('수출입 실적(신성질별)'!F277),",","")),"")</f>
        <v>2570046</v>
      </c>
    </row>
    <row r="274" customFormat="false" ht="15" hidden="false" customHeight="true" outlineLevel="0" collapsed="false">
      <c r="A274" s="11" t="str">
        <f aca="false">TRIM('수출입 실적(신성질별)'!A278)</f>
        <v>2025.04</v>
      </c>
      <c r="B274" s="17" t="n">
        <f aca="false">IFERROR(VALUE(LEFT($A274,4)),"")</f>
        <v>2025</v>
      </c>
      <c r="C274" s="17" t="n">
        <f aca="false">IFERROR(VALUE(RIGHT($A274,2)),"")</f>
        <v>4</v>
      </c>
      <c r="D274" s="17" t="n">
        <f aca="false">IFERROR(ROUNDUP($C274/3,0),"")</f>
        <v>2</v>
      </c>
      <c r="E274" s="11" t="str">
        <f aca="false">TRIM('수출입 실적(신성질별)'!B278)</f>
        <v>라.IT부품</v>
      </c>
      <c r="F274" s="18" t="n">
        <f aca="false">IFERROR(VALUE(SUBSTITUTE(TRIM('수출입 실적(신성질별)'!C278),",","")),"")</f>
        <v>31488.7</v>
      </c>
      <c r="G274" s="19" t="n">
        <f aca="false">IFERROR(VALUE(SUBSTITUTE(TRIM('수출입 실적(신성질별)'!D278),",","")),"")</f>
        <v>13164080</v>
      </c>
      <c r="H274" s="18" t="n">
        <f aca="false">IFERROR(VALUE(SUBSTITUTE(TRIM('수출입 실적(신성질별)'!E278),",","")),"")</f>
        <v>45671.8</v>
      </c>
      <c r="I274" s="19" t="n">
        <f aca="false">IFERROR(VALUE(SUBSTITUTE(TRIM('수출입 실적(신성질별)'!F278),",","")),"")</f>
        <v>6899275</v>
      </c>
    </row>
    <row r="275" customFormat="false" ht="15" hidden="false" customHeight="true" outlineLevel="0" collapsed="false">
      <c r="A275" s="11" t="str">
        <f aca="false">TRIM('수출입 실적(신성질별)'!A279)</f>
        <v>2025.05</v>
      </c>
      <c r="B275" s="17" t="n">
        <f aca="false">IFERROR(VALUE(LEFT($A275,4)),"")</f>
        <v>2025</v>
      </c>
      <c r="C275" s="17" t="n">
        <f aca="false">IFERROR(VALUE(RIGHT($A275,2)),"")</f>
        <v>5</v>
      </c>
      <c r="D275" s="17" t="n">
        <f aca="false">IFERROR(ROUNDUP($C275/3,0),"")</f>
        <v>2</v>
      </c>
      <c r="E275" s="11" t="str">
        <f aca="false">TRIM('수출입 실적(신성질별)'!B279)</f>
        <v>1.소비재</v>
      </c>
      <c r="F275" s="18" t="n">
        <f aca="false">IFERROR(VALUE(SUBSTITUTE(TRIM('수출입 실적(신성질별)'!C279),",","")),"")</f>
        <v>959948.7</v>
      </c>
      <c r="G275" s="19" t="n">
        <f aca="false">IFERROR(VALUE(SUBSTITUTE(TRIM('수출입 실적(신성질별)'!D279),",","")),"")</f>
        <v>8287531</v>
      </c>
      <c r="H275" s="18" t="n">
        <f aca="false">IFERROR(VALUE(SUBSTITUTE(TRIM('수출입 실적(신성질별)'!E279),",","")),"")</f>
        <v>2090574.4</v>
      </c>
      <c r="I275" s="19" t="n">
        <f aca="false">IFERROR(VALUE(SUBSTITUTE(TRIM('수출입 실적(신성질별)'!F279),",","")),"")</f>
        <v>7228337</v>
      </c>
    </row>
    <row r="276" customFormat="false" ht="15" hidden="false" customHeight="true" outlineLevel="0" collapsed="false">
      <c r="A276" s="11" t="str">
        <f aca="false">TRIM('수출입 실적(신성질별)'!A280)</f>
        <v>2025.05</v>
      </c>
      <c r="B276" s="17" t="n">
        <f aca="false">IFERROR(VALUE(LEFT($A276,4)),"")</f>
        <v>2025</v>
      </c>
      <c r="C276" s="17" t="n">
        <f aca="false">IFERROR(VALUE(RIGHT($A276,2)),"")</f>
        <v>5</v>
      </c>
      <c r="D276" s="17" t="n">
        <f aca="false">IFERROR(ROUNDUP($C276/3,0),"")</f>
        <v>2</v>
      </c>
      <c r="E276" s="11" t="str">
        <f aca="false">TRIM('수출입 실적(신성질별)'!B280)</f>
        <v>가.직접소비재</v>
      </c>
      <c r="F276" s="18" t="n">
        <f aca="false">IFERROR(VALUE(SUBSTITUTE(TRIM('수출입 실적(신성질별)'!C280),",","")),"")</f>
        <v>292986</v>
      </c>
      <c r="G276" s="19" t="n">
        <f aca="false">IFERROR(VALUE(SUBSTITUTE(TRIM('수출입 실적(신성질별)'!D280),",","")),"")</f>
        <v>953955</v>
      </c>
      <c r="H276" s="18" t="n">
        <f aca="false">IFERROR(VALUE(SUBSTITUTE(TRIM('수출입 실적(신성질별)'!E280),",","")),"")</f>
        <v>1706462.7</v>
      </c>
      <c r="I276" s="19" t="n">
        <f aca="false">IFERROR(VALUE(SUBSTITUTE(TRIM('수출입 실적(신성질별)'!F280),",","")),"")</f>
        <v>2795762</v>
      </c>
    </row>
    <row r="277" customFormat="false" ht="15" hidden="false" customHeight="true" outlineLevel="0" collapsed="false">
      <c r="A277" s="11" t="str">
        <f aca="false">TRIM('수출입 실적(신성질별)'!A281)</f>
        <v>2025.05</v>
      </c>
      <c r="B277" s="17" t="n">
        <f aca="false">IFERROR(VALUE(LEFT($A277,4)),"")</f>
        <v>2025</v>
      </c>
      <c r="C277" s="17" t="n">
        <f aca="false">IFERROR(VALUE(RIGHT($A277,2)),"")</f>
        <v>5</v>
      </c>
      <c r="D277" s="17" t="n">
        <f aca="false">IFERROR(ROUNDUP($C277/3,0),"")</f>
        <v>2</v>
      </c>
      <c r="E277" s="11" t="str">
        <f aca="false">TRIM('수출입 실적(신성질별)'!B281)</f>
        <v>나.내구소비재</v>
      </c>
      <c r="F277" s="18" t="n">
        <f aca="false">IFERROR(VALUE(SUBSTITUTE(TRIM('수출입 실적(신성질별)'!C281),",","")),"")</f>
        <v>494602.4</v>
      </c>
      <c r="G277" s="19" t="n">
        <f aca="false">IFERROR(VALUE(SUBSTITUTE(TRIM('수출입 실적(신성질별)'!D281),",","")),"")</f>
        <v>5604303</v>
      </c>
      <c r="H277" s="18" t="n">
        <f aca="false">IFERROR(VALUE(SUBSTITUTE(TRIM('수출입 실적(신성질별)'!E281),",","")),"")</f>
        <v>230410.3</v>
      </c>
      <c r="I277" s="19" t="n">
        <f aca="false">IFERROR(VALUE(SUBSTITUTE(TRIM('수출입 실적(신성질별)'!F281),",","")),"")</f>
        <v>2459827</v>
      </c>
    </row>
    <row r="278" customFormat="false" ht="15" hidden="false" customHeight="true" outlineLevel="0" collapsed="false">
      <c r="A278" s="11" t="str">
        <f aca="false">TRIM('수출입 실적(신성질별)'!A282)</f>
        <v>2025.05</v>
      </c>
      <c r="B278" s="17" t="n">
        <f aca="false">IFERROR(VALUE(LEFT($A278,4)),"")</f>
        <v>2025</v>
      </c>
      <c r="C278" s="17" t="n">
        <f aca="false">IFERROR(VALUE(RIGHT($A278,2)),"")</f>
        <v>5</v>
      </c>
      <c r="D278" s="17" t="n">
        <f aca="false">IFERROR(ROUNDUP($C278/3,0),"")</f>
        <v>2</v>
      </c>
      <c r="E278" s="11" t="str">
        <f aca="false">TRIM('수출입 실적(신성질별)'!B282)</f>
        <v>다.비내구소비재</v>
      </c>
      <c r="F278" s="18" t="n">
        <f aca="false">IFERROR(VALUE(SUBSTITUTE(TRIM('수출입 실적(신성질별)'!C282),",","")),"")</f>
        <v>169937.2</v>
      </c>
      <c r="G278" s="19" t="n">
        <f aca="false">IFERROR(VALUE(SUBSTITUTE(TRIM('수출입 실적(신성질별)'!D282),",","")),"")</f>
        <v>1726953</v>
      </c>
      <c r="H278" s="18" t="n">
        <f aca="false">IFERROR(VALUE(SUBSTITUTE(TRIM('수출입 실적(신성질별)'!E282),",","")),"")</f>
        <v>153701.4</v>
      </c>
      <c r="I278" s="19" t="n">
        <f aca="false">IFERROR(VALUE(SUBSTITUTE(TRIM('수출입 실적(신성질별)'!F282),",","")),"")</f>
        <v>1972748</v>
      </c>
    </row>
    <row r="279" customFormat="false" ht="15" hidden="false" customHeight="true" outlineLevel="0" collapsed="false">
      <c r="A279" s="11" t="str">
        <f aca="false">TRIM('수출입 실적(신성질별)'!A283)</f>
        <v>2025.05</v>
      </c>
      <c r="B279" s="17" t="n">
        <f aca="false">IFERROR(VALUE(LEFT($A279,4)),"")</f>
        <v>2025</v>
      </c>
      <c r="C279" s="17" t="n">
        <f aca="false">IFERROR(VALUE(RIGHT($A279,2)),"")</f>
        <v>5</v>
      </c>
      <c r="D279" s="17" t="n">
        <f aca="false">IFERROR(ROUNDUP($C279/3,0),"")</f>
        <v>2</v>
      </c>
      <c r="E279" s="11" t="str">
        <f aca="false">TRIM('수출입 실적(신성질별)'!B283)</f>
        <v>라.간이세율적용분</v>
      </c>
      <c r="F279" s="18" t="n">
        <f aca="false">IFERROR(VALUE(SUBSTITUTE(TRIM('수출입 실적(신성질별)'!C283),",","")),"")</f>
        <v>2423.1</v>
      </c>
      <c r="G279" s="19" t="n">
        <f aca="false">IFERROR(VALUE(SUBSTITUTE(TRIM('수출입 실적(신성질별)'!D283),",","")),"")</f>
        <v>2319</v>
      </c>
      <c r="H279" s="18" t="n">
        <f aca="false">IFERROR(VALUE(SUBSTITUTE(TRIM('수출입 실적(신성질별)'!E283),",","")),"")</f>
        <v>0</v>
      </c>
      <c r="I279" s="19" t="n">
        <f aca="false">IFERROR(VALUE(SUBSTITUTE(TRIM('수출입 실적(신성질별)'!F283),",","")),"")</f>
        <v>0</v>
      </c>
    </row>
    <row r="280" customFormat="false" ht="15" hidden="false" customHeight="true" outlineLevel="0" collapsed="false">
      <c r="A280" s="11" t="str">
        <f aca="false">TRIM('수출입 실적(신성질별)'!A284)</f>
        <v>2025.05</v>
      </c>
      <c r="B280" s="17" t="n">
        <f aca="false">IFERROR(VALUE(LEFT($A280,4)),"")</f>
        <v>2025</v>
      </c>
      <c r="C280" s="17" t="n">
        <f aca="false">IFERROR(VALUE(RIGHT($A280,2)),"")</f>
        <v>5</v>
      </c>
      <c r="D280" s="17" t="n">
        <f aca="false">IFERROR(ROUNDUP($C280/3,0),"")</f>
        <v>2</v>
      </c>
      <c r="E280" s="11" t="str">
        <f aca="false">TRIM('수출입 실적(신성질별)'!B284)</f>
        <v>2.원자재</v>
      </c>
      <c r="F280" s="18" t="n">
        <f aca="false">IFERROR(VALUE(SUBSTITUTE(TRIM('수출입 실적(신성질별)'!C284),",","")),"")</f>
        <v>13540244.5</v>
      </c>
      <c r="G280" s="19" t="n">
        <f aca="false">IFERROR(VALUE(SUBSTITUTE(TRIM('수출입 실적(신성질별)'!D284),",","")),"")</f>
        <v>15509215</v>
      </c>
      <c r="H280" s="18" t="n">
        <f aca="false">IFERROR(VALUE(SUBSTITUTE(TRIM('수출입 실적(신성질별)'!E284),",","")),"")</f>
        <v>39945318.6</v>
      </c>
      <c r="I280" s="19" t="n">
        <f aca="false">IFERROR(VALUE(SUBSTITUTE(TRIM('수출입 실적(신성질별)'!F284),",","")),"")</f>
        <v>23233610</v>
      </c>
    </row>
    <row r="281" customFormat="false" ht="15" hidden="false" customHeight="true" outlineLevel="0" collapsed="false">
      <c r="A281" s="11" t="str">
        <f aca="false">TRIM('수출입 실적(신성질별)'!A285)</f>
        <v>2025.05</v>
      </c>
      <c r="B281" s="17" t="n">
        <f aca="false">IFERROR(VALUE(LEFT($A281,4)),"")</f>
        <v>2025</v>
      </c>
      <c r="C281" s="17" t="n">
        <f aca="false">IFERROR(VALUE(RIGHT($A281,2)),"")</f>
        <v>5</v>
      </c>
      <c r="D281" s="17" t="n">
        <f aca="false">IFERROR(ROUNDUP($C281/3,0),"")</f>
        <v>2</v>
      </c>
      <c r="E281" s="11" t="str">
        <f aca="false">TRIM('수출입 실적(신성질별)'!B285)</f>
        <v>가.동식물성 연·원료</v>
      </c>
      <c r="F281" s="18" t="n">
        <f aca="false">IFERROR(VALUE(SUBSTITUTE(TRIM('수출입 실적(신성질별)'!C285),",","")),"")</f>
        <v>369455.5</v>
      </c>
      <c r="G281" s="19" t="n">
        <f aca="false">IFERROR(VALUE(SUBSTITUTE(TRIM('수출입 실적(신성질별)'!D285),",","")),"")</f>
        <v>430895</v>
      </c>
      <c r="H281" s="18" t="n">
        <f aca="false">IFERROR(VALUE(SUBSTITUTE(TRIM('수출입 실적(신성질별)'!E285),",","")),"")</f>
        <v>2826567.3</v>
      </c>
      <c r="I281" s="19" t="n">
        <f aca="false">IFERROR(VALUE(SUBSTITUTE(TRIM('수출입 실적(신성질별)'!F285),",","")),"")</f>
        <v>1476468</v>
      </c>
    </row>
    <row r="282" customFormat="false" ht="15" hidden="false" customHeight="true" outlineLevel="0" collapsed="false">
      <c r="A282" s="11" t="str">
        <f aca="false">TRIM('수출입 실적(신성질별)'!A286)</f>
        <v>2025.05</v>
      </c>
      <c r="B282" s="17" t="n">
        <f aca="false">IFERROR(VALUE(LEFT($A282,4)),"")</f>
        <v>2025</v>
      </c>
      <c r="C282" s="17" t="n">
        <f aca="false">IFERROR(VALUE(RIGHT($A282,2)),"")</f>
        <v>5</v>
      </c>
      <c r="D282" s="17" t="n">
        <f aca="false">IFERROR(ROUNDUP($C282/3,0),"")</f>
        <v>2</v>
      </c>
      <c r="E282" s="11" t="str">
        <f aca="false">TRIM('수출입 실적(신성질별)'!B286)</f>
        <v>나.섬유류</v>
      </c>
      <c r="F282" s="18" t="n">
        <f aca="false">IFERROR(VALUE(SUBSTITUTE(TRIM('수출입 실적(신성질별)'!C286),",","")),"")</f>
        <v>116390.5</v>
      </c>
      <c r="G282" s="19" t="n">
        <f aca="false">IFERROR(VALUE(SUBSTITUTE(TRIM('수출입 실적(신성질별)'!D286),",","")),"")</f>
        <v>588150</v>
      </c>
      <c r="H282" s="18" t="n">
        <f aca="false">IFERROR(VALUE(SUBSTITUTE(TRIM('수출입 실적(신성질별)'!E286),",","")),"")</f>
        <v>103333.6</v>
      </c>
      <c r="I282" s="19" t="n">
        <f aca="false">IFERROR(VALUE(SUBSTITUTE(TRIM('수출입 실적(신성질별)'!F286),",","")),"")</f>
        <v>333519</v>
      </c>
    </row>
    <row r="283" customFormat="false" ht="15" hidden="false" customHeight="true" outlineLevel="0" collapsed="false">
      <c r="A283" s="11" t="str">
        <f aca="false">TRIM('수출입 실적(신성질별)'!A287)</f>
        <v>2025.05</v>
      </c>
      <c r="B283" s="17" t="n">
        <f aca="false">IFERROR(VALUE(LEFT($A283,4)),"")</f>
        <v>2025</v>
      </c>
      <c r="C283" s="17" t="n">
        <f aca="false">IFERROR(VALUE(RIGHT($A283,2)),"")</f>
        <v>5</v>
      </c>
      <c r="D283" s="17" t="n">
        <f aca="false">IFERROR(ROUNDUP($C283/3,0),"")</f>
        <v>2</v>
      </c>
      <c r="E283" s="11" t="str">
        <f aca="false">TRIM('수출입 실적(신성질별)'!B287)</f>
        <v>다.광산물</v>
      </c>
      <c r="F283" s="18" t="n">
        <f aca="false">IFERROR(VALUE(SUBSTITUTE(TRIM('수출입 실적(신성질별)'!C287),",","")),"")</f>
        <v>6562997.3</v>
      </c>
      <c r="G283" s="19" t="n">
        <f aca="false">IFERROR(VALUE(SUBSTITUTE(TRIM('수출입 실적(신성질별)'!D287),",","")),"")</f>
        <v>4484429</v>
      </c>
      <c r="H283" s="18" t="n">
        <f aca="false">IFERROR(VALUE(SUBSTITUTE(TRIM('수출입 실적(신성질별)'!E287),",","")),"")</f>
        <v>33400023.7</v>
      </c>
      <c r="I283" s="19" t="n">
        <f aca="false">IFERROR(VALUE(SUBSTITUTE(TRIM('수출입 실적(신성질별)'!F287),",","")),"")</f>
        <v>14166473</v>
      </c>
    </row>
    <row r="284" customFormat="false" ht="15" hidden="false" customHeight="true" outlineLevel="0" collapsed="false">
      <c r="A284" s="11" t="str">
        <f aca="false">TRIM('수출입 실적(신성질별)'!A288)</f>
        <v>2025.05</v>
      </c>
      <c r="B284" s="17" t="n">
        <f aca="false">IFERROR(VALUE(LEFT($A284,4)),"")</f>
        <v>2025</v>
      </c>
      <c r="C284" s="17" t="n">
        <f aca="false">IFERROR(VALUE(RIGHT($A284,2)),"")</f>
        <v>5</v>
      </c>
      <c r="D284" s="17" t="n">
        <f aca="false">IFERROR(ROUNDUP($C284/3,0),"")</f>
        <v>2</v>
      </c>
      <c r="E284" s="11" t="str">
        <f aca="false">TRIM('수출입 실적(신성질별)'!B288)</f>
        <v>라.철강 및 금속제품</v>
      </c>
      <c r="F284" s="18" t="n">
        <f aca="false">IFERROR(VALUE(SUBSTITUTE(TRIM('수출입 실적(신성질별)'!C288),",","")),"")</f>
        <v>2588607.9</v>
      </c>
      <c r="G284" s="19" t="n">
        <f aca="false">IFERROR(VALUE(SUBSTITUTE(TRIM('수출입 실적(신성질별)'!D288),",","")),"")</f>
        <v>3297358</v>
      </c>
      <c r="H284" s="18" t="n">
        <f aca="false">IFERROR(VALUE(SUBSTITUTE(TRIM('수출입 실적(신성질별)'!E288),",","")),"")</f>
        <v>1666838.8</v>
      </c>
      <c r="I284" s="19" t="n">
        <f aca="false">IFERROR(VALUE(SUBSTITUTE(TRIM('수출입 실적(신성질별)'!F288),",","")),"")</f>
        <v>2790077</v>
      </c>
    </row>
    <row r="285" customFormat="false" ht="15" hidden="false" customHeight="true" outlineLevel="0" collapsed="false">
      <c r="A285" s="11" t="str">
        <f aca="false">TRIM('수출입 실적(신성질별)'!A289)</f>
        <v>2025.05</v>
      </c>
      <c r="B285" s="17" t="n">
        <f aca="false">IFERROR(VALUE(LEFT($A285,4)),"")</f>
        <v>2025</v>
      </c>
      <c r="C285" s="17" t="n">
        <f aca="false">IFERROR(VALUE(RIGHT($A285,2)),"")</f>
        <v>5</v>
      </c>
      <c r="D285" s="17" t="n">
        <f aca="false">IFERROR(ROUNDUP($C285/3,0),"")</f>
        <v>2</v>
      </c>
      <c r="E285" s="11" t="str">
        <f aca="false">TRIM('수출입 실적(신성질별)'!B289)</f>
        <v>마.화학공업제품</v>
      </c>
      <c r="F285" s="18" t="n">
        <f aca="false">IFERROR(VALUE(SUBSTITUTE(TRIM('수출입 실적(신성질별)'!C289),",","")),"")</f>
        <v>3900630.1</v>
      </c>
      <c r="G285" s="19" t="n">
        <f aca="false">IFERROR(VALUE(SUBSTITUTE(TRIM('수출입 실적(신성질별)'!D289),",","")),"")</f>
        <v>6699114</v>
      </c>
      <c r="H285" s="18" t="n">
        <f aca="false">IFERROR(VALUE(SUBSTITUTE(TRIM('수출입 실적(신성질별)'!E289),",","")),"")</f>
        <v>1945459.8</v>
      </c>
      <c r="I285" s="19" t="n">
        <f aca="false">IFERROR(VALUE(SUBSTITUTE(TRIM('수출입 실적(신성질별)'!F289),",","")),"")</f>
        <v>4459938</v>
      </c>
    </row>
    <row r="286" customFormat="false" ht="15" hidden="false" customHeight="true" outlineLevel="0" collapsed="false">
      <c r="A286" s="11" t="str">
        <f aca="false">TRIM('수출입 실적(신성질별)'!A290)</f>
        <v>2025.05</v>
      </c>
      <c r="B286" s="17" t="n">
        <f aca="false">IFERROR(VALUE(LEFT($A286,4)),"")</f>
        <v>2025</v>
      </c>
      <c r="C286" s="17" t="n">
        <f aca="false">IFERROR(VALUE(RIGHT($A286,2)),"")</f>
        <v>5</v>
      </c>
      <c r="D286" s="17" t="n">
        <f aca="false">IFERROR(ROUNDUP($C286/3,0),"")</f>
        <v>2</v>
      </c>
      <c r="E286" s="11" t="str">
        <f aca="false">TRIM('수출입 실적(신성질별)'!B290)</f>
        <v>바.기타 원자재</v>
      </c>
      <c r="F286" s="18" t="n">
        <f aca="false">IFERROR(VALUE(SUBSTITUTE(TRIM('수출입 실적(신성질별)'!C290),",","")),"")</f>
        <v>2163.4</v>
      </c>
      <c r="G286" s="19" t="n">
        <f aca="false">IFERROR(VALUE(SUBSTITUTE(TRIM('수출입 실적(신성질별)'!D290),",","")),"")</f>
        <v>9269</v>
      </c>
      <c r="H286" s="18" t="n">
        <f aca="false">IFERROR(VALUE(SUBSTITUTE(TRIM('수출입 실적(신성질별)'!E290),",","")),"")</f>
        <v>3095.4</v>
      </c>
      <c r="I286" s="19" t="n">
        <f aca="false">IFERROR(VALUE(SUBSTITUTE(TRIM('수출입 실적(신성질별)'!F290),",","")),"")</f>
        <v>7134</v>
      </c>
    </row>
    <row r="287" customFormat="false" ht="15" hidden="false" customHeight="true" outlineLevel="0" collapsed="false">
      <c r="A287" s="11" t="str">
        <f aca="false">TRIM('수출입 실적(신성질별)'!A291)</f>
        <v>2025.05</v>
      </c>
      <c r="B287" s="17" t="n">
        <f aca="false">IFERROR(VALUE(LEFT($A287,4)),"")</f>
        <v>2025</v>
      </c>
      <c r="C287" s="17" t="n">
        <f aca="false">IFERROR(VALUE(RIGHT($A287,2)),"")</f>
        <v>5</v>
      </c>
      <c r="D287" s="17" t="n">
        <f aca="false">IFERROR(ROUNDUP($C287/3,0),"")</f>
        <v>2</v>
      </c>
      <c r="E287" s="11" t="str">
        <f aca="false">TRIM('수출입 실적(신성질별)'!B291)</f>
        <v>3.자본재</v>
      </c>
      <c r="F287" s="18" t="n">
        <f aca="false">IFERROR(VALUE(SUBSTITUTE(TRIM('수출입 실적(신성질별)'!C291),",","")),"")</f>
        <v>2073269.6</v>
      </c>
      <c r="G287" s="19" t="n">
        <f aca="false">IFERROR(VALUE(SUBSTITUTE(TRIM('수출입 실적(신성질별)'!D291),",","")),"")</f>
        <v>33464317</v>
      </c>
      <c r="H287" s="18" t="n">
        <f aca="false">IFERROR(VALUE(SUBSTITUTE(TRIM('수출입 실적(신성질별)'!E291),",","")),"")</f>
        <v>994580.8</v>
      </c>
      <c r="I287" s="19" t="n">
        <f aca="false">IFERROR(VALUE(SUBSTITUTE(TRIM('수출입 실적(신성질별)'!F291),",","")),"")</f>
        <v>19883169</v>
      </c>
    </row>
    <row r="288" customFormat="false" ht="15" hidden="false" customHeight="true" outlineLevel="0" collapsed="false">
      <c r="A288" s="11" t="str">
        <f aca="false">TRIM('수출입 실적(신성질별)'!A292)</f>
        <v>2025.05</v>
      </c>
      <c r="B288" s="17" t="n">
        <f aca="false">IFERROR(VALUE(LEFT($A288,4)),"")</f>
        <v>2025</v>
      </c>
      <c r="C288" s="17" t="n">
        <f aca="false">IFERROR(VALUE(RIGHT($A288,2)),"")</f>
        <v>5</v>
      </c>
      <c r="D288" s="17" t="n">
        <f aca="false">IFERROR(ROUNDUP($C288/3,0),"")</f>
        <v>2</v>
      </c>
      <c r="E288" s="11" t="str">
        <f aca="false">TRIM('수출입 실적(신성질별)'!B292)</f>
        <v>가.수송장비</v>
      </c>
      <c r="F288" s="18" t="n">
        <f aca="false">IFERROR(VALUE(SUBSTITUTE(TRIM('수출입 실적(신성질별)'!C292),",","")),"")</f>
        <v>1392823.7</v>
      </c>
      <c r="G288" s="19" t="n">
        <f aca="false">IFERROR(VALUE(SUBSTITUTE(TRIM('수출입 실적(신성질별)'!D292),",","")),"")</f>
        <v>6096544</v>
      </c>
      <c r="H288" s="18" t="n">
        <f aca="false">IFERROR(VALUE(SUBSTITUTE(TRIM('수출입 실적(신성질별)'!E292),",","")),"")</f>
        <v>405301.8</v>
      </c>
      <c r="I288" s="19" t="n">
        <f aca="false">IFERROR(VALUE(SUBSTITUTE(TRIM('수출입 실적(신성질별)'!F292),",","")),"")</f>
        <v>2419963</v>
      </c>
    </row>
    <row r="289" customFormat="false" ht="15" hidden="false" customHeight="true" outlineLevel="0" collapsed="false">
      <c r="A289" s="11" t="str">
        <f aca="false">TRIM('수출입 실적(신성질별)'!A293)</f>
        <v>2025.05</v>
      </c>
      <c r="B289" s="17" t="n">
        <f aca="false">IFERROR(VALUE(LEFT($A289,4)),"")</f>
        <v>2025</v>
      </c>
      <c r="C289" s="17" t="n">
        <f aca="false">IFERROR(VALUE(RIGHT($A289,2)),"")</f>
        <v>5</v>
      </c>
      <c r="D289" s="17" t="n">
        <f aca="false">IFERROR(ROUNDUP($C289/3,0),"")</f>
        <v>2</v>
      </c>
      <c r="E289" s="11" t="str">
        <f aca="false">TRIM('수출입 실적(신성질별)'!B293)</f>
        <v>나.기계류</v>
      </c>
      <c r="F289" s="18" t="n">
        <f aca="false">IFERROR(VALUE(SUBSTITUTE(TRIM('수출입 실적(신성질별)'!C293),",","")),"")</f>
        <v>640594.3</v>
      </c>
      <c r="G289" s="19" t="n">
        <f aca="false">IFERROR(VALUE(SUBSTITUTE(TRIM('수출입 실적(신성질별)'!D293),",","")),"")</f>
        <v>8620642</v>
      </c>
      <c r="H289" s="18" t="n">
        <f aca="false">IFERROR(VALUE(SUBSTITUTE(TRIM('수출입 실적(신성질별)'!E293),",","")),"")</f>
        <v>535733.5</v>
      </c>
      <c r="I289" s="19" t="n">
        <f aca="false">IFERROR(VALUE(SUBSTITUTE(TRIM('수출입 실적(신성질별)'!F293),",","")),"")</f>
        <v>8336177</v>
      </c>
    </row>
    <row r="290" customFormat="false" ht="15" hidden="false" customHeight="true" outlineLevel="0" collapsed="false">
      <c r="A290" s="11" t="str">
        <f aca="false">TRIM('수출입 실적(신성질별)'!A294)</f>
        <v>2025.05</v>
      </c>
      <c r="B290" s="17" t="n">
        <f aca="false">IFERROR(VALUE(LEFT($A290,4)),"")</f>
        <v>2025</v>
      </c>
      <c r="C290" s="17" t="n">
        <f aca="false">IFERROR(VALUE(RIGHT($A290,2)),"")</f>
        <v>5</v>
      </c>
      <c r="D290" s="17" t="n">
        <f aca="false">IFERROR(ROUNDUP($C290/3,0),"")</f>
        <v>2</v>
      </c>
      <c r="E290" s="11" t="str">
        <f aca="false">TRIM('수출입 실적(신성질별)'!B294)</f>
        <v>다.IT제품</v>
      </c>
      <c r="F290" s="18" t="n">
        <f aca="false">IFERROR(VALUE(SUBSTITUTE(TRIM('수출입 실적(신성질별)'!C294),",","")),"")</f>
        <v>11452.2</v>
      </c>
      <c r="G290" s="19" t="n">
        <f aca="false">IFERROR(VALUE(SUBSTITUTE(TRIM('수출입 실적(신성질별)'!D294),",","")),"")</f>
        <v>3514373</v>
      </c>
      <c r="H290" s="18" t="n">
        <f aca="false">IFERROR(VALUE(SUBSTITUTE(TRIM('수출입 실적(신성질별)'!E294),",","")),"")</f>
        <v>17152.3</v>
      </c>
      <c r="I290" s="19" t="n">
        <f aca="false">IFERROR(VALUE(SUBSTITUTE(TRIM('수출입 실적(신성질별)'!F294),",","")),"")</f>
        <v>2489895</v>
      </c>
    </row>
    <row r="291" customFormat="false" ht="15" hidden="false" customHeight="true" outlineLevel="0" collapsed="false">
      <c r="A291" s="11" t="str">
        <f aca="false">TRIM('수출입 실적(신성질별)'!A295)</f>
        <v>2025.05</v>
      </c>
      <c r="B291" s="17" t="n">
        <f aca="false">IFERROR(VALUE(LEFT($A291,4)),"")</f>
        <v>2025</v>
      </c>
      <c r="C291" s="17" t="n">
        <f aca="false">IFERROR(VALUE(RIGHT($A291,2)),"")</f>
        <v>5</v>
      </c>
      <c r="D291" s="17" t="n">
        <f aca="false">IFERROR(ROUNDUP($C291/3,0),"")</f>
        <v>2</v>
      </c>
      <c r="E291" s="11" t="str">
        <f aca="false">TRIM('수출입 실적(신성질별)'!B295)</f>
        <v>라.IT부품</v>
      </c>
      <c r="F291" s="18" t="n">
        <f aca="false">IFERROR(VALUE(SUBSTITUTE(TRIM('수출입 실적(신성질별)'!C295),",","")),"")</f>
        <v>28399.4</v>
      </c>
      <c r="G291" s="19" t="n">
        <f aca="false">IFERROR(VALUE(SUBSTITUTE(TRIM('수출입 실적(신성질별)'!D295),",","")),"")</f>
        <v>15232758</v>
      </c>
      <c r="H291" s="18" t="n">
        <f aca="false">IFERROR(VALUE(SUBSTITUTE(TRIM('수출입 실적(신성질별)'!E295),",","")),"")</f>
        <v>36393.2</v>
      </c>
      <c r="I291" s="19" t="n">
        <f aca="false">IFERROR(VALUE(SUBSTITUTE(TRIM('수출입 실적(신성질별)'!F295),",","")),"")</f>
        <v>6637134</v>
      </c>
    </row>
    <row r="292" customFormat="false" ht="15" hidden="false" customHeight="true" outlineLevel="0" collapsed="false">
      <c r="A292" s="11" t="str">
        <f aca="false">TRIM('수출입 실적(신성질별)'!A296)</f>
        <v>2025.06</v>
      </c>
      <c r="B292" s="17" t="n">
        <f aca="false">IFERROR(VALUE(LEFT($A292,4)),"")</f>
        <v>2025</v>
      </c>
      <c r="C292" s="17" t="n">
        <f aca="false">IFERROR(VALUE(RIGHT($A292,2)),"")</f>
        <v>6</v>
      </c>
      <c r="D292" s="17" t="n">
        <f aca="false">IFERROR(ROUNDUP($C292/3,0),"")</f>
        <v>2</v>
      </c>
      <c r="E292" s="11" t="str">
        <f aca="false">TRIM('수출입 실적(신성질별)'!B296)</f>
        <v>1.소비재</v>
      </c>
      <c r="F292" s="18" t="n">
        <f aca="false">IFERROR(VALUE(SUBSTITUTE(TRIM('수출입 실적(신성질별)'!C296),",","")),"")</f>
        <v>904999.1</v>
      </c>
      <c r="G292" s="19" t="n">
        <f aca="false">IFERROR(VALUE(SUBSTITUTE(TRIM('수출입 실적(신성질별)'!D296),",","")),"")</f>
        <v>8216283</v>
      </c>
      <c r="H292" s="18" t="n">
        <f aca="false">IFERROR(VALUE(SUBSTITUTE(TRIM('수출입 실적(신성질별)'!E296),",","")),"")</f>
        <v>2113858.6</v>
      </c>
      <c r="I292" s="19" t="n">
        <f aca="false">IFERROR(VALUE(SUBSTITUTE(TRIM('수출입 실적(신성질별)'!F296),",","")),"")</f>
        <v>7198366</v>
      </c>
    </row>
    <row r="293" customFormat="false" ht="15" hidden="false" customHeight="true" outlineLevel="0" collapsed="false">
      <c r="A293" s="11" t="str">
        <f aca="false">TRIM('수출입 실적(신성질별)'!A297)</f>
        <v>2025.06</v>
      </c>
      <c r="B293" s="17" t="n">
        <f aca="false">IFERROR(VALUE(LEFT($A293,4)),"")</f>
        <v>2025</v>
      </c>
      <c r="C293" s="17" t="n">
        <f aca="false">IFERROR(VALUE(RIGHT($A293,2)),"")</f>
        <v>6</v>
      </c>
      <c r="D293" s="17" t="n">
        <f aca="false">IFERROR(ROUNDUP($C293/3,0),"")</f>
        <v>2</v>
      </c>
      <c r="E293" s="11" t="str">
        <f aca="false">TRIM('수출입 실적(신성질별)'!B297)</f>
        <v>가.직접소비재</v>
      </c>
      <c r="F293" s="18" t="n">
        <f aca="false">IFERROR(VALUE(SUBSTITUTE(TRIM('수출입 실적(신성질별)'!C297),",","")),"")</f>
        <v>261711.4</v>
      </c>
      <c r="G293" s="19" t="n">
        <f aca="false">IFERROR(VALUE(SUBSTITUTE(TRIM('수출입 실적(신성질별)'!D297),",","")),"")</f>
        <v>909840</v>
      </c>
      <c r="H293" s="18" t="n">
        <f aca="false">IFERROR(VALUE(SUBSTITUTE(TRIM('수출입 실적(신성질별)'!E297),",","")),"")</f>
        <v>1740028.5</v>
      </c>
      <c r="I293" s="19" t="n">
        <f aca="false">IFERROR(VALUE(SUBSTITUTE(TRIM('수출입 실적(신성질별)'!F297),",","")),"")</f>
        <v>2770693</v>
      </c>
    </row>
    <row r="294" customFormat="false" ht="15" hidden="false" customHeight="true" outlineLevel="0" collapsed="false">
      <c r="A294" s="11" t="str">
        <f aca="false">TRIM('수출입 실적(신성질별)'!A298)</f>
        <v>2025.06</v>
      </c>
      <c r="B294" s="17" t="n">
        <f aca="false">IFERROR(VALUE(LEFT($A294,4)),"")</f>
        <v>2025</v>
      </c>
      <c r="C294" s="17" t="n">
        <f aca="false">IFERROR(VALUE(RIGHT($A294,2)),"")</f>
        <v>6</v>
      </c>
      <c r="D294" s="17" t="n">
        <f aca="false">IFERROR(ROUNDUP($C294/3,0),"")</f>
        <v>2</v>
      </c>
      <c r="E294" s="11" t="str">
        <f aca="false">TRIM('수출입 실적(신성질별)'!B298)</f>
        <v>나.내구소비재</v>
      </c>
      <c r="F294" s="18" t="n">
        <f aca="false">IFERROR(VALUE(SUBSTITUTE(TRIM('수출입 실적(신성질별)'!C298),",","")),"")</f>
        <v>482143.3</v>
      </c>
      <c r="G294" s="19" t="n">
        <f aca="false">IFERROR(VALUE(SUBSTITUTE(TRIM('수출입 실적(신성질별)'!D298),",","")),"")</f>
        <v>5635718</v>
      </c>
      <c r="H294" s="18" t="n">
        <f aca="false">IFERROR(VALUE(SUBSTITUTE(TRIM('수출입 실적(신성질별)'!E298),",","")),"")</f>
        <v>216628.5</v>
      </c>
      <c r="I294" s="19" t="n">
        <f aca="false">IFERROR(VALUE(SUBSTITUTE(TRIM('수출입 실적(신성질별)'!F298),",","")),"")</f>
        <v>2317897</v>
      </c>
    </row>
    <row r="295" customFormat="false" ht="15" hidden="false" customHeight="true" outlineLevel="0" collapsed="false">
      <c r="A295" s="11" t="str">
        <f aca="false">TRIM('수출입 실적(신성질별)'!A299)</f>
        <v>2025.06</v>
      </c>
      <c r="B295" s="17" t="n">
        <f aca="false">IFERROR(VALUE(LEFT($A295,4)),"")</f>
        <v>2025</v>
      </c>
      <c r="C295" s="17" t="n">
        <f aca="false">IFERROR(VALUE(RIGHT($A295,2)),"")</f>
        <v>6</v>
      </c>
      <c r="D295" s="17" t="n">
        <f aca="false">IFERROR(ROUNDUP($C295/3,0),"")</f>
        <v>2</v>
      </c>
      <c r="E295" s="11" t="str">
        <f aca="false">TRIM('수출입 실적(신성질별)'!B299)</f>
        <v>다.비내구소비재</v>
      </c>
      <c r="F295" s="18" t="n">
        <f aca="false">IFERROR(VALUE(SUBSTITUTE(TRIM('수출입 실적(신성질별)'!C299),",","")),"")</f>
        <v>158096.4</v>
      </c>
      <c r="G295" s="19" t="n">
        <f aca="false">IFERROR(VALUE(SUBSTITUTE(TRIM('수출입 실적(신성질별)'!D299),",","")),"")</f>
        <v>1667614</v>
      </c>
      <c r="H295" s="18" t="n">
        <f aca="false">IFERROR(VALUE(SUBSTITUTE(TRIM('수출입 실적(신성질별)'!E299),",","")),"")</f>
        <v>157201.5</v>
      </c>
      <c r="I295" s="19" t="n">
        <f aca="false">IFERROR(VALUE(SUBSTITUTE(TRIM('수출입 실적(신성질별)'!F299),",","")),"")</f>
        <v>2109777</v>
      </c>
    </row>
    <row r="296" customFormat="false" ht="15" hidden="false" customHeight="true" outlineLevel="0" collapsed="false">
      <c r="A296" s="11" t="str">
        <f aca="false">TRIM('수출입 실적(신성질별)'!A300)</f>
        <v>2025.06</v>
      </c>
      <c r="B296" s="17" t="n">
        <f aca="false">IFERROR(VALUE(LEFT($A296,4)),"")</f>
        <v>2025</v>
      </c>
      <c r="C296" s="17" t="n">
        <f aca="false">IFERROR(VALUE(RIGHT($A296,2)),"")</f>
        <v>6</v>
      </c>
      <c r="D296" s="17" t="n">
        <f aca="false">IFERROR(ROUNDUP($C296/3,0),"")</f>
        <v>2</v>
      </c>
      <c r="E296" s="11" t="str">
        <f aca="false">TRIM('수출입 실적(신성질별)'!B300)</f>
        <v>라.간이세율적용분</v>
      </c>
      <c r="F296" s="18" t="n">
        <f aca="false">IFERROR(VALUE(SUBSTITUTE(TRIM('수출입 실적(신성질별)'!C300),",","")),"")</f>
        <v>3047.9</v>
      </c>
      <c r="G296" s="19" t="n">
        <f aca="false">IFERROR(VALUE(SUBSTITUTE(TRIM('수출입 실적(신성질별)'!D300),",","")),"")</f>
        <v>3111</v>
      </c>
      <c r="H296" s="18" t="n">
        <f aca="false">IFERROR(VALUE(SUBSTITUTE(TRIM('수출입 실적(신성질별)'!E300),",","")),"")</f>
        <v>0</v>
      </c>
      <c r="I296" s="19" t="n">
        <f aca="false">IFERROR(VALUE(SUBSTITUTE(TRIM('수출입 실적(신성질별)'!F300),",","")),"")</f>
        <v>0</v>
      </c>
    </row>
    <row r="297" customFormat="false" ht="15" hidden="false" customHeight="true" outlineLevel="0" collapsed="false">
      <c r="A297" s="11" t="str">
        <f aca="false">TRIM('수출입 실적(신성질별)'!A301)</f>
        <v>2025.06</v>
      </c>
      <c r="B297" s="17" t="n">
        <f aca="false">IFERROR(VALUE(LEFT($A297,4)),"")</f>
        <v>2025</v>
      </c>
      <c r="C297" s="17" t="n">
        <f aca="false">IFERROR(VALUE(RIGHT($A297,2)),"")</f>
        <v>6</v>
      </c>
      <c r="D297" s="17" t="n">
        <f aca="false">IFERROR(ROUNDUP($C297/3,0),"")</f>
        <v>2</v>
      </c>
      <c r="E297" s="11" t="str">
        <f aca="false">TRIM('수출입 실적(신성질별)'!B301)</f>
        <v>2.원자재</v>
      </c>
      <c r="F297" s="18" t="n">
        <f aca="false">IFERROR(VALUE(SUBSTITUTE(TRIM('수출입 실적(신성질별)'!C301),",","")),"")</f>
        <v>13266392.1</v>
      </c>
      <c r="G297" s="19" t="n">
        <f aca="false">IFERROR(VALUE(SUBSTITUTE(TRIM('수출입 실적(신성질별)'!D301),",","")),"")</f>
        <v>16023552</v>
      </c>
      <c r="H297" s="18" t="n">
        <f aca="false">IFERROR(VALUE(SUBSTITUTE(TRIM('수출입 실적(신성질별)'!E301),",","")),"")</f>
        <v>39485863.9</v>
      </c>
      <c r="I297" s="19" t="n">
        <f aca="false">IFERROR(VALUE(SUBSTITUTE(TRIM('수출입 실적(신성질별)'!F301),",","")),"")</f>
        <v>22410143</v>
      </c>
    </row>
    <row r="298" customFormat="false" ht="15" hidden="false" customHeight="true" outlineLevel="0" collapsed="false">
      <c r="A298" s="11" t="str">
        <f aca="false">TRIM('수출입 실적(신성질별)'!A302)</f>
        <v>2025.06</v>
      </c>
      <c r="B298" s="17" t="n">
        <f aca="false">IFERROR(VALUE(LEFT($A298,4)),"")</f>
        <v>2025</v>
      </c>
      <c r="C298" s="17" t="n">
        <f aca="false">IFERROR(VALUE(RIGHT($A298,2)),"")</f>
        <v>6</v>
      </c>
      <c r="D298" s="17" t="n">
        <f aca="false">IFERROR(ROUNDUP($C298/3,0),"")</f>
        <v>2</v>
      </c>
      <c r="E298" s="11" t="str">
        <f aca="false">TRIM('수출입 실적(신성질별)'!B302)</f>
        <v>가.동식물성 연·원료</v>
      </c>
      <c r="F298" s="18" t="n">
        <f aca="false">IFERROR(VALUE(SUBSTITUTE(TRIM('수출입 실적(신성질별)'!C302),",","")),"")</f>
        <v>349781</v>
      </c>
      <c r="G298" s="19" t="n">
        <f aca="false">IFERROR(VALUE(SUBSTITUTE(TRIM('수출입 실적(신성질별)'!D302),",","")),"")</f>
        <v>438017</v>
      </c>
      <c r="H298" s="18" t="n">
        <f aca="false">IFERROR(VALUE(SUBSTITUTE(TRIM('수출입 실적(신성질별)'!E302),",","")),"")</f>
        <v>2801644.7</v>
      </c>
      <c r="I298" s="19" t="n">
        <f aca="false">IFERROR(VALUE(SUBSTITUTE(TRIM('수출입 실적(신성질별)'!F302),",","")),"")</f>
        <v>1480333</v>
      </c>
    </row>
    <row r="299" customFormat="false" ht="15" hidden="false" customHeight="true" outlineLevel="0" collapsed="false">
      <c r="A299" s="11" t="str">
        <f aca="false">TRIM('수출입 실적(신성질별)'!A303)</f>
        <v>2025.06</v>
      </c>
      <c r="B299" s="17" t="n">
        <f aca="false">IFERROR(VALUE(LEFT($A299,4)),"")</f>
        <v>2025</v>
      </c>
      <c r="C299" s="17" t="n">
        <f aca="false">IFERROR(VALUE(RIGHT($A299,2)),"")</f>
        <v>6</v>
      </c>
      <c r="D299" s="17" t="n">
        <f aca="false">IFERROR(ROUNDUP($C299/3,0),"")</f>
        <v>2</v>
      </c>
      <c r="E299" s="11" t="str">
        <f aca="false">TRIM('수출입 실적(신성질별)'!B303)</f>
        <v>나.섬유류</v>
      </c>
      <c r="F299" s="18" t="n">
        <f aca="false">IFERROR(VALUE(SUBSTITUTE(TRIM('수출입 실적(신성질별)'!C303),",","")),"")</f>
        <v>104448.5</v>
      </c>
      <c r="G299" s="19" t="n">
        <f aca="false">IFERROR(VALUE(SUBSTITUTE(TRIM('수출입 실적(신성질별)'!D303),",","")),"")</f>
        <v>550815</v>
      </c>
      <c r="H299" s="18" t="n">
        <f aca="false">IFERROR(VALUE(SUBSTITUTE(TRIM('수출입 실적(신성질별)'!E303),",","")),"")</f>
        <v>98810.7</v>
      </c>
      <c r="I299" s="19" t="n">
        <f aca="false">IFERROR(VALUE(SUBSTITUTE(TRIM('수출입 실적(신성질별)'!F303),",","")),"")</f>
        <v>321922</v>
      </c>
    </row>
    <row r="300" customFormat="false" ht="15" hidden="false" customHeight="true" outlineLevel="0" collapsed="false">
      <c r="A300" s="11" t="str">
        <f aca="false">TRIM('수출입 실적(신성질별)'!A304)</f>
        <v>2025.06</v>
      </c>
      <c r="B300" s="17" t="n">
        <f aca="false">IFERROR(VALUE(LEFT($A300,4)),"")</f>
        <v>2025</v>
      </c>
      <c r="C300" s="17" t="n">
        <f aca="false">IFERROR(VALUE(RIGHT($A300,2)),"")</f>
        <v>6</v>
      </c>
      <c r="D300" s="17" t="n">
        <f aca="false">IFERROR(ROUNDUP($C300/3,0),"")</f>
        <v>2</v>
      </c>
      <c r="E300" s="11" t="str">
        <f aca="false">TRIM('수출입 실적(신성질별)'!B304)</f>
        <v>다.광산물</v>
      </c>
      <c r="F300" s="18" t="n">
        <f aca="false">IFERROR(VALUE(SUBSTITUTE(TRIM('수출입 실적(신성질별)'!C304),",","")),"")</f>
        <v>6329123.4</v>
      </c>
      <c r="G300" s="19" t="n">
        <f aca="false">IFERROR(VALUE(SUBSTITUTE(TRIM('수출입 실적(신성질별)'!D304),",","")),"")</f>
        <v>4760980</v>
      </c>
      <c r="H300" s="18" t="n">
        <f aca="false">IFERROR(VALUE(SUBSTITUTE(TRIM('수출입 실적(신성질별)'!E304),",","")),"")</f>
        <v>33172783</v>
      </c>
      <c r="I300" s="19" t="n">
        <f aca="false">IFERROR(VALUE(SUBSTITUTE(TRIM('수출입 실적(신성질별)'!F304),",","")),"")</f>
        <v>13157655</v>
      </c>
    </row>
    <row r="301" customFormat="false" ht="15" hidden="false" customHeight="true" outlineLevel="0" collapsed="false">
      <c r="A301" s="11" t="str">
        <f aca="false">TRIM('수출입 실적(신성질별)'!A305)</f>
        <v>2025.06</v>
      </c>
      <c r="B301" s="17" t="n">
        <f aca="false">IFERROR(VALUE(LEFT($A301,4)),"")</f>
        <v>2025</v>
      </c>
      <c r="C301" s="17" t="n">
        <f aca="false">IFERROR(VALUE(RIGHT($A301,2)),"")</f>
        <v>6</v>
      </c>
      <c r="D301" s="17" t="n">
        <f aca="false">IFERROR(ROUNDUP($C301/3,0),"")</f>
        <v>2</v>
      </c>
      <c r="E301" s="11" t="str">
        <f aca="false">TRIM('수출입 실적(신성질별)'!B305)</f>
        <v>라.철강 및 금속제품</v>
      </c>
      <c r="F301" s="18" t="n">
        <f aca="false">IFERROR(VALUE(SUBSTITUTE(TRIM('수출입 실적(신성질별)'!C305),",","")),"")</f>
        <v>2380881.8</v>
      </c>
      <c r="G301" s="19" t="n">
        <f aca="false">IFERROR(VALUE(SUBSTITUTE(TRIM('수출입 실적(신성질별)'!D305),",","")),"")</f>
        <v>3221602</v>
      </c>
      <c r="H301" s="18" t="n">
        <f aca="false">IFERROR(VALUE(SUBSTITUTE(TRIM('수출입 실적(신성질별)'!E305),",","")),"")</f>
        <v>1620616.2</v>
      </c>
      <c r="I301" s="19" t="n">
        <f aca="false">IFERROR(VALUE(SUBSTITUTE(TRIM('수출입 실적(신성질별)'!F305),",","")),"")</f>
        <v>2800660</v>
      </c>
    </row>
    <row r="302" customFormat="false" ht="15" hidden="false" customHeight="true" outlineLevel="0" collapsed="false">
      <c r="A302" s="11" t="str">
        <f aca="false">TRIM('수출입 실적(신성질별)'!A306)</f>
        <v>2025.06</v>
      </c>
      <c r="B302" s="17" t="n">
        <f aca="false">IFERROR(VALUE(LEFT($A302,4)),"")</f>
        <v>2025</v>
      </c>
      <c r="C302" s="17" t="n">
        <f aca="false">IFERROR(VALUE(RIGHT($A302,2)),"")</f>
        <v>6</v>
      </c>
      <c r="D302" s="17" t="n">
        <f aca="false">IFERROR(ROUNDUP($C302/3,0),"")</f>
        <v>2</v>
      </c>
      <c r="E302" s="11" t="str">
        <f aca="false">TRIM('수출입 실적(신성질별)'!B306)</f>
        <v>마.화학공업제품</v>
      </c>
      <c r="F302" s="18" t="n">
        <f aca="false">IFERROR(VALUE(SUBSTITUTE(TRIM('수출입 실적(신성질별)'!C306),",","")),"")</f>
        <v>4100433.5</v>
      </c>
      <c r="G302" s="19" t="n">
        <f aca="false">IFERROR(VALUE(SUBSTITUTE(TRIM('수출입 실적(신성질별)'!D306),",","")),"")</f>
        <v>7044112</v>
      </c>
      <c r="H302" s="18" t="n">
        <f aca="false">IFERROR(VALUE(SUBSTITUTE(TRIM('수출입 실적(신성질별)'!E306),",","")),"")</f>
        <v>1789116.9</v>
      </c>
      <c r="I302" s="19" t="n">
        <f aca="false">IFERROR(VALUE(SUBSTITUTE(TRIM('수출입 실적(신성질별)'!F306),",","")),"")</f>
        <v>4641551</v>
      </c>
    </row>
    <row r="303" customFormat="false" ht="15" hidden="false" customHeight="true" outlineLevel="0" collapsed="false">
      <c r="A303" s="11" t="str">
        <f aca="false">TRIM('수출입 실적(신성질별)'!A307)</f>
        <v>2025.06</v>
      </c>
      <c r="B303" s="17" t="n">
        <f aca="false">IFERROR(VALUE(LEFT($A303,4)),"")</f>
        <v>2025</v>
      </c>
      <c r="C303" s="17" t="n">
        <f aca="false">IFERROR(VALUE(RIGHT($A303,2)),"")</f>
        <v>6</v>
      </c>
      <c r="D303" s="17" t="n">
        <f aca="false">IFERROR(ROUNDUP($C303/3,0),"")</f>
        <v>2</v>
      </c>
      <c r="E303" s="11" t="str">
        <f aca="false">TRIM('수출입 실적(신성질별)'!B307)</f>
        <v>바.기타 원자재</v>
      </c>
      <c r="F303" s="18" t="n">
        <f aca="false">IFERROR(VALUE(SUBSTITUTE(TRIM('수출입 실적(신성질별)'!C307),",","")),"")</f>
        <v>1724</v>
      </c>
      <c r="G303" s="19" t="n">
        <f aca="false">IFERROR(VALUE(SUBSTITUTE(TRIM('수출입 실적(신성질별)'!D307),",","")),"")</f>
        <v>8026</v>
      </c>
      <c r="H303" s="18" t="n">
        <f aca="false">IFERROR(VALUE(SUBSTITUTE(TRIM('수출입 실적(신성질별)'!E307),",","")),"")</f>
        <v>2892.5</v>
      </c>
      <c r="I303" s="19" t="n">
        <f aca="false">IFERROR(VALUE(SUBSTITUTE(TRIM('수출입 실적(신성질별)'!F307),",","")),"")</f>
        <v>8022</v>
      </c>
    </row>
    <row r="304" customFormat="false" ht="15" hidden="false" customHeight="true" outlineLevel="0" collapsed="false">
      <c r="A304" s="11" t="str">
        <f aca="false">TRIM('수출입 실적(신성질별)'!A308)</f>
        <v>2025.06</v>
      </c>
      <c r="B304" s="17" t="n">
        <f aca="false">IFERROR(VALUE(LEFT($A304,4)),"")</f>
        <v>2025</v>
      </c>
      <c r="C304" s="17" t="n">
        <f aca="false">IFERROR(VALUE(RIGHT($A304,2)),"")</f>
        <v>6</v>
      </c>
      <c r="D304" s="17" t="n">
        <f aca="false">IFERROR(ROUNDUP($C304/3,0),"")</f>
        <v>2</v>
      </c>
      <c r="E304" s="11" t="str">
        <f aca="false">TRIM('수출입 실적(신성질별)'!B308)</f>
        <v>3.자본재</v>
      </c>
      <c r="F304" s="18" t="n">
        <f aca="false">IFERROR(VALUE(SUBSTITUTE(TRIM('수출입 실적(신성질별)'!C308),",","")),"")</f>
        <v>2049765.8</v>
      </c>
      <c r="G304" s="19" t="n">
        <f aca="false">IFERROR(VALUE(SUBSTITUTE(TRIM('수출입 실적(신성질별)'!D308),",","")),"")</f>
        <v>35593962</v>
      </c>
      <c r="H304" s="18" t="n">
        <f aca="false">IFERROR(VALUE(SUBSTITUTE(TRIM('수출입 실적(신성질별)'!E308),",","")),"")</f>
        <v>1129162.8</v>
      </c>
      <c r="I304" s="19" t="n">
        <f aca="false">IFERROR(VALUE(SUBSTITUTE(TRIM('수출입 실적(신성질별)'!F308),",","")),"")</f>
        <v>21217237</v>
      </c>
    </row>
    <row r="305" customFormat="false" ht="15" hidden="false" customHeight="true" outlineLevel="0" collapsed="false">
      <c r="A305" s="11" t="str">
        <f aca="false">TRIM('수출입 실적(신성질별)'!A309)</f>
        <v>2025.06</v>
      </c>
      <c r="B305" s="17" t="n">
        <f aca="false">IFERROR(VALUE(LEFT($A305,4)),"")</f>
        <v>2025</v>
      </c>
      <c r="C305" s="17" t="n">
        <f aca="false">IFERROR(VALUE(RIGHT($A305,2)),"")</f>
        <v>6</v>
      </c>
      <c r="D305" s="17" t="n">
        <f aca="false">IFERROR(ROUNDUP($C305/3,0),"")</f>
        <v>2</v>
      </c>
      <c r="E305" s="11" t="str">
        <f aca="false">TRIM('수출입 실적(신성질별)'!B309)</f>
        <v>가.수송장비</v>
      </c>
      <c r="F305" s="18" t="n">
        <f aca="false">IFERROR(VALUE(SUBSTITUTE(TRIM('수출입 실적(신성질별)'!C309),",","")),"")</f>
        <v>1388222.6</v>
      </c>
      <c r="G305" s="19" t="n">
        <f aca="false">IFERROR(VALUE(SUBSTITUTE(TRIM('수출입 실적(신성질별)'!D309),",","")),"")</f>
        <v>6730734</v>
      </c>
      <c r="H305" s="18" t="n">
        <f aca="false">IFERROR(VALUE(SUBSTITUTE(TRIM('수출입 실적(신성질별)'!E309),",","")),"")</f>
        <v>551066.7</v>
      </c>
      <c r="I305" s="19" t="n">
        <f aca="false">IFERROR(VALUE(SUBSTITUTE(TRIM('수출입 실적(신성질별)'!F309),",","")),"")</f>
        <v>2263716</v>
      </c>
    </row>
    <row r="306" customFormat="false" ht="15" hidden="false" customHeight="true" outlineLevel="0" collapsed="false">
      <c r="A306" s="11" t="str">
        <f aca="false">TRIM('수출입 실적(신성질별)'!A310)</f>
        <v>2025.06</v>
      </c>
      <c r="B306" s="17" t="n">
        <f aca="false">IFERROR(VALUE(LEFT($A306,4)),"")</f>
        <v>2025</v>
      </c>
      <c r="C306" s="17" t="n">
        <f aca="false">IFERROR(VALUE(RIGHT($A306,2)),"")</f>
        <v>6</v>
      </c>
      <c r="D306" s="17" t="n">
        <f aca="false">IFERROR(ROUNDUP($C306/3,0),"")</f>
        <v>2</v>
      </c>
      <c r="E306" s="11" t="str">
        <f aca="false">TRIM('수출입 실적(신성질별)'!B310)</f>
        <v>나.기계류</v>
      </c>
      <c r="F306" s="18" t="n">
        <f aca="false">IFERROR(VALUE(SUBSTITUTE(TRIM('수출입 실적(신성질별)'!C310),",","")),"")</f>
        <v>621795.9</v>
      </c>
      <c r="G306" s="19" t="n">
        <f aca="false">IFERROR(VALUE(SUBSTITUTE(TRIM('수출입 실적(신성질별)'!D310),",","")),"")</f>
        <v>9107125</v>
      </c>
      <c r="H306" s="18" t="n">
        <f aca="false">IFERROR(VALUE(SUBSTITUTE(TRIM('수출입 실적(신성질별)'!E310),",","")),"")</f>
        <v>525214.4</v>
      </c>
      <c r="I306" s="19" t="n">
        <f aca="false">IFERROR(VALUE(SUBSTITUTE(TRIM('수출입 실적(신성질별)'!F310),",","")),"")</f>
        <v>9159773</v>
      </c>
    </row>
    <row r="307" customFormat="false" ht="15" hidden="false" customHeight="true" outlineLevel="0" collapsed="false">
      <c r="A307" s="11" t="str">
        <f aca="false">TRIM('수출입 실적(신성질별)'!A311)</f>
        <v>2025.06</v>
      </c>
      <c r="B307" s="17" t="n">
        <f aca="false">IFERROR(VALUE(LEFT($A307,4)),"")</f>
        <v>2025</v>
      </c>
      <c r="C307" s="17" t="n">
        <f aca="false">IFERROR(VALUE(RIGHT($A307,2)),"")</f>
        <v>6</v>
      </c>
      <c r="D307" s="17" t="n">
        <f aca="false">IFERROR(ROUNDUP($C307/3,0),"")</f>
        <v>2</v>
      </c>
      <c r="E307" s="11" t="str">
        <f aca="false">TRIM('수출입 실적(신성질별)'!B311)</f>
        <v>다.IT제품</v>
      </c>
      <c r="F307" s="18" t="n">
        <f aca="false">IFERROR(VALUE(SUBSTITUTE(TRIM('수출입 실적(신성질별)'!C311),",","")),"")</f>
        <v>10986.4</v>
      </c>
      <c r="G307" s="19" t="n">
        <f aca="false">IFERROR(VALUE(SUBSTITUTE(TRIM('수출입 실적(신성질별)'!D311),",","")),"")</f>
        <v>3295580</v>
      </c>
      <c r="H307" s="18" t="n">
        <f aca="false">IFERROR(VALUE(SUBSTITUTE(TRIM('수출입 실적(신성질별)'!E311),",","")),"")</f>
        <v>16065</v>
      </c>
      <c r="I307" s="19" t="n">
        <f aca="false">IFERROR(VALUE(SUBSTITUTE(TRIM('수출입 실적(신성질별)'!F311),",","")),"")</f>
        <v>2444851</v>
      </c>
    </row>
    <row r="308" customFormat="false" ht="15" hidden="false" customHeight="true" outlineLevel="0" collapsed="false">
      <c r="A308" s="11" t="str">
        <f aca="false">TRIM('수출입 실적(신성질별)'!A312)</f>
        <v>2025.06</v>
      </c>
      <c r="B308" s="17" t="n">
        <f aca="false">IFERROR(VALUE(LEFT($A308,4)),"")</f>
        <v>2025</v>
      </c>
      <c r="C308" s="17" t="n">
        <f aca="false">IFERROR(VALUE(RIGHT($A308,2)),"")</f>
        <v>6</v>
      </c>
      <c r="D308" s="17" t="n">
        <f aca="false">IFERROR(ROUNDUP($C308/3,0),"")</f>
        <v>2</v>
      </c>
      <c r="E308" s="11" t="str">
        <f aca="false">TRIM('수출입 실적(신성질별)'!B312)</f>
        <v>라.IT부품</v>
      </c>
      <c r="F308" s="18" t="n">
        <f aca="false">IFERROR(VALUE(SUBSTITUTE(TRIM('수출입 실적(신성질별)'!C312),",","")),"")</f>
        <v>28760.9</v>
      </c>
      <c r="G308" s="19" t="n">
        <f aca="false">IFERROR(VALUE(SUBSTITUTE(TRIM('수출입 실적(신성질별)'!D312),",","")),"")</f>
        <v>16460523</v>
      </c>
      <c r="H308" s="18" t="n">
        <f aca="false">IFERROR(VALUE(SUBSTITUTE(TRIM('수출입 실적(신성질별)'!E312),",","")),"")</f>
        <v>36816.7</v>
      </c>
      <c r="I308" s="19" t="n">
        <f aca="false">IFERROR(VALUE(SUBSTITUTE(TRIM('수출입 실적(신성질별)'!F312),",","")),"")</f>
        <v>7348897</v>
      </c>
    </row>
    <row r="309" customFormat="false" ht="15" hidden="false" customHeight="true" outlineLevel="0" collapsed="false">
      <c r="A309" s="11" t="str">
        <f aca="false">TRIM('수출입 실적(신성질별)'!A313)</f>
        <v>2025.07</v>
      </c>
      <c r="B309" s="17" t="n">
        <f aca="false">IFERROR(VALUE(LEFT($A309,4)),"")</f>
        <v>2025</v>
      </c>
      <c r="C309" s="17" t="n">
        <f aca="false">IFERROR(VALUE(RIGHT($A309,2)),"")</f>
        <v>7</v>
      </c>
      <c r="D309" s="17" t="n">
        <f aca="false">IFERROR(ROUNDUP($C309/3,0),"")</f>
        <v>3</v>
      </c>
      <c r="E309" s="11" t="str">
        <f aca="false">TRIM('수출입 실적(신성질별)'!B313)</f>
        <v>1.소비재</v>
      </c>
      <c r="F309" s="18" t="n">
        <f aca="false">IFERROR(VALUE(SUBSTITUTE(TRIM('수출입 실적(신성질별)'!C313),",","")),"")</f>
        <v>953777.9</v>
      </c>
      <c r="G309" s="19" t="n">
        <f aca="false">IFERROR(VALUE(SUBSTITUTE(TRIM('수출입 실적(신성질별)'!D313),",","")),"")</f>
        <v>8020782</v>
      </c>
      <c r="H309" s="18" t="n">
        <f aca="false">IFERROR(VALUE(SUBSTITUTE(TRIM('수출입 실적(신성질별)'!E313),",","")),"")</f>
        <v>2080314.2</v>
      </c>
      <c r="I309" s="19" t="n">
        <f aca="false">IFERROR(VALUE(SUBSTITUTE(TRIM('수출입 실적(신성질별)'!F313),",","")),"")</f>
        <v>7850147</v>
      </c>
    </row>
    <row r="310" customFormat="false" ht="15" hidden="false" customHeight="true" outlineLevel="0" collapsed="false">
      <c r="A310" s="11" t="str">
        <f aca="false">TRIM('수출입 실적(신성질별)'!A314)</f>
        <v>2025.07</v>
      </c>
      <c r="B310" s="17" t="n">
        <f aca="false">IFERROR(VALUE(LEFT($A310,4)),"")</f>
        <v>2025</v>
      </c>
      <c r="C310" s="17" t="n">
        <f aca="false">IFERROR(VALUE(RIGHT($A310,2)),"")</f>
        <v>7</v>
      </c>
      <c r="D310" s="17" t="n">
        <f aca="false">IFERROR(ROUNDUP($C310/3,0),"")</f>
        <v>3</v>
      </c>
      <c r="E310" s="11" t="str">
        <f aca="false">TRIM('수출입 실적(신성질별)'!B314)</f>
        <v>가.직접소비재</v>
      </c>
      <c r="F310" s="18" t="n">
        <f aca="false">IFERROR(VALUE(SUBSTITUTE(TRIM('수출입 실적(신성질별)'!C314),",","")),"")</f>
        <v>292583.5</v>
      </c>
      <c r="G310" s="19" t="n">
        <f aca="false">IFERROR(VALUE(SUBSTITUTE(TRIM('수출입 실적(신성질별)'!D314),",","")),"")</f>
        <v>978427</v>
      </c>
      <c r="H310" s="18" t="n">
        <f aca="false">IFERROR(VALUE(SUBSTITUTE(TRIM('수출입 실적(신성질별)'!E314),",","")),"")</f>
        <v>1676394.8</v>
      </c>
      <c r="I310" s="19" t="n">
        <f aca="false">IFERROR(VALUE(SUBSTITUTE(TRIM('수출입 실적(신성질별)'!F314),",","")),"")</f>
        <v>2890779</v>
      </c>
    </row>
    <row r="311" customFormat="false" ht="15" hidden="false" customHeight="true" outlineLevel="0" collapsed="false">
      <c r="A311" s="11" t="str">
        <f aca="false">TRIM('수출입 실적(신성질별)'!A315)</f>
        <v>2025.07</v>
      </c>
      <c r="B311" s="17" t="n">
        <f aca="false">IFERROR(VALUE(LEFT($A311,4)),"")</f>
        <v>2025</v>
      </c>
      <c r="C311" s="17" t="n">
        <f aca="false">IFERROR(VALUE(RIGHT($A311,2)),"")</f>
        <v>7</v>
      </c>
      <c r="D311" s="17" t="n">
        <f aca="false">IFERROR(ROUNDUP($C311/3,0),"")</f>
        <v>3</v>
      </c>
      <c r="E311" s="11" t="str">
        <f aca="false">TRIM('수출입 실적(신성질별)'!B315)</f>
        <v>나.내구소비재</v>
      </c>
      <c r="F311" s="18" t="n">
        <f aca="false">IFERROR(VALUE(SUBSTITUTE(TRIM('수출입 실적(신성질별)'!C315),",","")),"")</f>
        <v>494504.2</v>
      </c>
      <c r="G311" s="19" t="n">
        <f aca="false">IFERROR(VALUE(SUBSTITUTE(TRIM('수출입 실적(신성질별)'!D315),",","")),"")</f>
        <v>5324181</v>
      </c>
      <c r="H311" s="18" t="n">
        <f aca="false">IFERROR(VALUE(SUBSTITUTE(TRIM('수출입 실적(신성질별)'!E315),",","")),"")</f>
        <v>235062.7</v>
      </c>
      <c r="I311" s="19" t="n">
        <f aca="false">IFERROR(VALUE(SUBSTITUTE(TRIM('수출입 실적(신성질별)'!F315),",","")),"")</f>
        <v>2583283</v>
      </c>
    </row>
    <row r="312" customFormat="false" ht="15" hidden="false" customHeight="true" outlineLevel="0" collapsed="false">
      <c r="A312" s="11" t="str">
        <f aca="false">TRIM('수출입 실적(신성질별)'!A316)</f>
        <v>2025.07</v>
      </c>
      <c r="B312" s="17" t="n">
        <f aca="false">IFERROR(VALUE(LEFT($A312,4)),"")</f>
        <v>2025</v>
      </c>
      <c r="C312" s="17" t="n">
        <f aca="false">IFERROR(VALUE(RIGHT($A312,2)),"")</f>
        <v>7</v>
      </c>
      <c r="D312" s="17" t="n">
        <f aca="false">IFERROR(ROUNDUP($C312/3,0),"")</f>
        <v>3</v>
      </c>
      <c r="E312" s="11" t="str">
        <f aca="false">TRIM('수출입 실적(신성질별)'!B316)</f>
        <v>다.비내구소비재</v>
      </c>
      <c r="F312" s="18" t="n">
        <f aca="false">IFERROR(VALUE(SUBSTITUTE(TRIM('수출입 실적(신성질별)'!C316),",","")),"")</f>
        <v>162728.9</v>
      </c>
      <c r="G312" s="19" t="n">
        <f aca="false">IFERROR(VALUE(SUBSTITUTE(TRIM('수출입 실적(신성질별)'!D316),",","")),"")</f>
        <v>1713676</v>
      </c>
      <c r="H312" s="18" t="n">
        <f aca="false">IFERROR(VALUE(SUBSTITUTE(TRIM('수출입 실적(신성질별)'!E316),",","")),"")</f>
        <v>168856.6</v>
      </c>
      <c r="I312" s="19" t="n">
        <f aca="false">IFERROR(VALUE(SUBSTITUTE(TRIM('수출입 실적(신성질별)'!F316),",","")),"")</f>
        <v>2376084</v>
      </c>
    </row>
    <row r="313" customFormat="false" ht="15" hidden="false" customHeight="true" outlineLevel="0" collapsed="false">
      <c r="A313" s="11" t="str">
        <f aca="false">TRIM('수출입 실적(신성질별)'!A317)</f>
        <v>2025.07</v>
      </c>
      <c r="B313" s="17" t="n">
        <f aca="false">IFERROR(VALUE(LEFT($A313,4)),"")</f>
        <v>2025</v>
      </c>
      <c r="C313" s="17" t="n">
        <f aca="false">IFERROR(VALUE(RIGHT($A313,2)),"")</f>
        <v>7</v>
      </c>
      <c r="D313" s="17" t="n">
        <f aca="false">IFERROR(ROUNDUP($C313/3,0),"")</f>
        <v>3</v>
      </c>
      <c r="E313" s="11" t="str">
        <f aca="false">TRIM('수출입 실적(신성질별)'!B317)</f>
        <v>라.간이세율적용분</v>
      </c>
      <c r="F313" s="18" t="n">
        <f aca="false">IFERROR(VALUE(SUBSTITUTE(TRIM('수출입 실적(신성질별)'!C317),",","")),"")</f>
        <v>3961.4</v>
      </c>
      <c r="G313" s="19" t="n">
        <f aca="false">IFERROR(VALUE(SUBSTITUTE(TRIM('수출입 실적(신성질별)'!D317),",","")),"")</f>
        <v>4498</v>
      </c>
      <c r="H313" s="18" t="n">
        <f aca="false">IFERROR(VALUE(SUBSTITUTE(TRIM('수출입 실적(신성질별)'!E317),",","")),"")</f>
        <v>0</v>
      </c>
      <c r="I313" s="19" t="n">
        <f aca="false">IFERROR(VALUE(SUBSTITUTE(TRIM('수출입 실적(신성질별)'!F317),",","")),"")</f>
        <v>0</v>
      </c>
    </row>
    <row r="314" customFormat="false" ht="15" hidden="false" customHeight="true" outlineLevel="0" collapsed="false">
      <c r="A314" s="11" t="str">
        <f aca="false">TRIM('수출입 실적(신성질별)'!A318)</f>
        <v>2025.07</v>
      </c>
      <c r="B314" s="17" t="n">
        <f aca="false">IFERROR(VALUE(LEFT($A314,4)),"")</f>
        <v>2025</v>
      </c>
      <c r="C314" s="17" t="n">
        <f aca="false">IFERROR(VALUE(RIGHT($A314,2)),"")</f>
        <v>7</v>
      </c>
      <c r="D314" s="17" t="n">
        <f aca="false">IFERROR(ROUNDUP($C314/3,0),"")</f>
        <v>3</v>
      </c>
      <c r="E314" s="11" t="str">
        <f aca="false">TRIM('수출입 실적(신성질별)'!B318)</f>
        <v>2.원자재</v>
      </c>
      <c r="F314" s="18" t="n">
        <f aca="false">IFERROR(VALUE(SUBSTITUTE(TRIM('수출입 실적(신성질별)'!C318),",","")),"")</f>
        <v>14680249.7</v>
      </c>
      <c r="G314" s="19" t="n">
        <f aca="false">IFERROR(VALUE(SUBSTITUTE(TRIM('수출입 실적(신성질별)'!D318),",","")),"")</f>
        <v>17071052</v>
      </c>
      <c r="H314" s="18" t="n">
        <f aca="false">IFERROR(VALUE(SUBSTITUTE(TRIM('수출입 실적(신성질별)'!E318),",","")),"")</f>
        <v>44405740.3</v>
      </c>
      <c r="I314" s="19" t="n">
        <f aca="false">IFERROR(VALUE(SUBSTITUTE(TRIM('수출입 실적(신성질별)'!F318),",","")),"")</f>
        <v>24368736</v>
      </c>
    </row>
    <row r="315" customFormat="false" ht="15" hidden="false" customHeight="true" outlineLevel="0" collapsed="false">
      <c r="A315" s="11" t="str">
        <f aca="false">TRIM('수출입 실적(신성질별)'!A319)</f>
        <v>2025.07</v>
      </c>
      <c r="B315" s="17" t="n">
        <f aca="false">IFERROR(VALUE(LEFT($A315,4)),"")</f>
        <v>2025</v>
      </c>
      <c r="C315" s="17" t="n">
        <f aca="false">IFERROR(VALUE(RIGHT($A315,2)),"")</f>
        <v>7</v>
      </c>
      <c r="D315" s="17" t="n">
        <f aca="false">IFERROR(ROUNDUP($C315/3,0),"")</f>
        <v>3</v>
      </c>
      <c r="E315" s="11" t="str">
        <f aca="false">TRIM('수출입 실적(신성질별)'!B319)</f>
        <v>가.동식물성 연·원료</v>
      </c>
      <c r="F315" s="18" t="n">
        <f aca="false">IFERROR(VALUE(SUBSTITUTE(TRIM('수출입 실적(신성질별)'!C319),",","")),"")</f>
        <v>373288.6</v>
      </c>
      <c r="G315" s="19" t="n">
        <f aca="false">IFERROR(VALUE(SUBSTITUTE(TRIM('수출입 실적(신성질별)'!D319),",","")),"")</f>
        <v>466523</v>
      </c>
      <c r="H315" s="18" t="n">
        <f aca="false">IFERROR(VALUE(SUBSTITUTE(TRIM('수출입 실적(신성질별)'!E319),",","")),"")</f>
        <v>2707580.3</v>
      </c>
      <c r="I315" s="19" t="n">
        <f aca="false">IFERROR(VALUE(SUBSTITUTE(TRIM('수출입 실적(신성질별)'!F319),",","")),"")</f>
        <v>1458473</v>
      </c>
    </row>
    <row r="316" customFormat="false" ht="15" hidden="false" customHeight="true" outlineLevel="0" collapsed="false">
      <c r="A316" s="11" t="str">
        <f aca="false">TRIM('수출입 실적(신성질별)'!A320)</f>
        <v>2025.07</v>
      </c>
      <c r="B316" s="17" t="n">
        <f aca="false">IFERROR(VALUE(LEFT($A316,4)),"")</f>
        <v>2025</v>
      </c>
      <c r="C316" s="17" t="n">
        <f aca="false">IFERROR(VALUE(RIGHT($A316,2)),"")</f>
        <v>7</v>
      </c>
      <c r="D316" s="17" t="n">
        <f aca="false">IFERROR(ROUNDUP($C316/3,0),"")</f>
        <v>3</v>
      </c>
      <c r="E316" s="11" t="str">
        <f aca="false">TRIM('수출입 실적(신성질별)'!B320)</f>
        <v>나.섬유류</v>
      </c>
      <c r="F316" s="18" t="n">
        <f aca="false">IFERROR(VALUE(SUBSTITUTE(TRIM('수출입 실적(신성질별)'!C320),",","")),"")</f>
        <v>115646.5</v>
      </c>
      <c r="G316" s="19" t="n">
        <f aca="false">IFERROR(VALUE(SUBSTITUTE(TRIM('수출입 실적(신성질별)'!D320),",","")),"")</f>
        <v>582466</v>
      </c>
      <c r="H316" s="18" t="n">
        <f aca="false">IFERROR(VALUE(SUBSTITUTE(TRIM('수출입 실적(신성질별)'!E320),",","")),"")</f>
        <v>104122.5</v>
      </c>
      <c r="I316" s="19" t="n">
        <f aca="false">IFERROR(VALUE(SUBSTITUTE(TRIM('수출입 실적(신성질별)'!F320),",","")),"")</f>
        <v>333185</v>
      </c>
    </row>
    <row r="317" customFormat="false" ht="15" hidden="false" customHeight="true" outlineLevel="0" collapsed="false">
      <c r="A317" s="11" t="str">
        <f aca="false">TRIM('수출입 실적(신성질별)'!A321)</f>
        <v>2025.07</v>
      </c>
      <c r="B317" s="17" t="n">
        <f aca="false">IFERROR(VALUE(LEFT($A317,4)),"")</f>
        <v>2025</v>
      </c>
      <c r="C317" s="17" t="n">
        <f aca="false">IFERROR(VALUE(RIGHT($A317,2)),"")</f>
        <v>7</v>
      </c>
      <c r="D317" s="17" t="n">
        <f aca="false">IFERROR(ROUNDUP($C317/3,0),"")</f>
        <v>3</v>
      </c>
      <c r="E317" s="11" t="str">
        <f aca="false">TRIM('수출입 실적(신성질별)'!B321)</f>
        <v>다.광산물</v>
      </c>
      <c r="F317" s="18" t="n">
        <f aca="false">IFERROR(VALUE(SUBSTITUTE(TRIM('수출입 실적(신성질별)'!C321),",","")),"")</f>
        <v>6967382.8</v>
      </c>
      <c r="G317" s="19" t="n">
        <f aca="false">IFERROR(VALUE(SUBSTITUTE(TRIM('수출입 실적(신성질별)'!D321),",","")),"")</f>
        <v>5198328</v>
      </c>
      <c r="H317" s="18" t="n">
        <f aca="false">IFERROR(VALUE(SUBSTITUTE(TRIM('수출입 실적(신성질별)'!E321),",","")),"")</f>
        <v>37720808.4</v>
      </c>
      <c r="I317" s="19" t="n">
        <f aca="false">IFERROR(VALUE(SUBSTITUTE(TRIM('수출입 실적(신성질별)'!F321),",","")),"")</f>
        <v>14421581</v>
      </c>
    </row>
    <row r="318" customFormat="false" ht="15" hidden="false" customHeight="true" outlineLevel="0" collapsed="false">
      <c r="A318" s="11" t="str">
        <f aca="false">TRIM('수출입 실적(신성질별)'!A322)</f>
        <v>2025.07</v>
      </c>
      <c r="B318" s="17" t="n">
        <f aca="false">IFERROR(VALUE(LEFT($A318,4)),"")</f>
        <v>2025</v>
      </c>
      <c r="C318" s="17" t="n">
        <f aca="false">IFERROR(VALUE(RIGHT($A318,2)),"")</f>
        <v>7</v>
      </c>
      <c r="D318" s="17" t="n">
        <f aca="false">IFERROR(ROUNDUP($C318/3,0),"")</f>
        <v>3</v>
      </c>
      <c r="E318" s="11" t="str">
        <f aca="false">TRIM('수출입 실적(신성질별)'!B322)</f>
        <v>라.철강 및 금속제품</v>
      </c>
      <c r="F318" s="18" t="n">
        <f aca="false">IFERROR(VALUE(SUBSTITUTE(TRIM('수출입 실적(신성질별)'!C322),",","")),"")</f>
        <v>2759085.9</v>
      </c>
      <c r="G318" s="19" t="n">
        <f aca="false">IFERROR(VALUE(SUBSTITUTE(TRIM('수출입 실적(신성질별)'!D322),",","")),"")</f>
        <v>3680098</v>
      </c>
      <c r="H318" s="18" t="n">
        <f aca="false">IFERROR(VALUE(SUBSTITUTE(TRIM('수출입 실적(신성질별)'!E322),",","")),"")</f>
        <v>1981767</v>
      </c>
      <c r="I318" s="19" t="n">
        <f aca="false">IFERROR(VALUE(SUBSTITUTE(TRIM('수출입 실적(신성질별)'!F322),",","")),"")</f>
        <v>3100812</v>
      </c>
    </row>
    <row r="319" customFormat="false" ht="15" hidden="false" customHeight="true" outlineLevel="0" collapsed="false">
      <c r="A319" s="11" t="str">
        <f aca="false">TRIM('수출입 실적(신성질별)'!A323)</f>
        <v>2025.07</v>
      </c>
      <c r="B319" s="17" t="n">
        <f aca="false">IFERROR(VALUE(LEFT($A319,4)),"")</f>
        <v>2025</v>
      </c>
      <c r="C319" s="17" t="n">
        <f aca="false">IFERROR(VALUE(RIGHT($A319,2)),"")</f>
        <v>7</v>
      </c>
      <c r="D319" s="17" t="n">
        <f aca="false">IFERROR(ROUNDUP($C319/3,0),"")</f>
        <v>3</v>
      </c>
      <c r="E319" s="11" t="str">
        <f aca="false">TRIM('수출입 실적(신성질별)'!B323)</f>
        <v>마.화학공업제품</v>
      </c>
      <c r="F319" s="18" t="n">
        <f aca="false">IFERROR(VALUE(SUBSTITUTE(TRIM('수출입 실적(신성질별)'!C323),",","")),"")</f>
        <v>4462299.3</v>
      </c>
      <c r="G319" s="19" t="n">
        <f aca="false">IFERROR(VALUE(SUBSTITUTE(TRIM('수출입 실적(신성질별)'!D323),",","")),"")</f>
        <v>7134248</v>
      </c>
      <c r="H319" s="18" t="n">
        <f aca="false">IFERROR(VALUE(SUBSTITUTE(TRIM('수출입 실적(신성질별)'!E323),",","")),"")</f>
        <v>1888615</v>
      </c>
      <c r="I319" s="19" t="n">
        <f aca="false">IFERROR(VALUE(SUBSTITUTE(TRIM('수출입 실적(신성질별)'!F323),",","")),"")</f>
        <v>5047401</v>
      </c>
    </row>
    <row r="320" customFormat="false" ht="15" hidden="false" customHeight="true" outlineLevel="0" collapsed="false">
      <c r="A320" s="11" t="str">
        <f aca="false">TRIM('수출입 실적(신성질별)'!A324)</f>
        <v>2025.07</v>
      </c>
      <c r="B320" s="17" t="n">
        <f aca="false">IFERROR(VALUE(LEFT($A320,4)),"")</f>
        <v>2025</v>
      </c>
      <c r="C320" s="17" t="n">
        <f aca="false">IFERROR(VALUE(RIGHT($A320,2)),"")</f>
        <v>7</v>
      </c>
      <c r="D320" s="17" t="n">
        <f aca="false">IFERROR(ROUNDUP($C320/3,0),"")</f>
        <v>3</v>
      </c>
      <c r="E320" s="11" t="str">
        <f aca="false">TRIM('수출입 실적(신성질별)'!B324)</f>
        <v>바.기타 원자재</v>
      </c>
      <c r="F320" s="18" t="n">
        <f aca="false">IFERROR(VALUE(SUBSTITUTE(TRIM('수출입 실적(신성질별)'!C324),",","")),"")</f>
        <v>2546.6</v>
      </c>
      <c r="G320" s="19" t="n">
        <f aca="false">IFERROR(VALUE(SUBSTITUTE(TRIM('수출입 실적(신성질별)'!D324),",","")),"")</f>
        <v>9390</v>
      </c>
      <c r="H320" s="18" t="n">
        <f aca="false">IFERROR(VALUE(SUBSTITUTE(TRIM('수출입 실적(신성질별)'!E324),",","")),"")</f>
        <v>2847</v>
      </c>
      <c r="I320" s="19" t="n">
        <f aca="false">IFERROR(VALUE(SUBSTITUTE(TRIM('수출입 실적(신성질별)'!F324),",","")),"")</f>
        <v>7284</v>
      </c>
    </row>
    <row r="321" customFormat="false" ht="15" hidden="false" customHeight="true" outlineLevel="0" collapsed="false">
      <c r="A321" s="11" t="str">
        <f aca="false">TRIM('수출입 실적(신성질별)'!A325)</f>
        <v>2025.07</v>
      </c>
      <c r="B321" s="17" t="n">
        <f aca="false">IFERROR(VALUE(LEFT($A321,4)),"")</f>
        <v>2025</v>
      </c>
      <c r="C321" s="17" t="n">
        <f aca="false">IFERROR(VALUE(RIGHT($A321,2)),"")</f>
        <v>7</v>
      </c>
      <c r="D321" s="17" t="n">
        <f aca="false">IFERROR(ROUNDUP($C321/3,0),"")</f>
        <v>3</v>
      </c>
      <c r="E321" s="11" t="str">
        <f aca="false">TRIM('수출입 실적(신성질별)'!B325)</f>
        <v>3.자본재</v>
      </c>
      <c r="F321" s="18" t="n">
        <f aca="false">IFERROR(VALUE(SUBSTITUTE(TRIM('수출입 실적(신성질별)'!C325),",","")),"")</f>
        <v>1946810.6</v>
      </c>
      <c r="G321" s="19" t="n">
        <f aca="false">IFERROR(VALUE(SUBSTITUTE(TRIM('수출입 실적(신성질별)'!D325),",","")),"")</f>
        <v>35632489</v>
      </c>
      <c r="H321" s="18" t="n">
        <f aca="false">IFERROR(VALUE(SUBSTITUTE(TRIM('수출입 실적(신성질별)'!E325),",","")),"")</f>
        <v>1054161.5</v>
      </c>
      <c r="I321" s="19" t="n">
        <f aca="false">IFERROR(VALUE(SUBSTITUTE(TRIM('수출입 실적(신성질별)'!F325),",","")),"")</f>
        <v>21991488</v>
      </c>
    </row>
    <row r="322" customFormat="false" ht="15" hidden="false" customHeight="true" outlineLevel="0" collapsed="false">
      <c r="A322" s="11" t="str">
        <f aca="false">TRIM('수출입 실적(신성질별)'!A326)</f>
        <v>2025.07</v>
      </c>
      <c r="B322" s="17" t="n">
        <f aca="false">IFERROR(VALUE(LEFT($A322,4)),"")</f>
        <v>2025</v>
      </c>
      <c r="C322" s="17" t="n">
        <f aca="false">IFERROR(VALUE(RIGHT($A322,2)),"")</f>
        <v>7</v>
      </c>
      <c r="D322" s="17" t="n">
        <f aca="false">IFERROR(ROUNDUP($C322/3,0),"")</f>
        <v>3</v>
      </c>
      <c r="E322" s="11" t="str">
        <f aca="false">TRIM('수출입 실적(신성질별)'!B326)</f>
        <v>가.수송장비</v>
      </c>
      <c r="F322" s="18" t="n">
        <f aca="false">IFERROR(VALUE(SUBSTITUTE(TRIM('수출입 실적(신성질별)'!C326),",","")),"")</f>
        <v>1225208.3</v>
      </c>
      <c r="G322" s="19" t="n">
        <f aca="false">IFERROR(VALUE(SUBSTITUTE(TRIM('수출입 실적(신성질별)'!D326),",","")),"")</f>
        <v>6379323</v>
      </c>
      <c r="H322" s="18" t="n">
        <f aca="false">IFERROR(VALUE(SUBSTITUTE(TRIM('수출입 실적(신성질별)'!E326),",","")),"")</f>
        <v>454467.7</v>
      </c>
      <c r="I322" s="19" t="n">
        <f aca="false">IFERROR(VALUE(SUBSTITUTE(TRIM('수출입 실적(신성질별)'!F326),",","")),"")</f>
        <v>2386239</v>
      </c>
    </row>
    <row r="323" customFormat="false" ht="15" hidden="false" customHeight="true" outlineLevel="0" collapsed="false">
      <c r="A323" s="11" t="str">
        <f aca="false">TRIM('수출입 실적(신성질별)'!A327)</f>
        <v>2025.07</v>
      </c>
      <c r="B323" s="17" t="n">
        <f aca="false">IFERROR(VALUE(LEFT($A323,4)),"")</f>
        <v>2025</v>
      </c>
      <c r="C323" s="17" t="n">
        <f aca="false">IFERROR(VALUE(RIGHT($A323,2)),"")</f>
        <v>7</v>
      </c>
      <c r="D323" s="17" t="n">
        <f aca="false">IFERROR(ROUNDUP($C323/3,0),"")</f>
        <v>3</v>
      </c>
      <c r="E323" s="11" t="str">
        <f aca="false">TRIM('수출입 실적(신성질별)'!B327)</f>
        <v>나.기계류</v>
      </c>
      <c r="F323" s="18" t="n">
        <f aca="false">IFERROR(VALUE(SUBSTITUTE(TRIM('수출입 실적(신성질별)'!C327),",","")),"")</f>
        <v>677731.2</v>
      </c>
      <c r="G323" s="19" t="n">
        <f aca="false">IFERROR(VALUE(SUBSTITUTE(TRIM('수출입 실적(신성질별)'!D327),",","")),"")</f>
        <v>9402707</v>
      </c>
      <c r="H323" s="18" t="n">
        <f aca="false">IFERROR(VALUE(SUBSTITUTE(TRIM('수출입 실적(신성질별)'!E327),",","")),"")</f>
        <v>545394.2</v>
      </c>
      <c r="I323" s="19" t="n">
        <f aca="false">IFERROR(VALUE(SUBSTITUTE(TRIM('수출입 실적(신성질별)'!F327),",","")),"")</f>
        <v>9027901</v>
      </c>
    </row>
    <row r="324" customFormat="false" ht="15" hidden="false" customHeight="true" outlineLevel="0" collapsed="false">
      <c r="A324" s="11" t="str">
        <f aca="false">TRIM('수출입 실적(신성질별)'!A328)</f>
        <v>2025.07</v>
      </c>
      <c r="B324" s="17" t="n">
        <f aca="false">IFERROR(VALUE(LEFT($A324,4)),"")</f>
        <v>2025</v>
      </c>
      <c r="C324" s="17" t="n">
        <f aca="false">IFERROR(VALUE(RIGHT($A324,2)),"")</f>
        <v>7</v>
      </c>
      <c r="D324" s="17" t="n">
        <f aca="false">IFERROR(ROUNDUP($C324/3,0),"")</f>
        <v>3</v>
      </c>
      <c r="E324" s="11" t="str">
        <f aca="false">TRIM('수출입 실적(신성질별)'!B328)</f>
        <v>다.IT제품</v>
      </c>
      <c r="F324" s="18" t="n">
        <f aca="false">IFERROR(VALUE(SUBSTITUTE(TRIM('수출입 실적(신성질별)'!C328),",","")),"")</f>
        <v>14894.8</v>
      </c>
      <c r="G324" s="19" t="n">
        <f aca="false">IFERROR(VALUE(SUBSTITUTE(TRIM('수출입 실적(신성질별)'!D328),",","")),"")</f>
        <v>3534929</v>
      </c>
      <c r="H324" s="18" t="n">
        <f aca="false">IFERROR(VALUE(SUBSTITUTE(TRIM('수출입 실적(신성질별)'!E328),",","")),"")</f>
        <v>16829.5</v>
      </c>
      <c r="I324" s="19" t="n">
        <f aca="false">IFERROR(VALUE(SUBSTITUTE(TRIM('수출입 실적(신성질별)'!F328),",","")),"")</f>
        <v>2849379</v>
      </c>
    </row>
    <row r="325" customFormat="false" ht="15" hidden="false" customHeight="true" outlineLevel="0" collapsed="false">
      <c r="A325" s="11" t="str">
        <f aca="false">TRIM('수출입 실적(신성질별)'!A329)</f>
        <v>2025.07</v>
      </c>
      <c r="B325" s="17" t="n">
        <f aca="false">IFERROR(VALUE(LEFT($A325,4)),"")</f>
        <v>2025</v>
      </c>
      <c r="C325" s="17" t="n">
        <f aca="false">IFERROR(VALUE(RIGHT($A325,2)),"")</f>
        <v>7</v>
      </c>
      <c r="D325" s="17" t="n">
        <f aca="false">IFERROR(ROUNDUP($C325/3,0),"")</f>
        <v>3</v>
      </c>
      <c r="E325" s="11" t="str">
        <f aca="false">TRIM('수출입 실적(신성질별)'!B329)</f>
        <v>라.IT부품</v>
      </c>
      <c r="F325" s="18" t="n">
        <f aca="false">IFERROR(VALUE(SUBSTITUTE(TRIM('수출입 실적(신성질별)'!C329),",","")),"")</f>
        <v>28976.2</v>
      </c>
      <c r="G325" s="19" t="n">
        <f aca="false">IFERROR(VALUE(SUBSTITUTE(TRIM('수출입 실적(신성질별)'!D329),",","")),"")</f>
        <v>16315529</v>
      </c>
      <c r="H325" s="18" t="n">
        <f aca="false">IFERROR(VALUE(SUBSTITUTE(TRIM('수출입 실적(신성질별)'!E329),",","")),"")</f>
        <v>37470.1</v>
      </c>
      <c r="I325" s="19" t="n">
        <f aca="false">IFERROR(VALUE(SUBSTITUTE(TRIM('수출입 실적(신성질별)'!F329),",","")),"")</f>
        <v>7727969</v>
      </c>
    </row>
    <row r="326" customFormat="false" ht="15" hidden="false" customHeight="true" outlineLevel="0" collapsed="false">
      <c r="A326" s="11" t="str">
        <f aca="false">TRIM('수출입 실적(신성질별)'!A330)</f>
        <v>2025.08</v>
      </c>
      <c r="B326" s="17" t="n">
        <f aca="false">IFERROR(VALUE(LEFT($A326,4)),"")</f>
        <v>2025</v>
      </c>
      <c r="C326" s="17" t="n">
        <f aca="false">IFERROR(VALUE(RIGHT($A326,2)),"")</f>
        <v>8</v>
      </c>
      <c r="D326" s="17" t="n">
        <f aca="false">IFERROR(ROUNDUP($C326/3,0),"")</f>
        <v>3</v>
      </c>
      <c r="E326" s="11" t="str">
        <f aca="false">TRIM('수출입 실적(신성질별)'!B330)</f>
        <v>1.소비재</v>
      </c>
      <c r="F326" s="18" t="n">
        <f aca="false">IFERROR(VALUE(SUBSTITUTE(TRIM('수출입 실적(신성질별)'!C330),",","")),"")</f>
        <v>844376.3</v>
      </c>
      <c r="G326" s="19" t="n">
        <f aca="false">IFERROR(VALUE(SUBSTITUTE(TRIM('수출입 실적(신성질별)'!D330),",","")),"")</f>
        <v>7242562</v>
      </c>
      <c r="H326" s="18" t="n">
        <f aca="false">IFERROR(VALUE(SUBSTITUTE(TRIM('수출입 실적(신성질별)'!E330),",","")),"")</f>
        <v>2066389.3</v>
      </c>
      <c r="I326" s="19" t="n">
        <f aca="false">IFERROR(VALUE(SUBSTITUTE(TRIM('수출입 실적(신성질별)'!F330),",","")),"")</f>
        <v>7498399</v>
      </c>
    </row>
    <row r="327" customFormat="false" ht="15" hidden="false" customHeight="true" outlineLevel="0" collapsed="false">
      <c r="A327" s="11" t="str">
        <f aca="false">TRIM('수출입 실적(신성질별)'!A331)</f>
        <v>2025.08</v>
      </c>
      <c r="B327" s="17" t="n">
        <f aca="false">IFERROR(VALUE(LEFT($A327,4)),"")</f>
        <v>2025</v>
      </c>
      <c r="C327" s="17" t="n">
        <f aca="false">IFERROR(VALUE(RIGHT($A327,2)),"")</f>
        <v>8</v>
      </c>
      <c r="D327" s="17" t="n">
        <f aca="false">IFERROR(ROUNDUP($C327/3,0),"")</f>
        <v>3</v>
      </c>
      <c r="E327" s="11" t="str">
        <f aca="false">TRIM('수출입 실적(신성질별)'!B331)</f>
        <v>가.직접소비재</v>
      </c>
      <c r="F327" s="18" t="n">
        <f aca="false">IFERROR(VALUE(SUBSTITUTE(TRIM('수출입 실적(신성질별)'!C331),",","")),"")</f>
        <v>281819.8</v>
      </c>
      <c r="G327" s="19" t="n">
        <f aca="false">IFERROR(VALUE(SUBSTITUTE(TRIM('수출입 실적(신성질별)'!D331),",","")),"")</f>
        <v>890643</v>
      </c>
      <c r="H327" s="18" t="n">
        <f aca="false">IFERROR(VALUE(SUBSTITUTE(TRIM('수출입 실적(신성질별)'!E331),",","")),"")</f>
        <v>1682118.4</v>
      </c>
      <c r="I327" s="19" t="n">
        <f aca="false">IFERROR(VALUE(SUBSTITUTE(TRIM('수출입 실적(신성질별)'!F331),",","")),"")</f>
        <v>2663179</v>
      </c>
    </row>
    <row r="328" customFormat="false" ht="15" hidden="false" customHeight="true" outlineLevel="0" collapsed="false">
      <c r="A328" s="11" t="str">
        <f aca="false">TRIM('수출입 실적(신성질별)'!A332)</f>
        <v>2025.08</v>
      </c>
      <c r="B328" s="17" t="n">
        <f aca="false">IFERROR(VALUE(LEFT($A328,4)),"")</f>
        <v>2025</v>
      </c>
      <c r="C328" s="17" t="n">
        <f aca="false">IFERROR(VALUE(RIGHT($A328,2)),"")</f>
        <v>8</v>
      </c>
      <c r="D328" s="17" t="n">
        <f aca="false">IFERROR(ROUNDUP($C328/3,0),"")</f>
        <v>3</v>
      </c>
      <c r="E328" s="11" t="str">
        <f aca="false">TRIM('수출입 실적(신성질별)'!B332)</f>
        <v>나.내구소비재</v>
      </c>
      <c r="F328" s="18" t="n">
        <f aca="false">IFERROR(VALUE(SUBSTITUTE(TRIM('수출입 실적(신성질별)'!C332),",","")),"")</f>
        <v>428917.6</v>
      </c>
      <c r="G328" s="19" t="n">
        <f aca="false">IFERROR(VALUE(SUBSTITUTE(TRIM('수출입 실적(신성질별)'!D332),",","")),"")</f>
        <v>4920612</v>
      </c>
      <c r="H328" s="18" t="n">
        <f aca="false">IFERROR(VALUE(SUBSTITUTE(TRIM('수출입 실적(신성질별)'!E332),",","")),"")</f>
        <v>218472.8</v>
      </c>
      <c r="I328" s="19" t="n">
        <f aca="false">IFERROR(VALUE(SUBSTITUTE(TRIM('수출입 실적(신성질별)'!F332),",","")),"")</f>
        <v>2421261</v>
      </c>
    </row>
    <row r="329" customFormat="false" ht="15" hidden="false" customHeight="true" outlineLevel="0" collapsed="false">
      <c r="A329" s="11" t="str">
        <f aca="false">TRIM('수출입 실적(신성질별)'!A333)</f>
        <v>2025.08</v>
      </c>
      <c r="B329" s="17" t="n">
        <f aca="false">IFERROR(VALUE(LEFT($A329,4)),"")</f>
        <v>2025</v>
      </c>
      <c r="C329" s="17" t="n">
        <f aca="false">IFERROR(VALUE(RIGHT($A329,2)),"")</f>
        <v>8</v>
      </c>
      <c r="D329" s="17" t="n">
        <f aca="false">IFERROR(ROUNDUP($C329/3,0),"")</f>
        <v>3</v>
      </c>
      <c r="E329" s="11" t="str">
        <f aca="false">TRIM('수출입 실적(신성질별)'!B333)</f>
        <v>다.비내구소비재</v>
      </c>
      <c r="F329" s="18" t="n">
        <f aca="false">IFERROR(VALUE(SUBSTITUTE(TRIM('수출입 실적(신성질별)'!C333),",","")),"")</f>
        <v>131402.4</v>
      </c>
      <c r="G329" s="19" t="n">
        <f aca="false">IFERROR(VALUE(SUBSTITUTE(TRIM('수출입 실적(신성질별)'!D333),",","")),"")</f>
        <v>1428577</v>
      </c>
      <c r="H329" s="18" t="n">
        <f aca="false">IFERROR(VALUE(SUBSTITUTE(TRIM('수출입 실적(신성질별)'!E333),",","")),"")</f>
        <v>165798</v>
      </c>
      <c r="I329" s="19" t="n">
        <f aca="false">IFERROR(VALUE(SUBSTITUTE(TRIM('수출입 실적(신성질별)'!F333),",","")),"")</f>
        <v>2413959</v>
      </c>
    </row>
    <row r="330" customFormat="false" ht="15" hidden="false" customHeight="true" outlineLevel="0" collapsed="false">
      <c r="A330" s="11" t="str">
        <f aca="false">TRIM('수출입 실적(신성질별)'!A334)</f>
        <v>2025.08</v>
      </c>
      <c r="B330" s="17" t="n">
        <f aca="false">IFERROR(VALUE(LEFT($A330,4)),"")</f>
        <v>2025</v>
      </c>
      <c r="C330" s="17" t="n">
        <f aca="false">IFERROR(VALUE(RIGHT($A330,2)),"")</f>
        <v>8</v>
      </c>
      <c r="D330" s="17" t="n">
        <f aca="false">IFERROR(ROUNDUP($C330/3,0),"")</f>
        <v>3</v>
      </c>
      <c r="E330" s="11" t="str">
        <f aca="false">TRIM('수출입 실적(신성질별)'!B334)</f>
        <v>라.간이세율적용분</v>
      </c>
      <c r="F330" s="18" t="n">
        <f aca="false">IFERROR(VALUE(SUBSTITUTE(TRIM('수출입 실적(신성질별)'!C334),",","")),"")</f>
        <v>2236.5</v>
      </c>
      <c r="G330" s="19" t="n">
        <f aca="false">IFERROR(VALUE(SUBSTITUTE(TRIM('수출입 실적(신성질별)'!D334),",","")),"")</f>
        <v>2731</v>
      </c>
      <c r="H330" s="18" t="n">
        <f aca="false">IFERROR(VALUE(SUBSTITUTE(TRIM('수출입 실적(신성질별)'!E334),",","")),"")</f>
        <v>0</v>
      </c>
      <c r="I330" s="19" t="n">
        <f aca="false">IFERROR(VALUE(SUBSTITUTE(TRIM('수출입 실적(신성질별)'!F334),",","")),"")</f>
        <v>0</v>
      </c>
    </row>
    <row r="331" customFormat="false" ht="15" hidden="false" customHeight="true" outlineLevel="0" collapsed="false">
      <c r="A331" s="11" t="str">
        <f aca="false">TRIM('수출입 실적(신성질별)'!A335)</f>
        <v>2025.08</v>
      </c>
      <c r="B331" s="17" t="n">
        <f aca="false">IFERROR(VALUE(LEFT($A331,4)),"")</f>
        <v>2025</v>
      </c>
      <c r="C331" s="17" t="n">
        <f aca="false">IFERROR(VALUE(RIGHT($A331,2)),"")</f>
        <v>8</v>
      </c>
      <c r="D331" s="17" t="n">
        <f aca="false">IFERROR(ROUNDUP($C331/3,0),"")</f>
        <v>3</v>
      </c>
      <c r="E331" s="11" t="str">
        <f aca="false">TRIM('수출입 실적(신성질별)'!B335)</f>
        <v>2.원자재</v>
      </c>
      <c r="F331" s="18" t="n">
        <f aca="false">IFERROR(VALUE(SUBSTITUTE(TRIM('수출입 실적(신성질별)'!C335),",","")),"")</f>
        <v>14167515.4</v>
      </c>
      <c r="G331" s="19" t="n">
        <f aca="false">IFERROR(VALUE(SUBSTITUTE(TRIM('수출입 실적(신성질별)'!D335),",","")),"")</f>
        <v>15767753</v>
      </c>
      <c r="H331" s="18" t="n">
        <f aca="false">IFERROR(VALUE(SUBSTITUTE(TRIM('수출입 실적(신성질별)'!E335),",","")),"")</f>
        <v>45854738.4</v>
      </c>
      <c r="I331" s="19" t="n">
        <f aca="false">IFERROR(VALUE(SUBSTITUTE(TRIM('수출입 실적(신성질별)'!F335),",","")),"")</f>
        <v>24126559</v>
      </c>
    </row>
    <row r="332" customFormat="false" ht="15" hidden="false" customHeight="true" outlineLevel="0" collapsed="false">
      <c r="A332" s="11" t="str">
        <f aca="false">TRIM('수출입 실적(신성질별)'!A336)</f>
        <v>2025.08</v>
      </c>
      <c r="B332" s="17" t="n">
        <f aca="false">IFERROR(VALUE(LEFT($A332,4)),"")</f>
        <v>2025</v>
      </c>
      <c r="C332" s="17" t="n">
        <f aca="false">IFERROR(VALUE(RIGHT($A332,2)),"")</f>
        <v>8</v>
      </c>
      <c r="D332" s="17" t="n">
        <f aca="false">IFERROR(ROUNDUP($C332/3,0),"")</f>
        <v>3</v>
      </c>
      <c r="E332" s="11" t="str">
        <f aca="false">TRIM('수출입 실적(신성질별)'!B336)</f>
        <v>가.동식물성 연·원료</v>
      </c>
      <c r="F332" s="18" t="n">
        <f aca="false">IFERROR(VALUE(SUBSTITUTE(TRIM('수출입 실적(신성질별)'!C336),",","")),"")</f>
        <v>355194</v>
      </c>
      <c r="G332" s="19" t="n">
        <f aca="false">IFERROR(VALUE(SUBSTITUTE(TRIM('수출입 실적(신성질별)'!D336),",","")),"")</f>
        <v>399875</v>
      </c>
      <c r="H332" s="18" t="n">
        <f aca="false">IFERROR(VALUE(SUBSTITUTE(TRIM('수출입 실적(신성질별)'!E336),",","")),"")</f>
        <v>2621623.6</v>
      </c>
      <c r="I332" s="19" t="n">
        <f aca="false">IFERROR(VALUE(SUBSTITUTE(TRIM('수출입 실적(신성질별)'!F336),",","")),"")</f>
        <v>1383382</v>
      </c>
    </row>
    <row r="333" customFormat="false" ht="15" hidden="false" customHeight="true" outlineLevel="0" collapsed="false">
      <c r="A333" s="11" t="str">
        <f aca="false">TRIM('수출입 실적(신성질별)'!A337)</f>
        <v>2025.08</v>
      </c>
      <c r="B333" s="17" t="n">
        <f aca="false">IFERROR(VALUE(LEFT($A333,4)),"")</f>
        <v>2025</v>
      </c>
      <c r="C333" s="17" t="n">
        <f aca="false">IFERROR(VALUE(RIGHT($A333,2)),"")</f>
        <v>8</v>
      </c>
      <c r="D333" s="17" t="n">
        <f aca="false">IFERROR(ROUNDUP($C333/3,0),"")</f>
        <v>3</v>
      </c>
      <c r="E333" s="11" t="str">
        <f aca="false">TRIM('수출입 실적(신성질별)'!B337)</f>
        <v>나.섬유류</v>
      </c>
      <c r="F333" s="18" t="n">
        <f aca="false">IFERROR(VALUE(SUBSTITUTE(TRIM('수출입 실적(신성질별)'!C337),",","")),"")</f>
        <v>99911.2</v>
      </c>
      <c r="G333" s="19" t="n">
        <f aca="false">IFERROR(VALUE(SUBSTITUTE(TRIM('수출입 실적(신성질별)'!D337),",","")),"")</f>
        <v>478766</v>
      </c>
      <c r="H333" s="18" t="n">
        <f aca="false">IFERROR(VALUE(SUBSTITUTE(TRIM('수출입 실적(신성질별)'!E337),",","")),"")</f>
        <v>90743.3</v>
      </c>
      <c r="I333" s="19" t="n">
        <f aca="false">IFERROR(VALUE(SUBSTITUTE(TRIM('수출입 실적(신성질별)'!F337),",","")),"")</f>
        <v>284749</v>
      </c>
    </row>
    <row r="334" customFormat="false" ht="15" hidden="false" customHeight="true" outlineLevel="0" collapsed="false">
      <c r="A334" s="11" t="str">
        <f aca="false">TRIM('수출입 실적(신성질별)'!A338)</f>
        <v>2025.08</v>
      </c>
      <c r="B334" s="17" t="n">
        <f aca="false">IFERROR(VALUE(LEFT($A334,4)),"")</f>
        <v>2025</v>
      </c>
      <c r="C334" s="17" t="n">
        <f aca="false">IFERROR(VALUE(RIGHT($A334,2)),"")</f>
        <v>8</v>
      </c>
      <c r="D334" s="17" t="n">
        <f aca="false">IFERROR(ROUNDUP($C334/3,0),"")</f>
        <v>3</v>
      </c>
      <c r="E334" s="11" t="str">
        <f aca="false">TRIM('수출입 실적(신성질별)'!B338)</f>
        <v>다.광산물</v>
      </c>
      <c r="F334" s="18" t="n">
        <f aca="false">IFERROR(VALUE(SUBSTITUTE(TRIM('수출입 실적(신성질별)'!C338),",","")),"")</f>
        <v>7077467.2</v>
      </c>
      <c r="G334" s="19" t="n">
        <f aca="false">IFERROR(VALUE(SUBSTITUTE(TRIM('수출입 실적(신성질별)'!D338),",","")),"")</f>
        <v>5053234</v>
      </c>
      <c r="H334" s="18" t="n">
        <f aca="false">IFERROR(VALUE(SUBSTITUTE(TRIM('수출입 실적(신성질별)'!E338),",","")),"")</f>
        <v>39780149.6</v>
      </c>
      <c r="I334" s="19" t="n">
        <f aca="false">IFERROR(VALUE(SUBSTITUTE(TRIM('수출입 실적(신성질별)'!F338),",","")),"")</f>
        <v>15305787</v>
      </c>
    </row>
    <row r="335" customFormat="false" ht="15" hidden="false" customHeight="true" outlineLevel="0" collapsed="false">
      <c r="A335" s="11" t="str">
        <f aca="false">TRIM('수출입 실적(신성질별)'!A339)</f>
        <v>2025.08</v>
      </c>
      <c r="B335" s="17" t="n">
        <f aca="false">IFERROR(VALUE(LEFT($A335,4)),"")</f>
        <v>2025</v>
      </c>
      <c r="C335" s="17" t="n">
        <f aca="false">IFERROR(VALUE(RIGHT($A335,2)),"")</f>
        <v>8</v>
      </c>
      <c r="D335" s="17" t="n">
        <f aca="false">IFERROR(ROUNDUP($C335/3,0),"")</f>
        <v>3</v>
      </c>
      <c r="E335" s="11" t="str">
        <f aca="false">TRIM('수출입 실적(신성질별)'!B339)</f>
        <v>라.철강 및 금속제품</v>
      </c>
      <c r="F335" s="18" t="n">
        <f aca="false">IFERROR(VALUE(SUBSTITUTE(TRIM('수출입 실적(신성질별)'!C339),",","")),"")</f>
        <v>2512539.8</v>
      </c>
      <c r="G335" s="19" t="n">
        <f aca="false">IFERROR(VALUE(SUBSTITUTE(TRIM('수출입 실적(신성질별)'!D339),",","")),"")</f>
        <v>3186384</v>
      </c>
      <c r="H335" s="18" t="n">
        <f aca="false">IFERROR(VALUE(SUBSTITUTE(TRIM('수출입 실적(신성질별)'!E339),",","")),"")</f>
        <v>1572131</v>
      </c>
      <c r="I335" s="19" t="n">
        <f aca="false">IFERROR(VALUE(SUBSTITUTE(TRIM('수출입 실적(신성질별)'!F339),",","")),"")</f>
        <v>2701763</v>
      </c>
    </row>
    <row r="336" customFormat="false" ht="15" hidden="false" customHeight="true" outlineLevel="0" collapsed="false">
      <c r="A336" s="11" t="str">
        <f aca="false">TRIM('수출입 실적(신성질별)'!A340)</f>
        <v>2025.08</v>
      </c>
      <c r="B336" s="17" t="n">
        <f aca="false">IFERROR(VALUE(LEFT($A336,4)),"")</f>
        <v>2025</v>
      </c>
      <c r="C336" s="17" t="n">
        <f aca="false">IFERROR(VALUE(RIGHT($A336,2)),"")</f>
        <v>8</v>
      </c>
      <c r="D336" s="17" t="n">
        <f aca="false">IFERROR(ROUNDUP($C336/3,0),"")</f>
        <v>3</v>
      </c>
      <c r="E336" s="11" t="str">
        <f aca="false">TRIM('수출입 실적(신성질별)'!B340)</f>
        <v>마.화학공업제품</v>
      </c>
      <c r="F336" s="18" t="n">
        <f aca="false">IFERROR(VALUE(SUBSTITUTE(TRIM('수출입 실적(신성질별)'!C340),",","")),"")</f>
        <v>4120342.7</v>
      </c>
      <c r="G336" s="19" t="n">
        <f aca="false">IFERROR(VALUE(SUBSTITUTE(TRIM('수출입 실적(신성질별)'!D340),",","")),"")</f>
        <v>6642206</v>
      </c>
      <c r="H336" s="18" t="n">
        <f aca="false">IFERROR(VALUE(SUBSTITUTE(TRIM('수출입 실적(신성질별)'!E340),",","")),"")</f>
        <v>1787566.1</v>
      </c>
      <c r="I336" s="19" t="n">
        <f aca="false">IFERROR(VALUE(SUBSTITUTE(TRIM('수출입 실적(신성질별)'!F340),",","")),"")</f>
        <v>4444861</v>
      </c>
    </row>
    <row r="337" customFormat="false" ht="15" hidden="false" customHeight="true" outlineLevel="0" collapsed="false">
      <c r="A337" s="11" t="str">
        <f aca="false">TRIM('수출입 실적(신성질별)'!A341)</f>
        <v>2025.08</v>
      </c>
      <c r="B337" s="17" t="n">
        <f aca="false">IFERROR(VALUE(LEFT($A337,4)),"")</f>
        <v>2025</v>
      </c>
      <c r="C337" s="17" t="n">
        <f aca="false">IFERROR(VALUE(RIGHT($A337,2)),"")</f>
        <v>8</v>
      </c>
      <c r="D337" s="17" t="n">
        <f aca="false">IFERROR(ROUNDUP($C337/3,0),"")</f>
        <v>3</v>
      </c>
      <c r="E337" s="11" t="str">
        <f aca="false">TRIM('수출입 실적(신성질별)'!B341)</f>
        <v>바.기타 원자재</v>
      </c>
      <c r="F337" s="18" t="n">
        <f aca="false">IFERROR(VALUE(SUBSTITUTE(TRIM('수출입 실적(신성질별)'!C341),",","")),"")</f>
        <v>2060.5</v>
      </c>
      <c r="G337" s="19" t="n">
        <f aca="false">IFERROR(VALUE(SUBSTITUTE(TRIM('수출입 실적(신성질별)'!D341),",","")),"")</f>
        <v>7288</v>
      </c>
      <c r="H337" s="18" t="n">
        <f aca="false">IFERROR(VALUE(SUBSTITUTE(TRIM('수출입 실적(신성질별)'!E341),",","")),"")</f>
        <v>2524.7</v>
      </c>
      <c r="I337" s="19" t="n">
        <f aca="false">IFERROR(VALUE(SUBSTITUTE(TRIM('수출입 실적(신성질별)'!F341),",","")),"")</f>
        <v>6017</v>
      </c>
    </row>
    <row r="338" customFormat="false" ht="15" hidden="false" customHeight="true" outlineLevel="0" collapsed="false">
      <c r="A338" s="11" t="str">
        <f aca="false">TRIM('수출입 실적(신성질별)'!A342)</f>
        <v>2025.08</v>
      </c>
      <c r="B338" s="17" t="n">
        <f aca="false">IFERROR(VALUE(LEFT($A338,4)),"")</f>
        <v>2025</v>
      </c>
      <c r="C338" s="17" t="n">
        <f aca="false">IFERROR(VALUE(RIGHT($A338,2)),"")</f>
        <v>8</v>
      </c>
      <c r="D338" s="17" t="n">
        <f aca="false">IFERROR(ROUNDUP($C338/3,0),"")</f>
        <v>3</v>
      </c>
      <c r="E338" s="11" t="str">
        <f aca="false">TRIM('수출입 실적(신성질별)'!B342)</f>
        <v>3.자본재</v>
      </c>
      <c r="F338" s="18" t="n">
        <f aca="false">IFERROR(VALUE(SUBSTITUTE(TRIM('수출입 실적(신성질별)'!C342),",","")),"")</f>
        <v>2106782.2</v>
      </c>
      <c r="G338" s="19" t="n">
        <f aca="false">IFERROR(VALUE(SUBSTITUTE(TRIM('수출입 실적(신성질별)'!D342),",","")),"")</f>
        <v>35249017</v>
      </c>
      <c r="H338" s="18" t="n">
        <f aca="false">IFERROR(VALUE(SUBSTITUTE(TRIM('수출입 실적(신성질별)'!E342),",","")),"")</f>
        <v>720792.9</v>
      </c>
      <c r="I338" s="19" t="n">
        <f aca="false">IFERROR(VALUE(SUBSTITUTE(TRIM('수출입 실적(신성질별)'!F342),",","")),"")</f>
        <v>20231665</v>
      </c>
    </row>
    <row r="339" customFormat="false" ht="15" hidden="false" customHeight="true" outlineLevel="0" collapsed="false">
      <c r="A339" s="11" t="str">
        <f aca="false">TRIM('수출입 실적(신성질별)'!A343)</f>
        <v>2025.08</v>
      </c>
      <c r="B339" s="17" t="n">
        <f aca="false">IFERROR(VALUE(LEFT($A339,4)),"")</f>
        <v>2025</v>
      </c>
      <c r="C339" s="17" t="n">
        <f aca="false">IFERROR(VALUE(RIGHT($A339,2)),"")</f>
        <v>8</v>
      </c>
      <c r="D339" s="17" t="n">
        <f aca="false">IFERROR(ROUNDUP($C339/3,0),"")</f>
        <v>3</v>
      </c>
      <c r="E339" s="11" t="str">
        <f aca="false">TRIM('수출입 실적(신성질별)'!B343)</f>
        <v>가.수송장비</v>
      </c>
      <c r="F339" s="18" t="n">
        <f aca="false">IFERROR(VALUE(SUBSTITUTE(TRIM('수출입 실적(신성질별)'!C343),",","")),"")</f>
        <v>1509426.6</v>
      </c>
      <c r="G339" s="19" t="n">
        <f aca="false">IFERROR(VALUE(SUBSTITUTE(TRIM('수출입 실적(신성질별)'!D343),",","")),"")</f>
        <v>6824572</v>
      </c>
      <c r="H339" s="18" t="n">
        <f aca="false">IFERROR(VALUE(SUBSTITUTE(TRIM('수출입 실적(신성질별)'!E343),",","")),"")</f>
        <v>153288.5</v>
      </c>
      <c r="I339" s="19" t="n">
        <f aca="false">IFERROR(VALUE(SUBSTITUTE(TRIM('수출입 실적(신성질별)'!F343),",","")),"")</f>
        <v>1917645</v>
      </c>
    </row>
    <row r="340" customFormat="false" ht="15" hidden="false" customHeight="true" outlineLevel="0" collapsed="false">
      <c r="A340" s="11" t="str">
        <f aca="false">TRIM('수출입 실적(신성질별)'!A344)</f>
        <v>2025.08</v>
      </c>
      <c r="B340" s="17" t="n">
        <f aca="false">IFERROR(VALUE(LEFT($A340,4)),"")</f>
        <v>2025</v>
      </c>
      <c r="C340" s="17" t="n">
        <f aca="false">IFERROR(VALUE(RIGHT($A340,2)),"")</f>
        <v>8</v>
      </c>
      <c r="D340" s="17" t="n">
        <f aca="false">IFERROR(ROUNDUP($C340/3,0),"")</f>
        <v>3</v>
      </c>
      <c r="E340" s="11" t="str">
        <f aca="false">TRIM('수출입 실적(신성질별)'!B344)</f>
        <v>나.기계류</v>
      </c>
      <c r="F340" s="18" t="n">
        <f aca="false">IFERROR(VALUE(SUBSTITUTE(TRIM('수출입 실적(신성질별)'!C344),",","")),"")</f>
        <v>556698.6</v>
      </c>
      <c r="G340" s="19" t="n">
        <f aca="false">IFERROR(VALUE(SUBSTITUTE(TRIM('수출입 실적(신성질별)'!D344),",","")),"")</f>
        <v>7579464</v>
      </c>
      <c r="H340" s="18" t="n">
        <f aca="false">IFERROR(VALUE(SUBSTITUTE(TRIM('수출입 실적(신성질별)'!E344),",","")),"")</f>
        <v>520696.8</v>
      </c>
      <c r="I340" s="19" t="n">
        <f aca="false">IFERROR(VALUE(SUBSTITUTE(TRIM('수출입 실적(신성질별)'!F344),",","")),"")</f>
        <v>8301179</v>
      </c>
    </row>
    <row r="341" customFormat="false" ht="15" hidden="false" customHeight="true" outlineLevel="0" collapsed="false">
      <c r="A341" s="11" t="str">
        <f aca="false">TRIM('수출입 실적(신성질별)'!A345)</f>
        <v>2025.08</v>
      </c>
      <c r="B341" s="17" t="n">
        <f aca="false">IFERROR(VALUE(LEFT($A341,4)),"")</f>
        <v>2025</v>
      </c>
      <c r="C341" s="17" t="n">
        <f aca="false">IFERROR(VALUE(RIGHT($A341,2)),"")</f>
        <v>8</v>
      </c>
      <c r="D341" s="17" t="n">
        <f aca="false">IFERROR(ROUNDUP($C341/3,0),"")</f>
        <v>3</v>
      </c>
      <c r="E341" s="11" t="str">
        <f aca="false">TRIM('수출입 실적(신성질별)'!B345)</f>
        <v>다.IT제품</v>
      </c>
      <c r="F341" s="18" t="n">
        <f aca="false">IFERROR(VALUE(SUBSTITUTE(TRIM('수출입 실적(신성질별)'!C345),",","")),"")</f>
        <v>11246.2</v>
      </c>
      <c r="G341" s="19" t="n">
        <f aca="false">IFERROR(VALUE(SUBSTITUTE(TRIM('수출입 실적(신성질별)'!D345),",","")),"")</f>
        <v>4225294</v>
      </c>
      <c r="H341" s="18" t="n">
        <f aca="false">IFERROR(VALUE(SUBSTITUTE(TRIM('수출입 실적(신성질별)'!E345),",","")),"")</f>
        <v>15267</v>
      </c>
      <c r="I341" s="19" t="n">
        <f aca="false">IFERROR(VALUE(SUBSTITUTE(TRIM('수출입 실적(신성질별)'!F345),",","")),"")</f>
        <v>2406849</v>
      </c>
    </row>
    <row r="342" customFormat="false" ht="15" hidden="false" customHeight="true" outlineLevel="0" collapsed="false">
      <c r="A342" s="11" t="str">
        <f aca="false">TRIM('수출입 실적(신성질별)'!A346)</f>
        <v>2025.08</v>
      </c>
      <c r="B342" s="17" t="n">
        <f aca="false">IFERROR(VALUE(LEFT($A342,4)),"")</f>
        <v>2025</v>
      </c>
      <c r="C342" s="17" t="n">
        <f aca="false">IFERROR(VALUE(RIGHT($A342,2)),"")</f>
        <v>8</v>
      </c>
      <c r="D342" s="17" t="n">
        <f aca="false">IFERROR(ROUNDUP($C342/3,0),"")</f>
        <v>3</v>
      </c>
      <c r="E342" s="11" t="str">
        <f aca="false">TRIM('수출입 실적(신성질별)'!B346)</f>
        <v>라.IT부품</v>
      </c>
      <c r="F342" s="18" t="n">
        <f aca="false">IFERROR(VALUE(SUBSTITUTE(TRIM('수출입 실적(신성질별)'!C346),",","")),"")</f>
        <v>29410.7</v>
      </c>
      <c r="G342" s="19" t="n">
        <f aca="false">IFERROR(VALUE(SUBSTITUTE(TRIM('수출입 실적(신성질별)'!D346),",","")),"")</f>
        <v>16619686</v>
      </c>
      <c r="H342" s="18" t="n">
        <f aca="false">IFERROR(VALUE(SUBSTITUTE(TRIM('수출입 실적(신성질별)'!E346),",","")),"")</f>
        <v>31540.6</v>
      </c>
      <c r="I342" s="19" t="n">
        <f aca="false">IFERROR(VALUE(SUBSTITUTE(TRIM('수출입 실적(신성질별)'!F346),",","")),"")</f>
        <v>7605992</v>
      </c>
    </row>
    <row r="343" customFormat="false" ht="15" hidden="false" customHeight="true" outlineLevel="0" collapsed="false">
      <c r="A343" s="11" t="str">
        <f aca="false">TRIM('수출입 실적(신성질별)'!A347)</f>
        <v>2025.09</v>
      </c>
      <c r="B343" s="17" t="n">
        <f aca="false">IFERROR(VALUE(LEFT($A343,4)),"")</f>
        <v>2025</v>
      </c>
      <c r="C343" s="17" t="n">
        <f aca="false">IFERROR(VALUE(RIGHT($A343,2)),"")</f>
        <v>9</v>
      </c>
      <c r="D343" s="17" t="n">
        <f aca="false">IFERROR(ROUNDUP($C343/3,0),"")</f>
        <v>3</v>
      </c>
      <c r="E343" s="11" t="str">
        <f aca="false">TRIM('수출입 실적(신성질별)'!B347)</f>
        <v>1.소비재</v>
      </c>
      <c r="F343" s="18" t="n">
        <f aca="false">IFERROR(VALUE(SUBSTITUTE(TRIM('수출입 실적(신성질별)'!C347),",","")),"")</f>
        <v>1047562.8</v>
      </c>
      <c r="G343" s="19" t="n">
        <f aca="false">IFERROR(VALUE(SUBSTITUTE(TRIM('수출입 실적(신성질별)'!D347),",","")),"")</f>
        <v>8625008</v>
      </c>
      <c r="H343" s="18" t="n">
        <f aca="false">IFERROR(VALUE(SUBSTITUTE(TRIM('수출입 실적(신성질별)'!E347),",","")),"")</f>
        <v>2289878.8</v>
      </c>
      <c r="I343" s="19" t="n">
        <f aca="false">IFERROR(VALUE(SUBSTITUTE(TRIM('수출입 실적(신성질별)'!F347),",","")),"")</f>
        <v>8095423</v>
      </c>
    </row>
    <row r="344" customFormat="false" ht="15" hidden="false" customHeight="true" outlineLevel="0" collapsed="false">
      <c r="A344" s="11" t="str">
        <f aca="false">TRIM('수출입 실적(신성질별)'!A348)</f>
        <v>2025.09</v>
      </c>
      <c r="B344" s="17" t="n">
        <f aca="false">IFERROR(VALUE(LEFT($A344,4)),"")</f>
        <v>2025</v>
      </c>
      <c r="C344" s="17" t="n">
        <f aca="false">IFERROR(VALUE(RIGHT($A344,2)),"")</f>
        <v>9</v>
      </c>
      <c r="D344" s="17" t="n">
        <f aca="false">IFERROR(ROUNDUP($C344/3,0),"")</f>
        <v>3</v>
      </c>
      <c r="E344" s="11" t="str">
        <f aca="false">TRIM('수출입 실적(신성질별)'!B348)</f>
        <v>가.직접소비재</v>
      </c>
      <c r="F344" s="18" t="n">
        <f aca="false">IFERROR(VALUE(SUBSTITUTE(TRIM('수출입 실적(신성질별)'!C348),",","")),"")</f>
        <v>389273.4</v>
      </c>
      <c r="G344" s="19" t="n">
        <f aca="false">IFERROR(VALUE(SUBSTITUTE(TRIM('수출입 실적(신성질별)'!D348),",","")),"")</f>
        <v>1095948</v>
      </c>
      <c r="H344" s="18" t="n">
        <f aca="false">IFERROR(VALUE(SUBSTITUTE(TRIM('수출입 실적(신성질별)'!E348),",","")),"")</f>
        <v>1871806.6</v>
      </c>
      <c r="I344" s="19" t="n">
        <f aca="false">IFERROR(VALUE(SUBSTITUTE(TRIM('수출입 실적(신성질별)'!F348),",","")),"")</f>
        <v>2950397</v>
      </c>
    </row>
    <row r="345" customFormat="false" ht="15" hidden="false" customHeight="true" outlineLevel="0" collapsed="false">
      <c r="A345" s="11" t="str">
        <f aca="false">TRIM('수출입 실적(신성질별)'!A349)</f>
        <v>2025.09</v>
      </c>
      <c r="B345" s="17" t="n">
        <f aca="false">IFERROR(VALUE(LEFT($A345,4)),"")</f>
        <v>2025</v>
      </c>
      <c r="C345" s="17" t="n">
        <f aca="false">IFERROR(VALUE(RIGHT($A345,2)),"")</f>
        <v>9</v>
      </c>
      <c r="D345" s="17" t="n">
        <f aca="false">IFERROR(ROUNDUP($C345/3,0),"")</f>
        <v>3</v>
      </c>
      <c r="E345" s="11" t="str">
        <f aca="false">TRIM('수출입 실적(신성질별)'!B349)</f>
        <v>나.내구소비재</v>
      </c>
      <c r="F345" s="18" t="n">
        <f aca="false">IFERROR(VALUE(SUBSTITUTE(TRIM('수출입 실적(신성질별)'!C349),",","")),"")</f>
        <v>494711.3</v>
      </c>
      <c r="G345" s="19" t="n">
        <f aca="false">IFERROR(VALUE(SUBSTITUTE(TRIM('수출입 실적(신성질별)'!D349),",","")),"")</f>
        <v>5683299</v>
      </c>
      <c r="H345" s="18" t="n">
        <f aca="false">IFERROR(VALUE(SUBSTITUTE(TRIM('수출입 실적(신성질별)'!E349),",","")),"")</f>
        <v>223790.5</v>
      </c>
      <c r="I345" s="19" t="n">
        <f aca="false">IFERROR(VALUE(SUBSTITUTE(TRIM('수출입 실적(신성질별)'!F349),",","")),"")</f>
        <v>2366234</v>
      </c>
    </row>
    <row r="346" customFormat="false" ht="15" hidden="false" customHeight="true" outlineLevel="0" collapsed="false">
      <c r="A346" s="11" t="str">
        <f aca="false">TRIM('수출입 실적(신성질별)'!A350)</f>
        <v>2025.09</v>
      </c>
      <c r="B346" s="17" t="n">
        <f aca="false">IFERROR(VALUE(LEFT($A346,4)),"")</f>
        <v>2025</v>
      </c>
      <c r="C346" s="17" t="n">
        <f aca="false">IFERROR(VALUE(RIGHT($A346,2)),"")</f>
        <v>9</v>
      </c>
      <c r="D346" s="17" t="n">
        <f aca="false">IFERROR(ROUNDUP($C346/3,0),"")</f>
        <v>3</v>
      </c>
      <c r="E346" s="11" t="str">
        <f aca="false">TRIM('수출입 실적(신성질별)'!B350)</f>
        <v>다.비내구소비재</v>
      </c>
      <c r="F346" s="18" t="n">
        <f aca="false">IFERROR(VALUE(SUBSTITUTE(TRIM('수출입 실적(신성질별)'!C350),",","")),"")</f>
        <v>161832.7</v>
      </c>
      <c r="G346" s="19" t="n">
        <f aca="false">IFERROR(VALUE(SUBSTITUTE(TRIM('수출입 실적(신성질별)'!D350),",","")),"")</f>
        <v>1843675</v>
      </c>
      <c r="H346" s="18" t="n">
        <f aca="false">IFERROR(VALUE(SUBSTITUTE(TRIM('수출입 실적(신성질별)'!E350),",","")),"")</f>
        <v>194281.7</v>
      </c>
      <c r="I346" s="19" t="n">
        <f aca="false">IFERROR(VALUE(SUBSTITUTE(TRIM('수출입 실적(신성질별)'!F350),",","")),"")</f>
        <v>2778793</v>
      </c>
    </row>
    <row r="347" customFormat="false" ht="15" hidden="false" customHeight="true" outlineLevel="0" collapsed="false">
      <c r="A347" s="11" t="str">
        <f aca="false">TRIM('수출입 실적(신성질별)'!A351)</f>
        <v>2025.09</v>
      </c>
      <c r="B347" s="17" t="n">
        <f aca="false">IFERROR(VALUE(LEFT($A347,4)),"")</f>
        <v>2025</v>
      </c>
      <c r="C347" s="17" t="n">
        <f aca="false">IFERROR(VALUE(RIGHT($A347,2)),"")</f>
        <v>9</v>
      </c>
      <c r="D347" s="17" t="n">
        <f aca="false">IFERROR(ROUNDUP($C347/3,0),"")</f>
        <v>3</v>
      </c>
      <c r="E347" s="11" t="str">
        <f aca="false">TRIM('수출입 실적(신성질별)'!B351)</f>
        <v>라.간이세율적용분</v>
      </c>
      <c r="F347" s="18" t="n">
        <f aca="false">IFERROR(VALUE(SUBSTITUTE(TRIM('수출입 실적(신성질별)'!C351),",","")),"")</f>
        <v>1745.5</v>
      </c>
      <c r="G347" s="19" t="n">
        <f aca="false">IFERROR(VALUE(SUBSTITUTE(TRIM('수출입 실적(신성질별)'!D351),",","")),"")</f>
        <v>2086</v>
      </c>
      <c r="H347" s="18" t="n">
        <f aca="false">IFERROR(VALUE(SUBSTITUTE(TRIM('수출입 실적(신성질별)'!E351),",","")),"")</f>
        <v>0</v>
      </c>
      <c r="I347" s="19" t="n">
        <f aca="false">IFERROR(VALUE(SUBSTITUTE(TRIM('수출입 실적(신성질별)'!F351),",","")),"")</f>
        <v>0</v>
      </c>
    </row>
    <row r="348" customFormat="false" ht="15" hidden="false" customHeight="true" outlineLevel="0" collapsed="false">
      <c r="A348" s="11" t="str">
        <f aca="false">TRIM('수출입 실적(신성질별)'!A352)</f>
        <v>2025.09</v>
      </c>
      <c r="B348" s="17" t="n">
        <f aca="false">IFERROR(VALUE(LEFT($A348,4)),"")</f>
        <v>2025</v>
      </c>
      <c r="C348" s="17" t="n">
        <f aca="false">IFERROR(VALUE(RIGHT($A348,2)),"")</f>
        <v>9</v>
      </c>
      <c r="D348" s="17" t="n">
        <f aca="false">IFERROR(ROUNDUP($C348/3,0),"")</f>
        <v>3</v>
      </c>
      <c r="E348" s="11" t="str">
        <f aca="false">TRIM('수출입 실적(신성질별)'!B352)</f>
        <v>2.원자재</v>
      </c>
      <c r="F348" s="18" t="n">
        <f aca="false">IFERROR(VALUE(SUBSTITUTE(TRIM('수출입 실적(신성질별)'!C352),",","")),"")</f>
        <v>14804972.4</v>
      </c>
      <c r="G348" s="19" t="n">
        <f aca="false">IFERROR(VALUE(SUBSTITUTE(TRIM('수출입 실적(신성질별)'!D352),",","")),"")</f>
        <v>17227677</v>
      </c>
      <c r="H348" s="18" t="n">
        <f aca="false">IFERROR(VALUE(SUBSTITUTE(TRIM('수출입 실적(신성질별)'!E352),",","")),"")</f>
        <v>44083874.8</v>
      </c>
      <c r="I348" s="19" t="n">
        <f aca="false">IFERROR(VALUE(SUBSTITUTE(TRIM('수출입 실적(신성질별)'!F352),",","")),"")</f>
        <v>24958281</v>
      </c>
    </row>
    <row r="349" customFormat="false" ht="15" hidden="false" customHeight="true" outlineLevel="0" collapsed="false">
      <c r="A349" s="11" t="str">
        <f aca="false">TRIM('수출입 실적(신성질별)'!A353)</f>
        <v>2025.09</v>
      </c>
      <c r="B349" s="17" t="n">
        <f aca="false">IFERROR(VALUE(LEFT($A349,4)),"")</f>
        <v>2025</v>
      </c>
      <c r="C349" s="17" t="n">
        <f aca="false">IFERROR(VALUE(RIGHT($A349,2)),"")</f>
        <v>9</v>
      </c>
      <c r="D349" s="17" t="n">
        <f aca="false">IFERROR(ROUNDUP($C349/3,0),"")</f>
        <v>3</v>
      </c>
      <c r="E349" s="11" t="str">
        <f aca="false">TRIM('수출입 실적(신성질별)'!B353)</f>
        <v>가.동식물성 연·원료</v>
      </c>
      <c r="F349" s="18" t="n">
        <f aca="false">IFERROR(VALUE(SUBSTITUTE(TRIM('수출입 실적(신성질별)'!C353),",","")),"")</f>
        <v>377224.1</v>
      </c>
      <c r="G349" s="19" t="n">
        <f aca="false">IFERROR(VALUE(SUBSTITUTE(TRIM('수출입 실적(신성질별)'!D353),",","")),"")</f>
        <v>449419</v>
      </c>
      <c r="H349" s="18" t="n">
        <f aca="false">IFERROR(VALUE(SUBSTITUTE(TRIM('수출입 실적(신성질별)'!E353),",","")),"")</f>
        <v>2757122.6</v>
      </c>
      <c r="I349" s="19" t="n">
        <f aca="false">IFERROR(VALUE(SUBSTITUTE(TRIM('수출입 실적(신성질별)'!F353),",","")),"")</f>
        <v>1424496</v>
      </c>
    </row>
    <row r="350" customFormat="false" ht="15" hidden="false" customHeight="true" outlineLevel="0" collapsed="false">
      <c r="A350" s="11" t="str">
        <f aca="false">TRIM('수출입 실적(신성질별)'!A354)</f>
        <v>2025.09</v>
      </c>
      <c r="B350" s="17" t="n">
        <f aca="false">IFERROR(VALUE(LEFT($A350,4)),"")</f>
        <v>2025</v>
      </c>
      <c r="C350" s="17" t="n">
        <f aca="false">IFERROR(VALUE(RIGHT($A350,2)),"")</f>
        <v>9</v>
      </c>
      <c r="D350" s="17" t="n">
        <f aca="false">IFERROR(ROUNDUP($C350/3,0),"")</f>
        <v>3</v>
      </c>
      <c r="E350" s="11" t="str">
        <f aca="false">TRIM('수출입 실적(신성질별)'!B354)</f>
        <v>나.섬유류</v>
      </c>
      <c r="F350" s="18" t="n">
        <f aca="false">IFERROR(VALUE(SUBSTITUTE(TRIM('수출입 실적(신성질별)'!C354),",","")),"")</f>
        <v>124052.1</v>
      </c>
      <c r="G350" s="19" t="n">
        <f aca="false">IFERROR(VALUE(SUBSTITUTE(TRIM('수출입 실적(신성질별)'!D354),",","")),"")</f>
        <v>607073</v>
      </c>
      <c r="H350" s="18" t="n">
        <f aca="false">IFERROR(VALUE(SUBSTITUTE(TRIM('수출입 실적(신성질별)'!E354),",","")),"")</f>
        <v>106279.3</v>
      </c>
      <c r="I350" s="19" t="n">
        <f aca="false">IFERROR(VALUE(SUBSTITUTE(TRIM('수출입 실적(신성질별)'!F354),",","")),"")</f>
        <v>333526</v>
      </c>
    </row>
    <row r="351" customFormat="false" ht="15" hidden="false" customHeight="true" outlineLevel="0" collapsed="false">
      <c r="A351" s="11" t="str">
        <f aca="false">TRIM('수출입 실적(신성질별)'!A355)</f>
        <v>2025.09</v>
      </c>
      <c r="B351" s="17" t="n">
        <f aca="false">IFERROR(VALUE(LEFT($A351,4)),"")</f>
        <v>2025</v>
      </c>
      <c r="C351" s="17" t="n">
        <f aca="false">IFERROR(VALUE(RIGHT($A351,2)),"")</f>
        <v>9</v>
      </c>
      <c r="D351" s="17" t="n">
        <f aca="false">IFERROR(ROUNDUP($C351/3,0),"")</f>
        <v>3</v>
      </c>
      <c r="E351" s="11" t="str">
        <f aca="false">TRIM('수출입 실적(신성질별)'!B355)</f>
        <v>다.광산물</v>
      </c>
      <c r="F351" s="18" t="n">
        <f aca="false">IFERROR(VALUE(SUBSTITUTE(TRIM('수출입 실적(신성질별)'!C355),",","")),"")</f>
        <v>7054855.2</v>
      </c>
      <c r="G351" s="19" t="n">
        <f aca="false">IFERROR(VALUE(SUBSTITUTE(TRIM('수출입 실적(신성질별)'!D355),",","")),"")</f>
        <v>5071416</v>
      </c>
      <c r="H351" s="18" t="n">
        <f aca="false">IFERROR(VALUE(SUBSTITUTE(TRIM('수출입 실적(신성질별)'!E355),",","")),"")</f>
        <v>37475945</v>
      </c>
      <c r="I351" s="19" t="n">
        <f aca="false">IFERROR(VALUE(SUBSTITUTE(TRIM('수출입 실적(신성질별)'!F355),",","")),"")</f>
        <v>14854212</v>
      </c>
    </row>
    <row r="352" customFormat="false" ht="15" hidden="false" customHeight="true" outlineLevel="0" collapsed="false">
      <c r="A352" s="11" t="str">
        <f aca="false">TRIM('수출입 실적(신성질별)'!A356)</f>
        <v>2025.09</v>
      </c>
      <c r="B352" s="17" t="n">
        <f aca="false">IFERROR(VALUE(LEFT($A352,4)),"")</f>
        <v>2025</v>
      </c>
      <c r="C352" s="17" t="n">
        <f aca="false">IFERROR(VALUE(RIGHT($A352,2)),"")</f>
        <v>9</v>
      </c>
      <c r="D352" s="17" t="n">
        <f aca="false">IFERROR(ROUNDUP($C352/3,0),"")</f>
        <v>3</v>
      </c>
      <c r="E352" s="11" t="str">
        <f aca="false">TRIM('수출입 실적(신성질별)'!B356)</f>
        <v>라.철강 및 금속제품</v>
      </c>
      <c r="F352" s="18" t="n">
        <f aca="false">IFERROR(VALUE(SUBSTITUTE(TRIM('수출입 실적(신성질별)'!C356),",","")),"")</f>
        <v>2820108.7</v>
      </c>
      <c r="G352" s="19" t="n">
        <f aca="false">IFERROR(VALUE(SUBSTITUTE(TRIM('수출입 실적(신성질별)'!D356),",","")),"")</f>
        <v>3496294</v>
      </c>
      <c r="H352" s="18" t="n">
        <f aca="false">IFERROR(VALUE(SUBSTITUTE(TRIM('수출입 실적(신성질별)'!E356),",","")),"")</f>
        <v>1831583.3</v>
      </c>
      <c r="I352" s="19" t="n">
        <f aca="false">IFERROR(VALUE(SUBSTITUTE(TRIM('수출입 실적(신성질별)'!F356),",","")),"")</f>
        <v>3061985</v>
      </c>
    </row>
    <row r="353" customFormat="false" ht="15" hidden="false" customHeight="true" outlineLevel="0" collapsed="false">
      <c r="A353" s="11" t="str">
        <f aca="false">TRIM('수출입 실적(신성질별)'!A357)</f>
        <v>2025.09</v>
      </c>
      <c r="B353" s="17" t="n">
        <f aca="false">IFERROR(VALUE(LEFT($A353,4)),"")</f>
        <v>2025</v>
      </c>
      <c r="C353" s="17" t="n">
        <f aca="false">IFERROR(VALUE(RIGHT($A353,2)),"")</f>
        <v>9</v>
      </c>
      <c r="D353" s="17" t="n">
        <f aca="false">IFERROR(ROUNDUP($C353/3,0),"")</f>
        <v>3</v>
      </c>
      <c r="E353" s="11" t="str">
        <f aca="false">TRIM('수출입 실적(신성질별)'!B357)</f>
        <v>마.화학공업제품</v>
      </c>
      <c r="F353" s="18" t="n">
        <f aca="false">IFERROR(VALUE(SUBSTITUTE(TRIM('수출입 실적(신성질별)'!C357),",","")),"")</f>
        <v>4426699.4</v>
      </c>
      <c r="G353" s="19" t="n">
        <f aca="false">IFERROR(VALUE(SUBSTITUTE(TRIM('수출입 실적(신성질별)'!D357),",","")),"")</f>
        <v>7595794</v>
      </c>
      <c r="H353" s="18" t="n">
        <f aca="false">IFERROR(VALUE(SUBSTITUTE(TRIM('수출입 실적(신성질별)'!E357),",","")),"")</f>
        <v>1910270.3</v>
      </c>
      <c r="I353" s="19" t="n">
        <f aca="false">IFERROR(VALUE(SUBSTITUTE(TRIM('수출입 실적(신성질별)'!F357),",","")),"")</f>
        <v>5277163</v>
      </c>
    </row>
    <row r="354" customFormat="false" ht="15" hidden="false" customHeight="true" outlineLevel="0" collapsed="false">
      <c r="A354" s="11" t="str">
        <f aca="false">TRIM('수출입 실적(신성질별)'!A358)</f>
        <v>2025.09</v>
      </c>
      <c r="B354" s="17" t="n">
        <f aca="false">IFERROR(VALUE(LEFT($A354,4)),"")</f>
        <v>2025</v>
      </c>
      <c r="C354" s="17" t="n">
        <f aca="false">IFERROR(VALUE(RIGHT($A354,2)),"")</f>
        <v>9</v>
      </c>
      <c r="D354" s="17" t="n">
        <f aca="false">IFERROR(ROUNDUP($C354/3,0),"")</f>
        <v>3</v>
      </c>
      <c r="E354" s="11" t="str">
        <f aca="false">TRIM('수출입 실적(신성질별)'!B358)</f>
        <v>바.기타 원자재</v>
      </c>
      <c r="F354" s="18" t="n">
        <f aca="false">IFERROR(VALUE(SUBSTITUTE(TRIM('수출입 실적(신성질별)'!C358),",","")),"")</f>
        <v>2032.9</v>
      </c>
      <c r="G354" s="19" t="n">
        <f aca="false">IFERROR(VALUE(SUBSTITUTE(TRIM('수출입 실적(신성질별)'!D358),",","")),"")</f>
        <v>7681</v>
      </c>
      <c r="H354" s="18" t="n">
        <f aca="false">IFERROR(VALUE(SUBSTITUTE(TRIM('수출입 실적(신성질별)'!E358),",","")),"")</f>
        <v>2674.3</v>
      </c>
      <c r="I354" s="19" t="n">
        <f aca="false">IFERROR(VALUE(SUBSTITUTE(TRIM('수출입 실적(신성질별)'!F358),",","")),"")</f>
        <v>6899</v>
      </c>
    </row>
    <row r="355" customFormat="false" ht="15" hidden="false" customHeight="true" outlineLevel="0" collapsed="false">
      <c r="A355" s="11" t="str">
        <f aca="false">TRIM('수출입 실적(신성질별)'!A359)</f>
        <v>2025.09</v>
      </c>
      <c r="B355" s="17" t="n">
        <f aca="false">IFERROR(VALUE(LEFT($A355,4)),"")</f>
        <v>2025</v>
      </c>
      <c r="C355" s="17" t="n">
        <f aca="false">IFERROR(VALUE(RIGHT($A355,2)),"")</f>
        <v>9</v>
      </c>
      <c r="D355" s="17" t="n">
        <f aca="false">IFERROR(ROUNDUP($C355/3,0),"")</f>
        <v>3</v>
      </c>
      <c r="E355" s="11" t="str">
        <f aca="false">TRIM('수출입 실적(신성질별)'!B359)</f>
        <v>3.자본재</v>
      </c>
      <c r="F355" s="18" t="n">
        <f aca="false">IFERROR(VALUE(SUBSTITUTE(TRIM('수출입 실적(신성질별)'!C359),",","")),"")</f>
        <v>2224168</v>
      </c>
      <c r="G355" s="19" t="n">
        <f aca="false">IFERROR(VALUE(SUBSTITUTE(TRIM('수출입 실적(신성질별)'!D359),",","")),"")</f>
        <v>40051433</v>
      </c>
      <c r="H355" s="18" t="n">
        <f aca="false">IFERROR(VALUE(SUBSTITUTE(TRIM('수출입 실적(신성질별)'!E359),",","")),"")</f>
        <v>904584.6</v>
      </c>
      <c r="I355" s="19" t="n">
        <f aca="false">IFERROR(VALUE(SUBSTITUTE(TRIM('수출입 실적(신성질별)'!F359),",","")),"")</f>
        <v>23365909</v>
      </c>
    </row>
    <row r="356" customFormat="false" ht="15" hidden="false" customHeight="true" outlineLevel="0" collapsed="false">
      <c r="A356" s="11" t="str">
        <f aca="false">TRIM('수출입 실적(신성질별)'!A360)</f>
        <v>2025.09</v>
      </c>
      <c r="B356" s="17" t="n">
        <f aca="false">IFERROR(VALUE(LEFT($A356,4)),"")</f>
        <v>2025</v>
      </c>
      <c r="C356" s="17" t="n">
        <f aca="false">IFERROR(VALUE(RIGHT($A356,2)),"")</f>
        <v>9</v>
      </c>
      <c r="D356" s="17" t="n">
        <f aca="false">IFERROR(ROUNDUP($C356/3,0),"")</f>
        <v>3</v>
      </c>
      <c r="E356" s="11" t="str">
        <f aca="false">TRIM('수출입 실적(신성질별)'!B360)</f>
        <v>가.수송장비</v>
      </c>
      <c r="F356" s="18" t="n">
        <f aca="false">IFERROR(VALUE(SUBSTITUTE(TRIM('수출입 실적(신성질별)'!C360),",","")),"")</f>
        <v>1485943.5</v>
      </c>
      <c r="G356" s="19" t="n">
        <f aca="false">IFERROR(VALUE(SUBSTITUTE(TRIM('수출입 실적(신성질별)'!D360),",","")),"")</f>
        <v>7671160</v>
      </c>
      <c r="H356" s="18" t="n">
        <f aca="false">IFERROR(VALUE(SUBSTITUTE(TRIM('수출입 실적(신성질별)'!E360),",","")),"")</f>
        <v>302109.9</v>
      </c>
      <c r="I356" s="19" t="n">
        <f aca="false">IFERROR(VALUE(SUBSTITUTE(TRIM('수출입 실적(신성질별)'!F360),",","")),"")</f>
        <v>2357769</v>
      </c>
    </row>
    <row r="357" customFormat="false" ht="15" hidden="false" customHeight="true" outlineLevel="0" collapsed="false">
      <c r="A357" s="11" t="str">
        <f aca="false">TRIM('수출입 실적(신성질별)'!A361)</f>
        <v>2025.09</v>
      </c>
      <c r="B357" s="17" t="n">
        <f aca="false">IFERROR(VALUE(LEFT($A357,4)),"")</f>
        <v>2025</v>
      </c>
      <c r="C357" s="17" t="n">
        <f aca="false">IFERROR(VALUE(RIGHT($A357,2)),"")</f>
        <v>9</v>
      </c>
      <c r="D357" s="17" t="n">
        <f aca="false">IFERROR(ROUNDUP($C357/3,0),"")</f>
        <v>3</v>
      </c>
      <c r="E357" s="11" t="str">
        <f aca="false">TRIM('수출입 실적(신성질별)'!B361)</f>
        <v>나.기계류</v>
      </c>
      <c r="F357" s="18" t="n">
        <f aca="false">IFERROR(VALUE(SUBSTITUTE(TRIM('수출입 실적(신성질별)'!C361),",","")),"")</f>
        <v>695286.2</v>
      </c>
      <c r="G357" s="19" t="n">
        <f aca="false">IFERROR(VALUE(SUBSTITUTE(TRIM('수출입 실적(신성질별)'!D361),",","")),"")</f>
        <v>9547730</v>
      </c>
      <c r="H357" s="18" t="n">
        <f aca="false">IFERROR(VALUE(SUBSTITUTE(TRIM('수출입 실적(신성질별)'!E361),",","")),"")</f>
        <v>539518.9</v>
      </c>
      <c r="I357" s="19" t="n">
        <f aca="false">IFERROR(VALUE(SUBSTITUTE(TRIM('수출입 실적(신성질별)'!F361),",","")),"")</f>
        <v>10063747</v>
      </c>
    </row>
    <row r="358" customFormat="false" ht="15" hidden="false" customHeight="true" outlineLevel="0" collapsed="false">
      <c r="A358" s="11" t="str">
        <f aca="false">TRIM('수출입 실적(신성질별)'!A362)</f>
        <v>2025.09</v>
      </c>
      <c r="B358" s="17" t="n">
        <f aca="false">IFERROR(VALUE(LEFT($A358,4)),"")</f>
        <v>2025</v>
      </c>
      <c r="C358" s="17" t="n">
        <f aca="false">IFERROR(VALUE(RIGHT($A358,2)),"")</f>
        <v>9</v>
      </c>
      <c r="D358" s="17" t="n">
        <f aca="false">IFERROR(ROUNDUP($C358/3,0),"")</f>
        <v>3</v>
      </c>
      <c r="E358" s="11" t="str">
        <f aca="false">TRIM('수출입 실적(신성질별)'!B362)</f>
        <v>다.IT제품</v>
      </c>
      <c r="F358" s="18" t="n">
        <f aca="false">IFERROR(VALUE(SUBSTITUTE(TRIM('수출입 실적(신성질별)'!C362),",","")),"")</f>
        <v>12310.2</v>
      </c>
      <c r="G358" s="19" t="n">
        <f aca="false">IFERROR(VALUE(SUBSTITUTE(TRIM('수출입 실적(신성질별)'!D362),",","")),"")</f>
        <v>4619191</v>
      </c>
      <c r="H358" s="18" t="n">
        <f aca="false">IFERROR(VALUE(SUBSTITUTE(TRIM('수출입 실적(신성질별)'!E362),",","")),"")</f>
        <v>17010</v>
      </c>
      <c r="I358" s="19" t="n">
        <f aca="false">IFERROR(VALUE(SUBSTITUTE(TRIM('수출입 실적(신성질별)'!F362),",","")),"")</f>
        <v>3315968</v>
      </c>
    </row>
    <row r="359" customFormat="false" ht="15" hidden="false" customHeight="true" outlineLevel="0" collapsed="false">
      <c r="A359" s="11" t="str">
        <f aca="false">TRIM('수출입 실적(신성질별)'!A363)</f>
        <v>2025.09</v>
      </c>
      <c r="B359" s="17" t="n">
        <f aca="false">IFERROR(VALUE(LEFT($A359,4)),"")</f>
        <v>2025</v>
      </c>
      <c r="C359" s="17" t="n">
        <f aca="false">IFERROR(VALUE(RIGHT($A359,2)),"")</f>
        <v>9</v>
      </c>
      <c r="D359" s="17" t="n">
        <f aca="false">IFERROR(ROUNDUP($C359/3,0),"")</f>
        <v>3</v>
      </c>
      <c r="E359" s="11" t="str">
        <f aca="false">TRIM('수출입 실적(신성질별)'!B363)</f>
        <v>라.IT부품</v>
      </c>
      <c r="F359" s="18" t="n">
        <f aca="false">IFERROR(VALUE(SUBSTITUTE(TRIM('수출입 실적(신성질별)'!C363),",","")),"")</f>
        <v>30628</v>
      </c>
      <c r="G359" s="19" t="n">
        <f aca="false">IFERROR(VALUE(SUBSTITUTE(TRIM('수출입 실적(신성질별)'!D363),",","")),"")</f>
        <v>18213352</v>
      </c>
      <c r="H359" s="18" t="n">
        <f aca="false">IFERROR(VALUE(SUBSTITUTE(TRIM('수출입 실적(신성질별)'!E363),",","")),"")</f>
        <v>45945.9</v>
      </c>
      <c r="I359" s="19" t="n">
        <f aca="false">IFERROR(VALUE(SUBSTITUTE(TRIM('수출입 실적(신성질별)'!F363),",","")),"")</f>
        <v>7628425</v>
      </c>
    </row>
    <row r="360" customFormat="false" ht="15" hidden="false" customHeight="true" outlineLevel="0" collapsed="false">
      <c r="A360" s="11" t="str">
        <f aca="false">TRIM('수출입 실적(신성질별)'!A364)</f>
        <v>2025.10</v>
      </c>
      <c r="B360" s="17" t="n">
        <f aca="false">IFERROR(VALUE(LEFT($A360,4)),"")</f>
        <v>2025</v>
      </c>
      <c r="C360" s="17" t="n">
        <f aca="false">IFERROR(VALUE(RIGHT($A360,2)),"")</f>
        <v>10</v>
      </c>
      <c r="D360" s="17" t="n">
        <f aca="false">IFERROR(ROUNDUP($C360/3,0),"")</f>
        <v>4</v>
      </c>
      <c r="E360" s="11" t="str">
        <f aca="false">TRIM('수출입 실적(신성질별)'!B364)</f>
        <v>1.소비재</v>
      </c>
      <c r="F360" s="18" t="n">
        <f aca="false">IFERROR(VALUE(SUBSTITUTE(TRIM('수출입 실적(신성질별)'!C364),",","")),"")</f>
        <v>815431.6</v>
      </c>
      <c r="G360" s="19" t="n">
        <f aca="false">IFERROR(VALUE(SUBSTITUTE(TRIM('수출입 실적(신성질별)'!D364),",","")),"")</f>
        <v>7573129</v>
      </c>
      <c r="H360" s="18" t="n">
        <f aca="false">IFERROR(VALUE(SUBSTITUTE(TRIM('수출입 실적(신성질별)'!E364),",","")),"")</f>
        <v>1932909.8</v>
      </c>
      <c r="I360" s="19" t="n">
        <f aca="false">IFERROR(VALUE(SUBSTITUTE(TRIM('수출입 실적(신성질별)'!F364),",","")),"")</f>
        <v>7003694</v>
      </c>
    </row>
    <row r="361" customFormat="false" ht="15" hidden="false" customHeight="true" outlineLevel="0" collapsed="false">
      <c r="A361" s="11" t="str">
        <f aca="false">TRIM('수출입 실적(신성질별)'!A365)</f>
        <v>2025.10</v>
      </c>
      <c r="B361" s="17" t="n">
        <f aca="false">IFERROR(VALUE(LEFT($A361,4)),"")</f>
        <v>2025</v>
      </c>
      <c r="C361" s="17" t="n">
        <f aca="false">IFERROR(VALUE(RIGHT($A361,2)),"")</f>
        <v>10</v>
      </c>
      <c r="D361" s="17" t="n">
        <f aca="false">IFERROR(ROUNDUP($C361/3,0),"")</f>
        <v>4</v>
      </c>
      <c r="E361" s="11" t="str">
        <f aca="false">TRIM('수출입 실적(신성질별)'!B365)</f>
        <v>가.직접소비재</v>
      </c>
      <c r="F361" s="18" t="n">
        <f aca="false">IFERROR(VALUE(SUBSTITUTE(TRIM('수출입 실적(신성질별)'!C365),",","")),"")</f>
        <v>254951.9</v>
      </c>
      <c r="G361" s="19" t="n">
        <f aca="false">IFERROR(VALUE(SUBSTITUTE(TRIM('수출입 실적(신성질별)'!D365),",","")),"")</f>
        <v>903089</v>
      </c>
      <c r="H361" s="18" t="n">
        <f aca="false">IFERROR(VALUE(SUBSTITUTE(TRIM('수출입 실적(신성질별)'!E365),",","")),"")</f>
        <v>1558263.7</v>
      </c>
      <c r="I361" s="19" t="n">
        <f aca="false">IFERROR(VALUE(SUBSTITUTE(TRIM('수출입 실적(신성질별)'!F365),",","")),"")</f>
        <v>2497860</v>
      </c>
    </row>
    <row r="362" customFormat="false" ht="15" hidden="false" customHeight="true" outlineLevel="0" collapsed="false">
      <c r="A362" s="11" t="str">
        <f aca="false">TRIM('수출입 실적(신성질별)'!A366)</f>
        <v>2025.10</v>
      </c>
      <c r="B362" s="17" t="n">
        <f aca="false">IFERROR(VALUE(LEFT($A362,4)),"")</f>
        <v>2025</v>
      </c>
      <c r="C362" s="17" t="n">
        <f aca="false">IFERROR(VALUE(RIGHT($A362,2)),"")</f>
        <v>10</v>
      </c>
      <c r="D362" s="17" t="n">
        <f aca="false">IFERROR(ROUNDUP($C362/3,0),"")</f>
        <v>4</v>
      </c>
      <c r="E362" s="11" t="str">
        <f aca="false">TRIM('수출입 실적(신성질별)'!B366)</f>
        <v>나.내구소비재</v>
      </c>
      <c r="F362" s="18" t="n">
        <f aca="false">IFERROR(VALUE(SUBSTITUTE(TRIM('수출입 실적(신성질별)'!C366),",","")),"")</f>
        <v>429689.8</v>
      </c>
      <c r="G362" s="19" t="n">
        <f aca="false">IFERROR(VALUE(SUBSTITUTE(TRIM('수출입 실적(신성질별)'!D366),",","")),"")</f>
        <v>5162546</v>
      </c>
      <c r="H362" s="18" t="n">
        <f aca="false">IFERROR(VALUE(SUBSTITUTE(TRIM('수출입 실적(신성질별)'!E366),",","")),"")</f>
        <v>201285.4</v>
      </c>
      <c r="I362" s="19" t="n">
        <f aca="false">IFERROR(VALUE(SUBSTITUTE(TRIM('수출입 실적(신성질별)'!F366),",","")),"")</f>
        <v>2109910</v>
      </c>
    </row>
    <row r="363" customFormat="false" ht="15" hidden="false" customHeight="true" outlineLevel="0" collapsed="false">
      <c r="A363" s="11" t="str">
        <f aca="false">TRIM('수출입 실적(신성질별)'!A367)</f>
        <v>2025.10</v>
      </c>
      <c r="B363" s="17" t="n">
        <f aca="false">IFERROR(VALUE(LEFT($A363,4)),"")</f>
        <v>2025</v>
      </c>
      <c r="C363" s="17" t="n">
        <f aca="false">IFERROR(VALUE(RIGHT($A363,2)),"")</f>
        <v>10</v>
      </c>
      <c r="D363" s="17" t="n">
        <f aca="false">IFERROR(ROUNDUP($C363/3,0),"")</f>
        <v>4</v>
      </c>
      <c r="E363" s="11" t="str">
        <f aca="false">TRIM('수출입 실적(신성질별)'!B367)</f>
        <v>다.비내구소비재</v>
      </c>
      <c r="F363" s="18" t="n">
        <f aca="false">IFERROR(VALUE(SUBSTITUTE(TRIM('수출입 실적(신성질별)'!C367),",","")),"")</f>
        <v>129417.5</v>
      </c>
      <c r="G363" s="19" t="n">
        <f aca="false">IFERROR(VALUE(SUBSTITUTE(TRIM('수출입 실적(신성질별)'!D367),",","")),"")</f>
        <v>1505792</v>
      </c>
      <c r="H363" s="18" t="n">
        <f aca="false">IFERROR(VALUE(SUBSTITUTE(TRIM('수출입 실적(신성질별)'!E367),",","")),"")</f>
        <v>173360.7</v>
      </c>
      <c r="I363" s="19" t="n">
        <f aca="false">IFERROR(VALUE(SUBSTITUTE(TRIM('수출입 실적(신성질별)'!F367),",","")),"")</f>
        <v>2395925</v>
      </c>
    </row>
    <row r="364" customFormat="false" ht="15" hidden="false" customHeight="true" outlineLevel="0" collapsed="false">
      <c r="A364" s="11" t="str">
        <f aca="false">TRIM('수출입 실적(신성질별)'!A368)</f>
        <v>2025.10</v>
      </c>
      <c r="B364" s="17" t="n">
        <f aca="false">IFERROR(VALUE(LEFT($A364,4)),"")</f>
        <v>2025</v>
      </c>
      <c r="C364" s="17" t="n">
        <f aca="false">IFERROR(VALUE(RIGHT($A364,2)),"")</f>
        <v>10</v>
      </c>
      <c r="D364" s="17" t="n">
        <f aca="false">IFERROR(ROUNDUP($C364/3,0),"")</f>
        <v>4</v>
      </c>
      <c r="E364" s="11" t="str">
        <f aca="false">TRIM('수출입 실적(신성질별)'!B368)</f>
        <v>라.간이세율적용분</v>
      </c>
      <c r="F364" s="18" t="n">
        <f aca="false">IFERROR(VALUE(SUBSTITUTE(TRIM('수출입 실적(신성질별)'!C368),",","")),"")</f>
        <v>1372.4</v>
      </c>
      <c r="G364" s="19" t="n">
        <f aca="false">IFERROR(VALUE(SUBSTITUTE(TRIM('수출입 실적(신성질별)'!D368),",","")),"")</f>
        <v>1702</v>
      </c>
      <c r="H364" s="18" t="n">
        <f aca="false">IFERROR(VALUE(SUBSTITUTE(TRIM('수출입 실적(신성질별)'!E368),",","")),"")</f>
        <v>0</v>
      </c>
      <c r="I364" s="19" t="n">
        <f aca="false">IFERROR(VALUE(SUBSTITUTE(TRIM('수출입 실적(신성질별)'!F368),",","")),"")</f>
        <v>0</v>
      </c>
    </row>
    <row r="365" customFormat="false" ht="15" hidden="false" customHeight="true" outlineLevel="0" collapsed="false">
      <c r="A365" s="11" t="str">
        <f aca="false">TRIM('수출입 실적(신성질별)'!A369)</f>
        <v>2025.10</v>
      </c>
      <c r="B365" s="17" t="n">
        <f aca="false">IFERROR(VALUE(LEFT($A365,4)),"")</f>
        <v>2025</v>
      </c>
      <c r="C365" s="17" t="n">
        <f aca="false">IFERROR(VALUE(RIGHT($A365,2)),"")</f>
        <v>10</v>
      </c>
      <c r="D365" s="17" t="n">
        <f aca="false">IFERROR(ROUNDUP($C365/3,0),"")</f>
        <v>4</v>
      </c>
      <c r="E365" s="11" t="str">
        <f aca="false">TRIM('수출입 실적(신성질별)'!B369)</f>
        <v>2.원자재</v>
      </c>
      <c r="F365" s="18" t="n">
        <f aca="false">IFERROR(VALUE(SUBSTITUTE(TRIM('수출입 실적(신성질별)'!C369),",","")),"")</f>
        <v>13307367.3</v>
      </c>
      <c r="G365" s="19" t="n">
        <f aca="false">IFERROR(VALUE(SUBSTITUTE(TRIM('수출입 실적(신성질별)'!D369),",","")),"")</f>
        <v>15011770</v>
      </c>
      <c r="H365" s="18" t="n">
        <f aca="false">IFERROR(VALUE(SUBSTITUTE(TRIM('수출입 실적(신성질별)'!E369),",","")),"")</f>
        <v>44833697.5</v>
      </c>
      <c r="I365" s="19" t="n">
        <f aca="false">IFERROR(VALUE(SUBSTITUTE(TRIM('수출입 실적(신성질별)'!F369),",","")),"")</f>
        <v>25489878</v>
      </c>
    </row>
    <row r="366" customFormat="false" ht="15" hidden="false" customHeight="true" outlineLevel="0" collapsed="false">
      <c r="A366" s="11" t="str">
        <f aca="false">TRIM('수출입 실적(신성질별)'!A370)</f>
        <v>2025.10</v>
      </c>
      <c r="B366" s="17" t="n">
        <f aca="false">IFERROR(VALUE(LEFT($A366,4)),"")</f>
        <v>2025</v>
      </c>
      <c r="C366" s="17" t="n">
        <f aca="false">IFERROR(VALUE(RIGHT($A366,2)),"")</f>
        <v>10</v>
      </c>
      <c r="D366" s="17" t="n">
        <f aca="false">IFERROR(ROUNDUP($C366/3,0),"")</f>
        <v>4</v>
      </c>
      <c r="E366" s="11" t="str">
        <f aca="false">TRIM('수출입 실적(신성질별)'!B370)</f>
        <v>가.동식물성 연·원료</v>
      </c>
      <c r="F366" s="18" t="n">
        <f aca="false">IFERROR(VALUE(SUBSTITUTE(TRIM('수출입 실적(신성질별)'!C370),",","")),"")</f>
        <v>370232.9</v>
      </c>
      <c r="G366" s="19" t="n">
        <f aca="false">IFERROR(VALUE(SUBSTITUTE(TRIM('수출입 실적(신성질별)'!D370),",","")),"")</f>
        <v>414616</v>
      </c>
      <c r="H366" s="18" t="n">
        <f aca="false">IFERROR(VALUE(SUBSTITUTE(TRIM('수출입 실적(신성질별)'!E370),",","")),"")</f>
        <v>2813401.4</v>
      </c>
      <c r="I366" s="19" t="n">
        <f aca="false">IFERROR(VALUE(SUBSTITUTE(TRIM('수출입 실적(신성질별)'!F370),",","")),"")</f>
        <v>1366937</v>
      </c>
    </row>
    <row r="367" customFormat="false" ht="15" hidden="false" customHeight="true" outlineLevel="0" collapsed="false">
      <c r="A367" s="11" t="str">
        <f aca="false">TRIM('수출입 실적(신성질별)'!A371)</f>
        <v>2025.10</v>
      </c>
      <c r="B367" s="17" t="n">
        <f aca="false">IFERROR(VALUE(LEFT($A367,4)),"")</f>
        <v>2025</v>
      </c>
      <c r="C367" s="17" t="n">
        <f aca="false">IFERROR(VALUE(RIGHT($A367,2)),"")</f>
        <v>10</v>
      </c>
      <c r="D367" s="17" t="n">
        <f aca="false">IFERROR(ROUNDUP($C367/3,0),"")</f>
        <v>4</v>
      </c>
      <c r="E367" s="11" t="str">
        <f aca="false">TRIM('수출입 실적(신성질별)'!B371)</f>
        <v>나.섬유류</v>
      </c>
      <c r="F367" s="18" t="n">
        <f aca="false">IFERROR(VALUE(SUBSTITUTE(TRIM('수출입 실적(신성질별)'!C371),",","")),"")</f>
        <v>102588.9</v>
      </c>
      <c r="G367" s="19" t="n">
        <f aca="false">IFERROR(VALUE(SUBSTITUTE(TRIM('수출입 실적(신성질별)'!D371),",","")),"")</f>
        <v>492889</v>
      </c>
      <c r="H367" s="18" t="n">
        <f aca="false">IFERROR(VALUE(SUBSTITUTE(TRIM('수출입 실적(신성질별)'!E371),",","")),"")</f>
        <v>90758.6</v>
      </c>
      <c r="I367" s="19" t="n">
        <f aca="false">IFERROR(VALUE(SUBSTITUTE(TRIM('수출입 실적(신성질별)'!F371),",","")),"")</f>
        <v>289833</v>
      </c>
    </row>
    <row r="368" customFormat="false" ht="15" hidden="false" customHeight="true" outlineLevel="0" collapsed="false">
      <c r="A368" s="11" t="str">
        <f aca="false">TRIM('수출입 실적(신성질별)'!A372)</f>
        <v>2025.10</v>
      </c>
      <c r="B368" s="17" t="n">
        <f aca="false">IFERROR(VALUE(LEFT($A368,4)),"")</f>
        <v>2025</v>
      </c>
      <c r="C368" s="17" t="n">
        <f aca="false">IFERROR(VALUE(RIGHT($A368,2)),"")</f>
        <v>10</v>
      </c>
      <c r="D368" s="17" t="n">
        <f aca="false">IFERROR(ROUNDUP($C368/3,0),"")</f>
        <v>4</v>
      </c>
      <c r="E368" s="11" t="str">
        <f aca="false">TRIM('수출입 실적(신성질별)'!B372)</f>
        <v>다.광산물</v>
      </c>
      <c r="F368" s="18" t="n">
        <f aca="false">IFERROR(VALUE(SUBSTITUTE(TRIM('수출입 실적(신성질별)'!C372),",","")),"")</f>
        <v>6528401.5</v>
      </c>
      <c r="G368" s="19" t="n">
        <f aca="false">IFERROR(VALUE(SUBSTITUTE(TRIM('수출입 실적(신성질별)'!D372),",","")),"")</f>
        <v>4846658</v>
      </c>
      <c r="H368" s="18" t="n">
        <f aca="false">IFERROR(VALUE(SUBSTITUTE(TRIM('수출입 실적(신성질별)'!E372),",","")),"")</f>
        <v>38783460</v>
      </c>
      <c r="I368" s="19" t="n">
        <f aca="false">IFERROR(VALUE(SUBSTITUTE(TRIM('수출입 실적(신성질별)'!F372),",","")),"")</f>
        <v>16695924</v>
      </c>
    </row>
    <row r="369" customFormat="false" ht="15" hidden="false" customHeight="true" outlineLevel="0" collapsed="false">
      <c r="A369" s="11" t="str">
        <f aca="false">TRIM('수출입 실적(신성질별)'!A373)</f>
        <v>2025.10</v>
      </c>
      <c r="B369" s="17" t="n">
        <f aca="false">IFERROR(VALUE(LEFT($A369,4)),"")</f>
        <v>2025</v>
      </c>
      <c r="C369" s="17" t="n">
        <f aca="false">IFERROR(VALUE(RIGHT($A369,2)),"")</f>
        <v>10</v>
      </c>
      <c r="D369" s="17" t="n">
        <f aca="false">IFERROR(ROUNDUP($C369/3,0),"")</f>
        <v>4</v>
      </c>
      <c r="E369" s="11" t="str">
        <f aca="false">TRIM('수출입 실적(신성질별)'!B373)</f>
        <v>라.철강 및 금속제품</v>
      </c>
      <c r="F369" s="18" t="n">
        <f aca="false">IFERROR(VALUE(SUBSTITUTE(TRIM('수출입 실적(신성질별)'!C373),",","")),"")</f>
        <v>2419953.6</v>
      </c>
      <c r="G369" s="19" t="n">
        <f aca="false">IFERROR(VALUE(SUBSTITUTE(TRIM('수출입 실적(신성질별)'!D373),",","")),"")</f>
        <v>3113957</v>
      </c>
      <c r="H369" s="18" t="n">
        <f aca="false">IFERROR(VALUE(SUBSTITUTE(TRIM('수출입 실적(신성질별)'!E373),",","")),"")</f>
        <v>1491437.5</v>
      </c>
      <c r="I369" s="19" t="n">
        <f aca="false">IFERROR(VALUE(SUBSTITUTE(TRIM('수출입 실적(신성질별)'!F373),",","")),"")</f>
        <v>2596135</v>
      </c>
    </row>
    <row r="370" customFormat="false" ht="15" hidden="false" customHeight="true" outlineLevel="0" collapsed="false">
      <c r="A370" s="11" t="str">
        <f aca="false">TRIM('수출입 실적(신성질별)'!A374)</f>
        <v>2025.10</v>
      </c>
      <c r="B370" s="17" t="n">
        <f aca="false">IFERROR(VALUE(LEFT($A370,4)),"")</f>
        <v>2025</v>
      </c>
      <c r="C370" s="17" t="n">
        <f aca="false">IFERROR(VALUE(RIGHT($A370,2)),"")</f>
        <v>10</v>
      </c>
      <c r="D370" s="17" t="n">
        <f aca="false">IFERROR(ROUNDUP($C370/3,0),"")</f>
        <v>4</v>
      </c>
      <c r="E370" s="11" t="str">
        <f aca="false">TRIM('수출입 실적(신성질별)'!B374)</f>
        <v>마.화학공업제품</v>
      </c>
      <c r="F370" s="18" t="n">
        <f aca="false">IFERROR(VALUE(SUBSTITUTE(TRIM('수출입 실적(신성질별)'!C374),",","")),"")</f>
        <v>3884674.8</v>
      </c>
      <c r="G370" s="19" t="n">
        <f aca="false">IFERROR(VALUE(SUBSTITUTE(TRIM('수출입 실적(신성질별)'!D374),",","")),"")</f>
        <v>6137008</v>
      </c>
      <c r="H370" s="18" t="n">
        <f aca="false">IFERROR(VALUE(SUBSTITUTE(TRIM('수출입 실적(신성질별)'!E374),",","")),"")</f>
        <v>1652661.4</v>
      </c>
      <c r="I370" s="19" t="n">
        <f aca="false">IFERROR(VALUE(SUBSTITUTE(TRIM('수출입 실적(신성질별)'!F374),",","")),"")</f>
        <v>4535468</v>
      </c>
    </row>
    <row r="371" customFormat="false" ht="15" hidden="false" customHeight="true" outlineLevel="0" collapsed="false">
      <c r="A371" s="11" t="str">
        <f aca="false">TRIM('수출입 실적(신성질별)'!A375)</f>
        <v>2025.10</v>
      </c>
      <c r="B371" s="17" t="n">
        <f aca="false">IFERROR(VALUE(LEFT($A371,4)),"")</f>
        <v>2025</v>
      </c>
      <c r="C371" s="17" t="n">
        <f aca="false">IFERROR(VALUE(RIGHT($A371,2)),"")</f>
        <v>10</v>
      </c>
      <c r="D371" s="17" t="n">
        <f aca="false">IFERROR(ROUNDUP($C371/3,0),"")</f>
        <v>4</v>
      </c>
      <c r="E371" s="11" t="str">
        <f aca="false">TRIM('수출입 실적(신성질별)'!B375)</f>
        <v>바.기타 원자재</v>
      </c>
      <c r="F371" s="18" t="n">
        <f aca="false">IFERROR(VALUE(SUBSTITUTE(TRIM('수출입 실적(신성질별)'!C375),",","")),"")</f>
        <v>1515.5</v>
      </c>
      <c r="G371" s="19" t="n">
        <f aca="false">IFERROR(VALUE(SUBSTITUTE(TRIM('수출입 실적(신성질별)'!D375),",","")),"")</f>
        <v>6642</v>
      </c>
      <c r="H371" s="18" t="n">
        <f aca="false">IFERROR(VALUE(SUBSTITUTE(TRIM('수출입 실적(신성질별)'!E375),",","")),"")</f>
        <v>1978.7</v>
      </c>
      <c r="I371" s="19" t="n">
        <f aca="false">IFERROR(VALUE(SUBSTITUTE(TRIM('수출입 실적(신성질별)'!F375),",","")),"")</f>
        <v>5582</v>
      </c>
    </row>
    <row r="372" customFormat="false" ht="15" hidden="false" customHeight="true" outlineLevel="0" collapsed="false">
      <c r="A372" s="11" t="str">
        <f aca="false">TRIM('수출입 실적(신성질별)'!A376)</f>
        <v>2025.10</v>
      </c>
      <c r="B372" s="17" t="n">
        <f aca="false">IFERROR(VALUE(LEFT($A372,4)),"")</f>
        <v>2025</v>
      </c>
      <c r="C372" s="17" t="n">
        <f aca="false">IFERROR(VALUE(RIGHT($A372,2)),"")</f>
        <v>10</v>
      </c>
      <c r="D372" s="17" t="n">
        <f aca="false">IFERROR(ROUNDUP($C372/3,0),"")</f>
        <v>4</v>
      </c>
      <c r="E372" s="11" t="str">
        <f aca="false">TRIM('수출입 실적(신성질별)'!B376)</f>
        <v>3.자본재</v>
      </c>
      <c r="F372" s="18" t="n">
        <f aca="false">IFERROR(VALUE(SUBSTITUTE(TRIM('수출입 실적(신성질별)'!C376),",","")),"")</f>
        <v>1894519.1</v>
      </c>
      <c r="G372" s="19" t="n">
        <f aca="false">IFERROR(VALUE(SUBSTITUTE(TRIM('수출입 실적(신성질별)'!D376),",","")),"")</f>
        <v>36926679</v>
      </c>
      <c r="H372" s="18" t="n">
        <f aca="false">IFERROR(VALUE(SUBSTITUTE(TRIM('수출입 실적(신성질별)'!E376),",","")),"")</f>
        <v>809286.3</v>
      </c>
      <c r="I372" s="19" t="n">
        <f aca="false">IFERROR(VALUE(SUBSTITUTE(TRIM('수출입 실적(신성질별)'!F376),",","")),"")</f>
        <v>21017256</v>
      </c>
    </row>
    <row r="373" customFormat="false" ht="15" hidden="false" customHeight="true" outlineLevel="0" collapsed="false">
      <c r="A373" s="11" t="str">
        <f aca="false">TRIM('수출입 실적(신성질별)'!A377)</f>
        <v>2025.10</v>
      </c>
      <c r="B373" s="17" t="n">
        <f aca="false">IFERROR(VALUE(LEFT($A373,4)),"")</f>
        <v>2025</v>
      </c>
      <c r="C373" s="17" t="n">
        <f aca="false">IFERROR(VALUE(RIGHT($A373,2)),"")</f>
        <v>10</v>
      </c>
      <c r="D373" s="17" t="n">
        <f aca="false">IFERROR(ROUNDUP($C373/3,0),"")</f>
        <v>4</v>
      </c>
      <c r="E373" s="11" t="str">
        <f aca="false">TRIM('수출입 실적(신성질별)'!B377)</f>
        <v>가.수송장비</v>
      </c>
      <c r="F373" s="18" t="n">
        <f aca="false">IFERROR(VALUE(SUBSTITUTE(TRIM('수출입 실적(신성질별)'!C377),",","")),"")</f>
        <v>1320336.8</v>
      </c>
      <c r="G373" s="19" t="n">
        <f aca="false">IFERROR(VALUE(SUBSTITUTE(TRIM('수출입 실적(신성질별)'!D377),",","")),"")</f>
        <v>8337096</v>
      </c>
      <c r="H373" s="18" t="n">
        <f aca="false">IFERROR(VALUE(SUBSTITUTE(TRIM('수출입 실적(신성질별)'!E377),",","")),"")</f>
        <v>288441.4</v>
      </c>
      <c r="I373" s="19" t="n">
        <f aca="false">IFERROR(VALUE(SUBSTITUTE(TRIM('수출입 실적(신성질별)'!F377),",","")),"")</f>
        <v>2256242</v>
      </c>
    </row>
    <row r="374" customFormat="false" ht="15" hidden="false" customHeight="true" outlineLevel="0" collapsed="false">
      <c r="A374" s="11" t="str">
        <f aca="false">TRIM('수출입 실적(신성질별)'!A378)</f>
        <v>2025.10</v>
      </c>
      <c r="B374" s="17" t="n">
        <f aca="false">IFERROR(VALUE(LEFT($A374,4)),"")</f>
        <v>2025</v>
      </c>
      <c r="C374" s="17" t="n">
        <f aca="false">IFERROR(VALUE(RIGHT($A374,2)),"")</f>
        <v>10</v>
      </c>
      <c r="D374" s="17" t="n">
        <f aca="false">IFERROR(ROUNDUP($C374/3,0),"")</f>
        <v>4</v>
      </c>
      <c r="E374" s="11" t="str">
        <f aca="false">TRIM('수출입 실적(신성질별)'!B378)</f>
        <v>나.기계류</v>
      </c>
      <c r="F374" s="18" t="n">
        <f aca="false">IFERROR(VALUE(SUBSTITUTE(TRIM('수출입 실적(신성질별)'!C378),",","")),"")</f>
        <v>538391.6</v>
      </c>
      <c r="G374" s="19" t="n">
        <f aca="false">IFERROR(VALUE(SUBSTITUTE(TRIM('수출입 실적(신성질별)'!D378),",","")),"")</f>
        <v>7328621</v>
      </c>
      <c r="H374" s="18" t="n">
        <f aca="false">IFERROR(VALUE(SUBSTITUTE(TRIM('수출입 실적(신성질별)'!E378),",","")),"")</f>
        <v>465798.2</v>
      </c>
      <c r="I374" s="19" t="n">
        <f aca="false">IFERROR(VALUE(SUBSTITUTE(TRIM('수출입 실적(신성질별)'!F378),",","")),"")</f>
        <v>8355867</v>
      </c>
    </row>
    <row r="375" customFormat="false" ht="15" hidden="false" customHeight="true" outlineLevel="0" collapsed="false">
      <c r="A375" s="11" t="str">
        <f aca="false">TRIM('수출입 실적(신성질별)'!A379)</f>
        <v>2025.10</v>
      </c>
      <c r="B375" s="17" t="n">
        <f aca="false">IFERROR(VALUE(LEFT($A375,4)),"")</f>
        <v>2025</v>
      </c>
      <c r="C375" s="17" t="n">
        <f aca="false">IFERROR(VALUE(RIGHT($A375,2)),"")</f>
        <v>10</v>
      </c>
      <c r="D375" s="17" t="n">
        <f aca="false">IFERROR(ROUNDUP($C375/3,0),"")</f>
        <v>4</v>
      </c>
      <c r="E375" s="11" t="str">
        <f aca="false">TRIM('수출입 실적(신성질별)'!B379)</f>
        <v>다.IT제품</v>
      </c>
      <c r="F375" s="18" t="n">
        <f aca="false">IFERROR(VALUE(SUBSTITUTE(TRIM('수출입 실적(신성질별)'!C379),",","")),"")</f>
        <v>9152.9</v>
      </c>
      <c r="G375" s="19" t="n">
        <f aca="false">IFERROR(VALUE(SUBSTITUTE(TRIM('수출입 실적(신성질별)'!D379),",","")),"")</f>
        <v>4120522</v>
      </c>
      <c r="H375" s="18" t="n">
        <f aca="false">IFERROR(VALUE(SUBSTITUTE(TRIM('수출입 실적(신성질별)'!E379),",","")),"")</f>
        <v>15886.5</v>
      </c>
      <c r="I375" s="19" t="n">
        <f aca="false">IFERROR(VALUE(SUBSTITUTE(TRIM('수출입 실적(신성질별)'!F379),",","")),"")</f>
        <v>2798904</v>
      </c>
    </row>
    <row r="376" customFormat="false" ht="15" hidden="false" customHeight="true" outlineLevel="0" collapsed="false">
      <c r="A376" s="11" t="str">
        <f aca="false">TRIM('수출입 실적(신성질별)'!A380)</f>
        <v>2025.10</v>
      </c>
      <c r="B376" s="17" t="n">
        <f aca="false">IFERROR(VALUE(LEFT($A376,4)),"")</f>
        <v>2025</v>
      </c>
      <c r="C376" s="17" t="n">
        <f aca="false">IFERROR(VALUE(RIGHT($A376,2)),"")</f>
        <v>10</v>
      </c>
      <c r="D376" s="17" t="n">
        <f aca="false">IFERROR(ROUNDUP($C376/3,0),"")</f>
        <v>4</v>
      </c>
      <c r="E376" s="11" t="str">
        <f aca="false">TRIM('수출입 실적(신성질별)'!B380)</f>
        <v>라.IT부품</v>
      </c>
      <c r="F376" s="18" t="n">
        <f aca="false">IFERROR(VALUE(SUBSTITUTE(TRIM('수출입 실적(신성질별)'!C380),",","")),"")</f>
        <v>26637.8</v>
      </c>
      <c r="G376" s="19" t="n">
        <f aca="false">IFERROR(VALUE(SUBSTITUTE(TRIM('수출입 실적(신성질별)'!D380),",","")),"")</f>
        <v>17140440</v>
      </c>
      <c r="H376" s="18" t="n">
        <f aca="false">IFERROR(VALUE(SUBSTITUTE(TRIM('수출입 실적(신성질별)'!E380),",","")),"")</f>
        <v>39160.2</v>
      </c>
      <c r="I376" s="19" t="n">
        <f aca="false">IFERROR(VALUE(SUBSTITUTE(TRIM('수출입 실적(신성질별)'!F380),",","")),"")</f>
        <v>7606242</v>
      </c>
    </row>
    <row r="377" customFormat="false" ht="15" hidden="false" customHeight="true" outlineLevel="0" collapsed="false">
      <c r="A377" s="11" t="str">
        <f aca="false">TRIM('수출입 실적(신성질별)'!A381)</f>
        <v>2025.11</v>
      </c>
      <c r="B377" s="17" t="n">
        <f aca="false">IFERROR(VALUE(LEFT($A377,4)),"")</f>
        <v>2025</v>
      </c>
      <c r="C377" s="17" t="n">
        <f aca="false">IFERROR(VALUE(RIGHT($A377,2)),"")</f>
        <v>11</v>
      </c>
      <c r="D377" s="17" t="n">
        <f aca="false">IFERROR(ROUNDUP($C377/3,0),"")</f>
        <v>4</v>
      </c>
      <c r="E377" s="11" t="str">
        <f aca="false">TRIM('수출입 실적(신성질별)'!B381)</f>
        <v>1.소비재</v>
      </c>
      <c r="F377" s="18" t="n">
        <f aca="false">IFERROR(VALUE(SUBSTITUTE(TRIM('수출입 실적(신성질별)'!C381),",","")),"")</f>
        <v>907972.9</v>
      </c>
      <c r="G377" s="19" t="n">
        <f aca="false">IFERROR(VALUE(SUBSTITUTE(TRIM('수출입 실적(신성질별)'!D381),",","")),"")</f>
        <v>8343363</v>
      </c>
      <c r="H377" s="18" t="n">
        <f aca="false">IFERROR(VALUE(SUBSTITUTE(TRIM('수출입 실적(신성질별)'!E381),",","")),"")</f>
        <v>1956773.4</v>
      </c>
      <c r="I377" s="19" t="n">
        <f aca="false">IFERROR(VALUE(SUBSTITUTE(TRIM('수출입 실적(신성질별)'!F381),",","")),"")</f>
        <v>6870624</v>
      </c>
    </row>
    <row r="378" customFormat="false" ht="15" hidden="false" customHeight="true" outlineLevel="0" collapsed="false">
      <c r="A378" s="11" t="str">
        <f aca="false">TRIM('수출입 실적(신성질별)'!A382)</f>
        <v>2025.11</v>
      </c>
      <c r="B378" s="17" t="n">
        <f aca="false">IFERROR(VALUE(LEFT($A378,4)),"")</f>
        <v>2025</v>
      </c>
      <c r="C378" s="17" t="n">
        <f aca="false">IFERROR(VALUE(RIGHT($A378,2)),"")</f>
        <v>11</v>
      </c>
      <c r="D378" s="17" t="n">
        <f aca="false">IFERROR(ROUNDUP($C378/3,0),"")</f>
        <v>4</v>
      </c>
      <c r="E378" s="11" t="str">
        <f aca="false">TRIM('수출입 실적(신성질별)'!B382)</f>
        <v>가.직접소비재</v>
      </c>
      <c r="F378" s="18" t="n">
        <f aca="false">IFERROR(VALUE(SUBSTITUTE(TRIM('수출입 실적(신성질별)'!C382),",","")),"")</f>
        <v>293781.5</v>
      </c>
      <c r="G378" s="19" t="n">
        <f aca="false">IFERROR(VALUE(SUBSTITUTE(TRIM('수출입 실적(신성질별)'!D382),",","")),"")</f>
        <v>979278</v>
      </c>
      <c r="H378" s="18" t="n">
        <f aca="false">IFERROR(VALUE(SUBSTITUTE(TRIM('수출입 실적(신성질별)'!E382),",","")),"")</f>
        <v>1577190.8</v>
      </c>
      <c r="I378" s="19" t="n">
        <f aca="false">IFERROR(VALUE(SUBSTITUTE(TRIM('수출입 실적(신성질별)'!F382),",","")),"")</f>
        <v>2496593</v>
      </c>
    </row>
    <row r="379" customFormat="false" ht="15" hidden="false" customHeight="true" outlineLevel="0" collapsed="false">
      <c r="A379" s="11" t="str">
        <f aca="false">TRIM('수출입 실적(신성질별)'!A383)</f>
        <v>2025.11</v>
      </c>
      <c r="B379" s="17" t="n">
        <f aca="false">IFERROR(VALUE(LEFT($A379,4)),"")</f>
        <v>2025</v>
      </c>
      <c r="C379" s="17" t="n">
        <f aca="false">IFERROR(VALUE(RIGHT($A379,2)),"")</f>
        <v>11</v>
      </c>
      <c r="D379" s="17" t="n">
        <f aca="false">IFERROR(ROUNDUP($C379/3,0),"")</f>
        <v>4</v>
      </c>
      <c r="E379" s="11" t="str">
        <f aca="false">TRIM('수출입 실적(신성질별)'!B383)</f>
        <v>나.내구소비재</v>
      </c>
      <c r="F379" s="18" t="n">
        <f aca="false">IFERROR(VALUE(SUBSTITUTE(TRIM('수출입 실적(신성질별)'!C383),",","")),"")</f>
        <v>473621.9</v>
      </c>
      <c r="G379" s="19" t="n">
        <f aca="false">IFERROR(VALUE(SUBSTITUTE(TRIM('수출입 실적(신성질별)'!D383),",","")),"")</f>
        <v>5750801</v>
      </c>
      <c r="H379" s="18" t="n">
        <f aca="false">IFERROR(VALUE(SUBSTITUTE(TRIM('수출입 실적(신성질별)'!E383),",","")),"")</f>
        <v>208237.9</v>
      </c>
      <c r="I379" s="19" t="n">
        <f aca="false">IFERROR(VALUE(SUBSTITUTE(TRIM('수출입 실적(신성질별)'!F383),",","")),"")</f>
        <v>2240772</v>
      </c>
    </row>
    <row r="380" customFormat="false" ht="15" hidden="false" customHeight="true" outlineLevel="0" collapsed="false">
      <c r="A380" s="11" t="str">
        <f aca="false">TRIM('수출입 실적(신성질별)'!A384)</f>
        <v>2025.11</v>
      </c>
      <c r="B380" s="17" t="n">
        <f aca="false">IFERROR(VALUE(LEFT($A380,4)),"")</f>
        <v>2025</v>
      </c>
      <c r="C380" s="17" t="n">
        <f aca="false">IFERROR(VALUE(RIGHT($A380,2)),"")</f>
        <v>11</v>
      </c>
      <c r="D380" s="17" t="n">
        <f aca="false">IFERROR(ROUNDUP($C380/3,0),"")</f>
        <v>4</v>
      </c>
      <c r="E380" s="11" t="str">
        <f aca="false">TRIM('수출입 실적(신성질별)'!B384)</f>
        <v>다.비내구소비재</v>
      </c>
      <c r="F380" s="18" t="n">
        <f aca="false">IFERROR(VALUE(SUBSTITUTE(TRIM('수출입 실적(신성질별)'!C384),",","")),"")</f>
        <v>138784.1</v>
      </c>
      <c r="G380" s="19" t="n">
        <f aca="false">IFERROR(VALUE(SUBSTITUTE(TRIM('수출입 실적(신성질별)'!D384),",","")),"")</f>
        <v>1611449</v>
      </c>
      <c r="H380" s="18" t="n">
        <f aca="false">IFERROR(VALUE(SUBSTITUTE(TRIM('수출입 실적(신성질별)'!E384),",","")),"")</f>
        <v>171344.6</v>
      </c>
      <c r="I380" s="19" t="n">
        <f aca="false">IFERROR(VALUE(SUBSTITUTE(TRIM('수출입 실적(신성질별)'!F384),",","")),"")</f>
        <v>2133259</v>
      </c>
    </row>
    <row r="381" customFormat="false" ht="15" hidden="false" customHeight="true" outlineLevel="0" collapsed="false">
      <c r="A381" s="11" t="str">
        <f aca="false">TRIM('수출입 실적(신성질별)'!A385)</f>
        <v>2025.11</v>
      </c>
      <c r="B381" s="17" t="n">
        <f aca="false">IFERROR(VALUE(LEFT($A381,4)),"")</f>
        <v>2025</v>
      </c>
      <c r="C381" s="17" t="n">
        <f aca="false">IFERROR(VALUE(RIGHT($A381,2)),"")</f>
        <v>11</v>
      </c>
      <c r="D381" s="17" t="n">
        <f aca="false">IFERROR(ROUNDUP($C381/3,0),"")</f>
        <v>4</v>
      </c>
      <c r="E381" s="11" t="str">
        <f aca="false">TRIM('수출입 실적(신성질별)'!B385)</f>
        <v>라.간이세율적용분</v>
      </c>
      <c r="F381" s="18" t="n">
        <f aca="false">IFERROR(VALUE(SUBSTITUTE(TRIM('수출입 실적(신성질별)'!C385),",","")),"")</f>
        <v>1785.4</v>
      </c>
      <c r="G381" s="19" t="n">
        <f aca="false">IFERROR(VALUE(SUBSTITUTE(TRIM('수출입 실적(신성질별)'!D385),",","")),"")</f>
        <v>1835</v>
      </c>
      <c r="H381" s="18" t="n">
        <f aca="false">IFERROR(VALUE(SUBSTITUTE(TRIM('수출입 실적(신성질별)'!E385),",","")),"")</f>
        <v>0</v>
      </c>
      <c r="I381" s="19" t="n">
        <f aca="false">IFERROR(VALUE(SUBSTITUTE(TRIM('수출입 실적(신성질별)'!F385),",","")),"")</f>
        <v>0</v>
      </c>
    </row>
    <row r="382" customFormat="false" ht="15" hidden="false" customHeight="true" outlineLevel="0" collapsed="false">
      <c r="A382" s="11" t="str">
        <f aca="false">TRIM('수출입 실적(신성질별)'!A386)</f>
        <v>2025.11</v>
      </c>
      <c r="B382" s="17" t="n">
        <f aca="false">IFERROR(VALUE(LEFT($A382,4)),"")</f>
        <v>2025</v>
      </c>
      <c r="C382" s="17" t="n">
        <f aca="false">IFERROR(VALUE(RIGHT($A382,2)),"")</f>
        <v>11</v>
      </c>
      <c r="D382" s="17" t="n">
        <f aca="false">IFERROR(ROUNDUP($C382/3,0),"")</f>
        <v>4</v>
      </c>
      <c r="E382" s="11" t="str">
        <f aca="false">TRIM('수출입 실적(신성질별)'!B386)</f>
        <v>2.원자재</v>
      </c>
      <c r="F382" s="18" t="n">
        <f aca="false">IFERROR(VALUE(SUBSTITUTE(TRIM('수출입 실적(신성질별)'!C386),",","")),"")</f>
        <v>12219049.8</v>
      </c>
      <c r="G382" s="19" t="n">
        <f aca="false">IFERROR(VALUE(SUBSTITUTE(TRIM('수출입 실적(신성질별)'!D386),",","")),"")</f>
        <v>14758355</v>
      </c>
      <c r="H382" s="18" t="n">
        <f aca="false">IFERROR(VALUE(SUBSTITUTE(TRIM('수출입 실적(신성질별)'!E386),",","")),"")</f>
        <v>40584747.2</v>
      </c>
      <c r="I382" s="19" t="n">
        <f aca="false">IFERROR(VALUE(SUBSTITUTE(TRIM('수출입 실적(신성질별)'!F386),",","")),"")</f>
        <v>23068300</v>
      </c>
    </row>
    <row r="383" customFormat="false" ht="15" hidden="false" customHeight="true" outlineLevel="0" collapsed="false">
      <c r="A383" s="11" t="str">
        <f aca="false">TRIM('수출입 실적(신성질별)'!A387)</f>
        <v>2025.11</v>
      </c>
      <c r="B383" s="17" t="n">
        <f aca="false">IFERROR(VALUE(LEFT($A383,4)),"")</f>
        <v>2025</v>
      </c>
      <c r="C383" s="17" t="n">
        <f aca="false">IFERROR(VALUE(RIGHT($A383,2)),"")</f>
        <v>11</v>
      </c>
      <c r="D383" s="17" t="n">
        <f aca="false">IFERROR(ROUNDUP($C383/3,0),"")</f>
        <v>4</v>
      </c>
      <c r="E383" s="11" t="str">
        <f aca="false">TRIM('수출입 실적(신성질별)'!B387)</f>
        <v>가.동식물성 연·원료</v>
      </c>
      <c r="F383" s="18" t="n">
        <f aca="false">IFERROR(VALUE(SUBSTITUTE(TRIM('수출입 실적(신성질별)'!C387),",","")),"")</f>
        <v>338504.5</v>
      </c>
      <c r="G383" s="19" t="n">
        <f aca="false">IFERROR(VALUE(SUBSTITUTE(TRIM('수출입 실적(신성질별)'!D387),",","")),"")</f>
        <v>408533</v>
      </c>
      <c r="H383" s="18" t="n">
        <f aca="false">IFERROR(VALUE(SUBSTITUTE(TRIM('수출입 실적(신성질별)'!E387),",","")),"")</f>
        <v>2567986</v>
      </c>
      <c r="I383" s="19" t="n">
        <f aca="false">IFERROR(VALUE(SUBSTITUTE(TRIM('수출입 실적(신성질별)'!F387),",","")),"")</f>
        <v>1319508</v>
      </c>
    </row>
    <row r="384" customFormat="false" ht="15" hidden="false" customHeight="true" outlineLevel="0" collapsed="false">
      <c r="A384" s="11" t="str">
        <f aca="false">TRIM('수출입 실적(신성질별)'!A388)</f>
        <v>2025.11</v>
      </c>
      <c r="B384" s="17" t="n">
        <f aca="false">IFERROR(VALUE(LEFT($A384,4)),"")</f>
        <v>2025</v>
      </c>
      <c r="C384" s="17" t="n">
        <f aca="false">IFERROR(VALUE(RIGHT($A384,2)),"")</f>
        <v>11</v>
      </c>
      <c r="D384" s="17" t="n">
        <f aca="false">IFERROR(ROUNDUP($C384/3,0),"")</f>
        <v>4</v>
      </c>
      <c r="E384" s="11" t="str">
        <f aca="false">TRIM('수출입 실적(신성질별)'!B388)</f>
        <v>나.섬유류</v>
      </c>
      <c r="F384" s="18" t="n">
        <f aca="false">IFERROR(VALUE(SUBSTITUTE(TRIM('수출입 실적(신성질별)'!C388),",","")),"")</f>
        <v>111498.7</v>
      </c>
      <c r="G384" s="19" t="n">
        <f aca="false">IFERROR(VALUE(SUBSTITUTE(TRIM('수출입 실적(신성질별)'!D388),",","")),"")</f>
        <v>548470</v>
      </c>
      <c r="H384" s="18" t="n">
        <f aca="false">IFERROR(VALUE(SUBSTITUTE(TRIM('수출입 실적(신성질별)'!E388),",","")),"")</f>
        <v>94043.8</v>
      </c>
      <c r="I384" s="19" t="n">
        <f aca="false">IFERROR(VALUE(SUBSTITUTE(TRIM('수출입 실적(신성질별)'!F388),",","")),"")</f>
        <v>300670</v>
      </c>
    </row>
    <row r="385" customFormat="false" ht="15" hidden="false" customHeight="true" outlineLevel="0" collapsed="false">
      <c r="A385" s="11" t="str">
        <f aca="false">TRIM('수출입 실적(신성질별)'!A389)</f>
        <v>2025.11</v>
      </c>
      <c r="B385" s="17" t="n">
        <f aca="false">IFERROR(VALUE(LEFT($A385,4)),"")</f>
        <v>2025</v>
      </c>
      <c r="C385" s="17" t="n">
        <f aca="false">IFERROR(VALUE(RIGHT($A385,2)),"")</f>
        <v>11</v>
      </c>
      <c r="D385" s="17" t="n">
        <f aca="false">IFERROR(ROUNDUP($C385/3,0),"")</f>
        <v>4</v>
      </c>
      <c r="E385" s="11" t="str">
        <f aca="false">TRIM('수출입 실적(신성질별)'!B389)</f>
        <v>다.광산물</v>
      </c>
      <c r="F385" s="18" t="n">
        <f aca="false">IFERROR(VALUE(SUBSTITUTE(TRIM('수출입 실적(신성질별)'!C389),",","")),"")</f>
        <v>5528573.2</v>
      </c>
      <c r="G385" s="19" t="n">
        <f aca="false">IFERROR(VALUE(SUBSTITUTE(TRIM('수출입 실적(신성질별)'!D389),",","")),"")</f>
        <v>4341906</v>
      </c>
      <c r="H385" s="18" t="n">
        <f aca="false">IFERROR(VALUE(SUBSTITUTE(TRIM('수출입 실적(신성질별)'!E389),",","")),"")</f>
        <v>34720187.8</v>
      </c>
      <c r="I385" s="19" t="n">
        <f aca="false">IFERROR(VALUE(SUBSTITUTE(TRIM('수출입 실적(신성질별)'!F389),",","")),"")</f>
        <v>14286613</v>
      </c>
    </row>
    <row r="386" customFormat="false" ht="15" hidden="false" customHeight="true" outlineLevel="0" collapsed="false">
      <c r="A386" s="11" t="str">
        <f aca="false">TRIM('수출입 실적(신성질별)'!A390)</f>
        <v>2025.11</v>
      </c>
      <c r="B386" s="17" t="n">
        <f aca="false">IFERROR(VALUE(LEFT($A386,4)),"")</f>
        <v>2025</v>
      </c>
      <c r="C386" s="17" t="n">
        <f aca="false">IFERROR(VALUE(RIGHT($A386,2)),"")</f>
        <v>11</v>
      </c>
      <c r="D386" s="17" t="n">
        <f aca="false">IFERROR(ROUNDUP($C386/3,0),"")</f>
        <v>4</v>
      </c>
      <c r="E386" s="11" t="str">
        <f aca="false">TRIM('수출입 실적(신성질별)'!B390)</f>
        <v>라.철강 및 금속제품</v>
      </c>
      <c r="F386" s="18" t="n">
        <f aca="false">IFERROR(VALUE(SUBSTITUTE(TRIM('수출입 실적(신성질별)'!C390),",","")),"")</f>
        <v>2324633.4</v>
      </c>
      <c r="G386" s="19" t="n">
        <f aca="false">IFERROR(VALUE(SUBSTITUTE(TRIM('수출입 실적(신성질별)'!D390),",","")),"")</f>
        <v>3099768</v>
      </c>
      <c r="H386" s="18" t="n">
        <f aca="false">IFERROR(VALUE(SUBSTITUTE(TRIM('수출입 실적(신성질별)'!E390),",","")),"")</f>
        <v>1464533.6</v>
      </c>
      <c r="I386" s="19" t="n">
        <f aca="false">IFERROR(VALUE(SUBSTITUTE(TRIM('수출입 실적(신성질별)'!F390),",","")),"")</f>
        <v>2633563</v>
      </c>
    </row>
    <row r="387" customFormat="false" ht="15" hidden="false" customHeight="true" outlineLevel="0" collapsed="false">
      <c r="A387" s="11" t="str">
        <f aca="false">TRIM('수출입 실적(신성질별)'!A391)</f>
        <v>2025.11</v>
      </c>
      <c r="B387" s="17" t="n">
        <f aca="false">IFERROR(VALUE(LEFT($A387,4)),"")</f>
        <v>2025</v>
      </c>
      <c r="C387" s="17" t="n">
        <f aca="false">IFERROR(VALUE(RIGHT($A387,2)),"")</f>
        <v>11</v>
      </c>
      <c r="D387" s="17" t="n">
        <f aca="false">IFERROR(ROUNDUP($C387/3,0),"")</f>
        <v>4</v>
      </c>
      <c r="E387" s="11" t="str">
        <f aca="false">TRIM('수출입 실적(신성질별)'!B391)</f>
        <v>마.화학공업제품</v>
      </c>
      <c r="F387" s="18" t="n">
        <f aca="false">IFERROR(VALUE(SUBSTITUTE(TRIM('수출입 실적(신성질별)'!C391),",","")),"")</f>
        <v>3913964.8</v>
      </c>
      <c r="G387" s="19" t="n">
        <f aca="false">IFERROR(VALUE(SUBSTITUTE(TRIM('수출입 실적(신성질별)'!D391),",","")),"")</f>
        <v>6352290</v>
      </c>
      <c r="H387" s="18" t="n">
        <f aca="false">IFERROR(VALUE(SUBSTITUTE(TRIM('수출입 실적(신성질별)'!E391),",","")),"")</f>
        <v>1735522.2</v>
      </c>
      <c r="I387" s="19" t="n">
        <f aca="false">IFERROR(VALUE(SUBSTITUTE(TRIM('수출입 실적(신성질별)'!F391),",","")),"")</f>
        <v>4522912</v>
      </c>
    </row>
    <row r="388" customFormat="false" ht="15" hidden="false" customHeight="true" outlineLevel="0" collapsed="false">
      <c r="A388" s="11" t="str">
        <f aca="false">TRIM('수출입 실적(신성질별)'!A392)</f>
        <v>2025.11</v>
      </c>
      <c r="B388" s="17" t="n">
        <f aca="false">IFERROR(VALUE(LEFT($A388,4)),"")</f>
        <v>2025</v>
      </c>
      <c r="C388" s="17" t="n">
        <f aca="false">IFERROR(VALUE(RIGHT($A388,2)),"")</f>
        <v>11</v>
      </c>
      <c r="D388" s="17" t="n">
        <f aca="false">IFERROR(ROUNDUP($C388/3,0),"")</f>
        <v>4</v>
      </c>
      <c r="E388" s="11" t="str">
        <f aca="false">TRIM('수출입 실적(신성질별)'!B392)</f>
        <v>바.기타 원자재</v>
      </c>
      <c r="F388" s="18" t="n">
        <f aca="false">IFERROR(VALUE(SUBSTITUTE(TRIM('수출입 실적(신성질별)'!C392),",","")),"")</f>
        <v>1875.1</v>
      </c>
      <c r="G388" s="19" t="n">
        <f aca="false">IFERROR(VALUE(SUBSTITUTE(TRIM('수출입 실적(신성질별)'!D392),",","")),"")</f>
        <v>7388</v>
      </c>
      <c r="H388" s="18" t="n">
        <f aca="false">IFERROR(VALUE(SUBSTITUTE(TRIM('수출입 실적(신성질별)'!E392),",","")),"")</f>
        <v>2473.8</v>
      </c>
      <c r="I388" s="19" t="n">
        <f aca="false">IFERROR(VALUE(SUBSTITUTE(TRIM('수출입 실적(신성질별)'!F392),",","")),"")</f>
        <v>5034</v>
      </c>
    </row>
    <row r="389" customFormat="false" ht="15" hidden="false" customHeight="true" outlineLevel="0" collapsed="false">
      <c r="A389" s="11" t="str">
        <f aca="false">TRIM('수출입 실적(신성질별)'!A393)</f>
        <v>2025.11</v>
      </c>
      <c r="B389" s="17" t="n">
        <f aca="false">IFERROR(VALUE(LEFT($A389,4)),"")</f>
        <v>2025</v>
      </c>
      <c r="C389" s="17" t="n">
        <f aca="false">IFERROR(VALUE(RIGHT($A389,2)),"")</f>
        <v>11</v>
      </c>
      <c r="D389" s="17" t="n">
        <f aca="false">IFERROR(ROUNDUP($C389/3,0),"")</f>
        <v>4</v>
      </c>
      <c r="E389" s="11" t="str">
        <f aca="false">TRIM('수출입 실적(신성질별)'!B393)</f>
        <v>3.자본재</v>
      </c>
      <c r="F389" s="18" t="n">
        <f aca="false">IFERROR(VALUE(SUBSTITUTE(TRIM('수출입 실적(신성질별)'!C393),",","")),"")</f>
        <v>1478073.7</v>
      </c>
      <c r="G389" s="19" t="n">
        <f aca="false">IFERROR(VALUE(SUBSTITUTE(TRIM('수출입 실적(신성질별)'!D393),",","")),"")</f>
        <v>37650901</v>
      </c>
      <c r="H389" s="18" t="n">
        <f aca="false">IFERROR(VALUE(SUBSTITUTE(TRIM('수출입 실적(신성질별)'!E393),",","")),"")</f>
        <v>1011518.2</v>
      </c>
      <c r="I389" s="19" t="n">
        <f aca="false">IFERROR(VALUE(SUBSTITUTE(TRIM('수출입 실적(신성질별)'!F393),",","")),"")</f>
        <v>21345681</v>
      </c>
    </row>
    <row r="390" customFormat="false" ht="15" hidden="false" customHeight="true" outlineLevel="0" collapsed="false">
      <c r="A390" s="11" t="str">
        <f aca="false">TRIM('수출입 실적(신성질별)'!A394)</f>
        <v>2025.11</v>
      </c>
      <c r="B390" s="17" t="n">
        <f aca="false">IFERROR(VALUE(LEFT($A390,4)),"")</f>
        <v>2025</v>
      </c>
      <c r="C390" s="17" t="n">
        <f aca="false">IFERROR(VALUE(RIGHT($A390,2)),"")</f>
        <v>11</v>
      </c>
      <c r="D390" s="17" t="n">
        <f aca="false">IFERROR(ROUNDUP($C390/3,0),"")</f>
        <v>4</v>
      </c>
      <c r="E390" s="11" t="str">
        <f aca="false">TRIM('수출입 실적(신성질별)'!B394)</f>
        <v>가.수송장비</v>
      </c>
      <c r="F390" s="18" t="n">
        <f aca="false">IFERROR(VALUE(SUBSTITUTE(TRIM('수출입 실적(신성질별)'!C394),",","")),"")</f>
        <v>822054.6</v>
      </c>
      <c r="G390" s="19" t="n">
        <f aca="false">IFERROR(VALUE(SUBSTITUTE(TRIM('수출입 실적(신성질별)'!D394),",","")),"")</f>
        <v>5879927</v>
      </c>
      <c r="H390" s="18" t="n">
        <f aca="false">IFERROR(VALUE(SUBSTITUTE(TRIM('수출입 실적(신성질별)'!E394),",","")),"")</f>
        <v>468739.2</v>
      </c>
      <c r="I390" s="19" t="n">
        <f aca="false">IFERROR(VALUE(SUBSTITUTE(TRIM('수출입 실적(신성질별)'!F394),",","")),"")</f>
        <v>2334026</v>
      </c>
    </row>
    <row r="391" customFormat="false" ht="15" hidden="false" customHeight="true" outlineLevel="0" collapsed="false">
      <c r="A391" s="11" t="str">
        <f aca="false">TRIM('수출입 실적(신성질별)'!A395)</f>
        <v>2025.11</v>
      </c>
      <c r="B391" s="17" t="n">
        <f aca="false">IFERROR(VALUE(LEFT($A391,4)),"")</f>
        <v>2025</v>
      </c>
      <c r="C391" s="17" t="n">
        <f aca="false">IFERROR(VALUE(RIGHT($A391,2)),"")</f>
        <v>11</v>
      </c>
      <c r="D391" s="17" t="n">
        <f aca="false">IFERROR(ROUNDUP($C391/3,0),"")</f>
        <v>4</v>
      </c>
      <c r="E391" s="11" t="str">
        <f aca="false">TRIM('수출입 실적(신성질별)'!B395)</f>
        <v>나.기계류</v>
      </c>
      <c r="F391" s="18" t="n">
        <f aca="false">IFERROR(VALUE(SUBSTITUTE(TRIM('수출입 실적(신성질별)'!C395),",","")),"")</f>
        <v>616464</v>
      </c>
      <c r="G391" s="19" t="n">
        <f aca="false">IFERROR(VALUE(SUBSTITUTE(TRIM('수출입 실적(신성질별)'!D395),",","")),"")</f>
        <v>8603995</v>
      </c>
      <c r="H391" s="18" t="n">
        <f aca="false">IFERROR(VALUE(SUBSTITUTE(TRIM('수출입 실적(신성질별)'!E395),",","")),"")</f>
        <v>487110.5</v>
      </c>
      <c r="I391" s="19" t="n">
        <f aca="false">IFERROR(VALUE(SUBSTITUTE(TRIM('수출입 실적(신성질별)'!F395),",","")),"")</f>
        <v>8793585</v>
      </c>
    </row>
    <row r="392" customFormat="false" ht="15" hidden="false" customHeight="true" outlineLevel="0" collapsed="false">
      <c r="A392" s="11" t="str">
        <f aca="false">TRIM('수출입 실적(신성질별)'!A396)</f>
        <v>2025.11</v>
      </c>
      <c r="B392" s="17" t="n">
        <f aca="false">IFERROR(VALUE(LEFT($A392,4)),"")</f>
        <v>2025</v>
      </c>
      <c r="C392" s="17" t="n">
        <f aca="false">IFERROR(VALUE(RIGHT($A392,2)),"")</f>
        <v>11</v>
      </c>
      <c r="D392" s="17" t="n">
        <f aca="false">IFERROR(ROUNDUP($C392/3,0),"")</f>
        <v>4</v>
      </c>
      <c r="E392" s="11" t="str">
        <f aca="false">TRIM('수출입 실적(신성질별)'!B396)</f>
        <v>다.IT제품</v>
      </c>
      <c r="F392" s="18" t="n">
        <f aca="false">IFERROR(VALUE(SUBSTITUTE(TRIM('수출입 실적(신성질별)'!C396),",","")),"")</f>
        <v>9947.9</v>
      </c>
      <c r="G392" s="19" t="n">
        <f aca="false">IFERROR(VALUE(SUBSTITUTE(TRIM('수출입 실적(신성질별)'!D396),",","")),"")</f>
        <v>4413268</v>
      </c>
      <c r="H392" s="18" t="n">
        <f aca="false">IFERROR(VALUE(SUBSTITUTE(TRIM('수출입 실적(신성질별)'!E396),",","")),"")</f>
        <v>15410.2</v>
      </c>
      <c r="I392" s="19" t="n">
        <f aca="false">IFERROR(VALUE(SUBSTITUTE(TRIM('수출입 실적(신성질별)'!F396),",","")),"")</f>
        <v>2741381</v>
      </c>
    </row>
    <row r="393" customFormat="false" ht="15" hidden="false" customHeight="true" outlineLevel="0" collapsed="false">
      <c r="A393" s="11" t="str">
        <f aca="false">TRIM('수출입 실적(신성질별)'!A397)</f>
        <v>2025.11</v>
      </c>
      <c r="B393" s="17" t="n">
        <f aca="false">IFERROR(VALUE(LEFT($A393,4)),"")</f>
        <v>2025</v>
      </c>
      <c r="C393" s="17" t="n">
        <f aca="false">IFERROR(VALUE(RIGHT($A393,2)),"")</f>
        <v>11</v>
      </c>
      <c r="D393" s="17" t="n">
        <f aca="false">IFERROR(ROUNDUP($C393/3,0),"")</f>
        <v>4</v>
      </c>
      <c r="E393" s="11" t="str">
        <f aca="false">TRIM('수출입 실적(신성질별)'!B397)</f>
        <v>라.IT부품</v>
      </c>
      <c r="F393" s="18" t="n">
        <f aca="false">IFERROR(VALUE(SUBSTITUTE(TRIM('수출입 실적(신성질별)'!C397),",","")),"")</f>
        <v>29607.1</v>
      </c>
      <c r="G393" s="19" t="n">
        <f aca="false">IFERROR(VALUE(SUBSTITUTE(TRIM('수출입 실적(신성질별)'!D397),",","")),"")</f>
        <v>18753711</v>
      </c>
      <c r="H393" s="18" t="n">
        <f aca="false">IFERROR(VALUE(SUBSTITUTE(TRIM('수출입 실적(신성질별)'!E397),",","")),"")</f>
        <v>40258.4</v>
      </c>
      <c r="I393" s="19" t="n">
        <f aca="false">IFERROR(VALUE(SUBSTITUTE(TRIM('수출입 실적(신성질별)'!F397),",","")),"")</f>
        <v>7476689</v>
      </c>
    </row>
    <row r="394" customFormat="false" ht="15" hidden="false" customHeight="true" outlineLevel="0" collapsed="false">
      <c r="A394" s="11" t="str">
        <f aca="false">TRIM('수출입 실적(신성질별)'!A398)</f>
        <v>2025.12</v>
      </c>
      <c r="B394" s="17" t="n">
        <f aca="false">IFERROR(VALUE(LEFT($A394,4)),"")</f>
        <v>2025</v>
      </c>
      <c r="C394" s="17" t="n">
        <f aca="false">IFERROR(VALUE(RIGHT($A394,2)),"")</f>
        <v>12</v>
      </c>
      <c r="D394" s="17" t="n">
        <f aca="false">IFERROR(ROUNDUP($C394/3,0),"")</f>
        <v>4</v>
      </c>
      <c r="E394" s="11" t="str">
        <f aca="false">TRIM('수출입 실적(신성질별)'!B398)</f>
        <v>1.소비재</v>
      </c>
      <c r="F394" s="18" t="n">
        <f aca="false">IFERROR(VALUE(SUBSTITUTE(TRIM('수출입 실적(신성질별)'!C398),",","")),"")</f>
        <v>925287.9</v>
      </c>
      <c r="G394" s="19" t="n">
        <f aca="false">IFERROR(VALUE(SUBSTITUTE(TRIM('수출입 실적(신성질별)'!D398),",","")),"")</f>
        <v>8057411</v>
      </c>
      <c r="H394" s="18" t="n">
        <f aca="false">IFERROR(VALUE(SUBSTITUTE(TRIM('수출입 실적(신성질별)'!E398),",","")),"")</f>
        <v>2220094</v>
      </c>
      <c r="I394" s="19" t="n">
        <f aca="false">IFERROR(VALUE(SUBSTITUTE(TRIM('수출입 실적(신성질별)'!F398),",","")),"")</f>
        <v>7634514</v>
      </c>
    </row>
    <row r="395" customFormat="false" ht="15" hidden="false" customHeight="true" outlineLevel="0" collapsed="false">
      <c r="A395" s="11" t="str">
        <f aca="false">TRIM('수출입 실적(신성질별)'!A399)</f>
        <v>2025.12</v>
      </c>
      <c r="B395" s="17" t="n">
        <f aca="false">IFERROR(VALUE(LEFT($A395,4)),"")</f>
        <v>2025</v>
      </c>
      <c r="C395" s="17" t="n">
        <f aca="false">IFERROR(VALUE(RIGHT($A395,2)),"")</f>
        <v>12</v>
      </c>
      <c r="D395" s="17" t="n">
        <f aca="false">IFERROR(ROUNDUP($C395/3,0),"")</f>
        <v>4</v>
      </c>
      <c r="E395" s="11" t="str">
        <f aca="false">TRIM('수출입 실적(신성질별)'!B399)</f>
        <v>가.직접소비재</v>
      </c>
      <c r="F395" s="18" t="n">
        <f aca="false">IFERROR(VALUE(SUBSTITUTE(TRIM('수출입 실적(신성질별)'!C399),",","")),"")</f>
        <v>316550.3</v>
      </c>
      <c r="G395" s="19" t="n">
        <f aca="false">IFERROR(VALUE(SUBSTITUTE(TRIM('수출입 실적(신성질별)'!D399),",","")),"")</f>
        <v>1066226</v>
      </c>
      <c r="H395" s="18" t="n">
        <f aca="false">IFERROR(VALUE(SUBSTITUTE(TRIM('수출입 실적(신성질별)'!E399),",","")),"")</f>
        <v>1807104</v>
      </c>
      <c r="I395" s="19" t="n">
        <f aca="false">IFERROR(VALUE(SUBSTITUTE(TRIM('수출입 실적(신성질별)'!F399),",","")),"")</f>
        <v>2823968</v>
      </c>
    </row>
    <row r="396" customFormat="false" ht="15" hidden="false" customHeight="true" outlineLevel="0" collapsed="false">
      <c r="A396" s="11" t="str">
        <f aca="false">TRIM('수출입 실적(신성질별)'!A400)</f>
        <v>2025.12</v>
      </c>
      <c r="B396" s="17" t="n">
        <f aca="false">IFERROR(VALUE(LEFT($A396,4)),"")</f>
        <v>2025</v>
      </c>
      <c r="C396" s="17" t="n">
        <f aca="false">IFERROR(VALUE(RIGHT($A396,2)),"")</f>
        <v>12</v>
      </c>
      <c r="D396" s="17" t="n">
        <f aca="false">IFERROR(ROUNDUP($C396/3,0),"")</f>
        <v>4</v>
      </c>
      <c r="E396" s="11" t="str">
        <f aca="false">TRIM('수출입 실적(신성질별)'!B400)</f>
        <v>나.내구소비재</v>
      </c>
      <c r="F396" s="18" t="n">
        <f aca="false">IFERROR(VALUE(SUBSTITUTE(TRIM('수출입 실적(신성질별)'!C400),",","")),"")</f>
        <v>452725.2</v>
      </c>
      <c r="G396" s="19" t="n">
        <f aca="false">IFERROR(VALUE(SUBSTITUTE(TRIM('수출입 실적(신성질별)'!D400),",","")),"")</f>
        <v>5196881</v>
      </c>
      <c r="H396" s="18" t="n">
        <f aca="false">IFERROR(VALUE(SUBSTITUTE(TRIM('수출입 실적(신성질별)'!E400),",","")),"")</f>
        <v>224932.8</v>
      </c>
      <c r="I396" s="19" t="n">
        <f aca="false">IFERROR(VALUE(SUBSTITUTE(TRIM('수출입 실적(신성질별)'!F400),",","")),"")</f>
        <v>2338767</v>
      </c>
    </row>
    <row r="397" customFormat="false" ht="15" hidden="false" customHeight="true" outlineLevel="0" collapsed="false">
      <c r="A397" s="11" t="str">
        <f aca="false">TRIM('수출입 실적(신성질별)'!A401)</f>
        <v>2025.12</v>
      </c>
      <c r="B397" s="17" t="n">
        <f aca="false">IFERROR(VALUE(LEFT($A397,4)),"")</f>
        <v>2025</v>
      </c>
      <c r="C397" s="17" t="n">
        <f aca="false">IFERROR(VALUE(RIGHT($A397,2)),"")</f>
        <v>12</v>
      </c>
      <c r="D397" s="17" t="n">
        <f aca="false">IFERROR(ROUNDUP($C397/3,0),"")</f>
        <v>4</v>
      </c>
      <c r="E397" s="11" t="str">
        <f aca="false">TRIM('수출입 실적(신성질별)'!B401)</f>
        <v>다.비내구소비재</v>
      </c>
      <c r="F397" s="18" t="n">
        <f aca="false">IFERROR(VALUE(SUBSTITUTE(TRIM('수출입 실적(신성질별)'!C401),",","")),"")</f>
        <v>153048.7</v>
      </c>
      <c r="G397" s="19" t="n">
        <f aca="false">IFERROR(VALUE(SUBSTITUTE(TRIM('수출입 실적(신성질별)'!D401),",","")),"")</f>
        <v>1791266</v>
      </c>
      <c r="H397" s="18" t="n">
        <f aca="false">IFERROR(VALUE(SUBSTITUTE(TRIM('수출입 실적(신성질별)'!E401),",","")),"")</f>
        <v>188057.2</v>
      </c>
      <c r="I397" s="19" t="n">
        <f aca="false">IFERROR(VALUE(SUBSTITUTE(TRIM('수출입 실적(신성질별)'!F401),",","")),"")</f>
        <v>2471779</v>
      </c>
    </row>
    <row r="398" customFormat="false" ht="15" hidden="false" customHeight="true" outlineLevel="0" collapsed="false">
      <c r="A398" s="11" t="str">
        <f aca="false">TRIM('수출입 실적(신성질별)'!A402)</f>
        <v>2025.12</v>
      </c>
      <c r="B398" s="17" t="n">
        <f aca="false">IFERROR(VALUE(LEFT($A398,4)),"")</f>
        <v>2025</v>
      </c>
      <c r="C398" s="17" t="n">
        <f aca="false">IFERROR(VALUE(RIGHT($A398,2)),"")</f>
        <v>12</v>
      </c>
      <c r="D398" s="17" t="n">
        <f aca="false">IFERROR(ROUNDUP($C398/3,0),"")</f>
        <v>4</v>
      </c>
      <c r="E398" s="11" t="str">
        <f aca="false">TRIM('수출입 실적(신성질별)'!B402)</f>
        <v>라.간이세율적용분</v>
      </c>
      <c r="F398" s="18" t="n">
        <f aca="false">IFERROR(VALUE(SUBSTITUTE(TRIM('수출입 실적(신성질별)'!C402),",","")),"")</f>
        <v>2963.7</v>
      </c>
      <c r="G398" s="19" t="n">
        <f aca="false">IFERROR(VALUE(SUBSTITUTE(TRIM('수출입 실적(신성질별)'!D402),",","")),"")</f>
        <v>3039</v>
      </c>
      <c r="H398" s="18" t="n">
        <f aca="false">IFERROR(VALUE(SUBSTITUTE(TRIM('수출입 실적(신성질별)'!E402),",","")),"")</f>
        <v>0</v>
      </c>
      <c r="I398" s="19" t="n">
        <f aca="false">IFERROR(VALUE(SUBSTITUTE(TRIM('수출입 실적(신성질별)'!F402),",","")),"")</f>
        <v>0</v>
      </c>
    </row>
    <row r="399" customFormat="false" ht="15" hidden="false" customHeight="true" outlineLevel="0" collapsed="false">
      <c r="A399" s="11" t="str">
        <f aca="false">TRIM('수출입 실적(신성질별)'!A403)</f>
        <v>2025.12</v>
      </c>
      <c r="B399" s="17" t="n">
        <f aca="false">IFERROR(VALUE(LEFT($A399,4)),"")</f>
        <v>2025</v>
      </c>
      <c r="C399" s="17" t="n">
        <f aca="false">IFERROR(VALUE(RIGHT($A399,2)),"")</f>
        <v>12</v>
      </c>
      <c r="D399" s="17" t="n">
        <f aca="false">IFERROR(ROUNDUP($C399/3,0),"")</f>
        <v>4</v>
      </c>
      <c r="E399" s="11" t="str">
        <f aca="false">TRIM('수출입 실적(신성질별)'!B403)</f>
        <v>2.원자재</v>
      </c>
      <c r="F399" s="18" t="n">
        <f aca="false">IFERROR(VALUE(SUBSTITUTE(TRIM('수출입 실적(신성질별)'!C403),",","")),"")</f>
        <v>14956209.5</v>
      </c>
      <c r="G399" s="19" t="n">
        <f aca="false">IFERROR(VALUE(SUBSTITUTE(TRIM('수출입 실적(신성질별)'!D403),",","")),"")</f>
        <v>17036478</v>
      </c>
      <c r="H399" s="18" t="n">
        <f aca="false">IFERROR(VALUE(SUBSTITUTE(TRIM('수출입 실적(신성질별)'!E403),",","")),"")</f>
        <v>44405721.9</v>
      </c>
      <c r="I399" s="19" t="n">
        <f aca="false">IFERROR(VALUE(SUBSTITUTE(TRIM('수출입 실적(신성질별)'!F403),",","")),"")</f>
        <v>25016056</v>
      </c>
    </row>
    <row r="400" customFormat="false" ht="15" hidden="false" customHeight="true" outlineLevel="0" collapsed="false">
      <c r="A400" s="11" t="str">
        <f aca="false">TRIM('수출입 실적(신성질별)'!A404)</f>
        <v>2025.12</v>
      </c>
      <c r="B400" s="17" t="n">
        <f aca="false">IFERROR(VALUE(LEFT($A400,4)),"")</f>
        <v>2025</v>
      </c>
      <c r="C400" s="17" t="n">
        <f aca="false">IFERROR(VALUE(RIGHT($A400,2)),"")</f>
        <v>12</v>
      </c>
      <c r="D400" s="17" t="n">
        <f aca="false">IFERROR(ROUNDUP($C400/3,0),"")</f>
        <v>4</v>
      </c>
      <c r="E400" s="11" t="str">
        <f aca="false">TRIM('수출입 실적(신성질별)'!B404)</f>
        <v>가.동식물성 연·원료</v>
      </c>
      <c r="F400" s="18" t="n">
        <f aca="false">IFERROR(VALUE(SUBSTITUTE(TRIM('수출입 실적(신성질별)'!C404),",","")),"")</f>
        <v>379054</v>
      </c>
      <c r="G400" s="19" t="n">
        <f aca="false">IFERROR(VALUE(SUBSTITUTE(TRIM('수출입 실적(신성질별)'!D404),",","")),"")</f>
        <v>452478</v>
      </c>
      <c r="H400" s="18" t="n">
        <f aca="false">IFERROR(VALUE(SUBSTITUTE(TRIM('수출입 실적(신성질별)'!E404),",","")),"")</f>
        <v>2963790.7</v>
      </c>
      <c r="I400" s="19" t="n">
        <f aca="false">IFERROR(VALUE(SUBSTITUTE(TRIM('수출입 실적(신성질별)'!F404),",","")),"")</f>
        <v>1540753</v>
      </c>
    </row>
    <row r="401" customFormat="false" ht="15" hidden="false" customHeight="true" outlineLevel="0" collapsed="false">
      <c r="A401" s="11" t="str">
        <f aca="false">TRIM('수출입 실적(신성질별)'!A405)</f>
        <v>2025.12</v>
      </c>
      <c r="B401" s="17" t="n">
        <f aca="false">IFERROR(VALUE(LEFT($A401,4)),"")</f>
        <v>2025</v>
      </c>
      <c r="C401" s="17" t="n">
        <f aca="false">IFERROR(VALUE(RIGHT($A401,2)),"")</f>
        <v>12</v>
      </c>
      <c r="D401" s="17" t="n">
        <f aca="false">IFERROR(ROUNDUP($C401/3,0),"")</f>
        <v>4</v>
      </c>
      <c r="E401" s="11" t="str">
        <f aca="false">TRIM('수출입 실적(신성질별)'!B405)</f>
        <v>나.섬유류</v>
      </c>
      <c r="F401" s="18" t="n">
        <f aca="false">IFERROR(VALUE(SUBSTITUTE(TRIM('수출입 실적(신성질별)'!C405),",","")),"")</f>
        <v>121598</v>
      </c>
      <c r="G401" s="19" t="n">
        <f aca="false">IFERROR(VALUE(SUBSTITUTE(TRIM('수출입 실적(신성질별)'!D405),",","")),"")</f>
        <v>608409</v>
      </c>
      <c r="H401" s="18" t="n">
        <f aca="false">IFERROR(VALUE(SUBSTITUTE(TRIM('수출입 실적(신성질별)'!E405),",","")),"")</f>
        <v>111790.4</v>
      </c>
      <c r="I401" s="19" t="n">
        <f aca="false">IFERROR(VALUE(SUBSTITUTE(TRIM('수출입 실적(신성질별)'!F405),",","")),"")</f>
        <v>341485</v>
      </c>
    </row>
    <row r="402" customFormat="false" ht="15" hidden="false" customHeight="true" outlineLevel="0" collapsed="false">
      <c r="A402" s="11" t="str">
        <f aca="false">TRIM('수출입 실적(신성질별)'!A406)</f>
        <v>2025.12</v>
      </c>
      <c r="B402" s="17" t="n">
        <f aca="false">IFERROR(VALUE(LEFT($A402,4)),"")</f>
        <v>2025</v>
      </c>
      <c r="C402" s="17" t="n">
        <f aca="false">IFERROR(VALUE(RIGHT($A402,2)),"")</f>
        <v>12</v>
      </c>
      <c r="D402" s="17" t="n">
        <f aca="false">IFERROR(ROUNDUP($C402/3,0),"")</f>
        <v>4</v>
      </c>
      <c r="E402" s="11" t="str">
        <f aca="false">TRIM('수출입 실적(신성질별)'!B406)</f>
        <v>다.광산물</v>
      </c>
      <c r="F402" s="18" t="n">
        <f aca="false">IFERROR(VALUE(SUBSTITUTE(TRIM('수출입 실적(신성질별)'!C406),",","")),"")</f>
        <v>7258040.5</v>
      </c>
      <c r="G402" s="19" t="n">
        <f aca="false">IFERROR(VALUE(SUBSTITUTE(TRIM('수출입 실적(신성질별)'!D406),",","")),"")</f>
        <v>5243949</v>
      </c>
      <c r="H402" s="18" t="n">
        <f aca="false">IFERROR(VALUE(SUBSTITUTE(TRIM('수출입 실적(신성질별)'!E406),",","")),"")</f>
        <v>37509112.7</v>
      </c>
      <c r="I402" s="19" t="n">
        <f aca="false">IFERROR(VALUE(SUBSTITUTE(TRIM('수출입 실적(신성질별)'!F406),",","")),"")</f>
        <v>14939982</v>
      </c>
    </row>
    <row r="403" customFormat="false" ht="15" hidden="false" customHeight="true" outlineLevel="0" collapsed="false">
      <c r="A403" s="11" t="str">
        <f aca="false">TRIM('수출입 실적(신성질별)'!A407)</f>
        <v>2025.12</v>
      </c>
      <c r="B403" s="17" t="n">
        <f aca="false">IFERROR(VALUE(LEFT($A403,4)),"")</f>
        <v>2025</v>
      </c>
      <c r="C403" s="17" t="n">
        <f aca="false">IFERROR(VALUE(RIGHT($A403,2)),"")</f>
        <v>12</v>
      </c>
      <c r="D403" s="17" t="n">
        <f aca="false">IFERROR(ROUNDUP($C403/3,0),"")</f>
        <v>4</v>
      </c>
      <c r="E403" s="11" t="str">
        <f aca="false">TRIM('수출입 실적(신성질별)'!B407)</f>
        <v>라.철강 및 금속제품</v>
      </c>
      <c r="F403" s="18" t="n">
        <f aca="false">IFERROR(VALUE(SUBSTITUTE(TRIM('수출입 실적(신성질별)'!C407),",","")),"")</f>
        <v>2710763</v>
      </c>
      <c r="G403" s="19" t="n">
        <f aca="false">IFERROR(VALUE(SUBSTITUTE(TRIM('수출입 실적(신성질별)'!D407),",","")),"")</f>
        <v>3604534</v>
      </c>
      <c r="H403" s="18" t="n">
        <f aca="false">IFERROR(VALUE(SUBSTITUTE(TRIM('수출입 실적(신성질별)'!E407),",","")),"")</f>
        <v>1734633.3</v>
      </c>
      <c r="I403" s="19" t="n">
        <f aca="false">IFERROR(VALUE(SUBSTITUTE(TRIM('수출입 실적(신성질별)'!F407),",","")),"")</f>
        <v>3019226</v>
      </c>
    </row>
    <row r="404" customFormat="false" ht="15" hidden="false" customHeight="true" outlineLevel="0" collapsed="false">
      <c r="A404" s="11" t="str">
        <f aca="false">TRIM('수출입 실적(신성질별)'!A408)</f>
        <v>2025.12</v>
      </c>
      <c r="B404" s="17" t="n">
        <f aca="false">IFERROR(VALUE(LEFT($A404,4)),"")</f>
        <v>2025</v>
      </c>
      <c r="C404" s="17" t="n">
        <f aca="false">IFERROR(VALUE(RIGHT($A404,2)),"")</f>
        <v>12</v>
      </c>
      <c r="D404" s="17" t="n">
        <f aca="false">IFERROR(ROUNDUP($C404/3,0),"")</f>
        <v>4</v>
      </c>
      <c r="E404" s="11" t="str">
        <f aca="false">TRIM('수출입 실적(신성질별)'!B408)</f>
        <v>마.화학공업제품</v>
      </c>
      <c r="F404" s="18" t="n">
        <f aca="false">IFERROR(VALUE(SUBSTITUTE(TRIM('수출입 실적(신성질별)'!C408),",","")),"")</f>
        <v>4484585.9</v>
      </c>
      <c r="G404" s="19" t="n">
        <f aca="false">IFERROR(VALUE(SUBSTITUTE(TRIM('수출입 실적(신성질별)'!D408),",","")),"")</f>
        <v>7118330</v>
      </c>
      <c r="H404" s="18" t="n">
        <f aca="false">IFERROR(VALUE(SUBSTITUTE(TRIM('수출입 실적(신성질별)'!E408),",","")),"")</f>
        <v>2083332.9</v>
      </c>
      <c r="I404" s="19" t="n">
        <f aca="false">IFERROR(VALUE(SUBSTITUTE(TRIM('수출입 실적(신성질별)'!F408),",","")),"")</f>
        <v>5168070</v>
      </c>
    </row>
    <row r="405" customFormat="false" ht="15" hidden="false" customHeight="true" outlineLevel="0" collapsed="false">
      <c r="A405" s="11" t="str">
        <f aca="false">TRIM('수출입 실적(신성질별)'!A409)</f>
        <v>2025.12</v>
      </c>
      <c r="B405" s="17" t="n">
        <f aca="false">IFERROR(VALUE(LEFT($A405,4)),"")</f>
        <v>2025</v>
      </c>
      <c r="C405" s="17" t="n">
        <f aca="false">IFERROR(VALUE(RIGHT($A405,2)),"")</f>
        <v>12</v>
      </c>
      <c r="D405" s="17" t="n">
        <f aca="false">IFERROR(ROUNDUP($C405/3,0),"")</f>
        <v>4</v>
      </c>
      <c r="E405" s="11" t="str">
        <f aca="false">TRIM('수출입 실적(신성질별)'!B409)</f>
        <v>바.기타 원자재</v>
      </c>
      <c r="F405" s="18" t="n">
        <f aca="false">IFERROR(VALUE(SUBSTITUTE(TRIM('수출입 실적(신성질별)'!C409),",","")),"")</f>
        <v>2168</v>
      </c>
      <c r="G405" s="19" t="n">
        <f aca="false">IFERROR(VALUE(SUBSTITUTE(TRIM('수출입 실적(신성질별)'!D409),",","")),"")</f>
        <v>8778</v>
      </c>
      <c r="H405" s="18" t="n">
        <f aca="false">IFERROR(VALUE(SUBSTITUTE(TRIM('수출입 실적(신성질별)'!E409),",","")),"")</f>
        <v>3061.9</v>
      </c>
      <c r="I405" s="19" t="n">
        <f aca="false">IFERROR(VALUE(SUBSTITUTE(TRIM('수출입 실적(신성질별)'!F409),",","")),"")</f>
        <v>6541</v>
      </c>
    </row>
    <row r="406" customFormat="false" ht="15" hidden="false" customHeight="true" outlineLevel="0" collapsed="false">
      <c r="A406" s="11" t="str">
        <f aca="false">TRIM('수출입 실적(신성질별)'!A410)</f>
        <v>2025.12</v>
      </c>
      <c r="B406" s="17" t="n">
        <f aca="false">IFERROR(VALUE(LEFT($A406,4)),"")</f>
        <v>2025</v>
      </c>
      <c r="C406" s="17" t="n">
        <f aca="false">IFERROR(VALUE(RIGHT($A406,2)),"")</f>
        <v>12</v>
      </c>
      <c r="D406" s="17" t="n">
        <f aca="false">IFERROR(ROUNDUP($C406/3,0),"")</f>
        <v>4</v>
      </c>
      <c r="E406" s="11" t="str">
        <f aca="false">TRIM('수출입 실적(신성질별)'!B410)</f>
        <v>3.자본재</v>
      </c>
      <c r="F406" s="18" t="n">
        <f aca="false">IFERROR(VALUE(SUBSTITUTE(TRIM('수출입 실적(신성질별)'!C410),",","")),"")</f>
        <v>2096398.4</v>
      </c>
      <c r="G406" s="19" t="n">
        <f aca="false">IFERROR(VALUE(SUBSTITUTE(TRIM('수출입 실적(신성질별)'!D410),",","")),"")</f>
        <v>44419736</v>
      </c>
      <c r="H406" s="18" t="n">
        <f aca="false">IFERROR(VALUE(SUBSTITUTE(TRIM('수출입 실적(신성질별)'!E410),",","")),"")</f>
        <v>884590.3</v>
      </c>
      <c r="I406" s="19" t="n">
        <f aca="false">IFERROR(VALUE(SUBSTITUTE(TRIM('수출입 실적(신성질별)'!F410),",","")),"")</f>
        <v>24717113</v>
      </c>
    </row>
    <row r="407" customFormat="false" ht="15" hidden="false" customHeight="true" outlineLevel="0" collapsed="false">
      <c r="A407" s="11" t="str">
        <f aca="false">TRIM('수출입 실적(신성질별)'!A411)</f>
        <v>2025.12</v>
      </c>
      <c r="B407" s="17" t="n">
        <f aca="false">IFERROR(VALUE(LEFT($A407,4)),"")</f>
        <v>2025</v>
      </c>
      <c r="C407" s="17" t="n">
        <f aca="false">IFERROR(VALUE(RIGHT($A407,2)),"")</f>
        <v>12</v>
      </c>
      <c r="D407" s="17" t="n">
        <f aca="false">IFERROR(ROUNDUP($C407/3,0),"")</f>
        <v>4</v>
      </c>
      <c r="E407" s="11" t="str">
        <f aca="false">TRIM('수출입 실적(신성질별)'!B411)</f>
        <v>가.수송장비</v>
      </c>
      <c r="F407" s="18" t="n">
        <f aca="false">IFERROR(VALUE(SUBSTITUTE(TRIM('수출입 실적(신성질별)'!C411),",","")),"")</f>
        <v>1369875.7</v>
      </c>
      <c r="G407" s="19" t="n">
        <f aca="false">IFERROR(VALUE(SUBSTITUTE(TRIM('수출입 실적(신성질별)'!D411),",","")),"")</f>
        <v>7428207</v>
      </c>
      <c r="H407" s="18" t="n">
        <f aca="false">IFERROR(VALUE(SUBSTITUTE(TRIM('수출입 실적(신성질별)'!E411),",","")),"")</f>
        <v>214134.8</v>
      </c>
      <c r="I407" s="19" t="n">
        <f aca="false">IFERROR(VALUE(SUBSTITUTE(TRIM('수출입 실적(신성질별)'!F411),",","")),"")</f>
        <v>2402503</v>
      </c>
    </row>
    <row r="408" customFormat="false" ht="15" hidden="false" customHeight="true" outlineLevel="0" collapsed="false">
      <c r="A408" s="11" t="str">
        <f aca="false">TRIM('수출입 실적(신성질별)'!A412)</f>
        <v>2025.12</v>
      </c>
      <c r="B408" s="17" t="n">
        <f aca="false">IFERROR(VALUE(LEFT($A408,4)),"")</f>
        <v>2025</v>
      </c>
      <c r="C408" s="17" t="n">
        <f aca="false">IFERROR(VALUE(RIGHT($A408,2)),"")</f>
        <v>12</v>
      </c>
      <c r="D408" s="17" t="n">
        <f aca="false">IFERROR(ROUNDUP($C408/3,0),"")</f>
        <v>4</v>
      </c>
      <c r="E408" s="11" t="str">
        <f aca="false">TRIM('수출입 실적(신성질별)'!B412)</f>
        <v>나.기계류</v>
      </c>
      <c r="F408" s="18" t="n">
        <f aca="false">IFERROR(VALUE(SUBSTITUTE(TRIM('수출입 실적(신성질별)'!C412),",","")),"")</f>
        <v>683223.9</v>
      </c>
      <c r="G408" s="19" t="n">
        <f aca="false">IFERROR(VALUE(SUBSTITUTE(TRIM('수출입 실적(신성질별)'!D412),",","")),"")</f>
        <v>9557538</v>
      </c>
      <c r="H408" s="18" t="n">
        <f aca="false">IFERROR(VALUE(SUBSTITUTE(TRIM('수출입 실적(신성질별)'!E412),",","")),"")</f>
        <v>595611.3</v>
      </c>
      <c r="I408" s="19" t="n">
        <f aca="false">IFERROR(VALUE(SUBSTITUTE(TRIM('수출입 실적(신성질별)'!F412),",","")),"")</f>
        <v>10351663</v>
      </c>
    </row>
    <row r="409" customFormat="false" ht="15" hidden="false" customHeight="true" outlineLevel="0" collapsed="false">
      <c r="A409" s="11" t="str">
        <f aca="false">TRIM('수출입 실적(신성질별)'!A413)</f>
        <v>2025.12</v>
      </c>
      <c r="B409" s="17" t="n">
        <f aca="false">IFERROR(VALUE(LEFT($A409,4)),"")</f>
        <v>2025</v>
      </c>
      <c r="C409" s="17" t="n">
        <f aca="false">IFERROR(VALUE(RIGHT($A409,2)),"")</f>
        <v>12</v>
      </c>
      <c r="D409" s="17" t="n">
        <f aca="false">IFERROR(ROUNDUP($C409/3,0),"")</f>
        <v>4</v>
      </c>
      <c r="E409" s="11" t="str">
        <f aca="false">TRIM('수출입 실적(신성질별)'!B413)</f>
        <v>다.IT제품</v>
      </c>
      <c r="F409" s="18" t="n">
        <f aca="false">IFERROR(VALUE(SUBSTITUTE(TRIM('수출입 실적(신성질별)'!C413),",","")),"")</f>
        <v>10965.9</v>
      </c>
      <c r="G409" s="19" t="n">
        <f aca="false">IFERROR(VALUE(SUBSTITUTE(TRIM('수출입 실적(신성질별)'!D413),",","")),"")</f>
        <v>5051752</v>
      </c>
      <c r="H409" s="18" t="n">
        <f aca="false">IFERROR(VALUE(SUBSTITUTE(TRIM('수출입 실적(신성질별)'!E413),",","")),"")</f>
        <v>18586.6</v>
      </c>
      <c r="I409" s="19" t="n">
        <f aca="false">IFERROR(VALUE(SUBSTITUTE(TRIM('수출입 실적(신성질별)'!F413),",","")),"")</f>
        <v>3225660</v>
      </c>
    </row>
    <row r="410" customFormat="false" ht="15" hidden="false" customHeight="true" outlineLevel="0" collapsed="false">
      <c r="A410" s="11" t="str">
        <f aca="false">TRIM('수출입 실적(신성질별)'!A414)</f>
        <v>2025.12</v>
      </c>
      <c r="B410" s="17" t="n">
        <f aca="false">IFERROR(VALUE(LEFT($A410,4)),"")</f>
        <v>2025</v>
      </c>
      <c r="C410" s="17" t="n">
        <f aca="false">IFERROR(VALUE(RIGHT($A410,2)),"")</f>
        <v>12</v>
      </c>
      <c r="D410" s="17" t="n">
        <f aca="false">IFERROR(ROUNDUP($C410/3,0),"")</f>
        <v>4</v>
      </c>
      <c r="E410" s="11" t="str">
        <f aca="false">TRIM('수출입 실적(신성질별)'!B414)</f>
        <v>라.IT부품</v>
      </c>
      <c r="F410" s="18" t="n">
        <f aca="false">IFERROR(VALUE(SUBSTITUTE(TRIM('수출입 실적(신성질별)'!C414),",","")),"")</f>
        <v>32332.9</v>
      </c>
      <c r="G410" s="19" t="n">
        <f aca="false">IFERROR(VALUE(SUBSTITUTE(TRIM('수출입 실적(신성질별)'!D414),",","")),"")</f>
        <v>22382239</v>
      </c>
      <c r="H410" s="18" t="n">
        <f aca="false">IFERROR(VALUE(SUBSTITUTE(TRIM('수출입 실적(신성질별)'!E414),",","")),"")</f>
        <v>56257.6</v>
      </c>
      <c r="I410" s="19" t="n">
        <f aca="false">IFERROR(VALUE(SUBSTITUTE(TRIM('수출입 실적(신성질별)'!F414),",","")),"")</f>
        <v>8737287</v>
      </c>
    </row>
    <row r="411" customFormat="false" ht="15" hidden="false" customHeight="true" outlineLevel="0" collapsed="false">
      <c r="A411" s="11" t="str">
        <f aca="false">TRIM('수출입 실적(신성질별)'!A415)</f>
        <v>2026.01</v>
      </c>
      <c r="B411" s="17" t="n">
        <f aca="false">IFERROR(VALUE(LEFT($A411,4)),"")</f>
        <v>2026</v>
      </c>
      <c r="C411" s="17" t="n">
        <f aca="false">IFERROR(VALUE(RIGHT($A411,2)),"")</f>
        <v>1</v>
      </c>
      <c r="D411" s="17" t="n">
        <f aca="false">IFERROR(ROUNDUP($C411/3,0),"")</f>
        <v>1</v>
      </c>
      <c r="E411" s="11" t="str">
        <f aca="false">TRIM('수출입 실적(신성질별)'!B415)</f>
        <v>1.소비재</v>
      </c>
      <c r="F411" s="18" t="n">
        <f aca="false">IFERROR(VALUE(SUBSTITUTE(TRIM('수출입 실적(신성질별)'!C415),",","")),"")</f>
        <v>853755.8</v>
      </c>
      <c r="G411" s="19" t="n">
        <f aca="false">IFERROR(VALUE(SUBSTITUTE(TRIM('수출입 실적(신성질별)'!D415),",","")),"")</f>
        <v>7671931</v>
      </c>
      <c r="H411" s="18" t="n">
        <f aca="false">IFERROR(VALUE(SUBSTITUTE(TRIM('수출입 실적(신성질별)'!E415),",","")),"")</f>
        <v>2064466.9</v>
      </c>
      <c r="I411" s="19" t="n">
        <f aca="false">IFERROR(VALUE(SUBSTITUTE(TRIM('수출입 실적(신성질별)'!F415),",","")),"")</f>
        <v>7743674</v>
      </c>
    </row>
    <row r="412" customFormat="false" ht="15" hidden="false" customHeight="true" outlineLevel="0" collapsed="false">
      <c r="A412" s="11" t="str">
        <f aca="false">TRIM('수출입 실적(신성질별)'!A416)</f>
        <v>2026.01</v>
      </c>
      <c r="B412" s="17" t="n">
        <f aca="false">IFERROR(VALUE(LEFT($A412,4)),"")</f>
        <v>2026</v>
      </c>
      <c r="C412" s="17" t="n">
        <f aca="false">IFERROR(VALUE(RIGHT($A412,2)),"")</f>
        <v>1</v>
      </c>
      <c r="D412" s="17" t="n">
        <f aca="false">IFERROR(ROUNDUP($C412/3,0),"")</f>
        <v>1</v>
      </c>
      <c r="E412" s="11" t="str">
        <f aca="false">TRIM('수출입 실적(신성질별)'!B416)</f>
        <v>가.직접소비재</v>
      </c>
      <c r="F412" s="18" t="n">
        <f aca="false">IFERROR(VALUE(SUBSTITUTE(TRIM('수출입 실적(신성질별)'!C416),",","")),"")</f>
        <v>266496</v>
      </c>
      <c r="G412" s="19" t="n">
        <f aca="false">IFERROR(VALUE(SUBSTITUTE(TRIM('수출입 실적(신성질별)'!D416),",","")),"")</f>
        <v>974471</v>
      </c>
      <c r="H412" s="18" t="n">
        <f aca="false">IFERROR(VALUE(SUBSTITUTE(TRIM('수출입 실적(신성질별)'!E416),",","")),"")</f>
        <v>1676285.7</v>
      </c>
      <c r="I412" s="19" t="n">
        <f aca="false">IFERROR(VALUE(SUBSTITUTE(TRIM('수출입 실적(신성질별)'!F416),",","")),"")</f>
        <v>3285687</v>
      </c>
    </row>
    <row r="413" customFormat="false" ht="15" hidden="false" customHeight="true" outlineLevel="0" collapsed="false">
      <c r="A413" s="11" t="str">
        <f aca="false">TRIM('수출입 실적(신성질별)'!A417)</f>
        <v>2026.01</v>
      </c>
      <c r="B413" s="17" t="n">
        <f aca="false">IFERROR(VALUE(LEFT($A413,4)),"")</f>
        <v>2026</v>
      </c>
      <c r="C413" s="17" t="n">
        <f aca="false">IFERROR(VALUE(RIGHT($A413,2)),"")</f>
        <v>1</v>
      </c>
      <c r="D413" s="17" t="n">
        <f aca="false">IFERROR(ROUNDUP($C413/3,0),"")</f>
        <v>1</v>
      </c>
      <c r="E413" s="11" t="str">
        <f aca="false">TRIM('수출입 실적(신성질별)'!B417)</f>
        <v>나.내구소비재</v>
      </c>
      <c r="F413" s="18" t="n">
        <f aca="false">IFERROR(VALUE(SUBSTITUTE(TRIM('수출입 실적(신성질별)'!C417),",","")),"")</f>
        <v>433897.1</v>
      </c>
      <c r="G413" s="19" t="n">
        <f aca="false">IFERROR(VALUE(SUBSTITUTE(TRIM('수출입 실적(신성질별)'!D417),",","")),"")</f>
        <v>5005260</v>
      </c>
      <c r="H413" s="18" t="n">
        <f aca="false">IFERROR(VALUE(SUBSTITUTE(TRIM('수출입 실적(신성질별)'!E417),",","")),"")</f>
        <v>220526</v>
      </c>
      <c r="I413" s="19" t="n">
        <f aca="false">IFERROR(VALUE(SUBSTITUTE(TRIM('수출입 실적(신성질별)'!F417),",","")),"")</f>
        <v>2107773</v>
      </c>
    </row>
    <row r="414" customFormat="false" ht="15" hidden="false" customHeight="true" outlineLevel="0" collapsed="false">
      <c r="A414" s="11" t="str">
        <f aca="false">TRIM('수출입 실적(신성질별)'!A418)</f>
        <v>2026.01</v>
      </c>
      <c r="B414" s="17" t="n">
        <f aca="false">IFERROR(VALUE(LEFT($A414,4)),"")</f>
        <v>2026</v>
      </c>
      <c r="C414" s="17" t="n">
        <f aca="false">IFERROR(VALUE(RIGHT($A414,2)),"")</f>
        <v>1</v>
      </c>
      <c r="D414" s="17" t="n">
        <f aca="false">IFERROR(ROUNDUP($C414/3,0),"")</f>
        <v>1</v>
      </c>
      <c r="E414" s="11" t="str">
        <f aca="false">TRIM('수출입 실적(신성질별)'!B418)</f>
        <v>다.비내구소비재</v>
      </c>
      <c r="F414" s="18" t="n">
        <f aca="false">IFERROR(VALUE(SUBSTITUTE(TRIM('수출입 실적(신성질별)'!C418),",","")),"")</f>
        <v>150326.8</v>
      </c>
      <c r="G414" s="19" t="n">
        <f aca="false">IFERROR(VALUE(SUBSTITUTE(TRIM('수출입 실적(신성질별)'!D418),",","")),"")</f>
        <v>1688959</v>
      </c>
      <c r="H414" s="18" t="n">
        <f aca="false">IFERROR(VALUE(SUBSTITUTE(TRIM('수출입 실적(신성질별)'!E418),",","")),"")</f>
        <v>167655.2</v>
      </c>
      <c r="I414" s="19" t="n">
        <f aca="false">IFERROR(VALUE(SUBSTITUTE(TRIM('수출입 실적(신성질별)'!F418),",","")),"")</f>
        <v>2350213</v>
      </c>
    </row>
    <row r="415" customFormat="false" ht="15" hidden="false" customHeight="true" outlineLevel="0" collapsed="false">
      <c r="A415" s="11" t="str">
        <f aca="false">TRIM('수출입 실적(신성질별)'!A419)</f>
        <v>2026.01</v>
      </c>
      <c r="B415" s="17" t="n">
        <f aca="false">IFERROR(VALUE(LEFT($A415,4)),"")</f>
        <v>2026</v>
      </c>
      <c r="C415" s="17" t="n">
        <f aca="false">IFERROR(VALUE(RIGHT($A415,2)),"")</f>
        <v>1</v>
      </c>
      <c r="D415" s="17" t="n">
        <f aca="false">IFERROR(ROUNDUP($C415/3,0),"")</f>
        <v>1</v>
      </c>
      <c r="E415" s="11" t="str">
        <f aca="false">TRIM('수출입 실적(신성질별)'!B419)</f>
        <v>라.간이세율적용분</v>
      </c>
      <c r="F415" s="18" t="n">
        <f aca="false">IFERROR(VALUE(SUBSTITUTE(TRIM('수출입 실적(신성질별)'!C419),",","")),"")</f>
        <v>3036</v>
      </c>
      <c r="G415" s="19" t="n">
        <f aca="false">IFERROR(VALUE(SUBSTITUTE(TRIM('수출입 실적(신성질별)'!D419),",","")),"")</f>
        <v>3241</v>
      </c>
      <c r="H415" s="18" t="n">
        <f aca="false">IFERROR(VALUE(SUBSTITUTE(TRIM('수출입 실적(신성질별)'!E419),",","")),"")</f>
        <v>0</v>
      </c>
      <c r="I415" s="19" t="n">
        <f aca="false">IFERROR(VALUE(SUBSTITUTE(TRIM('수출입 실적(신성질별)'!F419),",","")),"")</f>
        <v>0</v>
      </c>
    </row>
    <row r="416" customFormat="false" ht="15" hidden="false" customHeight="true" outlineLevel="0" collapsed="false">
      <c r="A416" s="11" t="str">
        <f aca="false">TRIM('수출입 실적(신성질별)'!A420)</f>
        <v>2026.01</v>
      </c>
      <c r="B416" s="17" t="n">
        <f aca="false">IFERROR(VALUE(LEFT($A416,4)),"")</f>
        <v>2026</v>
      </c>
      <c r="C416" s="17" t="n">
        <f aca="false">IFERROR(VALUE(RIGHT($A416,2)),"")</f>
        <v>1</v>
      </c>
      <c r="D416" s="17" t="n">
        <f aca="false">IFERROR(ROUNDUP($C416/3,0),"")</f>
        <v>1</v>
      </c>
      <c r="E416" s="11" t="str">
        <f aca="false">TRIM('수출입 실적(신성질별)'!B420)</f>
        <v>2.원자재</v>
      </c>
      <c r="F416" s="18" t="n">
        <f aca="false">IFERROR(VALUE(SUBSTITUTE(TRIM('수출입 실적(신성질별)'!C420),",","")),"")</f>
        <v>14117543.1</v>
      </c>
      <c r="G416" s="19" t="n">
        <f aca="false">IFERROR(VALUE(SUBSTITUTE(TRIM('수출입 실적(신성질별)'!D420),",","")),"")</f>
        <v>16383039</v>
      </c>
      <c r="H416" s="18" t="n">
        <f aca="false">IFERROR(VALUE(SUBSTITUTE(TRIM('수출입 실적(신성질별)'!E420),",","")),"")</f>
        <v>47098307.5</v>
      </c>
      <c r="I416" s="19" t="n">
        <f aca="false">IFERROR(VALUE(SUBSTITUTE(TRIM('수출입 실적(신성질별)'!F420),",","")),"")</f>
        <v>26351255</v>
      </c>
    </row>
    <row r="417" customFormat="false" ht="15" hidden="false" customHeight="true" outlineLevel="0" collapsed="false">
      <c r="A417" s="11" t="str">
        <f aca="false">TRIM('수출입 실적(신성질별)'!A421)</f>
        <v>2026.01</v>
      </c>
      <c r="B417" s="17" t="n">
        <f aca="false">IFERROR(VALUE(LEFT($A417,4)),"")</f>
        <v>2026</v>
      </c>
      <c r="C417" s="17" t="n">
        <f aca="false">IFERROR(VALUE(RIGHT($A417,2)),"")</f>
        <v>1</v>
      </c>
      <c r="D417" s="17" t="n">
        <f aca="false">IFERROR(ROUNDUP($C417/3,0),"")</f>
        <v>1</v>
      </c>
      <c r="E417" s="11" t="str">
        <f aca="false">TRIM('수출입 실적(신성질별)'!B421)</f>
        <v>가.동식물성 연·원료</v>
      </c>
      <c r="F417" s="18" t="n">
        <f aca="false">IFERROR(VALUE(SUBSTITUTE(TRIM('수출입 실적(신성질별)'!C421),",","")),"")</f>
        <v>328095</v>
      </c>
      <c r="G417" s="19" t="n">
        <f aca="false">IFERROR(VALUE(SUBSTITUTE(TRIM('수출입 실적(신성질별)'!D421),",","")),"")</f>
        <v>417054</v>
      </c>
      <c r="H417" s="18" t="n">
        <f aca="false">IFERROR(VALUE(SUBSTITUTE(TRIM('수출입 실적(신성질별)'!E421),",","")),"")</f>
        <v>2775163.7</v>
      </c>
      <c r="I417" s="19" t="n">
        <f aca="false">IFERROR(VALUE(SUBSTITUTE(TRIM('수출입 실적(신성질별)'!F421),",","")),"")</f>
        <v>1437218</v>
      </c>
    </row>
    <row r="418" customFormat="false" ht="15" hidden="false" customHeight="true" outlineLevel="0" collapsed="false">
      <c r="A418" s="11" t="str">
        <f aca="false">TRIM('수출입 실적(신성질별)'!A422)</f>
        <v>2026.01</v>
      </c>
      <c r="B418" s="17" t="n">
        <f aca="false">IFERROR(VALUE(LEFT($A418,4)),"")</f>
        <v>2026</v>
      </c>
      <c r="C418" s="17" t="n">
        <f aca="false">IFERROR(VALUE(RIGHT($A418,2)),"")</f>
        <v>1</v>
      </c>
      <c r="D418" s="17" t="n">
        <f aca="false">IFERROR(ROUNDUP($C418/3,0),"")</f>
        <v>1</v>
      </c>
      <c r="E418" s="11" t="str">
        <f aca="false">TRIM('수출입 실적(신성질별)'!B422)</f>
        <v>나.섬유류</v>
      </c>
      <c r="F418" s="18" t="n">
        <f aca="false">IFERROR(VALUE(SUBSTITUTE(TRIM('수출입 실적(신성질별)'!C422),",","")),"")</f>
        <v>113458.2</v>
      </c>
      <c r="G418" s="19" t="n">
        <f aca="false">IFERROR(VALUE(SUBSTITUTE(TRIM('수출입 실적(신성질별)'!D422),",","")),"")</f>
        <v>546437</v>
      </c>
      <c r="H418" s="18" t="n">
        <f aca="false">IFERROR(VALUE(SUBSTITUTE(TRIM('수출입 실적(신성질별)'!E422),",","")),"")</f>
        <v>98803.9</v>
      </c>
      <c r="I418" s="19" t="n">
        <f aca="false">IFERROR(VALUE(SUBSTITUTE(TRIM('수출입 실적(신성질별)'!F422),",","")),"")</f>
        <v>301609</v>
      </c>
    </row>
    <row r="419" customFormat="false" ht="15" hidden="false" customHeight="true" outlineLevel="0" collapsed="false">
      <c r="A419" s="11" t="str">
        <f aca="false">TRIM('수출입 실적(신성질별)'!A423)</f>
        <v>2026.01</v>
      </c>
      <c r="B419" s="17" t="n">
        <f aca="false">IFERROR(VALUE(LEFT($A419,4)),"")</f>
        <v>2026</v>
      </c>
      <c r="C419" s="17" t="n">
        <f aca="false">IFERROR(VALUE(RIGHT($A419,2)),"")</f>
        <v>1</v>
      </c>
      <c r="D419" s="17" t="n">
        <f aca="false">IFERROR(ROUNDUP($C419/3,0),"")</f>
        <v>1</v>
      </c>
      <c r="E419" s="11" t="str">
        <f aca="false">TRIM('수출입 실적(신성질별)'!B423)</f>
        <v>다.광산물</v>
      </c>
      <c r="F419" s="18" t="n">
        <f aca="false">IFERROR(VALUE(SUBSTITUTE(TRIM('수출입 실적(신성질별)'!C423),",","")),"")</f>
        <v>6633846.6</v>
      </c>
      <c r="G419" s="19" t="n">
        <f aca="false">IFERROR(VALUE(SUBSTITUTE(TRIM('수출입 실적(신성질별)'!D423),",","")),"")</f>
        <v>4965073</v>
      </c>
      <c r="H419" s="18" t="n">
        <f aca="false">IFERROR(VALUE(SUBSTITUTE(TRIM('수출입 실적(신성질별)'!E423),",","")),"")</f>
        <v>40789479.2</v>
      </c>
      <c r="I419" s="19" t="n">
        <f aca="false">IFERROR(VALUE(SUBSTITUTE(TRIM('수출입 실적(신성질별)'!F423),",","")),"")</f>
        <v>16820845</v>
      </c>
    </row>
    <row r="420" customFormat="false" ht="15" hidden="false" customHeight="true" outlineLevel="0" collapsed="false">
      <c r="A420" s="11" t="str">
        <f aca="false">TRIM('수출입 실적(신성질별)'!A424)</f>
        <v>2026.01</v>
      </c>
      <c r="B420" s="17" t="n">
        <f aca="false">IFERROR(VALUE(LEFT($A420,4)),"")</f>
        <v>2026</v>
      </c>
      <c r="C420" s="17" t="n">
        <f aca="false">IFERROR(VALUE(RIGHT($A420,2)),"")</f>
        <v>1</v>
      </c>
      <c r="D420" s="17" t="n">
        <f aca="false">IFERROR(ROUNDUP($C420/3,0),"")</f>
        <v>1</v>
      </c>
      <c r="E420" s="11" t="str">
        <f aca="false">TRIM('수출입 실적(신성질별)'!B424)</f>
        <v>라.철강 및 금속제품</v>
      </c>
      <c r="F420" s="18" t="n">
        <f aca="false">IFERROR(VALUE(SUBSTITUTE(TRIM('수출입 실적(신성질별)'!C424),",","")),"")</f>
        <v>2721273.1</v>
      </c>
      <c r="G420" s="19" t="n">
        <f aca="false">IFERROR(VALUE(SUBSTITUTE(TRIM('수출입 실적(신성질별)'!D424),",","")),"")</f>
        <v>3502462</v>
      </c>
      <c r="H420" s="18" t="n">
        <f aca="false">IFERROR(VALUE(SUBSTITUTE(TRIM('수출입 실적(신성질별)'!E424),",","")),"")</f>
        <v>1539705.7</v>
      </c>
      <c r="I420" s="19" t="n">
        <f aca="false">IFERROR(VALUE(SUBSTITUTE(TRIM('수출입 실적(신성질별)'!F424),",","")),"")</f>
        <v>3029717</v>
      </c>
    </row>
    <row r="421" customFormat="false" ht="15" hidden="false" customHeight="true" outlineLevel="0" collapsed="false">
      <c r="A421" s="11" t="str">
        <f aca="false">TRIM('수출입 실적(신성질별)'!A425)</f>
        <v>2026.01</v>
      </c>
      <c r="B421" s="17" t="n">
        <f aca="false">IFERROR(VALUE(LEFT($A421,4)),"")</f>
        <v>2026</v>
      </c>
      <c r="C421" s="17" t="n">
        <f aca="false">IFERROR(VALUE(RIGHT($A421,2)),"")</f>
        <v>1</v>
      </c>
      <c r="D421" s="17" t="n">
        <f aca="false">IFERROR(ROUNDUP($C421/3,0),"")</f>
        <v>1</v>
      </c>
      <c r="E421" s="11" t="str">
        <f aca="false">TRIM('수출입 실적(신성질별)'!B425)</f>
        <v>마.화학공업제품</v>
      </c>
      <c r="F421" s="18" t="n">
        <f aca="false">IFERROR(VALUE(SUBSTITUTE(TRIM('수출입 실적(신성질별)'!C425),",","")),"")</f>
        <v>4318942.3</v>
      </c>
      <c r="G421" s="19" t="n">
        <f aca="false">IFERROR(VALUE(SUBSTITUTE(TRIM('수출입 실적(신성질별)'!D425),",","")),"")</f>
        <v>6944019</v>
      </c>
      <c r="H421" s="18" t="n">
        <f aca="false">IFERROR(VALUE(SUBSTITUTE(TRIM('수출입 실적(신성질별)'!E425),",","")),"")</f>
        <v>1892372.5</v>
      </c>
      <c r="I421" s="19" t="n">
        <f aca="false">IFERROR(VALUE(SUBSTITUTE(TRIM('수출입 실적(신성질별)'!F425),",","")),"")</f>
        <v>4755931</v>
      </c>
    </row>
    <row r="422" customFormat="false" ht="15" hidden="false" customHeight="true" outlineLevel="0" collapsed="false">
      <c r="A422" s="11" t="str">
        <f aca="false">TRIM('수출입 실적(신성질별)'!A426)</f>
        <v>2026.01</v>
      </c>
      <c r="B422" s="17" t="n">
        <f aca="false">IFERROR(VALUE(LEFT($A422,4)),"")</f>
        <v>2026</v>
      </c>
      <c r="C422" s="17" t="n">
        <f aca="false">IFERROR(VALUE(RIGHT($A422,2)),"")</f>
        <v>1</v>
      </c>
      <c r="D422" s="17" t="n">
        <f aca="false">IFERROR(ROUNDUP($C422/3,0),"")</f>
        <v>1</v>
      </c>
      <c r="E422" s="11" t="str">
        <f aca="false">TRIM('수출입 실적(신성질별)'!B426)</f>
        <v>바.기타 원자재</v>
      </c>
      <c r="F422" s="18" t="n">
        <f aca="false">IFERROR(VALUE(SUBSTITUTE(TRIM('수출입 실적(신성질별)'!C426),",","")),"")</f>
        <v>1927.9</v>
      </c>
      <c r="G422" s="19" t="n">
        <f aca="false">IFERROR(VALUE(SUBSTITUTE(TRIM('수출입 실적(신성질별)'!D426),",","")),"")</f>
        <v>7994</v>
      </c>
      <c r="H422" s="18" t="n">
        <f aca="false">IFERROR(VALUE(SUBSTITUTE(TRIM('수출입 실적(신성질별)'!E426),",","")),"")</f>
        <v>2782.5</v>
      </c>
      <c r="I422" s="19" t="n">
        <f aca="false">IFERROR(VALUE(SUBSTITUTE(TRIM('수출입 실적(신성질별)'!F426),",","")),"")</f>
        <v>5935</v>
      </c>
    </row>
    <row r="423" customFormat="false" ht="15" hidden="false" customHeight="true" outlineLevel="0" collapsed="false">
      <c r="A423" s="11" t="str">
        <f aca="false">TRIM('수출입 실적(신성질별)'!A427)</f>
        <v>2026.01</v>
      </c>
      <c r="B423" s="17" t="n">
        <f aca="false">IFERROR(VALUE(LEFT($A423,4)),"")</f>
        <v>2026</v>
      </c>
      <c r="C423" s="17" t="n">
        <f aca="false">IFERROR(VALUE(RIGHT($A423,2)),"")</f>
        <v>1</v>
      </c>
      <c r="D423" s="17" t="n">
        <f aca="false">IFERROR(ROUNDUP($C423/3,0),"")</f>
        <v>1</v>
      </c>
      <c r="E423" s="11" t="str">
        <f aca="false">TRIM('수출입 실적(신성질별)'!B427)</f>
        <v>3.자본재</v>
      </c>
      <c r="F423" s="18" t="n">
        <f aca="false">IFERROR(VALUE(SUBSTITUTE(TRIM('수출입 실적(신성질별)'!C427),",","")),"")</f>
        <v>1768648.8</v>
      </c>
      <c r="G423" s="19" t="n">
        <f aca="false">IFERROR(VALUE(SUBSTITUTE(TRIM('수출입 실적(신성질별)'!D427),",","")),"")</f>
        <v>41788967</v>
      </c>
      <c r="H423" s="18" t="n">
        <f aca="false">IFERROR(VALUE(SUBSTITUTE(TRIM('수출입 실적(신성질별)'!E427),",","")),"")</f>
        <v>852341.9</v>
      </c>
      <c r="I423" s="19" t="n">
        <f aca="false">IFERROR(VALUE(SUBSTITUTE(TRIM('수출입 실적(신성질별)'!F427),",","")),"")</f>
        <v>23048540</v>
      </c>
    </row>
    <row r="424" customFormat="false" ht="15" hidden="false" customHeight="true" outlineLevel="0" collapsed="false">
      <c r="A424" s="11" t="str">
        <f aca="false">TRIM('수출입 실적(신성질별)'!A428)</f>
        <v>2026.01</v>
      </c>
      <c r="B424" s="17" t="n">
        <f aca="false">IFERROR(VALUE(LEFT($A424,4)),"")</f>
        <v>2026</v>
      </c>
      <c r="C424" s="17" t="n">
        <f aca="false">IFERROR(VALUE(RIGHT($A424,2)),"")</f>
        <v>1</v>
      </c>
      <c r="D424" s="17" t="n">
        <f aca="false">IFERROR(ROUNDUP($C424/3,0),"")</f>
        <v>1</v>
      </c>
      <c r="E424" s="11" t="str">
        <f aca="false">TRIM('수출입 실적(신성질별)'!B428)</f>
        <v>가.수송장비</v>
      </c>
      <c r="F424" s="18" t="n">
        <f aca="false">IFERROR(VALUE(SUBSTITUTE(TRIM('수출입 실적(신성질별)'!C428),",","")),"")</f>
        <v>1107575.8</v>
      </c>
      <c r="G424" s="19" t="n">
        <f aca="false">IFERROR(VALUE(SUBSTITUTE(TRIM('수출입 실적(신성질별)'!D428),",","")),"")</f>
        <v>6678955</v>
      </c>
      <c r="H424" s="18" t="n">
        <f aca="false">IFERROR(VALUE(SUBSTITUTE(TRIM('수출입 실적(신성질별)'!E428),",","")),"")</f>
        <v>283840</v>
      </c>
      <c r="I424" s="19" t="n">
        <f aca="false">IFERROR(VALUE(SUBSTITUTE(TRIM('수출입 실적(신성질별)'!F428),",","")),"")</f>
        <v>2052310</v>
      </c>
    </row>
    <row r="425" customFormat="false" ht="15" hidden="false" customHeight="true" outlineLevel="0" collapsed="false">
      <c r="A425" s="11" t="str">
        <f aca="false">TRIM('수출입 실적(신성질별)'!A429)</f>
        <v>2026.01</v>
      </c>
      <c r="B425" s="17" t="n">
        <f aca="false">IFERROR(VALUE(LEFT($A425,4)),"")</f>
        <v>2026</v>
      </c>
      <c r="C425" s="17" t="n">
        <f aca="false">IFERROR(VALUE(RIGHT($A425,2)),"")</f>
        <v>1</v>
      </c>
      <c r="D425" s="17" t="n">
        <f aca="false">IFERROR(ROUNDUP($C425/3,0),"")</f>
        <v>1</v>
      </c>
      <c r="E425" s="11" t="str">
        <f aca="false">TRIM('수출입 실적(신성질별)'!B429)</f>
        <v>나.기계류</v>
      </c>
      <c r="F425" s="18" t="n">
        <f aca="false">IFERROR(VALUE(SUBSTITUTE(TRIM('수출입 실적(신성질별)'!C429),",","")),"")</f>
        <v>618615.5</v>
      </c>
      <c r="G425" s="19" t="n">
        <f aca="false">IFERROR(VALUE(SUBSTITUTE(TRIM('수출입 실적(신성질별)'!D429),",","")),"")</f>
        <v>8195778</v>
      </c>
      <c r="H425" s="18" t="n">
        <f aca="false">IFERROR(VALUE(SUBSTITUTE(TRIM('수출입 실적(신성질별)'!E429),",","")),"")</f>
        <v>510372.7</v>
      </c>
      <c r="I425" s="19" t="n">
        <f aca="false">IFERROR(VALUE(SUBSTITUTE(TRIM('수출입 실적(신성질별)'!F429),",","")),"")</f>
        <v>9367396</v>
      </c>
    </row>
    <row r="426" customFormat="false" ht="15" hidden="false" customHeight="true" outlineLevel="0" collapsed="false">
      <c r="A426" s="11" t="str">
        <f aca="false">TRIM('수출입 실적(신성질별)'!A430)</f>
        <v>2026.01</v>
      </c>
      <c r="B426" s="17" t="n">
        <f aca="false">IFERROR(VALUE(LEFT($A426,4)),"")</f>
        <v>2026</v>
      </c>
      <c r="C426" s="17" t="n">
        <f aca="false">IFERROR(VALUE(RIGHT($A426,2)),"")</f>
        <v>1</v>
      </c>
      <c r="D426" s="17" t="n">
        <f aca="false">IFERROR(ROUNDUP($C426/3,0),"")</f>
        <v>1</v>
      </c>
      <c r="E426" s="11" t="str">
        <f aca="false">TRIM('수출입 실적(신성질별)'!B430)</f>
        <v>다.IT제품</v>
      </c>
      <c r="F426" s="18" t="n">
        <f aca="false">IFERROR(VALUE(SUBSTITUTE(TRIM('수출입 실적(신성질별)'!C430),",","")),"")</f>
        <v>11346.4</v>
      </c>
      <c r="G426" s="19" t="n">
        <f aca="false">IFERROR(VALUE(SUBSTITUTE(TRIM('수출입 실적(신성질별)'!D430),",","")),"")</f>
        <v>4797650</v>
      </c>
      <c r="H426" s="18" t="n">
        <f aca="false">IFERROR(VALUE(SUBSTITUTE(TRIM('수출입 실적(신성질별)'!E430),",","")),"")</f>
        <v>20189</v>
      </c>
      <c r="I426" s="19" t="n">
        <f aca="false">IFERROR(VALUE(SUBSTITUTE(TRIM('수출입 실적(신성질별)'!F430),",","")),"")</f>
        <v>3185218</v>
      </c>
    </row>
    <row r="427" customFormat="false" ht="15" hidden="false" customHeight="true" outlineLevel="0" collapsed="false">
      <c r="A427" s="11" t="str">
        <f aca="false">TRIM('수출입 실적(신성질별)'!A431)</f>
        <v>2026.01</v>
      </c>
      <c r="B427" s="17" t="n">
        <f aca="false">IFERROR(VALUE(LEFT($A427,4)),"")</f>
        <v>2026</v>
      </c>
      <c r="C427" s="17" t="n">
        <f aca="false">IFERROR(VALUE(RIGHT($A427,2)),"")</f>
        <v>1</v>
      </c>
      <c r="D427" s="17" t="n">
        <f aca="false">IFERROR(ROUNDUP($C427/3,0),"")</f>
        <v>1</v>
      </c>
      <c r="E427" s="11" t="str">
        <f aca="false">TRIM('수출입 실적(신성질별)'!B431)</f>
        <v>라.IT부품</v>
      </c>
      <c r="F427" s="18" t="n">
        <f aca="false">IFERROR(VALUE(SUBSTITUTE(TRIM('수출입 실적(신성질별)'!C431),",","")),"")</f>
        <v>31111.2</v>
      </c>
      <c r="G427" s="19" t="n">
        <f aca="false">IFERROR(VALUE(SUBSTITUTE(TRIM('수출입 실적(신성질별)'!D431),",","")),"")</f>
        <v>22116584</v>
      </c>
      <c r="H427" s="18" t="n">
        <f aca="false">IFERROR(VALUE(SUBSTITUTE(TRIM('수출입 실적(신성질별)'!E431),",","")),"")</f>
        <v>37940.3</v>
      </c>
      <c r="I427" s="19" t="n">
        <f aca="false">IFERROR(VALUE(SUBSTITUTE(TRIM('수출입 실적(신성질별)'!F431),",","")),"")</f>
        <v>8443617</v>
      </c>
    </row>
    <row r="428" customFormat="false" ht="15" hidden="false" customHeight="true" outlineLevel="0" collapsed="false">
      <c r="A428" s="11" t="str">
        <f aca="false">TRIM('수출입 실적(신성질별)'!A432)</f>
        <v>2026.02</v>
      </c>
      <c r="B428" s="17" t="n">
        <f aca="false">IFERROR(VALUE(LEFT($A428,4)),"")</f>
        <v>2026</v>
      </c>
      <c r="C428" s="17" t="n">
        <f aca="false">IFERROR(VALUE(RIGHT($A428,2)),"")</f>
        <v>2</v>
      </c>
      <c r="D428" s="17" t="n">
        <f aca="false">IFERROR(ROUNDUP($C428/3,0),"")</f>
        <v>1</v>
      </c>
      <c r="E428" s="11" t="str">
        <f aca="false">TRIM('수출입 실적(신성질별)'!B432)</f>
        <v>1.소비재</v>
      </c>
      <c r="F428" s="18" t="n">
        <f aca="false">IFERROR(VALUE(SUBSTITUTE(TRIM('수출입 실적(신성질별)'!C432),",","")),"")</f>
        <v>746137.7</v>
      </c>
      <c r="G428" s="19" t="n">
        <f aca="false">IFERROR(VALUE(SUBSTITUTE(TRIM('수출입 실적(신성질별)'!D432),",","")),"")</f>
        <v>6598332</v>
      </c>
      <c r="H428" s="18" t="n">
        <f aca="false">IFERROR(VALUE(SUBSTITUTE(TRIM('수출입 실적(신성질별)'!E432),",","")),"")</f>
        <v>1853760.6</v>
      </c>
      <c r="I428" s="19" t="n">
        <f aca="false">IFERROR(VALUE(SUBSTITUTE(TRIM('수출입 실적(신성질별)'!F432),",","")),"")</f>
        <v>6949607</v>
      </c>
    </row>
    <row r="429" customFormat="false" ht="15" hidden="false" customHeight="true" outlineLevel="0" collapsed="false">
      <c r="A429" s="11" t="str">
        <f aca="false">TRIM('수출입 실적(신성질별)'!A433)</f>
        <v>2026.02</v>
      </c>
      <c r="B429" s="17" t="n">
        <f aca="false">IFERROR(VALUE(LEFT($A429,4)),"")</f>
        <v>2026</v>
      </c>
      <c r="C429" s="17" t="n">
        <f aca="false">IFERROR(VALUE(RIGHT($A429,2)),"")</f>
        <v>2</v>
      </c>
      <c r="D429" s="17" t="n">
        <f aca="false">IFERROR(ROUNDUP($C429/3,0),"")</f>
        <v>1</v>
      </c>
      <c r="E429" s="11" t="str">
        <f aca="false">TRIM('수출입 실적(신성질별)'!B433)</f>
        <v>가.직접소비재</v>
      </c>
      <c r="F429" s="18" t="n">
        <f aca="false">IFERROR(VALUE(SUBSTITUTE(TRIM('수출입 실적(신성질별)'!C433),",","")),"")</f>
        <v>251343.8</v>
      </c>
      <c r="G429" s="19" t="n">
        <f aca="false">IFERROR(VALUE(SUBSTITUTE(TRIM('수출입 실적(신성질별)'!D433),",","")),"")</f>
        <v>884224</v>
      </c>
      <c r="H429" s="18" t="n">
        <f aca="false">IFERROR(VALUE(SUBSTITUTE(TRIM('수출입 실적(신성질별)'!E433),",","")),"")</f>
        <v>1496649.1</v>
      </c>
      <c r="I429" s="19" t="n">
        <f aca="false">IFERROR(VALUE(SUBSTITUTE(TRIM('수출입 실적(신성질별)'!F433),",","")),"")</f>
        <v>2456778</v>
      </c>
    </row>
    <row r="430" customFormat="false" ht="15" hidden="false" customHeight="true" outlineLevel="0" collapsed="false">
      <c r="A430" s="11" t="str">
        <f aca="false">TRIM('수출입 실적(신성질별)'!A434)</f>
        <v>2026.02</v>
      </c>
      <c r="B430" s="17" t="n">
        <f aca="false">IFERROR(VALUE(LEFT($A430,4)),"")</f>
        <v>2026</v>
      </c>
      <c r="C430" s="17" t="n">
        <f aca="false">IFERROR(VALUE(RIGHT($A430,2)),"")</f>
        <v>2</v>
      </c>
      <c r="D430" s="17" t="n">
        <f aca="false">IFERROR(ROUNDUP($C430/3,0),"")</f>
        <v>1</v>
      </c>
      <c r="E430" s="11" t="str">
        <f aca="false">TRIM('수출입 실적(신성질별)'!B434)</f>
        <v>나.내구소비재</v>
      </c>
      <c r="F430" s="18" t="n">
        <f aca="false">IFERROR(VALUE(SUBSTITUTE(TRIM('수출입 실적(신성질별)'!C434),",","")),"")</f>
        <v>361468.3</v>
      </c>
      <c r="G430" s="19" t="n">
        <f aca="false">IFERROR(VALUE(SUBSTITUTE(TRIM('수출입 실적(신성질별)'!D434),",","")),"")</f>
        <v>4228150</v>
      </c>
      <c r="H430" s="18" t="n">
        <f aca="false">IFERROR(VALUE(SUBSTITUTE(TRIM('수출입 실적(신성질별)'!E434),",","")),"")</f>
        <v>208985.2</v>
      </c>
      <c r="I430" s="19" t="n">
        <f aca="false">IFERROR(VALUE(SUBSTITUTE(TRIM('수출입 실적(신성질별)'!F434),",","")),"")</f>
        <v>2301533</v>
      </c>
    </row>
    <row r="431" customFormat="false" ht="15" hidden="false" customHeight="true" outlineLevel="0" collapsed="false">
      <c r="A431" s="11" t="str">
        <f aca="false">TRIM('수출입 실적(신성질별)'!A435)</f>
        <v>2026.02</v>
      </c>
      <c r="B431" s="17" t="n">
        <f aca="false">IFERROR(VALUE(LEFT($A431,4)),"")</f>
        <v>2026</v>
      </c>
      <c r="C431" s="17" t="n">
        <f aca="false">IFERROR(VALUE(RIGHT($A431,2)),"")</f>
        <v>2</v>
      </c>
      <c r="D431" s="17" t="n">
        <f aca="false">IFERROR(ROUNDUP($C431/3,0),"")</f>
        <v>1</v>
      </c>
      <c r="E431" s="11" t="str">
        <f aca="false">TRIM('수출입 실적(신성질별)'!B435)</f>
        <v>다.비내구소비재</v>
      </c>
      <c r="F431" s="18" t="n">
        <f aca="false">IFERROR(VALUE(SUBSTITUTE(TRIM('수출입 실적(신성질별)'!C435),",","")),"")</f>
        <v>130942.1</v>
      </c>
      <c r="G431" s="19" t="n">
        <f aca="false">IFERROR(VALUE(SUBSTITUTE(TRIM('수출입 실적(신성질별)'!D435),",","")),"")</f>
        <v>1482909</v>
      </c>
      <c r="H431" s="18" t="n">
        <f aca="false">IFERROR(VALUE(SUBSTITUTE(TRIM('수출입 실적(신성질별)'!E435),",","")),"")</f>
        <v>148126.3</v>
      </c>
      <c r="I431" s="19" t="n">
        <f aca="false">IFERROR(VALUE(SUBSTITUTE(TRIM('수출입 실적(신성질별)'!F435),",","")),"")</f>
        <v>2191297</v>
      </c>
    </row>
    <row r="432" customFormat="false" ht="15" hidden="false" customHeight="true" outlineLevel="0" collapsed="false">
      <c r="A432" s="11" t="str">
        <f aca="false">TRIM('수출입 실적(신성질별)'!A436)</f>
        <v>2026.02</v>
      </c>
      <c r="B432" s="17" t="n">
        <f aca="false">IFERROR(VALUE(LEFT($A432,4)),"")</f>
        <v>2026</v>
      </c>
      <c r="C432" s="17" t="n">
        <f aca="false">IFERROR(VALUE(RIGHT($A432,2)),"")</f>
        <v>2</v>
      </c>
      <c r="D432" s="17" t="n">
        <f aca="false">IFERROR(ROUNDUP($C432/3,0),"")</f>
        <v>1</v>
      </c>
      <c r="E432" s="11" t="str">
        <f aca="false">TRIM('수출입 실적(신성질별)'!B436)</f>
        <v>라.간이세율적용분</v>
      </c>
      <c r="F432" s="18" t="n">
        <f aca="false">IFERROR(VALUE(SUBSTITUTE(TRIM('수출입 실적(신성질별)'!C436),",","")),"")</f>
        <v>2383.5</v>
      </c>
      <c r="G432" s="19" t="n">
        <f aca="false">IFERROR(VALUE(SUBSTITUTE(TRIM('수출입 실적(신성질별)'!D436),",","")),"")</f>
        <v>3050</v>
      </c>
      <c r="H432" s="18" t="n">
        <f aca="false">IFERROR(VALUE(SUBSTITUTE(TRIM('수출입 실적(신성질별)'!E436),",","")),"")</f>
        <v>0</v>
      </c>
      <c r="I432" s="19" t="n">
        <f aca="false">IFERROR(VALUE(SUBSTITUTE(TRIM('수출입 실적(신성질별)'!F436),",","")),"")</f>
        <v>0</v>
      </c>
    </row>
    <row r="433" customFormat="false" ht="15" hidden="false" customHeight="true" outlineLevel="0" collapsed="false">
      <c r="A433" s="11" t="str">
        <f aca="false">TRIM('수출입 실적(신성질별)'!A437)</f>
        <v>2026.02</v>
      </c>
      <c r="B433" s="17" t="n">
        <f aca="false">IFERROR(VALUE(LEFT($A433,4)),"")</f>
        <v>2026</v>
      </c>
      <c r="C433" s="17" t="n">
        <f aca="false">IFERROR(VALUE(RIGHT($A433,2)),"")</f>
        <v>2</v>
      </c>
      <c r="D433" s="17" t="n">
        <f aca="false">IFERROR(ROUNDUP($C433/3,0),"")</f>
        <v>1</v>
      </c>
      <c r="E433" s="11" t="str">
        <f aca="false">TRIM('수출입 실적(신성질별)'!B437)</f>
        <v>2.원자재</v>
      </c>
      <c r="F433" s="18" t="n">
        <f aca="false">IFERROR(VALUE(SUBSTITUTE(TRIM('수출입 실적(신성질별)'!C437),",","")),"")</f>
        <v>13310575.9</v>
      </c>
      <c r="G433" s="19" t="n">
        <f aca="false">IFERROR(VALUE(SUBSTITUTE(TRIM('수출입 실적(신성질별)'!D437),",","")),"")</f>
        <v>16305033</v>
      </c>
      <c r="H433" s="18" t="n">
        <f aca="false">IFERROR(VALUE(SUBSTITUTE(TRIM('수출입 실적(신성질별)'!E437),",","")),"")</f>
        <v>40795342.8</v>
      </c>
      <c r="I433" s="19" t="n">
        <f aca="false">IFERROR(VALUE(SUBSTITUTE(TRIM('수출입 실적(신성질별)'!F437),",","")),"")</f>
        <v>23329194</v>
      </c>
    </row>
    <row r="434" customFormat="false" ht="15" hidden="false" customHeight="true" outlineLevel="0" collapsed="false">
      <c r="A434" s="11" t="str">
        <f aca="false">TRIM('수출입 실적(신성질별)'!A438)</f>
        <v>2026.02</v>
      </c>
      <c r="B434" s="17" t="n">
        <f aca="false">IFERROR(VALUE(LEFT($A434,4)),"")</f>
        <v>2026</v>
      </c>
      <c r="C434" s="17" t="n">
        <f aca="false">IFERROR(VALUE(RIGHT($A434,2)),"")</f>
        <v>2</v>
      </c>
      <c r="D434" s="17" t="n">
        <f aca="false">IFERROR(ROUNDUP($C434/3,0),"")</f>
        <v>1</v>
      </c>
      <c r="E434" s="11" t="str">
        <f aca="false">TRIM('수출입 실적(신성질별)'!B438)</f>
        <v>가.동식물성 연·원료</v>
      </c>
      <c r="F434" s="18" t="n">
        <f aca="false">IFERROR(VALUE(SUBSTITUTE(TRIM('수출입 실적(신성질별)'!C438),",","")),"")</f>
        <v>303465</v>
      </c>
      <c r="G434" s="19" t="n">
        <f aca="false">IFERROR(VALUE(SUBSTITUTE(TRIM('수출입 실적(신성질별)'!D438),",","")),"")</f>
        <v>362450</v>
      </c>
      <c r="H434" s="18" t="n">
        <f aca="false">IFERROR(VALUE(SUBSTITUTE(TRIM('수출입 실적(신성질별)'!E438),",","")),"")</f>
        <v>2421058.7</v>
      </c>
      <c r="I434" s="19" t="n">
        <f aca="false">IFERROR(VALUE(SUBSTITUTE(TRIM('수출입 실적(신성질별)'!F438),",","")),"")</f>
        <v>1231521</v>
      </c>
    </row>
    <row r="435" customFormat="false" ht="15" hidden="false" customHeight="true" outlineLevel="0" collapsed="false">
      <c r="A435" s="11" t="str">
        <f aca="false">TRIM('수출입 실적(신성질별)'!A439)</f>
        <v>2026.02</v>
      </c>
      <c r="B435" s="17" t="n">
        <f aca="false">IFERROR(VALUE(LEFT($A435,4)),"")</f>
        <v>2026</v>
      </c>
      <c r="C435" s="17" t="n">
        <f aca="false">IFERROR(VALUE(RIGHT($A435,2)),"")</f>
        <v>2</v>
      </c>
      <c r="D435" s="17" t="n">
        <f aca="false">IFERROR(ROUNDUP($C435/3,0),"")</f>
        <v>1</v>
      </c>
      <c r="E435" s="11" t="str">
        <f aca="false">TRIM('수출입 실적(신성질별)'!B439)</f>
        <v>나.섬유류</v>
      </c>
      <c r="F435" s="18" t="n">
        <f aca="false">IFERROR(VALUE(SUBSTITUTE(TRIM('수출입 실적(신성질별)'!C439),",","")),"")</f>
        <v>103299.1</v>
      </c>
      <c r="G435" s="19" t="n">
        <f aca="false">IFERROR(VALUE(SUBSTITUTE(TRIM('수출입 실적(신성질별)'!D439),",","")),"")</f>
        <v>468104</v>
      </c>
      <c r="H435" s="18" t="n">
        <f aca="false">IFERROR(VALUE(SUBSTITUTE(TRIM('수출입 실적(신성질별)'!E439),",","")),"")</f>
        <v>83453.2</v>
      </c>
      <c r="I435" s="19" t="n">
        <f aca="false">IFERROR(VALUE(SUBSTITUTE(TRIM('수출입 실적(신성질별)'!F439),",","")),"")</f>
        <v>261341</v>
      </c>
    </row>
    <row r="436" customFormat="false" ht="15" hidden="false" customHeight="true" outlineLevel="0" collapsed="false">
      <c r="A436" s="11" t="str">
        <f aca="false">TRIM('수출입 실적(신성질별)'!A440)</f>
        <v>2026.02</v>
      </c>
      <c r="B436" s="17" t="n">
        <f aca="false">IFERROR(VALUE(LEFT($A436,4)),"")</f>
        <v>2026</v>
      </c>
      <c r="C436" s="17" t="n">
        <f aca="false">IFERROR(VALUE(RIGHT($A436,2)),"")</f>
        <v>2</v>
      </c>
      <c r="D436" s="17" t="n">
        <f aca="false">IFERROR(ROUNDUP($C436/3,0),"")</f>
        <v>1</v>
      </c>
      <c r="E436" s="11" t="str">
        <f aca="false">TRIM('수출입 실적(신성질별)'!B440)</f>
        <v>다.광산물</v>
      </c>
      <c r="F436" s="18" t="n">
        <f aca="false">IFERROR(VALUE(SUBSTITUTE(TRIM('수출입 실적(신성질별)'!C440),",","")),"")</f>
        <v>6300324.9</v>
      </c>
      <c r="G436" s="19" t="n">
        <f aca="false">IFERROR(VALUE(SUBSTITUTE(TRIM('수출입 실적(신성질별)'!D440),",","")),"")</f>
        <v>5569123</v>
      </c>
      <c r="H436" s="18" t="n">
        <f aca="false">IFERROR(VALUE(SUBSTITUTE(TRIM('수출입 실적(신성질별)'!E440),",","")),"")</f>
        <v>35213737.4</v>
      </c>
      <c r="I436" s="19" t="n">
        <f aca="false">IFERROR(VALUE(SUBSTITUTE(TRIM('수출입 실적(신성질별)'!F440),",","")),"")</f>
        <v>14789136</v>
      </c>
    </row>
    <row r="437" customFormat="false" ht="15" hidden="false" customHeight="true" outlineLevel="0" collapsed="false">
      <c r="A437" s="11" t="str">
        <f aca="false">TRIM('수출입 실적(신성질별)'!A441)</f>
        <v>2026.02</v>
      </c>
      <c r="B437" s="17" t="n">
        <f aca="false">IFERROR(VALUE(LEFT($A437,4)),"")</f>
        <v>2026</v>
      </c>
      <c r="C437" s="17" t="n">
        <f aca="false">IFERROR(VALUE(RIGHT($A437,2)),"")</f>
        <v>2</v>
      </c>
      <c r="D437" s="17" t="n">
        <f aca="false">IFERROR(ROUNDUP($C437/3,0),"")</f>
        <v>1</v>
      </c>
      <c r="E437" s="11" t="str">
        <f aca="false">TRIM('수출입 실적(신성질별)'!B441)</f>
        <v>라.철강 및 금속제품</v>
      </c>
      <c r="F437" s="18" t="n">
        <f aca="false">IFERROR(VALUE(SUBSTITUTE(TRIM('수출입 실적(신성질별)'!C441),",","")),"")</f>
        <v>2605941.9</v>
      </c>
      <c r="G437" s="19" t="n">
        <f aca="false">IFERROR(VALUE(SUBSTITUTE(TRIM('수출입 실적(신성질별)'!D441),",","")),"")</f>
        <v>3259378</v>
      </c>
      <c r="H437" s="18" t="n">
        <f aca="false">IFERROR(VALUE(SUBSTITUTE(TRIM('수출입 실적(신성질별)'!E441),",","")),"")</f>
        <v>1420078.3</v>
      </c>
      <c r="I437" s="19" t="n">
        <f aca="false">IFERROR(VALUE(SUBSTITUTE(TRIM('수출입 실적(신성질별)'!F441),",","")),"")</f>
        <v>2689536</v>
      </c>
    </row>
    <row r="438" customFormat="false" ht="15" hidden="false" customHeight="true" outlineLevel="0" collapsed="false">
      <c r="A438" s="11" t="str">
        <f aca="false">TRIM('수출입 실적(신성질별)'!A442)</f>
        <v>2026.02</v>
      </c>
      <c r="B438" s="17" t="n">
        <f aca="false">IFERROR(VALUE(LEFT($A438,4)),"")</f>
        <v>2026</v>
      </c>
      <c r="C438" s="17" t="n">
        <f aca="false">IFERROR(VALUE(RIGHT($A438,2)),"")</f>
        <v>2</v>
      </c>
      <c r="D438" s="17" t="n">
        <f aca="false">IFERROR(ROUNDUP($C438/3,0),"")</f>
        <v>1</v>
      </c>
      <c r="E438" s="11" t="str">
        <f aca="false">TRIM('수출입 실적(신성질별)'!B442)</f>
        <v>마.화학공업제품</v>
      </c>
      <c r="F438" s="18" t="n">
        <f aca="false">IFERROR(VALUE(SUBSTITUTE(TRIM('수출입 실적(신성질별)'!C442),",","")),"")</f>
        <v>3996035.6</v>
      </c>
      <c r="G438" s="19" t="n">
        <f aca="false">IFERROR(VALUE(SUBSTITUTE(TRIM('수출입 실적(신성질별)'!D442),",","")),"")</f>
        <v>6639199</v>
      </c>
      <c r="H438" s="18" t="n">
        <f aca="false">IFERROR(VALUE(SUBSTITUTE(TRIM('수출입 실적(신성질별)'!E442),",","")),"")</f>
        <v>1654686.8</v>
      </c>
      <c r="I438" s="19" t="n">
        <f aca="false">IFERROR(VALUE(SUBSTITUTE(TRIM('수출입 실적(신성질별)'!F442),",","")),"")</f>
        <v>4351556</v>
      </c>
    </row>
    <row r="439" customFormat="false" ht="15" hidden="false" customHeight="true" outlineLevel="0" collapsed="false">
      <c r="A439" s="11" t="str">
        <f aca="false">TRIM('수출입 실적(신성질별)'!A443)</f>
        <v>2026.02</v>
      </c>
      <c r="B439" s="17" t="n">
        <f aca="false">IFERROR(VALUE(LEFT($A439,4)),"")</f>
        <v>2026</v>
      </c>
      <c r="C439" s="17" t="n">
        <f aca="false">IFERROR(VALUE(RIGHT($A439,2)),"")</f>
        <v>2</v>
      </c>
      <c r="D439" s="17" t="n">
        <f aca="false">IFERROR(ROUNDUP($C439/3,0),"")</f>
        <v>1</v>
      </c>
      <c r="E439" s="11" t="str">
        <f aca="false">TRIM('수출입 실적(신성질별)'!B443)</f>
        <v>바.기타 원자재</v>
      </c>
      <c r="F439" s="18" t="n">
        <f aca="false">IFERROR(VALUE(SUBSTITUTE(TRIM('수출입 실적(신성질별)'!C443),",","")),"")</f>
        <v>1509.3</v>
      </c>
      <c r="G439" s="19" t="n">
        <f aca="false">IFERROR(VALUE(SUBSTITUTE(TRIM('수출입 실적(신성질별)'!D443),",","")),"")</f>
        <v>6779</v>
      </c>
      <c r="H439" s="18" t="n">
        <f aca="false">IFERROR(VALUE(SUBSTITUTE(TRIM('수출입 실적(신성질별)'!E443),",","")),"")</f>
        <v>2328.4</v>
      </c>
      <c r="I439" s="19" t="n">
        <f aca="false">IFERROR(VALUE(SUBSTITUTE(TRIM('수출입 실적(신성질별)'!F443),",","")),"")</f>
        <v>6105</v>
      </c>
    </row>
    <row r="440" customFormat="false" ht="15" hidden="false" customHeight="true" outlineLevel="0" collapsed="false">
      <c r="A440" s="11" t="str">
        <f aca="false">TRIM('수출입 실적(신성질별)'!A444)</f>
        <v>2026.02</v>
      </c>
      <c r="B440" s="17" t="n">
        <f aca="false">IFERROR(VALUE(LEFT($A440,4)),"")</f>
        <v>2026</v>
      </c>
      <c r="C440" s="17" t="n">
        <f aca="false">IFERROR(VALUE(RIGHT($A440,2)),"")</f>
        <v>2</v>
      </c>
      <c r="D440" s="17" t="n">
        <f aca="false">IFERROR(ROUNDUP($C440/3,0),"")</f>
        <v>1</v>
      </c>
      <c r="E440" s="11" t="str">
        <f aca="false">TRIM('수출입 실적(신성질별)'!B444)</f>
        <v>3.자본재</v>
      </c>
      <c r="F440" s="18" t="n">
        <f aca="false">IFERROR(VALUE(SUBSTITUTE(TRIM('수출입 실적(신성질별)'!C444),",","")),"")</f>
        <v>1544804.2</v>
      </c>
      <c r="G440" s="19" t="n">
        <f aca="false">IFERROR(VALUE(SUBSTITUTE(TRIM('수출입 실적(신성질별)'!D444),",","")),"")</f>
        <v>44739182</v>
      </c>
      <c r="H440" s="18" t="n">
        <f aca="false">IFERROR(VALUE(SUBSTITUTE(TRIM('수출입 실적(신성질별)'!E444),",","")),"")</f>
        <v>654183.5</v>
      </c>
      <c r="I440" s="19" t="n">
        <f aca="false">IFERROR(VALUE(SUBSTITUTE(TRIM('수출입 실적(신성질별)'!F444),",","")),"")</f>
        <v>21655111</v>
      </c>
    </row>
    <row r="441" customFormat="false" ht="15" hidden="false" customHeight="true" outlineLevel="0" collapsed="false">
      <c r="A441" s="11" t="str">
        <f aca="false">TRIM('수출입 실적(신성질별)'!A445)</f>
        <v>2026.02</v>
      </c>
      <c r="B441" s="17" t="n">
        <f aca="false">IFERROR(VALUE(LEFT($A441,4)),"")</f>
        <v>2026</v>
      </c>
      <c r="C441" s="17" t="n">
        <f aca="false">IFERROR(VALUE(RIGHT($A441,2)),"")</f>
        <v>2</v>
      </c>
      <c r="D441" s="17" t="n">
        <f aca="false">IFERROR(ROUNDUP($C441/3,0),"")</f>
        <v>1</v>
      </c>
      <c r="E441" s="11" t="str">
        <f aca="false">TRIM('수출입 실적(신성질별)'!B445)</f>
        <v>가.수송장비</v>
      </c>
      <c r="F441" s="18" t="n">
        <f aca="false">IFERROR(VALUE(SUBSTITUTE(TRIM('수출입 실적(신성질별)'!C445),",","")),"")</f>
        <v>959628.4</v>
      </c>
      <c r="G441" s="19" t="n">
        <f aca="false">IFERROR(VALUE(SUBSTITUTE(TRIM('수출입 실적(신성질별)'!D445),",","")),"")</f>
        <v>5681103</v>
      </c>
      <c r="H441" s="18" t="n">
        <f aca="false">IFERROR(VALUE(SUBSTITUTE(TRIM('수출입 실적(신성질별)'!E445),",","")),"")</f>
        <v>150201</v>
      </c>
      <c r="I441" s="19" t="n">
        <f aca="false">IFERROR(VALUE(SUBSTITUTE(TRIM('수출입 실적(신성질별)'!F445),",","")),"")</f>
        <v>1872467</v>
      </c>
    </row>
    <row r="442" customFormat="false" ht="15" hidden="false" customHeight="true" outlineLevel="0" collapsed="false">
      <c r="A442" s="11" t="str">
        <f aca="false">TRIM('수출입 실적(신성질별)'!A446)</f>
        <v>2026.02</v>
      </c>
      <c r="B442" s="17" t="n">
        <f aca="false">IFERROR(VALUE(LEFT($A442,4)),"")</f>
        <v>2026</v>
      </c>
      <c r="C442" s="17" t="n">
        <f aca="false">IFERROR(VALUE(RIGHT($A442,2)),"")</f>
        <v>2</v>
      </c>
      <c r="D442" s="17" t="n">
        <f aca="false">IFERROR(ROUNDUP($C442/3,0),"")</f>
        <v>1</v>
      </c>
      <c r="E442" s="11" t="str">
        <f aca="false">TRIM('수출입 실적(신성질별)'!B446)</f>
        <v>나.기계류</v>
      </c>
      <c r="F442" s="18" t="n">
        <f aca="false">IFERROR(VALUE(SUBSTITUTE(TRIM('수출입 실적(신성질별)'!C446),",","")),"")</f>
        <v>547548.6</v>
      </c>
      <c r="G442" s="19" t="n">
        <f aca="false">IFERROR(VALUE(SUBSTITUTE(TRIM('수출입 실적(신성질별)'!D446),",","")),"")</f>
        <v>7476200</v>
      </c>
      <c r="H442" s="18" t="n">
        <f aca="false">IFERROR(VALUE(SUBSTITUTE(TRIM('수출입 실적(신성질별)'!E446),",","")),"")</f>
        <v>450175.2</v>
      </c>
      <c r="I442" s="19" t="n">
        <f aca="false">IFERROR(VALUE(SUBSTITUTE(TRIM('수출입 실적(신성질별)'!F446),",","")),"")</f>
        <v>9026037</v>
      </c>
    </row>
    <row r="443" customFormat="false" ht="15" hidden="false" customHeight="true" outlineLevel="0" collapsed="false">
      <c r="A443" s="11" t="str">
        <f aca="false">TRIM('수출입 실적(신성질별)'!A447)</f>
        <v>2026.02</v>
      </c>
      <c r="B443" s="17" t="n">
        <f aca="false">IFERROR(VALUE(LEFT($A443,4)),"")</f>
        <v>2026</v>
      </c>
      <c r="C443" s="17" t="n">
        <f aca="false">IFERROR(VALUE(RIGHT($A443,2)),"")</f>
        <v>2</v>
      </c>
      <c r="D443" s="17" t="n">
        <f aca="false">IFERROR(ROUNDUP($C443/3,0),"")</f>
        <v>1</v>
      </c>
      <c r="E443" s="11" t="str">
        <f aca="false">TRIM('수출입 실적(신성질별)'!B447)</f>
        <v>다.IT제품</v>
      </c>
      <c r="F443" s="18" t="n">
        <f aca="false">IFERROR(VALUE(SUBSTITUTE(TRIM('수출입 실적(신성질별)'!C447),",","")),"")</f>
        <v>10520.7</v>
      </c>
      <c r="G443" s="19" t="n">
        <f aca="false">IFERROR(VALUE(SUBSTITUTE(TRIM('수출입 실적(신성질별)'!D447),",","")),"")</f>
        <v>5117377</v>
      </c>
      <c r="H443" s="18" t="n">
        <f aca="false">IFERROR(VALUE(SUBSTITUTE(TRIM('수출입 실적(신성질별)'!E447),",","")),"")</f>
        <v>17273.9</v>
      </c>
      <c r="I443" s="19" t="n">
        <f aca="false">IFERROR(VALUE(SUBSTITUTE(TRIM('수출입 실적(신성질별)'!F447),",","")),"")</f>
        <v>3011220</v>
      </c>
    </row>
    <row r="444" customFormat="false" ht="15" hidden="false" customHeight="true" outlineLevel="0" collapsed="false">
      <c r="A444" s="11" t="str">
        <f aca="false">TRIM('수출입 실적(신성질별)'!A448)</f>
        <v>2026.02</v>
      </c>
      <c r="B444" s="17" t="n">
        <f aca="false">IFERROR(VALUE(LEFT($A444,4)),"")</f>
        <v>2026</v>
      </c>
      <c r="C444" s="17" t="n">
        <f aca="false">IFERROR(VALUE(RIGHT($A444,2)),"")</f>
        <v>2</v>
      </c>
      <c r="D444" s="17" t="n">
        <f aca="false">IFERROR(ROUNDUP($C444/3,0),"")</f>
        <v>1</v>
      </c>
      <c r="E444" s="11" t="str">
        <f aca="false">TRIM('수출입 실적(신성질별)'!B448)</f>
        <v>라.IT부품</v>
      </c>
      <c r="F444" s="18" t="n">
        <f aca="false">IFERROR(VALUE(SUBSTITUTE(TRIM('수출입 실적(신성질별)'!C448),",","")),"")</f>
        <v>27106.5</v>
      </c>
      <c r="G444" s="19" t="n">
        <f aca="false">IFERROR(VALUE(SUBSTITUTE(TRIM('수출입 실적(신성질별)'!D448),",","")),"")</f>
        <v>26464502</v>
      </c>
      <c r="H444" s="18" t="n">
        <f aca="false">IFERROR(VALUE(SUBSTITUTE(TRIM('수출입 실적(신성질별)'!E448),",","")),"")</f>
        <v>36533.4</v>
      </c>
      <c r="I444" s="19" t="n">
        <f aca="false">IFERROR(VALUE(SUBSTITUTE(TRIM('수출입 실적(신성질별)'!F448),",","")),"")</f>
        <v>7745388</v>
      </c>
    </row>
    <row r="445" customFormat="false" ht="15" hidden="false" customHeight="true" outlineLevel="0" collapsed="false">
      <c r="A445" s="11" t="str">
        <f aca="false">TRIM('수출입 실적(신성질별)'!A449)</f>
        <v>2026.03</v>
      </c>
      <c r="B445" s="17" t="n">
        <f aca="false">IFERROR(VALUE(LEFT($A445,4)),"")</f>
        <v>2026</v>
      </c>
      <c r="C445" s="17" t="n">
        <f aca="false">IFERROR(VALUE(RIGHT($A445,2)),"")</f>
        <v>3</v>
      </c>
      <c r="D445" s="17" t="n">
        <f aca="false">IFERROR(ROUNDUP($C445/3,0),"")</f>
        <v>1</v>
      </c>
      <c r="E445" s="11" t="str">
        <f aca="false">TRIM('수출입 실적(신성질별)'!B449)</f>
        <v>1.소비재</v>
      </c>
      <c r="F445" s="18" t="n">
        <f aca="false">IFERROR(VALUE(SUBSTITUTE(TRIM('수출입 실적(신성질별)'!C449),",","")),"")</f>
        <v>950937.5</v>
      </c>
      <c r="G445" s="19" t="n">
        <f aca="false">IFERROR(VALUE(SUBSTITUTE(TRIM('수출입 실적(신성질별)'!D449),",","")),"")</f>
        <v>8402972</v>
      </c>
      <c r="H445" s="18" t="n">
        <f aca="false">IFERROR(VALUE(SUBSTITUTE(TRIM('수출입 실적(신성질별)'!E449),",","")),"")</f>
        <v>2147713.3</v>
      </c>
      <c r="I445" s="19" t="n">
        <f aca="false">IFERROR(VALUE(SUBSTITUTE(TRIM('수출입 실적(신성질별)'!F449),",","")),"")</f>
        <v>7709640</v>
      </c>
    </row>
    <row r="446" customFormat="false" ht="15" hidden="false" customHeight="true" outlineLevel="0" collapsed="false">
      <c r="A446" s="11" t="str">
        <f aca="false">TRIM('수출입 실적(신성질별)'!A450)</f>
        <v>2026.03</v>
      </c>
      <c r="B446" s="17" t="n">
        <f aca="false">IFERROR(VALUE(LEFT($A446,4)),"")</f>
        <v>2026</v>
      </c>
      <c r="C446" s="17" t="n">
        <f aca="false">IFERROR(VALUE(RIGHT($A446,2)),"")</f>
        <v>3</v>
      </c>
      <c r="D446" s="17" t="n">
        <f aca="false">IFERROR(ROUNDUP($C446/3,0),"")</f>
        <v>1</v>
      </c>
      <c r="E446" s="11" t="str">
        <f aca="false">TRIM('수출입 실적(신성질별)'!B450)</f>
        <v>가.직접소비재</v>
      </c>
      <c r="F446" s="18" t="n">
        <f aca="false">IFERROR(VALUE(SUBSTITUTE(TRIM('수출입 실적(신성질별)'!C450),",","")),"")</f>
        <v>325629.2</v>
      </c>
      <c r="G446" s="19" t="n">
        <f aca="false">IFERROR(VALUE(SUBSTITUTE(TRIM('수출입 실적(신성질별)'!D450),",","")),"")</f>
        <v>1097568</v>
      </c>
      <c r="H446" s="18" t="n">
        <f aca="false">IFERROR(VALUE(SUBSTITUTE(TRIM('수출입 실적(신성질별)'!E450),",","")),"")</f>
        <v>1782725.5</v>
      </c>
      <c r="I446" s="19" t="n">
        <f aca="false">IFERROR(VALUE(SUBSTITUTE(TRIM('수출입 실적(신성질별)'!F450),",","")),"")</f>
        <v>2956067</v>
      </c>
    </row>
    <row r="447" customFormat="false" ht="15" hidden="false" customHeight="true" outlineLevel="0" collapsed="false">
      <c r="A447" s="11" t="str">
        <f aca="false">TRIM('수출입 실적(신성질별)'!A451)</f>
        <v>2026.03</v>
      </c>
      <c r="B447" s="17" t="n">
        <f aca="false">IFERROR(VALUE(LEFT($A447,4)),"")</f>
        <v>2026</v>
      </c>
      <c r="C447" s="17" t="n">
        <f aca="false">IFERROR(VALUE(RIGHT($A447,2)),"")</f>
        <v>3</v>
      </c>
      <c r="D447" s="17" t="n">
        <f aca="false">IFERROR(ROUNDUP($C447/3,0),"")</f>
        <v>1</v>
      </c>
      <c r="E447" s="11" t="str">
        <f aca="false">TRIM('수출입 실적(신성질별)'!B451)</f>
        <v>나.내구소비재</v>
      </c>
      <c r="F447" s="18" t="n">
        <f aca="false">IFERROR(VALUE(SUBSTITUTE(TRIM('수출입 실적(신성질별)'!C451),",","")),"")</f>
        <v>464167.8</v>
      </c>
      <c r="G447" s="19" t="n">
        <f aca="false">IFERROR(VALUE(SUBSTITUTE(TRIM('수출입 실적(신성질별)'!D451),",","")),"")</f>
        <v>5399350</v>
      </c>
      <c r="H447" s="18" t="n">
        <f aca="false">IFERROR(VALUE(SUBSTITUTE(TRIM('수출입 실적(신성질별)'!E451),",","")),"")</f>
        <v>207116.8</v>
      </c>
      <c r="I447" s="19" t="n">
        <f aca="false">IFERROR(VALUE(SUBSTITUTE(TRIM('수출입 실적(신성질별)'!F451),",","")),"")</f>
        <v>2441571</v>
      </c>
    </row>
    <row r="448" customFormat="false" ht="15" hidden="false" customHeight="true" outlineLevel="0" collapsed="false">
      <c r="A448" s="11" t="str">
        <f aca="false">TRIM('수출입 실적(신성질별)'!A452)</f>
        <v>2026.03</v>
      </c>
      <c r="B448" s="17" t="n">
        <f aca="false">IFERROR(VALUE(LEFT($A448,4)),"")</f>
        <v>2026</v>
      </c>
      <c r="C448" s="17" t="n">
        <f aca="false">IFERROR(VALUE(RIGHT($A448,2)),"")</f>
        <v>3</v>
      </c>
      <c r="D448" s="17" t="n">
        <f aca="false">IFERROR(ROUNDUP($C448/3,0),"")</f>
        <v>1</v>
      </c>
      <c r="E448" s="11" t="str">
        <f aca="false">TRIM('수출입 실적(신성질별)'!B452)</f>
        <v>다.비내구소비재</v>
      </c>
      <c r="F448" s="18" t="n">
        <f aca="false">IFERROR(VALUE(SUBSTITUTE(TRIM('수출입 실적(신성질별)'!C452),",","")),"")</f>
        <v>158982.6</v>
      </c>
      <c r="G448" s="19" t="n">
        <f aca="false">IFERROR(VALUE(SUBSTITUTE(TRIM('수출입 실적(신성질별)'!D452),",","")),"")</f>
        <v>1902412</v>
      </c>
      <c r="H448" s="18" t="n">
        <f aca="false">IFERROR(VALUE(SUBSTITUTE(TRIM('수출입 실적(신성질별)'!E452),",","")),"")</f>
        <v>157870.9</v>
      </c>
      <c r="I448" s="19" t="n">
        <f aca="false">IFERROR(VALUE(SUBSTITUTE(TRIM('수출입 실적(신성질별)'!F452),",","")),"")</f>
        <v>2312001</v>
      </c>
    </row>
    <row r="449" customFormat="false" ht="15" hidden="false" customHeight="true" outlineLevel="0" collapsed="false">
      <c r="A449" s="11" t="str">
        <f aca="false">TRIM('수출입 실적(신성질별)'!A453)</f>
        <v>2026.03</v>
      </c>
      <c r="B449" s="17" t="n">
        <f aca="false">IFERROR(VALUE(LEFT($A449,4)),"")</f>
        <v>2026</v>
      </c>
      <c r="C449" s="17" t="n">
        <f aca="false">IFERROR(VALUE(RIGHT($A449,2)),"")</f>
        <v>3</v>
      </c>
      <c r="D449" s="17" t="n">
        <f aca="false">IFERROR(ROUNDUP($C449/3,0),"")</f>
        <v>1</v>
      </c>
      <c r="E449" s="11" t="str">
        <f aca="false">TRIM('수출입 실적(신성질별)'!B453)</f>
        <v>라.간이세율적용분</v>
      </c>
      <c r="F449" s="18" t="n">
        <f aca="false">IFERROR(VALUE(SUBSTITUTE(TRIM('수출입 실적(신성질별)'!C453),",","")),"")</f>
        <v>2157.8</v>
      </c>
      <c r="G449" s="19" t="n">
        <f aca="false">IFERROR(VALUE(SUBSTITUTE(TRIM('수출입 실적(신성질별)'!D453),",","")),"")</f>
        <v>3641</v>
      </c>
      <c r="H449" s="18" t="n">
        <f aca="false">IFERROR(VALUE(SUBSTITUTE(TRIM('수출입 실적(신성질별)'!E453),",","")),"")</f>
        <v>0.1</v>
      </c>
      <c r="I449" s="19" t="n">
        <f aca="false">IFERROR(VALUE(SUBSTITUTE(TRIM('수출입 실적(신성질별)'!F453),",","")),"")</f>
        <v>0</v>
      </c>
    </row>
    <row r="450" customFormat="false" ht="15" hidden="false" customHeight="true" outlineLevel="0" collapsed="false">
      <c r="A450" s="11" t="str">
        <f aca="false">TRIM('수출입 실적(신성질별)'!A454)</f>
        <v>2026.03</v>
      </c>
      <c r="B450" s="17" t="n">
        <f aca="false">IFERROR(VALUE(LEFT($A450,4)),"")</f>
        <v>2026</v>
      </c>
      <c r="C450" s="17" t="n">
        <f aca="false">IFERROR(VALUE(RIGHT($A450,2)),"")</f>
        <v>3</v>
      </c>
      <c r="D450" s="17" t="n">
        <f aca="false">IFERROR(ROUNDUP($C450/3,0),"")</f>
        <v>1</v>
      </c>
      <c r="E450" s="11" t="str">
        <f aca="false">TRIM('수출입 실적(신성질별)'!B454)</f>
        <v>2.원자재</v>
      </c>
      <c r="F450" s="18" t="n">
        <f aca="false">IFERROR(VALUE(SUBSTITUTE(TRIM('수출입 실적(신성질별)'!C454),",","")),"")</f>
        <v>13307413.1</v>
      </c>
      <c r="G450" s="19" t="n">
        <f aca="false">IFERROR(VALUE(SUBSTITUTE(TRIM('수출입 실적(신성질별)'!D454),",","")),"")</f>
        <v>20857696</v>
      </c>
      <c r="H450" s="18" t="n">
        <f aca="false">IFERROR(VALUE(SUBSTITUTE(TRIM('수출입 실적(신성질별)'!E454),",","")),"")</f>
        <v>40954690.3</v>
      </c>
      <c r="I450" s="19" t="n">
        <f aca="false">IFERROR(VALUE(SUBSTITUTE(TRIM('수출입 실적(신성질별)'!F454),",","")),"")</f>
        <v>26403177</v>
      </c>
    </row>
    <row r="451" customFormat="false" ht="15" hidden="false" customHeight="true" outlineLevel="0" collapsed="false">
      <c r="A451" s="11" t="str">
        <f aca="false">TRIM('수출입 실적(신성질별)'!A455)</f>
        <v>2026.03</v>
      </c>
      <c r="B451" s="17" t="n">
        <f aca="false">IFERROR(VALUE(LEFT($A451,4)),"")</f>
        <v>2026</v>
      </c>
      <c r="C451" s="17" t="n">
        <f aca="false">IFERROR(VALUE(RIGHT($A451,2)),"")</f>
        <v>3</v>
      </c>
      <c r="D451" s="17" t="n">
        <f aca="false">IFERROR(ROUNDUP($C451/3,0),"")</f>
        <v>1</v>
      </c>
      <c r="E451" s="11" t="str">
        <f aca="false">TRIM('수출입 실적(신성질별)'!B455)</f>
        <v>가.동식물성 연·원료</v>
      </c>
      <c r="F451" s="18" t="n">
        <f aca="false">IFERROR(VALUE(SUBSTITUTE(TRIM('수출입 실적(신성질별)'!C455),",","")),"")</f>
        <v>398557.6</v>
      </c>
      <c r="G451" s="19" t="n">
        <f aca="false">IFERROR(VALUE(SUBSTITUTE(TRIM('수출입 실적(신성질별)'!D455),",","")),"")</f>
        <v>474814</v>
      </c>
      <c r="H451" s="18" t="n">
        <f aca="false">IFERROR(VALUE(SUBSTITUTE(TRIM('수출입 실적(신성질별)'!E455),",","")),"")</f>
        <v>2803777.8</v>
      </c>
      <c r="I451" s="19" t="n">
        <f aca="false">IFERROR(VALUE(SUBSTITUTE(TRIM('수출입 실적(신성질별)'!F455),",","")),"")</f>
        <v>1453004</v>
      </c>
    </row>
    <row r="452" customFormat="false" ht="15" hidden="false" customHeight="true" outlineLevel="0" collapsed="false">
      <c r="A452" s="11" t="str">
        <f aca="false">TRIM('수출입 실적(신성질별)'!A456)</f>
        <v>2026.03</v>
      </c>
      <c r="B452" s="17" t="n">
        <f aca="false">IFERROR(VALUE(LEFT($A452,4)),"")</f>
        <v>2026</v>
      </c>
      <c r="C452" s="17" t="n">
        <f aca="false">IFERROR(VALUE(RIGHT($A452,2)),"")</f>
        <v>3</v>
      </c>
      <c r="D452" s="17" t="n">
        <f aca="false">IFERROR(ROUNDUP($C452/3,0),"")</f>
        <v>1</v>
      </c>
      <c r="E452" s="11" t="str">
        <f aca="false">TRIM('수출입 실적(신성질별)'!B456)</f>
        <v>나.섬유류</v>
      </c>
      <c r="F452" s="18" t="n">
        <f aca="false">IFERROR(VALUE(SUBSTITUTE(TRIM('수출입 실적(신성질별)'!C456),",","")),"")</f>
        <v>126006.8</v>
      </c>
      <c r="G452" s="19" t="n">
        <f aca="false">IFERROR(VALUE(SUBSTITUTE(TRIM('수출입 실적(신성질별)'!D456),",","")),"")</f>
        <v>574999</v>
      </c>
      <c r="H452" s="18" t="n">
        <f aca="false">IFERROR(VALUE(SUBSTITUTE(TRIM('수출입 실적(신성질별)'!E456),",","")),"")</f>
        <v>99563.1</v>
      </c>
      <c r="I452" s="19" t="n">
        <f aca="false">IFERROR(VALUE(SUBSTITUTE(TRIM('수출입 실적(신성질별)'!F456),",","")),"")</f>
        <v>321159</v>
      </c>
    </row>
    <row r="453" customFormat="false" ht="15" hidden="false" customHeight="true" outlineLevel="0" collapsed="false">
      <c r="A453" s="11" t="str">
        <f aca="false">TRIM('수출입 실적(신성질별)'!A457)</f>
        <v>2026.03</v>
      </c>
      <c r="B453" s="17" t="n">
        <f aca="false">IFERROR(VALUE(LEFT($A453,4)),"")</f>
        <v>2026</v>
      </c>
      <c r="C453" s="17" t="n">
        <f aca="false">IFERROR(VALUE(RIGHT($A453,2)),"")</f>
        <v>3</v>
      </c>
      <c r="D453" s="17" t="n">
        <f aca="false">IFERROR(ROUNDUP($C453/3,0),"")</f>
        <v>1</v>
      </c>
      <c r="E453" s="11" t="str">
        <f aca="false">TRIM('수출입 실적(신성질별)'!B457)</f>
        <v>다.광산물</v>
      </c>
      <c r="F453" s="18" t="n">
        <f aca="false">IFERROR(VALUE(SUBSTITUTE(TRIM('수출입 실적(신성질별)'!C457),",","")),"")</f>
        <v>5823553.2</v>
      </c>
      <c r="G453" s="19" t="n">
        <f aca="false">IFERROR(VALUE(SUBSTITUTE(TRIM('수출입 실적(신성질별)'!D457),",","")),"")</f>
        <v>8406373</v>
      </c>
      <c r="H453" s="18" t="n">
        <f aca="false">IFERROR(VALUE(SUBSTITUTE(TRIM('수출입 실적(신성질별)'!E457),",","")),"")</f>
        <v>34360112.5</v>
      </c>
      <c r="I453" s="19" t="n">
        <f aca="false">IFERROR(VALUE(SUBSTITUTE(TRIM('수출입 실적(신성질별)'!F457),",","")),"")</f>
        <v>15389709</v>
      </c>
    </row>
    <row r="454" customFormat="false" ht="15" hidden="false" customHeight="true" outlineLevel="0" collapsed="false">
      <c r="A454" s="11" t="str">
        <f aca="false">TRIM('수출입 실적(신성질별)'!A458)</f>
        <v>2026.03</v>
      </c>
      <c r="B454" s="17" t="n">
        <f aca="false">IFERROR(VALUE(LEFT($A454,4)),"")</f>
        <v>2026</v>
      </c>
      <c r="C454" s="17" t="n">
        <f aca="false">IFERROR(VALUE(RIGHT($A454,2)),"")</f>
        <v>3</v>
      </c>
      <c r="D454" s="17" t="n">
        <f aca="false">IFERROR(ROUNDUP($C454/3,0),"")</f>
        <v>1</v>
      </c>
      <c r="E454" s="11" t="str">
        <f aca="false">TRIM('수출입 실적(신성질별)'!B458)</f>
        <v>라.철강 및 금속제품</v>
      </c>
      <c r="F454" s="18" t="n">
        <f aca="false">IFERROR(VALUE(SUBSTITUTE(TRIM('수출입 실적(신성질별)'!C458),",","")),"")</f>
        <v>2669111.8</v>
      </c>
      <c r="G454" s="19" t="n">
        <f aca="false">IFERROR(VALUE(SUBSTITUTE(TRIM('수출입 실적(신성질별)'!D458),",","")),"")</f>
        <v>3576759</v>
      </c>
      <c r="H454" s="18" t="n">
        <f aca="false">IFERROR(VALUE(SUBSTITUTE(TRIM('수출입 실적(신성질별)'!E458),",","")),"")</f>
        <v>1747648.6</v>
      </c>
      <c r="I454" s="19" t="n">
        <f aca="false">IFERROR(VALUE(SUBSTITUTE(TRIM('수출입 실적(신성질별)'!F458),",","")),"")</f>
        <v>3428091</v>
      </c>
    </row>
    <row r="455" customFormat="false" ht="15" hidden="false" customHeight="true" outlineLevel="0" collapsed="false">
      <c r="A455" s="11" t="str">
        <f aca="false">TRIM('수출입 실적(신성질별)'!A459)</f>
        <v>2026.03</v>
      </c>
      <c r="B455" s="17" t="n">
        <f aca="false">IFERROR(VALUE(LEFT($A455,4)),"")</f>
        <v>2026</v>
      </c>
      <c r="C455" s="17" t="n">
        <f aca="false">IFERROR(VALUE(RIGHT($A455,2)),"")</f>
        <v>3</v>
      </c>
      <c r="D455" s="17" t="n">
        <f aca="false">IFERROR(ROUNDUP($C455/3,0),"")</f>
        <v>1</v>
      </c>
      <c r="E455" s="11" t="str">
        <f aca="false">TRIM('수출입 실적(신성질별)'!B459)</f>
        <v>마.화학공업제품</v>
      </c>
      <c r="F455" s="18" t="n">
        <f aca="false">IFERROR(VALUE(SUBSTITUTE(TRIM('수출입 실적(신성질별)'!C459),",","")),"")</f>
        <v>4287660.1</v>
      </c>
      <c r="G455" s="19" t="n">
        <f aca="false">IFERROR(VALUE(SUBSTITUTE(TRIM('수출입 실적(신성질별)'!D459),",","")),"")</f>
        <v>7799370</v>
      </c>
      <c r="H455" s="18" t="n">
        <f aca="false">IFERROR(VALUE(SUBSTITUTE(TRIM('수출입 실적(신성질별)'!E459),",","")),"")</f>
        <v>1941759.9</v>
      </c>
      <c r="I455" s="19" t="n">
        <f aca="false">IFERROR(VALUE(SUBSTITUTE(TRIM('수출입 실적(신성질별)'!F459),",","")),"")</f>
        <v>5806180</v>
      </c>
    </row>
    <row r="456" customFormat="false" ht="15" hidden="false" customHeight="true" outlineLevel="0" collapsed="false">
      <c r="A456" s="11" t="str">
        <f aca="false">TRIM('수출입 실적(신성질별)'!A460)</f>
        <v>2026.03</v>
      </c>
      <c r="B456" s="17" t="n">
        <f aca="false">IFERROR(VALUE(LEFT($A456,4)),"")</f>
        <v>2026</v>
      </c>
      <c r="C456" s="17" t="n">
        <f aca="false">IFERROR(VALUE(RIGHT($A456,2)),"")</f>
        <v>3</v>
      </c>
      <c r="D456" s="17" t="n">
        <f aca="false">IFERROR(ROUNDUP($C456/3,0),"")</f>
        <v>1</v>
      </c>
      <c r="E456" s="11" t="str">
        <f aca="false">TRIM('수출입 실적(신성질별)'!B460)</f>
        <v>바.기타 원자재</v>
      </c>
      <c r="F456" s="18" t="n">
        <f aca="false">IFERROR(VALUE(SUBSTITUTE(TRIM('수출입 실적(신성질별)'!C460),",","")),"")</f>
        <v>2523.5</v>
      </c>
      <c r="G456" s="19" t="n">
        <f aca="false">IFERROR(VALUE(SUBSTITUTE(TRIM('수출입 실적(신성질별)'!D460),",","")),"")</f>
        <v>25382</v>
      </c>
      <c r="H456" s="18" t="n">
        <f aca="false">IFERROR(VALUE(SUBSTITUTE(TRIM('수출입 실적(신성질별)'!E460),",","")),"")</f>
        <v>1828.5</v>
      </c>
      <c r="I456" s="19" t="n">
        <f aca="false">IFERROR(VALUE(SUBSTITUTE(TRIM('수출입 실적(신성질별)'!F460),",","")),"")</f>
        <v>5033</v>
      </c>
    </row>
    <row r="457" customFormat="false" ht="15" hidden="false" customHeight="true" outlineLevel="0" collapsed="false">
      <c r="A457" s="11" t="str">
        <f aca="false">TRIM('수출입 실적(신성질별)'!A461)</f>
        <v>2026.03</v>
      </c>
      <c r="B457" s="17" t="n">
        <f aca="false">IFERROR(VALUE(LEFT($A457,4)),"")</f>
        <v>2026</v>
      </c>
      <c r="C457" s="17" t="n">
        <f aca="false">IFERROR(VALUE(RIGHT($A457,2)),"")</f>
        <v>3</v>
      </c>
      <c r="D457" s="17" t="n">
        <f aca="false">IFERROR(ROUNDUP($C457/3,0),"")</f>
        <v>1</v>
      </c>
      <c r="E457" s="11" t="str">
        <f aca="false">TRIM('수출입 실적(신성질별)'!B461)</f>
        <v>3.자본재</v>
      </c>
      <c r="F457" s="18" t="n">
        <f aca="false">IFERROR(VALUE(SUBSTITUTE(TRIM('수출입 실적(신성질별)'!C461),",","")),"")</f>
        <v>1921901.3</v>
      </c>
      <c r="G457" s="19" t="n">
        <f aca="false">IFERROR(VALUE(SUBSTITUTE(TRIM('수출입 실적(신성질별)'!D461),",","")),"")</f>
        <v>58072460</v>
      </c>
      <c r="H457" s="18" t="n">
        <f aca="false">IFERROR(VALUE(SUBSTITUTE(TRIM('수출입 실적(신성질별)'!E461),",","")),"")</f>
        <v>863009.5</v>
      </c>
      <c r="I457" s="19" t="n">
        <f aca="false">IFERROR(VALUE(SUBSTITUTE(TRIM('수출입 실적(신성질별)'!F461),",","")),"")</f>
        <v>26640629</v>
      </c>
    </row>
    <row r="458" customFormat="false" ht="15" hidden="false" customHeight="true" outlineLevel="0" collapsed="false">
      <c r="A458" s="11" t="str">
        <f aca="false">TRIM('수출입 실적(신성질별)'!A462)</f>
        <v>2026.03</v>
      </c>
      <c r="B458" s="17" t="n">
        <f aca="false">IFERROR(VALUE(LEFT($A458,4)),"")</f>
        <v>2026</v>
      </c>
      <c r="C458" s="17" t="n">
        <f aca="false">IFERROR(VALUE(RIGHT($A458,2)),"")</f>
        <v>3</v>
      </c>
      <c r="D458" s="17" t="n">
        <f aca="false">IFERROR(ROUNDUP($C458/3,0),"")</f>
        <v>1</v>
      </c>
      <c r="E458" s="11" t="str">
        <f aca="false">TRIM('수출입 실적(신성질별)'!B462)</f>
        <v>가.수송장비</v>
      </c>
      <c r="F458" s="18" t="n">
        <f aca="false">IFERROR(VALUE(SUBSTITUTE(TRIM('수출입 실적(신성질별)'!C462),",","")),"")</f>
        <v>1223928</v>
      </c>
      <c r="G458" s="19" t="n">
        <f aca="false">IFERROR(VALUE(SUBSTITUTE(TRIM('수출입 실적(신성질별)'!D462),",","")),"")</f>
        <v>7938060</v>
      </c>
      <c r="H458" s="18" t="n">
        <f aca="false">IFERROR(VALUE(SUBSTITUTE(TRIM('수출입 실적(신성질별)'!E462),",","")),"")</f>
        <v>261564.6</v>
      </c>
      <c r="I458" s="19" t="n">
        <f aca="false">IFERROR(VALUE(SUBSTITUTE(TRIM('수출입 실적(신성질별)'!F462),",","")),"")</f>
        <v>2493173</v>
      </c>
    </row>
    <row r="459" customFormat="false" ht="15" hidden="false" customHeight="true" outlineLevel="0" collapsed="false">
      <c r="A459" s="11" t="str">
        <f aca="false">TRIM('수출입 실적(신성질별)'!A463)</f>
        <v>2026.03</v>
      </c>
      <c r="B459" s="17" t="n">
        <f aca="false">IFERROR(VALUE(LEFT($A459,4)),"")</f>
        <v>2026</v>
      </c>
      <c r="C459" s="17" t="n">
        <f aca="false">IFERROR(VALUE(RIGHT($A459,2)),"")</f>
        <v>3</v>
      </c>
      <c r="D459" s="17" t="n">
        <f aca="false">IFERROR(ROUNDUP($C459/3,0),"")</f>
        <v>1</v>
      </c>
      <c r="E459" s="11" t="str">
        <f aca="false">TRIM('수출입 실적(신성질별)'!B463)</f>
        <v>나.기계류</v>
      </c>
      <c r="F459" s="18" t="n">
        <f aca="false">IFERROR(VALUE(SUBSTITUTE(TRIM('수출입 실적(신성질별)'!C463),",","")),"")</f>
        <v>656574.2</v>
      </c>
      <c r="G459" s="19" t="n">
        <f aca="false">IFERROR(VALUE(SUBSTITUTE(TRIM('수출입 실적(신성질별)'!D463),",","")),"")</f>
        <v>9292951</v>
      </c>
      <c r="H459" s="18" t="n">
        <f aca="false">IFERROR(VALUE(SUBSTITUTE(TRIM('수출입 실적(신성질별)'!E463),",","")),"")</f>
        <v>524598.6</v>
      </c>
      <c r="I459" s="19" t="n">
        <f aca="false">IFERROR(VALUE(SUBSTITUTE(TRIM('수출입 실적(신성질별)'!F463),",","")),"")</f>
        <v>10816703</v>
      </c>
    </row>
    <row r="460" customFormat="false" ht="15" hidden="false" customHeight="true" outlineLevel="0" collapsed="false">
      <c r="A460" s="11" t="str">
        <f aca="false">TRIM('수출입 실적(신성질별)'!A464)</f>
        <v>2026.03</v>
      </c>
      <c r="B460" s="17" t="n">
        <f aca="false">IFERROR(VALUE(LEFT($A460,4)),"")</f>
        <v>2026</v>
      </c>
      <c r="C460" s="17" t="n">
        <f aca="false">IFERROR(VALUE(RIGHT($A460,2)),"")</f>
        <v>3</v>
      </c>
      <c r="D460" s="17" t="n">
        <f aca="false">IFERROR(ROUNDUP($C460/3,0),"")</f>
        <v>1</v>
      </c>
      <c r="E460" s="11" t="str">
        <f aca="false">TRIM('수출입 실적(신성질별)'!B464)</f>
        <v>다.IT제품</v>
      </c>
      <c r="F460" s="18" t="n">
        <f aca="false">IFERROR(VALUE(SUBSTITUTE(TRIM('수출입 실적(신성질별)'!C464),",","")),"")</f>
        <v>11589</v>
      </c>
      <c r="G460" s="19" t="n">
        <f aca="false">IFERROR(VALUE(SUBSTITUTE(TRIM('수출입 실적(신성질별)'!D464),",","")),"")</f>
        <v>6460687</v>
      </c>
      <c r="H460" s="18" t="n">
        <f aca="false">IFERROR(VALUE(SUBSTITUTE(TRIM('수출입 실적(신성질별)'!E464),",","")),"")</f>
        <v>17851.2</v>
      </c>
      <c r="I460" s="19" t="n">
        <f aca="false">IFERROR(VALUE(SUBSTITUTE(TRIM('수출입 실적(신성질별)'!F464),",","")),"")</f>
        <v>3470454</v>
      </c>
    </row>
    <row r="461" customFormat="false" ht="15" hidden="false" customHeight="true" outlineLevel="0" collapsed="false">
      <c r="A461" s="11" t="str">
        <f aca="false">TRIM('수출입 실적(신성질별)'!A465)</f>
        <v>2026.03</v>
      </c>
      <c r="B461" s="17" t="n">
        <f aca="false">IFERROR(VALUE(LEFT($A461,4)),"")</f>
        <v>2026</v>
      </c>
      <c r="C461" s="17" t="n">
        <f aca="false">IFERROR(VALUE(RIGHT($A461,2)),"")</f>
        <v>3</v>
      </c>
      <c r="D461" s="17" t="n">
        <f aca="false">IFERROR(ROUNDUP($C461/3,0),"")</f>
        <v>1</v>
      </c>
      <c r="E461" s="11" t="str">
        <f aca="false">TRIM('수출입 실적(신성질별)'!B465)</f>
        <v>라.IT부품</v>
      </c>
      <c r="F461" s="18" t="n">
        <f aca="false">IFERROR(VALUE(SUBSTITUTE(TRIM('수출입 실적(신성질별)'!C465),",","")),"")</f>
        <v>29810.2</v>
      </c>
      <c r="G461" s="19" t="n">
        <f aca="false">IFERROR(VALUE(SUBSTITUTE(TRIM('수출입 실적(신성질별)'!D465),",","")),"")</f>
        <v>34380761</v>
      </c>
      <c r="H461" s="18" t="n">
        <f aca="false">IFERROR(VALUE(SUBSTITUTE(TRIM('수출입 실적(신성질별)'!E465),",","")),"")</f>
        <v>58995.1</v>
      </c>
      <c r="I461" s="19" t="n">
        <f aca="false">IFERROR(VALUE(SUBSTITUTE(TRIM('수출입 실적(신성질별)'!F465),",","")),"")</f>
        <v>9860299</v>
      </c>
    </row>
    <row r="462" customFormat="false" ht="15" hidden="false" customHeight="true" outlineLevel="0" collapsed="false">
      <c r="A462" s="11" t="str">
        <f aca="false">TRIM('수출입 실적(신성질별)'!A466)</f>
        <v>2026.04</v>
      </c>
      <c r="B462" s="17" t="n">
        <f aca="false">IFERROR(VALUE(LEFT($A462,4)),"")</f>
        <v>2026</v>
      </c>
      <c r="C462" s="17" t="n">
        <f aca="false">IFERROR(VALUE(RIGHT($A462,2)),"")</f>
        <v>4</v>
      </c>
      <c r="D462" s="17" t="n">
        <f aca="false">IFERROR(ROUNDUP($C462/3,0),"")</f>
        <v>2</v>
      </c>
      <c r="E462" s="11" t="str">
        <f aca="false">TRIM('수출입 실적(신성질별)'!B466)</f>
        <v>1.소비재</v>
      </c>
      <c r="F462" s="18" t="n">
        <f aca="false">IFERROR(VALUE(SUBSTITUTE(TRIM('수출입 실적(신성질별)'!C466),",","")),"")</f>
        <v>995431.2</v>
      </c>
      <c r="G462" s="19" t="n">
        <f aca="false">IFERROR(VALUE(SUBSTITUTE(TRIM('수출입 실적(신성질별)'!D466),",","")),"")</f>
        <v>8692026</v>
      </c>
      <c r="H462" s="18" t="n">
        <f aca="false">IFERROR(VALUE(SUBSTITUTE(TRIM('수출입 실적(신성질별)'!E466),",","")),"")</f>
        <v>2250040.8</v>
      </c>
      <c r="I462" s="19" t="n">
        <f aca="false">IFERROR(VALUE(SUBSTITUTE(TRIM('수출입 실적(신성질별)'!F466),",","")),"")</f>
        <v>8082254</v>
      </c>
    </row>
    <row r="463" customFormat="false" ht="15" hidden="false" customHeight="true" outlineLevel="0" collapsed="false">
      <c r="A463" s="11" t="str">
        <f aca="false">TRIM('수출입 실적(신성질별)'!A467)</f>
        <v>2026.04</v>
      </c>
      <c r="B463" s="17" t="n">
        <f aca="false">IFERROR(VALUE(LEFT($A463,4)),"")</f>
        <v>2026</v>
      </c>
      <c r="C463" s="17" t="n">
        <f aca="false">IFERROR(VALUE(RIGHT($A463,2)),"")</f>
        <v>4</v>
      </c>
      <c r="D463" s="17" t="n">
        <f aca="false">IFERROR(ROUNDUP($C463/3,0),"")</f>
        <v>2</v>
      </c>
      <c r="E463" s="11" t="str">
        <f aca="false">TRIM('수출입 실적(신성질별)'!B467)</f>
        <v>가.직접소비재</v>
      </c>
      <c r="F463" s="18" t="n">
        <f aca="false">IFERROR(VALUE(SUBSTITUTE(TRIM('수출입 실적(신성질별)'!C467),",","")),"")</f>
        <v>341321.7</v>
      </c>
      <c r="G463" s="19" t="n">
        <f aca="false">IFERROR(VALUE(SUBSTITUTE(TRIM('수출입 실적(신성질별)'!D467),",","")),"")</f>
        <v>1142829</v>
      </c>
      <c r="H463" s="18" t="n">
        <f aca="false">IFERROR(VALUE(SUBSTITUTE(TRIM('수출입 실적(신성질별)'!E467),",","")),"")</f>
        <v>1802939.6</v>
      </c>
      <c r="I463" s="19" t="n">
        <f aca="false">IFERROR(VALUE(SUBSTITUTE(TRIM('수출입 실적(신성질별)'!F467),",","")),"")</f>
        <v>2939988</v>
      </c>
    </row>
    <row r="464" customFormat="false" ht="15" hidden="false" customHeight="true" outlineLevel="0" collapsed="false">
      <c r="A464" s="11" t="str">
        <f aca="false">TRIM('수출입 실적(신성질별)'!A468)</f>
        <v>2026.04</v>
      </c>
      <c r="B464" s="17" t="n">
        <f aca="false">IFERROR(VALUE(LEFT($A464,4)),"")</f>
        <v>2026</v>
      </c>
      <c r="C464" s="17" t="n">
        <f aca="false">IFERROR(VALUE(RIGHT($A464,2)),"")</f>
        <v>4</v>
      </c>
      <c r="D464" s="17" t="n">
        <f aca="false">IFERROR(ROUNDUP($C464/3,0),"")</f>
        <v>2</v>
      </c>
      <c r="E464" s="11" t="str">
        <f aca="false">TRIM('수출입 실적(신성질별)'!B468)</f>
        <v>나.내구소비재</v>
      </c>
      <c r="F464" s="18" t="n">
        <f aca="false">IFERROR(VALUE(SUBSTITUTE(TRIM('수출입 실적(신성질별)'!C468),",","")),"")</f>
        <v>473293.5</v>
      </c>
      <c r="G464" s="19" t="n">
        <f aca="false">IFERROR(VALUE(SUBSTITUTE(TRIM('수출입 실적(신성질별)'!D468),",","")),"")</f>
        <v>5383793</v>
      </c>
      <c r="H464" s="18" t="n">
        <f aca="false">IFERROR(VALUE(SUBSTITUTE(TRIM('수출입 실적(신성질별)'!E468),",","")),"")</f>
        <v>265618.4</v>
      </c>
      <c r="I464" s="19" t="n">
        <f aca="false">IFERROR(VALUE(SUBSTITUTE(TRIM('수출입 실적(신성질별)'!F468),",","")),"")</f>
        <v>2746875</v>
      </c>
    </row>
    <row r="465" customFormat="false" ht="15" hidden="false" customHeight="true" outlineLevel="0" collapsed="false">
      <c r="A465" s="11" t="str">
        <f aca="false">TRIM('수출입 실적(신성질별)'!A469)</f>
        <v>2026.04</v>
      </c>
      <c r="B465" s="17" t="n">
        <f aca="false">IFERROR(VALUE(LEFT($A465,4)),"")</f>
        <v>2026</v>
      </c>
      <c r="C465" s="17" t="n">
        <f aca="false">IFERROR(VALUE(RIGHT($A465,2)),"")</f>
        <v>4</v>
      </c>
      <c r="D465" s="17" t="n">
        <f aca="false">IFERROR(ROUNDUP($C465/3,0),"")</f>
        <v>2</v>
      </c>
      <c r="E465" s="11" t="str">
        <f aca="false">TRIM('수출입 실적(신성질별)'!B469)</f>
        <v>다.비내구소비재</v>
      </c>
      <c r="F465" s="18" t="n">
        <f aca="false">IFERROR(VALUE(SUBSTITUTE(TRIM('수출입 실적(신성질별)'!C469),",","")),"")</f>
        <v>178640.2</v>
      </c>
      <c r="G465" s="19" t="n">
        <f aca="false">IFERROR(VALUE(SUBSTITUTE(TRIM('수출입 실적(신성질별)'!D469),",","")),"")</f>
        <v>2162912</v>
      </c>
      <c r="H465" s="18" t="n">
        <f aca="false">IFERROR(VALUE(SUBSTITUTE(TRIM('수출입 실적(신성질별)'!E469),",","")),"")</f>
        <v>181482.7</v>
      </c>
      <c r="I465" s="19" t="n">
        <f aca="false">IFERROR(VALUE(SUBSTITUTE(TRIM('수출입 실적(신성질별)'!F469),",","")),"")</f>
        <v>2395392</v>
      </c>
    </row>
    <row r="466" customFormat="false" ht="15" hidden="false" customHeight="true" outlineLevel="0" collapsed="false">
      <c r="A466" s="11" t="str">
        <f aca="false">TRIM('수출입 실적(신성질별)'!A470)</f>
        <v>2026.04</v>
      </c>
      <c r="B466" s="17" t="n">
        <f aca="false">IFERROR(VALUE(LEFT($A466,4)),"")</f>
        <v>2026</v>
      </c>
      <c r="C466" s="17" t="n">
        <f aca="false">IFERROR(VALUE(RIGHT($A466,2)),"")</f>
        <v>4</v>
      </c>
      <c r="D466" s="17" t="n">
        <f aca="false">IFERROR(ROUNDUP($C466/3,0),"")</f>
        <v>2</v>
      </c>
      <c r="E466" s="11" t="str">
        <f aca="false">TRIM('수출입 실적(신성질별)'!B470)</f>
        <v>라.간이세율적용분</v>
      </c>
      <c r="F466" s="18" t="n">
        <f aca="false">IFERROR(VALUE(SUBSTITUTE(TRIM('수출입 실적(신성질별)'!C470),",","")),"")</f>
        <v>2175.8</v>
      </c>
      <c r="G466" s="19" t="n">
        <f aca="false">IFERROR(VALUE(SUBSTITUTE(TRIM('수출입 실적(신성질별)'!D470),",","")),"")</f>
        <v>2491</v>
      </c>
      <c r="H466" s="18" t="n">
        <f aca="false">IFERROR(VALUE(SUBSTITUTE(TRIM('수출입 실적(신성질별)'!E470),",","")),"")</f>
        <v>0</v>
      </c>
      <c r="I466" s="19" t="n">
        <f aca="false">IFERROR(VALUE(SUBSTITUTE(TRIM('수출입 실적(신성질별)'!F470),",","")),"")</f>
        <v>0</v>
      </c>
    </row>
    <row r="467" customFormat="false" ht="15" hidden="false" customHeight="true" outlineLevel="0" collapsed="false">
      <c r="A467" s="11" t="str">
        <f aca="false">TRIM('수출입 실적(신성질별)'!A471)</f>
        <v>2026.04</v>
      </c>
      <c r="B467" s="17" t="n">
        <f aca="false">IFERROR(VALUE(LEFT($A467,4)),"")</f>
        <v>2026</v>
      </c>
      <c r="C467" s="17" t="n">
        <f aca="false">IFERROR(VALUE(RIGHT($A467,2)),"")</f>
        <v>4</v>
      </c>
      <c r="D467" s="17" t="n">
        <f aca="false">IFERROR(ROUNDUP($C467/3,0),"")</f>
        <v>2</v>
      </c>
      <c r="E467" s="11" t="str">
        <f aca="false">TRIM('수출입 실적(신성질별)'!B471)</f>
        <v>2.원자재</v>
      </c>
      <c r="F467" s="18" t="n">
        <f aca="false">IFERROR(VALUE(SUBSTITUTE(TRIM('수출입 실적(신성질별)'!C471),",","")),"")</f>
        <v>11204179.4</v>
      </c>
      <c r="G467" s="19" t="n">
        <f aca="false">IFERROR(VALUE(SUBSTITUTE(TRIM('수출입 실적(신성질별)'!D471),",","")),"")</f>
        <v>20089347</v>
      </c>
      <c r="H467" s="18" t="n">
        <f aca="false">IFERROR(VALUE(SUBSTITUTE(TRIM('수출입 실적(신성질별)'!E471),",","")),"")</f>
        <v>38690512.8</v>
      </c>
      <c r="I467" s="19" t="n">
        <f aca="false">IFERROR(VALUE(SUBSTITUTE(TRIM('수출입 실적(신성질별)'!F471),",","")),"")</f>
        <v>27754951</v>
      </c>
    </row>
    <row r="468" customFormat="false" ht="15" hidden="false" customHeight="true" outlineLevel="0" collapsed="false">
      <c r="A468" s="11" t="str">
        <f aca="false">TRIM('수출입 실적(신성질별)'!A472)</f>
        <v>2026.04</v>
      </c>
      <c r="B468" s="17" t="n">
        <f aca="false">IFERROR(VALUE(LEFT($A468,4)),"")</f>
        <v>2026</v>
      </c>
      <c r="C468" s="17" t="n">
        <f aca="false">IFERROR(VALUE(RIGHT($A468,2)),"")</f>
        <v>4</v>
      </c>
      <c r="D468" s="17" t="n">
        <f aca="false">IFERROR(ROUNDUP($C468/3,0),"")</f>
        <v>2</v>
      </c>
      <c r="E468" s="11" t="str">
        <f aca="false">TRIM('수출입 실적(신성질별)'!B472)</f>
        <v>가.동식물성 연·원료</v>
      </c>
      <c r="F468" s="18" t="n">
        <f aca="false">IFERROR(VALUE(SUBSTITUTE(TRIM('수출입 실적(신성질별)'!C472),",","")),"")</f>
        <v>398809.1</v>
      </c>
      <c r="G468" s="19" t="n">
        <f aca="false">IFERROR(VALUE(SUBSTITUTE(TRIM('수출입 실적(신성질별)'!D472),",","")),"")</f>
        <v>483456</v>
      </c>
      <c r="H468" s="18" t="n">
        <f aca="false">IFERROR(VALUE(SUBSTITUTE(TRIM('수출입 실적(신성질별)'!E472),",","")),"")</f>
        <v>2955879.2</v>
      </c>
      <c r="I468" s="19" t="n">
        <f aca="false">IFERROR(VALUE(SUBSTITUTE(TRIM('수출입 실적(신성질별)'!F472),",","")),"")</f>
        <v>1540946</v>
      </c>
    </row>
    <row r="469" customFormat="false" ht="15" hidden="false" customHeight="true" outlineLevel="0" collapsed="false">
      <c r="A469" s="11" t="str">
        <f aca="false">TRIM('수출입 실적(신성질별)'!A473)</f>
        <v>2026.04</v>
      </c>
      <c r="B469" s="17" t="n">
        <f aca="false">IFERROR(VALUE(LEFT($A469,4)),"")</f>
        <v>2026</v>
      </c>
      <c r="C469" s="17" t="n">
        <f aca="false">IFERROR(VALUE(RIGHT($A469,2)),"")</f>
        <v>4</v>
      </c>
      <c r="D469" s="17" t="n">
        <f aca="false">IFERROR(ROUNDUP($C469/3,0),"")</f>
        <v>2</v>
      </c>
      <c r="E469" s="11" t="str">
        <f aca="false">TRIM('수출입 실적(신성질별)'!B473)</f>
        <v>나.섬유류</v>
      </c>
      <c r="F469" s="18" t="n">
        <f aca="false">IFERROR(VALUE(SUBSTITUTE(TRIM('수출입 실적(신성질별)'!C473),",","")),"")</f>
        <v>125097.5</v>
      </c>
      <c r="G469" s="19" t="n">
        <f aca="false">IFERROR(VALUE(SUBSTITUTE(TRIM('수출입 실적(신성질별)'!D473),",","")),"")</f>
        <v>634737</v>
      </c>
      <c r="H469" s="18" t="n">
        <f aca="false">IFERROR(VALUE(SUBSTITUTE(TRIM('수출입 실적(신성질별)'!E473),",","")),"")</f>
        <v>105919.2</v>
      </c>
      <c r="I469" s="19" t="n">
        <f aca="false">IFERROR(VALUE(SUBSTITUTE(TRIM('수출입 실적(신성질별)'!F473),",","")),"")</f>
        <v>356733</v>
      </c>
    </row>
    <row r="470" customFormat="false" ht="15" hidden="false" customHeight="true" outlineLevel="0" collapsed="false">
      <c r="A470" s="11" t="str">
        <f aca="false">TRIM('수출입 실적(신성질별)'!A474)</f>
        <v>2026.04</v>
      </c>
      <c r="B470" s="17" t="n">
        <f aca="false">IFERROR(VALUE(LEFT($A470,4)),"")</f>
        <v>2026</v>
      </c>
      <c r="C470" s="17" t="n">
        <f aca="false">IFERROR(VALUE(RIGHT($A470,2)),"")</f>
        <v>4</v>
      </c>
      <c r="D470" s="17" t="n">
        <f aca="false">IFERROR(ROUNDUP($C470/3,0),"")</f>
        <v>2</v>
      </c>
      <c r="E470" s="11" t="str">
        <f aca="false">TRIM('수출입 실적(신성질별)'!B474)</f>
        <v>다.광산물</v>
      </c>
      <c r="F470" s="18" t="n">
        <f aca="false">IFERROR(VALUE(SUBSTITUTE(TRIM('수출입 실적(신성질별)'!C474),",","")),"")</f>
        <v>4284130.8</v>
      </c>
      <c r="G470" s="19" t="n">
        <f aca="false">IFERROR(VALUE(SUBSTITUTE(TRIM('수출입 실적(신성질별)'!D474),",","")),"")</f>
        <v>6735380</v>
      </c>
      <c r="H470" s="18" t="n">
        <f aca="false">IFERROR(VALUE(SUBSTITUTE(TRIM('수출입 실적(신성질별)'!E474),",","")),"")</f>
        <v>31865871.3</v>
      </c>
      <c r="I470" s="19" t="n">
        <f aca="false">IFERROR(VALUE(SUBSTITUTE(TRIM('수출입 실적(신성질별)'!F474),",","")),"")</f>
        <v>16368375</v>
      </c>
    </row>
    <row r="471" customFormat="false" ht="15" hidden="false" customHeight="true" outlineLevel="0" collapsed="false">
      <c r="A471" s="11" t="str">
        <f aca="false">TRIM('수출입 실적(신성질별)'!A475)</f>
        <v>2026.04</v>
      </c>
      <c r="B471" s="17" t="n">
        <f aca="false">IFERROR(VALUE(LEFT($A471,4)),"")</f>
        <v>2026</v>
      </c>
      <c r="C471" s="17" t="n">
        <f aca="false">IFERROR(VALUE(RIGHT($A471,2)),"")</f>
        <v>4</v>
      </c>
      <c r="D471" s="17" t="n">
        <f aca="false">IFERROR(ROUNDUP($C471/3,0),"")</f>
        <v>2</v>
      </c>
      <c r="E471" s="11" t="str">
        <f aca="false">TRIM('수출입 실적(신성질별)'!B475)</f>
        <v>라.철강 및 금속제품</v>
      </c>
      <c r="F471" s="18" t="n">
        <f aca="false">IFERROR(VALUE(SUBSTITUTE(TRIM('수출입 실적(신성질별)'!C475),",","")),"")</f>
        <v>2724534.4</v>
      </c>
      <c r="G471" s="19" t="n">
        <f aca="false">IFERROR(VALUE(SUBSTITUTE(TRIM('수출입 실적(신성질별)'!D475),",","")),"")</f>
        <v>4020760</v>
      </c>
      <c r="H471" s="18" t="n">
        <f aca="false">IFERROR(VALUE(SUBSTITUTE(TRIM('수출입 실적(신성질별)'!E475),",","")),"")</f>
        <v>1674974.7</v>
      </c>
      <c r="I471" s="19" t="n">
        <f aca="false">IFERROR(VALUE(SUBSTITUTE(TRIM('수출입 실적(신성질별)'!F475),",","")),"")</f>
        <v>3476607</v>
      </c>
    </row>
    <row r="472" customFormat="false" ht="15" hidden="false" customHeight="true" outlineLevel="0" collapsed="false">
      <c r="A472" s="11" t="str">
        <f aca="false">TRIM('수출입 실적(신성질별)'!A476)</f>
        <v>2026.04</v>
      </c>
      <c r="B472" s="17" t="n">
        <f aca="false">IFERROR(VALUE(LEFT($A472,4)),"")</f>
        <v>2026</v>
      </c>
      <c r="C472" s="17" t="n">
        <f aca="false">IFERROR(VALUE(RIGHT($A472,2)),"")</f>
        <v>4</v>
      </c>
      <c r="D472" s="17" t="n">
        <f aca="false">IFERROR(ROUNDUP($C472/3,0),"")</f>
        <v>2</v>
      </c>
      <c r="E472" s="11" t="str">
        <f aca="false">TRIM('수출입 실적(신성질별)'!B476)</f>
        <v>마.화학공업제품</v>
      </c>
      <c r="F472" s="18" t="n">
        <f aca="false">IFERROR(VALUE(SUBSTITUTE(TRIM('수출입 실적(신성질별)'!C476),",","")),"")</f>
        <v>3669241.8</v>
      </c>
      <c r="G472" s="19" t="n">
        <f aca="false">IFERROR(VALUE(SUBSTITUTE(TRIM('수출입 실적(신성질별)'!D476),",","")),"")</f>
        <v>8205105</v>
      </c>
      <c r="H472" s="18" t="n">
        <f aca="false">IFERROR(VALUE(SUBSTITUTE(TRIM('수출입 실적(신성질별)'!E476),",","")),"")</f>
        <v>2084451.1</v>
      </c>
      <c r="I472" s="19" t="n">
        <f aca="false">IFERROR(VALUE(SUBSTITUTE(TRIM('수출입 실적(신성질별)'!F476),",","")),"")</f>
        <v>6005010</v>
      </c>
    </row>
    <row r="473" customFormat="false" ht="15" hidden="false" customHeight="true" outlineLevel="0" collapsed="false">
      <c r="A473" s="11" t="str">
        <f aca="false">TRIM('수출입 실적(신성질별)'!A477)</f>
        <v>2026.04</v>
      </c>
      <c r="B473" s="17" t="n">
        <f aca="false">IFERROR(VALUE(LEFT($A473,4)),"")</f>
        <v>2026</v>
      </c>
      <c r="C473" s="17" t="n">
        <f aca="false">IFERROR(VALUE(RIGHT($A473,2)),"")</f>
        <v>4</v>
      </c>
      <c r="D473" s="17" t="n">
        <f aca="false">IFERROR(ROUNDUP($C473/3,0),"")</f>
        <v>2</v>
      </c>
      <c r="E473" s="11" t="str">
        <f aca="false">TRIM('수출입 실적(신성질별)'!B477)</f>
        <v>바.기타 원자재</v>
      </c>
      <c r="F473" s="18" t="n">
        <f aca="false">IFERROR(VALUE(SUBSTITUTE(TRIM('수출입 실적(신성질별)'!C477),",","")),"")</f>
        <v>2365.8</v>
      </c>
      <c r="G473" s="19" t="n">
        <f aca="false">IFERROR(VALUE(SUBSTITUTE(TRIM('수출입 실적(신성질별)'!D477),",","")),"")</f>
        <v>9909</v>
      </c>
      <c r="H473" s="18" t="n">
        <f aca="false">IFERROR(VALUE(SUBSTITUTE(TRIM('수출입 실적(신성질별)'!E477),",","")),"")</f>
        <v>3417.2</v>
      </c>
      <c r="I473" s="19" t="n">
        <f aca="false">IFERROR(VALUE(SUBSTITUTE(TRIM('수출입 실적(신성질별)'!F477),",","")),"")</f>
        <v>7280</v>
      </c>
    </row>
    <row r="474" customFormat="false" ht="15" hidden="false" customHeight="true" outlineLevel="0" collapsed="false">
      <c r="A474" s="11" t="str">
        <f aca="false">TRIM('수출입 실적(신성질별)'!A478)</f>
        <v>2026.04</v>
      </c>
      <c r="B474" s="17" t="n">
        <f aca="false">IFERROR(VALUE(LEFT($A474,4)),"")</f>
        <v>2026</v>
      </c>
      <c r="C474" s="17" t="n">
        <f aca="false">IFERROR(VALUE(RIGHT($A474,2)),"")</f>
        <v>4</v>
      </c>
      <c r="D474" s="17" t="n">
        <f aca="false">IFERROR(ROUNDUP($C474/3,0),"")</f>
        <v>2</v>
      </c>
      <c r="E474" s="11" t="str">
        <f aca="false">TRIM('수출입 실적(신성질별)'!B478)</f>
        <v>3.자본재</v>
      </c>
      <c r="F474" s="18" t="n">
        <f aca="false">IFERROR(VALUE(SUBSTITUTE(TRIM('수출입 실적(신성질별)'!C478),",","")),"")</f>
        <v>2214093.6</v>
      </c>
      <c r="G474" s="19" t="n">
        <f aca="false">IFERROR(VALUE(SUBSTITUTE(TRIM('수출입 실적(신성질별)'!D478),",","")),"")</f>
        <v>56970510</v>
      </c>
      <c r="H474" s="18" t="n">
        <f aca="false">IFERROR(VALUE(SUBSTITUTE(TRIM('수출입 실적(신성질별)'!E478),",","")),"")</f>
        <v>1057927.1</v>
      </c>
      <c r="I474" s="19" t="n">
        <f aca="false">IFERROR(VALUE(SUBSTITUTE(TRIM('수출입 실적(신성질별)'!F478),",","")),"")</f>
        <v>26267703</v>
      </c>
    </row>
    <row r="475" customFormat="false" ht="15" hidden="false" customHeight="true" outlineLevel="0" collapsed="false">
      <c r="A475" s="11" t="str">
        <f aca="false">TRIM('수출입 실적(신성질별)'!A479)</f>
        <v>2026.04</v>
      </c>
      <c r="B475" s="17" t="n">
        <f aca="false">IFERROR(VALUE(LEFT($A475,4)),"")</f>
        <v>2026</v>
      </c>
      <c r="C475" s="17" t="n">
        <f aca="false">IFERROR(VALUE(RIGHT($A475,2)),"")</f>
        <v>4</v>
      </c>
      <c r="D475" s="17" t="n">
        <f aca="false">IFERROR(ROUNDUP($C475/3,0),"")</f>
        <v>2</v>
      </c>
      <c r="E475" s="11" t="str">
        <f aca="false">TRIM('수출입 실적(신성질별)'!B479)</f>
        <v>가.수송장비</v>
      </c>
      <c r="F475" s="18" t="n">
        <f aca="false">IFERROR(VALUE(SUBSTITUTE(TRIM('수출입 실적(신성질별)'!C479),",","")),"")</f>
        <v>1481830.7</v>
      </c>
      <c r="G475" s="19" t="n">
        <f aca="false">IFERROR(VALUE(SUBSTITUTE(TRIM('수출입 실적(신성질별)'!D479),",","")),"")</f>
        <v>7210420</v>
      </c>
      <c r="H475" s="18" t="n">
        <f aca="false">IFERROR(VALUE(SUBSTITUTE(TRIM('수출입 실적(신성질별)'!E479),",","")),"")</f>
        <v>410326.5</v>
      </c>
      <c r="I475" s="19" t="n">
        <f aca="false">IFERROR(VALUE(SUBSTITUTE(TRIM('수출입 실적(신성질별)'!F479),",","")),"")</f>
        <v>2481089</v>
      </c>
    </row>
    <row r="476" customFormat="false" ht="15" hidden="false" customHeight="true" outlineLevel="0" collapsed="false">
      <c r="A476" s="11" t="str">
        <f aca="false">TRIM('수출입 실적(신성질별)'!A480)</f>
        <v>2026.04</v>
      </c>
      <c r="B476" s="17" t="n">
        <f aca="false">IFERROR(VALUE(LEFT($A476,4)),"")</f>
        <v>2026</v>
      </c>
      <c r="C476" s="17" t="n">
        <f aca="false">IFERROR(VALUE(RIGHT($A476,2)),"")</f>
        <v>4</v>
      </c>
      <c r="D476" s="17" t="n">
        <f aca="false">IFERROR(ROUNDUP($C476/3,0),"")</f>
        <v>2</v>
      </c>
      <c r="E476" s="11" t="str">
        <f aca="false">TRIM('수출입 실적(신성질별)'!B480)</f>
        <v>나.기계류</v>
      </c>
      <c r="F476" s="18" t="n">
        <f aca="false">IFERROR(VALUE(SUBSTITUTE(TRIM('수출입 실적(신성질별)'!C480),",","")),"")</f>
        <v>687600.6</v>
      </c>
      <c r="G476" s="19" t="n">
        <f aca="false">IFERROR(VALUE(SUBSTITUTE(TRIM('수출입 실적(신성질별)'!D480),",","")),"")</f>
        <v>9432934</v>
      </c>
      <c r="H476" s="18" t="n">
        <f aca="false">IFERROR(VALUE(SUBSTITUTE(TRIM('수출입 실적(신성질별)'!E480),",","")),"")</f>
        <v>577698.5</v>
      </c>
      <c r="I476" s="19" t="n">
        <f aca="false">IFERROR(VALUE(SUBSTITUTE(TRIM('수출입 실적(신성질별)'!F480),",","")),"")</f>
        <v>10389091</v>
      </c>
    </row>
    <row r="477" customFormat="false" ht="15" hidden="false" customHeight="true" outlineLevel="0" collapsed="false">
      <c r="A477" s="11" t="str">
        <f aca="false">TRIM('수출입 실적(신성질별)'!A481)</f>
        <v>2026.04</v>
      </c>
      <c r="B477" s="17" t="n">
        <f aca="false">IFERROR(VALUE(LEFT($A477,4)),"")</f>
        <v>2026</v>
      </c>
      <c r="C477" s="17" t="n">
        <f aca="false">IFERROR(VALUE(RIGHT($A477,2)),"")</f>
        <v>4</v>
      </c>
      <c r="D477" s="17" t="n">
        <f aca="false">IFERROR(ROUNDUP($C477/3,0),"")</f>
        <v>2</v>
      </c>
      <c r="E477" s="11" t="str">
        <f aca="false">TRIM('수출입 실적(신성질별)'!B481)</f>
        <v>다.IT제품</v>
      </c>
      <c r="F477" s="18" t="n">
        <f aca="false">IFERROR(VALUE(SUBSTITUTE(TRIM('수출입 실적(신성질별)'!C481),",","")),"")</f>
        <v>12351.5</v>
      </c>
      <c r="G477" s="19" t="n">
        <f aca="false">IFERROR(VALUE(SUBSTITUTE(TRIM('수출입 실적(신성질별)'!D481),",","")),"")</f>
        <v>6821884</v>
      </c>
      <c r="H477" s="18" t="n">
        <f aca="false">IFERROR(VALUE(SUBSTITUTE(TRIM('수출입 실적(신성질별)'!E481),",","")),"")</f>
        <v>18900.1</v>
      </c>
      <c r="I477" s="19" t="n">
        <f aca="false">IFERROR(VALUE(SUBSTITUTE(TRIM('수출입 실적(신성질별)'!F481),",","")),"")</f>
        <v>3206145</v>
      </c>
    </row>
    <row r="478" customFormat="false" ht="15" hidden="false" customHeight="true" outlineLevel="0" collapsed="false">
      <c r="A478" s="11" t="str">
        <f aca="false">TRIM('수출입 실적(신성질별)'!A482)</f>
        <v>2026.04</v>
      </c>
      <c r="B478" s="17" t="n">
        <f aca="false">IFERROR(VALUE(LEFT($A478,4)),"")</f>
        <v>2026</v>
      </c>
      <c r="C478" s="17" t="n">
        <f aca="false">IFERROR(VALUE(RIGHT($A478,2)),"")</f>
        <v>4</v>
      </c>
      <c r="D478" s="17" t="n">
        <f aca="false">IFERROR(ROUNDUP($C478/3,0),"")</f>
        <v>2</v>
      </c>
      <c r="E478" s="11" t="str">
        <f aca="false">TRIM('수출입 실적(신성질별)'!B482)</f>
        <v>라.IT부품</v>
      </c>
      <c r="F478" s="18" t="n">
        <f aca="false">IFERROR(VALUE(SUBSTITUTE(TRIM('수출입 실적(신성질별)'!C482),",","")),"")</f>
        <v>32310.8</v>
      </c>
      <c r="G478" s="19" t="n">
        <f aca="false">IFERROR(VALUE(SUBSTITUTE(TRIM('수출입 실적(신성질별)'!D482),",","")),"")</f>
        <v>33505272</v>
      </c>
      <c r="H478" s="18" t="n">
        <f aca="false">IFERROR(VALUE(SUBSTITUTE(TRIM('수출입 실적(신성질별)'!E482),",","")),"")</f>
        <v>51002.1</v>
      </c>
      <c r="I478" s="19" t="n">
        <f aca="false">IFERROR(VALUE(SUBSTITUTE(TRIM('수출입 실적(신성질별)'!F482),",","")),"")</f>
        <v>10191378</v>
      </c>
    </row>
    <row r="479" customFormat="false" ht="15" hidden="false" customHeight="true" outlineLevel="0" collapsed="false">
      <c r="A479" s="11" t="str">
        <f aca="false">TRIM('수출입 실적(신성질별)'!A483)</f>
        <v>2026.05</v>
      </c>
      <c r="B479" s="17" t="n">
        <f aca="false">IFERROR(VALUE(LEFT($A479,4)),"")</f>
        <v>2026</v>
      </c>
      <c r="C479" s="17" t="n">
        <f aca="false">IFERROR(VALUE(RIGHT($A479,2)),"")</f>
        <v>5</v>
      </c>
      <c r="D479" s="17" t="n">
        <f aca="false">IFERROR(ROUNDUP($C479/3,0),"")</f>
        <v>2</v>
      </c>
      <c r="E479" s="11" t="str">
        <f aca="false">TRIM('수출입 실적(신성질별)'!B483)</f>
        <v>1.소비재</v>
      </c>
      <c r="F479" s="18" t="n">
        <f aca="false">IFERROR(VALUE(SUBSTITUTE(TRIM('수출입 실적(신성질별)'!C483),",","")),"")</f>
        <v>918582.3</v>
      </c>
      <c r="G479" s="19" t="n">
        <f aca="false">IFERROR(VALUE(SUBSTITUTE(TRIM('수출입 실적(신성질별)'!D483),",","")),"")</f>
        <v>7818478</v>
      </c>
      <c r="H479" s="18" t="n">
        <f aca="false">IFERROR(VALUE(SUBSTITUTE(TRIM('수출입 실적(신성질별)'!E483),",","")),"")</f>
        <v>1847900.1</v>
      </c>
      <c r="I479" s="19" t="n">
        <f aca="false">IFERROR(VALUE(SUBSTITUTE(TRIM('수출입 실적(신성질별)'!F483),",","")),"")</f>
        <v>7422611</v>
      </c>
    </row>
    <row r="480" customFormat="false" ht="15" hidden="false" customHeight="true" outlineLevel="0" collapsed="false">
      <c r="A480" s="11" t="str">
        <f aca="false">TRIM('수출입 실적(신성질별)'!A484)</f>
        <v>2026.05</v>
      </c>
      <c r="B480" s="17" t="n">
        <f aca="false">IFERROR(VALUE(LEFT($A480,4)),"")</f>
        <v>2026</v>
      </c>
      <c r="C480" s="17" t="n">
        <f aca="false">IFERROR(VALUE(RIGHT($A480,2)),"")</f>
        <v>5</v>
      </c>
      <c r="D480" s="17" t="n">
        <f aca="false">IFERROR(ROUNDUP($C480/3,0),"")</f>
        <v>2</v>
      </c>
      <c r="E480" s="11" t="str">
        <f aca="false">TRIM('수출입 실적(신성질별)'!B484)</f>
        <v>가.직접소비재</v>
      </c>
      <c r="F480" s="18" t="n">
        <f aca="false">IFERROR(VALUE(SUBSTITUTE(TRIM('수출입 실적(신성질별)'!C484),",","")),"")</f>
        <v>332106</v>
      </c>
      <c r="G480" s="19" t="n">
        <f aca="false">IFERROR(VALUE(SUBSTITUTE(TRIM('수출입 실적(신성질별)'!D484),",","")),"")</f>
        <v>974774</v>
      </c>
      <c r="H480" s="18" t="n">
        <f aca="false">IFERROR(VALUE(SUBSTITUTE(TRIM('수출입 실적(신성질별)'!E484),",","")),"")</f>
        <v>1441866.7</v>
      </c>
      <c r="I480" s="19" t="n">
        <f aca="false">IFERROR(VALUE(SUBSTITUTE(TRIM('수출입 실적(신성질별)'!F484),",","")),"")</f>
        <v>2642594</v>
      </c>
    </row>
    <row r="481" customFormat="false" ht="15" hidden="false" customHeight="true" outlineLevel="0" collapsed="false">
      <c r="A481" s="11" t="str">
        <f aca="false">TRIM('수출입 실적(신성질별)'!A485)</f>
        <v>2026.05</v>
      </c>
      <c r="B481" s="17" t="n">
        <f aca="false">IFERROR(VALUE(LEFT($A481,4)),"")</f>
        <v>2026</v>
      </c>
      <c r="C481" s="17" t="n">
        <f aca="false">IFERROR(VALUE(RIGHT($A481,2)),"")</f>
        <v>5</v>
      </c>
      <c r="D481" s="17" t="n">
        <f aca="false">IFERROR(ROUNDUP($C481/3,0),"")</f>
        <v>2</v>
      </c>
      <c r="E481" s="11" t="str">
        <f aca="false">TRIM('수출입 실적(신성질별)'!B485)</f>
        <v>나.내구소비재</v>
      </c>
      <c r="F481" s="18" t="n">
        <f aca="false">IFERROR(VALUE(SUBSTITUTE(TRIM('수출입 실적(신성질별)'!C485),",","")),"")</f>
        <v>421132</v>
      </c>
      <c r="G481" s="19" t="n">
        <f aca="false">IFERROR(VALUE(SUBSTITUTE(TRIM('수출입 실적(신성질별)'!D485),",","")),"")</f>
        <v>4926332</v>
      </c>
      <c r="H481" s="18" t="n">
        <f aca="false">IFERROR(VALUE(SUBSTITUTE(TRIM('수출입 실적(신성질별)'!E485),",","")),"")</f>
        <v>248786.5</v>
      </c>
      <c r="I481" s="19" t="n">
        <f aca="false">IFERROR(VALUE(SUBSTITUTE(TRIM('수출입 실적(신성질별)'!F485),",","")),"")</f>
        <v>2697305</v>
      </c>
    </row>
    <row r="482" customFormat="false" ht="15" hidden="false" customHeight="true" outlineLevel="0" collapsed="false">
      <c r="A482" s="11" t="str">
        <f aca="false">TRIM('수출입 실적(신성질별)'!A486)</f>
        <v>2026.05</v>
      </c>
      <c r="B482" s="17" t="n">
        <f aca="false">IFERROR(VALUE(LEFT($A482,4)),"")</f>
        <v>2026</v>
      </c>
      <c r="C482" s="17" t="n">
        <f aca="false">IFERROR(VALUE(RIGHT($A482,2)),"")</f>
        <v>5</v>
      </c>
      <c r="D482" s="17" t="n">
        <f aca="false">IFERROR(ROUNDUP($C482/3,0),"")</f>
        <v>2</v>
      </c>
      <c r="E482" s="11" t="str">
        <f aca="false">TRIM('수출입 실적(신성질별)'!B486)</f>
        <v>다.비내구소비재</v>
      </c>
      <c r="F482" s="18" t="n">
        <f aca="false">IFERROR(VALUE(SUBSTITUTE(TRIM('수출입 실적(신성질별)'!C486),",","")),"")</f>
        <v>162676.3</v>
      </c>
      <c r="G482" s="19" t="n">
        <f aca="false">IFERROR(VALUE(SUBSTITUTE(TRIM('수출입 실적(신성질별)'!D486),",","")),"")</f>
        <v>1914940</v>
      </c>
      <c r="H482" s="18" t="n">
        <f aca="false">IFERROR(VALUE(SUBSTITUTE(TRIM('수출입 실적(신성질별)'!E486),",","")),"")</f>
        <v>157246.9</v>
      </c>
      <c r="I482" s="19" t="n">
        <f aca="false">IFERROR(VALUE(SUBSTITUTE(TRIM('수출입 실적(신성질별)'!F486),",","")),"")</f>
        <v>2082712</v>
      </c>
    </row>
    <row r="483" customFormat="false" ht="15" hidden="false" customHeight="true" outlineLevel="0" collapsed="false">
      <c r="A483" s="11" t="str">
        <f aca="false">TRIM('수출입 실적(신성질별)'!A487)</f>
        <v>2026.05</v>
      </c>
      <c r="B483" s="17" t="n">
        <f aca="false">IFERROR(VALUE(LEFT($A483,4)),"")</f>
        <v>2026</v>
      </c>
      <c r="C483" s="17" t="n">
        <f aca="false">IFERROR(VALUE(RIGHT($A483,2)),"")</f>
        <v>5</v>
      </c>
      <c r="D483" s="17" t="n">
        <f aca="false">IFERROR(ROUNDUP($C483/3,0),"")</f>
        <v>2</v>
      </c>
      <c r="E483" s="11" t="str">
        <f aca="false">TRIM('수출입 실적(신성질별)'!B487)</f>
        <v>라.간이세율적용분</v>
      </c>
      <c r="F483" s="18" t="n">
        <f aca="false">IFERROR(VALUE(SUBSTITUTE(TRIM('수출입 실적(신성질별)'!C487),",","")),"")</f>
        <v>2668</v>
      </c>
      <c r="G483" s="19" t="n">
        <f aca="false">IFERROR(VALUE(SUBSTITUTE(TRIM('수출입 실적(신성질별)'!D487),",","")),"")</f>
        <v>2432</v>
      </c>
      <c r="H483" s="18" t="n">
        <f aca="false">IFERROR(VALUE(SUBSTITUTE(TRIM('수출입 실적(신성질별)'!E487),",","")),"")</f>
        <v>0</v>
      </c>
      <c r="I483" s="19" t="n">
        <f aca="false">IFERROR(VALUE(SUBSTITUTE(TRIM('수출입 실적(신성질별)'!F487),",","")),"")</f>
        <v>0</v>
      </c>
    </row>
    <row r="484" customFormat="false" ht="15" hidden="false" customHeight="true" outlineLevel="0" collapsed="false">
      <c r="A484" s="11" t="str">
        <f aca="false">TRIM('수출입 실적(신성질별)'!A488)</f>
        <v>2026.05</v>
      </c>
      <c r="B484" s="17" t="n">
        <f aca="false">IFERROR(VALUE(LEFT($A484,4)),"")</f>
        <v>2026</v>
      </c>
      <c r="C484" s="17" t="n">
        <f aca="false">IFERROR(VALUE(RIGHT($A484,2)),"")</f>
        <v>5</v>
      </c>
      <c r="D484" s="17" t="n">
        <f aca="false">IFERROR(ROUNDUP($C484/3,0),"")</f>
        <v>2</v>
      </c>
      <c r="E484" s="11" t="str">
        <f aca="false">TRIM('수출입 실적(신성질별)'!B488)</f>
        <v>2.원자재</v>
      </c>
      <c r="F484" s="18" t="n">
        <f aca="false">IFERROR(VALUE(SUBSTITUTE(TRIM('수출입 실적(신성질별)'!C488),",","")),"")</f>
        <v>11057382.5</v>
      </c>
      <c r="G484" s="19" t="n">
        <f aca="false">IFERROR(VALUE(SUBSTITUTE(TRIM('수출입 실적(신성질별)'!D488),",","")),"")</f>
        <v>19373529</v>
      </c>
      <c r="H484" s="18" t="n">
        <f aca="false">IFERROR(VALUE(SUBSTITUTE(TRIM('수출입 실적(신성질별)'!E488),",","")),"")</f>
        <v>36653620.5</v>
      </c>
      <c r="I484" s="19" t="n">
        <f aca="false">IFERROR(VALUE(SUBSTITUTE(TRIM('수출입 실적(신성질별)'!F488),",","")),"")</f>
        <v>28422667</v>
      </c>
    </row>
    <row r="485" customFormat="false" ht="15" hidden="false" customHeight="true" outlineLevel="0" collapsed="false">
      <c r="A485" s="11" t="str">
        <f aca="false">TRIM('수출입 실적(신성질별)'!A489)</f>
        <v>2026.05</v>
      </c>
      <c r="B485" s="17" t="n">
        <f aca="false">IFERROR(VALUE(LEFT($A485,4)),"")</f>
        <v>2026</v>
      </c>
      <c r="C485" s="17" t="n">
        <f aca="false">IFERROR(VALUE(RIGHT($A485,2)),"")</f>
        <v>5</v>
      </c>
      <c r="D485" s="17" t="n">
        <f aca="false">IFERROR(ROUNDUP($C485/3,0),"")</f>
        <v>2</v>
      </c>
      <c r="E485" s="11" t="str">
        <f aca="false">TRIM('수출입 실적(신성질별)'!B489)</f>
        <v>가.동식물성 연·원료</v>
      </c>
      <c r="F485" s="18" t="n">
        <f aca="false">IFERROR(VALUE(SUBSTITUTE(TRIM('수출입 실적(신성질별)'!C489),",","")),"")</f>
        <v>358569.1</v>
      </c>
      <c r="G485" s="19" t="n">
        <f aca="false">IFERROR(VALUE(SUBSTITUTE(TRIM('수출입 실적(신성질별)'!D489),",","")),"")</f>
        <v>441975</v>
      </c>
      <c r="H485" s="18" t="n">
        <f aca="false">IFERROR(VALUE(SUBSTITUTE(TRIM('수출입 실적(신성질별)'!E489),",","")),"")</f>
        <v>2695336.3</v>
      </c>
      <c r="I485" s="19" t="n">
        <f aca="false">IFERROR(VALUE(SUBSTITUTE(TRIM('수출입 실적(신성질별)'!F489),",","")),"")</f>
        <v>1435617</v>
      </c>
    </row>
    <row r="486" customFormat="false" ht="15" hidden="false" customHeight="true" outlineLevel="0" collapsed="false">
      <c r="A486" s="11" t="str">
        <f aca="false">TRIM('수출입 실적(신성질별)'!A490)</f>
        <v>2026.05</v>
      </c>
      <c r="B486" s="17" t="n">
        <f aca="false">IFERROR(VALUE(LEFT($A486,4)),"")</f>
        <v>2026</v>
      </c>
      <c r="C486" s="17" t="n">
        <f aca="false">IFERROR(VALUE(RIGHT($A486,2)),"")</f>
        <v>5</v>
      </c>
      <c r="D486" s="17" t="n">
        <f aca="false">IFERROR(ROUNDUP($C486/3,0),"")</f>
        <v>2</v>
      </c>
      <c r="E486" s="11" t="str">
        <f aca="false">TRIM('수출입 실적(신성질별)'!B490)</f>
        <v>나.섬유류</v>
      </c>
      <c r="F486" s="18" t="n">
        <f aca="false">IFERROR(VALUE(SUBSTITUTE(TRIM('수출입 실적(신성질별)'!C490),",","")),"")</f>
        <v>101209.2</v>
      </c>
      <c r="G486" s="19" t="n">
        <f aca="false">IFERROR(VALUE(SUBSTITUTE(TRIM('수출입 실적(신성질별)'!D490),",","")),"")</f>
        <v>524092</v>
      </c>
      <c r="H486" s="18" t="n">
        <f aca="false">IFERROR(VALUE(SUBSTITUTE(TRIM('수출입 실적(신성질별)'!E490),",","")),"")</f>
        <v>92799.5</v>
      </c>
      <c r="I486" s="19" t="n">
        <f aca="false">IFERROR(VALUE(SUBSTITUTE(TRIM('수출입 실적(신성질별)'!F490),",","")),"")</f>
        <v>326392</v>
      </c>
    </row>
    <row r="487" customFormat="false" ht="15" hidden="false" customHeight="true" outlineLevel="0" collapsed="false">
      <c r="A487" s="11" t="str">
        <f aca="false">TRIM('수출입 실적(신성질별)'!A491)</f>
        <v>2026.05</v>
      </c>
      <c r="B487" s="17" t="n">
        <f aca="false">IFERROR(VALUE(LEFT($A487,4)),"")</f>
        <v>2026</v>
      </c>
      <c r="C487" s="17" t="n">
        <f aca="false">IFERROR(VALUE(RIGHT($A487,2)),"")</f>
        <v>5</v>
      </c>
      <c r="D487" s="17" t="n">
        <f aca="false">IFERROR(ROUNDUP($C487/3,0),"")</f>
        <v>2</v>
      </c>
      <c r="E487" s="11" t="str">
        <f aca="false">TRIM('수출입 실적(신성질별)'!B491)</f>
        <v>다.광산물</v>
      </c>
      <c r="F487" s="18" t="n">
        <f aca="false">IFERROR(VALUE(SUBSTITUTE(TRIM('수출입 실적(신성질별)'!C491),",","")),"")</f>
        <v>4903779.1</v>
      </c>
      <c r="G487" s="19" t="n">
        <f aca="false">IFERROR(VALUE(SUBSTITUTE(TRIM('수출입 실적(신성질별)'!D491),",","")),"")</f>
        <v>7223537</v>
      </c>
      <c r="H487" s="18" t="n">
        <f aca="false">IFERROR(VALUE(SUBSTITUTE(TRIM('수출입 실적(신성질별)'!E491),",","")),"")</f>
        <v>30375367.2</v>
      </c>
      <c r="I487" s="19" t="n">
        <f aca="false">IFERROR(VALUE(SUBSTITUTE(TRIM('수출입 실적(신성질별)'!F491),",","")),"")</f>
        <v>17663319</v>
      </c>
    </row>
    <row r="488" customFormat="false" ht="15" hidden="false" customHeight="true" outlineLevel="0" collapsed="false">
      <c r="A488" s="11" t="str">
        <f aca="false">TRIM('수출입 실적(신성질별)'!A492)</f>
        <v>2026.05</v>
      </c>
      <c r="B488" s="17" t="n">
        <f aca="false">IFERROR(VALUE(LEFT($A488,4)),"")</f>
        <v>2026</v>
      </c>
      <c r="C488" s="17" t="n">
        <f aca="false">IFERROR(VALUE(RIGHT($A488,2)),"")</f>
        <v>5</v>
      </c>
      <c r="D488" s="17" t="n">
        <f aca="false">IFERROR(ROUNDUP($C488/3,0),"")</f>
        <v>2</v>
      </c>
      <c r="E488" s="11" t="str">
        <f aca="false">TRIM('수출입 실적(신성질별)'!B492)</f>
        <v>라.철강 및 금속제품</v>
      </c>
      <c r="F488" s="18" t="n">
        <f aca="false">IFERROR(VALUE(SUBSTITUTE(TRIM('수출입 실적(신성질별)'!C492),",","")),"")</f>
        <v>2579189.3</v>
      </c>
      <c r="G488" s="19" t="n">
        <f aca="false">IFERROR(VALUE(SUBSTITUTE(TRIM('수출입 실적(신성질별)'!D492),",","")),"")</f>
        <v>3767266</v>
      </c>
      <c r="H488" s="18" t="n">
        <f aca="false">IFERROR(VALUE(SUBSTITUTE(TRIM('수출입 실적(신성질별)'!E492),",","")),"")</f>
        <v>1591713.4</v>
      </c>
      <c r="I488" s="19" t="n">
        <f aca="false">IFERROR(VALUE(SUBSTITUTE(TRIM('수출입 실적(신성질별)'!F492),",","")),"")</f>
        <v>3280748</v>
      </c>
    </row>
    <row r="489" customFormat="false" ht="15" hidden="false" customHeight="true" outlineLevel="0" collapsed="false">
      <c r="A489" s="11" t="str">
        <f aca="false">TRIM('수출입 실적(신성질별)'!A493)</f>
        <v>2026.05</v>
      </c>
      <c r="B489" s="17" t="n">
        <f aca="false">IFERROR(VALUE(LEFT($A489,4)),"")</f>
        <v>2026</v>
      </c>
      <c r="C489" s="17" t="n">
        <f aca="false">IFERROR(VALUE(RIGHT($A489,2)),"")</f>
        <v>5</v>
      </c>
      <c r="D489" s="17" t="n">
        <f aca="false">IFERROR(ROUNDUP($C489/3,0),"")</f>
        <v>2</v>
      </c>
      <c r="E489" s="11" t="str">
        <f aca="false">TRIM('수출입 실적(신성질별)'!B493)</f>
        <v>마.화학공업제품</v>
      </c>
      <c r="F489" s="18" t="n">
        <f aca="false">IFERROR(VALUE(SUBSTITUTE(TRIM('수출입 실적(신성질별)'!C493),",","")),"")</f>
        <v>3112628</v>
      </c>
      <c r="G489" s="19" t="n">
        <f aca="false">IFERROR(VALUE(SUBSTITUTE(TRIM('수출입 실적(신성질별)'!D493),",","")),"")</f>
        <v>7407806</v>
      </c>
      <c r="H489" s="18" t="n">
        <f aca="false">IFERROR(VALUE(SUBSTITUTE(TRIM('수출입 실적(신성질별)'!E493),",","")),"")</f>
        <v>1895265.1</v>
      </c>
      <c r="I489" s="19" t="n">
        <f aca="false">IFERROR(VALUE(SUBSTITUTE(TRIM('수출입 실적(신성질별)'!F493),",","")),"")</f>
        <v>5709233</v>
      </c>
    </row>
    <row r="490" customFormat="false" ht="15" hidden="false" customHeight="true" outlineLevel="0" collapsed="false">
      <c r="A490" s="11" t="str">
        <f aca="false">TRIM('수출입 실적(신성질별)'!A494)</f>
        <v>2026.05</v>
      </c>
      <c r="B490" s="17" t="n">
        <f aca="false">IFERROR(VALUE(LEFT($A490,4)),"")</f>
        <v>2026</v>
      </c>
      <c r="C490" s="17" t="n">
        <f aca="false">IFERROR(VALUE(RIGHT($A490,2)),"")</f>
        <v>5</v>
      </c>
      <c r="D490" s="17" t="n">
        <f aca="false">IFERROR(ROUNDUP($C490/3,0),"")</f>
        <v>2</v>
      </c>
      <c r="E490" s="11" t="str">
        <f aca="false">TRIM('수출입 실적(신성질별)'!B494)</f>
        <v>바.기타 원자재</v>
      </c>
      <c r="F490" s="18" t="n">
        <f aca="false">IFERROR(VALUE(SUBSTITUTE(TRIM('수출입 실적(신성질별)'!C494),",","")),"")</f>
        <v>2007.8</v>
      </c>
      <c r="G490" s="19" t="n">
        <f aca="false">IFERROR(VALUE(SUBSTITUTE(TRIM('수출입 실적(신성질별)'!D494),",","")),"")</f>
        <v>8854</v>
      </c>
      <c r="H490" s="18" t="n">
        <f aca="false">IFERROR(VALUE(SUBSTITUTE(TRIM('수출입 실적(신성질별)'!E494),",","")),"")</f>
        <v>3139.1</v>
      </c>
      <c r="I490" s="19" t="n">
        <f aca="false">IFERROR(VALUE(SUBSTITUTE(TRIM('수출입 실적(신성질별)'!F494),",","")),"")</f>
        <v>7360</v>
      </c>
    </row>
    <row r="491" customFormat="false" ht="15" hidden="false" customHeight="true" outlineLevel="0" collapsed="false">
      <c r="A491" s="11" t="str">
        <f aca="false">TRIM('수출입 실적(신성질별)'!A495)</f>
        <v>2026.05</v>
      </c>
      <c r="B491" s="17" t="n">
        <f aca="false">IFERROR(VALUE(LEFT($A491,4)),"")</f>
        <v>2026</v>
      </c>
      <c r="C491" s="17" t="n">
        <f aca="false">IFERROR(VALUE(RIGHT($A491,2)),"")</f>
        <v>5</v>
      </c>
      <c r="D491" s="17" t="n">
        <f aca="false">IFERROR(ROUNDUP($C491/3,0),"")</f>
        <v>2</v>
      </c>
      <c r="E491" s="11" t="str">
        <f aca="false">TRIM('수출입 실적(신성질별)'!B495)</f>
        <v>3.자본재</v>
      </c>
      <c r="F491" s="18" t="n">
        <f aca="false">IFERROR(VALUE(SUBSTITUTE(TRIM('수출입 실적(신성질별)'!C495),",","")),"")</f>
        <v>1613546.5</v>
      </c>
      <c r="G491" s="19" t="n">
        <f aca="false">IFERROR(VALUE(SUBSTITUTE(TRIM('수출입 실적(신성질별)'!D495),",","")),"")</f>
        <v>60384076</v>
      </c>
      <c r="H491" s="18" t="n">
        <f aca="false">IFERROR(VALUE(SUBSTITUTE(TRIM('수출입 실적(신성질별)'!E495),",","")),"")</f>
        <v>1225994.5</v>
      </c>
      <c r="I491" s="19" t="n">
        <f aca="false">IFERROR(VALUE(SUBSTITUTE(TRIM('수출입 실적(신성질별)'!F495),",","")),"")</f>
        <v>24903071</v>
      </c>
    </row>
    <row r="492" customFormat="false" ht="15" hidden="false" customHeight="true" outlineLevel="0" collapsed="false">
      <c r="A492" s="11" t="str">
        <f aca="false">TRIM('수출입 실적(신성질별)'!A496)</f>
        <v>2026.05</v>
      </c>
      <c r="B492" s="17" t="n">
        <f aca="false">IFERROR(VALUE(LEFT($A492,4)),"")</f>
        <v>2026</v>
      </c>
      <c r="C492" s="17" t="n">
        <f aca="false">IFERROR(VALUE(RIGHT($A492,2)),"")</f>
        <v>5</v>
      </c>
      <c r="D492" s="17" t="n">
        <f aca="false">IFERROR(ROUNDUP($C492/3,0),"")</f>
        <v>2</v>
      </c>
      <c r="E492" s="11" t="str">
        <f aca="false">TRIM('수출입 실적(신성질별)'!B496)</f>
        <v>가.수송장비</v>
      </c>
      <c r="F492" s="18" t="n">
        <f aca="false">IFERROR(VALUE(SUBSTITUTE(TRIM('수출입 실적(신성질별)'!C496),",","")),"")</f>
        <v>966339.2</v>
      </c>
      <c r="G492" s="19" t="n">
        <f aca="false">IFERROR(VALUE(SUBSTITUTE(TRIM('수출입 실적(신성질별)'!D496),",","")),"")</f>
        <v>6396274</v>
      </c>
      <c r="H492" s="18" t="n">
        <f aca="false">IFERROR(VALUE(SUBSTITUTE(TRIM('수출입 실적(신성질별)'!E496),",","")),"")</f>
        <v>625793.2</v>
      </c>
      <c r="I492" s="19" t="n">
        <f aca="false">IFERROR(VALUE(SUBSTITUTE(TRIM('수출입 실적(신성질별)'!F496),",","")),"")</f>
        <v>2280541</v>
      </c>
    </row>
    <row r="493" customFormat="false" ht="15" hidden="false" customHeight="true" outlineLevel="0" collapsed="false">
      <c r="A493" s="11" t="str">
        <f aca="false">TRIM('수출입 실적(신성질별)'!A497)</f>
        <v>2026.05</v>
      </c>
      <c r="B493" s="17" t="n">
        <f aca="false">IFERROR(VALUE(LEFT($A493,4)),"")</f>
        <v>2026</v>
      </c>
      <c r="C493" s="17" t="n">
        <f aca="false">IFERROR(VALUE(RIGHT($A493,2)),"")</f>
        <v>5</v>
      </c>
      <c r="D493" s="17" t="n">
        <f aca="false">IFERROR(ROUNDUP($C493/3,0),"")</f>
        <v>2</v>
      </c>
      <c r="E493" s="11" t="str">
        <f aca="false">TRIM('수출입 실적(신성질별)'!B497)</f>
        <v>나.기계류</v>
      </c>
      <c r="F493" s="18" t="n">
        <f aca="false">IFERROR(VALUE(SUBSTITUTE(TRIM('수출입 실적(신성질별)'!C497),",","")),"")</f>
        <v>609298.7</v>
      </c>
      <c r="G493" s="19" t="n">
        <f aca="false">IFERROR(VALUE(SUBSTITUTE(TRIM('수출입 실적(신성질별)'!D497),",","")),"")</f>
        <v>8429178</v>
      </c>
      <c r="H493" s="18" t="n">
        <f aca="false">IFERROR(VALUE(SUBSTITUTE(TRIM('수출입 실적(신성질별)'!E497),",","")),"")</f>
        <v>551007.5</v>
      </c>
      <c r="I493" s="19" t="n">
        <f aca="false">IFERROR(VALUE(SUBSTITUTE(TRIM('수출입 실적(신성질별)'!F497),",","")),"")</f>
        <v>9703627</v>
      </c>
    </row>
    <row r="494" customFormat="false" ht="15" hidden="false" customHeight="true" outlineLevel="0" collapsed="false">
      <c r="A494" s="11" t="str">
        <f aca="false">TRIM('수출입 실적(신성질별)'!A498)</f>
        <v>2026.05</v>
      </c>
      <c r="B494" s="17" t="n">
        <f aca="false">IFERROR(VALUE(LEFT($A494,4)),"")</f>
        <v>2026</v>
      </c>
      <c r="C494" s="17" t="n">
        <f aca="false">IFERROR(VALUE(RIGHT($A494,2)),"")</f>
        <v>5</v>
      </c>
      <c r="D494" s="17" t="n">
        <f aca="false">IFERROR(ROUNDUP($C494/3,0),"")</f>
        <v>2</v>
      </c>
      <c r="E494" s="11" t="str">
        <f aca="false">TRIM('수출입 실적(신성질별)'!B498)</f>
        <v>다.IT제품</v>
      </c>
      <c r="F494" s="18" t="n">
        <f aca="false">IFERROR(VALUE(SUBSTITUTE(TRIM('수출입 실적(신성질별)'!C498),",","")),"")</f>
        <v>11817.7</v>
      </c>
      <c r="G494" s="19" t="n">
        <f aca="false">IFERROR(VALUE(SUBSTITUTE(TRIM('수출입 실적(신성질별)'!D498),",","")),"")</f>
        <v>6917946</v>
      </c>
      <c r="H494" s="18" t="n">
        <f aca="false">IFERROR(VALUE(SUBSTITUTE(TRIM('수출입 실적(신성질별)'!E498),",","")),"")</f>
        <v>16017.4</v>
      </c>
      <c r="I494" s="19" t="n">
        <f aca="false">IFERROR(VALUE(SUBSTITUTE(TRIM('수출입 실적(신성질별)'!F498),",","")),"")</f>
        <v>2661576</v>
      </c>
    </row>
    <row r="495" customFormat="false" ht="15" hidden="false" customHeight="true" outlineLevel="0" collapsed="false">
      <c r="A495" s="11" t="str">
        <f aca="false">TRIM('수출입 실적(신성질별)'!A499)</f>
        <v>2026.05</v>
      </c>
      <c r="B495" s="17" t="n">
        <f aca="false">IFERROR(VALUE(LEFT($A495,4)),"")</f>
        <v>2026</v>
      </c>
      <c r="C495" s="17" t="n">
        <f aca="false">IFERROR(VALUE(RIGHT($A495,2)),"")</f>
        <v>5</v>
      </c>
      <c r="D495" s="17" t="n">
        <f aca="false">IFERROR(ROUNDUP($C495/3,0),"")</f>
        <v>2</v>
      </c>
      <c r="E495" s="11" t="str">
        <f aca="false">TRIM('수출입 실적(신성질별)'!B499)</f>
        <v>라.IT부품</v>
      </c>
      <c r="F495" s="18" t="n">
        <f aca="false">IFERROR(VALUE(SUBSTITUTE(TRIM('수출입 실적(신성질별)'!C499),",","")),"")</f>
        <v>26091</v>
      </c>
      <c r="G495" s="19" t="n">
        <f aca="false">IFERROR(VALUE(SUBSTITUTE(TRIM('수출입 실적(신성질별)'!D499),",","")),"")</f>
        <v>38640678</v>
      </c>
      <c r="H495" s="18" t="n">
        <f aca="false">IFERROR(VALUE(SUBSTITUTE(TRIM('수출입 실적(신성질별)'!E499),",","")),"")</f>
        <v>33176.5</v>
      </c>
      <c r="I495" s="19" t="n">
        <f aca="false">IFERROR(VALUE(SUBSTITUTE(TRIM('수출입 실적(신성질별)'!F499),",","")),"")</f>
        <v>10257328</v>
      </c>
    </row>
    <row r="496" customFormat="false" ht="15" hidden="false" customHeight="true" outlineLevel="0" collapsed="false">
      <c r="A496" s="11" t="str">
        <f aca="false">TRIM('수출입 실적(신성질별)'!A500)</f>
        <v>2026.06</v>
      </c>
      <c r="B496" s="17" t="n">
        <f aca="false">IFERROR(VALUE(LEFT($A496,4)),"")</f>
        <v>2026</v>
      </c>
      <c r="C496" s="17" t="n">
        <f aca="false">IFERROR(VALUE(RIGHT($A496,2)),"")</f>
        <v>6</v>
      </c>
      <c r="D496" s="17" t="n">
        <f aca="false">IFERROR(ROUNDUP($C496/3,0),"")</f>
        <v>2</v>
      </c>
      <c r="E496" s="11" t="str">
        <f aca="false">TRIM('수출입 실적(신성질별)'!B500)</f>
        <v>1.소비재</v>
      </c>
      <c r="F496" s="18" t="n">
        <f aca="false">IFERROR(VALUE(SUBSTITUTE(TRIM('수출입 실적(신성질별)'!C500),",","")),"")</f>
        <v>970623.9</v>
      </c>
      <c r="G496" s="19" t="n">
        <f aca="false">IFERROR(VALUE(SUBSTITUTE(TRIM('수출입 실적(신성질별)'!D500),",","")),"")</f>
        <v>8762452</v>
      </c>
      <c r="H496" s="18" t="n">
        <f aca="false">IFERROR(VALUE(SUBSTITUTE(TRIM('수출입 실적(신성질별)'!E500),",","")),"")</f>
        <v>2171725.3</v>
      </c>
      <c r="I496" s="19" t="n">
        <f aca="false">IFERROR(VALUE(SUBSTITUTE(TRIM('수출입 실적(신성질별)'!F500),",","")),"")</f>
        <v>8022008</v>
      </c>
    </row>
    <row r="497" customFormat="false" ht="15" hidden="false" customHeight="true" outlineLevel="0" collapsed="false">
      <c r="A497" s="11" t="str">
        <f aca="false">TRIM('수출입 실적(신성질별)'!A501)</f>
        <v>2026.06</v>
      </c>
      <c r="B497" s="17" t="n">
        <f aca="false">IFERROR(VALUE(LEFT($A497,4)),"")</f>
        <v>2026</v>
      </c>
      <c r="C497" s="17" t="n">
        <f aca="false">IFERROR(VALUE(RIGHT($A497,2)),"")</f>
        <v>6</v>
      </c>
      <c r="D497" s="17" t="n">
        <f aca="false">IFERROR(ROUNDUP($C497/3,0),"")</f>
        <v>2</v>
      </c>
      <c r="E497" s="11" t="str">
        <f aca="false">TRIM('수출입 실적(신성질별)'!B501)</f>
        <v>가.직접소비재</v>
      </c>
      <c r="F497" s="18" t="n">
        <f aca="false">IFERROR(VALUE(SUBSTITUTE(TRIM('수출입 실적(신성질별)'!C501),",","")),"")</f>
        <v>307364.9</v>
      </c>
      <c r="G497" s="19" t="n">
        <f aca="false">IFERROR(VALUE(SUBSTITUTE(TRIM('수출입 실적(신성질별)'!D501),",","")),"")</f>
        <v>1070206</v>
      </c>
      <c r="H497" s="18" t="n">
        <f aca="false">IFERROR(VALUE(SUBSTITUTE(TRIM('수출입 실적(신성질별)'!E501),",","")),"")</f>
        <v>1727911.5</v>
      </c>
      <c r="I497" s="19" t="n">
        <f aca="false">IFERROR(VALUE(SUBSTITUTE(TRIM('수출입 실적(신성질별)'!F501),",","")),"")</f>
        <v>2841249</v>
      </c>
    </row>
    <row r="498" customFormat="false" ht="15" hidden="false" customHeight="true" outlineLevel="0" collapsed="false">
      <c r="A498" s="11" t="str">
        <f aca="false">TRIM('수출입 실적(신성질별)'!A502)</f>
        <v>2026.06</v>
      </c>
      <c r="B498" s="17" t="n">
        <f aca="false">IFERROR(VALUE(LEFT($A498,4)),"")</f>
        <v>2026</v>
      </c>
      <c r="C498" s="17" t="n">
        <f aca="false">IFERROR(VALUE(RIGHT($A498,2)),"")</f>
        <v>6</v>
      </c>
      <c r="D498" s="17" t="n">
        <f aca="false">IFERROR(ROUNDUP($C498/3,0),"")</f>
        <v>2</v>
      </c>
      <c r="E498" s="11" t="str">
        <f aca="false">TRIM('수출입 실적(신성질별)'!B502)</f>
        <v>나.내구소비재</v>
      </c>
      <c r="F498" s="18" t="n">
        <f aca="false">IFERROR(VALUE(SUBSTITUTE(TRIM('수출입 실적(신성질별)'!C502),",","")),"")</f>
        <v>477052.3</v>
      </c>
      <c r="G498" s="19" t="n">
        <f aca="false">IFERROR(VALUE(SUBSTITUTE(TRIM('수출입 실적(신성질별)'!D502),",","")),"")</f>
        <v>5522573</v>
      </c>
      <c r="H498" s="18" t="n">
        <f aca="false">IFERROR(VALUE(SUBSTITUTE(TRIM('수출입 실적(신성질별)'!E502),",","")),"")</f>
        <v>267494.2</v>
      </c>
      <c r="I498" s="19" t="n">
        <f aca="false">IFERROR(VALUE(SUBSTITUTE(TRIM('수출입 실적(신성질별)'!F502),",","")),"")</f>
        <v>2852037</v>
      </c>
    </row>
    <row r="499" customFormat="false" ht="15" hidden="false" customHeight="true" outlineLevel="0" collapsed="false">
      <c r="A499" s="11" t="str">
        <f aca="false">TRIM('수출입 실적(신성질별)'!A503)</f>
        <v>2026.06</v>
      </c>
      <c r="B499" s="17" t="n">
        <f aca="false">IFERROR(VALUE(LEFT($A499,4)),"")</f>
        <v>2026</v>
      </c>
      <c r="C499" s="17" t="n">
        <f aca="false">IFERROR(VALUE(RIGHT($A499,2)),"")</f>
        <v>6</v>
      </c>
      <c r="D499" s="17" t="n">
        <f aca="false">IFERROR(ROUNDUP($C499/3,0),"")</f>
        <v>2</v>
      </c>
      <c r="E499" s="11" t="str">
        <f aca="false">TRIM('수출입 실적(신성질별)'!B503)</f>
        <v>다.비내구소비재</v>
      </c>
      <c r="F499" s="18" t="n">
        <f aca="false">IFERROR(VALUE(SUBSTITUTE(TRIM('수출입 실적(신성질별)'!C503),",","")),"")</f>
        <v>182599.5</v>
      </c>
      <c r="G499" s="19" t="n">
        <f aca="false">IFERROR(VALUE(SUBSTITUTE(TRIM('수출입 실적(신성질별)'!D503),",","")),"")</f>
        <v>2166222</v>
      </c>
      <c r="H499" s="18" t="n">
        <f aca="false">IFERROR(VALUE(SUBSTITUTE(TRIM('수출입 실적(신성질별)'!E503),",","")),"")</f>
        <v>176319.5</v>
      </c>
      <c r="I499" s="19" t="n">
        <f aca="false">IFERROR(VALUE(SUBSTITUTE(TRIM('수출입 실적(신성질별)'!F503),",","")),"")</f>
        <v>2328722</v>
      </c>
    </row>
    <row r="500" customFormat="false" ht="15" hidden="false" customHeight="true" outlineLevel="0" collapsed="false">
      <c r="A500" s="11" t="str">
        <f aca="false">TRIM('수출입 실적(신성질별)'!A504)</f>
        <v>2026.06</v>
      </c>
      <c r="B500" s="17" t="n">
        <f aca="false">IFERROR(VALUE(LEFT($A500,4)),"")</f>
        <v>2026</v>
      </c>
      <c r="C500" s="17" t="n">
        <f aca="false">IFERROR(VALUE(RIGHT($A500,2)),"")</f>
        <v>6</v>
      </c>
      <c r="D500" s="17" t="n">
        <f aca="false">IFERROR(ROUNDUP($C500/3,0),"")</f>
        <v>2</v>
      </c>
      <c r="E500" s="11" t="str">
        <f aca="false">TRIM('수출입 실적(신성질별)'!B504)</f>
        <v>라.간이세율적용분</v>
      </c>
      <c r="F500" s="18" t="n">
        <f aca="false">IFERROR(VALUE(SUBSTITUTE(TRIM('수출입 실적(신성질별)'!C504),",","")),"")</f>
        <v>3607.2</v>
      </c>
      <c r="G500" s="19" t="n">
        <f aca="false">IFERROR(VALUE(SUBSTITUTE(TRIM('수출입 실적(신성질별)'!D504),",","")),"")</f>
        <v>3451</v>
      </c>
      <c r="H500" s="18" t="n">
        <f aca="false">IFERROR(VALUE(SUBSTITUTE(TRIM('수출입 실적(신성질별)'!E504),",","")),"")</f>
        <v>0</v>
      </c>
      <c r="I500" s="19" t="n">
        <f aca="false">IFERROR(VALUE(SUBSTITUTE(TRIM('수출입 실적(신성질별)'!F504),",","")),"")</f>
        <v>0</v>
      </c>
    </row>
    <row r="501" customFormat="false" ht="15" hidden="false" customHeight="true" outlineLevel="0" collapsed="false">
      <c r="A501" s="11" t="str">
        <f aca="false">TRIM('수출입 실적(신성질별)'!A505)</f>
        <v>2026.06</v>
      </c>
      <c r="B501" s="17" t="n">
        <f aca="false">IFERROR(VALUE(LEFT($A501,4)),"")</f>
        <v>2026</v>
      </c>
      <c r="C501" s="17" t="n">
        <f aca="false">IFERROR(VALUE(RIGHT($A501,2)),"")</f>
        <v>6</v>
      </c>
      <c r="D501" s="17" t="n">
        <f aca="false">IFERROR(ROUNDUP($C501/3,0),"")</f>
        <v>2</v>
      </c>
      <c r="E501" s="11" t="str">
        <f aca="false">TRIM('수출입 실적(신성질별)'!B505)</f>
        <v>2.원자재</v>
      </c>
      <c r="F501" s="18" t="n">
        <f aca="false">IFERROR(VALUE(SUBSTITUTE(TRIM('수출입 실적(신성질별)'!C505),",","")),"")</f>
        <v>12485223.1</v>
      </c>
      <c r="G501" s="19" t="n">
        <f aca="false">IFERROR(VALUE(SUBSTITUTE(TRIM('수출입 실적(신성질별)'!D505),",","")),"")</f>
        <v>20737509</v>
      </c>
      <c r="H501" s="18" t="n">
        <f aca="false">IFERROR(VALUE(SUBSTITUTE(TRIM('수출입 실적(신성질별)'!E505),",","")),"")</f>
        <v>39956009.6</v>
      </c>
      <c r="I501" s="19" t="n">
        <f aca="false">IFERROR(VALUE(SUBSTITUTE(TRIM('수출입 실적(신성질별)'!F505),",","")),"")</f>
        <v>29137952</v>
      </c>
    </row>
    <row r="502" customFormat="false" ht="15" hidden="false" customHeight="true" outlineLevel="0" collapsed="false">
      <c r="A502" s="11" t="str">
        <f aca="false">TRIM('수출입 실적(신성질별)'!A506)</f>
        <v>2026.06</v>
      </c>
      <c r="B502" s="17" t="n">
        <f aca="false">IFERROR(VALUE(LEFT($A502,4)),"")</f>
        <v>2026</v>
      </c>
      <c r="C502" s="17" t="n">
        <f aca="false">IFERROR(VALUE(RIGHT($A502,2)),"")</f>
        <v>6</v>
      </c>
      <c r="D502" s="17" t="n">
        <f aca="false">IFERROR(ROUNDUP($C502/3,0),"")</f>
        <v>2</v>
      </c>
      <c r="E502" s="11" t="str">
        <f aca="false">TRIM('수출입 실적(신성질별)'!B506)</f>
        <v>가.동식물성 연·원료</v>
      </c>
      <c r="F502" s="18" t="n">
        <f aca="false">IFERROR(VALUE(SUBSTITUTE(TRIM('수출입 실적(신성질별)'!C506),",","")),"")</f>
        <v>374799.2</v>
      </c>
      <c r="G502" s="19" t="n">
        <f aca="false">IFERROR(VALUE(SUBSTITUTE(TRIM('수출입 실적(신성질별)'!D506),",","")),"")</f>
        <v>479072</v>
      </c>
      <c r="H502" s="18" t="n">
        <f aca="false">IFERROR(VALUE(SUBSTITUTE(TRIM('수출입 실적(신성질별)'!E506),",","")),"")</f>
        <v>2851587.7</v>
      </c>
      <c r="I502" s="19" t="n">
        <f aca="false">IFERROR(VALUE(SUBSTITUTE(TRIM('수출입 실적(신성질별)'!F506),",","")),"")</f>
        <v>1604151</v>
      </c>
    </row>
    <row r="503" customFormat="false" ht="15" hidden="false" customHeight="true" outlineLevel="0" collapsed="false">
      <c r="A503" s="11" t="str">
        <f aca="false">TRIM('수출입 실적(신성질별)'!A507)</f>
        <v>2026.06</v>
      </c>
      <c r="B503" s="17" t="n">
        <f aca="false">IFERROR(VALUE(LEFT($A503,4)),"")</f>
        <v>2026</v>
      </c>
      <c r="C503" s="17" t="n">
        <f aca="false">IFERROR(VALUE(RIGHT($A503,2)),"")</f>
        <v>6</v>
      </c>
      <c r="D503" s="17" t="n">
        <f aca="false">IFERROR(ROUNDUP($C503/3,0),"")</f>
        <v>2</v>
      </c>
      <c r="E503" s="11" t="str">
        <f aca="false">TRIM('수출입 실적(신성질별)'!B507)</f>
        <v>나.섬유류</v>
      </c>
      <c r="F503" s="18" t="n">
        <f aca="false">IFERROR(VALUE(SUBSTITUTE(TRIM('수출입 실적(신성질별)'!C507),",","")),"")</f>
        <v>111178.4</v>
      </c>
      <c r="G503" s="19" t="n">
        <f aca="false">IFERROR(VALUE(SUBSTITUTE(TRIM('수출입 실적(신성질별)'!D507),",","")),"")</f>
        <v>577982</v>
      </c>
      <c r="H503" s="18" t="n">
        <f aca="false">IFERROR(VALUE(SUBSTITUTE(TRIM('수출입 실적(신성질별)'!E507),",","")),"")</f>
        <v>102598.1</v>
      </c>
      <c r="I503" s="19" t="n">
        <f aca="false">IFERROR(VALUE(SUBSTITUTE(TRIM('수출입 실적(신성질별)'!F507),",","")),"")</f>
        <v>370660</v>
      </c>
    </row>
    <row r="504" customFormat="false" ht="15" hidden="false" customHeight="true" outlineLevel="0" collapsed="false">
      <c r="A504" s="11" t="str">
        <f aca="false">TRIM('수출입 실적(신성질별)'!A508)</f>
        <v>2026.06</v>
      </c>
      <c r="B504" s="17" t="n">
        <f aca="false">IFERROR(VALUE(LEFT($A504,4)),"")</f>
        <v>2026</v>
      </c>
      <c r="C504" s="17" t="n">
        <f aca="false">IFERROR(VALUE(RIGHT($A504,2)),"")</f>
        <v>6</v>
      </c>
      <c r="D504" s="17" t="n">
        <f aca="false">IFERROR(ROUNDUP($C504/3,0),"")</f>
        <v>2</v>
      </c>
      <c r="E504" s="11" t="str">
        <f aca="false">TRIM('수출입 실적(신성질별)'!B508)</f>
        <v>다.광산물</v>
      </c>
      <c r="F504" s="18" t="n">
        <f aca="false">IFERROR(VALUE(SUBSTITUTE(TRIM('수출입 실적(신성질별)'!C508),",","")),"")</f>
        <v>5699194.1</v>
      </c>
      <c r="G504" s="19" t="n">
        <f aca="false">IFERROR(VALUE(SUBSTITUTE(TRIM('수출입 실적(신성질별)'!D508),",","")),"")</f>
        <v>7332370</v>
      </c>
      <c r="H504" s="18" t="n">
        <f aca="false">IFERROR(VALUE(SUBSTITUTE(TRIM('수출입 실적(신성질별)'!E508),",","")),"")</f>
        <v>33429264</v>
      </c>
      <c r="I504" s="19" t="n">
        <f aca="false">IFERROR(VALUE(SUBSTITUTE(TRIM('수출입 실적(신성질별)'!F508),",","")),"")</f>
        <v>17376435</v>
      </c>
    </row>
    <row r="505" customFormat="false" ht="15" hidden="false" customHeight="true" outlineLevel="0" collapsed="false">
      <c r="A505" s="11" t="str">
        <f aca="false">TRIM('수출입 실적(신성질별)'!A509)</f>
        <v>2026.06</v>
      </c>
      <c r="B505" s="17" t="n">
        <f aca="false">IFERROR(VALUE(LEFT($A505,4)),"")</f>
        <v>2026</v>
      </c>
      <c r="C505" s="17" t="n">
        <f aca="false">IFERROR(VALUE(RIGHT($A505,2)),"")</f>
        <v>6</v>
      </c>
      <c r="D505" s="17" t="n">
        <f aca="false">IFERROR(ROUNDUP($C505/3,0),"")</f>
        <v>2</v>
      </c>
      <c r="E505" s="11" t="str">
        <f aca="false">TRIM('수출입 실적(신성질별)'!B509)</f>
        <v>라.철강 및 금속제품</v>
      </c>
      <c r="F505" s="18" t="n">
        <f aca="false">IFERROR(VALUE(SUBSTITUTE(TRIM('수출입 실적(신성질별)'!C509),",","")),"")</f>
        <v>2707027.8</v>
      </c>
      <c r="G505" s="19" t="n">
        <f aca="false">IFERROR(VALUE(SUBSTITUTE(TRIM('수출입 실적(신성질별)'!D509),",","")),"")</f>
        <v>4036403</v>
      </c>
      <c r="H505" s="18" t="n">
        <f aca="false">IFERROR(VALUE(SUBSTITUTE(TRIM('수출입 실적(신성질별)'!E509),",","")),"")</f>
        <v>1741792.5</v>
      </c>
      <c r="I505" s="19" t="n">
        <f aca="false">IFERROR(VALUE(SUBSTITUTE(TRIM('수출입 실적(신성질별)'!F509),",","")),"")</f>
        <v>3917897</v>
      </c>
    </row>
    <row r="506" customFormat="false" ht="15" hidden="false" customHeight="true" outlineLevel="0" collapsed="false">
      <c r="A506" s="11" t="str">
        <f aca="false">TRIM('수출입 실적(신성질별)'!A510)</f>
        <v>2026.06</v>
      </c>
      <c r="B506" s="17" t="n">
        <f aca="false">IFERROR(VALUE(LEFT($A506,4)),"")</f>
        <v>2026</v>
      </c>
      <c r="C506" s="17" t="n">
        <f aca="false">IFERROR(VALUE(RIGHT($A506,2)),"")</f>
        <v>6</v>
      </c>
      <c r="D506" s="17" t="n">
        <f aca="false">IFERROR(ROUNDUP($C506/3,0),"")</f>
        <v>2</v>
      </c>
      <c r="E506" s="11" t="str">
        <f aca="false">TRIM('수출입 실적(신성질별)'!B510)</f>
        <v>마.화학공업제품</v>
      </c>
      <c r="F506" s="18" t="n">
        <f aca="false">IFERROR(VALUE(SUBSTITUTE(TRIM('수출입 실적(신성질별)'!C510),",","")),"")</f>
        <v>3590279.7</v>
      </c>
      <c r="G506" s="19" t="n">
        <f aca="false">IFERROR(VALUE(SUBSTITUTE(TRIM('수출입 실적(신성질별)'!D510),",","")),"")</f>
        <v>8299470</v>
      </c>
      <c r="H506" s="18" t="n">
        <f aca="false">IFERROR(VALUE(SUBSTITUTE(TRIM('수출입 실적(신성질별)'!E510),",","")),"")</f>
        <v>1827508.5</v>
      </c>
      <c r="I506" s="19" t="n">
        <f aca="false">IFERROR(VALUE(SUBSTITUTE(TRIM('수출입 실적(신성질별)'!F510),",","")),"")</f>
        <v>5859931</v>
      </c>
    </row>
    <row r="507" customFormat="false" ht="15" hidden="false" customHeight="true" outlineLevel="0" collapsed="false">
      <c r="A507" s="11" t="str">
        <f aca="false">TRIM('수출입 실적(신성질별)'!A511)</f>
        <v>2026.06</v>
      </c>
      <c r="B507" s="17" t="n">
        <f aca="false">IFERROR(VALUE(LEFT($A507,4)),"")</f>
        <v>2026</v>
      </c>
      <c r="C507" s="17" t="n">
        <f aca="false">IFERROR(VALUE(RIGHT($A507,2)),"")</f>
        <v>6</v>
      </c>
      <c r="D507" s="17" t="n">
        <f aca="false">IFERROR(ROUNDUP($C507/3,0),"")</f>
        <v>2</v>
      </c>
      <c r="E507" s="11" t="str">
        <f aca="false">TRIM('수출입 실적(신성질별)'!B511)</f>
        <v>바.기타 원자재</v>
      </c>
      <c r="F507" s="18" t="n">
        <f aca="false">IFERROR(VALUE(SUBSTITUTE(TRIM('수출입 실적(신성질별)'!C511),",","")),"")</f>
        <v>2743.8</v>
      </c>
      <c r="G507" s="19" t="n">
        <f aca="false">IFERROR(VALUE(SUBSTITUTE(TRIM('수출입 실적(신성질별)'!D511),",","")),"")</f>
        <v>12211</v>
      </c>
      <c r="H507" s="18" t="n">
        <f aca="false">IFERROR(VALUE(SUBSTITUTE(TRIM('수출입 실적(신성질별)'!E511),",","")),"")</f>
        <v>3258.8</v>
      </c>
      <c r="I507" s="19" t="n">
        <f aca="false">IFERROR(VALUE(SUBSTITUTE(TRIM('수출입 실적(신성질별)'!F511),",","")),"")</f>
        <v>8879</v>
      </c>
    </row>
    <row r="508" customFormat="false" ht="15" hidden="false" customHeight="true" outlineLevel="0" collapsed="false">
      <c r="A508" s="11" t="str">
        <f aca="false">TRIM('수출입 실적(신성질별)'!A512)</f>
        <v>2026.06</v>
      </c>
      <c r="B508" s="17" t="n">
        <f aca="false">IFERROR(VALUE(LEFT($A508,4)),"")</f>
        <v>2026</v>
      </c>
      <c r="C508" s="17" t="n">
        <f aca="false">IFERROR(VALUE(RIGHT($A508,2)),"")</f>
        <v>6</v>
      </c>
      <c r="D508" s="17" t="n">
        <f aca="false">IFERROR(ROUNDUP($C508/3,0),"")</f>
        <v>2</v>
      </c>
      <c r="E508" s="11" t="str">
        <f aca="false">TRIM('수출입 실적(신성질별)'!B512)</f>
        <v>3.자본재</v>
      </c>
      <c r="F508" s="18" t="n">
        <f aca="false">IFERROR(VALUE(SUBSTITUTE(TRIM('수출입 실적(신성질별)'!C512),",","")),"")</f>
        <v>2232078.8</v>
      </c>
      <c r="G508" s="19" t="n">
        <f aca="false">IFERROR(VALUE(SUBSTITUTE(TRIM('수출입 실적(신성질별)'!D512),",","")),"")</f>
        <v>72456198</v>
      </c>
      <c r="H508" s="18" t="n">
        <f aca="false">IFERROR(VALUE(SUBSTITUTE(TRIM('수출입 실적(신성질별)'!E512),",","")),"")</f>
        <v>1561327.4</v>
      </c>
      <c r="I508" s="19" t="n">
        <f aca="false">IFERROR(VALUE(SUBSTITUTE(TRIM('수출입 실적(신성질별)'!F512),",","")),"")</f>
        <v>28891626</v>
      </c>
    </row>
    <row r="509" customFormat="false" ht="15" hidden="false" customHeight="true" outlineLevel="0" collapsed="false">
      <c r="A509" s="11" t="str">
        <f aca="false">TRIM('수출입 실적(신성질별)'!A513)</f>
        <v>2026.06</v>
      </c>
      <c r="B509" s="17" t="n">
        <f aca="false">IFERROR(VALUE(LEFT($A509,4)),"")</f>
        <v>2026</v>
      </c>
      <c r="C509" s="17" t="n">
        <f aca="false">IFERROR(VALUE(RIGHT($A509,2)),"")</f>
        <v>6</v>
      </c>
      <c r="D509" s="17" t="n">
        <f aca="false">IFERROR(ROUNDUP($C509/3,0),"")</f>
        <v>2</v>
      </c>
      <c r="E509" s="11" t="str">
        <f aca="false">TRIM('수출입 실적(신성질별)'!B513)</f>
        <v>가.수송장비</v>
      </c>
      <c r="F509" s="18" t="n">
        <f aca="false">IFERROR(VALUE(SUBSTITUTE(TRIM('수출입 실적(신성질별)'!C513),",","")),"")</f>
        <v>1513598.1</v>
      </c>
      <c r="G509" s="19" t="n">
        <f aca="false">IFERROR(VALUE(SUBSTITUTE(TRIM('수출입 실적(신성질별)'!D513),",","")),"")</f>
        <v>7782611</v>
      </c>
      <c r="H509" s="18" t="n">
        <f aca="false">IFERROR(VALUE(SUBSTITUTE(TRIM('수출입 실적(신성질별)'!E513),",","")),"")</f>
        <v>880611.3</v>
      </c>
      <c r="I509" s="19" t="n">
        <f aca="false">IFERROR(VALUE(SUBSTITUTE(TRIM('수출입 실적(신성질별)'!F513),",","")),"")</f>
        <v>2736798</v>
      </c>
    </row>
    <row r="510" customFormat="false" ht="15" hidden="false" customHeight="true" outlineLevel="0" collapsed="false">
      <c r="A510" s="11" t="str">
        <f aca="false">TRIM('수출입 실적(신성질별)'!A514)</f>
        <v>2026.06</v>
      </c>
      <c r="B510" s="17" t="n">
        <f aca="false">IFERROR(VALUE(LEFT($A510,4)),"")</f>
        <v>2026</v>
      </c>
      <c r="C510" s="17" t="n">
        <f aca="false">IFERROR(VALUE(RIGHT($A510,2)),"")</f>
        <v>6</v>
      </c>
      <c r="D510" s="17" t="n">
        <f aca="false">IFERROR(ROUNDUP($C510/3,0),"")</f>
        <v>2</v>
      </c>
      <c r="E510" s="11" t="str">
        <f aca="false">TRIM('수출입 실적(신성질별)'!B514)</f>
        <v>나.기계류</v>
      </c>
      <c r="F510" s="18" t="n">
        <f aca="false">IFERROR(VALUE(SUBSTITUTE(TRIM('수출입 실적(신성질별)'!C514),",","")),"")</f>
        <v>674747.4</v>
      </c>
      <c r="G510" s="19" t="n">
        <f aca="false">IFERROR(VALUE(SUBSTITUTE(TRIM('수출입 실적(신성질별)'!D514),",","")),"")</f>
        <v>9881074</v>
      </c>
      <c r="H510" s="18" t="n">
        <f aca="false">IFERROR(VALUE(SUBSTITUTE(TRIM('수출입 실적(신성질별)'!E514),",","")),"")</f>
        <v>624580</v>
      </c>
      <c r="I510" s="19" t="n">
        <f aca="false">IFERROR(VALUE(SUBSTITUTE(TRIM('수출입 실적(신성질별)'!F514),",","")),"")</f>
        <v>11003444</v>
      </c>
    </row>
    <row r="511" customFormat="false" ht="15" hidden="false" customHeight="true" outlineLevel="0" collapsed="false">
      <c r="A511" s="11" t="str">
        <f aca="false">TRIM('수출입 실적(신성질별)'!A515)</f>
        <v>2026.06</v>
      </c>
      <c r="B511" s="17" t="n">
        <f aca="false">IFERROR(VALUE(LEFT($A511,4)),"")</f>
        <v>2026</v>
      </c>
      <c r="C511" s="17" t="n">
        <f aca="false">IFERROR(VALUE(RIGHT($A511,2)),"")</f>
        <v>6</v>
      </c>
      <c r="D511" s="17" t="n">
        <f aca="false">IFERROR(ROUNDUP($C511/3,0),"")</f>
        <v>2</v>
      </c>
      <c r="E511" s="11" t="str">
        <f aca="false">TRIM('수출입 실적(신성질별)'!B515)</f>
        <v>다.IT제품</v>
      </c>
      <c r="F511" s="18" t="n">
        <f aca="false">IFERROR(VALUE(SUBSTITUTE(TRIM('수출입 실적(신성질별)'!C515),",","")),"")</f>
        <v>13900.7</v>
      </c>
      <c r="G511" s="19" t="n">
        <f aca="false">IFERROR(VALUE(SUBSTITUTE(TRIM('수출입 실적(신성질별)'!D515),",","")),"")</f>
        <v>8325417</v>
      </c>
      <c r="H511" s="18" t="n">
        <f aca="false">IFERROR(VALUE(SUBSTITUTE(TRIM('수출입 실적(신성질별)'!E515),",","")),"")</f>
        <v>19277.6</v>
      </c>
      <c r="I511" s="19" t="n">
        <f aca="false">IFERROR(VALUE(SUBSTITUTE(TRIM('수출입 실적(신성질별)'!F515),",","")),"")</f>
        <v>3522103</v>
      </c>
    </row>
    <row r="512" customFormat="false" ht="15" hidden="false" customHeight="true" outlineLevel="0" collapsed="false">
      <c r="A512" s="11" t="str">
        <f aca="false">TRIM('수출입 실적(신성질별)'!A516)</f>
        <v>2026.06</v>
      </c>
      <c r="B512" s="17" t="n">
        <f aca="false">IFERROR(VALUE(LEFT($A512,4)),"")</f>
        <v>2026</v>
      </c>
      <c r="C512" s="17" t="n">
        <f aca="false">IFERROR(VALUE(RIGHT($A512,2)),"")</f>
        <v>6</v>
      </c>
      <c r="D512" s="17" t="n">
        <f aca="false">IFERROR(ROUNDUP($C512/3,0),"")</f>
        <v>2</v>
      </c>
      <c r="E512" s="11" t="str">
        <f aca="false">TRIM('수출입 실적(신성질별)'!B516)</f>
        <v>라.IT부품</v>
      </c>
      <c r="F512" s="18" t="n">
        <f aca="false">IFERROR(VALUE(SUBSTITUTE(TRIM('수출입 실적(신성질별)'!C516),",","")),"")</f>
        <v>29832.6</v>
      </c>
      <c r="G512" s="19" t="n">
        <f aca="false">IFERROR(VALUE(SUBSTITUTE(TRIM('수출입 실적(신성질별)'!D516),",","")),"")</f>
        <v>46467096</v>
      </c>
      <c r="H512" s="18" t="n">
        <f aca="false">IFERROR(VALUE(SUBSTITUTE(TRIM('수출입 실적(신성질별)'!E516),",","")),"")</f>
        <v>36858.5</v>
      </c>
      <c r="I512" s="19" t="n">
        <f aca="false">IFERROR(VALUE(SUBSTITUTE(TRIM('수출입 실적(신성질별)'!F516),",","")),"")</f>
        <v>11629282</v>
      </c>
    </row>
    <row r="513" customFormat="false" ht="15" hidden="false" customHeight="true" outlineLevel="0" collapsed="false">
      <c r="A513" s="11" t="str">
        <f aca="false">TRIM('수출입 실적(신성질별)'!A517)</f>
        <v>2026.07</v>
      </c>
      <c r="B513" s="17" t="n">
        <f aca="false">IFERROR(VALUE(LEFT($A513,4)),"")</f>
        <v>2026</v>
      </c>
      <c r="C513" s="17" t="n">
        <f aca="false">IFERROR(VALUE(RIGHT($A513,2)),"")</f>
        <v>7</v>
      </c>
      <c r="D513" s="17" t="n">
        <f aca="false">IFERROR(ROUNDUP($C513/3,0),"")</f>
        <v>3</v>
      </c>
      <c r="E513" s="11" t="str">
        <f aca="false">TRIM('수출입 실적(신성질별)'!B517)</f>
        <v>1.소비재</v>
      </c>
      <c r="F513" s="18" t="n">
        <f aca="false">IFERROR(VALUE(SUBSTITUTE(TRIM('수출입 실적(신성질별)'!C517),",","")),"")</f>
        <v>969787.3</v>
      </c>
      <c r="G513" s="19" t="n">
        <f aca="false">IFERROR(VALUE(SUBSTITUTE(TRIM('수출입 실적(신성질별)'!D517),",","")),"")</f>
        <v>8749031</v>
      </c>
      <c r="H513" s="18" t="n">
        <f aca="false">IFERROR(VALUE(SUBSTITUTE(TRIM('수출입 실적(신성질별)'!E517),",","")),"")</f>
        <v>2208555.1</v>
      </c>
      <c r="I513" s="19" t="n">
        <f aca="false">IFERROR(VALUE(SUBSTITUTE(TRIM('수출입 실적(신성질별)'!F517),",","")),"")</f>
        <v>7785820</v>
      </c>
    </row>
    <row r="514" customFormat="false" ht="15" hidden="false" customHeight="true" outlineLevel="0" collapsed="false">
      <c r="A514" s="11" t="str">
        <f aca="false">TRIM('수출입 실적(신성질별)'!A518)</f>
        <v>2026.07</v>
      </c>
      <c r="B514" s="17" t="n">
        <f aca="false">IFERROR(VALUE(LEFT($A514,4)),"")</f>
        <v>2026</v>
      </c>
      <c r="C514" s="17" t="n">
        <f aca="false">IFERROR(VALUE(RIGHT($A514,2)),"")</f>
        <v>7</v>
      </c>
      <c r="D514" s="17" t="n">
        <f aca="false">IFERROR(ROUNDUP($C514/3,0),"")</f>
        <v>3</v>
      </c>
      <c r="E514" s="11" t="str">
        <f aca="false">TRIM('수출입 실적(신성질별)'!B518)</f>
        <v>가.직접소비재</v>
      </c>
      <c r="F514" s="18" t="n">
        <f aca="false">IFERROR(VALUE(SUBSTITUTE(TRIM('수출입 실적(신성질별)'!C518),",","")),"")</f>
        <v>296208.7</v>
      </c>
      <c r="G514" s="19" t="n">
        <f aca="false">IFERROR(VALUE(SUBSTITUTE(TRIM('수출입 실적(신성질별)'!D518),",","")),"")</f>
        <v>1020785</v>
      </c>
      <c r="H514" s="18" t="n">
        <f aca="false">IFERROR(VALUE(SUBSTITUTE(TRIM('수출입 실적(신성질별)'!E518),",","")),"")</f>
        <v>1797081</v>
      </c>
      <c r="I514" s="19" t="n">
        <f aca="false">IFERROR(VALUE(SUBSTITUTE(TRIM('수출입 실적(신성질별)'!F518),",","")),"")</f>
        <v>2852567</v>
      </c>
    </row>
    <row r="515" customFormat="false" ht="15" hidden="false" customHeight="true" outlineLevel="0" collapsed="false">
      <c r="A515" s="11" t="str">
        <f aca="false">TRIM('수출입 실적(신성질별)'!A519)</f>
        <v>2026.07</v>
      </c>
      <c r="B515" s="17" t="n">
        <f aca="false">IFERROR(VALUE(LEFT($A515,4)),"")</f>
        <v>2026</v>
      </c>
      <c r="C515" s="17" t="n">
        <f aca="false">IFERROR(VALUE(RIGHT($A515,2)),"")</f>
        <v>7</v>
      </c>
      <c r="D515" s="17" t="n">
        <f aca="false">IFERROR(ROUNDUP($C515/3,0),"")</f>
        <v>3</v>
      </c>
      <c r="E515" s="11" t="str">
        <f aca="false">TRIM('수출입 실적(신성질별)'!B519)</f>
        <v>나.내구소비재</v>
      </c>
      <c r="F515" s="18" t="n">
        <f aca="false">IFERROR(VALUE(SUBSTITUTE(TRIM('수출입 실적(신성질별)'!C519),",","")),"")</f>
        <v>485732.2</v>
      </c>
      <c r="G515" s="19" t="n">
        <f aca="false">IFERROR(VALUE(SUBSTITUTE(TRIM('수출입 실적(신성질별)'!D519),",","")),"")</f>
        <v>5560337</v>
      </c>
      <c r="H515" s="18" t="n">
        <f aca="false">IFERROR(VALUE(SUBSTITUTE(TRIM('수출입 실적(신성질별)'!E519),",","")),"")</f>
        <v>243967.1</v>
      </c>
      <c r="I515" s="19" t="n">
        <f aca="false">IFERROR(VALUE(SUBSTITUTE(TRIM('수출입 실적(신성질별)'!F519),",","")),"")</f>
        <v>2612543</v>
      </c>
    </row>
    <row r="516" customFormat="false" ht="15" hidden="false" customHeight="true" outlineLevel="0" collapsed="false">
      <c r="A516" s="11" t="str">
        <f aca="false">TRIM('수출입 실적(신성질별)'!A520)</f>
        <v>2026.07</v>
      </c>
      <c r="B516" s="17" t="n">
        <f aca="false">IFERROR(VALUE(LEFT($A516,4)),"")</f>
        <v>2026</v>
      </c>
      <c r="C516" s="17" t="n">
        <f aca="false">IFERROR(VALUE(RIGHT($A516,2)),"")</f>
        <v>7</v>
      </c>
      <c r="D516" s="17" t="n">
        <f aca="false">IFERROR(ROUNDUP($C516/3,0),"")</f>
        <v>3</v>
      </c>
      <c r="E516" s="11" t="str">
        <f aca="false">TRIM('수출입 실적(신성질별)'!B520)</f>
        <v>다.비내구소비재</v>
      </c>
      <c r="F516" s="18" t="n">
        <f aca="false">IFERROR(VALUE(SUBSTITUTE(TRIM('수출입 실적(신성질별)'!C520),",","")),"")</f>
        <v>184188.7</v>
      </c>
      <c r="G516" s="19" t="n">
        <f aca="false">IFERROR(VALUE(SUBSTITUTE(TRIM('수출입 실적(신성질별)'!D520),",","")),"")</f>
        <v>2163797</v>
      </c>
      <c r="H516" s="18" t="n">
        <f aca="false">IFERROR(VALUE(SUBSTITUTE(TRIM('수출입 실적(신성질별)'!E520),",","")),"")</f>
        <v>167507.1</v>
      </c>
      <c r="I516" s="19" t="n">
        <f aca="false">IFERROR(VALUE(SUBSTITUTE(TRIM('수출입 실적(신성질별)'!F520),",","")),"")</f>
        <v>2320711</v>
      </c>
    </row>
    <row r="517" customFormat="false" ht="15" hidden="false" customHeight="true" outlineLevel="0" collapsed="false">
      <c r="A517" s="11" t="str">
        <f aca="false">TRIM('수출입 실적(신성질별)'!A521)</f>
        <v>2026.07</v>
      </c>
      <c r="B517" s="17" t="n">
        <f aca="false">IFERROR(VALUE(LEFT($A517,4)),"")</f>
        <v>2026</v>
      </c>
      <c r="C517" s="17" t="n">
        <f aca="false">IFERROR(VALUE(RIGHT($A517,2)),"")</f>
        <v>7</v>
      </c>
      <c r="D517" s="17" t="n">
        <f aca="false">IFERROR(ROUNDUP($C517/3,0),"")</f>
        <v>3</v>
      </c>
      <c r="E517" s="11" t="str">
        <f aca="false">TRIM('수출입 실적(신성질별)'!B521)</f>
        <v>라.간이세율적용분</v>
      </c>
      <c r="F517" s="18" t="n">
        <f aca="false">IFERROR(VALUE(SUBSTITUTE(TRIM('수출입 실적(신성질별)'!C521),",","")),"")</f>
        <v>3657.8</v>
      </c>
      <c r="G517" s="19" t="n">
        <f aca="false">IFERROR(VALUE(SUBSTITUTE(TRIM('수출입 실적(신성질별)'!D521),",","")),"")</f>
        <v>4113</v>
      </c>
      <c r="H517" s="18" t="n">
        <f aca="false">IFERROR(VALUE(SUBSTITUTE(TRIM('수출입 실적(신성질별)'!E521),",","")),"")</f>
        <v>0</v>
      </c>
      <c r="I517" s="19" t="n">
        <f aca="false">IFERROR(VALUE(SUBSTITUTE(TRIM('수출입 실적(신성질별)'!F521),",","")),"")</f>
        <v>0</v>
      </c>
    </row>
    <row r="518" customFormat="false" ht="15" hidden="false" customHeight="true" outlineLevel="0" collapsed="false">
      <c r="A518" s="11" t="str">
        <f aca="false">TRIM('수출입 실적(신성질별)'!A522)</f>
        <v>2026.07</v>
      </c>
      <c r="B518" s="17" t="n">
        <f aca="false">IFERROR(VALUE(LEFT($A518,4)),"")</f>
        <v>2026</v>
      </c>
      <c r="C518" s="17" t="n">
        <f aca="false">IFERROR(VALUE(RIGHT($A518,2)),"")</f>
        <v>7</v>
      </c>
      <c r="D518" s="17" t="n">
        <f aca="false">IFERROR(ROUNDUP($C518/3,0),"")</f>
        <v>3</v>
      </c>
      <c r="E518" s="11" t="str">
        <f aca="false">TRIM('수출입 실적(신성질별)'!B522)</f>
        <v>2.원자재</v>
      </c>
      <c r="F518" s="18" t="n">
        <f aca="false">IFERROR(VALUE(SUBSTITUTE(TRIM('수출입 실적(신성질별)'!C522),",","")),"")</f>
        <v>14130712.5</v>
      </c>
      <c r="G518" s="19" t="n">
        <f aca="false">IFERROR(VALUE(SUBSTITUTE(TRIM('수출입 실적(신성질별)'!D522),",","")),"")</f>
        <v>20962899</v>
      </c>
      <c r="H518" s="18" t="n">
        <f aca="false">IFERROR(VALUE(SUBSTITUTE(TRIM('수출입 실적(신성질별)'!E522),",","")),"")</f>
        <v>47223447.5</v>
      </c>
      <c r="I518" s="19" t="n">
        <f aca="false">IFERROR(VALUE(SUBSTITUTE(TRIM('수출입 실적(신성질별)'!F522),",","")),"")</f>
        <v>31504435</v>
      </c>
    </row>
    <row r="519" customFormat="false" ht="15" hidden="false" customHeight="true" outlineLevel="0" collapsed="false">
      <c r="A519" s="11" t="str">
        <f aca="false">TRIM('수출입 실적(신성질별)'!A523)</f>
        <v>2026.07</v>
      </c>
      <c r="B519" s="17" t="n">
        <f aca="false">IFERROR(VALUE(LEFT($A519,4)),"")</f>
        <v>2026</v>
      </c>
      <c r="C519" s="17" t="n">
        <f aca="false">IFERROR(VALUE(RIGHT($A519,2)),"")</f>
        <v>7</v>
      </c>
      <c r="D519" s="17" t="n">
        <f aca="false">IFERROR(ROUNDUP($C519/3,0),"")</f>
        <v>3</v>
      </c>
      <c r="E519" s="11" t="str">
        <f aca="false">TRIM('수출입 실적(신성질별)'!B523)</f>
        <v>가.동식물성 연·원료</v>
      </c>
      <c r="F519" s="18" t="n">
        <f aca="false">IFERROR(VALUE(SUBSTITUTE(TRIM('수출입 실적(신성질별)'!C523),",","")),"")</f>
        <v>368973.8</v>
      </c>
      <c r="G519" s="19" t="n">
        <f aca="false">IFERROR(VALUE(SUBSTITUTE(TRIM('수출입 실적(신성질별)'!D523),",","")),"")</f>
        <v>483744</v>
      </c>
      <c r="H519" s="18" t="n">
        <f aca="false">IFERROR(VALUE(SUBSTITUTE(TRIM('수출입 실적(신성질별)'!E523),",","")),"")</f>
        <v>2891178</v>
      </c>
      <c r="I519" s="19" t="n">
        <f aca="false">IFERROR(VALUE(SUBSTITUTE(TRIM('수출입 실적(신성질별)'!F523),",","")),"")</f>
        <v>1598015</v>
      </c>
    </row>
    <row r="520" customFormat="false" ht="15" hidden="false" customHeight="true" outlineLevel="0" collapsed="false">
      <c r="A520" s="11" t="str">
        <f aca="false">TRIM('수출입 실적(신성질별)'!A524)</f>
        <v>2026.07</v>
      </c>
      <c r="B520" s="17" t="n">
        <f aca="false">IFERROR(VALUE(LEFT($A520,4)),"")</f>
        <v>2026</v>
      </c>
      <c r="C520" s="17" t="n">
        <f aca="false">IFERROR(VALUE(RIGHT($A520,2)),"")</f>
        <v>7</v>
      </c>
      <c r="D520" s="17" t="n">
        <f aca="false">IFERROR(ROUNDUP($C520/3,0),"")</f>
        <v>3</v>
      </c>
      <c r="E520" s="11" t="str">
        <f aca="false">TRIM('수출입 실적(신성질별)'!B524)</f>
        <v>나.섬유류</v>
      </c>
      <c r="F520" s="18" t="n">
        <f aca="false">IFERROR(VALUE(SUBSTITUTE(TRIM('수출입 실적(신성질별)'!C524),",","")),"")</f>
        <v>109069.5</v>
      </c>
      <c r="G520" s="19" t="n">
        <f aca="false">IFERROR(VALUE(SUBSTITUTE(TRIM('수출입 실적(신성질별)'!D524),",","")),"")</f>
        <v>593803</v>
      </c>
      <c r="H520" s="18" t="n">
        <f aca="false">IFERROR(VALUE(SUBSTITUTE(TRIM('수출입 실적(신성질별)'!E524),",","")),"")</f>
        <v>94179.2</v>
      </c>
      <c r="I520" s="19" t="n">
        <f aca="false">IFERROR(VALUE(SUBSTITUTE(TRIM('수출입 실적(신성질별)'!F524),",","")),"")</f>
        <v>332238</v>
      </c>
    </row>
    <row r="521" customFormat="false" ht="15" hidden="false" customHeight="true" outlineLevel="0" collapsed="false">
      <c r="A521" s="11" t="str">
        <f aca="false">TRIM('수출입 실적(신성질별)'!A525)</f>
        <v>2026.07</v>
      </c>
      <c r="B521" s="17" t="n">
        <f aca="false">IFERROR(VALUE(LEFT($A521,4)),"")</f>
        <v>2026</v>
      </c>
      <c r="C521" s="17" t="n">
        <f aca="false">IFERROR(VALUE(RIGHT($A521,2)),"")</f>
        <v>7</v>
      </c>
      <c r="D521" s="17" t="n">
        <f aca="false">IFERROR(ROUNDUP($C521/3,0),"")</f>
        <v>3</v>
      </c>
      <c r="E521" s="11" t="str">
        <f aca="false">TRIM('수출입 실적(신성질별)'!B525)</f>
        <v>다.광산물</v>
      </c>
      <c r="F521" s="18" t="n">
        <f aca="false">IFERROR(VALUE(SUBSTITUTE(TRIM('수출입 실적(신성질별)'!C525),",","")),"")</f>
        <v>6414652.4</v>
      </c>
      <c r="G521" s="19" t="n">
        <f aca="false">IFERROR(VALUE(SUBSTITUTE(TRIM('수출입 실적(신성질별)'!D525),",","")),"")</f>
        <v>7297526</v>
      </c>
      <c r="H521" s="18" t="n">
        <f aca="false">IFERROR(VALUE(SUBSTITUTE(TRIM('수출입 실적(신성질별)'!E525),",","")),"")</f>
        <v>40677757.6</v>
      </c>
      <c r="I521" s="19" t="n">
        <f aca="false">IFERROR(VALUE(SUBSTITUTE(TRIM('수출입 실적(신성질별)'!F525),",","")),"")</f>
        <v>20029876</v>
      </c>
    </row>
    <row r="522" customFormat="false" ht="15" hidden="false" customHeight="true" outlineLevel="0" collapsed="false">
      <c r="A522" s="11" t="str">
        <f aca="false">TRIM('수출입 실적(신성질별)'!A526)</f>
        <v>2026.07</v>
      </c>
      <c r="B522" s="17" t="n">
        <f aca="false">IFERROR(VALUE(LEFT($A522,4)),"")</f>
        <v>2026</v>
      </c>
      <c r="C522" s="17" t="n">
        <f aca="false">IFERROR(VALUE(RIGHT($A522,2)),"")</f>
        <v>7</v>
      </c>
      <c r="D522" s="17" t="n">
        <f aca="false">IFERROR(ROUNDUP($C522/3,0),"")</f>
        <v>3</v>
      </c>
      <c r="E522" s="11" t="str">
        <f aca="false">TRIM('수출입 실적(신성질별)'!B526)</f>
        <v>라.철강 및 금속제품</v>
      </c>
      <c r="F522" s="18" t="n">
        <f aca="false">IFERROR(VALUE(SUBSTITUTE(TRIM('수출입 실적(신성질별)'!C526),",","")),"")</f>
        <v>2987377</v>
      </c>
      <c r="G522" s="19" t="n">
        <f aca="false">IFERROR(VALUE(SUBSTITUTE(TRIM('수출입 실적(신성질별)'!D526),",","")),"")</f>
        <v>4137091</v>
      </c>
      <c r="H522" s="18" t="n">
        <f aca="false">IFERROR(VALUE(SUBSTITUTE(TRIM('수출입 실적(신성질별)'!E526),",","")),"")</f>
        <v>1711809</v>
      </c>
      <c r="I522" s="19" t="n">
        <f aca="false">IFERROR(VALUE(SUBSTITUTE(TRIM('수출입 실적(신성질별)'!F526),",","")),"")</f>
        <v>3724513</v>
      </c>
    </row>
    <row r="523" customFormat="false" ht="15" hidden="false" customHeight="true" outlineLevel="0" collapsed="false">
      <c r="A523" s="11" t="str">
        <f aca="false">TRIM('수출입 실적(신성질별)'!A527)</f>
        <v>2026.07</v>
      </c>
      <c r="B523" s="17" t="n">
        <f aca="false">IFERROR(VALUE(LEFT($A523,4)),"")</f>
        <v>2026</v>
      </c>
      <c r="C523" s="17" t="n">
        <f aca="false">IFERROR(VALUE(RIGHT($A523,2)),"")</f>
        <v>7</v>
      </c>
      <c r="D523" s="17" t="n">
        <f aca="false">IFERROR(ROUNDUP($C523/3,0),"")</f>
        <v>3</v>
      </c>
      <c r="E523" s="11" t="str">
        <f aca="false">TRIM('수출입 실적(신성질별)'!B527)</f>
        <v>마.화학공업제품</v>
      </c>
      <c r="F523" s="18" t="n">
        <f aca="false">IFERROR(VALUE(SUBSTITUTE(TRIM('수출입 실적(신성질별)'!C527),",","")),"")</f>
        <v>4247706.9</v>
      </c>
      <c r="G523" s="19" t="n">
        <f aca="false">IFERROR(VALUE(SUBSTITUTE(TRIM('수출입 실적(신성질별)'!D527),",","")),"")</f>
        <v>8437709</v>
      </c>
      <c r="H523" s="18" t="n">
        <f aca="false">IFERROR(VALUE(SUBSTITUTE(TRIM('수출입 실적(신성질별)'!E527),",","")),"")</f>
        <v>1846085.3</v>
      </c>
      <c r="I523" s="19" t="n">
        <f aca="false">IFERROR(VALUE(SUBSTITUTE(TRIM('수출입 실적(신성질별)'!F527),",","")),"")</f>
        <v>5813340</v>
      </c>
    </row>
    <row r="524" customFormat="false" ht="15" hidden="false" customHeight="true" outlineLevel="0" collapsed="false">
      <c r="A524" s="11" t="str">
        <f aca="false">TRIM('수출입 실적(신성질별)'!A528)</f>
        <v>2026.07</v>
      </c>
      <c r="B524" s="17" t="n">
        <f aca="false">IFERROR(VALUE(LEFT($A524,4)),"")</f>
        <v>2026</v>
      </c>
      <c r="C524" s="17" t="n">
        <f aca="false">IFERROR(VALUE(RIGHT($A524,2)),"")</f>
        <v>7</v>
      </c>
      <c r="D524" s="17" t="n">
        <f aca="false">IFERROR(ROUNDUP($C524/3,0),"")</f>
        <v>3</v>
      </c>
      <c r="E524" s="11" t="str">
        <f aca="false">TRIM('수출입 실적(신성질별)'!B528)</f>
        <v>바.기타 원자재</v>
      </c>
      <c r="F524" s="18" t="n">
        <f aca="false">IFERROR(VALUE(SUBSTITUTE(TRIM('수출입 실적(신성질별)'!C528),",","")),"")</f>
        <v>2933</v>
      </c>
      <c r="G524" s="19" t="n">
        <f aca="false">IFERROR(VALUE(SUBSTITUTE(TRIM('수출입 실적(신성질별)'!D528),",","")),"")</f>
        <v>13026</v>
      </c>
      <c r="H524" s="18" t="n">
        <f aca="false">IFERROR(VALUE(SUBSTITUTE(TRIM('수출입 실적(신성질별)'!E528),",","")),"")</f>
        <v>2438.4</v>
      </c>
      <c r="I524" s="19" t="n">
        <f aca="false">IFERROR(VALUE(SUBSTITUTE(TRIM('수출입 실적(신성질별)'!F528),",","")),"")</f>
        <v>6454</v>
      </c>
    </row>
    <row r="525" customFormat="false" ht="15" hidden="false" customHeight="true" outlineLevel="0" collapsed="false">
      <c r="A525" s="11" t="str">
        <f aca="false">TRIM('수출입 실적(신성질별)'!A529)</f>
        <v>2026.07</v>
      </c>
      <c r="B525" s="17" t="n">
        <f aca="false">IFERROR(VALUE(LEFT($A525,4)),"")</f>
        <v>2026</v>
      </c>
      <c r="C525" s="17" t="n">
        <f aca="false">IFERROR(VALUE(RIGHT($A525,2)),"")</f>
        <v>7</v>
      </c>
      <c r="D525" s="17" t="n">
        <f aca="false">IFERROR(ROUNDUP($C525/3,0),"")</f>
        <v>3</v>
      </c>
      <c r="E525" s="11" t="str">
        <f aca="false">TRIM('수출입 실적(신성질별)'!B529)</f>
        <v>3.자본재</v>
      </c>
      <c r="F525" s="18" t="n">
        <f aca="false">IFERROR(VALUE(SUBSTITUTE(TRIM('수출입 실적(신성질별)'!C529),",","")),"")</f>
        <v>2560180.9</v>
      </c>
      <c r="G525" s="19" t="n">
        <f aca="false">IFERROR(VALUE(SUBSTITUTE(TRIM('수출입 실적(신성질별)'!D529),",","")),"")</f>
        <v>69247169</v>
      </c>
      <c r="H525" s="18" t="n">
        <f aca="false">IFERROR(VALUE(SUBSTITUTE(TRIM('수출입 실적(신성질별)'!E529),",","")),"")</f>
        <v>1712173.6</v>
      </c>
      <c r="I525" s="19" t="n">
        <f aca="false">IFERROR(VALUE(SUBSTITUTE(TRIM('수출입 실적(신성질별)'!F529),",","")),"")</f>
        <v>29277218</v>
      </c>
    </row>
    <row r="526" customFormat="false" ht="15" hidden="false" customHeight="true" outlineLevel="0" collapsed="false">
      <c r="A526" s="11" t="str">
        <f aca="false">TRIM('수출입 실적(신성질별)'!A530)</f>
        <v>2026.07</v>
      </c>
      <c r="B526" s="17" t="n">
        <f aca="false">IFERROR(VALUE(LEFT($A526,4)),"")</f>
        <v>2026</v>
      </c>
      <c r="C526" s="17" t="n">
        <f aca="false">IFERROR(VALUE(RIGHT($A526,2)),"")</f>
        <v>7</v>
      </c>
      <c r="D526" s="17" t="n">
        <f aca="false">IFERROR(ROUNDUP($C526/3,0),"")</f>
        <v>3</v>
      </c>
      <c r="E526" s="11" t="str">
        <f aca="false">TRIM('수출입 실적(신성질별)'!B530)</f>
        <v>가.수송장비</v>
      </c>
      <c r="F526" s="18" t="n">
        <f aca="false">IFERROR(VALUE(SUBSTITUTE(TRIM('수출입 실적(신성질별)'!C530),",","")),"")</f>
        <v>1744671.4</v>
      </c>
      <c r="G526" s="19" t="n">
        <f aca="false">IFERROR(VALUE(SUBSTITUTE(TRIM('수출입 실적(신성질별)'!D530),",","")),"")</f>
        <v>8015260</v>
      </c>
      <c r="H526" s="18" t="n">
        <f aca="false">IFERROR(VALUE(SUBSTITUTE(TRIM('수출입 실적(신성질별)'!E530),",","")),"")</f>
        <v>1061102.8</v>
      </c>
      <c r="I526" s="19" t="n">
        <f aca="false">IFERROR(VALUE(SUBSTITUTE(TRIM('수출입 실적(신성질별)'!F530),",","")),"")</f>
        <v>2876659</v>
      </c>
    </row>
    <row r="527" customFormat="false" ht="15" hidden="false" customHeight="true" outlineLevel="0" collapsed="false">
      <c r="A527" s="11" t="str">
        <f aca="false">TRIM('수출입 실적(신성질별)'!A531)</f>
        <v>2026.07</v>
      </c>
      <c r="B527" s="17" t="n">
        <f aca="false">IFERROR(VALUE(LEFT($A527,4)),"")</f>
        <v>2026</v>
      </c>
      <c r="C527" s="17" t="n">
        <f aca="false">IFERROR(VALUE(RIGHT($A527,2)),"")</f>
        <v>7</v>
      </c>
      <c r="D527" s="17" t="n">
        <f aca="false">IFERROR(ROUNDUP($C527/3,0),"")</f>
        <v>3</v>
      </c>
      <c r="E527" s="11" t="str">
        <f aca="false">TRIM('수출입 실적(신성질별)'!B531)</f>
        <v>나.기계류</v>
      </c>
      <c r="F527" s="18" t="n">
        <f aca="false">IFERROR(VALUE(SUBSTITUTE(TRIM('수출입 실적(신성질별)'!C531),",","")),"")</f>
        <v>767350.8</v>
      </c>
      <c r="G527" s="19" t="n">
        <f aca="false">IFERROR(VALUE(SUBSTITUTE(TRIM('수출입 실적(신성질별)'!D531),",","")),"")</f>
        <v>10437690</v>
      </c>
      <c r="H527" s="18" t="n">
        <f aca="false">IFERROR(VALUE(SUBSTITUTE(TRIM('수출입 실적(신성질별)'!E531),",","")),"")</f>
        <v>601109.9</v>
      </c>
      <c r="I527" s="19" t="n">
        <f aca="false">IFERROR(VALUE(SUBSTITUTE(TRIM('수출입 실적(신성질별)'!F531),",","")),"")</f>
        <v>11061645</v>
      </c>
    </row>
    <row r="528" customFormat="false" ht="15" hidden="false" customHeight="true" outlineLevel="0" collapsed="false">
      <c r="A528" s="11" t="str">
        <f aca="false">TRIM('수출입 실적(신성질별)'!A532)</f>
        <v>2026.07</v>
      </c>
      <c r="B528" s="17" t="n">
        <f aca="false">IFERROR(VALUE(LEFT($A528,4)),"")</f>
        <v>2026</v>
      </c>
      <c r="C528" s="17" t="n">
        <f aca="false">IFERROR(VALUE(RIGHT($A528,2)),"")</f>
        <v>7</v>
      </c>
      <c r="D528" s="17" t="n">
        <f aca="false">IFERROR(ROUNDUP($C528/3,0),"")</f>
        <v>3</v>
      </c>
      <c r="E528" s="11" t="str">
        <f aca="false">TRIM('수출입 실적(신성질별)'!B532)</f>
        <v>다.IT제품</v>
      </c>
      <c r="F528" s="18" t="n">
        <f aca="false">IFERROR(VALUE(SUBSTITUTE(TRIM('수출입 실적(신성질별)'!C532),",","")),"")</f>
        <v>14677.3</v>
      </c>
      <c r="G528" s="19" t="n">
        <f aca="false">IFERROR(VALUE(SUBSTITUTE(TRIM('수출입 실적(신성질별)'!D532),",","")),"")</f>
        <v>8032683</v>
      </c>
      <c r="H528" s="18" t="n">
        <f aca="false">IFERROR(VALUE(SUBSTITUTE(TRIM('수출입 실적(신성질별)'!E532),",","")),"")</f>
        <v>16248.4</v>
      </c>
      <c r="I528" s="19" t="n">
        <f aca="false">IFERROR(VALUE(SUBSTITUTE(TRIM('수출입 실적(신성질별)'!F532),",","")),"")</f>
        <v>3670929</v>
      </c>
    </row>
    <row r="529" customFormat="false" ht="15" hidden="false" customHeight="true" outlineLevel="0" collapsed="false">
      <c r="A529" s="11" t="str">
        <f aca="false">TRIM('수출입 실적(신성질별)'!A533)</f>
        <v>2026.07</v>
      </c>
      <c r="B529" s="17" t="n">
        <f aca="false">IFERROR(VALUE(LEFT($A529,4)),"")</f>
        <v>2026</v>
      </c>
      <c r="C529" s="17" t="n">
        <f aca="false">IFERROR(VALUE(RIGHT($A529,2)),"")</f>
        <v>7</v>
      </c>
      <c r="D529" s="17" t="n">
        <f aca="false">IFERROR(ROUNDUP($C529/3,0),"")</f>
        <v>3</v>
      </c>
      <c r="E529" s="11" t="str">
        <f aca="false">TRIM('수출입 실적(신성질별)'!B533)</f>
        <v>라.IT부품</v>
      </c>
      <c r="F529" s="18" t="n">
        <f aca="false">IFERROR(VALUE(SUBSTITUTE(TRIM('수출입 실적(신성질별)'!C533),",","")),"")</f>
        <v>33481.3</v>
      </c>
      <c r="G529" s="19" t="n">
        <f aca="false">IFERROR(VALUE(SUBSTITUTE(TRIM('수출입 실적(신성질별)'!D533),",","")),"")</f>
        <v>42761535</v>
      </c>
      <c r="H529" s="18" t="n">
        <f aca="false">IFERROR(VALUE(SUBSTITUTE(TRIM('수출입 실적(신성질별)'!E533),",","")),"")</f>
        <v>33712.5</v>
      </c>
      <c r="I529" s="19" t="n">
        <f aca="false">IFERROR(VALUE(SUBSTITUTE(TRIM('수출입 실적(신성질별)'!F533),",","")),"")</f>
        <v>11667986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8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7" min="6" style="1" width="18"/>
    <col collapsed="false" customWidth="true" hidden="false" outlineLevel="0" max="8" min="8" style="1" width="15"/>
    <col collapsed="false" customWidth="true" hidden="false" outlineLevel="0" max="9" min="9" style="1" width="20"/>
    <col collapsed="false" customWidth="true" hidden="false" outlineLevel="0" max="10" min="10" style="1" width="12"/>
  </cols>
  <sheetData>
    <row r="1" customFormat="false" ht="21.75" hidden="false" customHeight="true" outlineLevel="0" collapsed="false">
      <c r="A1" s="2" t="s">
        <v>19657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19658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6" t="s">
        <v>19659</v>
      </c>
      <c r="B3" s="21" t="n">
        <v>1</v>
      </c>
      <c r="C3" s="6" t="s">
        <v>19660</v>
      </c>
      <c r="D3" s="22" t="n">
        <v>50</v>
      </c>
      <c r="E3" s="6" t="s">
        <v>19661</v>
      </c>
      <c r="F3" s="22" t="n">
        <v>500</v>
      </c>
    </row>
    <row r="5" customFormat="false" ht="14.25" hidden="false" customHeight="true" outlineLevel="0" collapsed="false">
      <c r="A5" s="23" t="s">
        <v>19662</v>
      </c>
      <c r="B5" s="23"/>
      <c r="C5" s="23"/>
      <c r="D5" s="23"/>
      <c r="E5" s="23"/>
      <c r="F5" s="23"/>
      <c r="G5" s="23"/>
      <c r="H5" s="23"/>
      <c r="I5" s="23"/>
      <c r="J5" s="23"/>
    </row>
    <row r="6" customFormat="false" ht="15" hidden="false" customHeight="true" outlineLevel="0" collapsed="false">
      <c r="A6" s="5" t="s">
        <v>19663</v>
      </c>
      <c r="B6" s="5" t="s">
        <v>19664</v>
      </c>
      <c r="C6" s="5" t="s">
        <v>19665</v>
      </c>
      <c r="D6" s="5" t="s">
        <v>19666</v>
      </c>
      <c r="E6" s="5" t="s">
        <v>19667</v>
      </c>
    </row>
    <row r="7" customFormat="false" ht="15" hidden="false" customHeight="true" outlineLevel="0" collapsed="false">
      <c r="A7" s="6" t="s">
        <v>57</v>
      </c>
      <c r="B7" s="24" t="n">
        <f aca="false">IFERROR(VALUE(SUBSTITUTE(TRIM('수출입 총괄'!B6),",","")),"")</f>
        <v>695.5</v>
      </c>
      <c r="C7" s="24" t="n">
        <f aca="false">SUM(데이터_총괄!$E$3:$E$33)</f>
        <v>695.5</v>
      </c>
      <c r="D7" s="24" t="n">
        <f aca="false">B7-C7</f>
        <v>0</v>
      </c>
      <c r="E7" s="8" t="str">
        <f aca="false">IF(ABS(D7)&lt;=$B$3,"일치(반올림오차 이내)","불일치")</f>
        <v>일치(반올림오차 이내)</v>
      </c>
    </row>
    <row r="8" customFormat="false" ht="15" hidden="false" customHeight="true" outlineLevel="0" collapsed="false">
      <c r="A8" s="6" t="s">
        <v>58</v>
      </c>
      <c r="B8" s="25" t="n">
        <f aca="false">IFERROR(VALUE(SUBSTITUTE(TRIM('수출입 총괄'!C6),",","")),"")</f>
        <v>34342880</v>
      </c>
      <c r="C8" s="25" t="n">
        <f aca="false">SUM(데이터_총괄!$F$3:$F$33)</f>
        <v>34342880</v>
      </c>
      <c r="D8" s="24" t="n">
        <f aca="false">B8-C8</f>
        <v>0</v>
      </c>
      <c r="E8" s="8" t="str">
        <f aca="false">IF(ABS(D8)&lt;=$D$3,"일치(반올림오차 이내)","불일치")</f>
        <v>일치(반올림오차 이내)</v>
      </c>
    </row>
    <row r="9" customFormat="false" ht="15" hidden="false" customHeight="true" outlineLevel="0" collapsed="false">
      <c r="A9" s="6" t="s">
        <v>19668</v>
      </c>
      <c r="B9" s="24" t="n">
        <f aca="false">IFERROR(VALUE(SUBSTITUTE(TRIM('수출입 총괄'!D6),",","")),"")</f>
        <v>505655916.9</v>
      </c>
      <c r="C9" s="24" t="n">
        <f aca="false">SUM(데이터_총괄!$G$3:$G$33)</f>
        <v>505655917.2</v>
      </c>
      <c r="D9" s="24" t="n">
        <f aca="false">B9-C9</f>
        <v>-0.300000011920929</v>
      </c>
      <c r="E9" s="8" t="str">
        <f aca="false">IF(ABS(D9)&lt;=$B$3,"일치(반올림오차 이내)","불일치")</f>
        <v>일치(반올림오차 이내)</v>
      </c>
    </row>
    <row r="10" customFormat="false" ht="15" hidden="false" customHeight="true" outlineLevel="0" collapsed="false">
      <c r="A10" s="6" t="s">
        <v>19669</v>
      </c>
      <c r="B10" s="25" t="n">
        <f aca="false">IFERROR(VALUE(SUBSTITUTE(TRIM('수출입 총괄'!E6),",","")),"")</f>
        <v>1988002368</v>
      </c>
      <c r="C10" s="25" t="n">
        <f aca="false">SUM(데이터_총괄!$H$3:$H$33)</f>
        <v>1988002368</v>
      </c>
      <c r="D10" s="24" t="n">
        <f aca="false">B10-C10</f>
        <v>0</v>
      </c>
      <c r="E10" s="8" t="str">
        <f aca="false">IF(ABS(D10)&lt;=$D$3,"일치(반올림오차 이내)","불일치")</f>
        <v>일치(반올림오차 이내)</v>
      </c>
    </row>
    <row r="11" customFormat="false" ht="15" hidden="false" customHeight="true" outlineLevel="0" collapsed="false">
      <c r="A11" s="6" t="s">
        <v>61</v>
      </c>
      <c r="B11" s="25" t="n">
        <f aca="false">IFERROR(VALUE(SUBSTITUTE(TRIM('수출입 총괄'!F6),",","")),"")</f>
        <v>141143449</v>
      </c>
      <c r="C11" s="25" t="n">
        <f aca="false">SUM(데이터_총괄!$I$3:$I$33)</f>
        <v>141143449</v>
      </c>
      <c r="D11" s="24" t="n">
        <f aca="false">B11-C11</f>
        <v>0</v>
      </c>
      <c r="E11" s="8" t="str">
        <f aca="false">IF(ABS(D11)&lt;=$D$3,"일치(반올림오차 이내)","불일치")</f>
        <v>일치(반올림오차 이내)</v>
      </c>
    </row>
    <row r="12" customFormat="false" ht="15" hidden="false" customHeight="true" outlineLevel="0" collapsed="false">
      <c r="A12" s="6" t="s">
        <v>19670</v>
      </c>
      <c r="B12" s="24" t="n">
        <f aca="false">IFERROR(VALUE(SUBSTITUTE(TRIM('수출입 총괄'!G6),",","")),"")</f>
        <v>1414626020.9</v>
      </c>
      <c r="C12" s="24" t="n">
        <f aca="false">SUM(데이터_총괄!$J$3:$J$33)</f>
        <v>1414626021</v>
      </c>
      <c r="D12" s="24" t="n">
        <f aca="false">B12-C12</f>
        <v>-0.0999999046325684</v>
      </c>
      <c r="E12" s="8" t="str">
        <f aca="false">IF(ABS(D12)&lt;=$B$3,"일치(반올림오차 이내)","불일치")</f>
        <v>일치(반올림오차 이내)</v>
      </c>
    </row>
    <row r="13" customFormat="false" ht="15" hidden="false" customHeight="true" outlineLevel="0" collapsed="false">
      <c r="A13" s="6" t="s">
        <v>19671</v>
      </c>
      <c r="B13" s="25" t="n">
        <f aca="false">IFERROR(VALUE(SUBSTITUTE(TRIM('수출입 총괄'!H6),",","")),"")</f>
        <v>1690965721</v>
      </c>
      <c r="C13" s="25" t="n">
        <f aca="false">SUM(데이터_총괄!$K$3:$K$33)</f>
        <v>1690965722</v>
      </c>
      <c r="D13" s="24" t="n">
        <f aca="false">B13-C13</f>
        <v>-1</v>
      </c>
      <c r="E13" s="8" t="str">
        <f aca="false">IF(ABS(D13)&lt;=$D$3,"일치(반올림오차 이내)","불일치")</f>
        <v>일치(반올림오차 이내)</v>
      </c>
    </row>
    <row r="14" customFormat="false" ht="15" hidden="false" customHeight="true" outlineLevel="0" collapsed="false">
      <c r="A14" s="6" t="s">
        <v>19672</v>
      </c>
      <c r="B14" s="25" t="n">
        <f aca="false">IFERROR(VALUE(SUBSTITUTE(TRIM('수출입 총괄'!I6),",","")),"")</f>
        <v>297036647</v>
      </c>
      <c r="C14" s="25" t="n">
        <f aca="false">SUM(데이터_총괄!$L$3:$L$33)</f>
        <v>297036646</v>
      </c>
      <c r="D14" s="24" t="n">
        <f aca="false">B14-C14</f>
        <v>1</v>
      </c>
      <c r="E14" s="8" t="str">
        <f aca="false">IF(ABS(D14)&lt;=$D$3,"일치(반올림오차 이내)","불일치")</f>
        <v>일치(반올림오차 이내)</v>
      </c>
    </row>
    <row r="16" customFormat="false" ht="14.25" hidden="false" customHeight="true" outlineLevel="0" collapsed="false">
      <c r="A16" s="23" t="s">
        <v>19673</v>
      </c>
      <c r="B16" s="23"/>
      <c r="C16" s="23"/>
      <c r="D16" s="23"/>
      <c r="E16" s="23"/>
      <c r="F16" s="23"/>
      <c r="G16" s="23"/>
      <c r="H16" s="23"/>
      <c r="I16" s="23"/>
      <c r="J16" s="23"/>
    </row>
    <row r="17" customFormat="false" ht="15" hidden="false" customHeight="true" outlineLevel="0" collapsed="false">
      <c r="A17" s="5" t="s">
        <v>19674</v>
      </c>
      <c r="B17" s="5" t="s">
        <v>60</v>
      </c>
      <c r="C17" s="5" t="s">
        <v>339</v>
      </c>
      <c r="D17" s="5" t="s">
        <v>64</v>
      </c>
      <c r="E17" s="5" t="s">
        <v>59</v>
      </c>
      <c r="F17" s="5" t="s">
        <v>5</v>
      </c>
    </row>
    <row r="18" customFormat="false" ht="15" hidden="false" customHeight="true" outlineLevel="0" collapsed="false">
      <c r="A18" s="6" t="s">
        <v>53</v>
      </c>
      <c r="B18" s="25" t="n">
        <f aca="false">SUM(데이터_총괄!$H$3:$H$33)</f>
        <v>1988002368</v>
      </c>
      <c r="C18" s="25" t="n">
        <f aca="false">SUM(데이터_총괄!$K$3:$K$33)</f>
        <v>1690965722</v>
      </c>
      <c r="D18" s="25" t="n">
        <f aca="false">B18-C18</f>
        <v>297036646</v>
      </c>
      <c r="E18" s="24" t="n">
        <f aca="false">SUM(데이터_총괄!$G$3:$G$33)</f>
        <v>505655917.2</v>
      </c>
      <c r="F18" s="7" t="s">
        <v>19675</v>
      </c>
    </row>
    <row r="19" customFormat="false" ht="15" hidden="false" customHeight="true" outlineLevel="0" collapsed="false">
      <c r="A19" s="6" t="s">
        <v>19676</v>
      </c>
      <c r="B19" s="25" t="n">
        <f aca="false">SUMIFS(데이터_성질별수출!$G$3:$G$653,데이터_성질별수출!$E$3:$E$653,"1. 식료 및 직접소비재")+SUMIFS(데이터_성질별수출!$G$3:$G$653,데이터_성질별수출!$E$3:$E$653,"2. 원료 및 연료")+SUMIFS(데이터_성질별수출!$G$3:$G$653,데이터_성질별수출!$E$3:$E$653,"3. 경공업품")+SUMIFS(데이터_성질별수출!$G$3:$G$653,데이터_성질별수출!$E$3:$E$653,"4. 중화학 공업품")</f>
        <v>1988002371</v>
      </c>
      <c r="C19" s="26" t="s">
        <v>19677</v>
      </c>
      <c r="D19" s="26" t="s">
        <v>19677</v>
      </c>
      <c r="E19" s="24" t="n">
        <f aca="false">SUMIFS(데이터_성질별수출!$F$3:$F$653,데이터_성질별수출!$E$3:$E$653,"1. 식료 및 직접소비재")+SUMIFS(데이터_성질별수출!$F$3:$F$653,데이터_성질별수출!$E$3:$E$653,"2. 원료 및 연료")+SUMIFS(데이터_성질별수출!$F$3:$F$653,데이터_성질별수출!$E$3:$E$653,"3. 경공업품")+SUMIFS(데이터_성질별수출!$F$3:$F$653,데이터_성질별수출!$E$3:$E$653,"4. 중화학 공업품")</f>
        <v>505655917.1</v>
      </c>
      <c r="F19" s="7" t="s">
        <v>19678</v>
      </c>
    </row>
    <row r="20" customFormat="false" ht="15" hidden="false" customHeight="true" outlineLevel="0" collapsed="false">
      <c r="A20" s="6" t="s">
        <v>19679</v>
      </c>
      <c r="B20" s="26" t="s">
        <v>19677</v>
      </c>
      <c r="C20" s="25" t="n">
        <f aca="false">SUMIFS(데이터_성질별수입!$G$3:$G$627,데이터_성질별수입!$E$3:$E$627,"1. 소비재")+SUMIFS(데이터_성질별수입!$G$3:$G$627,데이터_성질별수입!$E$3:$E$627,"2. 원자재")+SUMIFS(데이터_성질별수입!$G$3:$G$627,데이터_성질별수입!$E$3:$E$627,"3. 자본재")</f>
        <v>1690965721</v>
      </c>
      <c r="D20" s="26" t="s">
        <v>19677</v>
      </c>
      <c r="E20" s="26" t="s">
        <v>19677</v>
      </c>
      <c r="F20" s="7" t="s">
        <v>19680</v>
      </c>
    </row>
    <row r="21" customFormat="false" ht="15" hidden="false" customHeight="true" outlineLevel="0" collapsed="false">
      <c r="A21" s="6" t="s">
        <v>19681</v>
      </c>
      <c r="B21" s="25" t="n">
        <f aca="false">SUMIFS(데이터_신성질별!$G$3:$G$529,데이터_신성질별!$E$3:$E$529,"1.소비재")+SUMIFS(데이터_신성질별!$G$3:$G$529,데이터_신성질별!$E$3:$E$529,"2.원자재")+SUMIFS(데이터_신성질별!$G$3:$G$529,데이터_신성질별!$E$3:$E$529,"3.자본재")</f>
        <v>1988002373</v>
      </c>
      <c r="C21" s="25" t="n">
        <f aca="false">SUMIFS(데이터_신성질별!$I$3:$I$529,데이터_신성질별!$E$3:$E$529,"1.소비재")+SUMIFS(데이터_신성질별!$I$3:$I$529,데이터_신성질별!$E$3:$E$529,"2.원자재")+SUMIFS(데이터_신성질별!$I$3:$I$529,데이터_신성질별!$E$3:$E$529,"3.자본재")</f>
        <v>1690965721</v>
      </c>
      <c r="D21" s="25" t="n">
        <f aca="false">B21-C21</f>
        <v>297036652</v>
      </c>
      <c r="E21" s="24" t="n">
        <f aca="false">SUMIFS(데이터_신성질별!$F$3:$F$529,데이터_신성질별!$E$3:$E$529,"1.소비재")+SUMIFS(데이터_신성질별!$F$3:$F$529,데이터_신성질별!$E$3:$E$529,"2.원자재")+SUMIFS(데이터_신성질별!$F$3:$F$529,데이터_신성질별!$E$3:$E$529,"3.자본재")</f>
        <v>505655916.7</v>
      </c>
      <c r="F21" s="7" t="s">
        <v>19680</v>
      </c>
    </row>
    <row r="22" customFormat="false" ht="15" hidden="false" customHeight="true" outlineLevel="0" collapsed="false">
      <c r="A22" s="6" t="s">
        <v>19682</v>
      </c>
      <c r="B22" s="27" t="n">
        <f aca="false">SUM(데이터_품목별!$H$3:$H$2984)</f>
        <v>1987154609</v>
      </c>
      <c r="C22" s="27" t="n">
        <f aca="false">SUM(데이터_품목별!$J$3:$J$2984)</f>
        <v>1690339727</v>
      </c>
      <c r="D22" s="25" t="n">
        <f aca="false">B22-C22</f>
        <v>296814882</v>
      </c>
      <c r="E22" s="28" t="n">
        <f aca="false">SUM(데이터_품목별!$G$3:$G$2984)</f>
        <v>504808079.1</v>
      </c>
      <c r="F22" s="29" t="s">
        <v>19683</v>
      </c>
    </row>
    <row r="23" customFormat="false" ht="15" hidden="false" customHeight="true" outlineLevel="0" collapsed="false">
      <c r="A23" s="6" t="s">
        <v>19684</v>
      </c>
      <c r="B23" s="30" t="n">
        <f aca="false">MAX(ABS(B19-B18),ABS(B21-B18))</f>
        <v>5</v>
      </c>
      <c r="C23" s="30" t="n">
        <f aca="false">MAX(ABS(C20-C18),ABS(C21-C18))</f>
        <v>1</v>
      </c>
      <c r="D23" s="30" t="n">
        <f aca="false">ABS(D21-D18)</f>
        <v>6</v>
      </c>
      <c r="E23" s="31" t="n">
        <f aca="false">MAX(ABS(E19-E18),ABS(E21-E18))</f>
        <v>0.5</v>
      </c>
      <c r="F23" s="7" t="s">
        <v>19685</v>
      </c>
    </row>
    <row r="24" customFormat="false" ht="15" hidden="false" customHeight="true" outlineLevel="0" collapsed="false">
      <c r="A24" s="6" t="s">
        <v>19667</v>
      </c>
      <c r="B24" s="32" t="str">
        <f aca="false">IF(B23&lt;=$D$3,"일치","불일치")</f>
        <v>일치</v>
      </c>
      <c r="C24" s="32" t="str">
        <f aca="false">IF(C23&lt;=$D$3,"일치","불일치")</f>
        <v>일치</v>
      </c>
      <c r="D24" s="32" t="str">
        <f aca="false">IF(D23&lt;=$D$3,"일치","불일치")</f>
        <v>일치</v>
      </c>
      <c r="E24" s="32" t="str">
        <f aca="false">IF(E23&lt;=$B$3,"일치","불일치")</f>
        <v>일치</v>
      </c>
    </row>
    <row r="26" customFormat="false" ht="14.25" hidden="false" customHeight="true" outlineLevel="0" collapsed="false">
      <c r="A26" s="23" t="s">
        <v>19686</v>
      </c>
      <c r="B26" s="23"/>
      <c r="C26" s="23"/>
      <c r="D26" s="23"/>
      <c r="E26" s="23"/>
      <c r="F26" s="23"/>
      <c r="G26" s="23"/>
      <c r="H26" s="23"/>
      <c r="I26" s="23"/>
      <c r="J26" s="23"/>
    </row>
    <row r="27" customFormat="false" ht="15" hidden="false" customHeight="true" outlineLevel="0" collapsed="false">
      <c r="A27" s="5" t="s">
        <v>19653</v>
      </c>
      <c r="B27" s="5" t="s">
        <v>19687</v>
      </c>
      <c r="C27" s="5" t="s">
        <v>19688</v>
      </c>
      <c r="D27" s="5" t="s">
        <v>19666</v>
      </c>
      <c r="E27" s="5" t="s">
        <v>19689</v>
      </c>
      <c r="F27" s="5" t="s">
        <v>19690</v>
      </c>
      <c r="G27" s="5" t="s">
        <v>19691</v>
      </c>
      <c r="H27" s="5" t="s">
        <v>19666</v>
      </c>
      <c r="I27" s="5" t="s">
        <v>19689</v>
      </c>
    </row>
    <row r="28" customFormat="false" ht="15" hidden="false" customHeight="true" outlineLevel="0" collapsed="false">
      <c r="A28" s="33" t="n">
        <v>2024</v>
      </c>
      <c r="B28" s="25" t="n">
        <f aca="false">SUMIFS(데이터_품목별!$H$3:$H$2984,데이터_품목별!$B$3:$B$2984,$A28)</f>
        <v>683261188</v>
      </c>
      <c r="C28" s="25" t="n">
        <f aca="false">SUMIFS(데이터_총괄!$H$3:$H$33,데이터_총괄!$B$3:$B$33,$A28)</f>
        <v>683609488</v>
      </c>
      <c r="D28" s="27" t="n">
        <f aca="false">B28-C28</f>
        <v>-348300</v>
      </c>
      <c r="E28" s="34" t="n">
        <f aca="false">D28/C28</f>
        <v>-0.000509501412888523</v>
      </c>
      <c r="F28" s="25" t="n">
        <f aca="false">SUMIFS(데이터_품목별!$J$3:$J$2984,데이터_품목별!$B$3:$B$2984,$A28)</f>
        <v>631525501</v>
      </c>
      <c r="G28" s="25" t="n">
        <f aca="false">SUMIFS(데이터_총괄!$K$3:$K$33,데이터_총괄!$B$3:$B$33,$A28)</f>
        <v>631767209</v>
      </c>
      <c r="H28" s="27" t="n">
        <f aca="false">F28-G28</f>
        <v>-241708</v>
      </c>
      <c r="I28" s="34" t="n">
        <f aca="false">H28/G28</f>
        <v>-0.000382590290468843</v>
      </c>
    </row>
    <row r="29" customFormat="false" ht="15" hidden="false" customHeight="true" outlineLevel="0" collapsed="false">
      <c r="A29" s="33" t="n">
        <v>2025</v>
      </c>
      <c r="B29" s="25" t="n">
        <f aca="false">SUMIFS(데이터_품목별!$H$3:$H$2984,데이터_품목별!$B$3:$B$2984,$A29)</f>
        <v>709033003</v>
      </c>
      <c r="C29" s="25" t="n">
        <f aca="false">SUMIFS(데이터_총괄!$H$3:$H$33,데이터_총괄!$B$3:$B$33,$A29)</f>
        <v>709330044</v>
      </c>
      <c r="D29" s="27" t="n">
        <f aca="false">B29-C29</f>
        <v>-297041</v>
      </c>
      <c r="E29" s="34" t="n">
        <f aca="false">D29/C29</f>
        <v>-0.000418762750164858</v>
      </c>
      <c r="F29" s="25" t="n">
        <f aca="false">SUMIFS(데이터_품목별!$J$3:$J$2984,데이터_품목별!$B$3:$B$2984,$A29)</f>
        <v>631700945</v>
      </c>
      <c r="G29" s="25" t="n">
        <f aca="false">SUMIFS(데이터_총괄!$K$3:$K$33,데이터_총괄!$B$3:$B$33,$A29)</f>
        <v>631895368</v>
      </c>
      <c r="H29" s="27" t="n">
        <f aca="false">F29-G29</f>
        <v>-194423</v>
      </c>
      <c r="I29" s="34" t="n">
        <f aca="false">H29/G29</f>
        <v>-0.000307682268055492</v>
      </c>
    </row>
    <row r="30" customFormat="false" ht="15" hidden="false" customHeight="true" outlineLevel="0" collapsed="false">
      <c r="A30" s="33" t="n">
        <v>2026</v>
      </c>
      <c r="B30" s="25" t="n">
        <f aca="false">SUMIFS(데이터_품목별!$H$3:$H$2984,데이터_품목별!$B$3:$B$2984,$A30)</f>
        <v>594860418</v>
      </c>
      <c r="C30" s="25" t="n">
        <f aca="false">SUMIFS(데이터_총괄!$H$3:$H$33,데이터_총괄!$B$3:$B$33,$A30)</f>
        <v>595062836</v>
      </c>
      <c r="D30" s="27" t="n">
        <f aca="false">B30-C30</f>
        <v>-202418</v>
      </c>
      <c r="E30" s="34" t="n">
        <f aca="false">D30/C30</f>
        <v>-0.000340162395891919</v>
      </c>
      <c r="F30" s="25" t="n">
        <f aca="false">SUMIFS(데이터_품목별!$J$3:$J$2984,데이터_품목별!$B$3:$B$2984,$A30)</f>
        <v>427113281</v>
      </c>
      <c r="G30" s="25" t="n">
        <f aca="false">SUMIFS(데이터_총괄!$K$3:$K$33,데이터_총괄!$B$3:$B$33,$A30)</f>
        <v>427303145</v>
      </c>
      <c r="H30" s="27" t="n">
        <f aca="false">F30-G30</f>
        <v>-189864</v>
      </c>
      <c r="I30" s="34" t="n">
        <f aca="false">H30/G30</f>
        <v>-0.00044433092108414</v>
      </c>
    </row>
    <row r="31" customFormat="false" ht="24.75" hidden="false" customHeight="true" outlineLevel="0" collapsed="false">
      <c r="A31" s="35" t="s">
        <v>19692</v>
      </c>
      <c r="B31" s="35"/>
      <c r="C31" s="35"/>
      <c r="D31" s="35"/>
      <c r="E31" s="35"/>
      <c r="F31" s="35"/>
      <c r="G31" s="35"/>
      <c r="H31" s="35"/>
      <c r="I31" s="35"/>
    </row>
    <row r="33" customFormat="false" ht="14.25" hidden="false" customHeight="true" outlineLevel="0" collapsed="false">
      <c r="A33" s="23" t="s">
        <v>19693</v>
      </c>
      <c r="B33" s="23"/>
      <c r="C33" s="23"/>
      <c r="D33" s="23"/>
      <c r="E33" s="23"/>
      <c r="F33" s="23"/>
      <c r="G33" s="23"/>
      <c r="H33" s="23"/>
      <c r="I33" s="23"/>
      <c r="J33" s="23"/>
    </row>
    <row r="34" customFormat="false" ht="15" hidden="false" customHeight="true" outlineLevel="0" collapsed="false">
      <c r="A34" s="5" t="s">
        <v>56</v>
      </c>
      <c r="B34" s="5" t="s">
        <v>19694</v>
      </c>
      <c r="C34" s="5" t="s">
        <v>19695</v>
      </c>
      <c r="D34" s="5" t="s">
        <v>19666</v>
      </c>
      <c r="E34" s="5" t="s">
        <v>19696</v>
      </c>
      <c r="F34" s="5" t="s">
        <v>19697</v>
      </c>
      <c r="G34" s="5" t="s">
        <v>19666</v>
      </c>
      <c r="H34" s="5" t="s">
        <v>19698</v>
      </c>
      <c r="I34" s="5" t="s">
        <v>19699</v>
      </c>
      <c r="J34" s="5" t="s">
        <v>19666</v>
      </c>
    </row>
    <row r="35" customFormat="false" ht="15" hidden="false" customHeight="true" outlineLevel="0" collapsed="false">
      <c r="A35" s="8" t="str">
        <f aca="false">데이터_총괄!A3</f>
        <v>2024.01</v>
      </c>
      <c r="B35" s="25" t="n">
        <f aca="false">데이터_총괄!H3-데이터_총괄!K3</f>
        <v>235212</v>
      </c>
      <c r="C35" s="25" t="n">
        <f aca="false">데이터_총괄!L3</f>
        <v>235213</v>
      </c>
      <c r="D35" s="25" t="n">
        <f aca="false">B35-C35</f>
        <v>-1</v>
      </c>
      <c r="E35" s="25" t="n">
        <f aca="false">SUMIFS(데이터_성질별수출!$G$3:$G$653,데이터_성질별수출!$E$3:$E$653,"1. 식료 및 직접소비재",데이터_성질별수출!$A$3:$A$653,$A35)+SUMIFS(데이터_성질별수출!$G$3:$G$653,데이터_성질별수출!$E$3:$E$653,"2. 원료 및 연료",데이터_성질별수출!$A$3:$A$653,$A35)+SUMIFS(데이터_성질별수출!$G$3:$G$653,데이터_성질별수출!$E$3:$E$653,"3. 경공업품",데이터_성질별수출!$A$3:$A$653,$A35)+SUMIFS(데이터_성질별수출!$G$3:$G$653,데이터_성질별수출!$E$3:$E$653,"4. 중화학 공업품",데이터_성질별수출!$A$3:$A$653,$A35)</f>
        <v>54709824</v>
      </c>
      <c r="F35" s="25" t="n">
        <f aca="false">데이터_총괄!H3</f>
        <v>54709823</v>
      </c>
      <c r="G35" s="24" t="n">
        <f aca="false">E35-F35</f>
        <v>1</v>
      </c>
      <c r="H35" s="25" t="n">
        <f aca="false">SUMIFS(데이터_신성질별!$I$3:$I$529,데이터_신성질별!$E$3:$E$529,"1.소비재",데이터_신성질별!$A$3:$A$529,$A35)+SUMIFS(데이터_신성질별!$I$3:$I$529,데이터_신성질별!$E$3:$E$529,"2.원자재",데이터_신성질별!$A$3:$A$529,$A35)+SUMIFS(데이터_신성질별!$I$3:$I$529,데이터_신성질별!$E$3:$E$529,"3.자본재",데이터_신성질별!$A$3:$A$529,$A35)</f>
        <v>54474611</v>
      </c>
      <c r="I35" s="25" t="n">
        <f aca="false">데이터_총괄!K3</f>
        <v>54474611</v>
      </c>
      <c r="J35" s="24" t="n">
        <f aca="false">H35-I35</f>
        <v>0</v>
      </c>
    </row>
    <row r="36" customFormat="false" ht="15" hidden="false" customHeight="true" outlineLevel="0" collapsed="false">
      <c r="A36" s="8" t="str">
        <f aca="false">데이터_총괄!A4</f>
        <v>2024.02</v>
      </c>
      <c r="B36" s="25" t="n">
        <f aca="false">데이터_총괄!H4-데이터_총괄!K4</f>
        <v>3854530</v>
      </c>
      <c r="C36" s="25" t="n">
        <f aca="false">데이터_총괄!L4</f>
        <v>3854529</v>
      </c>
      <c r="D36" s="25" t="n">
        <f aca="false">B36-C36</f>
        <v>1</v>
      </c>
      <c r="E36" s="25" t="n">
        <f aca="false">SUMIFS(데이터_성질별수출!$G$3:$G$653,데이터_성질별수출!$E$3:$E$653,"1. 식료 및 직접소비재",데이터_성질별수출!$A$3:$A$653,$A36)+SUMIFS(데이터_성질별수출!$G$3:$G$653,데이터_성질별수출!$E$3:$E$653,"2. 원료 및 연료",데이터_성질별수출!$A$3:$A$653,$A36)+SUMIFS(데이터_성질별수출!$G$3:$G$653,데이터_성질별수출!$E$3:$E$653,"3. 경공업품",데이터_성질별수출!$A$3:$A$653,$A36)+SUMIFS(데이터_성질별수출!$G$3:$G$653,데이터_성질별수출!$E$3:$E$653,"4. 중화학 공업품",데이터_성질별수출!$A$3:$A$653,$A36)</f>
        <v>52076390</v>
      </c>
      <c r="F36" s="25" t="n">
        <f aca="false">데이터_총괄!H4</f>
        <v>52076390</v>
      </c>
      <c r="G36" s="24" t="n">
        <f aca="false">E36-F36</f>
        <v>0</v>
      </c>
      <c r="H36" s="25" t="n">
        <f aca="false">SUMIFS(데이터_신성질별!$I$3:$I$529,데이터_신성질별!$E$3:$E$529,"1.소비재",데이터_신성질별!$A$3:$A$529,$A36)+SUMIFS(데이터_신성질별!$I$3:$I$529,데이터_신성질별!$E$3:$E$529,"2.원자재",데이터_신성질별!$A$3:$A$529,$A36)+SUMIFS(데이터_신성질별!$I$3:$I$529,데이터_신성질별!$E$3:$E$529,"3.자본재",데이터_신성질별!$A$3:$A$529,$A36)</f>
        <v>48221861</v>
      </c>
      <c r="I36" s="25" t="n">
        <f aca="false">데이터_총괄!K4</f>
        <v>48221860</v>
      </c>
      <c r="J36" s="24" t="n">
        <f aca="false">H36-I36</f>
        <v>1</v>
      </c>
    </row>
    <row r="37" customFormat="false" ht="15" hidden="false" customHeight="true" outlineLevel="0" collapsed="false">
      <c r="A37" s="8" t="str">
        <f aca="false">데이터_총괄!A5</f>
        <v>2024.03</v>
      </c>
      <c r="B37" s="25" t="n">
        <f aca="false">데이터_총괄!H5-데이터_총괄!K5</f>
        <v>4405404</v>
      </c>
      <c r="C37" s="25" t="n">
        <f aca="false">데이터_총괄!L5</f>
        <v>4405404</v>
      </c>
      <c r="D37" s="25" t="n">
        <f aca="false">B37-C37</f>
        <v>0</v>
      </c>
      <c r="E37" s="25" t="n">
        <f aca="false">SUMIFS(데이터_성질별수출!$G$3:$G$653,데이터_성질별수출!$E$3:$E$653,"1. 식료 및 직접소비재",데이터_성질별수출!$A$3:$A$653,$A37)+SUMIFS(데이터_성질별수출!$G$3:$G$653,데이터_성질별수출!$E$3:$E$653,"2. 원료 및 연료",데이터_성질별수출!$A$3:$A$653,$A37)+SUMIFS(데이터_성질별수출!$G$3:$G$653,데이터_성질별수출!$E$3:$E$653,"3. 경공업품",데이터_성질별수출!$A$3:$A$653,$A37)+SUMIFS(데이터_성질별수출!$G$3:$G$653,데이터_성질별수출!$E$3:$E$653,"4. 중화학 공업품",데이터_성질별수출!$A$3:$A$653,$A37)</f>
        <v>56518309</v>
      </c>
      <c r="F37" s="25" t="n">
        <f aca="false">데이터_총괄!H5</f>
        <v>56518309</v>
      </c>
      <c r="G37" s="24" t="n">
        <f aca="false">E37-F37</f>
        <v>0</v>
      </c>
      <c r="H37" s="25" t="n">
        <f aca="false">SUMIFS(데이터_신성질별!$I$3:$I$529,데이터_신성질별!$E$3:$E$529,"1.소비재",데이터_신성질별!$A$3:$A$529,$A37)+SUMIFS(데이터_신성질별!$I$3:$I$529,데이터_신성질별!$E$3:$E$529,"2.원자재",데이터_신성질별!$A$3:$A$529,$A37)+SUMIFS(데이터_신성질별!$I$3:$I$529,데이터_신성질별!$E$3:$E$529,"3.자본재",데이터_신성질별!$A$3:$A$529,$A37)</f>
        <v>52112905</v>
      </c>
      <c r="I37" s="25" t="n">
        <f aca="false">데이터_총괄!K5</f>
        <v>52112905</v>
      </c>
      <c r="J37" s="24" t="n">
        <f aca="false">H37-I37</f>
        <v>0</v>
      </c>
    </row>
    <row r="38" customFormat="false" ht="15" hidden="false" customHeight="true" outlineLevel="0" collapsed="false">
      <c r="A38" s="8" t="str">
        <f aca="false">데이터_총괄!A6</f>
        <v>2024.04</v>
      </c>
      <c r="B38" s="25" t="n">
        <f aca="false">데이터_총괄!H6-데이터_총괄!K6</f>
        <v>1327118</v>
      </c>
      <c r="C38" s="25" t="n">
        <f aca="false">데이터_총괄!L6</f>
        <v>1327118</v>
      </c>
      <c r="D38" s="25" t="n">
        <f aca="false">B38-C38</f>
        <v>0</v>
      </c>
      <c r="E38" s="25" t="n">
        <f aca="false">SUMIFS(데이터_성질별수출!$G$3:$G$653,데이터_성질별수출!$E$3:$E$653,"1. 식료 및 직접소비재",데이터_성질별수출!$A$3:$A$653,$A38)+SUMIFS(데이터_성질별수출!$G$3:$G$653,데이터_성질별수출!$E$3:$E$653,"2. 원료 및 연료",데이터_성질별수출!$A$3:$A$653,$A38)+SUMIFS(데이터_성질별수출!$G$3:$G$653,데이터_성질별수출!$E$3:$E$653,"3. 경공업품",데이터_성질별수출!$A$3:$A$653,$A38)+SUMIFS(데이터_성질별수출!$G$3:$G$653,데이터_성질별수출!$E$3:$E$653,"4. 중화학 공업품",데이터_성질별수출!$A$3:$A$653,$A38)</f>
        <v>56148300</v>
      </c>
      <c r="F38" s="25" t="n">
        <f aca="false">데이터_총괄!H6</f>
        <v>56148299</v>
      </c>
      <c r="G38" s="24" t="n">
        <f aca="false">E38-F38</f>
        <v>1</v>
      </c>
      <c r="H38" s="25" t="n">
        <f aca="false">SUMIFS(데이터_신성질별!$I$3:$I$529,데이터_신성질별!$E$3:$E$529,"1.소비재",데이터_신성질별!$A$3:$A$529,$A38)+SUMIFS(데이터_신성질별!$I$3:$I$529,데이터_신성질별!$E$3:$E$529,"2.원자재",데이터_신성질별!$A$3:$A$529,$A38)+SUMIFS(데이터_신성질별!$I$3:$I$529,데이터_신성질별!$E$3:$E$529,"3.자본재",데이터_신성질별!$A$3:$A$529,$A38)</f>
        <v>54821181</v>
      </c>
      <c r="I38" s="25" t="n">
        <f aca="false">데이터_총괄!K6</f>
        <v>54821181</v>
      </c>
      <c r="J38" s="24" t="n">
        <f aca="false">H38-I38</f>
        <v>0</v>
      </c>
    </row>
    <row r="39" customFormat="false" ht="15" hidden="false" customHeight="true" outlineLevel="0" collapsed="false">
      <c r="A39" s="8" t="str">
        <f aca="false">데이터_총괄!A7</f>
        <v>2024.05</v>
      </c>
      <c r="B39" s="25" t="n">
        <f aca="false">데이터_총괄!H7-데이터_총괄!K7</f>
        <v>4887620</v>
      </c>
      <c r="C39" s="25" t="n">
        <f aca="false">데이터_총괄!L7</f>
        <v>4887620</v>
      </c>
      <c r="D39" s="25" t="n">
        <f aca="false">B39-C39</f>
        <v>0</v>
      </c>
      <c r="E39" s="25" t="n">
        <f aca="false">SUMIFS(데이터_성질별수출!$G$3:$G$653,데이터_성질별수출!$E$3:$E$653,"1. 식료 및 직접소비재",데이터_성질별수출!$A$3:$A$653,$A39)+SUMIFS(데이터_성질별수출!$G$3:$G$653,데이터_성질별수출!$E$3:$E$653,"2. 원료 및 연료",데이터_성질별수출!$A$3:$A$653,$A39)+SUMIFS(데이터_성질별수출!$G$3:$G$653,데이터_성질별수출!$E$3:$E$653,"3. 경공업품",데이터_성질별수출!$A$3:$A$653,$A39)+SUMIFS(데이터_성질별수출!$G$3:$G$653,데이터_성질별수출!$E$3:$E$653,"4. 중화학 공업품",데이터_성질별수출!$A$3:$A$653,$A39)</f>
        <v>58020557</v>
      </c>
      <c r="F39" s="25" t="n">
        <f aca="false">데이터_총괄!H7</f>
        <v>58020557</v>
      </c>
      <c r="G39" s="24" t="n">
        <f aca="false">E39-F39</f>
        <v>0</v>
      </c>
      <c r="H39" s="25" t="n">
        <f aca="false">SUMIFS(데이터_신성질별!$I$3:$I$529,데이터_신성질별!$E$3:$E$529,"1.소비재",데이터_신성질별!$A$3:$A$529,$A39)+SUMIFS(데이터_신성질별!$I$3:$I$529,데이터_신성질별!$E$3:$E$529,"2.원자재",데이터_신성질별!$A$3:$A$529,$A39)+SUMIFS(데이터_신성질별!$I$3:$I$529,데이터_신성질별!$E$3:$E$529,"3.자본재",데이터_신성질별!$A$3:$A$529,$A39)</f>
        <v>53132937</v>
      </c>
      <c r="I39" s="25" t="n">
        <f aca="false">데이터_총괄!K7</f>
        <v>53132937</v>
      </c>
      <c r="J39" s="24" t="n">
        <f aca="false">H39-I39</f>
        <v>0</v>
      </c>
    </row>
    <row r="40" customFormat="false" ht="15" hidden="false" customHeight="true" outlineLevel="0" collapsed="false">
      <c r="A40" s="8" t="str">
        <f aca="false">데이터_총괄!A8</f>
        <v>2024.06</v>
      </c>
      <c r="B40" s="25" t="n">
        <f aca="false">데이터_총괄!H8-데이터_총괄!K8</f>
        <v>8251441</v>
      </c>
      <c r="C40" s="25" t="n">
        <f aca="false">데이터_총괄!L8</f>
        <v>8251441</v>
      </c>
      <c r="D40" s="25" t="n">
        <f aca="false">B40-C40</f>
        <v>0</v>
      </c>
      <c r="E40" s="25" t="n">
        <f aca="false">SUMIFS(데이터_성질별수출!$G$3:$G$653,데이터_성질별수출!$E$3:$E$653,"1. 식료 및 직접소비재",데이터_성질별수출!$A$3:$A$653,$A40)+SUMIFS(데이터_성질별수출!$G$3:$G$653,데이터_성질별수출!$E$3:$E$653,"2. 원료 및 연료",데이터_성질별수출!$A$3:$A$653,$A40)+SUMIFS(데이터_성질별수출!$G$3:$G$653,데이터_성질별수출!$E$3:$E$653,"3. 경공업품",데이터_성질별수출!$A$3:$A$653,$A40)+SUMIFS(데이터_성질별수출!$G$3:$G$653,데이터_성질별수출!$E$3:$E$653,"4. 중화학 공업품",데이터_성질별수출!$A$3:$A$653,$A40)</f>
        <v>57341635</v>
      </c>
      <c r="F40" s="25" t="n">
        <f aca="false">데이터_총괄!H8</f>
        <v>57341634</v>
      </c>
      <c r="G40" s="24" t="n">
        <f aca="false">E40-F40</f>
        <v>1</v>
      </c>
      <c r="H40" s="25" t="n">
        <f aca="false">SUMIFS(데이터_신성질별!$I$3:$I$529,데이터_신성질별!$E$3:$E$529,"1.소비재",데이터_신성질별!$A$3:$A$529,$A40)+SUMIFS(데이터_신성질별!$I$3:$I$529,데이터_신성질별!$E$3:$E$529,"2.원자재",데이터_신성질별!$A$3:$A$529,$A40)+SUMIFS(데이터_신성질별!$I$3:$I$529,데이터_신성질별!$E$3:$E$529,"3.자본재",데이터_신성질별!$A$3:$A$529,$A40)</f>
        <v>49090194</v>
      </c>
      <c r="I40" s="25" t="n">
        <f aca="false">데이터_총괄!K8</f>
        <v>49090193</v>
      </c>
      <c r="J40" s="24" t="n">
        <f aca="false">H40-I40</f>
        <v>1</v>
      </c>
    </row>
    <row r="41" customFormat="false" ht="15" hidden="false" customHeight="true" outlineLevel="0" collapsed="false">
      <c r="A41" s="8" t="str">
        <f aca="false">데이터_총괄!A9</f>
        <v>2024.07</v>
      </c>
      <c r="B41" s="25" t="n">
        <f aca="false">데이터_총괄!H9-데이터_총괄!K9</f>
        <v>3620046</v>
      </c>
      <c r="C41" s="25" t="n">
        <f aca="false">데이터_총괄!L9</f>
        <v>3620046</v>
      </c>
      <c r="D41" s="25" t="n">
        <f aca="false">B41-C41</f>
        <v>0</v>
      </c>
      <c r="E41" s="25" t="n">
        <f aca="false">SUMIFS(데이터_성질별수출!$G$3:$G$653,데이터_성질별수출!$E$3:$E$653,"1. 식료 및 직접소비재",데이터_성질별수출!$A$3:$A$653,$A41)+SUMIFS(데이터_성질별수출!$G$3:$G$653,데이터_성질별수출!$E$3:$E$653,"2. 원료 및 연료",데이터_성질별수출!$A$3:$A$653,$A41)+SUMIFS(데이터_성질별수출!$G$3:$G$653,데이터_성질별수출!$E$3:$E$653,"3. 경공업품",데이터_성질별수출!$A$3:$A$653,$A41)+SUMIFS(데이터_성질별수출!$G$3:$G$653,데이터_성질별수출!$E$3:$E$653,"4. 중화학 공업품",데이터_성질별수출!$A$3:$A$653,$A41)</f>
        <v>57458788</v>
      </c>
      <c r="F41" s="25" t="n">
        <f aca="false">데이터_총괄!H9</f>
        <v>57458788</v>
      </c>
      <c r="G41" s="24" t="n">
        <f aca="false">E41-F41</f>
        <v>0</v>
      </c>
      <c r="H41" s="25" t="n">
        <f aca="false">SUMIFS(데이터_신성질별!$I$3:$I$529,데이터_신성질별!$E$3:$E$529,"1.소비재",데이터_신성질별!$A$3:$A$529,$A41)+SUMIFS(데이터_신성질별!$I$3:$I$529,데이터_신성질별!$E$3:$E$529,"2.원자재",데이터_신성질별!$A$3:$A$529,$A41)+SUMIFS(데이터_신성질별!$I$3:$I$529,데이터_신성질별!$E$3:$E$529,"3.자본재",데이터_신성질별!$A$3:$A$529,$A41)</f>
        <v>53838742</v>
      </c>
      <c r="I41" s="25" t="n">
        <f aca="false">데이터_총괄!K9</f>
        <v>53838742</v>
      </c>
      <c r="J41" s="24" t="n">
        <f aca="false">H41-I41</f>
        <v>0</v>
      </c>
    </row>
    <row r="42" customFormat="false" ht="15" hidden="false" customHeight="true" outlineLevel="0" collapsed="false">
      <c r="A42" s="8" t="str">
        <f aca="false">데이터_총괄!A10</f>
        <v>2024.08</v>
      </c>
      <c r="B42" s="25" t="n">
        <f aca="false">데이터_총괄!H10-데이터_총괄!K10</f>
        <v>3588030</v>
      </c>
      <c r="C42" s="25" t="n">
        <f aca="false">데이터_총괄!L10</f>
        <v>3588030</v>
      </c>
      <c r="D42" s="25" t="n">
        <f aca="false">B42-C42</f>
        <v>0</v>
      </c>
      <c r="E42" s="25" t="n">
        <f aca="false">SUMIFS(데이터_성질별수출!$G$3:$G$653,데이터_성질별수출!$E$3:$E$653,"1. 식료 및 직접소비재",데이터_성질별수출!$A$3:$A$653,$A42)+SUMIFS(데이터_성질별수출!$G$3:$G$653,데이터_성질별수출!$E$3:$E$653,"2. 원료 및 연료",데이터_성질별수출!$A$3:$A$653,$A42)+SUMIFS(데이터_성질별수출!$G$3:$G$653,데이터_성질별수출!$E$3:$E$653,"3. 경공업품",데이터_성질별수출!$A$3:$A$653,$A42)+SUMIFS(데이터_성질별수출!$G$3:$G$653,데이터_성질별수출!$E$3:$E$653,"4. 중화학 공업품",데이터_성질별수출!$A$3:$A$653,$A42)</f>
        <v>57642925</v>
      </c>
      <c r="F42" s="25" t="n">
        <f aca="false">데이터_총괄!H10</f>
        <v>57642924</v>
      </c>
      <c r="G42" s="24" t="n">
        <f aca="false">E42-F42</f>
        <v>1</v>
      </c>
      <c r="H42" s="25" t="n">
        <f aca="false">SUMIFS(데이터_신성질별!$I$3:$I$529,데이터_신성질별!$E$3:$E$529,"1.소비재",데이터_신성질별!$A$3:$A$529,$A42)+SUMIFS(데이터_신성질별!$I$3:$I$529,데이터_신성질별!$E$3:$E$529,"2.원자재",데이터_신성질별!$A$3:$A$529,$A42)+SUMIFS(데이터_신성질별!$I$3:$I$529,데이터_신성질별!$E$3:$E$529,"3.자본재",데이터_신성질별!$A$3:$A$529,$A42)</f>
        <v>54054895</v>
      </c>
      <c r="I42" s="25" t="n">
        <f aca="false">데이터_총괄!K10</f>
        <v>54054894</v>
      </c>
      <c r="J42" s="24" t="n">
        <f aca="false">H42-I42</f>
        <v>1</v>
      </c>
    </row>
    <row r="43" customFormat="false" ht="15" hidden="false" customHeight="true" outlineLevel="0" collapsed="false">
      <c r="A43" s="8" t="str">
        <f aca="false">데이터_총괄!A11</f>
        <v>2024.09</v>
      </c>
      <c r="B43" s="25" t="n">
        <f aca="false">데이터_총괄!H11-데이터_총괄!K11</f>
        <v>6441768</v>
      </c>
      <c r="C43" s="25" t="n">
        <f aca="false">데이터_총괄!L11</f>
        <v>6441768</v>
      </c>
      <c r="D43" s="25" t="n">
        <f aca="false">B43-C43</f>
        <v>0</v>
      </c>
      <c r="E43" s="25" t="n">
        <f aca="false">SUMIFS(데이터_성질별수출!$G$3:$G$653,데이터_성질별수출!$E$3:$E$653,"1. 식료 및 직접소비재",데이터_성질별수출!$A$3:$A$653,$A43)+SUMIFS(데이터_성질별수출!$G$3:$G$653,데이터_성질별수출!$E$3:$E$653,"2. 원료 및 연료",데이터_성질별수출!$A$3:$A$653,$A43)+SUMIFS(데이터_성질별수출!$G$3:$G$653,데이터_성질별수출!$E$3:$E$653,"3. 경공업품",데이터_성질별수출!$A$3:$A$653,$A43)+SUMIFS(데이터_성질별수출!$G$3:$G$653,데이터_성질별수출!$E$3:$E$653,"4. 중화학 공업품",데이터_성질별수출!$A$3:$A$653,$A43)</f>
        <v>58544693</v>
      </c>
      <c r="F43" s="25" t="n">
        <f aca="false">데이터_총괄!H11</f>
        <v>58544693</v>
      </c>
      <c r="G43" s="24" t="n">
        <f aca="false">E43-F43</f>
        <v>0</v>
      </c>
      <c r="H43" s="25" t="n">
        <f aca="false">SUMIFS(데이터_신성질별!$I$3:$I$529,데이터_신성질별!$E$3:$E$529,"1.소비재",데이터_신성질별!$A$3:$A$529,$A43)+SUMIFS(데이터_신성질별!$I$3:$I$529,데이터_신성질별!$E$3:$E$529,"2.원자재",데이터_신성질별!$A$3:$A$529,$A43)+SUMIFS(데이터_신성질별!$I$3:$I$529,데이터_신성질별!$E$3:$E$529,"3.자본재",데이터_신성질별!$A$3:$A$529,$A43)</f>
        <v>52102924</v>
      </c>
      <c r="I43" s="25" t="n">
        <f aca="false">데이터_총괄!K11</f>
        <v>52102925</v>
      </c>
      <c r="J43" s="24" t="n">
        <f aca="false">H43-I43</f>
        <v>-1</v>
      </c>
    </row>
    <row r="44" customFormat="false" ht="15" hidden="false" customHeight="true" outlineLevel="0" collapsed="false">
      <c r="A44" s="8" t="str">
        <f aca="false">데이터_총괄!A12</f>
        <v>2024.10</v>
      </c>
      <c r="B44" s="25" t="n">
        <f aca="false">데이터_총괄!H12-데이터_총괄!K12</f>
        <v>3168603</v>
      </c>
      <c r="C44" s="25" t="n">
        <f aca="false">데이터_총괄!L12</f>
        <v>3168604</v>
      </c>
      <c r="D44" s="25" t="n">
        <f aca="false">B44-C44</f>
        <v>-1</v>
      </c>
      <c r="E44" s="25" t="n">
        <f aca="false">SUMIFS(데이터_성질별수출!$G$3:$G$653,데이터_성질별수출!$E$3:$E$653,"1. 식료 및 직접소비재",데이터_성질별수출!$A$3:$A$653,$A44)+SUMIFS(데이터_성질별수출!$G$3:$G$653,데이터_성질별수출!$E$3:$E$653,"2. 원료 및 연료",데이터_성질별수출!$A$3:$A$653,$A44)+SUMIFS(데이터_성질별수출!$G$3:$G$653,데이터_성질별수출!$E$3:$E$653,"3. 경공업품",데이터_성질별수출!$A$3:$A$653,$A44)+SUMIFS(데이터_성질별수출!$G$3:$G$653,데이터_성질별수출!$E$3:$E$653,"4. 중화학 공업품",데이터_성질별수출!$A$3:$A$653,$A44)</f>
        <v>57500192</v>
      </c>
      <c r="F44" s="25" t="n">
        <f aca="false">데이터_총괄!H12</f>
        <v>57500192</v>
      </c>
      <c r="G44" s="24" t="n">
        <f aca="false">E44-F44</f>
        <v>0</v>
      </c>
      <c r="H44" s="25" t="n">
        <f aca="false">SUMIFS(데이터_신성질별!$I$3:$I$529,데이터_신성질별!$E$3:$E$529,"1.소비재",데이터_신성질별!$A$3:$A$529,$A44)+SUMIFS(데이터_신성질별!$I$3:$I$529,데이터_신성질별!$E$3:$E$529,"2.원자재",데이터_신성질별!$A$3:$A$529,$A44)+SUMIFS(데이터_신성질별!$I$3:$I$529,데이터_신성질별!$E$3:$E$529,"3.자본재",데이터_신성질별!$A$3:$A$529,$A44)</f>
        <v>54331589</v>
      </c>
      <c r="I44" s="25" t="n">
        <f aca="false">데이터_총괄!K12</f>
        <v>54331589</v>
      </c>
      <c r="J44" s="24" t="n">
        <f aca="false">H44-I44</f>
        <v>0</v>
      </c>
    </row>
    <row r="45" customFormat="false" ht="15" hidden="false" customHeight="true" outlineLevel="0" collapsed="false">
      <c r="A45" s="8" t="str">
        <f aca="false">데이터_총괄!A13</f>
        <v>2024.11</v>
      </c>
      <c r="B45" s="25" t="n">
        <f aca="false">데이터_총괄!H13-데이터_총괄!K13</f>
        <v>5569637</v>
      </c>
      <c r="C45" s="25" t="n">
        <f aca="false">데이터_총괄!L13</f>
        <v>5569637</v>
      </c>
      <c r="D45" s="25" t="n">
        <f aca="false">B45-C45</f>
        <v>0</v>
      </c>
      <c r="E45" s="25" t="n">
        <f aca="false">SUMIFS(데이터_성질별수출!$G$3:$G$653,데이터_성질별수출!$E$3:$E$653,"1. 식료 및 직접소비재",데이터_성질별수출!$A$3:$A$653,$A45)+SUMIFS(데이터_성질별수출!$G$3:$G$653,데이터_성질별수출!$E$3:$E$653,"2. 원료 및 연료",데이터_성질별수출!$A$3:$A$653,$A45)+SUMIFS(데이터_성질별수출!$G$3:$G$653,데이터_성질별수출!$E$3:$E$653,"3. 경공업품",데이터_성질별수출!$A$3:$A$653,$A45)+SUMIFS(데이터_성질별수출!$G$3:$G$653,데이터_성질별수출!$E$3:$E$653,"4. 중화학 공업품",데이터_성질별수출!$A$3:$A$653,$A45)</f>
        <v>56288629</v>
      </c>
      <c r="F45" s="25" t="n">
        <f aca="false">데이터_총괄!H13</f>
        <v>56288629</v>
      </c>
      <c r="G45" s="24" t="n">
        <f aca="false">E45-F45</f>
        <v>0</v>
      </c>
      <c r="H45" s="25" t="n">
        <f aca="false">SUMIFS(데이터_신성질별!$I$3:$I$529,데이터_신성질별!$E$3:$E$529,"1.소비재",데이터_신성질별!$A$3:$A$529,$A45)+SUMIFS(데이터_신성질별!$I$3:$I$529,데이터_신성질별!$E$3:$E$529,"2.원자재",데이터_신성질별!$A$3:$A$529,$A45)+SUMIFS(데이터_신성질별!$I$3:$I$529,데이터_신성질별!$E$3:$E$529,"3.자본재",데이터_신성질별!$A$3:$A$529,$A45)</f>
        <v>50718992</v>
      </c>
      <c r="I45" s="25" t="n">
        <f aca="false">데이터_총괄!K13</f>
        <v>50718992</v>
      </c>
      <c r="J45" s="24" t="n">
        <f aca="false">H45-I45</f>
        <v>0</v>
      </c>
    </row>
    <row r="46" customFormat="false" ht="15" hidden="false" customHeight="true" outlineLevel="0" collapsed="false">
      <c r="A46" s="8" t="str">
        <f aca="false">데이터_총괄!A14</f>
        <v>2024.12</v>
      </c>
      <c r="B46" s="25" t="n">
        <f aca="false">데이터_총괄!H14-데이터_총괄!K14</f>
        <v>6492870</v>
      </c>
      <c r="C46" s="25" t="n">
        <f aca="false">데이터_총괄!L14</f>
        <v>6492870</v>
      </c>
      <c r="D46" s="25" t="n">
        <f aca="false">B46-C46</f>
        <v>0</v>
      </c>
      <c r="E46" s="25" t="n">
        <f aca="false">SUMIFS(데이터_성질별수출!$G$3:$G$653,데이터_성질별수출!$E$3:$E$653,"1. 식료 및 직접소비재",데이터_성질별수출!$A$3:$A$653,$A46)+SUMIFS(데이터_성질별수출!$G$3:$G$653,데이터_성질별수출!$E$3:$E$653,"2. 원료 및 연료",데이터_성질별수출!$A$3:$A$653,$A46)+SUMIFS(데이터_성질별수출!$G$3:$G$653,데이터_성질별수출!$E$3:$E$653,"3. 경공업품",데이터_성질별수출!$A$3:$A$653,$A46)+SUMIFS(데이터_성질별수출!$G$3:$G$653,데이터_성질별수출!$E$3:$E$653,"4. 중화학 공업품",데이터_성질별수출!$A$3:$A$653,$A46)</f>
        <v>61359250</v>
      </c>
      <c r="F46" s="25" t="n">
        <f aca="false">데이터_총괄!H14</f>
        <v>61359250</v>
      </c>
      <c r="G46" s="24" t="n">
        <f aca="false">E46-F46</f>
        <v>0</v>
      </c>
      <c r="H46" s="25" t="n">
        <f aca="false">SUMIFS(데이터_신성질별!$I$3:$I$529,데이터_신성질별!$E$3:$E$529,"1.소비재",데이터_신성질별!$A$3:$A$529,$A46)+SUMIFS(데이터_신성질별!$I$3:$I$529,데이터_신성질별!$E$3:$E$529,"2.원자재",데이터_신성질별!$A$3:$A$529,$A46)+SUMIFS(데이터_신성질별!$I$3:$I$529,데이터_신성질별!$E$3:$E$529,"3.자본재",데이터_신성질별!$A$3:$A$529,$A46)</f>
        <v>54866380</v>
      </c>
      <c r="I46" s="25" t="n">
        <f aca="false">데이터_총괄!K14</f>
        <v>54866380</v>
      </c>
      <c r="J46" s="24" t="n">
        <f aca="false">H46-I46</f>
        <v>0</v>
      </c>
    </row>
    <row r="47" customFormat="false" ht="15" hidden="false" customHeight="true" outlineLevel="0" collapsed="false">
      <c r="A47" s="8" t="str">
        <f aca="false">데이터_총괄!A15</f>
        <v>2025.01</v>
      </c>
      <c r="B47" s="25" t="n">
        <f aca="false">데이터_총괄!H15-데이터_총괄!K15</f>
        <v>-1995308</v>
      </c>
      <c r="C47" s="25" t="n">
        <f aca="false">데이터_총괄!L15</f>
        <v>-1995308</v>
      </c>
      <c r="D47" s="25" t="n">
        <f aca="false">B47-C47</f>
        <v>0</v>
      </c>
      <c r="E47" s="25" t="n">
        <f aca="false">SUMIFS(데이터_성질별수출!$G$3:$G$653,데이터_성질별수출!$E$3:$E$653,"1. 식료 및 직접소비재",데이터_성질별수출!$A$3:$A$653,$A47)+SUMIFS(데이터_성질별수출!$G$3:$G$653,데이터_성질별수출!$E$3:$E$653,"2. 원료 및 연료",데이터_성질별수출!$A$3:$A$653,$A47)+SUMIFS(데이터_성질별수출!$G$3:$G$653,데이터_성질별수출!$E$3:$E$653,"3. 경공업품",데이터_성질별수출!$A$3:$A$653,$A47)+SUMIFS(데이터_성질별수출!$G$3:$G$653,데이터_성질별수출!$E$3:$E$653,"4. 중화학 공업품",데이터_성질별수출!$A$3:$A$653,$A47)</f>
        <v>49176984</v>
      </c>
      <c r="F47" s="25" t="n">
        <f aca="false">데이터_총괄!H15</f>
        <v>49176984</v>
      </c>
      <c r="G47" s="24" t="n">
        <f aca="false">E47-F47</f>
        <v>0</v>
      </c>
      <c r="H47" s="25" t="n">
        <f aca="false">SUMIFS(데이터_신성질별!$I$3:$I$529,데이터_신성질별!$E$3:$E$529,"1.소비재",데이터_신성질별!$A$3:$A$529,$A47)+SUMIFS(데이터_신성질별!$I$3:$I$529,데이터_신성질별!$E$3:$E$529,"2.원자재",데이터_신성질별!$A$3:$A$529,$A47)+SUMIFS(데이터_신성질별!$I$3:$I$529,데이터_신성질별!$E$3:$E$529,"3.자본재",데이터_신성질별!$A$3:$A$529,$A47)</f>
        <v>51172292</v>
      </c>
      <c r="I47" s="25" t="n">
        <f aca="false">데이터_총괄!K15</f>
        <v>51172292</v>
      </c>
      <c r="J47" s="24" t="n">
        <f aca="false">H47-I47</f>
        <v>0</v>
      </c>
    </row>
    <row r="48" customFormat="false" ht="15" hidden="false" customHeight="true" outlineLevel="0" collapsed="false">
      <c r="A48" s="8" t="str">
        <f aca="false">데이터_총괄!A16</f>
        <v>2025.02</v>
      </c>
      <c r="B48" s="25" t="n">
        <f aca="false">데이터_총괄!H16-데이터_총괄!K16</f>
        <v>3963560</v>
      </c>
      <c r="C48" s="25" t="n">
        <f aca="false">데이터_총괄!L16</f>
        <v>3963560</v>
      </c>
      <c r="D48" s="25" t="n">
        <f aca="false">B48-C48</f>
        <v>0</v>
      </c>
      <c r="E48" s="25" t="n">
        <f aca="false">SUMIFS(데이터_성질별수출!$G$3:$G$653,데이터_성질별수출!$E$3:$E$653,"1. 식료 및 직접소비재",데이터_성질별수출!$A$3:$A$653,$A48)+SUMIFS(데이터_성질별수출!$G$3:$G$653,데이터_성질별수출!$E$3:$E$653,"2. 원료 및 연료",데이터_성질별수출!$A$3:$A$653,$A48)+SUMIFS(데이터_성질별수출!$G$3:$G$653,데이터_성질별수출!$E$3:$E$653,"3. 경공업품",데이터_성질별수출!$A$3:$A$653,$A48)+SUMIFS(데이터_성질별수출!$G$3:$G$653,데이터_성질별수출!$E$3:$E$653,"4. 중화학 공업품",데이터_성질별수출!$A$3:$A$653,$A48)</f>
        <v>52292301</v>
      </c>
      <c r="F48" s="25" t="n">
        <f aca="false">데이터_총괄!H16</f>
        <v>52292301</v>
      </c>
      <c r="G48" s="24" t="n">
        <f aca="false">E48-F48</f>
        <v>0</v>
      </c>
      <c r="H48" s="25" t="n">
        <f aca="false">SUMIFS(데이터_신성질별!$I$3:$I$529,데이터_신성질별!$E$3:$E$529,"1.소비재",데이터_신성질별!$A$3:$A$529,$A48)+SUMIFS(데이터_신성질별!$I$3:$I$529,데이터_신성질별!$E$3:$E$529,"2.원자재",데이터_신성질별!$A$3:$A$529,$A48)+SUMIFS(데이터_신성질별!$I$3:$I$529,데이터_신성질별!$E$3:$E$529,"3.자본재",데이터_신성질별!$A$3:$A$529,$A48)</f>
        <v>48328742</v>
      </c>
      <c r="I48" s="25" t="n">
        <f aca="false">데이터_총괄!K16</f>
        <v>48328741</v>
      </c>
      <c r="J48" s="24" t="n">
        <f aca="false">H48-I48</f>
        <v>1</v>
      </c>
    </row>
    <row r="49" customFormat="false" ht="15" hidden="false" customHeight="true" outlineLevel="0" collapsed="false">
      <c r="A49" s="8" t="str">
        <f aca="false">데이터_총괄!A17</f>
        <v>2025.03</v>
      </c>
      <c r="B49" s="25" t="n">
        <f aca="false">데이터_총괄!H17-데이터_총괄!K17</f>
        <v>4723530</v>
      </c>
      <c r="C49" s="25" t="n">
        <f aca="false">데이터_총괄!L17</f>
        <v>4723530</v>
      </c>
      <c r="D49" s="25" t="n">
        <f aca="false">B49-C49</f>
        <v>0</v>
      </c>
      <c r="E49" s="25" t="n">
        <f aca="false">SUMIFS(데이터_성질별수출!$G$3:$G$653,데이터_성질별수출!$E$3:$E$653,"1. 식료 및 직접소비재",데이터_성질별수출!$A$3:$A$653,$A49)+SUMIFS(데이터_성질별수출!$G$3:$G$653,데이터_성질별수출!$E$3:$E$653,"2. 원료 및 연료",데이터_성질별수출!$A$3:$A$653,$A49)+SUMIFS(데이터_성질별수출!$G$3:$G$653,데이터_성질별수출!$E$3:$E$653,"3. 경공업품",데이터_성질별수출!$A$3:$A$653,$A49)+SUMIFS(데이터_성질별수출!$G$3:$G$653,데이터_성질별수출!$E$3:$E$653,"4. 중화학 공업품",데이터_성질별수출!$A$3:$A$653,$A49)</f>
        <v>58064561</v>
      </c>
      <c r="F49" s="25" t="n">
        <f aca="false">데이터_총괄!H17</f>
        <v>58064562</v>
      </c>
      <c r="G49" s="24" t="n">
        <f aca="false">E49-F49</f>
        <v>-1</v>
      </c>
      <c r="H49" s="25" t="n">
        <f aca="false">SUMIFS(데이터_신성질별!$I$3:$I$529,데이터_신성질별!$E$3:$E$529,"1.소비재",데이터_신성질별!$A$3:$A$529,$A49)+SUMIFS(데이터_신성질별!$I$3:$I$529,데이터_신성질별!$E$3:$E$529,"2.원자재",데이터_신성질별!$A$3:$A$529,$A49)+SUMIFS(데이터_신성질별!$I$3:$I$529,데이터_신성질별!$E$3:$E$529,"3.자본재",데이터_신성질별!$A$3:$A$529,$A49)</f>
        <v>53341032</v>
      </c>
      <c r="I49" s="25" t="n">
        <f aca="false">데이터_총괄!K17</f>
        <v>53341032</v>
      </c>
      <c r="J49" s="24" t="n">
        <f aca="false">H49-I49</f>
        <v>0</v>
      </c>
    </row>
    <row r="50" customFormat="false" ht="15" hidden="false" customHeight="true" outlineLevel="0" collapsed="false">
      <c r="A50" s="8" t="str">
        <f aca="false">데이터_총괄!A18</f>
        <v>2025.04</v>
      </c>
      <c r="B50" s="25" t="n">
        <f aca="false">데이터_총괄!H18-데이터_총괄!K18</f>
        <v>4803029</v>
      </c>
      <c r="C50" s="25" t="n">
        <f aca="false">데이터_총괄!L18</f>
        <v>4803029</v>
      </c>
      <c r="D50" s="25" t="n">
        <f aca="false">B50-C50</f>
        <v>0</v>
      </c>
      <c r="E50" s="25" t="n">
        <f aca="false">SUMIFS(데이터_성질별수출!$G$3:$G$653,데이터_성질별수출!$E$3:$E$653,"1. 식료 및 직접소비재",데이터_성질별수출!$A$3:$A$653,$A50)+SUMIFS(데이터_성질별수출!$G$3:$G$653,데이터_성질별수출!$E$3:$E$653,"2. 원료 및 연료",데이터_성질별수출!$A$3:$A$653,$A50)+SUMIFS(데이터_성질별수출!$G$3:$G$653,데이터_성질별수출!$E$3:$E$653,"3. 경공업품",데이터_성질별수출!$A$3:$A$653,$A50)+SUMIFS(데이터_성질별수출!$G$3:$G$653,데이터_성질별수출!$E$3:$E$653,"4. 중화학 공업품",데이터_성질별수출!$A$3:$A$653,$A50)</f>
        <v>58035745</v>
      </c>
      <c r="F50" s="25" t="n">
        <f aca="false">데이터_총괄!H18</f>
        <v>58035745</v>
      </c>
      <c r="G50" s="24" t="n">
        <f aca="false">E50-F50</f>
        <v>0</v>
      </c>
      <c r="H50" s="25" t="n">
        <f aca="false">SUMIFS(데이터_신성질별!$I$3:$I$529,데이터_신성질별!$E$3:$E$529,"1.소비재",데이터_신성질별!$A$3:$A$529,$A50)+SUMIFS(데이터_신성질별!$I$3:$I$529,데이터_신성질별!$E$3:$E$529,"2.원자재",데이터_신성질별!$A$3:$A$529,$A50)+SUMIFS(데이터_신성질별!$I$3:$I$529,데이터_신성질별!$E$3:$E$529,"3.자본재",데이터_신성질별!$A$3:$A$529,$A50)</f>
        <v>53232716</v>
      </c>
      <c r="I50" s="25" t="n">
        <f aca="false">데이터_총괄!K18</f>
        <v>53232716</v>
      </c>
      <c r="J50" s="24" t="n">
        <f aca="false">H50-I50</f>
        <v>0</v>
      </c>
    </row>
    <row r="51" customFormat="false" ht="15" hidden="false" customHeight="true" outlineLevel="0" collapsed="false">
      <c r="A51" s="8" t="str">
        <f aca="false">데이터_총괄!A19</f>
        <v>2025.05</v>
      </c>
      <c r="B51" s="25" t="n">
        <f aca="false">데이터_총괄!H19-데이터_총괄!K19</f>
        <v>6915947</v>
      </c>
      <c r="C51" s="25" t="n">
        <f aca="false">데이터_총괄!L19</f>
        <v>6915946</v>
      </c>
      <c r="D51" s="25" t="n">
        <f aca="false">B51-C51</f>
        <v>1</v>
      </c>
      <c r="E51" s="25" t="n">
        <f aca="false">SUMIFS(데이터_성질별수출!$G$3:$G$653,데이터_성질별수출!$E$3:$E$653,"1. 식료 및 직접소비재",데이터_성질별수출!$A$3:$A$653,$A51)+SUMIFS(데이터_성질별수출!$G$3:$G$653,데이터_성질별수출!$E$3:$E$653,"2. 원료 및 연료",데이터_성질별수출!$A$3:$A$653,$A51)+SUMIFS(데이터_성질별수출!$G$3:$G$653,데이터_성질별수출!$E$3:$E$653,"3. 경공업품",데이터_성질별수출!$A$3:$A$653,$A51)+SUMIFS(데이터_성질별수출!$G$3:$G$653,데이터_성질별수출!$E$3:$E$653,"4. 중화학 공업품",데이터_성질별수출!$A$3:$A$653,$A51)</f>
        <v>57261063</v>
      </c>
      <c r="F51" s="25" t="n">
        <f aca="false">데이터_총괄!H19</f>
        <v>57261063</v>
      </c>
      <c r="G51" s="24" t="n">
        <f aca="false">E51-F51</f>
        <v>0</v>
      </c>
      <c r="H51" s="25" t="n">
        <f aca="false">SUMIFS(데이터_신성질별!$I$3:$I$529,데이터_신성질별!$E$3:$E$529,"1.소비재",데이터_신성질별!$A$3:$A$529,$A51)+SUMIFS(데이터_신성질별!$I$3:$I$529,데이터_신성질별!$E$3:$E$529,"2.원자재",데이터_신성질별!$A$3:$A$529,$A51)+SUMIFS(데이터_신성질별!$I$3:$I$529,데이터_신성질별!$E$3:$E$529,"3.자본재",데이터_신성질별!$A$3:$A$529,$A51)</f>
        <v>50345116</v>
      </c>
      <c r="I51" s="25" t="n">
        <f aca="false">데이터_총괄!K19</f>
        <v>50345116</v>
      </c>
      <c r="J51" s="24" t="n">
        <f aca="false">H51-I51</f>
        <v>0</v>
      </c>
    </row>
    <row r="52" customFormat="false" ht="15" hidden="false" customHeight="true" outlineLevel="0" collapsed="false">
      <c r="A52" s="8" t="str">
        <f aca="false">데이터_총괄!A20</f>
        <v>2025.06</v>
      </c>
      <c r="B52" s="25" t="n">
        <f aca="false">데이터_총괄!H20-데이터_총괄!K20</f>
        <v>9008051</v>
      </c>
      <c r="C52" s="25" t="n">
        <f aca="false">데이터_총괄!L20</f>
        <v>9008051</v>
      </c>
      <c r="D52" s="25" t="n">
        <f aca="false">B52-C52</f>
        <v>0</v>
      </c>
      <c r="E52" s="25" t="n">
        <f aca="false">SUMIFS(데이터_성질별수출!$G$3:$G$653,데이터_성질별수출!$E$3:$E$653,"1. 식료 및 직접소비재",데이터_성질별수출!$A$3:$A$653,$A52)+SUMIFS(데이터_성질별수출!$G$3:$G$653,데이터_성질별수출!$E$3:$E$653,"2. 원료 및 연료",데이터_성질별수출!$A$3:$A$653,$A52)+SUMIFS(데이터_성질별수출!$G$3:$G$653,데이터_성질별수출!$E$3:$E$653,"3. 경공업품",데이터_성질별수출!$A$3:$A$653,$A52)+SUMIFS(데이터_성질별수출!$G$3:$G$653,데이터_성질별수출!$E$3:$E$653,"4. 중화학 공업품",데이터_성질별수출!$A$3:$A$653,$A52)</f>
        <v>59833797</v>
      </c>
      <c r="F52" s="25" t="n">
        <f aca="false">데이터_총괄!H20</f>
        <v>59833797</v>
      </c>
      <c r="G52" s="24" t="n">
        <f aca="false">E52-F52</f>
        <v>0</v>
      </c>
      <c r="H52" s="25" t="n">
        <f aca="false">SUMIFS(데이터_신성질별!$I$3:$I$529,데이터_신성질별!$E$3:$E$529,"1.소비재",데이터_신성질별!$A$3:$A$529,$A52)+SUMIFS(데이터_신성질별!$I$3:$I$529,데이터_신성질별!$E$3:$E$529,"2.원자재",데이터_신성질별!$A$3:$A$529,$A52)+SUMIFS(데이터_신성질별!$I$3:$I$529,데이터_신성질별!$E$3:$E$529,"3.자본재",데이터_신성질별!$A$3:$A$529,$A52)</f>
        <v>50825746</v>
      </c>
      <c r="I52" s="25" t="n">
        <f aca="false">데이터_총괄!K20</f>
        <v>50825746</v>
      </c>
      <c r="J52" s="24" t="n">
        <f aca="false">H52-I52</f>
        <v>0</v>
      </c>
    </row>
    <row r="53" customFormat="false" ht="15" hidden="false" customHeight="true" outlineLevel="0" collapsed="false">
      <c r="A53" s="8" t="str">
        <f aca="false">데이터_총괄!A21</f>
        <v>2025.07</v>
      </c>
      <c r="B53" s="25" t="n">
        <f aca="false">데이터_총괄!H21-데이터_총괄!K21</f>
        <v>6513951</v>
      </c>
      <c r="C53" s="25" t="n">
        <f aca="false">데이터_총괄!L21</f>
        <v>6513951</v>
      </c>
      <c r="D53" s="25" t="n">
        <f aca="false">B53-C53</f>
        <v>0</v>
      </c>
      <c r="E53" s="25" t="n">
        <f aca="false">SUMIFS(데이터_성질별수출!$G$3:$G$653,데이터_성질별수출!$E$3:$E$653,"1. 식료 및 직접소비재",데이터_성질별수출!$A$3:$A$653,$A53)+SUMIFS(데이터_성질별수출!$G$3:$G$653,데이터_성질별수출!$E$3:$E$653,"2. 원료 및 연료",데이터_성질별수출!$A$3:$A$653,$A53)+SUMIFS(데이터_성질별수출!$G$3:$G$653,데이터_성질별수출!$E$3:$E$653,"3. 경공업품",데이터_성질별수출!$A$3:$A$653,$A53)+SUMIFS(데이터_성질별수출!$G$3:$G$653,데이터_성질별수출!$E$3:$E$653,"4. 중화학 공업품",데이터_성질별수출!$A$3:$A$653,$A53)</f>
        <v>60724322</v>
      </c>
      <c r="F53" s="25" t="n">
        <f aca="false">데이터_총괄!H21</f>
        <v>60724322</v>
      </c>
      <c r="G53" s="24" t="n">
        <f aca="false">E53-F53</f>
        <v>0</v>
      </c>
      <c r="H53" s="25" t="n">
        <f aca="false">SUMIFS(데이터_신성질별!$I$3:$I$529,데이터_신성질별!$E$3:$E$529,"1.소비재",데이터_신성질별!$A$3:$A$529,$A53)+SUMIFS(데이터_신성질별!$I$3:$I$529,데이터_신성질별!$E$3:$E$529,"2.원자재",데이터_신성질별!$A$3:$A$529,$A53)+SUMIFS(데이터_신성질별!$I$3:$I$529,데이터_신성질별!$E$3:$E$529,"3.자본재",데이터_신성질별!$A$3:$A$529,$A53)</f>
        <v>54210371</v>
      </c>
      <c r="I53" s="25" t="n">
        <f aca="false">데이터_총괄!K21</f>
        <v>54210371</v>
      </c>
      <c r="J53" s="24" t="n">
        <f aca="false">H53-I53</f>
        <v>0</v>
      </c>
    </row>
    <row r="54" customFormat="false" ht="15" hidden="false" customHeight="true" outlineLevel="0" collapsed="false">
      <c r="A54" s="8" t="str">
        <f aca="false">데이터_총괄!A22</f>
        <v>2025.08</v>
      </c>
      <c r="B54" s="25" t="n">
        <f aca="false">데이터_총괄!H22-데이터_총괄!K22</f>
        <v>6402708</v>
      </c>
      <c r="C54" s="25" t="n">
        <f aca="false">데이터_총괄!L22</f>
        <v>6402708</v>
      </c>
      <c r="D54" s="25" t="n">
        <f aca="false">B54-C54</f>
        <v>0</v>
      </c>
      <c r="E54" s="25" t="n">
        <f aca="false">SUMIFS(데이터_성질별수출!$G$3:$G$653,데이터_성질별수출!$E$3:$E$653,"1. 식료 및 직접소비재",데이터_성질별수출!$A$3:$A$653,$A54)+SUMIFS(데이터_성질별수출!$G$3:$G$653,데이터_성질별수출!$E$3:$E$653,"2. 원료 및 연료",데이터_성질별수출!$A$3:$A$653,$A54)+SUMIFS(데이터_성질별수출!$G$3:$G$653,데이터_성질별수출!$E$3:$E$653,"3. 경공업품",데이터_성질별수출!$A$3:$A$653,$A54)+SUMIFS(데이터_성질별수출!$G$3:$G$653,데이터_성질별수출!$E$3:$E$653,"4. 중화학 공업품",데이터_성질별수출!$A$3:$A$653,$A54)</f>
        <v>58259333</v>
      </c>
      <c r="F54" s="25" t="n">
        <f aca="false">데이터_총괄!H22</f>
        <v>58259332</v>
      </c>
      <c r="G54" s="24" t="n">
        <f aca="false">E54-F54</f>
        <v>1</v>
      </c>
      <c r="H54" s="25" t="n">
        <f aca="false">SUMIFS(데이터_신성질별!$I$3:$I$529,데이터_신성질별!$E$3:$E$529,"1.소비재",데이터_신성질별!$A$3:$A$529,$A54)+SUMIFS(데이터_신성질별!$I$3:$I$529,데이터_신성질별!$E$3:$E$529,"2.원자재",데이터_신성질별!$A$3:$A$529,$A54)+SUMIFS(데이터_신성질별!$I$3:$I$529,데이터_신성질별!$E$3:$E$529,"3.자본재",데이터_신성질별!$A$3:$A$529,$A54)</f>
        <v>51856623</v>
      </c>
      <c r="I54" s="25" t="n">
        <f aca="false">데이터_총괄!K22</f>
        <v>51856624</v>
      </c>
      <c r="J54" s="24" t="n">
        <f aca="false">H54-I54</f>
        <v>-1</v>
      </c>
    </row>
    <row r="55" customFormat="false" ht="15" hidden="false" customHeight="true" outlineLevel="0" collapsed="false">
      <c r="A55" s="8" t="str">
        <f aca="false">데이터_총괄!A23</f>
        <v>2025.09</v>
      </c>
      <c r="B55" s="25" t="n">
        <f aca="false">데이터_총괄!H23-데이터_총괄!K23</f>
        <v>9484504</v>
      </c>
      <c r="C55" s="25" t="n">
        <f aca="false">데이터_총괄!L23</f>
        <v>9484504</v>
      </c>
      <c r="D55" s="25" t="n">
        <f aca="false">B55-C55</f>
        <v>0</v>
      </c>
      <c r="E55" s="25" t="n">
        <f aca="false">SUMIFS(데이터_성질별수출!$G$3:$G$653,데이터_성질별수출!$E$3:$E$653,"1. 식료 및 직접소비재",데이터_성질별수출!$A$3:$A$653,$A55)+SUMIFS(데이터_성질별수출!$G$3:$G$653,데이터_성질별수출!$E$3:$E$653,"2. 원료 및 연료",데이터_성질별수출!$A$3:$A$653,$A55)+SUMIFS(데이터_성질별수출!$G$3:$G$653,데이터_성질별수출!$E$3:$E$653,"3. 경공업품",데이터_성질별수출!$A$3:$A$653,$A55)+SUMIFS(데이터_성질별수출!$G$3:$G$653,데이터_성질별수출!$E$3:$E$653,"4. 중화학 공업품",데이터_성질별수출!$A$3:$A$653,$A55)</f>
        <v>65904118</v>
      </c>
      <c r="F55" s="25" t="n">
        <f aca="false">데이터_총괄!H23</f>
        <v>65904118</v>
      </c>
      <c r="G55" s="24" t="n">
        <f aca="false">E55-F55</f>
        <v>0</v>
      </c>
      <c r="H55" s="25" t="n">
        <f aca="false">SUMIFS(데이터_신성질별!$I$3:$I$529,데이터_신성질별!$E$3:$E$529,"1.소비재",데이터_신성질별!$A$3:$A$529,$A55)+SUMIFS(데이터_신성질별!$I$3:$I$529,데이터_신성질별!$E$3:$E$529,"2.원자재",데이터_신성질별!$A$3:$A$529,$A55)+SUMIFS(데이터_신성질별!$I$3:$I$529,데이터_신성질별!$E$3:$E$529,"3.자본재",데이터_신성질별!$A$3:$A$529,$A55)</f>
        <v>56419613</v>
      </c>
      <c r="I55" s="25" t="n">
        <f aca="false">데이터_총괄!K23</f>
        <v>56419614</v>
      </c>
      <c r="J55" s="24" t="n">
        <f aca="false">H55-I55</f>
        <v>-1</v>
      </c>
    </row>
    <row r="56" customFormat="false" ht="15" hidden="false" customHeight="true" outlineLevel="0" collapsed="false">
      <c r="A56" s="8" t="str">
        <f aca="false">데이터_총괄!A24</f>
        <v>2025.10</v>
      </c>
      <c r="B56" s="25" t="n">
        <f aca="false">데이터_총괄!H24-데이터_총괄!K24</f>
        <v>6000751</v>
      </c>
      <c r="C56" s="25" t="n">
        <f aca="false">데이터_총괄!L24</f>
        <v>6000751</v>
      </c>
      <c r="D56" s="25" t="n">
        <f aca="false">B56-C56</f>
        <v>0</v>
      </c>
      <c r="E56" s="25" t="n">
        <f aca="false">SUMIFS(데이터_성질별수출!$G$3:$G$653,데이터_성질별수출!$E$3:$E$653,"1. 식료 및 직접소비재",데이터_성질별수출!$A$3:$A$653,$A56)+SUMIFS(데이터_성질별수출!$G$3:$G$653,데이터_성질별수출!$E$3:$E$653,"2. 원료 및 연료",데이터_성질별수출!$A$3:$A$653,$A56)+SUMIFS(데이터_성질별수출!$G$3:$G$653,데이터_성질별수출!$E$3:$E$653,"3. 경공업품",데이터_성질별수출!$A$3:$A$653,$A56)+SUMIFS(데이터_성질별수출!$G$3:$G$653,데이터_성질별수출!$E$3:$E$653,"4. 중화학 공업품",데이터_성질별수출!$A$3:$A$653,$A56)</f>
        <v>59511578</v>
      </c>
      <c r="F56" s="25" t="n">
        <f aca="false">데이터_총괄!H24</f>
        <v>59511578</v>
      </c>
      <c r="G56" s="24" t="n">
        <f aca="false">E56-F56</f>
        <v>0</v>
      </c>
      <c r="H56" s="25" t="n">
        <f aca="false">SUMIFS(데이터_신성질별!$I$3:$I$529,데이터_신성질별!$E$3:$E$529,"1.소비재",데이터_신성질별!$A$3:$A$529,$A56)+SUMIFS(데이터_신성질별!$I$3:$I$529,데이터_신성질별!$E$3:$E$529,"2.원자재",데이터_신성질별!$A$3:$A$529,$A56)+SUMIFS(데이터_신성질별!$I$3:$I$529,데이터_신성질별!$E$3:$E$529,"3.자본재",데이터_신성질별!$A$3:$A$529,$A56)</f>
        <v>53510828</v>
      </c>
      <c r="I56" s="25" t="n">
        <f aca="false">데이터_총괄!K24</f>
        <v>53510827</v>
      </c>
      <c r="J56" s="24" t="n">
        <f aca="false">H56-I56</f>
        <v>1</v>
      </c>
    </row>
    <row r="57" customFormat="false" ht="15" hidden="false" customHeight="true" outlineLevel="0" collapsed="false">
      <c r="A57" s="8" t="str">
        <f aca="false">데이터_총괄!A25</f>
        <v>2025.11</v>
      </c>
      <c r="B57" s="25" t="n">
        <f aca="false">데이터_총괄!H25-데이터_총괄!K25</f>
        <v>9468013</v>
      </c>
      <c r="C57" s="25" t="n">
        <f aca="false">데이터_총괄!L25</f>
        <v>9468013</v>
      </c>
      <c r="D57" s="25" t="n">
        <f aca="false">B57-C57</f>
        <v>0</v>
      </c>
      <c r="E57" s="25" t="n">
        <f aca="false">SUMIFS(데이터_성질별수출!$G$3:$G$653,데이터_성질별수출!$E$3:$E$653,"1. 식료 및 직접소비재",데이터_성질별수출!$A$3:$A$653,$A57)+SUMIFS(데이터_성질별수출!$G$3:$G$653,데이터_성질별수출!$E$3:$E$653,"2. 원료 및 연료",데이터_성질별수출!$A$3:$A$653,$A57)+SUMIFS(데이터_성질별수출!$G$3:$G$653,데이터_성질별수출!$E$3:$E$653,"3. 경공업품",데이터_성질별수출!$A$3:$A$653,$A57)+SUMIFS(데이터_성질별수출!$G$3:$G$653,데이터_성질별수출!$E$3:$E$653,"4. 중화학 공업품",데이터_성질별수출!$A$3:$A$653,$A57)</f>
        <v>60752617</v>
      </c>
      <c r="F57" s="25" t="n">
        <f aca="false">데이터_총괄!H25</f>
        <v>60752618</v>
      </c>
      <c r="G57" s="24" t="n">
        <f aca="false">E57-F57</f>
        <v>-1</v>
      </c>
      <c r="H57" s="25" t="n">
        <f aca="false">SUMIFS(데이터_신성질별!$I$3:$I$529,데이터_신성질별!$E$3:$E$529,"1.소비재",데이터_신성질별!$A$3:$A$529,$A57)+SUMIFS(데이터_신성질별!$I$3:$I$529,데이터_신성질별!$E$3:$E$529,"2.원자재",데이터_신성질별!$A$3:$A$529,$A57)+SUMIFS(데이터_신성질별!$I$3:$I$529,데이터_신성질별!$E$3:$E$529,"3.자본재",데이터_신성질별!$A$3:$A$529,$A57)</f>
        <v>51284605</v>
      </c>
      <c r="I57" s="25" t="n">
        <f aca="false">데이터_총괄!K25</f>
        <v>51284605</v>
      </c>
      <c r="J57" s="24" t="n">
        <f aca="false">H57-I57</f>
        <v>0</v>
      </c>
    </row>
    <row r="58" customFormat="false" ht="15" hidden="false" customHeight="true" outlineLevel="0" collapsed="false">
      <c r="A58" s="8" t="str">
        <f aca="false">데이터_총괄!A26</f>
        <v>2025.12</v>
      </c>
      <c r="B58" s="25" t="n">
        <f aca="false">데이터_총괄!H26-데이터_총괄!K26</f>
        <v>12145940</v>
      </c>
      <c r="C58" s="25" t="n">
        <f aca="false">데이터_총괄!L26</f>
        <v>12145941</v>
      </c>
      <c r="D58" s="25" t="n">
        <f aca="false">B58-C58</f>
        <v>-1</v>
      </c>
      <c r="E58" s="25" t="n">
        <f aca="false">SUMIFS(데이터_성질별수출!$G$3:$G$653,데이터_성질별수출!$E$3:$E$653,"1. 식료 및 직접소비재",데이터_성질별수출!$A$3:$A$653,$A58)+SUMIFS(데이터_성질별수출!$G$3:$G$653,데이터_성질별수출!$E$3:$E$653,"2. 원료 및 연료",데이터_성질별수출!$A$3:$A$653,$A58)+SUMIFS(데이터_성질별수출!$G$3:$G$653,데이터_성질별수출!$E$3:$E$653,"3. 경공업품",데이터_성질별수출!$A$3:$A$653,$A58)+SUMIFS(데이터_성질별수출!$G$3:$G$653,데이터_성질별수출!$E$3:$E$653,"4. 중화학 공업품",데이터_성질별수출!$A$3:$A$653,$A58)</f>
        <v>69513623</v>
      </c>
      <c r="F58" s="25" t="n">
        <f aca="false">데이터_총괄!H26</f>
        <v>69513624</v>
      </c>
      <c r="G58" s="24" t="n">
        <f aca="false">E58-F58</f>
        <v>-1</v>
      </c>
      <c r="H58" s="25" t="n">
        <f aca="false">SUMIFS(데이터_신성질별!$I$3:$I$529,데이터_신성질별!$E$3:$E$529,"1.소비재",데이터_신성질별!$A$3:$A$529,$A58)+SUMIFS(데이터_신성질별!$I$3:$I$529,데이터_신성질별!$E$3:$E$529,"2.원자재",데이터_신성질별!$A$3:$A$529,$A58)+SUMIFS(데이터_신성질별!$I$3:$I$529,데이터_신성질별!$E$3:$E$529,"3.자본재",데이터_신성질별!$A$3:$A$529,$A58)</f>
        <v>57367683</v>
      </c>
      <c r="I58" s="25" t="n">
        <f aca="false">데이터_총괄!K26</f>
        <v>57367684</v>
      </c>
      <c r="J58" s="24" t="n">
        <f aca="false">H58-I58</f>
        <v>-1</v>
      </c>
    </row>
    <row r="59" customFormat="false" ht="15" hidden="false" customHeight="true" outlineLevel="0" collapsed="false">
      <c r="A59" s="8" t="str">
        <f aca="false">데이터_총괄!A27</f>
        <v>2026.01</v>
      </c>
      <c r="B59" s="25" t="n">
        <f aca="false">데이터_총괄!H27-데이터_총괄!K27</f>
        <v>8700468</v>
      </c>
      <c r="C59" s="25" t="n">
        <f aca="false">데이터_총괄!L27</f>
        <v>8700468</v>
      </c>
      <c r="D59" s="25" t="n">
        <f aca="false">B59-C59</f>
        <v>0</v>
      </c>
      <c r="E59" s="25" t="n">
        <f aca="false">SUMIFS(데이터_성질별수출!$G$3:$G$653,데이터_성질별수출!$E$3:$E$653,"1. 식료 및 직접소비재",데이터_성질별수출!$A$3:$A$653,$A59)+SUMIFS(데이터_성질별수출!$G$3:$G$653,데이터_성질별수출!$E$3:$E$653,"2. 원료 및 연료",데이터_성질별수출!$A$3:$A$653,$A59)+SUMIFS(데이터_성질별수출!$G$3:$G$653,데이터_성질별수출!$E$3:$E$653,"3. 경공업품",데이터_성질별수출!$A$3:$A$653,$A59)+SUMIFS(데이터_성질별수출!$G$3:$G$653,데이터_성질별수출!$E$3:$E$653,"4. 중화학 공업품",데이터_성질별수출!$A$3:$A$653,$A59)</f>
        <v>65843937</v>
      </c>
      <c r="F59" s="25" t="n">
        <f aca="false">데이터_총괄!H27</f>
        <v>65843937</v>
      </c>
      <c r="G59" s="24" t="n">
        <f aca="false">E59-F59</f>
        <v>0</v>
      </c>
      <c r="H59" s="25" t="n">
        <f aca="false">SUMIFS(데이터_신성질별!$I$3:$I$529,데이터_신성질별!$E$3:$E$529,"1.소비재",데이터_신성질별!$A$3:$A$529,$A59)+SUMIFS(데이터_신성질별!$I$3:$I$529,데이터_신성질별!$E$3:$E$529,"2.원자재",데이터_신성질별!$A$3:$A$529,$A59)+SUMIFS(데이터_신성질별!$I$3:$I$529,데이터_신성질별!$E$3:$E$529,"3.자본재",데이터_신성질별!$A$3:$A$529,$A59)</f>
        <v>57143469</v>
      </c>
      <c r="I59" s="25" t="n">
        <f aca="false">데이터_총괄!K27</f>
        <v>57143469</v>
      </c>
      <c r="J59" s="24" t="n">
        <f aca="false">H59-I59</f>
        <v>0</v>
      </c>
    </row>
    <row r="60" customFormat="false" ht="15" hidden="false" customHeight="true" outlineLevel="0" collapsed="false">
      <c r="A60" s="8" t="str">
        <f aca="false">데이터_총괄!A28</f>
        <v>2026.02</v>
      </c>
      <c r="B60" s="25" t="n">
        <f aca="false">데이터_총괄!H28-데이터_총괄!K28</f>
        <v>15708634</v>
      </c>
      <c r="C60" s="25" t="n">
        <f aca="false">데이터_총괄!L28</f>
        <v>15708634</v>
      </c>
      <c r="D60" s="25" t="n">
        <f aca="false">B60-C60</f>
        <v>0</v>
      </c>
      <c r="E60" s="25" t="n">
        <f aca="false">SUMIFS(데이터_성질별수출!$G$3:$G$653,데이터_성질별수출!$E$3:$E$653,"1. 식료 및 직접소비재",데이터_성질별수출!$A$3:$A$653,$A60)+SUMIFS(데이터_성질별수출!$G$3:$G$653,데이터_성질별수출!$E$3:$E$653,"2. 원료 및 연료",데이터_성질별수출!$A$3:$A$653,$A60)+SUMIFS(데이터_성질별수출!$G$3:$G$653,데이터_성질별수출!$E$3:$E$653,"3. 경공업품",데이터_성질별수출!$A$3:$A$653,$A60)+SUMIFS(데이터_성질별수출!$G$3:$G$653,데이터_성질별수출!$E$3:$E$653,"4. 중화학 공업품",데이터_성질별수출!$A$3:$A$653,$A60)</f>
        <v>67642547</v>
      </c>
      <c r="F60" s="25" t="n">
        <f aca="false">데이터_총괄!H28</f>
        <v>67642547</v>
      </c>
      <c r="G60" s="24" t="n">
        <f aca="false">E60-F60</f>
        <v>0</v>
      </c>
      <c r="H60" s="25" t="n">
        <f aca="false">SUMIFS(데이터_신성질별!$I$3:$I$529,데이터_신성질별!$E$3:$E$529,"1.소비재",데이터_신성질별!$A$3:$A$529,$A60)+SUMIFS(데이터_신성질별!$I$3:$I$529,데이터_신성질별!$E$3:$E$529,"2.원자재",데이터_신성질별!$A$3:$A$529,$A60)+SUMIFS(데이터_신성질별!$I$3:$I$529,데이터_신성질별!$E$3:$E$529,"3.자본재",데이터_신성질별!$A$3:$A$529,$A60)</f>
        <v>51933912</v>
      </c>
      <c r="I60" s="25" t="n">
        <f aca="false">데이터_총괄!K28</f>
        <v>51933913</v>
      </c>
      <c r="J60" s="24" t="n">
        <f aca="false">H60-I60</f>
        <v>-1</v>
      </c>
    </row>
    <row r="61" customFormat="false" ht="15" hidden="false" customHeight="true" outlineLevel="0" collapsed="false">
      <c r="A61" s="8" t="str">
        <f aca="false">데이터_총괄!A29</f>
        <v>2026.03</v>
      </c>
      <c r="B61" s="25" t="n">
        <f aca="false">데이터_총괄!H29-데이터_총괄!K29</f>
        <v>26579682</v>
      </c>
      <c r="C61" s="25" t="n">
        <f aca="false">데이터_총괄!L29</f>
        <v>26579682</v>
      </c>
      <c r="D61" s="25" t="n">
        <f aca="false">B61-C61</f>
        <v>0</v>
      </c>
      <c r="E61" s="25" t="n">
        <f aca="false">SUMIFS(데이터_성질별수출!$G$3:$G$653,데이터_성질별수출!$E$3:$E$653,"1. 식료 및 직접소비재",데이터_성질별수출!$A$3:$A$653,$A61)+SUMIFS(데이터_성질별수출!$G$3:$G$653,데이터_성질별수출!$E$3:$E$653,"2. 원료 및 연료",데이터_성질별수출!$A$3:$A$653,$A61)+SUMIFS(데이터_성질별수출!$G$3:$G$653,데이터_성질별수출!$E$3:$E$653,"3. 경공업품",데이터_성질별수출!$A$3:$A$653,$A61)+SUMIFS(데이터_성질별수출!$G$3:$G$653,데이터_성질별수출!$E$3:$E$653,"4. 중화학 공업품",데이터_성질별수출!$A$3:$A$653,$A61)</f>
        <v>87333128</v>
      </c>
      <c r="F61" s="25" t="n">
        <f aca="false">데이터_총괄!H29</f>
        <v>87333128</v>
      </c>
      <c r="G61" s="24" t="n">
        <f aca="false">E61-F61</f>
        <v>0</v>
      </c>
      <c r="H61" s="25" t="n">
        <f aca="false">SUMIFS(데이터_신성질별!$I$3:$I$529,데이터_신성질별!$E$3:$E$529,"1.소비재",데이터_신성질별!$A$3:$A$529,$A61)+SUMIFS(데이터_신성질별!$I$3:$I$529,데이터_신성질별!$E$3:$E$529,"2.원자재",데이터_신성질별!$A$3:$A$529,$A61)+SUMIFS(데이터_신성질별!$I$3:$I$529,데이터_신성질별!$E$3:$E$529,"3.자본재",데이터_신성질별!$A$3:$A$529,$A61)</f>
        <v>60753446</v>
      </c>
      <c r="I61" s="25" t="n">
        <f aca="false">데이터_총괄!K29</f>
        <v>60753446</v>
      </c>
      <c r="J61" s="24" t="n">
        <f aca="false">H61-I61</f>
        <v>0</v>
      </c>
    </row>
    <row r="62" customFormat="false" ht="15" hidden="false" customHeight="true" outlineLevel="0" collapsed="false">
      <c r="A62" s="8" t="str">
        <f aca="false">데이터_총괄!A30</f>
        <v>2026.04</v>
      </c>
      <c r="B62" s="25" t="n">
        <f aca="false">데이터_총괄!H30-데이터_총괄!K30</f>
        <v>23646975</v>
      </c>
      <c r="C62" s="25" t="n">
        <f aca="false">데이터_총괄!L30</f>
        <v>23646975</v>
      </c>
      <c r="D62" s="25" t="n">
        <f aca="false">B62-C62</f>
        <v>0</v>
      </c>
      <c r="E62" s="25" t="n">
        <f aca="false">SUMIFS(데이터_성질별수출!$G$3:$G$653,데이터_성질별수출!$E$3:$E$653,"1. 식료 및 직접소비재",데이터_성질별수출!$A$3:$A$653,$A62)+SUMIFS(데이터_성질별수출!$G$3:$G$653,데이터_성질별수출!$E$3:$E$653,"2. 원료 및 연료",데이터_성질별수출!$A$3:$A$653,$A62)+SUMIFS(데이터_성질별수출!$G$3:$G$653,데이터_성질별수출!$E$3:$E$653,"3. 경공업품",데이터_성질별수출!$A$3:$A$653,$A62)+SUMIFS(데이터_성질별수출!$G$3:$G$653,데이터_성질별수출!$E$3:$E$653,"4. 중화학 공업품",데이터_성질별수출!$A$3:$A$653,$A62)</f>
        <v>85751883</v>
      </c>
      <c r="F62" s="25" t="n">
        <f aca="false">데이터_총괄!H30</f>
        <v>85751883</v>
      </c>
      <c r="G62" s="24" t="n">
        <f aca="false">E62-F62</f>
        <v>0</v>
      </c>
      <c r="H62" s="25" t="n">
        <f aca="false">SUMIFS(데이터_신성질별!$I$3:$I$529,데이터_신성질별!$E$3:$E$529,"1.소비재",데이터_신성질별!$A$3:$A$529,$A62)+SUMIFS(데이터_신성질별!$I$3:$I$529,데이터_신성질별!$E$3:$E$529,"2.원자재",데이터_신성질별!$A$3:$A$529,$A62)+SUMIFS(데이터_신성질별!$I$3:$I$529,데이터_신성질별!$E$3:$E$529,"3.자본재",데이터_신성질별!$A$3:$A$529,$A62)</f>
        <v>62104908</v>
      </c>
      <c r="I62" s="25" t="n">
        <f aca="false">데이터_총괄!K30</f>
        <v>62104908</v>
      </c>
      <c r="J62" s="24" t="n">
        <f aca="false">H62-I62</f>
        <v>0</v>
      </c>
    </row>
    <row r="63" customFormat="false" ht="15" hidden="false" customHeight="true" outlineLevel="0" collapsed="false">
      <c r="A63" s="8" t="str">
        <f aca="false">데이터_총괄!A31</f>
        <v>2026.05</v>
      </c>
      <c r="B63" s="25" t="n">
        <f aca="false">데이터_총괄!H31-데이터_총괄!K31</f>
        <v>26827733</v>
      </c>
      <c r="C63" s="25" t="n">
        <f aca="false">데이터_총괄!L31</f>
        <v>26827733</v>
      </c>
      <c r="D63" s="25" t="n">
        <f aca="false">B63-C63</f>
        <v>0</v>
      </c>
      <c r="E63" s="25" t="n">
        <f aca="false">SUMIFS(데이터_성질별수출!$G$3:$G$653,데이터_성질별수출!$E$3:$E$653,"1. 식료 및 직접소비재",데이터_성질별수출!$A$3:$A$653,$A63)+SUMIFS(데이터_성질별수출!$G$3:$G$653,데이터_성질별수출!$E$3:$E$653,"2. 원료 및 연료",데이터_성질별수출!$A$3:$A$653,$A63)+SUMIFS(데이터_성질별수출!$G$3:$G$653,데이터_성질별수출!$E$3:$E$653,"3. 경공업품",데이터_성질별수출!$A$3:$A$653,$A63)+SUMIFS(데이터_성질별수출!$G$3:$G$653,데이터_성질별수출!$E$3:$E$653,"4. 중화학 공업품",데이터_성질별수출!$A$3:$A$653,$A63)</f>
        <v>87576084</v>
      </c>
      <c r="F63" s="25" t="n">
        <f aca="false">데이터_총괄!H31</f>
        <v>87576083</v>
      </c>
      <c r="G63" s="24" t="n">
        <f aca="false">E63-F63</f>
        <v>1</v>
      </c>
      <c r="H63" s="25" t="n">
        <f aca="false">SUMIFS(데이터_신성질별!$I$3:$I$529,데이터_신성질별!$E$3:$E$529,"1.소비재",데이터_신성질별!$A$3:$A$529,$A63)+SUMIFS(데이터_신성질별!$I$3:$I$529,데이터_신성질별!$E$3:$E$529,"2.원자재",데이터_신성질별!$A$3:$A$529,$A63)+SUMIFS(데이터_신성질별!$I$3:$I$529,데이터_신성질별!$E$3:$E$529,"3.자본재",데이터_신성질별!$A$3:$A$529,$A63)</f>
        <v>60748349</v>
      </c>
      <c r="I63" s="25" t="n">
        <f aca="false">데이터_총괄!K31</f>
        <v>60748350</v>
      </c>
      <c r="J63" s="24" t="n">
        <f aca="false">H63-I63</f>
        <v>-1</v>
      </c>
    </row>
    <row r="64" customFormat="false" ht="15" hidden="false" customHeight="true" outlineLevel="0" collapsed="false">
      <c r="A64" s="8" t="str">
        <f aca="false">데이터_총괄!A32</f>
        <v>2026.06</v>
      </c>
      <c r="B64" s="25" t="n">
        <f aca="false">데이터_총괄!H32-데이터_총괄!K32</f>
        <v>35904573</v>
      </c>
      <c r="C64" s="25" t="n">
        <f aca="false">데이터_총괄!L32</f>
        <v>35904573</v>
      </c>
      <c r="D64" s="25" t="n">
        <f aca="false">B64-C64</f>
        <v>0</v>
      </c>
      <c r="E64" s="25" t="n">
        <f aca="false">SUMIFS(데이터_성질별수출!$G$3:$G$653,데이터_성질별수출!$E$3:$E$653,"1. 식료 및 직접소비재",데이터_성질별수출!$A$3:$A$653,$A64)+SUMIFS(데이터_성질별수출!$G$3:$G$653,데이터_성질별수출!$E$3:$E$653,"2. 원료 및 연료",데이터_성질별수출!$A$3:$A$653,$A64)+SUMIFS(데이터_성질별수출!$G$3:$G$653,데이터_성질별수출!$E$3:$E$653,"3. 경공업품",데이터_성질별수출!$A$3:$A$653,$A64)+SUMIFS(데이터_성질별수출!$G$3:$G$653,데이터_성질별수출!$E$3:$E$653,"4. 중화학 공업품",데이터_성질별수출!$A$3:$A$653,$A64)</f>
        <v>101956158</v>
      </c>
      <c r="F64" s="25" t="n">
        <f aca="false">데이터_총괄!H32</f>
        <v>101956159</v>
      </c>
      <c r="G64" s="24" t="n">
        <f aca="false">E64-F64</f>
        <v>-1</v>
      </c>
      <c r="H64" s="25" t="n">
        <f aca="false">SUMIFS(데이터_신성질별!$I$3:$I$529,데이터_신성질별!$E$3:$E$529,"1.소비재",데이터_신성질별!$A$3:$A$529,$A64)+SUMIFS(데이터_신성질별!$I$3:$I$529,데이터_신성질별!$E$3:$E$529,"2.원자재",데이터_신성질별!$A$3:$A$529,$A64)+SUMIFS(데이터_신성질별!$I$3:$I$529,데이터_신성질별!$E$3:$E$529,"3.자본재",데이터_신성질별!$A$3:$A$529,$A64)</f>
        <v>66051586</v>
      </c>
      <c r="I64" s="25" t="n">
        <f aca="false">데이터_총괄!K32</f>
        <v>66051586</v>
      </c>
      <c r="J64" s="24" t="n">
        <f aca="false">H64-I64</f>
        <v>0</v>
      </c>
    </row>
    <row r="65" customFormat="false" ht="15" hidden="false" customHeight="true" outlineLevel="0" collapsed="false">
      <c r="A65" s="8" t="str">
        <f aca="false">데이터_총괄!A33</f>
        <v>2026.07</v>
      </c>
      <c r="B65" s="25" t="n">
        <f aca="false">데이터_총괄!H33-데이터_총괄!K33</f>
        <v>30391626</v>
      </c>
      <c r="C65" s="25" t="n">
        <f aca="false">데이터_총괄!L33</f>
        <v>30391625</v>
      </c>
      <c r="D65" s="25" t="n">
        <f aca="false">B65-C65</f>
        <v>1</v>
      </c>
      <c r="E65" s="25" t="n">
        <f aca="false">SUMIFS(데이터_성질별수출!$G$3:$G$653,데이터_성질별수출!$E$3:$E$653,"1. 식료 및 직접소비재",데이터_성질별수출!$A$3:$A$653,$A65)+SUMIFS(데이터_성질별수출!$G$3:$G$653,데이터_성질별수출!$E$3:$E$653,"2. 원료 및 연료",데이터_성질별수출!$A$3:$A$653,$A65)+SUMIFS(데이터_성질별수출!$G$3:$G$653,데이터_성질별수출!$E$3:$E$653,"3. 경공업품",데이터_성질별수출!$A$3:$A$653,$A65)+SUMIFS(데이터_성질별수출!$G$3:$G$653,데이터_성질별수출!$E$3:$E$653,"4. 중화학 공업품",데이터_성질별수출!$A$3:$A$653,$A65)</f>
        <v>98959100</v>
      </c>
      <c r="F65" s="25" t="n">
        <f aca="false">데이터_총괄!H33</f>
        <v>98959099</v>
      </c>
      <c r="G65" s="24" t="n">
        <f aca="false">E65-F65</f>
        <v>1</v>
      </c>
      <c r="H65" s="25" t="n">
        <f aca="false">SUMIFS(데이터_신성질별!$I$3:$I$529,데이터_신성질별!$E$3:$E$529,"1.소비재",데이터_신성질별!$A$3:$A$529,$A65)+SUMIFS(데이터_신성질별!$I$3:$I$529,데이터_신성질별!$E$3:$E$529,"2.원자재",데이터_신성질별!$A$3:$A$529,$A65)+SUMIFS(데이터_신성질별!$I$3:$I$529,데이터_신성질별!$E$3:$E$529,"3.자본재",데이터_신성질별!$A$3:$A$529,$A65)</f>
        <v>68567473</v>
      </c>
      <c r="I65" s="25" t="n">
        <f aca="false">데이터_총괄!K33</f>
        <v>68567473</v>
      </c>
      <c r="J65" s="24" t="n">
        <f aca="false">H65-I65</f>
        <v>0</v>
      </c>
    </row>
    <row r="66" customFormat="false" ht="15" hidden="false" customHeight="true" outlineLevel="0" collapsed="false">
      <c r="A66" s="6" t="s">
        <v>19700</v>
      </c>
      <c r="D66" s="31" t="n">
        <f aca="false">MAX(MAX(D35:D65),-MIN(D35:D65))</f>
        <v>1</v>
      </c>
      <c r="G66" s="31" t="n">
        <f aca="false">MAX(MAX(G35:G65),-MIN(G35:G65))</f>
        <v>1</v>
      </c>
      <c r="J66" s="31" t="n">
        <f aca="false">MAX(MAX(J35:J65),-MIN(J35:J65))</f>
        <v>1</v>
      </c>
    </row>
    <row r="67" customFormat="false" ht="15" hidden="false" customHeight="true" outlineLevel="0" collapsed="false">
      <c r="A67" s="6" t="s">
        <v>19667</v>
      </c>
      <c r="D67" s="32" t="str">
        <f aca="false">IF(D66&lt;=$D$3,"일치","불일치")</f>
        <v>일치</v>
      </c>
      <c r="G67" s="32" t="str">
        <f aca="false">IF(G66&lt;=$D$3,"일치","불일치")</f>
        <v>일치</v>
      </c>
      <c r="J67" s="32" t="str">
        <f aca="false">IF(J66&lt;=$D$3,"일치","불일치")</f>
        <v>일치</v>
      </c>
    </row>
  </sheetData>
  <mergeCells count="7">
    <mergeCell ref="A1:J1"/>
    <mergeCell ref="A2:J2"/>
    <mergeCell ref="A5:J5"/>
    <mergeCell ref="A16:J16"/>
    <mergeCell ref="A26:J26"/>
    <mergeCell ref="A31:I31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7" min="5" style="1" width="15"/>
    <col collapsed="false" customWidth="true" hidden="false" outlineLevel="0" max="11" min="8" style="1" width="10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7" min="15" style="1" width="12"/>
    <col collapsed="false" customWidth="true" hidden="false" outlineLevel="0" max="19" min="18" style="1" width="15"/>
    <col collapsed="false" customWidth="true" hidden="false" outlineLevel="0" max="20" min="20" style="1" width="14"/>
  </cols>
  <sheetData>
    <row r="1" customFormat="false" ht="21.75" hidden="false" customHeight="true" outlineLevel="0" collapsed="false">
      <c r="A1" s="2" t="s">
        <v>19701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19702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customFormat="false" ht="36" hidden="false" customHeight="true" outlineLevel="0" collapsed="false">
      <c r="A4" s="5" t="s">
        <v>56</v>
      </c>
      <c r="B4" s="5" t="s">
        <v>57</v>
      </c>
      <c r="C4" s="5" t="s">
        <v>58</v>
      </c>
      <c r="D4" s="5" t="s">
        <v>19668</v>
      </c>
      <c r="E4" s="5" t="s">
        <v>19669</v>
      </c>
      <c r="F4" s="5" t="s">
        <v>19671</v>
      </c>
      <c r="G4" s="5" t="s">
        <v>19672</v>
      </c>
      <c r="H4" s="5" t="s">
        <v>19703</v>
      </c>
      <c r="I4" s="5" t="s">
        <v>19704</v>
      </c>
      <c r="J4" s="5" t="s">
        <v>19705</v>
      </c>
      <c r="K4" s="5" t="s">
        <v>19706</v>
      </c>
      <c r="L4" s="5" t="s">
        <v>19707</v>
      </c>
      <c r="M4" s="5" t="s">
        <v>19708</v>
      </c>
      <c r="N4" s="5" t="s">
        <v>19709</v>
      </c>
      <c r="O4" s="5" t="s">
        <v>19710</v>
      </c>
      <c r="P4" s="5" t="s">
        <v>19711</v>
      </c>
      <c r="Q4" s="5" t="s">
        <v>19712</v>
      </c>
      <c r="R4" s="5" t="s">
        <v>19713</v>
      </c>
      <c r="S4" s="5" t="s">
        <v>19714</v>
      </c>
      <c r="T4" s="5" t="s">
        <v>19715</v>
      </c>
    </row>
    <row r="5" customFormat="false" ht="15" hidden="false" customHeight="true" outlineLevel="0" collapsed="false">
      <c r="A5" s="33" t="str">
        <f aca="false">데이터_총괄!A3</f>
        <v>2024.01</v>
      </c>
      <c r="B5" s="24" t="n">
        <f aca="false">데이터_총괄!E3</f>
        <v>24</v>
      </c>
      <c r="C5" s="25" t="n">
        <f aca="false">데이터_총괄!F3</f>
        <v>1035551</v>
      </c>
      <c r="D5" s="24" t="n">
        <f aca="false">데이터_총괄!G3</f>
        <v>17105790.7</v>
      </c>
      <c r="E5" s="25" t="n">
        <f aca="false">데이터_총괄!H3</f>
        <v>54709823</v>
      </c>
      <c r="F5" s="25" t="n">
        <f aca="false">데이터_총괄!K3</f>
        <v>54474611</v>
      </c>
      <c r="G5" s="25" t="n">
        <f aca="false">데이터_총괄!L3</f>
        <v>235213</v>
      </c>
      <c r="H5" s="36"/>
      <c r="I5" s="36"/>
      <c r="J5" s="36"/>
      <c r="K5" s="36"/>
      <c r="L5" s="25"/>
      <c r="M5" s="25" t="n">
        <f aca="false">E5/B5</f>
        <v>2279575.95833333</v>
      </c>
      <c r="N5" s="36"/>
      <c r="O5" s="37" t="n">
        <f aca="false">E5/D5</f>
        <v>3.1983217823424</v>
      </c>
      <c r="P5" s="37" t="n">
        <f aca="false">F5/데이터_총괄!J3</f>
        <v>1.06027590808618</v>
      </c>
      <c r="Q5" s="38" t="n">
        <f aca="false">O5/P5</f>
        <v>3.01649953370667</v>
      </c>
      <c r="R5" s="25"/>
      <c r="S5" s="25"/>
      <c r="T5" s="25" t="n">
        <f aca="false">SUMIFS(데이터_총괄!$H$3:$H$33,데이터_총괄!$B$3:$B$33,VALUE(LEFT($A5,4)),데이터_총괄!$C$3:$C$33,"&lt;="&amp;VALUE(RIGHT($A5,2)))</f>
        <v>54709823</v>
      </c>
    </row>
    <row r="6" customFormat="false" ht="15" hidden="false" customHeight="true" outlineLevel="0" collapsed="false">
      <c r="A6" s="33" t="str">
        <f aca="false">데이터_총괄!A4</f>
        <v>2024.02</v>
      </c>
      <c r="B6" s="24" t="n">
        <f aca="false">데이터_총괄!E4</f>
        <v>20.5</v>
      </c>
      <c r="C6" s="25" t="n">
        <f aca="false">데이터_총괄!F4</f>
        <v>906528</v>
      </c>
      <c r="D6" s="24" t="n">
        <f aca="false">데이터_총괄!G4</f>
        <v>15678985.8</v>
      </c>
      <c r="E6" s="25" t="n">
        <f aca="false">데이터_총괄!H4</f>
        <v>52076390</v>
      </c>
      <c r="F6" s="25" t="n">
        <f aca="false">데이터_총괄!K4</f>
        <v>48221860</v>
      </c>
      <c r="G6" s="25" t="n">
        <f aca="false">데이터_총괄!L4</f>
        <v>3854529</v>
      </c>
      <c r="H6" s="36" t="n">
        <f aca="false">E6/E5-1</f>
        <v>-0.0481345552881792</v>
      </c>
      <c r="I6" s="36" t="n">
        <f aca="false">F6/F5-1</f>
        <v>-0.114782848105148</v>
      </c>
      <c r="J6" s="36"/>
      <c r="K6" s="36"/>
      <c r="L6" s="25"/>
      <c r="M6" s="25" t="n">
        <f aca="false">E6/B6</f>
        <v>2540311.70731707</v>
      </c>
      <c r="N6" s="36"/>
      <c r="O6" s="37" t="n">
        <f aca="false">E6/D6</f>
        <v>3.32141317456898</v>
      </c>
      <c r="P6" s="37" t="n">
        <f aca="false">F6/데이터_총괄!J4</f>
        <v>1.05541656028462</v>
      </c>
      <c r="Q6" s="38" t="n">
        <f aca="false">O6/P6</f>
        <v>3.14701635311964</v>
      </c>
      <c r="R6" s="25"/>
      <c r="S6" s="25"/>
      <c r="T6" s="25" t="n">
        <f aca="false">SUMIFS(데이터_총괄!$H$3:$H$33,데이터_총괄!$B$3:$B$33,VALUE(LEFT($A6,4)),데이터_총괄!$C$3:$C$33,"&lt;="&amp;VALUE(RIGHT($A6,2)))</f>
        <v>106786213</v>
      </c>
    </row>
    <row r="7" customFormat="false" ht="15" hidden="false" customHeight="true" outlineLevel="0" collapsed="false">
      <c r="A7" s="33" t="str">
        <f aca="false">데이터_총괄!A5</f>
        <v>2024.03</v>
      </c>
      <c r="B7" s="24" t="n">
        <f aca="false">데이터_총괄!E5</f>
        <v>22.5</v>
      </c>
      <c r="C7" s="25" t="n">
        <f aca="false">데이터_총괄!F5</f>
        <v>1018882</v>
      </c>
      <c r="D7" s="24" t="n">
        <f aca="false">데이터_총괄!G5</f>
        <v>16805631.5</v>
      </c>
      <c r="E7" s="25" t="n">
        <f aca="false">데이터_총괄!H5</f>
        <v>56518309</v>
      </c>
      <c r="F7" s="25" t="n">
        <f aca="false">데이터_총괄!K5</f>
        <v>52112905</v>
      </c>
      <c r="G7" s="25" t="n">
        <f aca="false">데이터_총괄!L5</f>
        <v>4405404</v>
      </c>
      <c r="H7" s="36" t="n">
        <f aca="false">E7/E6-1</f>
        <v>0.0852962158091219</v>
      </c>
      <c r="I7" s="36" t="n">
        <f aca="false">F7/F6-1</f>
        <v>0.0806904793800987</v>
      </c>
      <c r="J7" s="36"/>
      <c r="K7" s="36"/>
      <c r="L7" s="25"/>
      <c r="M7" s="25" t="n">
        <f aca="false">E7/B7</f>
        <v>2511924.84444444</v>
      </c>
      <c r="N7" s="36"/>
      <c r="O7" s="37" t="n">
        <f aca="false">E7/D7</f>
        <v>3.36305773454571</v>
      </c>
      <c r="P7" s="37" t="n">
        <f aca="false">F7/데이터_총괄!J5</f>
        <v>1.1759213126621</v>
      </c>
      <c r="Q7" s="38" t="n">
        <f aca="false">O7/P7</f>
        <v>2.85993433262322</v>
      </c>
      <c r="R7" s="25"/>
      <c r="S7" s="25"/>
      <c r="T7" s="25" t="n">
        <f aca="false">SUMIFS(데이터_총괄!$H$3:$H$33,데이터_총괄!$B$3:$B$33,VALUE(LEFT($A7,4)),데이터_총괄!$C$3:$C$33,"&lt;="&amp;VALUE(RIGHT($A7,2)))</f>
        <v>163304522</v>
      </c>
    </row>
    <row r="8" customFormat="false" ht="15" hidden="false" customHeight="true" outlineLevel="0" collapsed="false">
      <c r="A8" s="33" t="str">
        <f aca="false">데이터_총괄!A6</f>
        <v>2024.04</v>
      </c>
      <c r="B8" s="24" t="n">
        <f aca="false">데이터_총괄!E6</f>
        <v>23</v>
      </c>
      <c r="C8" s="25" t="n">
        <f aca="false">데이터_총괄!F6</f>
        <v>1012749</v>
      </c>
      <c r="D8" s="24" t="n">
        <f aca="false">데이터_총괄!G6</f>
        <v>16491489.3</v>
      </c>
      <c r="E8" s="25" t="n">
        <f aca="false">데이터_총괄!H6</f>
        <v>56148299</v>
      </c>
      <c r="F8" s="25" t="n">
        <f aca="false">데이터_총괄!K6</f>
        <v>54821181</v>
      </c>
      <c r="G8" s="25" t="n">
        <f aca="false">데이터_총괄!L6</f>
        <v>1327118</v>
      </c>
      <c r="H8" s="36" t="n">
        <f aca="false">E8/E7-1</f>
        <v>-0.00654672807001355</v>
      </c>
      <c r="I8" s="36" t="n">
        <f aca="false">F8/F7-1</f>
        <v>0.0519693922263593</v>
      </c>
      <c r="J8" s="36"/>
      <c r="K8" s="36"/>
      <c r="L8" s="25"/>
      <c r="M8" s="25" t="n">
        <f aca="false">E8/B8</f>
        <v>2441230.39130435</v>
      </c>
      <c r="N8" s="36"/>
      <c r="O8" s="37" t="n">
        <f aca="false">E8/D8</f>
        <v>3.404683347792</v>
      </c>
      <c r="P8" s="37" t="n">
        <f aca="false">F8/데이터_총괄!J6</f>
        <v>1.15131885290756</v>
      </c>
      <c r="Q8" s="38" t="n">
        <f aca="false">O8/P8</f>
        <v>2.95720281066687</v>
      </c>
      <c r="R8" s="25"/>
      <c r="S8" s="25"/>
      <c r="T8" s="25" t="n">
        <f aca="false">SUMIFS(데이터_총괄!$H$3:$H$33,데이터_총괄!$B$3:$B$33,VALUE(LEFT($A8,4)),데이터_총괄!$C$3:$C$33,"&lt;="&amp;VALUE(RIGHT($A8,2)))</f>
        <v>219452821</v>
      </c>
    </row>
    <row r="9" customFormat="false" ht="15" hidden="false" customHeight="true" outlineLevel="0" collapsed="false">
      <c r="A9" s="33" t="str">
        <f aca="false">데이터_총괄!A7</f>
        <v>2024.05</v>
      </c>
      <c r="B9" s="24" t="n">
        <f aca="false">데이터_총괄!E7</f>
        <v>22</v>
      </c>
      <c r="C9" s="25" t="n">
        <f aca="false">데이터_총괄!F7</f>
        <v>1038452</v>
      </c>
      <c r="D9" s="24" t="n">
        <f aca="false">데이터_총괄!G7</f>
        <v>16793798.4</v>
      </c>
      <c r="E9" s="25" t="n">
        <f aca="false">데이터_총괄!H7</f>
        <v>58020557</v>
      </c>
      <c r="F9" s="25" t="n">
        <f aca="false">데이터_총괄!K7</f>
        <v>53132937</v>
      </c>
      <c r="G9" s="25" t="n">
        <f aca="false">데이터_총괄!L7</f>
        <v>4887620</v>
      </c>
      <c r="H9" s="36" t="n">
        <f aca="false">E9/E8-1</f>
        <v>0.0333448747930905</v>
      </c>
      <c r="I9" s="36" t="n">
        <f aca="false">F9/F8-1</f>
        <v>-0.0307954693642956</v>
      </c>
      <c r="J9" s="36"/>
      <c r="K9" s="36"/>
      <c r="L9" s="25"/>
      <c r="M9" s="25" t="n">
        <f aca="false">E9/B9</f>
        <v>2637298.04545455</v>
      </c>
      <c r="N9" s="36"/>
      <c r="O9" s="37" t="n">
        <f aca="false">E9/D9</f>
        <v>3.45487992758089</v>
      </c>
      <c r="P9" s="37" t="n">
        <f aca="false">F9/데이터_총괄!J7</f>
        <v>1.15807769467528</v>
      </c>
      <c r="Q9" s="38" t="n">
        <f aca="false">O9/P9</f>
        <v>2.983288550903</v>
      </c>
      <c r="R9" s="25"/>
      <c r="S9" s="25"/>
      <c r="T9" s="25" t="n">
        <f aca="false">SUMIFS(데이터_총괄!$H$3:$H$33,데이터_총괄!$B$3:$B$33,VALUE(LEFT($A9,4)),데이터_총괄!$C$3:$C$33,"&lt;="&amp;VALUE(RIGHT($A9,2)))</f>
        <v>277473378</v>
      </c>
    </row>
    <row r="10" customFormat="false" ht="15" hidden="false" customHeight="true" outlineLevel="0" collapsed="false">
      <c r="A10" s="33" t="str">
        <f aca="false">데이터_총괄!A8</f>
        <v>2024.06</v>
      </c>
      <c r="B10" s="24" t="n">
        <f aca="false">데이터_총괄!E8</f>
        <v>21.5</v>
      </c>
      <c r="C10" s="25" t="n">
        <f aca="false">데이터_총괄!F8</f>
        <v>1015654</v>
      </c>
      <c r="D10" s="24" t="n">
        <f aca="false">데이터_총괄!G8</f>
        <v>14641434.6</v>
      </c>
      <c r="E10" s="25" t="n">
        <f aca="false">데이터_총괄!H8</f>
        <v>57341634</v>
      </c>
      <c r="F10" s="25" t="n">
        <f aca="false">데이터_총괄!K8</f>
        <v>49090193</v>
      </c>
      <c r="G10" s="25" t="n">
        <f aca="false">데이터_총괄!L8</f>
        <v>8251441</v>
      </c>
      <c r="H10" s="36" t="n">
        <f aca="false">E10/E9-1</f>
        <v>-0.011701421618548</v>
      </c>
      <c r="I10" s="36" t="n">
        <f aca="false">F10/F9-1</f>
        <v>-0.076087342960168</v>
      </c>
      <c r="J10" s="36"/>
      <c r="K10" s="36"/>
      <c r="L10" s="25"/>
      <c r="M10" s="25" t="n">
        <f aca="false">E10/B10</f>
        <v>2667052.74418605</v>
      </c>
      <c r="N10" s="36"/>
      <c r="O10" s="37" t="n">
        <f aca="false">E10/D10</f>
        <v>3.91639450412871</v>
      </c>
      <c r="P10" s="37" t="n">
        <f aca="false">F10/데이터_총괄!J8</f>
        <v>1.14961649258394</v>
      </c>
      <c r="Q10" s="38" t="n">
        <f aca="false">O10/P10</f>
        <v>3.40669651957238</v>
      </c>
      <c r="R10" s="25"/>
      <c r="S10" s="25"/>
      <c r="T10" s="25" t="n">
        <f aca="false">SUMIFS(데이터_총괄!$H$3:$H$33,데이터_총괄!$B$3:$B$33,VALUE(LEFT($A10,4)),데이터_총괄!$C$3:$C$33,"&lt;="&amp;VALUE(RIGHT($A10,2)))</f>
        <v>334815012</v>
      </c>
    </row>
    <row r="11" customFormat="false" ht="15" hidden="false" customHeight="true" outlineLevel="0" collapsed="false">
      <c r="A11" s="33" t="str">
        <f aca="false">데이터_총괄!A9</f>
        <v>2024.07</v>
      </c>
      <c r="B11" s="24" t="n">
        <f aca="false">데이터_총괄!E9</f>
        <v>25</v>
      </c>
      <c r="C11" s="25" t="n">
        <f aca="false">데이터_총괄!F9</f>
        <v>1111979</v>
      </c>
      <c r="D11" s="24" t="n">
        <f aca="false">데이터_총괄!G9</f>
        <v>16697113.3</v>
      </c>
      <c r="E11" s="25" t="n">
        <f aca="false">데이터_총괄!H9</f>
        <v>57458788</v>
      </c>
      <c r="F11" s="25" t="n">
        <f aca="false">데이터_총괄!K9</f>
        <v>53838742</v>
      </c>
      <c r="G11" s="25" t="n">
        <f aca="false">데이터_총괄!L9</f>
        <v>3620046</v>
      </c>
      <c r="H11" s="36" t="n">
        <f aca="false">E11/E10-1</f>
        <v>0.00204308792456098</v>
      </c>
      <c r="I11" s="36" t="n">
        <f aca="false">F11/F10-1</f>
        <v>0.096731112872178</v>
      </c>
      <c r="J11" s="36"/>
      <c r="K11" s="36"/>
      <c r="L11" s="25"/>
      <c r="M11" s="25" t="n">
        <f aca="false">E11/B11</f>
        <v>2298351.52</v>
      </c>
      <c r="N11" s="36"/>
      <c r="O11" s="37" t="n">
        <f aca="false">E11/D11</f>
        <v>3.44124082813764</v>
      </c>
      <c r="P11" s="37" t="n">
        <f aca="false">F11/데이터_총괄!J9</f>
        <v>1.18933863687081</v>
      </c>
      <c r="Q11" s="38" t="n">
        <f aca="false">O11/P11</f>
        <v>2.89340707638295</v>
      </c>
      <c r="R11" s="25"/>
      <c r="S11" s="25"/>
      <c r="T11" s="25" t="n">
        <f aca="false">SUMIFS(데이터_총괄!$H$3:$H$33,데이터_총괄!$B$3:$B$33,VALUE(LEFT($A11,4)),데이터_총괄!$C$3:$C$33,"&lt;="&amp;VALUE(RIGHT($A11,2)))</f>
        <v>392273800</v>
      </c>
    </row>
    <row r="12" customFormat="false" ht="15" hidden="false" customHeight="true" outlineLevel="0" collapsed="false">
      <c r="A12" s="33" t="str">
        <f aca="false">데이터_총괄!A10</f>
        <v>2024.08</v>
      </c>
      <c r="B12" s="24" t="n">
        <f aca="false">데이터_총괄!E10</f>
        <v>23.5</v>
      </c>
      <c r="C12" s="25" t="n">
        <f aca="false">데이터_총괄!F10</f>
        <v>971248</v>
      </c>
      <c r="D12" s="24" t="n">
        <f aca="false">데이터_총괄!G10</f>
        <v>17070040.9</v>
      </c>
      <c r="E12" s="25" t="n">
        <f aca="false">데이터_총괄!H10</f>
        <v>57642924</v>
      </c>
      <c r="F12" s="25" t="n">
        <f aca="false">데이터_총괄!K10</f>
        <v>54054894</v>
      </c>
      <c r="G12" s="25" t="n">
        <f aca="false">데이터_총괄!L10</f>
        <v>3588030</v>
      </c>
      <c r="H12" s="36" t="n">
        <f aca="false">E12/E11-1</f>
        <v>0.00320466209624892</v>
      </c>
      <c r="I12" s="36" t="n">
        <f aca="false">F12/F11-1</f>
        <v>0.00401480406061494</v>
      </c>
      <c r="J12" s="36"/>
      <c r="K12" s="36"/>
      <c r="L12" s="25"/>
      <c r="M12" s="25" t="n">
        <f aca="false">E12/B12</f>
        <v>2452890.38297872</v>
      </c>
      <c r="N12" s="36"/>
      <c r="O12" s="37" t="n">
        <f aca="false">E12/D12</f>
        <v>3.37684744504625</v>
      </c>
      <c r="P12" s="37" t="n">
        <f aca="false">F12/데이터_총괄!J10</f>
        <v>1.08838263393842</v>
      </c>
      <c r="Q12" s="38" t="n">
        <f aca="false">O12/P12</f>
        <v>3.10262892823529</v>
      </c>
      <c r="R12" s="25"/>
      <c r="S12" s="25"/>
      <c r="T12" s="25" t="n">
        <f aca="false">SUMIFS(데이터_총괄!$H$3:$H$33,데이터_총괄!$B$3:$B$33,VALUE(LEFT($A12,4)),데이터_총괄!$C$3:$C$33,"&lt;="&amp;VALUE(RIGHT($A12,2)))</f>
        <v>449916724</v>
      </c>
    </row>
    <row r="13" customFormat="false" ht="15" hidden="false" customHeight="true" outlineLevel="0" collapsed="false">
      <c r="A13" s="33" t="str">
        <f aca="false">데이터_총괄!A11</f>
        <v>2024.09</v>
      </c>
      <c r="B13" s="24" t="n">
        <f aca="false">데이터_총괄!E11</f>
        <v>20</v>
      </c>
      <c r="C13" s="25" t="n">
        <f aca="false">데이터_총괄!F11</f>
        <v>1151289</v>
      </c>
      <c r="D13" s="24" t="n">
        <f aca="false">데이터_총괄!G11</f>
        <v>16449775.4</v>
      </c>
      <c r="E13" s="25" t="n">
        <f aca="false">데이터_총괄!H11</f>
        <v>58544693</v>
      </c>
      <c r="F13" s="25" t="n">
        <f aca="false">데이터_총괄!K11</f>
        <v>52102925</v>
      </c>
      <c r="G13" s="25" t="n">
        <f aca="false">데이터_총괄!L11</f>
        <v>6441768</v>
      </c>
      <c r="H13" s="36" t="n">
        <f aca="false">E13/E12-1</f>
        <v>0.0156440537263516</v>
      </c>
      <c r="I13" s="36" t="n">
        <f aca="false">F13/F12-1</f>
        <v>-0.0361108653732629</v>
      </c>
      <c r="J13" s="36"/>
      <c r="K13" s="36"/>
      <c r="L13" s="25"/>
      <c r="M13" s="25" t="n">
        <f aca="false">E13/B13</f>
        <v>2927234.65</v>
      </c>
      <c r="N13" s="36"/>
      <c r="O13" s="37" t="n">
        <f aca="false">E13/D13</f>
        <v>3.55899649547799</v>
      </c>
      <c r="P13" s="37" t="n">
        <f aca="false">F13/데이터_총괄!J11</f>
        <v>1.18025659539743</v>
      </c>
      <c r="Q13" s="38" t="n">
        <f aca="false">O13/P13</f>
        <v>3.01544300566232</v>
      </c>
      <c r="R13" s="25"/>
      <c r="S13" s="25"/>
      <c r="T13" s="25" t="n">
        <f aca="false">SUMIFS(데이터_총괄!$H$3:$H$33,데이터_총괄!$B$3:$B$33,VALUE(LEFT($A13,4)),데이터_총괄!$C$3:$C$33,"&lt;="&amp;VALUE(RIGHT($A13,2)))</f>
        <v>508461417</v>
      </c>
    </row>
    <row r="14" customFormat="false" ht="15" hidden="false" customHeight="true" outlineLevel="0" collapsed="false">
      <c r="A14" s="33" t="str">
        <f aca="false">데이터_총괄!A12</f>
        <v>2024.10</v>
      </c>
      <c r="B14" s="24" t="n">
        <f aca="false">데이터_총괄!E12</f>
        <v>22</v>
      </c>
      <c r="C14" s="25" t="n">
        <f aca="false">데이터_총괄!F12</f>
        <v>1020830</v>
      </c>
      <c r="D14" s="24" t="n">
        <f aca="false">데이터_총괄!G12</f>
        <v>15994863.5</v>
      </c>
      <c r="E14" s="25" t="n">
        <f aca="false">데이터_총괄!H12</f>
        <v>57500192</v>
      </c>
      <c r="F14" s="25" t="n">
        <f aca="false">데이터_총괄!K12</f>
        <v>54331589</v>
      </c>
      <c r="G14" s="25" t="n">
        <f aca="false">데이터_총괄!L12</f>
        <v>3168604</v>
      </c>
      <c r="H14" s="36" t="n">
        <f aca="false">E14/E13-1</f>
        <v>-0.0178410876627195</v>
      </c>
      <c r="I14" s="36" t="n">
        <f aca="false">F14/F13-1</f>
        <v>0.0427742588347968</v>
      </c>
      <c r="J14" s="36"/>
      <c r="K14" s="36"/>
      <c r="L14" s="25"/>
      <c r="M14" s="25" t="n">
        <f aca="false">E14/B14</f>
        <v>2613645.09090909</v>
      </c>
      <c r="N14" s="36"/>
      <c r="O14" s="37" t="n">
        <f aca="false">E14/D14</f>
        <v>3.59491608040294</v>
      </c>
      <c r="P14" s="37" t="n">
        <f aca="false">F14/데이터_총괄!J12</f>
        <v>1.14496610627494</v>
      </c>
      <c r="Q14" s="38" t="n">
        <f aca="false">O14/P14</f>
        <v>3.1397576405984</v>
      </c>
      <c r="R14" s="25"/>
      <c r="S14" s="25"/>
      <c r="T14" s="25" t="n">
        <f aca="false">SUMIFS(데이터_총괄!$H$3:$H$33,데이터_총괄!$B$3:$B$33,VALUE(LEFT($A14,4)),데이터_총괄!$C$3:$C$33,"&lt;="&amp;VALUE(RIGHT($A14,2)))</f>
        <v>565961609</v>
      </c>
    </row>
    <row r="15" customFormat="false" ht="15" hidden="false" customHeight="true" outlineLevel="0" collapsed="false">
      <c r="A15" s="33" t="str">
        <f aca="false">데이터_총괄!A13</f>
        <v>2024.11</v>
      </c>
      <c r="B15" s="24" t="n">
        <f aca="false">데이터_총괄!E13</f>
        <v>23.5</v>
      </c>
      <c r="C15" s="25" t="n">
        <f aca="false">데이터_총괄!F13</f>
        <v>1221469</v>
      </c>
      <c r="D15" s="24" t="n">
        <f aca="false">데이터_총괄!G13</f>
        <v>15893956</v>
      </c>
      <c r="E15" s="25" t="n">
        <f aca="false">데이터_총괄!H13</f>
        <v>56288629</v>
      </c>
      <c r="F15" s="25" t="n">
        <f aca="false">데이터_총괄!K13</f>
        <v>50718992</v>
      </c>
      <c r="G15" s="25" t="n">
        <f aca="false">데이터_총괄!L13</f>
        <v>5569637</v>
      </c>
      <c r="H15" s="36" t="n">
        <f aca="false">E15/E14-1</f>
        <v>-0.0210705905121151</v>
      </c>
      <c r="I15" s="36" t="n">
        <f aca="false">F15/F14-1</f>
        <v>-0.0664916500049354</v>
      </c>
      <c r="J15" s="36"/>
      <c r="K15" s="36"/>
      <c r="L15" s="25"/>
      <c r="M15" s="25" t="n">
        <f aca="false">E15/B15</f>
        <v>2395260.80851064</v>
      </c>
      <c r="N15" s="36"/>
      <c r="O15" s="37" t="n">
        <f aca="false">E15/D15</f>
        <v>3.5415115657801</v>
      </c>
      <c r="P15" s="37" t="n">
        <f aca="false">F15/데이터_총괄!J13</f>
        <v>1.14966572917935</v>
      </c>
      <c r="Q15" s="38" t="n">
        <f aca="false">O15/P15</f>
        <v>3.08047067586166</v>
      </c>
      <c r="R15" s="25"/>
      <c r="S15" s="25"/>
      <c r="T15" s="25" t="n">
        <f aca="false">SUMIFS(데이터_총괄!$H$3:$H$33,데이터_총괄!$B$3:$B$33,VALUE(LEFT($A15,4)),데이터_총괄!$C$3:$C$33,"&lt;="&amp;VALUE(RIGHT($A15,2)))</f>
        <v>622250238</v>
      </c>
    </row>
    <row r="16" customFormat="false" ht="15" hidden="false" customHeight="true" outlineLevel="0" collapsed="false">
      <c r="A16" s="33" t="str">
        <f aca="false">데이터_총괄!A14</f>
        <v>2024.12</v>
      </c>
      <c r="B16" s="24" t="n">
        <f aca="false">데이터_총괄!E14</f>
        <v>23</v>
      </c>
      <c r="C16" s="25" t="n">
        <f aca="false">데이터_총괄!F14</f>
        <v>1135404</v>
      </c>
      <c r="D16" s="24" t="n">
        <f aca="false">데이터_총괄!G14</f>
        <v>17620291.4</v>
      </c>
      <c r="E16" s="25" t="n">
        <f aca="false">데이터_총괄!H14</f>
        <v>61359250</v>
      </c>
      <c r="F16" s="25" t="n">
        <f aca="false">데이터_총괄!K14</f>
        <v>54866380</v>
      </c>
      <c r="G16" s="25" t="n">
        <f aca="false">데이터_총괄!L14</f>
        <v>6492870</v>
      </c>
      <c r="H16" s="36" t="n">
        <f aca="false">E16/E15-1</f>
        <v>0.0900825102704137</v>
      </c>
      <c r="I16" s="36" t="n">
        <f aca="false">F16/F15-1</f>
        <v>0.0817718932584464</v>
      </c>
      <c r="J16" s="36"/>
      <c r="K16" s="36"/>
      <c r="L16" s="25"/>
      <c r="M16" s="25" t="n">
        <f aca="false">E16/B16</f>
        <v>2667793.47826087</v>
      </c>
      <c r="N16" s="36"/>
      <c r="O16" s="37" t="n">
        <f aca="false">E16/D16</f>
        <v>3.48230620067952</v>
      </c>
      <c r="P16" s="37" t="n">
        <f aca="false">F16/데이터_총괄!J14</f>
        <v>1.14269253000746</v>
      </c>
      <c r="Q16" s="38" t="n">
        <f aca="false">O16/P16</f>
        <v>3.04745686983426</v>
      </c>
      <c r="R16" s="25" t="n">
        <f aca="false">SUM(E5:E16)</f>
        <v>683609488</v>
      </c>
      <c r="S16" s="25" t="n">
        <f aca="false">SUM(G5:G16)</f>
        <v>51842280</v>
      </c>
      <c r="T16" s="25" t="n">
        <f aca="false">SUMIFS(데이터_총괄!$H$3:$H$33,데이터_총괄!$B$3:$B$33,VALUE(LEFT($A16,4)),데이터_총괄!$C$3:$C$33,"&lt;="&amp;VALUE(RIGHT($A16,2)))</f>
        <v>683609488</v>
      </c>
    </row>
    <row r="17" customFormat="false" ht="15" hidden="false" customHeight="true" outlineLevel="0" collapsed="false">
      <c r="A17" s="33" t="str">
        <f aca="false">데이터_총괄!A15</f>
        <v>2025.01</v>
      </c>
      <c r="B17" s="24" t="n">
        <f aca="false">데이터_총괄!E15</f>
        <v>20</v>
      </c>
      <c r="C17" s="25" t="n">
        <f aca="false">데이터_총괄!F15</f>
        <v>924441</v>
      </c>
      <c r="D17" s="24" t="n">
        <f aca="false">데이터_총괄!G15</f>
        <v>14986301.7</v>
      </c>
      <c r="E17" s="25" t="n">
        <f aca="false">데이터_총괄!H15</f>
        <v>49176984</v>
      </c>
      <c r="F17" s="25" t="n">
        <f aca="false">데이터_총괄!K15</f>
        <v>51172292</v>
      </c>
      <c r="G17" s="25" t="n">
        <f aca="false">데이터_총괄!L15</f>
        <v>-1995308</v>
      </c>
      <c r="H17" s="36" t="n">
        <f aca="false">E17/E16-1</f>
        <v>-0.198540008230218</v>
      </c>
      <c r="I17" s="36" t="n">
        <f aca="false">F17/F16-1</f>
        <v>-0.0673288086438362</v>
      </c>
      <c r="J17" s="36" t="n">
        <f aca="false">E17/E5-1</f>
        <v>-0.101130632427745</v>
      </c>
      <c r="K17" s="36" t="n">
        <f aca="false">F17/F5-1</f>
        <v>-0.0606212497781765</v>
      </c>
      <c r="L17" s="25" t="n">
        <f aca="false">G17-G5</f>
        <v>-2230521</v>
      </c>
      <c r="M17" s="25" t="n">
        <f aca="false">E17/B17</f>
        <v>2458849.2</v>
      </c>
      <c r="N17" s="36" t="n">
        <f aca="false">M17/M5-1</f>
        <v>0.0786432410867057</v>
      </c>
      <c r="O17" s="37" t="n">
        <f aca="false">E17/D17</f>
        <v>3.28146229699887</v>
      </c>
      <c r="P17" s="37" t="n">
        <f aca="false">F17/데이터_총괄!J15</f>
        <v>1.06770570956981</v>
      </c>
      <c r="Q17" s="38" t="n">
        <f aca="false">O17/P17</f>
        <v>3.07337711842057</v>
      </c>
      <c r="R17" s="25" t="n">
        <f aca="false">SUM(E6:E17)</f>
        <v>678076649</v>
      </c>
      <c r="S17" s="25" t="n">
        <f aca="false">SUM(G6:G17)</f>
        <v>49611759</v>
      </c>
      <c r="T17" s="25" t="n">
        <f aca="false">SUMIFS(데이터_총괄!$H$3:$H$33,데이터_총괄!$B$3:$B$33,VALUE(LEFT($A17,4)),데이터_총괄!$C$3:$C$33,"&lt;="&amp;VALUE(RIGHT($A17,2)))</f>
        <v>49176984</v>
      </c>
    </row>
    <row r="18" customFormat="false" ht="15" hidden="false" customHeight="true" outlineLevel="0" collapsed="false">
      <c r="A18" s="33" t="str">
        <f aca="false">데이터_총괄!A16</f>
        <v>2025.02</v>
      </c>
      <c r="B18" s="24" t="n">
        <f aca="false">데이터_총괄!E16</f>
        <v>22</v>
      </c>
      <c r="C18" s="25" t="n">
        <f aca="false">데이터_총괄!F16</f>
        <v>1014431</v>
      </c>
      <c r="D18" s="24" t="n">
        <f aca="false">데이터_총괄!G16</f>
        <v>16151895.1</v>
      </c>
      <c r="E18" s="25" t="n">
        <f aca="false">데이터_총괄!H16</f>
        <v>52292301</v>
      </c>
      <c r="F18" s="25" t="n">
        <f aca="false">데이터_총괄!K16</f>
        <v>48328741</v>
      </c>
      <c r="G18" s="25" t="n">
        <f aca="false">데이터_총괄!L16</f>
        <v>3963560</v>
      </c>
      <c r="H18" s="36" t="n">
        <f aca="false">E18/E17-1</f>
        <v>0.0633490862310711</v>
      </c>
      <c r="I18" s="36" t="n">
        <f aca="false">F18/F17-1</f>
        <v>-0.0555681774035058</v>
      </c>
      <c r="J18" s="36" t="n">
        <f aca="false">E18/E6-1</f>
        <v>0.00414604391740681</v>
      </c>
      <c r="K18" s="36" t="n">
        <f aca="false">F18/F6-1</f>
        <v>0.00221644291613798</v>
      </c>
      <c r="L18" s="25" t="n">
        <f aca="false">G18-G6</f>
        <v>109031</v>
      </c>
      <c r="M18" s="25" t="n">
        <f aca="false">E18/B18</f>
        <v>2376922.77272727</v>
      </c>
      <c r="N18" s="36" t="n">
        <f aca="false">M18/M6-1</f>
        <v>-0.0643184590769619</v>
      </c>
      <c r="O18" s="37" t="n">
        <f aca="false">E18/D18</f>
        <v>3.23753347060804</v>
      </c>
      <c r="P18" s="37" t="n">
        <f aca="false">F18/데이터_총괄!J16</f>
        <v>1.16356103782381</v>
      </c>
      <c r="Q18" s="38" t="n">
        <f aca="false">O18/P18</f>
        <v>2.7824354420316</v>
      </c>
      <c r="R18" s="25" t="n">
        <f aca="false">SUM(E7:E18)</f>
        <v>678292560</v>
      </c>
      <c r="S18" s="25" t="n">
        <f aca="false">SUM(G7:G18)</f>
        <v>49720790</v>
      </c>
      <c r="T18" s="25" t="n">
        <f aca="false">SUMIFS(데이터_총괄!$H$3:$H$33,데이터_총괄!$B$3:$B$33,VALUE(LEFT($A18,4)),데이터_총괄!$C$3:$C$33,"&lt;="&amp;VALUE(RIGHT($A18,2)))</f>
        <v>101469285</v>
      </c>
    </row>
    <row r="19" customFormat="false" ht="15" hidden="false" customHeight="true" outlineLevel="0" collapsed="false">
      <c r="A19" s="33" t="str">
        <f aca="false">데이터_총괄!A17</f>
        <v>2025.03</v>
      </c>
      <c r="B19" s="24" t="n">
        <f aca="false">데이터_총괄!E17</f>
        <v>22</v>
      </c>
      <c r="C19" s="25" t="n">
        <f aca="false">데이터_총괄!F17</f>
        <v>1236266</v>
      </c>
      <c r="D19" s="24" t="n">
        <f aca="false">데이터_총괄!G17</f>
        <v>15702059.6</v>
      </c>
      <c r="E19" s="25" t="n">
        <f aca="false">데이터_총괄!H17</f>
        <v>58064562</v>
      </c>
      <c r="F19" s="25" t="n">
        <f aca="false">데이터_총괄!K17</f>
        <v>53341032</v>
      </c>
      <c r="G19" s="25" t="n">
        <f aca="false">데이터_총괄!L17</f>
        <v>4723530</v>
      </c>
      <c r="H19" s="36" t="n">
        <f aca="false">E19/E18-1</f>
        <v>0.110384528689988</v>
      </c>
      <c r="I19" s="36" t="n">
        <f aca="false">F19/F18-1</f>
        <v>0.103712426524829</v>
      </c>
      <c r="J19" s="36" t="n">
        <f aca="false">E19/E7-1</f>
        <v>0.0273584441459493</v>
      </c>
      <c r="K19" s="36" t="n">
        <f aca="false">F19/F7-1</f>
        <v>0.0235666578172911</v>
      </c>
      <c r="L19" s="25" t="n">
        <f aca="false">G19-G7</f>
        <v>318126</v>
      </c>
      <c r="M19" s="25" t="n">
        <f aca="false">E19/B19</f>
        <v>2639298.27272727</v>
      </c>
      <c r="N19" s="36" t="n">
        <f aca="false">M19/M7-1</f>
        <v>0.050707499694721</v>
      </c>
      <c r="O19" s="37" t="n">
        <f aca="false">E19/D19</f>
        <v>3.69789463797475</v>
      </c>
      <c r="P19" s="37" t="n">
        <f aca="false">F19/데이터_총괄!J17</f>
        <v>1.27122761887282</v>
      </c>
      <c r="Q19" s="38" t="n">
        <f aca="false">O19/P19</f>
        <v>2.90891621852397</v>
      </c>
      <c r="R19" s="25" t="n">
        <f aca="false">SUM(E8:E19)</f>
        <v>679838813</v>
      </c>
      <c r="S19" s="25" t="n">
        <f aca="false">SUM(G8:G19)</f>
        <v>50038916</v>
      </c>
      <c r="T19" s="25" t="n">
        <f aca="false">SUMIFS(데이터_총괄!$H$3:$H$33,데이터_총괄!$B$3:$B$33,VALUE(LEFT($A19,4)),데이터_총괄!$C$3:$C$33,"&lt;="&amp;VALUE(RIGHT($A19,2)))</f>
        <v>159533847</v>
      </c>
    </row>
    <row r="20" customFormat="false" ht="15" hidden="false" customHeight="true" outlineLevel="0" collapsed="false">
      <c r="A20" s="33" t="str">
        <f aca="false">데이터_총괄!A18</f>
        <v>2025.04</v>
      </c>
      <c r="B20" s="24" t="n">
        <f aca="false">데이터_총괄!E18</f>
        <v>24</v>
      </c>
      <c r="C20" s="25" t="n">
        <f aca="false">데이터_총괄!F18</f>
        <v>1088160</v>
      </c>
      <c r="D20" s="24" t="n">
        <f aca="false">데이터_총괄!G18</f>
        <v>17527804.9</v>
      </c>
      <c r="E20" s="25" t="n">
        <f aca="false">데이터_총괄!H18</f>
        <v>58035745</v>
      </c>
      <c r="F20" s="25" t="n">
        <f aca="false">데이터_총괄!K18</f>
        <v>53232716</v>
      </c>
      <c r="G20" s="25" t="n">
        <f aca="false">데이터_총괄!L18</f>
        <v>4803029</v>
      </c>
      <c r="H20" s="36" t="n">
        <f aca="false">E20/E19-1</f>
        <v>-0.000496292385706809</v>
      </c>
      <c r="I20" s="36" t="n">
        <f aca="false">F20/F19-1</f>
        <v>-0.00203063187828834</v>
      </c>
      <c r="J20" s="36" t="n">
        <f aca="false">E20/E8-1</f>
        <v>0.0336153727470889</v>
      </c>
      <c r="K20" s="36" t="n">
        <f aca="false">F20/F8-1</f>
        <v>-0.0289753881807107</v>
      </c>
      <c r="L20" s="25" t="n">
        <f aca="false">G20-G8</f>
        <v>3475911</v>
      </c>
      <c r="M20" s="25" t="n">
        <f aca="false">E20/B20</f>
        <v>2418156.04166667</v>
      </c>
      <c r="N20" s="36" t="n">
        <f aca="false">M20/M8-1</f>
        <v>-0.00945193445070647</v>
      </c>
      <c r="O20" s="37" t="n">
        <f aca="false">E20/D20</f>
        <v>3.31106749140048</v>
      </c>
      <c r="P20" s="37" t="n">
        <f aca="false">F20/데이터_총괄!J18</f>
        <v>1.17624127116845</v>
      </c>
      <c r="Q20" s="38" t="n">
        <f aca="false">O20/P20</f>
        <v>2.81495605753687</v>
      </c>
      <c r="R20" s="25" t="n">
        <f aca="false">SUM(E9:E20)</f>
        <v>681726259</v>
      </c>
      <c r="S20" s="25" t="n">
        <f aca="false">SUM(G9:G20)</f>
        <v>53514827</v>
      </c>
      <c r="T20" s="25" t="n">
        <f aca="false">SUMIFS(데이터_총괄!$H$3:$H$33,데이터_총괄!$B$3:$B$33,VALUE(LEFT($A20,4)),데이터_총괄!$C$3:$C$33,"&lt;="&amp;VALUE(RIGHT($A20,2)))</f>
        <v>217569592</v>
      </c>
    </row>
    <row r="21" customFormat="false" ht="15" hidden="false" customHeight="true" outlineLevel="0" collapsed="false">
      <c r="A21" s="33" t="str">
        <f aca="false">데이터_총괄!A19</f>
        <v>2025.05</v>
      </c>
      <c r="B21" s="24" t="n">
        <f aca="false">데이터_총괄!E19</f>
        <v>21.5</v>
      </c>
      <c r="C21" s="25" t="n">
        <f aca="false">데이터_총괄!F19</f>
        <v>1034785</v>
      </c>
      <c r="D21" s="24" t="n">
        <f aca="false">데이터_총괄!G19</f>
        <v>16573462.9</v>
      </c>
      <c r="E21" s="25" t="n">
        <f aca="false">데이터_총괄!H19</f>
        <v>57261063</v>
      </c>
      <c r="F21" s="25" t="n">
        <f aca="false">데이터_총괄!K19</f>
        <v>50345116</v>
      </c>
      <c r="G21" s="25" t="n">
        <f aca="false">데이터_총괄!L19</f>
        <v>6915946</v>
      </c>
      <c r="H21" s="36" t="n">
        <f aca="false">E21/E20-1</f>
        <v>-0.0133483597048681</v>
      </c>
      <c r="I21" s="36" t="n">
        <f aca="false">F21/F20-1</f>
        <v>-0.0542448369532751</v>
      </c>
      <c r="J21" s="36" t="n">
        <f aca="false">E21/E9-1</f>
        <v>-0.0130900846057028</v>
      </c>
      <c r="K21" s="36" t="n">
        <f aca="false">F21/F9-1</f>
        <v>-0.0524687916273102</v>
      </c>
      <c r="L21" s="25" t="n">
        <f aca="false">G21-G9</f>
        <v>2028326</v>
      </c>
      <c r="M21" s="25" t="n">
        <f aca="false">E21/B21</f>
        <v>2663305.25581395</v>
      </c>
      <c r="N21" s="36" t="n">
        <f aca="false">M21/M9-1</f>
        <v>0.00986130877555991</v>
      </c>
      <c r="O21" s="37" t="n">
        <f aca="false">E21/D21</f>
        <v>3.45498483602965</v>
      </c>
      <c r="P21" s="37" t="n">
        <f aca="false">F21/데이터_총괄!J19</f>
        <v>1.1699874891919</v>
      </c>
      <c r="Q21" s="38" t="n">
        <f aca="false">O21/P21</f>
        <v>2.9530100688649</v>
      </c>
      <c r="R21" s="25" t="n">
        <f aca="false">SUM(E10:E21)</f>
        <v>680966765</v>
      </c>
      <c r="S21" s="25" t="n">
        <f aca="false">SUM(G10:G21)</f>
        <v>55543153</v>
      </c>
      <c r="T21" s="25" t="n">
        <f aca="false">SUMIFS(데이터_총괄!$H$3:$H$33,데이터_총괄!$B$3:$B$33,VALUE(LEFT($A21,4)),데이터_총괄!$C$3:$C$33,"&lt;="&amp;VALUE(RIGHT($A21,2)))</f>
        <v>274830655</v>
      </c>
    </row>
    <row r="22" customFormat="false" ht="15" hidden="false" customHeight="true" outlineLevel="0" collapsed="false">
      <c r="A22" s="33" t="str">
        <f aca="false">데이터_총괄!A20</f>
        <v>2025.06</v>
      </c>
      <c r="B22" s="24" t="n">
        <f aca="false">데이터_총괄!E20</f>
        <v>21</v>
      </c>
      <c r="C22" s="25" t="n">
        <f aca="false">데이터_총괄!F20</f>
        <v>1328545</v>
      </c>
      <c r="D22" s="24" t="n">
        <f aca="false">데이터_총괄!G20</f>
        <v>16221157</v>
      </c>
      <c r="E22" s="25" t="n">
        <f aca="false">데이터_총괄!H20</f>
        <v>59833797</v>
      </c>
      <c r="F22" s="25" t="n">
        <f aca="false">데이터_총괄!K20</f>
        <v>50825746</v>
      </c>
      <c r="G22" s="25" t="n">
        <f aca="false">데이터_총괄!L20</f>
        <v>9008051</v>
      </c>
      <c r="H22" s="36" t="n">
        <f aca="false">E22/E21-1</f>
        <v>0.0449299028905559</v>
      </c>
      <c r="I22" s="36" t="n">
        <f aca="false">F22/F21-1</f>
        <v>0.00954670558311954</v>
      </c>
      <c r="J22" s="36" t="n">
        <f aca="false">E22/E10-1</f>
        <v>0.0434616669626122</v>
      </c>
      <c r="K22" s="36" t="n">
        <f aca="false">F22/F10-1</f>
        <v>0.0353543731229575</v>
      </c>
      <c r="L22" s="25" t="n">
        <f aca="false">G22-G10</f>
        <v>756610</v>
      </c>
      <c r="M22" s="25" t="n">
        <f aca="false">E22/B22</f>
        <v>2849228.42857143</v>
      </c>
      <c r="N22" s="36" t="n">
        <f aca="false">M22/M10-1</f>
        <v>0.0683059923664839</v>
      </c>
      <c r="O22" s="37" t="n">
        <f aca="false">E22/D22</f>
        <v>3.68862695799073</v>
      </c>
      <c r="P22" s="37" t="n">
        <f aca="false">F22/데이터_총괄!J20</f>
        <v>1.18949384340714</v>
      </c>
      <c r="Q22" s="38" t="n">
        <f aca="false">O22/P22</f>
        <v>3.1010055061951</v>
      </c>
      <c r="R22" s="25" t="n">
        <f aca="false">SUM(E11:E22)</f>
        <v>683458928</v>
      </c>
      <c r="S22" s="25" t="n">
        <f aca="false">SUM(G11:G22)</f>
        <v>56299763</v>
      </c>
      <c r="T22" s="25" t="n">
        <f aca="false">SUMIFS(데이터_총괄!$H$3:$H$33,데이터_총괄!$B$3:$B$33,VALUE(LEFT($A22,4)),데이터_총괄!$C$3:$C$33,"&lt;="&amp;VALUE(RIGHT($A22,2)))</f>
        <v>334664452</v>
      </c>
    </row>
    <row r="23" customFormat="false" ht="15" hidden="false" customHeight="true" outlineLevel="0" collapsed="false">
      <c r="A23" s="33" t="str">
        <f aca="false">데이터_총괄!A21</f>
        <v>2025.07</v>
      </c>
      <c r="B23" s="24" t="n">
        <f aca="false">데이터_총괄!E21</f>
        <v>25</v>
      </c>
      <c r="C23" s="25" t="n">
        <f aca="false">데이터_총괄!F21</f>
        <v>1177196</v>
      </c>
      <c r="D23" s="24" t="n">
        <f aca="false">데이터_총괄!G21</f>
        <v>17580838.3</v>
      </c>
      <c r="E23" s="25" t="n">
        <f aca="false">데이터_총괄!H21</f>
        <v>60724322</v>
      </c>
      <c r="F23" s="25" t="n">
        <f aca="false">데이터_총괄!K21</f>
        <v>54210371</v>
      </c>
      <c r="G23" s="25" t="n">
        <f aca="false">데이터_총괄!L21</f>
        <v>6513951</v>
      </c>
      <c r="H23" s="36" t="n">
        <f aca="false">E23/E22-1</f>
        <v>0.0148833108485493</v>
      </c>
      <c r="I23" s="36" t="n">
        <f aca="false">F23/F22-1</f>
        <v>0.0665927264500947</v>
      </c>
      <c r="J23" s="36" t="n">
        <f aca="false">E23/E11-1</f>
        <v>0.0568326293273016</v>
      </c>
      <c r="K23" s="36" t="n">
        <f aca="false">F23/F11-1</f>
        <v>0.00690263156594551</v>
      </c>
      <c r="L23" s="25" t="n">
        <f aca="false">G23-G11</f>
        <v>2893905</v>
      </c>
      <c r="M23" s="25" t="n">
        <f aca="false">E23/B23</f>
        <v>2428972.88</v>
      </c>
      <c r="N23" s="36" t="n">
        <f aca="false">M23/M11-1</f>
        <v>0.0568326293273014</v>
      </c>
      <c r="O23" s="37" t="n">
        <f aca="false">E23/D23</f>
        <v>3.4540060584028</v>
      </c>
      <c r="P23" s="37" t="n">
        <f aca="false">F23/데이터_총괄!J21</f>
        <v>1.14030552574688</v>
      </c>
      <c r="Q23" s="38" t="n">
        <f aca="false">O23/P23</f>
        <v>3.02901808367587</v>
      </c>
      <c r="R23" s="25" t="n">
        <f aca="false">SUM(E12:E23)</f>
        <v>686724462</v>
      </c>
      <c r="S23" s="25" t="n">
        <f aca="false">SUM(G12:G23)</f>
        <v>59193668</v>
      </c>
      <c r="T23" s="25" t="n">
        <f aca="false">SUMIFS(데이터_총괄!$H$3:$H$33,데이터_총괄!$B$3:$B$33,VALUE(LEFT($A23,4)),데이터_총괄!$C$3:$C$33,"&lt;="&amp;VALUE(RIGHT($A23,2)))</f>
        <v>395388774</v>
      </c>
    </row>
    <row r="24" customFormat="false" ht="15" hidden="false" customHeight="true" outlineLevel="0" collapsed="false">
      <c r="A24" s="33" t="str">
        <f aca="false">데이터_총괄!A22</f>
        <v>2025.08</v>
      </c>
      <c r="B24" s="24" t="n">
        <f aca="false">데이터_총괄!E22</f>
        <v>22.5</v>
      </c>
      <c r="C24" s="25" t="n">
        <f aca="false">데이터_총괄!F22</f>
        <v>1058881</v>
      </c>
      <c r="D24" s="24" t="n">
        <f aca="false">데이터_총괄!G22</f>
        <v>17118673.9</v>
      </c>
      <c r="E24" s="25" t="n">
        <f aca="false">데이터_총괄!H22</f>
        <v>58259332</v>
      </c>
      <c r="F24" s="25" t="n">
        <f aca="false">데이터_총괄!K22</f>
        <v>51856624</v>
      </c>
      <c r="G24" s="25" t="n">
        <f aca="false">데이터_총괄!L22</f>
        <v>6402708</v>
      </c>
      <c r="H24" s="36" t="n">
        <f aca="false">E24/E23-1</f>
        <v>-0.0405931251072675</v>
      </c>
      <c r="I24" s="36" t="n">
        <f aca="false">F24/F23-1</f>
        <v>-0.043418758377433</v>
      </c>
      <c r="J24" s="36" t="n">
        <f aca="false">E24/E12-1</f>
        <v>0.0106935588486108</v>
      </c>
      <c r="K24" s="36" t="n">
        <f aca="false">F24/F12-1</f>
        <v>-0.0406673630698453</v>
      </c>
      <c r="L24" s="25" t="n">
        <f aca="false">G24-G12</f>
        <v>2814678</v>
      </c>
      <c r="M24" s="25" t="n">
        <f aca="false">E24/B24</f>
        <v>2589303.64444444</v>
      </c>
      <c r="N24" s="36" t="n">
        <f aca="false">M24/M12-1</f>
        <v>0.0556132725752156</v>
      </c>
      <c r="O24" s="37" t="n">
        <f aca="false">E24/D24</f>
        <v>3.40326197813722</v>
      </c>
      <c r="P24" s="37" t="n">
        <f aca="false">F24/데이터_총괄!J22</f>
        <v>1.06608915438261</v>
      </c>
      <c r="Q24" s="38" t="n">
        <f aca="false">O24/P24</f>
        <v>3.19228646511099</v>
      </c>
      <c r="R24" s="25" t="n">
        <f aca="false">SUM(E13:E24)</f>
        <v>687340870</v>
      </c>
      <c r="S24" s="25" t="n">
        <f aca="false">SUM(G13:G24)</f>
        <v>62008346</v>
      </c>
      <c r="T24" s="25" t="n">
        <f aca="false">SUMIFS(데이터_총괄!$H$3:$H$33,데이터_총괄!$B$3:$B$33,VALUE(LEFT($A24,4)),데이터_총괄!$C$3:$C$33,"&lt;="&amp;VALUE(RIGHT($A24,2)))</f>
        <v>453648106</v>
      </c>
    </row>
    <row r="25" customFormat="false" ht="15" hidden="false" customHeight="true" outlineLevel="0" collapsed="false">
      <c r="A25" s="33" t="str">
        <f aca="false">데이터_총괄!A23</f>
        <v>2025.09</v>
      </c>
      <c r="B25" s="24" t="n">
        <f aca="false">데이터_총괄!E23</f>
        <v>24</v>
      </c>
      <c r="C25" s="25" t="n">
        <f aca="false">데이터_총괄!F23</f>
        <v>1451822</v>
      </c>
      <c r="D25" s="24" t="n">
        <f aca="false">데이터_총괄!G23</f>
        <v>18076703.2</v>
      </c>
      <c r="E25" s="25" t="n">
        <f aca="false">데이터_총괄!H23</f>
        <v>65904118</v>
      </c>
      <c r="F25" s="25" t="n">
        <f aca="false">데이터_총괄!K23</f>
        <v>56419614</v>
      </c>
      <c r="G25" s="25" t="n">
        <f aca="false">데이터_총괄!L23</f>
        <v>9484504</v>
      </c>
      <c r="H25" s="36" t="n">
        <f aca="false">E25/E24-1</f>
        <v>0.131219939150693</v>
      </c>
      <c r="I25" s="36" t="n">
        <f aca="false">F25/F24-1</f>
        <v>0.0879924231087623</v>
      </c>
      <c r="J25" s="36" t="n">
        <f aca="false">E25/E13-1</f>
        <v>0.125706099440986</v>
      </c>
      <c r="K25" s="36" t="n">
        <f aca="false">F25/F13-1</f>
        <v>0.0828492642207708</v>
      </c>
      <c r="L25" s="25" t="n">
        <f aca="false">G25-G13</f>
        <v>3042736</v>
      </c>
      <c r="M25" s="25" t="n">
        <f aca="false">E25/B25</f>
        <v>2746004.91666667</v>
      </c>
      <c r="N25" s="36" t="n">
        <f aca="false">M25/M13-1</f>
        <v>-0.0619115837991783</v>
      </c>
      <c r="O25" s="37" t="n">
        <f aca="false">E25/D25</f>
        <v>3.64580406453761</v>
      </c>
      <c r="P25" s="37" t="n">
        <f aca="false">F25/데이터_총괄!J23</f>
        <v>1.19335019266815</v>
      </c>
      <c r="Q25" s="38" t="n">
        <f aca="false">O25/P25</f>
        <v>3.05509990859107</v>
      </c>
      <c r="R25" s="25" t="n">
        <f aca="false">SUM(E14:E25)</f>
        <v>694700295</v>
      </c>
      <c r="S25" s="25" t="n">
        <f aca="false">SUM(G14:G25)</f>
        <v>65051082</v>
      </c>
      <c r="T25" s="25" t="n">
        <f aca="false">SUMIFS(데이터_총괄!$H$3:$H$33,데이터_총괄!$B$3:$B$33,VALUE(LEFT($A25,4)),데이터_총괄!$C$3:$C$33,"&lt;="&amp;VALUE(RIGHT($A25,2)))</f>
        <v>519552224</v>
      </c>
    </row>
    <row r="26" customFormat="false" ht="15" hidden="false" customHeight="true" outlineLevel="0" collapsed="false">
      <c r="A26" s="33" t="str">
        <f aca="false">데이터_총괄!A24</f>
        <v>2025.10</v>
      </c>
      <c r="B26" s="24" t="n">
        <f aca="false">데이터_총괄!E24</f>
        <v>20</v>
      </c>
      <c r="C26" s="25" t="n">
        <f aca="false">데이터_총괄!F24</f>
        <v>1040165</v>
      </c>
      <c r="D26" s="24" t="n">
        <f aca="false">데이터_총괄!G24</f>
        <v>16017317.9</v>
      </c>
      <c r="E26" s="25" t="n">
        <f aca="false">데이터_총괄!H24</f>
        <v>59511578</v>
      </c>
      <c r="F26" s="25" t="n">
        <f aca="false">데이터_총괄!K24</f>
        <v>53510827</v>
      </c>
      <c r="G26" s="25" t="n">
        <f aca="false">데이터_총괄!L24</f>
        <v>6000751</v>
      </c>
      <c r="H26" s="36" t="n">
        <f aca="false">E26/E25-1</f>
        <v>-0.0969975806367669</v>
      </c>
      <c r="I26" s="36" t="n">
        <f aca="false">F26/F25-1</f>
        <v>-0.0515563080598176</v>
      </c>
      <c r="J26" s="36" t="n">
        <f aca="false">E26/E14-1</f>
        <v>0.0349805092824733</v>
      </c>
      <c r="K26" s="36" t="n">
        <f aca="false">F26/F14-1</f>
        <v>-0.0151065340643728</v>
      </c>
      <c r="L26" s="25" t="n">
        <f aca="false">G26-G14</f>
        <v>2832147</v>
      </c>
      <c r="M26" s="25" t="n">
        <f aca="false">E26/B26</f>
        <v>2975578.9</v>
      </c>
      <c r="N26" s="36" t="n">
        <f aca="false">M26/M14-1</f>
        <v>0.138478560210721</v>
      </c>
      <c r="O26" s="37" t="n">
        <f aca="false">E26/D26</f>
        <v>3.71545213571618</v>
      </c>
      <c r="P26" s="37" t="n">
        <f aca="false">F26/데이터_총괄!J24</f>
        <v>1.12474665110652</v>
      </c>
      <c r="Q26" s="38" t="n">
        <f aca="false">O26/P26</f>
        <v>3.30336803586919</v>
      </c>
      <c r="R26" s="25" t="n">
        <f aca="false">SUM(E15:E26)</f>
        <v>696711681</v>
      </c>
      <c r="S26" s="25" t="n">
        <f aca="false">SUM(G15:G26)</f>
        <v>67883229</v>
      </c>
      <c r="T26" s="25" t="n">
        <f aca="false">SUMIFS(데이터_총괄!$H$3:$H$33,데이터_총괄!$B$3:$B$33,VALUE(LEFT($A26,4)),데이터_총괄!$C$3:$C$33,"&lt;="&amp;VALUE(RIGHT($A26,2)))</f>
        <v>579063802</v>
      </c>
    </row>
    <row r="27" customFormat="false" ht="15" hidden="false" customHeight="true" outlineLevel="0" collapsed="false">
      <c r="A27" s="33" t="str">
        <f aca="false">데이터_총괄!A25</f>
        <v>2025.11</v>
      </c>
      <c r="B27" s="24" t="n">
        <f aca="false">데이터_총괄!E25</f>
        <v>22.5</v>
      </c>
      <c r="C27" s="25" t="n">
        <f aca="false">데이터_총괄!F25</f>
        <v>1152460</v>
      </c>
      <c r="D27" s="24" t="n">
        <f aca="false">데이터_총괄!G25</f>
        <v>14605096.4</v>
      </c>
      <c r="E27" s="25" t="n">
        <f aca="false">데이터_총괄!H25</f>
        <v>60752618</v>
      </c>
      <c r="F27" s="25" t="n">
        <f aca="false">데이터_총괄!K25</f>
        <v>51284605</v>
      </c>
      <c r="G27" s="25" t="n">
        <f aca="false">데이터_총괄!L25</f>
        <v>9468013</v>
      </c>
      <c r="H27" s="36" t="n">
        <f aca="false">E27/E26-1</f>
        <v>0.0208537572302316</v>
      </c>
      <c r="I27" s="36" t="n">
        <f aca="false">F27/F26-1</f>
        <v>-0.0416032067678566</v>
      </c>
      <c r="J27" s="36" t="n">
        <f aca="false">E27/E15-1</f>
        <v>0.0793053424697909</v>
      </c>
      <c r="K27" s="36" t="n">
        <f aca="false">F27/F15-1</f>
        <v>0.0111518974982783</v>
      </c>
      <c r="L27" s="25" t="n">
        <f aca="false">G27-G15</f>
        <v>3898376</v>
      </c>
      <c r="M27" s="25" t="n">
        <f aca="false">E27/B27</f>
        <v>2700116.35555556</v>
      </c>
      <c r="N27" s="36" t="n">
        <f aca="false">M27/M15-1</f>
        <v>0.127274468801782</v>
      </c>
      <c r="O27" s="37" t="n">
        <f aca="false">E27/D27</f>
        <v>4.15968620378295</v>
      </c>
      <c r="P27" s="37" t="n">
        <f aca="false">F27/데이터_총괄!J25</f>
        <v>1.17752070608676</v>
      </c>
      <c r="Q27" s="38" t="n">
        <f aca="false">O27/P27</f>
        <v>3.53258009161197</v>
      </c>
      <c r="R27" s="25" t="n">
        <f aca="false">SUM(E16:E27)</f>
        <v>701175670</v>
      </c>
      <c r="S27" s="25" t="n">
        <f aca="false">SUM(G16:G27)</f>
        <v>71781605</v>
      </c>
      <c r="T27" s="25" t="n">
        <f aca="false">SUMIFS(데이터_총괄!$H$3:$H$33,데이터_총괄!$B$3:$B$33,VALUE(LEFT($A27,4)),데이터_총괄!$C$3:$C$33,"&lt;="&amp;VALUE(RIGHT($A27,2)))</f>
        <v>639816420</v>
      </c>
    </row>
    <row r="28" customFormat="false" ht="15" hidden="false" customHeight="true" outlineLevel="0" collapsed="false">
      <c r="A28" s="33" t="str">
        <f aca="false">데이터_총괄!A26</f>
        <v>2025.12</v>
      </c>
      <c r="B28" s="24" t="n">
        <f aca="false">데이터_총괄!E26</f>
        <v>24</v>
      </c>
      <c r="C28" s="25" t="n">
        <f aca="false">데이터_총괄!F26</f>
        <v>1275309</v>
      </c>
      <c r="D28" s="24" t="n">
        <f aca="false">데이터_총괄!G26</f>
        <v>17977895.8</v>
      </c>
      <c r="E28" s="25" t="n">
        <f aca="false">데이터_총괄!H26</f>
        <v>69513624</v>
      </c>
      <c r="F28" s="25" t="n">
        <f aca="false">데이터_총괄!K26</f>
        <v>57367684</v>
      </c>
      <c r="G28" s="25" t="n">
        <f aca="false">데이터_총괄!L26</f>
        <v>12145941</v>
      </c>
      <c r="H28" s="36" t="n">
        <f aca="false">E28/E27-1</f>
        <v>0.144207875947009</v>
      </c>
      <c r="I28" s="36" t="n">
        <f aca="false">F28/F27-1</f>
        <v>0.118614133812671</v>
      </c>
      <c r="J28" s="36" t="n">
        <f aca="false">E28/E16-1</f>
        <v>0.132895594388784</v>
      </c>
      <c r="K28" s="36" t="n">
        <f aca="false">F28/F16-1</f>
        <v>0.0455890109753916</v>
      </c>
      <c r="L28" s="25" t="n">
        <f aca="false">G28-G16</f>
        <v>5653071</v>
      </c>
      <c r="M28" s="25" t="n">
        <f aca="false">E28/B28</f>
        <v>2896401</v>
      </c>
      <c r="N28" s="36" t="n">
        <f aca="false">M28/M16-1</f>
        <v>0.0856916112892514</v>
      </c>
      <c r="O28" s="37" t="n">
        <f aca="false">E28/D28</f>
        <v>3.8666162477146</v>
      </c>
      <c r="P28" s="37" t="n">
        <f aca="false">F28/데이터_총괄!J26</f>
        <v>1.20747618444904</v>
      </c>
      <c r="Q28" s="38" t="n">
        <f aca="false">O28/P28</f>
        <v>3.20222982242826</v>
      </c>
      <c r="R28" s="25" t="n">
        <f aca="false">SUM(E17:E28)</f>
        <v>709330044</v>
      </c>
      <c r="S28" s="25" t="n">
        <f aca="false">SUM(G17:G28)</f>
        <v>77434676</v>
      </c>
      <c r="T28" s="25" t="n">
        <f aca="false">SUMIFS(데이터_총괄!$H$3:$H$33,데이터_총괄!$B$3:$B$33,VALUE(LEFT($A28,4)),데이터_총괄!$C$3:$C$33,"&lt;="&amp;VALUE(RIGHT($A28,2)))</f>
        <v>709330044</v>
      </c>
    </row>
    <row r="29" customFormat="false" ht="15" hidden="false" customHeight="true" outlineLevel="0" collapsed="false">
      <c r="A29" s="33" t="str">
        <f aca="false">데이터_총괄!A27</f>
        <v>2026.01</v>
      </c>
      <c r="B29" s="24" t="n">
        <f aca="false">데이터_총괄!E27</f>
        <v>23.5</v>
      </c>
      <c r="C29" s="25" t="n">
        <f aca="false">데이터_총괄!F27</f>
        <v>1027989</v>
      </c>
      <c r="D29" s="24" t="n">
        <f aca="false">데이터_총괄!G27</f>
        <v>16739947.8</v>
      </c>
      <c r="E29" s="25" t="n">
        <f aca="false">데이터_총괄!H27</f>
        <v>65843937</v>
      </c>
      <c r="F29" s="25" t="n">
        <f aca="false">데이터_총괄!K27</f>
        <v>57143469</v>
      </c>
      <c r="G29" s="25" t="n">
        <f aca="false">데이터_총괄!L27</f>
        <v>8700468</v>
      </c>
      <c r="H29" s="36" t="n">
        <f aca="false">E29/E28-1</f>
        <v>-0.052790903262359</v>
      </c>
      <c r="I29" s="36" t="n">
        <f aca="false">F29/F28-1</f>
        <v>-0.00390838507616942</v>
      </c>
      <c r="J29" s="36" t="n">
        <f aca="false">E29/E17-1</f>
        <v>0.338917754695977</v>
      </c>
      <c r="K29" s="36" t="n">
        <f aca="false">F29/F17-1</f>
        <v>0.116687698882043</v>
      </c>
      <c r="L29" s="25" t="n">
        <f aca="false">G29-G17</f>
        <v>10695776</v>
      </c>
      <c r="M29" s="25" t="n">
        <f aca="false">E29/B29</f>
        <v>2801869.65957447</v>
      </c>
      <c r="N29" s="36" t="n">
        <f aca="false">M29/M17-1</f>
        <v>0.139504472081683</v>
      </c>
      <c r="O29" s="37" t="n">
        <f aca="false">E29/D29</f>
        <v>3.93334183515196</v>
      </c>
      <c r="P29" s="37" t="n">
        <f aca="false">F29/데이터_총괄!J27</f>
        <v>1.14252396529967</v>
      </c>
      <c r="Q29" s="38" t="n">
        <f aca="false">O29/P29</f>
        <v>3.44267775085164</v>
      </c>
      <c r="R29" s="25" t="n">
        <f aca="false">SUM(E18:E29)</f>
        <v>725996997</v>
      </c>
      <c r="S29" s="25" t="n">
        <f aca="false">SUM(G18:G29)</f>
        <v>88130452</v>
      </c>
      <c r="T29" s="25" t="n">
        <f aca="false">SUMIFS(데이터_총괄!$H$3:$H$33,데이터_총괄!$B$3:$B$33,VALUE(LEFT($A29,4)),데이터_총괄!$C$3:$C$33,"&lt;="&amp;VALUE(RIGHT($A29,2)))</f>
        <v>65843937</v>
      </c>
    </row>
    <row r="30" customFormat="false" ht="15" hidden="false" customHeight="true" outlineLevel="0" collapsed="false">
      <c r="A30" s="33" t="str">
        <f aca="false">데이터_총괄!A28</f>
        <v>2026.02</v>
      </c>
      <c r="B30" s="24" t="n">
        <f aca="false">데이터_총괄!E28</f>
        <v>19</v>
      </c>
      <c r="C30" s="25" t="n">
        <f aca="false">데이터_총괄!F28</f>
        <v>970132</v>
      </c>
      <c r="D30" s="24" t="n">
        <f aca="false">데이터_총괄!G28</f>
        <v>15601517.8</v>
      </c>
      <c r="E30" s="25" t="n">
        <f aca="false">데이터_총괄!H28</f>
        <v>67642547</v>
      </c>
      <c r="F30" s="25" t="n">
        <f aca="false">데이터_총괄!K28</f>
        <v>51933913</v>
      </c>
      <c r="G30" s="25" t="n">
        <f aca="false">데이터_총괄!L28</f>
        <v>15708634</v>
      </c>
      <c r="H30" s="36" t="n">
        <f aca="false">E30/E29-1</f>
        <v>0.0273162584430515</v>
      </c>
      <c r="I30" s="36" t="n">
        <f aca="false">F30/F29-1</f>
        <v>-0.091166253837337</v>
      </c>
      <c r="J30" s="36" t="n">
        <f aca="false">E30/E18-1</f>
        <v>0.293546960192094</v>
      </c>
      <c r="K30" s="36" t="n">
        <f aca="false">F30/F18-1</f>
        <v>0.0745968532472219</v>
      </c>
      <c r="L30" s="25" t="n">
        <f aca="false">G30-G18</f>
        <v>11745074</v>
      </c>
      <c r="M30" s="25" t="n">
        <f aca="false">E30/B30</f>
        <v>3560134.05263158</v>
      </c>
      <c r="N30" s="36" t="n">
        <f aca="false">M30/M18-1</f>
        <v>0.49779121706453</v>
      </c>
      <c r="O30" s="37" t="n">
        <f aca="false">E30/D30</f>
        <v>4.33563886970023</v>
      </c>
      <c r="P30" s="37" t="n">
        <f aca="false">F30/데이터_총괄!J28</f>
        <v>1.19930648959583</v>
      </c>
      <c r="Q30" s="38" t="n">
        <f aca="false">O30/P30</f>
        <v>3.61512166182087</v>
      </c>
      <c r="R30" s="25" t="n">
        <f aca="false">SUM(E19:E30)</f>
        <v>741347243</v>
      </c>
      <c r="S30" s="25" t="n">
        <f aca="false">SUM(G19:G30)</f>
        <v>99875526</v>
      </c>
      <c r="T30" s="25" t="n">
        <f aca="false">SUMIFS(데이터_총괄!$H$3:$H$33,데이터_총괄!$B$3:$B$33,VALUE(LEFT($A30,4)),데이터_총괄!$C$3:$C$33,"&lt;="&amp;VALUE(RIGHT($A30,2)))</f>
        <v>133486484</v>
      </c>
    </row>
    <row r="31" customFormat="false" ht="15" hidden="false" customHeight="true" outlineLevel="0" collapsed="false">
      <c r="A31" s="33" t="str">
        <f aca="false">데이터_총괄!A29</f>
        <v>2026.03</v>
      </c>
      <c r="B31" s="24" t="n">
        <f aca="false">데이터_총괄!E29</f>
        <v>23</v>
      </c>
      <c r="C31" s="25" t="n">
        <f aca="false">데이터_총괄!F29</f>
        <v>1439801</v>
      </c>
      <c r="D31" s="24" t="n">
        <f aca="false">데이터_총괄!G29</f>
        <v>16180252</v>
      </c>
      <c r="E31" s="25" t="n">
        <f aca="false">데이터_총괄!H29</f>
        <v>87333128</v>
      </c>
      <c r="F31" s="25" t="n">
        <f aca="false">데이터_총괄!K29</f>
        <v>60753446</v>
      </c>
      <c r="G31" s="25" t="n">
        <f aca="false">데이터_총괄!L29</f>
        <v>26579682</v>
      </c>
      <c r="H31" s="36" t="n">
        <f aca="false">E31/E30-1</f>
        <v>0.29109756910839</v>
      </c>
      <c r="I31" s="36" t="n">
        <f aca="false">F31/F30-1</f>
        <v>0.169822231573423</v>
      </c>
      <c r="J31" s="36" t="n">
        <f aca="false">E31/E19-1</f>
        <v>0.504069349562992</v>
      </c>
      <c r="K31" s="36" t="n">
        <f aca="false">F31/F19-1</f>
        <v>0.138962703233788</v>
      </c>
      <c r="L31" s="25" t="n">
        <f aca="false">G31-G19</f>
        <v>21856152</v>
      </c>
      <c r="M31" s="25" t="n">
        <f aca="false">E31/B31</f>
        <v>3797092.52173913</v>
      </c>
      <c r="N31" s="36" t="n">
        <f aca="false">M31/M19-1</f>
        <v>0.438675030016775</v>
      </c>
      <c r="O31" s="37" t="n">
        <f aca="false">E31/D31</f>
        <v>5.3975134627075</v>
      </c>
      <c r="P31" s="37" t="n">
        <f aca="false">F31/데이터_총괄!J29</f>
        <v>1.38184635867779</v>
      </c>
      <c r="Q31" s="38" t="n">
        <f aca="false">O31/P31</f>
        <v>3.90601562092045</v>
      </c>
      <c r="R31" s="25" t="n">
        <f aca="false">SUM(E20:E31)</f>
        <v>770615809</v>
      </c>
      <c r="S31" s="25" t="n">
        <f aca="false">SUM(G20:G31)</f>
        <v>121731678</v>
      </c>
      <c r="T31" s="25" t="n">
        <f aca="false">SUMIFS(데이터_총괄!$H$3:$H$33,데이터_총괄!$B$3:$B$33,VALUE(LEFT($A31,4)),데이터_총괄!$C$3:$C$33,"&lt;="&amp;VALUE(RIGHT($A31,2)))</f>
        <v>220819612</v>
      </c>
    </row>
    <row r="32" customFormat="false" ht="15" hidden="false" customHeight="true" outlineLevel="0" collapsed="false">
      <c r="A32" s="33" t="str">
        <f aca="false">데이터_총괄!A30</f>
        <v>2026.04</v>
      </c>
      <c r="B32" s="24" t="n">
        <f aca="false">데이터_총괄!E30</f>
        <v>24</v>
      </c>
      <c r="C32" s="25" t="n">
        <f aca="false">데이터_총괄!F30</f>
        <v>1130727</v>
      </c>
      <c r="D32" s="24" t="n">
        <f aca="false">데이터_총괄!G30</f>
        <v>14413704.2</v>
      </c>
      <c r="E32" s="25" t="n">
        <f aca="false">데이터_총괄!H30</f>
        <v>85751883</v>
      </c>
      <c r="F32" s="25" t="n">
        <f aca="false">데이터_총괄!K30</f>
        <v>62104908</v>
      </c>
      <c r="G32" s="25" t="n">
        <f aca="false">데이터_총괄!L30</f>
        <v>23646975</v>
      </c>
      <c r="H32" s="36" t="n">
        <f aca="false">E32/E31-1</f>
        <v>-0.0181059013482261</v>
      </c>
      <c r="I32" s="36" t="n">
        <f aca="false">F32/F31-1</f>
        <v>0.0222450262327507</v>
      </c>
      <c r="J32" s="36" t="n">
        <f aca="false">E32/E20-1</f>
        <v>0.477570125101349</v>
      </c>
      <c r="K32" s="36" t="n">
        <f aca="false">F32/F20-1</f>
        <v>0.166668031741984</v>
      </c>
      <c r="L32" s="25" t="n">
        <f aca="false">G32-G20</f>
        <v>18843946</v>
      </c>
      <c r="M32" s="25" t="n">
        <f aca="false">E32/B32</f>
        <v>3572995.125</v>
      </c>
      <c r="N32" s="36" t="n">
        <f aca="false">M32/M20-1</f>
        <v>0.477570125101349</v>
      </c>
      <c r="O32" s="37" t="n">
        <f aca="false">E32/D32</f>
        <v>5.94933001330775</v>
      </c>
      <c r="P32" s="37" t="n">
        <f aca="false">F32/데이터_총괄!J30</f>
        <v>1.47874177743768</v>
      </c>
      <c r="Q32" s="38" t="n">
        <f aca="false">O32/P32</f>
        <v>4.02323793381735</v>
      </c>
      <c r="R32" s="25" t="n">
        <f aca="false">SUM(E21:E32)</f>
        <v>798331947</v>
      </c>
      <c r="S32" s="25" t="n">
        <f aca="false">SUM(G21:G32)</f>
        <v>140575624</v>
      </c>
      <c r="T32" s="25" t="n">
        <f aca="false">SUMIFS(데이터_총괄!$H$3:$H$33,데이터_총괄!$B$3:$B$33,VALUE(LEFT($A32,4)),데이터_총괄!$C$3:$C$33,"&lt;="&amp;VALUE(RIGHT($A32,2)))</f>
        <v>306571495</v>
      </c>
    </row>
    <row r="33" customFormat="false" ht="15" hidden="false" customHeight="true" outlineLevel="0" collapsed="false">
      <c r="A33" s="33" t="str">
        <f aca="false">데이터_총괄!A31</f>
        <v>2026.05</v>
      </c>
      <c r="B33" s="24" t="n">
        <f aca="false">데이터_총괄!E31</f>
        <v>20.5</v>
      </c>
      <c r="C33" s="25" t="n">
        <f aca="false">데이터_총괄!F31</f>
        <v>993936</v>
      </c>
      <c r="D33" s="24" t="n">
        <f aca="false">데이터_총괄!G31</f>
        <v>13589511.3</v>
      </c>
      <c r="E33" s="25" t="n">
        <f aca="false">데이터_총괄!H31</f>
        <v>87576083</v>
      </c>
      <c r="F33" s="25" t="n">
        <f aca="false">데이터_총괄!K31</f>
        <v>60748350</v>
      </c>
      <c r="G33" s="25" t="n">
        <f aca="false">데이터_총괄!L31</f>
        <v>26827733</v>
      </c>
      <c r="H33" s="36" t="n">
        <f aca="false">E33/E32-1</f>
        <v>0.0212730022499914</v>
      </c>
      <c r="I33" s="36" t="n">
        <f aca="false">F33/F32-1</f>
        <v>-0.0218430079632354</v>
      </c>
      <c r="J33" s="36" t="n">
        <f aca="false">E33/E21-1</f>
        <v>0.529417695232099</v>
      </c>
      <c r="K33" s="36" t="n">
        <f aca="false">F33/F21-1</f>
        <v>0.206638395668807</v>
      </c>
      <c r="L33" s="25" t="n">
        <f aca="false">G33-G21</f>
        <v>19911787</v>
      </c>
      <c r="M33" s="25" t="n">
        <f aca="false">E33/B33</f>
        <v>4272004.04878049</v>
      </c>
      <c r="N33" s="36" t="n">
        <f aca="false">M33/M21-1</f>
        <v>0.604023436462933</v>
      </c>
      <c r="O33" s="37" t="n">
        <f aca="false">E33/D33</f>
        <v>6.44438795970537</v>
      </c>
      <c r="P33" s="37" t="n">
        <f aca="false">F33/데이터_총괄!J31</f>
        <v>1.52912533912799</v>
      </c>
      <c r="Q33" s="38" t="n">
        <f aca="false">O33/P33</f>
        <v>4.21442755201504</v>
      </c>
      <c r="R33" s="25" t="n">
        <f aca="false">SUM(E22:E33)</f>
        <v>828646967</v>
      </c>
      <c r="S33" s="25" t="n">
        <f aca="false">SUM(G22:G33)</f>
        <v>160487411</v>
      </c>
      <c r="T33" s="25" t="n">
        <f aca="false">SUMIFS(데이터_총괄!$H$3:$H$33,데이터_총괄!$B$3:$B$33,VALUE(LEFT($A33,4)),데이터_총괄!$C$3:$C$33,"&lt;="&amp;VALUE(RIGHT($A33,2)))</f>
        <v>394147578</v>
      </c>
    </row>
    <row r="34" customFormat="false" ht="15" hidden="false" customHeight="true" outlineLevel="0" collapsed="false">
      <c r="A34" s="33" t="str">
        <f aca="false">데이터_총괄!A32</f>
        <v>2026.06</v>
      </c>
      <c r="B34" s="24" t="n">
        <f aca="false">데이터_총괄!E32</f>
        <v>22.5</v>
      </c>
      <c r="C34" s="25" t="n">
        <f aca="false">데이터_총괄!F32</f>
        <v>1245865</v>
      </c>
      <c r="D34" s="24" t="n">
        <f aca="false">데이터_총괄!G32</f>
        <v>15687925.9</v>
      </c>
      <c r="E34" s="25" t="n">
        <f aca="false">데이터_총괄!H32</f>
        <v>101956159</v>
      </c>
      <c r="F34" s="25" t="n">
        <f aca="false">데이터_총괄!K32</f>
        <v>66051586</v>
      </c>
      <c r="G34" s="25" t="n">
        <f aca="false">데이터_총괄!L32</f>
        <v>35904573</v>
      </c>
      <c r="H34" s="36" t="n">
        <f aca="false">E34/E33-1</f>
        <v>0.164200949704499</v>
      </c>
      <c r="I34" s="36" t="n">
        <f aca="false">F34/F33-1</f>
        <v>0.0872984369122782</v>
      </c>
      <c r="J34" s="36" t="n">
        <f aca="false">E34/E22-1</f>
        <v>0.70398945264998</v>
      </c>
      <c r="K34" s="36" t="n">
        <f aca="false">F34/F22-1</f>
        <v>0.299569434750648</v>
      </c>
      <c r="L34" s="25" t="n">
        <f aca="false">G34-G22</f>
        <v>26896522</v>
      </c>
      <c r="M34" s="25" t="n">
        <f aca="false">E34/B34</f>
        <v>4531384.84444444</v>
      </c>
      <c r="N34" s="36" t="n">
        <f aca="false">M34/M22-1</f>
        <v>0.590390155806648</v>
      </c>
      <c r="O34" s="37" t="n">
        <f aca="false">E34/D34</f>
        <v>6.49902094450867</v>
      </c>
      <c r="P34" s="37" t="n">
        <f aca="false">F34/데이터_총괄!J32</f>
        <v>1.51185634742235</v>
      </c>
      <c r="Q34" s="38" t="n">
        <f aca="false">O34/P34</f>
        <v>4.29870268798303</v>
      </c>
      <c r="R34" s="25" t="n">
        <f aca="false">SUM(E23:E34)</f>
        <v>870769329</v>
      </c>
      <c r="S34" s="25" t="n">
        <f aca="false">SUM(G23:G34)</f>
        <v>187383933</v>
      </c>
      <c r="T34" s="25" t="n">
        <f aca="false">SUMIFS(데이터_총괄!$H$3:$H$33,데이터_총괄!$B$3:$B$33,VALUE(LEFT($A34,4)),데이터_총괄!$C$3:$C$33,"&lt;="&amp;VALUE(RIGHT($A34,2)))</f>
        <v>496103737</v>
      </c>
    </row>
    <row r="35" customFormat="false" ht="15" hidden="false" customHeight="true" outlineLevel="0" collapsed="false">
      <c r="A35" s="33" t="str">
        <f aca="false">데이터_총괄!A33</f>
        <v>2026.07</v>
      </c>
      <c r="B35" s="24" t="n">
        <f aca="false">데이터_총괄!E33</f>
        <v>24</v>
      </c>
      <c r="C35" s="25" t="n">
        <f aca="false">데이터_총괄!F33</f>
        <v>1111934</v>
      </c>
      <c r="D35" s="24" t="n">
        <f aca="false">데이터_총괄!G33</f>
        <v>17660680.7</v>
      </c>
      <c r="E35" s="25" t="n">
        <f aca="false">데이터_총괄!H33</f>
        <v>98959099</v>
      </c>
      <c r="F35" s="25" t="n">
        <f aca="false">데이터_총괄!K33</f>
        <v>68567473</v>
      </c>
      <c r="G35" s="25" t="n">
        <f aca="false">데이터_총괄!L33</f>
        <v>30391625</v>
      </c>
      <c r="H35" s="36" t="n">
        <f aca="false">E35/E34-1</f>
        <v>-0.0293955757984175</v>
      </c>
      <c r="I35" s="36" t="n">
        <f aca="false">F35/F34-1</f>
        <v>0.0380897288370941</v>
      </c>
      <c r="J35" s="36" t="n">
        <f aca="false">E35/E23-1</f>
        <v>0.629645185663827</v>
      </c>
      <c r="K35" s="36" t="n">
        <f aca="false">F35/F23-1</f>
        <v>0.26484050441197</v>
      </c>
      <c r="L35" s="25" t="n">
        <f aca="false">G35-G23</f>
        <v>23877674</v>
      </c>
      <c r="M35" s="25" t="n">
        <f aca="false">E35/B35</f>
        <v>4123295.79166667</v>
      </c>
      <c r="N35" s="36" t="n">
        <f aca="false">M35/M23-1</f>
        <v>0.69754706839982</v>
      </c>
      <c r="O35" s="37" t="n">
        <f aca="false">E35/D35</f>
        <v>5.6033570099028</v>
      </c>
      <c r="P35" s="37" t="n">
        <f aca="false">F35/데이터_총괄!J33</f>
        <v>1.34067020127308</v>
      </c>
      <c r="Q35" s="38" t="n">
        <f aca="false">O35/P35</f>
        <v>4.17951932144231</v>
      </c>
      <c r="R35" s="25" t="n">
        <f aca="false">SUM(E24:E35)</f>
        <v>909004106</v>
      </c>
      <c r="S35" s="25" t="n">
        <f aca="false">SUM(G24:G35)</f>
        <v>211261607</v>
      </c>
      <c r="T35" s="25" t="n">
        <f aca="false">SUMIFS(데이터_총괄!$H$3:$H$33,데이터_총괄!$B$3:$B$33,VALUE(LEFT($A35,4)),데이터_총괄!$C$3:$C$33,"&lt;="&amp;VALUE(RIGHT($A35,2)))</f>
        <v>595062836</v>
      </c>
    </row>
    <row r="37" customFormat="false" ht="15" hidden="false" customHeight="true" outlineLevel="0" collapsed="false">
      <c r="A37" s="33" t="s">
        <v>19716</v>
      </c>
      <c r="B37" s="31" t="n">
        <f aca="false">SUMIFS(데이터_총괄!$E$3:$E$33,데이터_총괄!$B$3:$B$33,2024)</f>
        <v>270.5</v>
      </c>
      <c r="C37" s="30" t="n">
        <f aca="false">SUMIFS(데이터_총괄!$F$3:$F$33,데이터_총괄!$B$3:$B$33,2024)</f>
        <v>12640035</v>
      </c>
      <c r="D37" s="31" t="n">
        <f aca="false">SUMIFS(데이터_총괄!$G$3:$G$33,데이터_총괄!$B$3:$B$33,2024)</f>
        <v>197243170.8</v>
      </c>
      <c r="E37" s="30" t="n">
        <f aca="false">SUMIFS(데이터_총괄!$H$3:$H$33,데이터_총괄!$B$3:$B$33,2024)</f>
        <v>683609488</v>
      </c>
      <c r="F37" s="30" t="n">
        <f aca="false">SUMIFS(데이터_총괄!$K$3:$K$33,데이터_총괄!$B$3:$B$33,2024)</f>
        <v>631767209</v>
      </c>
      <c r="G37" s="30" t="n">
        <f aca="false">SUMIFS(데이터_총괄!$L$3:$L$33,데이터_총괄!$B$3:$B$33,2024)</f>
        <v>51842280</v>
      </c>
      <c r="M37" s="30" t="n">
        <f aca="false">E37/B37</f>
        <v>2527206.97966728</v>
      </c>
      <c r="O37" s="39" t="n">
        <f aca="false">E37/D37</f>
        <v>3.46582082019541</v>
      </c>
      <c r="P37" s="39" t="n">
        <f aca="false">F37/SUMIFS(데이터_총괄!$J$3:$J$33,데이터_총괄!$B$3:$B$33,2024)</f>
        <v>1.13577275525298</v>
      </c>
      <c r="Q37" s="40" t="n">
        <f aca="false">O37/P37</f>
        <v>3.0515090313321</v>
      </c>
    </row>
    <row r="38" customFormat="false" ht="15" hidden="false" customHeight="true" outlineLevel="0" collapsed="false">
      <c r="A38" s="33" t="s">
        <v>19717</v>
      </c>
      <c r="B38" s="31" t="n">
        <f aca="false">SUMIFS(데이터_총괄!$E$3:$E$33,데이터_총괄!$B$3:$B$33,2025)</f>
        <v>268.5</v>
      </c>
      <c r="C38" s="30" t="n">
        <f aca="false">SUMIFS(데이터_총괄!$F$3:$F$33,데이터_총괄!$B$3:$B$33,2025)</f>
        <v>13782461</v>
      </c>
      <c r="D38" s="31" t="n">
        <f aca="false">SUMIFS(데이터_총괄!$G$3:$G$33,데이터_총괄!$B$3:$B$33,2025)</f>
        <v>198539206.7</v>
      </c>
      <c r="E38" s="30" t="n">
        <f aca="false">SUMIFS(데이터_총괄!$H$3:$H$33,데이터_총괄!$B$3:$B$33,2025)</f>
        <v>709330044</v>
      </c>
      <c r="F38" s="30" t="n">
        <f aca="false">SUMIFS(데이터_총괄!$K$3:$K$33,데이터_총괄!$B$3:$B$33,2025)</f>
        <v>631895368</v>
      </c>
      <c r="G38" s="30" t="n">
        <f aca="false">SUMIFS(데이터_총괄!$L$3:$L$33,데이터_총괄!$B$3:$B$33,2025)</f>
        <v>77434676</v>
      </c>
      <c r="M38" s="30" t="n">
        <f aca="false">E38/B38</f>
        <v>2641825.11731844</v>
      </c>
      <c r="O38" s="39" t="n">
        <f aca="false">E38/D38</f>
        <v>3.57274543295533</v>
      </c>
      <c r="P38" s="39" t="n">
        <f aca="false">F38/SUMIFS(데이터_총괄!$J$3:$J$33,데이터_총괄!$B$3:$B$33,2025)</f>
        <v>1.16042347758429</v>
      </c>
      <c r="Q38" s="40" t="n">
        <f aca="false">O38/P38</f>
        <v>3.07882898094487</v>
      </c>
    </row>
    <row r="39" customFormat="false" ht="15" hidden="false" customHeight="true" outlineLevel="0" collapsed="false">
      <c r="A39" s="33" t="s">
        <v>19718</v>
      </c>
      <c r="B39" s="31" t="n">
        <f aca="false">SUMIFS(데이터_총괄!$E$3:$E$33,데이터_총괄!$B$3:$B$33,2026)</f>
        <v>156.5</v>
      </c>
      <c r="C39" s="30" t="n">
        <f aca="false">SUMIFS(데이터_총괄!$F$3:$F$33,데이터_총괄!$B$3:$B$33,2026)</f>
        <v>7920384</v>
      </c>
      <c r="D39" s="31" t="n">
        <f aca="false">SUMIFS(데이터_총괄!$G$3:$G$33,데이터_총괄!$B$3:$B$33,2026)</f>
        <v>109873539.7</v>
      </c>
      <c r="E39" s="30" t="n">
        <f aca="false">SUMIFS(데이터_총괄!$H$3:$H$33,데이터_총괄!$B$3:$B$33,2026)</f>
        <v>595062836</v>
      </c>
      <c r="F39" s="30" t="n">
        <f aca="false">SUMIFS(데이터_총괄!$K$3:$K$33,데이터_총괄!$B$3:$B$33,2026)</f>
        <v>427303145</v>
      </c>
      <c r="G39" s="30" t="n">
        <f aca="false">SUMIFS(데이터_총괄!$L$3:$L$33,데이터_총괄!$B$3:$B$33,2026)</f>
        <v>167759690</v>
      </c>
      <c r="M39" s="30" t="n">
        <f aca="false">E39/B39</f>
        <v>3802318.44089457</v>
      </c>
      <c r="O39" s="39" t="n">
        <f aca="false">E39/D39</f>
        <v>5.41588846254309</v>
      </c>
      <c r="P39" s="39" t="n">
        <f aca="false">F39/SUMIFS(데이터_총괄!$J$3:$J$33,데이터_총괄!$B$3:$B$33,2026,데이터_총괄!$C$3:$C$33,"&lt;=7")</f>
        <v>1.36151858172179</v>
      </c>
      <c r="Q39" s="40" t="n">
        <f aca="false">O39/P39</f>
        <v>3.97782926744496</v>
      </c>
    </row>
    <row r="40" customFormat="false" ht="15" hidden="false" customHeight="true" outlineLevel="0" collapsed="false">
      <c r="A40" s="33" t="s">
        <v>19719</v>
      </c>
      <c r="B40" s="31" t="n">
        <f aca="false">SUMIFS(데이터_총괄!$E$3:$E$33,데이터_총괄!$B$3:$B$33,2024,데이터_총괄!$C$3:$C$33,"&lt;=7")</f>
        <v>158.5</v>
      </c>
      <c r="C40" s="30" t="n">
        <f aca="false">SUMIFS(데이터_총괄!$F$3:$F$33,데이터_총괄!$B$3:$B$33,2024,데이터_총괄!$C$3:$C$33,"&lt;=7")</f>
        <v>7139795</v>
      </c>
      <c r="D40" s="31" t="n">
        <f aca="false">SUMIFS(데이터_총괄!$G$3:$G$33,데이터_총괄!$B$3:$B$33,2024,데이터_총괄!$C$3:$C$33,"&lt;=7")</f>
        <v>114214243.6</v>
      </c>
      <c r="E40" s="30" t="n">
        <f aca="false">SUMIFS(데이터_총괄!$H$3:$H$33,데이터_총괄!$B$3:$B$33,2024,데이터_총괄!$C$3:$C$33,"&lt;=7")</f>
        <v>392273800</v>
      </c>
      <c r="F40" s="30" t="n">
        <f aca="false">SUMIFS(데이터_총괄!$K$3:$K$33,데이터_총괄!$B$3:$B$33,2024,데이터_총괄!$C$3:$C$33,"&lt;=7")</f>
        <v>365692429</v>
      </c>
      <c r="G40" s="30" t="n">
        <f aca="false">SUMIFS(데이터_총괄!$L$3:$L$33,데이터_총괄!$B$3:$B$33,2024,데이터_총괄!$C$3:$C$33,"&lt;=7")</f>
        <v>26581371</v>
      </c>
      <c r="M40" s="30" t="n">
        <f aca="false">E40/B40</f>
        <v>2474913.56466877</v>
      </c>
      <c r="O40" s="39" t="n">
        <f aca="false">E40/D40</f>
        <v>3.43454360538268</v>
      </c>
      <c r="P40" s="39" t="n">
        <f aca="false">F40/SUMIFS(데이터_총괄!$J$3:$J$33,데이터_총괄!$B$3:$B$33,2024,데이터_총괄!$C$3:$C$33,"&lt;=7")</f>
        <v>1.13270160822136</v>
      </c>
      <c r="Q40" s="40" t="n">
        <f aca="false">O40/P40</f>
        <v>3.03216979692987</v>
      </c>
    </row>
    <row r="41" customFormat="false" ht="15" hidden="false" customHeight="true" outlineLevel="0" collapsed="false">
      <c r="A41" s="33" t="s">
        <v>19720</v>
      </c>
      <c r="B41" s="31" t="n">
        <f aca="false">SUMIFS(데이터_총괄!$E$3:$E$33,데이터_총괄!$B$3:$B$33,2025,데이터_총괄!$C$3:$C$33,"&lt;=7")</f>
        <v>155.5</v>
      </c>
      <c r="C41" s="30" t="n">
        <f aca="false">SUMIFS(데이터_총괄!$F$3:$F$33,데이터_총괄!$B$3:$B$33,2025,데이터_총괄!$C$3:$C$33,"&lt;=7")</f>
        <v>7803824</v>
      </c>
      <c r="D41" s="31" t="n">
        <f aca="false">SUMIFS(데이터_총괄!$G$3:$G$33,데이터_총괄!$B$3:$B$33,2025,데이터_총괄!$C$3:$C$33,"&lt;=7")</f>
        <v>114743519.5</v>
      </c>
      <c r="E41" s="30" t="n">
        <f aca="false">SUMIFS(데이터_총괄!$H$3:$H$33,데이터_총괄!$B$3:$B$33,2025,데이터_총괄!$C$3:$C$33,"&lt;=7")</f>
        <v>395388774</v>
      </c>
      <c r="F41" s="30" t="n">
        <f aca="false">SUMIFS(데이터_총괄!$K$3:$K$33,데이터_총괄!$B$3:$B$33,2025,데이터_총괄!$C$3:$C$33,"&lt;=7")</f>
        <v>361456014</v>
      </c>
      <c r="G41" s="30" t="n">
        <f aca="false">SUMIFS(데이터_총괄!$L$3:$L$33,데이터_총괄!$B$3:$B$33,2025,데이터_총괄!$C$3:$C$33,"&lt;=7")</f>
        <v>33932759</v>
      </c>
      <c r="M41" s="30" t="n">
        <f aca="false">E41/B41</f>
        <v>2542693.08038585</v>
      </c>
      <c r="O41" s="39" t="n">
        <f aca="false">E41/D41</f>
        <v>3.44584840802273</v>
      </c>
      <c r="P41" s="39" t="n">
        <f aca="false">F41/SUMIFS(데이터_총괄!$J$3:$J$33,데이터_총괄!$B$3:$B$33,2025,데이터_총괄!$C$3:$C$33,"&lt;=7")</f>
        <v>1.16606614931166</v>
      </c>
      <c r="Q41" s="40" t="n">
        <f aca="false">O41/P41</f>
        <v>2.95510542867303</v>
      </c>
    </row>
    <row r="42" customFormat="false" ht="15" hidden="false" customHeight="true" outlineLevel="0" collapsed="false">
      <c r="A42" s="33" t="s">
        <v>19721</v>
      </c>
      <c r="B42" s="41" t="n">
        <f aca="false">B39/B41-1</f>
        <v>0.00643086816720251</v>
      </c>
      <c r="C42" s="41" t="n">
        <f aca="false">C39/C41-1</f>
        <v>0.0149362671428777</v>
      </c>
      <c r="D42" s="41" t="n">
        <f aca="false">D39/D41-1</f>
        <v>-0.0424423080381459</v>
      </c>
      <c r="E42" s="41" t="n">
        <f aca="false">E39/E41-1</f>
        <v>0.505006907454586</v>
      </c>
      <c r="F42" s="41" t="n">
        <f aca="false">F39/F41-1</f>
        <v>0.182171905984666</v>
      </c>
      <c r="G42" s="30" t="n">
        <f aca="false">G39-G41</f>
        <v>133826931</v>
      </c>
      <c r="M42" s="41" t="n">
        <f aca="false">M39/M41-1</f>
        <v>0.495390249898965</v>
      </c>
      <c r="O42" s="41" t="n">
        <f aca="false">O39/O41-1</f>
        <v>0.571714080611803</v>
      </c>
    </row>
    <row r="43" customFormat="false" ht="15" hidden="false" customHeight="true" outlineLevel="0" collapsed="false">
      <c r="A43" s="33" t="s">
        <v>19722</v>
      </c>
      <c r="B43" s="41" t="n">
        <f aca="false">B41/B40-1</f>
        <v>-0.0189274447949527</v>
      </c>
      <c r="C43" s="41" t="n">
        <f aca="false">C41/C40-1</f>
        <v>0.0930039307851276</v>
      </c>
      <c r="D43" s="41" t="n">
        <f aca="false">D41/D40-1</f>
        <v>0.00463406212147777</v>
      </c>
      <c r="E43" s="41" t="n">
        <f aca="false">E41/E40-1</f>
        <v>0.00794081582812822</v>
      </c>
      <c r="F43" s="41" t="n">
        <f aca="false">F41/F40-1</f>
        <v>-0.0115846396152762</v>
      </c>
      <c r="G43" s="30" t="n">
        <f aca="false">G41-G40</f>
        <v>7351388</v>
      </c>
      <c r="M43" s="41" t="n">
        <f aca="false">M41/M40-1</f>
        <v>0.0273866193489281</v>
      </c>
      <c r="O43" s="41" t="n">
        <f aca="false">O41/O40-1</f>
        <v>0.00329150068798922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6" min="3" style="1" width="11"/>
    <col collapsed="false" customWidth="true" hidden="false" outlineLevel="0" max="7" min="7" style="1" width="15"/>
    <col collapsed="false" customWidth="true" hidden="false" outlineLevel="0" max="9" min="8" style="1" width="11"/>
    <col collapsed="false" customWidth="true" hidden="false" outlineLevel="0" max="10" min="10" style="1" width="15"/>
    <col collapsed="false" customWidth="true" hidden="false" outlineLevel="0" max="12" min="11" style="1" width="11"/>
    <col collapsed="false" customWidth="true" hidden="false" outlineLevel="0" max="14" min="13" style="1" width="13"/>
  </cols>
  <sheetData>
    <row r="1" customFormat="false" ht="21.75" hidden="false" customHeight="true" outlineLevel="0" collapsed="false">
      <c r="A1" s="42" t="s">
        <v>19723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customFormat="false" ht="15" hidden="false" customHeight="true" outlineLevel="0" collapsed="false">
      <c r="A2" s="43" t="s">
        <v>19724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4" customFormat="false" ht="14.25" hidden="false" customHeight="true" outlineLevel="0" collapsed="false">
      <c r="A4" s="23" t="s">
        <v>19725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customFormat="false" ht="30" hidden="false" customHeight="true" outlineLevel="0" collapsed="false">
      <c r="A5" s="5" t="s">
        <v>56</v>
      </c>
      <c r="B5" s="5" t="s">
        <v>60</v>
      </c>
      <c r="C5" s="44" t="s">
        <v>19726</v>
      </c>
      <c r="D5" s="5" t="s">
        <v>19727</v>
      </c>
      <c r="E5" s="44" t="s">
        <v>19728</v>
      </c>
      <c r="F5" s="44" t="s">
        <v>19729</v>
      </c>
      <c r="G5" s="5" t="s">
        <v>339</v>
      </c>
      <c r="H5" s="44" t="s">
        <v>19726</v>
      </c>
      <c r="I5" s="44" t="s">
        <v>19728</v>
      </c>
      <c r="J5" s="5" t="s">
        <v>64</v>
      </c>
      <c r="K5" s="5" t="s">
        <v>19730</v>
      </c>
      <c r="L5" s="5" t="s">
        <v>19731</v>
      </c>
    </row>
    <row r="6" customFormat="false" ht="15" hidden="false" customHeight="true" outlineLevel="0" collapsed="false">
      <c r="A6" s="33" t="str">
        <f aca="false">분석2_월별추이!A5</f>
        <v>2024.01</v>
      </c>
      <c r="B6" s="25" t="n">
        <f aca="false">분석2_월별추이!E5</f>
        <v>54709823</v>
      </c>
      <c r="C6" s="36"/>
      <c r="D6" s="36"/>
      <c r="E6" s="36"/>
      <c r="F6" s="36"/>
      <c r="G6" s="25" t="n">
        <f aca="false">분석2_월별추이!F5</f>
        <v>54474611</v>
      </c>
      <c r="H6" s="36"/>
      <c r="I6" s="36"/>
      <c r="J6" s="25" t="n">
        <f aca="false">분석2_월별추이!G5</f>
        <v>235213</v>
      </c>
      <c r="K6" s="25"/>
      <c r="L6" s="25"/>
    </row>
    <row r="7" customFormat="false" ht="15" hidden="false" customHeight="true" outlineLevel="0" collapsed="false">
      <c r="A7" s="33" t="str">
        <f aca="false">분석2_월별추이!A6</f>
        <v>2024.02</v>
      </c>
      <c r="B7" s="25" t="n">
        <f aca="false">분석2_월별추이!E6</f>
        <v>52076390</v>
      </c>
      <c r="C7" s="36" t="n">
        <f aca="false">B7/B6-1</f>
        <v>-0.0481345552881792</v>
      </c>
      <c r="D7" s="36" t="n">
        <f aca="false">분석2_월별추이!M6/분석2_월별추이!M5-1</f>
        <v>0.114379057223595</v>
      </c>
      <c r="E7" s="36"/>
      <c r="F7" s="36"/>
      <c r="G7" s="25" t="n">
        <f aca="false">분석2_월별추이!F6</f>
        <v>48221860</v>
      </c>
      <c r="H7" s="36" t="n">
        <f aca="false">G7/G6-1</f>
        <v>-0.114782848105148</v>
      </c>
      <c r="I7" s="36"/>
      <c r="J7" s="25" t="n">
        <f aca="false">분석2_월별추이!G6</f>
        <v>3854529</v>
      </c>
      <c r="K7" s="25" t="n">
        <f aca="false">J7-J6</f>
        <v>3619316</v>
      </c>
      <c r="L7" s="25"/>
    </row>
    <row r="8" customFormat="false" ht="15" hidden="false" customHeight="true" outlineLevel="0" collapsed="false">
      <c r="A8" s="33" t="str">
        <f aca="false">분석2_월별추이!A7</f>
        <v>2024.03</v>
      </c>
      <c r="B8" s="25" t="n">
        <f aca="false">분석2_월별추이!E7</f>
        <v>56518309</v>
      </c>
      <c r="C8" s="36" t="n">
        <f aca="false">B8/B7-1</f>
        <v>0.0852962158091219</v>
      </c>
      <c r="D8" s="36" t="n">
        <f aca="false">분석2_월별추이!M7/분석2_월별추이!M6-1</f>
        <v>-0.0111745589294667</v>
      </c>
      <c r="E8" s="36"/>
      <c r="F8" s="36"/>
      <c r="G8" s="25" t="n">
        <f aca="false">분석2_월별추이!F7</f>
        <v>52112905</v>
      </c>
      <c r="H8" s="36" t="n">
        <f aca="false">G8/G7-1</f>
        <v>0.0806904793800987</v>
      </c>
      <c r="I8" s="36"/>
      <c r="J8" s="25" t="n">
        <f aca="false">분석2_월별추이!G7</f>
        <v>4405404</v>
      </c>
      <c r="K8" s="25" t="n">
        <f aca="false">J8-J7</f>
        <v>550875</v>
      </c>
      <c r="L8" s="25"/>
    </row>
    <row r="9" customFormat="false" ht="15" hidden="false" customHeight="true" outlineLevel="0" collapsed="false">
      <c r="A9" s="33" t="str">
        <f aca="false">분석2_월별추이!A8</f>
        <v>2024.04</v>
      </c>
      <c r="B9" s="25" t="n">
        <f aca="false">분석2_월별추이!E8</f>
        <v>56148299</v>
      </c>
      <c r="C9" s="36" t="n">
        <f aca="false">B9/B8-1</f>
        <v>-0.00654672807001355</v>
      </c>
      <c r="D9" s="36" t="n">
        <f aca="false">분석2_월별추이!M8/분석2_월별추이!M7-1</f>
        <v>-0.0281435383293611</v>
      </c>
      <c r="E9" s="36"/>
      <c r="F9" s="36"/>
      <c r="G9" s="25" t="n">
        <f aca="false">분석2_월별추이!F8</f>
        <v>54821181</v>
      </c>
      <c r="H9" s="36" t="n">
        <f aca="false">G9/G8-1</f>
        <v>0.0519693922263593</v>
      </c>
      <c r="I9" s="36"/>
      <c r="J9" s="25" t="n">
        <f aca="false">분석2_월별추이!G8</f>
        <v>1327118</v>
      </c>
      <c r="K9" s="25" t="n">
        <f aca="false">J9-J8</f>
        <v>-3078286</v>
      </c>
      <c r="L9" s="25"/>
    </row>
    <row r="10" customFormat="false" ht="15" hidden="false" customHeight="true" outlineLevel="0" collapsed="false">
      <c r="A10" s="33" t="str">
        <f aca="false">분석2_월별추이!A9</f>
        <v>2024.05</v>
      </c>
      <c r="B10" s="25" t="n">
        <f aca="false">분석2_월별추이!E9</f>
        <v>58020557</v>
      </c>
      <c r="C10" s="36" t="n">
        <f aca="false">B10/B9-1</f>
        <v>0.0333448747930905</v>
      </c>
      <c r="D10" s="36" t="n">
        <f aca="false">분석2_월별추이!M9/분석2_월별추이!M8-1</f>
        <v>0.0803150963745944</v>
      </c>
      <c r="E10" s="36"/>
      <c r="F10" s="36"/>
      <c r="G10" s="25" t="n">
        <f aca="false">분석2_월별추이!F9</f>
        <v>53132937</v>
      </c>
      <c r="H10" s="36" t="n">
        <f aca="false">G10/G9-1</f>
        <v>-0.0307954693642956</v>
      </c>
      <c r="I10" s="36"/>
      <c r="J10" s="25" t="n">
        <f aca="false">분석2_월별추이!G9</f>
        <v>4887620</v>
      </c>
      <c r="K10" s="25" t="n">
        <f aca="false">J10-J9</f>
        <v>3560502</v>
      </c>
      <c r="L10" s="25"/>
    </row>
    <row r="11" customFormat="false" ht="15" hidden="false" customHeight="true" outlineLevel="0" collapsed="false">
      <c r="A11" s="33" t="str">
        <f aca="false">분석2_월별추이!A10</f>
        <v>2024.06</v>
      </c>
      <c r="B11" s="25" t="n">
        <f aca="false">분석2_월별추이!E10</f>
        <v>57341634</v>
      </c>
      <c r="C11" s="36" t="n">
        <f aca="false">B11/B10-1</f>
        <v>-0.011701421618548</v>
      </c>
      <c r="D11" s="36" t="n">
        <f aca="false">분석2_월별추이!M10/분석2_월별추이!M9-1</f>
        <v>0.0112822662507881</v>
      </c>
      <c r="E11" s="36"/>
      <c r="F11" s="36"/>
      <c r="G11" s="25" t="n">
        <f aca="false">분석2_월별추이!F10</f>
        <v>49090193</v>
      </c>
      <c r="H11" s="36" t="n">
        <f aca="false">G11/G10-1</f>
        <v>-0.076087342960168</v>
      </c>
      <c r="I11" s="36"/>
      <c r="J11" s="25" t="n">
        <f aca="false">분석2_월별추이!G10</f>
        <v>8251441</v>
      </c>
      <c r="K11" s="25" t="n">
        <f aca="false">J11-J10</f>
        <v>3363821</v>
      </c>
      <c r="L11" s="25"/>
    </row>
    <row r="12" customFormat="false" ht="15" hidden="false" customHeight="true" outlineLevel="0" collapsed="false">
      <c r="A12" s="33" t="str">
        <f aca="false">분석2_월별추이!A11</f>
        <v>2024.07</v>
      </c>
      <c r="B12" s="25" t="n">
        <f aca="false">분석2_월별추이!E11</f>
        <v>57458788</v>
      </c>
      <c r="C12" s="36" t="n">
        <f aca="false">B12/B11-1</f>
        <v>0.00204308792456098</v>
      </c>
      <c r="D12" s="36" t="n">
        <f aca="false">분석2_월별추이!M11/분석2_월별추이!M10-1</f>
        <v>-0.138242944384878</v>
      </c>
      <c r="E12" s="36"/>
      <c r="F12" s="36"/>
      <c r="G12" s="25" t="n">
        <f aca="false">분석2_월별추이!F11</f>
        <v>53838742</v>
      </c>
      <c r="H12" s="36" t="n">
        <f aca="false">G12/G11-1</f>
        <v>0.096731112872178</v>
      </c>
      <c r="I12" s="36"/>
      <c r="J12" s="25" t="n">
        <f aca="false">분석2_월별추이!G11</f>
        <v>3620046</v>
      </c>
      <c r="K12" s="25" t="n">
        <f aca="false">J12-J11</f>
        <v>-4631395</v>
      </c>
      <c r="L12" s="25"/>
    </row>
    <row r="13" customFormat="false" ht="15" hidden="false" customHeight="true" outlineLevel="0" collapsed="false">
      <c r="A13" s="33" t="str">
        <f aca="false">분석2_월별추이!A12</f>
        <v>2024.08</v>
      </c>
      <c r="B13" s="25" t="n">
        <f aca="false">분석2_월별추이!E12</f>
        <v>57642924</v>
      </c>
      <c r="C13" s="36" t="n">
        <f aca="false">B13/B12-1</f>
        <v>0.00320466209624892</v>
      </c>
      <c r="D13" s="36" t="n">
        <f aca="false">분석2_월별추이!M12/분석2_월별추이!M11-1</f>
        <v>0.067239002230052</v>
      </c>
      <c r="E13" s="36"/>
      <c r="F13" s="36"/>
      <c r="G13" s="25" t="n">
        <f aca="false">분석2_월별추이!F12</f>
        <v>54054894</v>
      </c>
      <c r="H13" s="36" t="n">
        <f aca="false">G13/G12-1</f>
        <v>0.00401480406061494</v>
      </c>
      <c r="I13" s="36"/>
      <c r="J13" s="25" t="n">
        <f aca="false">분석2_월별추이!G12</f>
        <v>3588030</v>
      </c>
      <c r="K13" s="25" t="n">
        <f aca="false">J13-J12</f>
        <v>-32016</v>
      </c>
      <c r="L13" s="25"/>
    </row>
    <row r="14" customFormat="false" ht="15" hidden="false" customHeight="true" outlineLevel="0" collapsed="false">
      <c r="A14" s="33" t="str">
        <f aca="false">분석2_월별추이!A13</f>
        <v>2024.09</v>
      </c>
      <c r="B14" s="25" t="n">
        <f aca="false">분석2_월별추이!E13</f>
        <v>58544693</v>
      </c>
      <c r="C14" s="36" t="n">
        <f aca="false">B14/B13-1</f>
        <v>0.0156440537263516</v>
      </c>
      <c r="D14" s="36" t="n">
        <f aca="false">분석2_월별추이!M13/분석2_월별추이!M12-1</f>
        <v>0.193381763128463</v>
      </c>
      <c r="E14" s="36"/>
      <c r="F14" s="36"/>
      <c r="G14" s="25" t="n">
        <f aca="false">분석2_월별추이!F13</f>
        <v>52102925</v>
      </c>
      <c r="H14" s="36" t="n">
        <f aca="false">G14/G13-1</f>
        <v>-0.0361108653732629</v>
      </c>
      <c r="I14" s="36"/>
      <c r="J14" s="25" t="n">
        <f aca="false">분석2_월별추이!G13</f>
        <v>6441768</v>
      </c>
      <c r="K14" s="25" t="n">
        <f aca="false">J14-J13</f>
        <v>2853738</v>
      </c>
      <c r="L14" s="25"/>
    </row>
    <row r="15" customFormat="false" ht="15" hidden="false" customHeight="true" outlineLevel="0" collapsed="false">
      <c r="A15" s="33" t="str">
        <f aca="false">분석2_월별추이!A14</f>
        <v>2024.10</v>
      </c>
      <c r="B15" s="25" t="n">
        <f aca="false">분석2_월별추이!E14</f>
        <v>57500192</v>
      </c>
      <c r="C15" s="36" t="n">
        <f aca="false">B15/B14-1</f>
        <v>-0.0178410876627195</v>
      </c>
      <c r="D15" s="36" t="n">
        <f aca="false">분석2_월별추이!M14/분석2_월별추이!M13-1</f>
        <v>-0.107128261511563</v>
      </c>
      <c r="E15" s="36"/>
      <c r="F15" s="36"/>
      <c r="G15" s="25" t="n">
        <f aca="false">분석2_월별추이!F14</f>
        <v>54331589</v>
      </c>
      <c r="H15" s="36" t="n">
        <f aca="false">G15/G14-1</f>
        <v>0.0427742588347968</v>
      </c>
      <c r="I15" s="36"/>
      <c r="J15" s="25" t="n">
        <f aca="false">분석2_월별추이!G14</f>
        <v>3168604</v>
      </c>
      <c r="K15" s="25" t="n">
        <f aca="false">J15-J14</f>
        <v>-3273164</v>
      </c>
      <c r="L15" s="25"/>
    </row>
    <row r="16" customFormat="false" ht="15" hidden="false" customHeight="true" outlineLevel="0" collapsed="false">
      <c r="A16" s="33" t="str">
        <f aca="false">분석2_월별추이!A15</f>
        <v>2024.11</v>
      </c>
      <c r="B16" s="25" t="n">
        <f aca="false">분석2_월별추이!E15</f>
        <v>56288629</v>
      </c>
      <c r="C16" s="36" t="n">
        <f aca="false">B16/B15-1</f>
        <v>-0.0210705905121151</v>
      </c>
      <c r="D16" s="36" t="n">
        <f aca="false">분석2_월별추이!M15/분석2_월별추이!M14-1</f>
        <v>-0.0835554464368737</v>
      </c>
      <c r="E16" s="36"/>
      <c r="F16" s="36"/>
      <c r="G16" s="25" t="n">
        <f aca="false">분석2_월별추이!F15</f>
        <v>50718992</v>
      </c>
      <c r="H16" s="36" t="n">
        <f aca="false">G16/G15-1</f>
        <v>-0.0664916500049354</v>
      </c>
      <c r="I16" s="36"/>
      <c r="J16" s="25" t="n">
        <f aca="false">분석2_월별추이!G15</f>
        <v>5569637</v>
      </c>
      <c r="K16" s="25" t="n">
        <f aca="false">J16-J15</f>
        <v>2401033</v>
      </c>
      <c r="L16" s="25"/>
    </row>
    <row r="17" customFormat="false" ht="15" hidden="false" customHeight="true" outlineLevel="0" collapsed="false">
      <c r="A17" s="33" t="str">
        <f aca="false">분석2_월별추이!A16</f>
        <v>2024.12</v>
      </c>
      <c r="B17" s="25" t="n">
        <f aca="false">분석2_월별추이!E16</f>
        <v>61359250</v>
      </c>
      <c r="C17" s="36" t="n">
        <f aca="false">B17/B16-1</f>
        <v>0.0900825102704137</v>
      </c>
      <c r="D17" s="36" t="n">
        <f aca="false">분석2_월별추이!M16/분석2_월별추이!M15-1</f>
        <v>0.113779956145857</v>
      </c>
      <c r="E17" s="36"/>
      <c r="F17" s="36"/>
      <c r="G17" s="25" t="n">
        <f aca="false">분석2_월별추이!F16</f>
        <v>54866380</v>
      </c>
      <c r="H17" s="36" t="n">
        <f aca="false">G17/G16-1</f>
        <v>0.0817718932584464</v>
      </c>
      <c r="I17" s="36"/>
      <c r="J17" s="25" t="n">
        <f aca="false">분석2_월별추이!G16</f>
        <v>6492870</v>
      </c>
      <c r="K17" s="25" t="n">
        <f aca="false">J17-J16</f>
        <v>923233</v>
      </c>
      <c r="L17" s="25"/>
    </row>
    <row r="18" customFormat="false" ht="15" hidden="false" customHeight="true" outlineLevel="0" collapsed="false">
      <c r="A18" s="33" t="str">
        <f aca="false">분석2_월별추이!A17</f>
        <v>2025.01</v>
      </c>
      <c r="B18" s="25" t="n">
        <f aca="false">분석2_월별추이!E17</f>
        <v>49176984</v>
      </c>
      <c r="C18" s="36" t="n">
        <f aca="false">B18/B17-1</f>
        <v>-0.198540008230218</v>
      </c>
      <c r="D18" s="36" t="n">
        <f aca="false">분석2_월별추이!M17/분석2_월별추이!M16-1</f>
        <v>-0.0783210094647506</v>
      </c>
      <c r="E18" s="36" t="n">
        <f aca="false">B18/B6-1</f>
        <v>-0.101130632427745</v>
      </c>
      <c r="F18" s="36"/>
      <c r="G18" s="25" t="n">
        <f aca="false">분석2_월별추이!F17</f>
        <v>51172292</v>
      </c>
      <c r="H18" s="36" t="n">
        <f aca="false">G18/G17-1</f>
        <v>-0.0673288086438362</v>
      </c>
      <c r="I18" s="36" t="n">
        <f aca="false">G18/G6-1</f>
        <v>-0.0606212497781765</v>
      </c>
      <c r="J18" s="25" t="n">
        <f aca="false">분석2_월별추이!G17</f>
        <v>-1995308</v>
      </c>
      <c r="K18" s="25" t="n">
        <f aca="false">J18-J17</f>
        <v>-8488178</v>
      </c>
      <c r="L18" s="25" t="n">
        <f aca="false">J18-J6</f>
        <v>-2230521</v>
      </c>
    </row>
    <row r="19" customFormat="false" ht="15" hidden="false" customHeight="true" outlineLevel="0" collapsed="false">
      <c r="A19" s="33" t="str">
        <f aca="false">분석2_월별추이!A18</f>
        <v>2025.02</v>
      </c>
      <c r="B19" s="25" t="n">
        <f aca="false">분석2_월별추이!E18</f>
        <v>52292301</v>
      </c>
      <c r="C19" s="36" t="n">
        <f aca="false">B19/B18-1</f>
        <v>0.0633490862310711</v>
      </c>
      <c r="D19" s="36" t="n">
        <f aca="false">분석2_월별추이!M18/분석2_월별추이!M17-1</f>
        <v>-0.0333190125172081</v>
      </c>
      <c r="E19" s="36" t="n">
        <f aca="false">B19/B7-1</f>
        <v>0.00414604391740681</v>
      </c>
      <c r="F19" s="36"/>
      <c r="G19" s="25" t="n">
        <f aca="false">분석2_월별추이!F18</f>
        <v>48328741</v>
      </c>
      <c r="H19" s="36" t="n">
        <f aca="false">G19/G18-1</f>
        <v>-0.0555681774035058</v>
      </c>
      <c r="I19" s="36" t="n">
        <f aca="false">G19/G7-1</f>
        <v>0.00221644291613798</v>
      </c>
      <c r="J19" s="25" t="n">
        <f aca="false">분석2_월별추이!G18</f>
        <v>3963560</v>
      </c>
      <c r="K19" s="25" t="n">
        <f aca="false">J19-J18</f>
        <v>5958868</v>
      </c>
      <c r="L19" s="25" t="n">
        <f aca="false">J19-J7</f>
        <v>109031</v>
      </c>
    </row>
    <row r="20" customFormat="false" ht="15" hidden="false" customHeight="true" outlineLevel="0" collapsed="false">
      <c r="A20" s="33" t="str">
        <f aca="false">분석2_월별추이!A19</f>
        <v>2025.03</v>
      </c>
      <c r="B20" s="25" t="n">
        <f aca="false">분석2_월별추이!E19</f>
        <v>58064562</v>
      </c>
      <c r="C20" s="36" t="n">
        <f aca="false">B20/B19-1</f>
        <v>0.110384528689988</v>
      </c>
      <c r="D20" s="36" t="n">
        <f aca="false">분석2_월별추이!M19/분석2_월별추이!M18-1</f>
        <v>0.110384528689988</v>
      </c>
      <c r="E20" s="36" t="n">
        <f aca="false">B20/B8-1</f>
        <v>0.0273584441459493</v>
      </c>
      <c r="F20" s="36" t="n">
        <f aca="false">SUM(B18:B20)/SUM(B6:B8)-1</f>
        <v>-0.0230898382593472</v>
      </c>
      <c r="G20" s="25" t="n">
        <f aca="false">분석2_월별추이!F19</f>
        <v>53341032</v>
      </c>
      <c r="H20" s="36" t="n">
        <f aca="false">G20/G19-1</f>
        <v>0.103712426524829</v>
      </c>
      <c r="I20" s="36" t="n">
        <f aca="false">G20/G8-1</f>
        <v>0.0235666578172911</v>
      </c>
      <c r="J20" s="25" t="n">
        <f aca="false">분석2_월별추이!G19</f>
        <v>4723530</v>
      </c>
      <c r="K20" s="25" t="n">
        <f aca="false">J20-J19</f>
        <v>759970</v>
      </c>
      <c r="L20" s="25" t="n">
        <f aca="false">J20-J8</f>
        <v>318126</v>
      </c>
    </row>
    <row r="21" customFormat="false" ht="15" hidden="false" customHeight="true" outlineLevel="0" collapsed="false">
      <c r="A21" s="33" t="str">
        <f aca="false">분석2_월별추이!A20</f>
        <v>2025.04</v>
      </c>
      <c r="B21" s="25" t="n">
        <f aca="false">분석2_월별추이!E20</f>
        <v>58035745</v>
      </c>
      <c r="C21" s="36" t="n">
        <f aca="false">B21/B20-1</f>
        <v>-0.000496292385706809</v>
      </c>
      <c r="D21" s="36" t="n">
        <f aca="false">분석2_월별추이!M20/분석2_월별추이!M19-1</f>
        <v>-0.0837882680202313</v>
      </c>
      <c r="E21" s="36" t="n">
        <f aca="false">B21/B9-1</f>
        <v>0.0336153727470889</v>
      </c>
      <c r="F21" s="36" t="n">
        <f aca="false">SUM(B19:B21)/SUM(B7:B9)-1</f>
        <v>0.0221533542809509</v>
      </c>
      <c r="G21" s="25" t="n">
        <f aca="false">분석2_월별추이!F20</f>
        <v>53232716</v>
      </c>
      <c r="H21" s="36" t="n">
        <f aca="false">G21/G20-1</f>
        <v>-0.00203063187828834</v>
      </c>
      <c r="I21" s="36" t="n">
        <f aca="false">G21/G9-1</f>
        <v>-0.0289753881807107</v>
      </c>
      <c r="J21" s="25" t="n">
        <f aca="false">분석2_월별추이!G20</f>
        <v>4803029</v>
      </c>
      <c r="K21" s="25" t="n">
        <f aca="false">J21-J20</f>
        <v>79499</v>
      </c>
      <c r="L21" s="25" t="n">
        <f aca="false">J21-J9</f>
        <v>3475911</v>
      </c>
    </row>
    <row r="22" customFormat="false" ht="15" hidden="false" customHeight="true" outlineLevel="0" collapsed="false">
      <c r="A22" s="33" t="str">
        <f aca="false">분석2_월별추이!A21</f>
        <v>2025.05</v>
      </c>
      <c r="B22" s="25" t="n">
        <f aca="false">분석2_월별추이!E21</f>
        <v>57261063</v>
      </c>
      <c r="C22" s="36" t="n">
        <f aca="false">B22/B21-1</f>
        <v>-0.0133483597048681</v>
      </c>
      <c r="D22" s="36" t="n">
        <f aca="false">분석2_월별추이!M21/분석2_월별추이!M20-1</f>
        <v>0.101378575213171</v>
      </c>
      <c r="E22" s="36" t="n">
        <f aca="false">B22/B10-1</f>
        <v>-0.0130900846057028</v>
      </c>
      <c r="F22" s="36" t="n">
        <f aca="false">SUM(B20:B22)/SUM(B8:B10)-1</f>
        <v>0.0156672881642859</v>
      </c>
      <c r="G22" s="25" t="n">
        <f aca="false">분석2_월별추이!F21</f>
        <v>50345116</v>
      </c>
      <c r="H22" s="36" t="n">
        <f aca="false">G22/G21-1</f>
        <v>-0.0542448369532751</v>
      </c>
      <c r="I22" s="36" t="n">
        <f aca="false">G22/G10-1</f>
        <v>-0.0524687916273102</v>
      </c>
      <c r="J22" s="25" t="n">
        <f aca="false">분석2_월별추이!G21</f>
        <v>6915946</v>
      </c>
      <c r="K22" s="25" t="n">
        <f aca="false">J22-J21</f>
        <v>2112917</v>
      </c>
      <c r="L22" s="25" t="n">
        <f aca="false">J22-J10</f>
        <v>2028326</v>
      </c>
    </row>
    <row r="23" customFormat="false" ht="15" hidden="false" customHeight="true" outlineLevel="0" collapsed="false">
      <c r="A23" s="33" t="str">
        <f aca="false">분석2_월별추이!A22</f>
        <v>2025.06</v>
      </c>
      <c r="B23" s="25" t="n">
        <f aca="false">분석2_월별추이!E22</f>
        <v>59833797</v>
      </c>
      <c r="C23" s="36" t="n">
        <f aca="false">B23/B22-1</f>
        <v>0.0449299028905559</v>
      </c>
      <c r="D23" s="36" t="n">
        <f aca="false">분석2_월별추이!M22/분석2_월별추이!M21-1</f>
        <v>0.0698091862927119</v>
      </c>
      <c r="E23" s="36" t="n">
        <f aca="false">B23/B11-1</f>
        <v>0.0434616669626122</v>
      </c>
      <c r="F23" s="36" t="n">
        <f aca="false">SUM(B21:B23)/SUM(B9:B11)-1</f>
        <v>0.0211072512241088</v>
      </c>
      <c r="G23" s="25" t="n">
        <f aca="false">분석2_월별추이!F22</f>
        <v>50825746</v>
      </c>
      <c r="H23" s="36" t="n">
        <f aca="false">G23/G22-1</f>
        <v>0.00954670558311954</v>
      </c>
      <c r="I23" s="36" t="n">
        <f aca="false">G23/G11-1</f>
        <v>0.0353543731229575</v>
      </c>
      <c r="J23" s="25" t="n">
        <f aca="false">분석2_월별추이!G22</f>
        <v>9008051</v>
      </c>
      <c r="K23" s="25" t="n">
        <f aca="false">J23-J22</f>
        <v>2092105</v>
      </c>
      <c r="L23" s="25" t="n">
        <f aca="false">J23-J11</f>
        <v>756610</v>
      </c>
    </row>
    <row r="24" customFormat="false" ht="15" hidden="false" customHeight="true" outlineLevel="0" collapsed="false">
      <c r="A24" s="33" t="str">
        <f aca="false">분석2_월별추이!A23</f>
        <v>2025.07</v>
      </c>
      <c r="B24" s="25" t="n">
        <f aca="false">분석2_월별추이!E23</f>
        <v>60724322</v>
      </c>
      <c r="C24" s="36" t="n">
        <f aca="false">B24/B23-1</f>
        <v>0.0148833108485493</v>
      </c>
      <c r="D24" s="36" t="n">
        <f aca="false">분석2_월별추이!M23/분석2_월별추이!M22-1</f>
        <v>-0.147498018887219</v>
      </c>
      <c r="E24" s="36" t="n">
        <f aca="false">B24/B12-1</f>
        <v>0.0568326293273016</v>
      </c>
      <c r="F24" s="36" t="n">
        <f aca="false">SUM(B22:B24)/SUM(B10:B12)-1</f>
        <v>0.0289212746561285</v>
      </c>
      <c r="G24" s="25" t="n">
        <f aca="false">분석2_월별추이!F23</f>
        <v>54210371</v>
      </c>
      <c r="H24" s="36" t="n">
        <f aca="false">G24/G23-1</f>
        <v>0.0665927264500947</v>
      </c>
      <c r="I24" s="36" t="n">
        <f aca="false">G24/G12-1</f>
        <v>0.00690263156594551</v>
      </c>
      <c r="J24" s="25" t="n">
        <f aca="false">분석2_월별추이!G23</f>
        <v>6513951</v>
      </c>
      <c r="K24" s="25" t="n">
        <f aca="false">J24-J23</f>
        <v>-2494100</v>
      </c>
      <c r="L24" s="25" t="n">
        <f aca="false">J24-J12</f>
        <v>2893905</v>
      </c>
    </row>
    <row r="25" customFormat="false" ht="15" hidden="false" customHeight="true" outlineLevel="0" collapsed="false">
      <c r="A25" s="33" t="str">
        <f aca="false">분석2_월별추이!A24</f>
        <v>2025.08</v>
      </c>
      <c r="B25" s="25" t="n">
        <f aca="false">분석2_월별추이!E24</f>
        <v>58259332</v>
      </c>
      <c r="C25" s="36" t="n">
        <f aca="false">B25/B24-1</f>
        <v>-0.0405931251072675</v>
      </c>
      <c r="D25" s="36" t="n">
        <f aca="false">분석2_월별추이!M24/분석2_월별추이!M23-1</f>
        <v>0.0660076387697026</v>
      </c>
      <c r="E25" s="36" t="n">
        <f aca="false">B25/B13-1</f>
        <v>0.0106935588486108</v>
      </c>
      <c r="F25" s="36" t="n">
        <f aca="false">SUM(B23:B25)/SUM(B11:B13)-1</f>
        <v>0.0369634732093402</v>
      </c>
      <c r="G25" s="25" t="n">
        <f aca="false">분석2_월별추이!F24</f>
        <v>51856624</v>
      </c>
      <c r="H25" s="36" t="n">
        <f aca="false">G25/G24-1</f>
        <v>-0.043418758377433</v>
      </c>
      <c r="I25" s="36" t="n">
        <f aca="false">G25/G13-1</f>
        <v>-0.0406673630698453</v>
      </c>
      <c r="J25" s="25" t="n">
        <f aca="false">분석2_월별추이!G24</f>
        <v>6402708</v>
      </c>
      <c r="K25" s="25" t="n">
        <f aca="false">J25-J24</f>
        <v>-111243</v>
      </c>
      <c r="L25" s="25" t="n">
        <f aca="false">J25-J13</f>
        <v>2814678</v>
      </c>
    </row>
    <row r="26" customFormat="false" ht="15" hidden="false" customHeight="true" outlineLevel="0" collapsed="false">
      <c r="A26" s="33" t="str">
        <f aca="false">분석2_월별추이!A25</f>
        <v>2025.09</v>
      </c>
      <c r="B26" s="25" t="n">
        <f aca="false">분석2_월별추이!E25</f>
        <v>65904118</v>
      </c>
      <c r="C26" s="36" t="n">
        <f aca="false">B26/B25-1</f>
        <v>0.131219939150693</v>
      </c>
      <c r="D26" s="36" t="n">
        <f aca="false">분석2_월별추이!M25/분석2_월별추이!M24-1</f>
        <v>0.0605186929537744</v>
      </c>
      <c r="E26" s="36" t="n">
        <f aca="false">B26/B14-1</f>
        <v>0.125706099440986</v>
      </c>
      <c r="F26" s="36" t="n">
        <f aca="false">SUM(B24:B26)/SUM(B12:B14)-1</f>
        <v>0.0647371133309671</v>
      </c>
      <c r="G26" s="25" t="n">
        <f aca="false">분석2_월별추이!F25</f>
        <v>56419614</v>
      </c>
      <c r="H26" s="36" t="n">
        <f aca="false">G26/G25-1</f>
        <v>0.0879924231087623</v>
      </c>
      <c r="I26" s="36" t="n">
        <f aca="false">G26/G14-1</f>
        <v>0.0828492642207708</v>
      </c>
      <c r="J26" s="25" t="n">
        <f aca="false">분석2_월별추이!G25</f>
        <v>9484504</v>
      </c>
      <c r="K26" s="25" t="n">
        <f aca="false">J26-J25</f>
        <v>3081796</v>
      </c>
      <c r="L26" s="25" t="n">
        <f aca="false">J26-J14</f>
        <v>3042736</v>
      </c>
    </row>
    <row r="27" customFormat="false" ht="15" hidden="false" customHeight="true" outlineLevel="0" collapsed="false">
      <c r="A27" s="33" t="str">
        <f aca="false">분석2_월별추이!A26</f>
        <v>2025.10</v>
      </c>
      <c r="B27" s="25" t="n">
        <f aca="false">분석2_월별추이!E26</f>
        <v>59511578</v>
      </c>
      <c r="C27" s="36" t="n">
        <f aca="false">B27/B26-1</f>
        <v>-0.0969975806367669</v>
      </c>
      <c r="D27" s="36" t="n">
        <f aca="false">분석2_월별추이!M26/분석2_월별추이!M25-1</f>
        <v>0.0836029032358798</v>
      </c>
      <c r="E27" s="36" t="n">
        <f aca="false">B27/B15-1</f>
        <v>0.0349805092824733</v>
      </c>
      <c r="F27" s="36" t="n">
        <f aca="false">SUM(B25:B27)/SUM(B13:B15)-1</f>
        <v>0.0575009786668448</v>
      </c>
      <c r="G27" s="25" t="n">
        <f aca="false">분석2_월별추이!F26</f>
        <v>53510827</v>
      </c>
      <c r="H27" s="36" t="n">
        <f aca="false">G27/G26-1</f>
        <v>-0.0515563080598176</v>
      </c>
      <c r="I27" s="36" t="n">
        <f aca="false">G27/G15-1</f>
        <v>-0.0151065340643728</v>
      </c>
      <c r="J27" s="25" t="n">
        <f aca="false">분석2_월별추이!G26</f>
        <v>6000751</v>
      </c>
      <c r="K27" s="25" t="n">
        <f aca="false">J27-J26</f>
        <v>-3483753</v>
      </c>
      <c r="L27" s="25" t="n">
        <f aca="false">J27-J15</f>
        <v>2832147</v>
      </c>
    </row>
    <row r="28" customFormat="false" ht="15" hidden="false" customHeight="true" outlineLevel="0" collapsed="false">
      <c r="A28" s="33" t="str">
        <f aca="false">분석2_월별추이!A27</f>
        <v>2025.11</v>
      </c>
      <c r="B28" s="25" t="n">
        <f aca="false">분석2_월별추이!E27</f>
        <v>60752618</v>
      </c>
      <c r="C28" s="36" t="n">
        <f aca="false">B28/B27-1</f>
        <v>0.0208537572302316</v>
      </c>
      <c r="D28" s="36" t="n">
        <f aca="false">분석2_월별추이!M27/분석2_월별추이!M26-1</f>
        <v>-0.0925744380175717</v>
      </c>
      <c r="E28" s="36" t="n">
        <f aca="false">B28/B16-1</f>
        <v>0.0793053424697909</v>
      </c>
      <c r="F28" s="36" t="n">
        <f aca="false">SUM(B26:B28)/SUM(B14:B16)-1</f>
        <v>0.0802792195138551</v>
      </c>
      <c r="G28" s="25" t="n">
        <f aca="false">분석2_월별추이!F27</f>
        <v>51284605</v>
      </c>
      <c r="H28" s="36" t="n">
        <f aca="false">G28/G27-1</f>
        <v>-0.0416032067678566</v>
      </c>
      <c r="I28" s="36" t="n">
        <f aca="false">G28/G16-1</f>
        <v>0.0111518974982783</v>
      </c>
      <c r="J28" s="25" t="n">
        <f aca="false">분석2_월별추이!G27</f>
        <v>9468013</v>
      </c>
      <c r="K28" s="25" t="n">
        <f aca="false">J28-J27</f>
        <v>3467262</v>
      </c>
      <c r="L28" s="25" t="n">
        <f aca="false">J28-J16</f>
        <v>3898376</v>
      </c>
    </row>
    <row r="29" customFormat="false" ht="15" hidden="false" customHeight="true" outlineLevel="0" collapsed="false">
      <c r="A29" s="33" t="str">
        <f aca="false">분석2_월별추이!A28</f>
        <v>2025.12</v>
      </c>
      <c r="B29" s="25" t="n">
        <f aca="false">분석2_월별추이!E28</f>
        <v>69513624</v>
      </c>
      <c r="C29" s="36" t="n">
        <f aca="false">B29/B28-1</f>
        <v>0.144207875947009</v>
      </c>
      <c r="D29" s="36" t="n">
        <f aca="false">분석2_월별추이!M28/분석2_월별추이!M27-1</f>
        <v>0.0726948837003205</v>
      </c>
      <c r="E29" s="36" t="n">
        <f aca="false">B29/B17-1</f>
        <v>0.132895594388784</v>
      </c>
      <c r="F29" s="36" t="n">
        <f aca="false">SUM(B27:B29)/SUM(B15:B17)-1</f>
        <v>0.0835278910950723</v>
      </c>
      <c r="G29" s="25" t="n">
        <f aca="false">분석2_월별추이!F28</f>
        <v>57367684</v>
      </c>
      <c r="H29" s="36" t="n">
        <f aca="false">G29/G28-1</f>
        <v>0.118614133812671</v>
      </c>
      <c r="I29" s="36" t="n">
        <f aca="false">G29/G17-1</f>
        <v>0.0455890109753916</v>
      </c>
      <c r="J29" s="25" t="n">
        <f aca="false">분석2_월별추이!G28</f>
        <v>12145941</v>
      </c>
      <c r="K29" s="25" t="n">
        <f aca="false">J29-J28</f>
        <v>2677928</v>
      </c>
      <c r="L29" s="25" t="n">
        <f aca="false">J29-J17</f>
        <v>5653071</v>
      </c>
    </row>
    <row r="30" customFormat="false" ht="15" hidden="false" customHeight="true" outlineLevel="0" collapsed="false">
      <c r="A30" s="33" t="str">
        <f aca="false">분석2_월별추이!A29</f>
        <v>2026.01</v>
      </c>
      <c r="B30" s="25" t="n">
        <f aca="false">분석2_월별추이!E29</f>
        <v>65843937</v>
      </c>
      <c r="C30" s="36" t="n">
        <f aca="false">B30/B29-1</f>
        <v>-0.052790903262359</v>
      </c>
      <c r="D30" s="36" t="n">
        <f aca="false">분석2_월별추이!M29/분석2_월별추이!M28-1</f>
        <v>-0.032637518225388</v>
      </c>
      <c r="E30" s="36" t="n">
        <f aca="false">B30/B18-1</f>
        <v>0.338917754695977</v>
      </c>
      <c r="F30" s="36" t="n">
        <f aca="false">SUM(B28:B30)/SUM(B16:B18)-1</f>
        <v>0.175545272289539</v>
      </c>
      <c r="G30" s="25" t="n">
        <f aca="false">분석2_월별추이!F29</f>
        <v>57143469</v>
      </c>
      <c r="H30" s="36" t="n">
        <f aca="false">G30/G29-1</f>
        <v>-0.00390838507616942</v>
      </c>
      <c r="I30" s="36" t="n">
        <f aca="false">G30/G18-1</f>
        <v>0.116687698882043</v>
      </c>
      <c r="J30" s="25" t="n">
        <f aca="false">분석2_월별추이!G29</f>
        <v>8700468</v>
      </c>
      <c r="K30" s="25" t="n">
        <f aca="false">J30-J29</f>
        <v>-3445473</v>
      </c>
      <c r="L30" s="25" t="n">
        <f aca="false">J30-J18</f>
        <v>10695776</v>
      </c>
    </row>
    <row r="31" customFormat="false" ht="15" hidden="false" customHeight="true" outlineLevel="0" collapsed="false">
      <c r="A31" s="33" t="str">
        <f aca="false">분석2_월별추이!A30</f>
        <v>2026.02</v>
      </c>
      <c r="B31" s="25" t="n">
        <f aca="false">분석2_월별추이!E30</f>
        <v>67642547</v>
      </c>
      <c r="C31" s="36" t="n">
        <f aca="false">B31/B30-1</f>
        <v>0.0273162584430515</v>
      </c>
      <c r="D31" s="36" t="n">
        <f aca="false">분석2_월별추이!M30/분석2_월별추이!M29-1</f>
        <v>0.270628003863774</v>
      </c>
      <c r="E31" s="36" t="n">
        <f aca="false">B31/B19-1</f>
        <v>0.293546960192094</v>
      </c>
      <c r="F31" s="36" t="n">
        <f aca="false">SUM(B29:B31)/SUM(B17:B19)-1</f>
        <v>0.246710891306613</v>
      </c>
      <c r="G31" s="25" t="n">
        <f aca="false">분석2_월별추이!F30</f>
        <v>51933913</v>
      </c>
      <c r="H31" s="36" t="n">
        <f aca="false">G31/G30-1</f>
        <v>-0.091166253837337</v>
      </c>
      <c r="I31" s="36" t="n">
        <f aca="false">G31/G19-1</f>
        <v>0.0745968532472219</v>
      </c>
      <c r="J31" s="25" t="n">
        <f aca="false">분석2_월별추이!G30</f>
        <v>15708634</v>
      </c>
      <c r="K31" s="25" t="n">
        <f aca="false">J31-J30</f>
        <v>7008166</v>
      </c>
      <c r="L31" s="25" t="n">
        <f aca="false">J31-J19</f>
        <v>11745074</v>
      </c>
    </row>
    <row r="32" customFormat="false" ht="15" hidden="false" customHeight="true" outlineLevel="0" collapsed="false">
      <c r="A32" s="33" t="str">
        <f aca="false">분석2_월별추이!A31</f>
        <v>2026.03</v>
      </c>
      <c r="B32" s="25" t="n">
        <f aca="false">분석2_월별추이!E31</f>
        <v>87333128</v>
      </c>
      <c r="C32" s="36" t="n">
        <f aca="false">B32/B31-1</f>
        <v>0.29109756910839</v>
      </c>
      <c r="D32" s="36" t="n">
        <f aca="false">분석2_월별추이!M31/분석2_월별추이!M30-1</f>
        <v>0.0665588614373653</v>
      </c>
      <c r="E32" s="36" t="n">
        <f aca="false">B32/B20-1</f>
        <v>0.504069349562992</v>
      </c>
      <c r="F32" s="36" t="n">
        <f aca="false">SUM(B30:B32)/SUM(B18:B20)-1</f>
        <v>0.384155250766316</v>
      </c>
      <c r="G32" s="25" t="n">
        <f aca="false">분석2_월별추이!F31</f>
        <v>60753446</v>
      </c>
      <c r="H32" s="36" t="n">
        <f aca="false">G32/G31-1</f>
        <v>0.169822231573423</v>
      </c>
      <c r="I32" s="36" t="n">
        <f aca="false">G32/G20-1</f>
        <v>0.138962703233788</v>
      </c>
      <c r="J32" s="25" t="n">
        <f aca="false">분석2_월별추이!G31</f>
        <v>26579682</v>
      </c>
      <c r="K32" s="25" t="n">
        <f aca="false">J32-J31</f>
        <v>10871048</v>
      </c>
      <c r="L32" s="25" t="n">
        <f aca="false">J32-J20</f>
        <v>21856152</v>
      </c>
    </row>
    <row r="33" customFormat="false" ht="15" hidden="false" customHeight="true" outlineLevel="0" collapsed="false">
      <c r="A33" s="33" t="str">
        <f aca="false">분석2_월별추이!A32</f>
        <v>2026.04</v>
      </c>
      <c r="B33" s="25" t="n">
        <f aca="false">분석2_월별추이!E32</f>
        <v>85751883</v>
      </c>
      <c r="C33" s="36" t="n">
        <f aca="false">B33/B32-1</f>
        <v>-0.0181059013482261</v>
      </c>
      <c r="D33" s="36" t="n">
        <f aca="false">분석2_월별추이!M32/분석2_월별추이!M31-1</f>
        <v>-0.0590181554587166</v>
      </c>
      <c r="E33" s="36" t="n">
        <f aca="false">B33/B21-1</f>
        <v>0.477570125101349</v>
      </c>
      <c r="F33" s="36" t="n">
        <f aca="false">SUM(B31:B33)/SUM(B19:B21)-1</f>
        <v>0.429561314235361</v>
      </c>
      <c r="G33" s="25" t="n">
        <f aca="false">분석2_월별추이!F32</f>
        <v>62104908</v>
      </c>
      <c r="H33" s="36" t="n">
        <f aca="false">G33/G32-1</f>
        <v>0.0222450262327507</v>
      </c>
      <c r="I33" s="36" t="n">
        <f aca="false">G33/G21-1</f>
        <v>0.166668031741984</v>
      </c>
      <c r="J33" s="25" t="n">
        <f aca="false">분석2_월별추이!G32</f>
        <v>23646975</v>
      </c>
      <c r="K33" s="25" t="n">
        <f aca="false">J33-J32</f>
        <v>-2932707</v>
      </c>
      <c r="L33" s="25" t="n">
        <f aca="false">J33-J21</f>
        <v>18843946</v>
      </c>
    </row>
    <row r="34" customFormat="false" ht="15" hidden="false" customHeight="true" outlineLevel="0" collapsed="false">
      <c r="A34" s="33" t="str">
        <f aca="false">분석2_월별추이!A33</f>
        <v>2026.05</v>
      </c>
      <c r="B34" s="25" t="n">
        <f aca="false">분석2_월별추이!E33</f>
        <v>87576083</v>
      </c>
      <c r="C34" s="36" t="n">
        <f aca="false">B34/B33-1</f>
        <v>0.0212730022499914</v>
      </c>
      <c r="D34" s="36" t="n">
        <f aca="false">분석2_월별추이!M33/분석2_월별추이!M32-1</f>
        <v>0.195636685560965</v>
      </c>
      <c r="E34" s="36" t="n">
        <f aca="false">B34/B22-1</f>
        <v>0.529417695232099</v>
      </c>
      <c r="F34" s="36" t="n">
        <f aca="false">SUM(B32:B34)/SUM(B20:B22)-1</f>
        <v>0.503570801269049</v>
      </c>
      <c r="G34" s="25" t="n">
        <f aca="false">분석2_월별추이!F33</f>
        <v>60748350</v>
      </c>
      <c r="H34" s="36" t="n">
        <f aca="false">G34/G33-1</f>
        <v>-0.0218430079632354</v>
      </c>
      <c r="I34" s="36" t="n">
        <f aca="false">G34/G22-1</f>
        <v>0.206638395668807</v>
      </c>
      <c r="J34" s="25" t="n">
        <f aca="false">분석2_월별추이!G33</f>
        <v>26827733</v>
      </c>
      <c r="K34" s="25" t="n">
        <f aca="false">J34-J33</f>
        <v>3180758</v>
      </c>
      <c r="L34" s="25" t="n">
        <f aca="false">J34-J22</f>
        <v>19911787</v>
      </c>
    </row>
    <row r="35" customFormat="false" ht="15" hidden="false" customHeight="true" outlineLevel="0" collapsed="false">
      <c r="A35" s="33" t="str">
        <f aca="false">분석2_월별추이!A34</f>
        <v>2026.06</v>
      </c>
      <c r="B35" s="25" t="n">
        <f aca="false">분석2_월별추이!E34</f>
        <v>101956159</v>
      </c>
      <c r="C35" s="36" t="n">
        <f aca="false">B35/B34-1</f>
        <v>0.164200949704499</v>
      </c>
      <c r="D35" s="36" t="n">
        <f aca="false">분석2_월별추이!M34/분석2_월별추이!M33-1</f>
        <v>0.0607164208418765</v>
      </c>
      <c r="E35" s="36" t="n">
        <f aca="false">B35/B23-1</f>
        <v>0.70398945264998</v>
      </c>
      <c r="F35" s="36" t="n">
        <f aca="false">SUM(B33:B35)/SUM(B21:B23)-1</f>
        <v>0.571879027083815</v>
      </c>
      <c r="G35" s="25" t="n">
        <f aca="false">분석2_월별추이!F34</f>
        <v>66051586</v>
      </c>
      <c r="H35" s="36" t="n">
        <f aca="false">G35/G34-1</f>
        <v>0.0872984369122782</v>
      </c>
      <c r="I35" s="36" t="n">
        <f aca="false">G35/G23-1</f>
        <v>0.299569434750648</v>
      </c>
      <c r="J35" s="25" t="n">
        <f aca="false">분석2_월별추이!G34</f>
        <v>35904573</v>
      </c>
      <c r="K35" s="25" t="n">
        <f aca="false">J35-J34</f>
        <v>9076840</v>
      </c>
      <c r="L35" s="25" t="n">
        <f aca="false">J35-J23</f>
        <v>26896522</v>
      </c>
    </row>
    <row r="36" customFormat="false" ht="15" hidden="false" customHeight="true" outlineLevel="0" collapsed="false">
      <c r="A36" s="33" t="str">
        <f aca="false">분석2_월별추이!A35</f>
        <v>2026.07</v>
      </c>
      <c r="B36" s="25" t="n">
        <f aca="false">분석2_월별추이!E35</f>
        <v>98959099</v>
      </c>
      <c r="C36" s="36" t="n">
        <f aca="false">B36/B35-1</f>
        <v>-0.0293955757984175</v>
      </c>
      <c r="D36" s="36" t="n">
        <f aca="false">분석2_월별추이!M35/분석2_월별추이!M34-1</f>
        <v>-0.0900583523110163</v>
      </c>
      <c r="E36" s="36" t="n">
        <f aca="false">B36/B24-1</f>
        <v>0.629645185663827</v>
      </c>
      <c r="F36" s="36" t="n">
        <f aca="false">SUM(B34:B36)/SUM(B22:B24)-1</f>
        <v>0.622385941467215</v>
      </c>
      <c r="G36" s="25" t="n">
        <f aca="false">분석2_월별추이!F35</f>
        <v>68567473</v>
      </c>
      <c r="H36" s="36" t="n">
        <f aca="false">G36/G35-1</f>
        <v>0.0380897288370941</v>
      </c>
      <c r="I36" s="36" t="n">
        <f aca="false">G36/G24-1</f>
        <v>0.26484050441197</v>
      </c>
      <c r="J36" s="25" t="n">
        <f aca="false">분석2_월별추이!G35</f>
        <v>30391625</v>
      </c>
      <c r="K36" s="25" t="n">
        <f aca="false">J36-J35</f>
        <v>-5512948</v>
      </c>
      <c r="L36" s="25" t="n">
        <f aca="false">J36-J24</f>
        <v>23877674</v>
      </c>
    </row>
    <row r="38" customFormat="false" ht="14.25" hidden="false" customHeight="true" outlineLevel="0" collapsed="false">
      <c r="A38" s="23" t="s">
        <v>19732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customFormat="false" ht="15" hidden="false" customHeight="true" outlineLevel="0" collapsed="false">
      <c r="A39" s="5" t="s">
        <v>19655</v>
      </c>
      <c r="B39" s="5" t="s">
        <v>60</v>
      </c>
      <c r="C39" s="44" t="s">
        <v>19733</v>
      </c>
      <c r="D39" s="44" t="s">
        <v>19728</v>
      </c>
      <c r="E39" s="5" t="s">
        <v>339</v>
      </c>
      <c r="F39" s="44" t="s">
        <v>19733</v>
      </c>
      <c r="G39" s="44" t="s">
        <v>19728</v>
      </c>
      <c r="H39" s="5" t="s">
        <v>64</v>
      </c>
      <c r="I39" s="44" t="s">
        <v>19734</v>
      </c>
      <c r="J39" s="44" t="s">
        <v>19735</v>
      </c>
      <c r="K39" s="5" t="s">
        <v>57</v>
      </c>
      <c r="L39" s="5" t="s">
        <v>19736</v>
      </c>
      <c r="M39" s="5" t="s">
        <v>5</v>
      </c>
    </row>
    <row r="40" customFormat="false" ht="15" hidden="false" customHeight="true" outlineLevel="0" collapsed="false">
      <c r="A40" s="45" t="s">
        <v>19737</v>
      </c>
      <c r="B40" s="25" t="n">
        <f aca="false">SUMIFS(데이터_총괄!$H$3:$H$33,데이터_총괄!$B$3:$B$33,2024,데이터_총괄!$D$3:$D$33,1)</f>
        <v>163304522</v>
      </c>
      <c r="E40" s="25" t="n">
        <f aca="false">SUMIFS(데이터_총괄!$K$3:$K$33,데이터_총괄!$B$3:$B$33,2024,데이터_총괄!$D$3:$D$33,1)</f>
        <v>154809376</v>
      </c>
      <c r="H40" s="25" t="n">
        <f aca="false">B40-E40</f>
        <v>8495146</v>
      </c>
      <c r="K40" s="24" t="n">
        <f aca="false">SUMIFS(데이터_총괄!$E$3:$E$33,데이터_총괄!$B$3:$B$33,2024,데이터_총괄!$D$3:$D$33,1)</f>
        <v>67</v>
      </c>
      <c r="L40" s="25" t="n">
        <f aca="false">IFERROR(B40/K40,"-")</f>
        <v>2437380.92537313</v>
      </c>
      <c r="M40" s="46"/>
    </row>
    <row r="41" customFormat="false" ht="15" hidden="false" customHeight="true" outlineLevel="0" collapsed="false">
      <c r="A41" s="45" t="s">
        <v>19738</v>
      </c>
      <c r="B41" s="25" t="n">
        <f aca="false">SUMIFS(데이터_총괄!$H$3:$H$33,데이터_총괄!$B$3:$B$33,2024,데이터_총괄!$D$3:$D$33,2)</f>
        <v>171510490</v>
      </c>
      <c r="C41" s="36" t="n">
        <f aca="false">B41/B40-1</f>
        <v>0.0502494842120784</v>
      </c>
      <c r="E41" s="25" t="n">
        <f aca="false">SUMIFS(데이터_총괄!$K$3:$K$33,데이터_총괄!$B$3:$B$33,2024,데이터_총괄!$D$3:$D$33,2)</f>
        <v>157044311</v>
      </c>
      <c r="F41" s="36" t="n">
        <f aca="false">E41/E40-1</f>
        <v>0.0144366901911677</v>
      </c>
      <c r="H41" s="25" t="n">
        <f aca="false">B41-E41</f>
        <v>14466179</v>
      </c>
      <c r="I41" s="25" t="n">
        <f aca="false">H41-H40</f>
        <v>5971033</v>
      </c>
      <c r="K41" s="24" t="n">
        <f aca="false">SUMIFS(데이터_총괄!$E$3:$E$33,데이터_총괄!$B$3:$B$33,2024,데이터_총괄!$D$3:$D$33,2)</f>
        <v>66.5</v>
      </c>
      <c r="L41" s="25" t="n">
        <f aca="false">IFERROR(B41/K41,"-")</f>
        <v>2579105.11278196</v>
      </c>
      <c r="M41" s="46"/>
    </row>
    <row r="42" customFormat="false" ht="15" hidden="false" customHeight="true" outlineLevel="0" collapsed="false">
      <c r="A42" s="45" t="s">
        <v>19739</v>
      </c>
      <c r="B42" s="25" t="n">
        <f aca="false">SUMIFS(데이터_총괄!$H$3:$H$33,데이터_총괄!$B$3:$B$33,2024,데이터_총괄!$D$3:$D$33,3)</f>
        <v>173646405</v>
      </c>
      <c r="C42" s="36" t="n">
        <f aca="false">B42/B41-1</f>
        <v>0.0124535531325227</v>
      </c>
      <c r="E42" s="25" t="n">
        <f aca="false">SUMIFS(데이터_총괄!$K$3:$K$33,데이터_총괄!$B$3:$B$33,2024,데이터_총괄!$D$3:$D$33,3)</f>
        <v>159996561</v>
      </c>
      <c r="F42" s="36" t="n">
        <f aca="false">E42/E41-1</f>
        <v>0.0187988344257819</v>
      </c>
      <c r="H42" s="25" t="n">
        <f aca="false">B42-E42</f>
        <v>13649844</v>
      </c>
      <c r="I42" s="25" t="n">
        <f aca="false">H42-H41</f>
        <v>-816335</v>
      </c>
      <c r="K42" s="24" t="n">
        <f aca="false">SUMIFS(데이터_총괄!$E$3:$E$33,데이터_총괄!$B$3:$B$33,2024,데이터_총괄!$D$3:$D$33,3)</f>
        <v>68.5</v>
      </c>
      <c r="L42" s="25" t="n">
        <f aca="false">IFERROR(B42/K42,"-")</f>
        <v>2534984.01459854</v>
      </c>
      <c r="M42" s="46"/>
    </row>
    <row r="43" customFormat="false" ht="15" hidden="false" customHeight="true" outlineLevel="0" collapsed="false">
      <c r="A43" s="45" t="s">
        <v>19740</v>
      </c>
      <c r="B43" s="25" t="n">
        <f aca="false">SUMIFS(데이터_총괄!$H$3:$H$33,데이터_총괄!$B$3:$B$33,2024,데이터_총괄!$D$3:$D$33,4)</f>
        <v>175148071</v>
      </c>
      <c r="C43" s="36" t="n">
        <f aca="false">B43/B42-1</f>
        <v>0.00864783811677539</v>
      </c>
      <c r="E43" s="25" t="n">
        <f aca="false">SUMIFS(데이터_총괄!$K$3:$K$33,데이터_총괄!$B$3:$B$33,2024,데이터_총괄!$D$3:$D$33,4)</f>
        <v>159916961</v>
      </c>
      <c r="F43" s="36" t="n">
        <f aca="false">E43/E42-1</f>
        <v>-0.000497510693370451</v>
      </c>
      <c r="H43" s="25" t="n">
        <f aca="false">B43-E43</f>
        <v>15231110</v>
      </c>
      <c r="I43" s="25" t="n">
        <f aca="false">H43-H42</f>
        <v>1581266</v>
      </c>
      <c r="K43" s="24" t="n">
        <f aca="false">SUMIFS(데이터_총괄!$E$3:$E$33,데이터_총괄!$B$3:$B$33,2024,데이터_총괄!$D$3:$D$33,4)</f>
        <v>68.5</v>
      </c>
      <c r="L43" s="25" t="n">
        <f aca="false">IFERROR(B43/K43,"-")</f>
        <v>2556906.1459854</v>
      </c>
      <c r="M43" s="46"/>
    </row>
    <row r="44" customFormat="false" ht="15" hidden="false" customHeight="true" outlineLevel="0" collapsed="false">
      <c r="A44" s="33" t="s">
        <v>19741</v>
      </c>
      <c r="B44" s="25" t="n">
        <f aca="false">SUMIFS(데이터_총괄!$H$3:$H$33,데이터_총괄!$B$3:$B$33,2025,데이터_총괄!$D$3:$D$33,1)</f>
        <v>159533847</v>
      </c>
      <c r="C44" s="36" t="n">
        <f aca="false">B44/B43-1</f>
        <v>-0.0891487066391956</v>
      </c>
      <c r="D44" s="36" t="n">
        <f aca="false">B44/B40-1</f>
        <v>-0.0230898382593472</v>
      </c>
      <c r="E44" s="25" t="n">
        <f aca="false">SUMIFS(데이터_총괄!$K$3:$K$33,데이터_총괄!$B$3:$B$33,2025,데이터_총괄!$D$3:$D$33,1)</f>
        <v>152842065</v>
      </c>
      <c r="F44" s="36" t="n">
        <f aca="false">E44/E43-1</f>
        <v>-0.0442410608340662</v>
      </c>
      <c r="G44" s="36" t="n">
        <f aca="false">E44/E40-1</f>
        <v>-0.0127079576885576</v>
      </c>
      <c r="H44" s="25" t="n">
        <f aca="false">B44-E44</f>
        <v>6691782</v>
      </c>
      <c r="I44" s="25" t="n">
        <f aca="false">H44-H43</f>
        <v>-8539328</v>
      </c>
      <c r="J44" s="25" t="n">
        <f aca="false">H44-H40</f>
        <v>-1803364</v>
      </c>
      <c r="K44" s="24" t="n">
        <f aca="false">SUMIFS(데이터_총괄!$E$3:$E$33,데이터_총괄!$B$3:$B$33,2025,데이터_총괄!$D$3:$D$33,1)</f>
        <v>64</v>
      </c>
      <c r="L44" s="25" t="n">
        <f aca="false">IFERROR(B44/K44,"-")</f>
        <v>2492716.359375</v>
      </c>
      <c r="M44" s="46"/>
    </row>
    <row r="45" customFormat="false" ht="15" hidden="false" customHeight="true" outlineLevel="0" collapsed="false">
      <c r="A45" s="33" t="s">
        <v>19742</v>
      </c>
      <c r="B45" s="25" t="n">
        <f aca="false">SUMIFS(데이터_총괄!$H$3:$H$33,데이터_총괄!$B$3:$B$33,2025,데이터_총괄!$D$3:$D$33,2)</f>
        <v>175130605</v>
      </c>
      <c r="C45" s="36" t="n">
        <f aca="false">B45/B44-1</f>
        <v>0.0977645702983643</v>
      </c>
      <c r="D45" s="36" t="n">
        <f aca="false">B45/B41-1</f>
        <v>0.0211072512241088</v>
      </c>
      <c r="E45" s="25" t="n">
        <f aca="false">SUMIFS(데이터_총괄!$K$3:$K$33,데이터_총괄!$B$3:$B$33,2025,데이터_총괄!$D$3:$D$33,2)</f>
        <v>154403578</v>
      </c>
      <c r="F45" s="36" t="n">
        <f aca="false">E45/E44-1</f>
        <v>0.0102165133662646</v>
      </c>
      <c r="G45" s="36" t="n">
        <f aca="false">E45/E41-1</f>
        <v>-0.0168152095620961</v>
      </c>
      <c r="H45" s="25" t="n">
        <f aca="false">B45-E45</f>
        <v>20727027</v>
      </c>
      <c r="I45" s="25" t="n">
        <f aca="false">H45-H44</f>
        <v>14035245</v>
      </c>
      <c r="J45" s="25" t="n">
        <f aca="false">H45-H41</f>
        <v>6260848</v>
      </c>
      <c r="K45" s="24" t="n">
        <f aca="false">SUMIFS(데이터_총괄!$E$3:$E$33,데이터_총괄!$B$3:$B$33,2025,데이터_총괄!$D$3:$D$33,2)</f>
        <v>66.5</v>
      </c>
      <c r="L45" s="25" t="n">
        <f aca="false">IFERROR(B45/K45,"-")</f>
        <v>2633542.93233083</v>
      </c>
      <c r="M45" s="46"/>
    </row>
    <row r="46" customFormat="false" ht="15" hidden="false" customHeight="true" outlineLevel="0" collapsed="false">
      <c r="A46" s="33" t="s">
        <v>19743</v>
      </c>
      <c r="B46" s="25" t="n">
        <f aca="false">SUMIFS(데이터_총괄!$H$3:$H$33,데이터_총괄!$B$3:$B$33,2025,데이터_총괄!$D$3:$D$33,3)</f>
        <v>184887772</v>
      </c>
      <c r="C46" s="36" t="n">
        <f aca="false">B46/B45-1</f>
        <v>0.0557136600995583</v>
      </c>
      <c r="D46" s="36" t="n">
        <f aca="false">B46/B42-1</f>
        <v>0.0647371133309671</v>
      </c>
      <c r="E46" s="25" t="n">
        <f aca="false">SUMIFS(데이터_총괄!$K$3:$K$33,데이터_총괄!$B$3:$B$33,2025,데이터_총괄!$D$3:$D$33,3)</f>
        <v>162486609</v>
      </c>
      <c r="F46" s="36" t="n">
        <f aca="false">E46/E45-1</f>
        <v>0.0523500239094201</v>
      </c>
      <c r="G46" s="36" t="n">
        <f aca="false">E46/E42-1</f>
        <v>0.0155631345101224</v>
      </c>
      <c r="H46" s="25" t="n">
        <f aca="false">B46-E46</f>
        <v>22401163</v>
      </c>
      <c r="I46" s="25" t="n">
        <f aca="false">H46-H45</f>
        <v>1674136</v>
      </c>
      <c r="J46" s="25" t="n">
        <f aca="false">H46-H42</f>
        <v>8751319</v>
      </c>
      <c r="K46" s="24" t="n">
        <f aca="false">SUMIFS(데이터_총괄!$E$3:$E$33,데이터_총괄!$B$3:$B$33,2025,데이터_총괄!$D$3:$D$33,3)</f>
        <v>71.5</v>
      </c>
      <c r="L46" s="25" t="n">
        <f aca="false">IFERROR(B46/K46,"-")</f>
        <v>2585842.96503497</v>
      </c>
      <c r="M46" s="46"/>
    </row>
    <row r="47" customFormat="false" ht="15" hidden="false" customHeight="true" outlineLevel="0" collapsed="false">
      <c r="A47" s="33" t="s">
        <v>19744</v>
      </c>
      <c r="B47" s="25" t="n">
        <f aca="false">SUMIFS(데이터_총괄!$H$3:$H$33,데이터_총괄!$B$3:$B$33,2025,데이터_총괄!$D$3:$D$33,4)</f>
        <v>189777820</v>
      </c>
      <c r="C47" s="36" t="n">
        <f aca="false">B47/B46-1</f>
        <v>0.0264487366963349</v>
      </c>
      <c r="D47" s="36" t="n">
        <f aca="false">B47/B43-1</f>
        <v>0.0835278910950723</v>
      </c>
      <c r="E47" s="25" t="n">
        <f aca="false">SUMIFS(데이터_총괄!$K$3:$K$33,데이터_총괄!$B$3:$B$33,2025,데이터_총괄!$D$3:$D$33,4)</f>
        <v>162163116</v>
      </c>
      <c r="F47" s="36" t="n">
        <f aca="false">E47/E46-1</f>
        <v>-0.00199089021545151</v>
      </c>
      <c r="G47" s="36" t="n">
        <f aca="false">E47/E43-1</f>
        <v>0.0140457584108293</v>
      </c>
      <c r="H47" s="25" t="n">
        <f aca="false">B47-E47</f>
        <v>27614704</v>
      </c>
      <c r="I47" s="25" t="n">
        <f aca="false">H47-H46</f>
        <v>5213541</v>
      </c>
      <c r="J47" s="25" t="n">
        <f aca="false">H47-H43</f>
        <v>12383594</v>
      </c>
      <c r="K47" s="24" t="n">
        <f aca="false">SUMIFS(데이터_총괄!$E$3:$E$33,데이터_총괄!$B$3:$B$33,2025,데이터_총괄!$D$3:$D$33,4)</f>
        <v>66.5</v>
      </c>
      <c r="L47" s="25" t="n">
        <f aca="false">IFERROR(B47/K47,"-")</f>
        <v>2853801.80451128</v>
      </c>
      <c r="M47" s="46"/>
    </row>
    <row r="48" customFormat="false" ht="15" hidden="false" customHeight="true" outlineLevel="0" collapsed="false">
      <c r="A48" s="47" t="s">
        <v>19745</v>
      </c>
      <c r="B48" s="25" t="n">
        <f aca="false">SUMIFS(데이터_총괄!$H$3:$H$33,데이터_총괄!$B$3:$B$33,2026,데이터_총괄!$D$3:$D$33,1)</f>
        <v>220819612</v>
      </c>
      <c r="C48" s="36" t="n">
        <f aca="false">B48/B47-1</f>
        <v>0.163569125201249</v>
      </c>
      <c r="D48" s="36" t="n">
        <f aca="false">B48/B44-1</f>
        <v>0.384155250766316</v>
      </c>
      <c r="E48" s="25" t="n">
        <f aca="false">SUMIFS(데이터_총괄!$K$3:$K$33,데이터_총괄!$B$3:$B$33,2026,데이터_총괄!$D$3:$D$33,1)</f>
        <v>169830828</v>
      </c>
      <c r="F48" s="36" t="n">
        <f aca="false">E48/E47-1</f>
        <v>0.0472839458758303</v>
      </c>
      <c r="G48" s="36" t="n">
        <f aca="false">E48/E44-1</f>
        <v>0.11115240428085</v>
      </c>
      <c r="H48" s="25" t="n">
        <f aca="false">B48-E48</f>
        <v>50988784</v>
      </c>
      <c r="I48" s="25" t="n">
        <f aca="false">H48-H47</f>
        <v>23374080</v>
      </c>
      <c r="J48" s="25" t="n">
        <f aca="false">H48-H44</f>
        <v>44297002</v>
      </c>
      <c r="K48" s="24" t="n">
        <f aca="false">SUMIFS(데이터_총괄!$E$3:$E$33,데이터_총괄!$B$3:$B$33,2026,데이터_총괄!$D$3:$D$33,1)</f>
        <v>65.5</v>
      </c>
      <c r="L48" s="25" t="n">
        <f aca="false">IFERROR(B48/K48,"-")</f>
        <v>3371291.78625954</v>
      </c>
      <c r="M48" s="46"/>
    </row>
    <row r="49" customFormat="false" ht="15" hidden="false" customHeight="true" outlineLevel="0" collapsed="false">
      <c r="A49" s="47" t="s">
        <v>19746</v>
      </c>
      <c r="B49" s="25" t="n">
        <f aca="false">SUMIFS(데이터_총괄!$H$3:$H$33,데이터_총괄!$B$3:$B$33,2026,데이터_총괄!$D$3:$D$33,2)</f>
        <v>275284125</v>
      </c>
      <c r="C49" s="36" t="n">
        <f aca="false">B49/B48-1</f>
        <v>0.246647082234707</v>
      </c>
      <c r="D49" s="36" t="n">
        <f aca="false">B49/B45-1</f>
        <v>0.571879027083815</v>
      </c>
      <c r="E49" s="25" t="n">
        <f aca="false">SUMIFS(데이터_총괄!$K$3:$K$33,데이터_총괄!$B$3:$B$33,2026,데이터_총괄!$D$3:$D$33,2)</f>
        <v>188904844</v>
      </c>
      <c r="F49" s="36" t="n">
        <f aca="false">E49/E48-1</f>
        <v>0.11231185895178</v>
      </c>
      <c r="G49" s="36" t="n">
        <f aca="false">E49/E45-1</f>
        <v>0.223448617233468</v>
      </c>
      <c r="H49" s="25" t="n">
        <f aca="false">B49-E49</f>
        <v>86379281</v>
      </c>
      <c r="I49" s="25" t="n">
        <f aca="false">H49-H48</f>
        <v>35390497</v>
      </c>
      <c r="J49" s="25" t="n">
        <f aca="false">H49-H45</f>
        <v>65652254</v>
      </c>
      <c r="K49" s="24" t="n">
        <f aca="false">SUMIFS(데이터_총괄!$E$3:$E$33,데이터_총괄!$B$3:$B$33,2026,데이터_총괄!$D$3:$D$33,2)</f>
        <v>67</v>
      </c>
      <c r="L49" s="25" t="n">
        <f aca="false">IFERROR(B49/K49,"-")</f>
        <v>4108718.28358209</v>
      </c>
      <c r="M49" s="46"/>
    </row>
    <row r="50" customFormat="false" ht="15" hidden="false" customHeight="true" outlineLevel="0" collapsed="false">
      <c r="A50" s="47" t="s">
        <v>19747</v>
      </c>
      <c r="B50" s="25" t="n">
        <f aca="false">SUMIFS(데이터_총괄!$H$3:$H$33,데이터_총괄!$B$3:$B$33,2026,데이터_총괄!$D$3:$D$33,3)</f>
        <v>98959099</v>
      </c>
      <c r="E50" s="25" t="n">
        <f aca="false">SUMIFS(데이터_총괄!$K$3:$K$33,데이터_총괄!$B$3:$B$33,2026,데이터_총괄!$D$3:$D$33,3)</f>
        <v>68567473</v>
      </c>
      <c r="H50" s="25" t="n">
        <f aca="false">B50-E50</f>
        <v>30391626</v>
      </c>
      <c r="K50" s="24" t="n">
        <f aca="false">SUMIFS(데이터_총괄!$E$3:$E$33,데이터_총괄!$B$3:$B$33,2026,데이터_총괄!$D$3:$D$33,3)</f>
        <v>24</v>
      </c>
      <c r="L50" s="25" t="n">
        <f aca="false">IFERROR(B50/K50,"-")</f>
        <v>4123295.79166667</v>
      </c>
      <c r="M50" s="46" t="s">
        <v>19748</v>
      </c>
    </row>
    <row r="52" customFormat="false" ht="14.25" hidden="false" customHeight="true" outlineLevel="0" collapsed="false">
      <c r="A52" s="23" t="s">
        <v>19749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</row>
    <row r="53" customFormat="false" ht="15" hidden="false" customHeight="true" outlineLevel="0" collapsed="false">
      <c r="A53" s="5" t="s">
        <v>19674</v>
      </c>
      <c r="B53" s="5" t="s">
        <v>60</v>
      </c>
      <c r="C53" s="44" t="s">
        <v>19728</v>
      </c>
      <c r="D53" s="5" t="s">
        <v>339</v>
      </c>
      <c r="E53" s="44" t="s">
        <v>19728</v>
      </c>
      <c r="F53" s="5" t="s">
        <v>64</v>
      </c>
      <c r="G53" s="44" t="s">
        <v>19735</v>
      </c>
      <c r="H53" s="5" t="s">
        <v>59</v>
      </c>
      <c r="I53" s="44" t="s">
        <v>19728</v>
      </c>
      <c r="J53" s="5" t="s">
        <v>19750</v>
      </c>
      <c r="K53" s="44" t="s">
        <v>19728</v>
      </c>
    </row>
    <row r="54" customFormat="false" ht="15" hidden="false" customHeight="true" outlineLevel="0" collapsed="false">
      <c r="A54" s="48" t="s">
        <v>19716</v>
      </c>
      <c r="B54" s="25" t="n">
        <f aca="false">SUMIFS(데이터_총괄!$H$3:$H$33,데이터_총괄!$B$3:$B$33,2024)</f>
        <v>683609488</v>
      </c>
      <c r="D54" s="25" t="n">
        <f aca="false">SUMIFS(데이터_총괄!$K$3:$K$33,데이터_총괄!$B$3:$B$33,2024)</f>
        <v>631767209</v>
      </c>
      <c r="F54" s="25" t="n">
        <f aca="false">B54-D54</f>
        <v>51842279</v>
      </c>
      <c r="H54" s="24" t="n">
        <f aca="false">SUMIFS(데이터_총괄!$G$3:$G$33,데이터_총괄!$B$3:$B$33,2024)</f>
        <v>197243170.8</v>
      </c>
      <c r="J54" s="37" t="n">
        <f aca="false">B54/H54</f>
        <v>3.46582082019541</v>
      </c>
    </row>
    <row r="55" customFormat="false" ht="15" hidden="false" customHeight="true" outlineLevel="0" collapsed="false">
      <c r="A55" s="48" t="s">
        <v>19717</v>
      </c>
      <c r="B55" s="25" t="n">
        <f aca="false">SUMIFS(데이터_총괄!$H$3:$H$33,데이터_총괄!$B$3:$B$33,2025)</f>
        <v>709330044</v>
      </c>
      <c r="C55" s="36" t="n">
        <f aca="false">B55/B54-1</f>
        <v>0.0376246328517897</v>
      </c>
      <c r="D55" s="25" t="n">
        <f aca="false">SUMIFS(데이터_총괄!$K$3:$K$33,데이터_총괄!$B$3:$B$33,2025)</f>
        <v>631895368</v>
      </c>
      <c r="E55" s="36" t="n">
        <f aca="false">D55/D54-1</f>
        <v>0.000202857948583324</v>
      </c>
      <c r="F55" s="25" t="n">
        <f aca="false">B55-D55</f>
        <v>77434676</v>
      </c>
      <c r="G55" s="25" t="n">
        <f aca="false">F55-F54</f>
        <v>25592397</v>
      </c>
      <c r="H55" s="24" t="n">
        <f aca="false">SUMIFS(데이터_총괄!$G$3:$G$33,데이터_총괄!$B$3:$B$33,2025)</f>
        <v>198539206.7</v>
      </c>
      <c r="I55" s="36" t="n">
        <f aca="false">H55/H54-1</f>
        <v>0.00657075170077315</v>
      </c>
      <c r="J55" s="37" t="n">
        <f aca="false">B55/H55</f>
        <v>3.57274543295533</v>
      </c>
      <c r="K55" s="36" t="n">
        <f aca="false">J55/J54-1</f>
        <v>0.0308511658008599</v>
      </c>
    </row>
    <row r="56" customFormat="false" ht="15" hidden="false" customHeight="true" outlineLevel="0" collapsed="false">
      <c r="A56" s="49" t="s">
        <v>19751</v>
      </c>
      <c r="B56" s="25" t="n">
        <f aca="false">SUMIFS(데이터_총괄!$H$3:$H$33,데이터_총괄!$B$3:$B$33,2026)</f>
        <v>595062836</v>
      </c>
      <c r="D56" s="25" t="n">
        <f aca="false">SUMIFS(데이터_총괄!$K$3:$K$33,데이터_총괄!$B$3:$B$33,2026)</f>
        <v>427303145</v>
      </c>
      <c r="F56" s="25" t="n">
        <f aca="false">B56-D56</f>
        <v>167759691</v>
      </c>
      <c r="H56" s="24" t="n">
        <f aca="false">SUMIFS(데이터_총괄!$G$3:$G$33,데이터_총괄!$B$3:$B$33,2026)</f>
        <v>109873539.7</v>
      </c>
      <c r="J56" s="37" t="n">
        <f aca="false">B56/H56</f>
        <v>5.41588846254309</v>
      </c>
    </row>
    <row r="57" customFormat="false" ht="15" hidden="false" customHeight="true" outlineLevel="0" collapsed="false">
      <c r="A57" s="48" t="s">
        <v>19719</v>
      </c>
      <c r="B57" s="25" t="n">
        <f aca="false">SUMIFS(데이터_총괄!$H$3:$H$33,데이터_총괄!$B$3:$B$33,2024,데이터_총괄!$C$3:$C$33,"&lt;=7")</f>
        <v>392273800</v>
      </c>
      <c r="D57" s="25" t="n">
        <f aca="false">SUMIFS(데이터_총괄!$K$3:$K$33,데이터_총괄!$B$3:$B$33,2024,데이터_총괄!$C$3:$C$33,"&lt;=7")</f>
        <v>365692429</v>
      </c>
      <c r="F57" s="25" t="n">
        <f aca="false">B57-D57</f>
        <v>26581371</v>
      </c>
      <c r="H57" s="24" t="n">
        <f aca="false">SUMIFS(데이터_총괄!$G$3:$G$33,데이터_총괄!$B$3:$B$33,2024,데이터_총괄!$C$3:$C$33,"&lt;=7")</f>
        <v>114214243.6</v>
      </c>
      <c r="J57" s="37" t="n">
        <f aca="false">B57/H57</f>
        <v>3.43454360538268</v>
      </c>
    </row>
    <row r="58" customFormat="false" ht="15" hidden="false" customHeight="true" outlineLevel="0" collapsed="false">
      <c r="A58" s="48" t="s">
        <v>19720</v>
      </c>
      <c r="B58" s="25" t="n">
        <f aca="false">SUMIFS(데이터_총괄!$H$3:$H$33,데이터_총괄!$B$3:$B$33,2025,데이터_총괄!$C$3:$C$33,"&lt;=7")</f>
        <v>395388774</v>
      </c>
      <c r="C58" s="36" t="n">
        <f aca="false">B58/B57-1</f>
        <v>0.00794081582812822</v>
      </c>
      <c r="D58" s="25" t="n">
        <f aca="false">SUMIFS(데이터_총괄!$K$3:$K$33,데이터_총괄!$B$3:$B$33,2025,데이터_총괄!$C$3:$C$33,"&lt;=7")</f>
        <v>361456014</v>
      </c>
      <c r="E58" s="36" t="n">
        <f aca="false">D58/D57-1</f>
        <v>-0.0115846396152762</v>
      </c>
      <c r="F58" s="25" t="n">
        <f aca="false">B58-D58</f>
        <v>33932760</v>
      </c>
      <c r="G58" s="25" t="n">
        <f aca="false">F58-F57</f>
        <v>7351389</v>
      </c>
      <c r="H58" s="24" t="n">
        <f aca="false">SUMIFS(데이터_총괄!$G$3:$G$33,데이터_총괄!$B$3:$B$33,2025,데이터_총괄!$C$3:$C$33,"&lt;=7")</f>
        <v>114743519.5</v>
      </c>
      <c r="I58" s="36" t="n">
        <f aca="false">H58/H57-1</f>
        <v>0.00463406212147777</v>
      </c>
      <c r="J58" s="37" t="n">
        <f aca="false">B58/H58</f>
        <v>3.44584840802273</v>
      </c>
      <c r="K58" s="36" t="n">
        <f aca="false">J58/J57-1</f>
        <v>0.00329150068798922</v>
      </c>
    </row>
    <row r="59" customFormat="false" ht="15" hidden="false" customHeight="true" outlineLevel="0" collapsed="false">
      <c r="A59" s="49" t="s">
        <v>19718</v>
      </c>
      <c r="B59" s="25" t="n">
        <f aca="false">SUMIFS(데이터_총괄!$H$3:$H$33,데이터_총괄!$B$3:$B$33,2026,데이터_총괄!$C$3:$C$33,"&lt;=7")</f>
        <v>595062836</v>
      </c>
      <c r="C59" s="36" t="n">
        <f aca="false">B59/B58-1</f>
        <v>0.505006907454586</v>
      </c>
      <c r="D59" s="25" t="n">
        <f aca="false">SUMIFS(데이터_총괄!$K$3:$K$33,데이터_총괄!$B$3:$B$33,2026,데이터_총괄!$C$3:$C$33,"&lt;=7")</f>
        <v>427303145</v>
      </c>
      <c r="E59" s="36" t="n">
        <f aca="false">D59/D58-1</f>
        <v>0.182171905984666</v>
      </c>
      <c r="F59" s="25" t="n">
        <f aca="false">B59-D59</f>
        <v>167759691</v>
      </c>
      <c r="G59" s="25" t="n">
        <f aca="false">F59-F58</f>
        <v>133826931</v>
      </c>
      <c r="H59" s="24" t="n">
        <f aca="false">SUMIFS(데이터_총괄!$G$3:$G$33,데이터_총괄!$B$3:$B$33,2026,데이터_총괄!$C$3:$C$33,"&lt;=7")</f>
        <v>109873539.7</v>
      </c>
      <c r="I59" s="36" t="n">
        <f aca="false">H59/H58-1</f>
        <v>-0.0424423080381459</v>
      </c>
      <c r="J59" s="37" t="n">
        <f aca="false">B59/H59</f>
        <v>5.41588846254309</v>
      </c>
      <c r="K59" s="36" t="n">
        <f aca="false">J59/J58-1</f>
        <v>0.571714080611803</v>
      </c>
    </row>
  </sheetData>
  <mergeCells count="5">
    <mergeCell ref="A1:N1"/>
    <mergeCell ref="A2:N2"/>
    <mergeCell ref="A4:N4"/>
    <mergeCell ref="A38:N38"/>
    <mergeCell ref="A52:N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5"/>
    <col collapsed="false" customWidth="true" hidden="false" outlineLevel="0" max="6" min="5" style="1" width="11"/>
    <col collapsed="false" customWidth="true" hidden="false" outlineLevel="0" max="7" min="7" style="1" width="13"/>
    <col collapsed="false" customWidth="true" hidden="false" outlineLevel="0" max="9" min="8" style="1" width="11"/>
  </cols>
  <sheetData>
    <row r="1" customFormat="false" ht="21.75" hidden="false" customHeight="true" outlineLevel="0" collapsed="false">
      <c r="A1" s="2" t="s">
        <v>19752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19753</v>
      </c>
      <c r="B2" s="3"/>
      <c r="C2" s="3"/>
      <c r="D2" s="3"/>
      <c r="E2" s="3"/>
      <c r="F2" s="3"/>
      <c r="G2" s="3"/>
      <c r="H2" s="3"/>
      <c r="I2" s="3"/>
    </row>
    <row r="3" customFormat="false" ht="24.75" hidden="false" customHeight="true" outlineLevel="0" collapsed="false">
      <c r="A3" s="43" t="s">
        <v>19754</v>
      </c>
      <c r="B3" s="43"/>
      <c r="C3" s="43"/>
      <c r="D3" s="43"/>
      <c r="E3" s="43"/>
      <c r="F3" s="43"/>
      <c r="G3" s="43"/>
      <c r="H3" s="43"/>
      <c r="I3" s="43"/>
    </row>
    <row r="5" customFormat="false" ht="14.25" hidden="false" customHeight="true" outlineLevel="0" collapsed="false">
      <c r="A5" s="4" t="s">
        <v>19755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A6" s="5" t="s">
        <v>19654</v>
      </c>
      <c r="B6" s="50" t="s">
        <v>19756</v>
      </c>
      <c r="C6" s="51" t="s">
        <v>19757</v>
      </c>
      <c r="D6" s="52" t="s">
        <v>19758</v>
      </c>
      <c r="E6" s="44" t="s">
        <v>19759</v>
      </c>
      <c r="F6" s="44" t="s">
        <v>19760</v>
      </c>
      <c r="G6" s="44" t="s">
        <v>19761</v>
      </c>
      <c r="H6" s="44" t="s">
        <v>19762</v>
      </c>
      <c r="I6" s="44" t="s">
        <v>19763</v>
      </c>
    </row>
    <row r="7" customFormat="false" ht="15" hidden="false" customHeight="true" outlineLevel="0" collapsed="false">
      <c r="A7" s="33" t="s">
        <v>19764</v>
      </c>
      <c r="B7" s="25" t="n">
        <f aca="false">SUMIFS(데이터_총괄!$H$3:$H$33,데이터_총괄!$B$3:$B$33,2024,데이터_총괄!$C$3:$C$33,1)</f>
        <v>54709823</v>
      </c>
      <c r="C7" s="25" t="n">
        <f aca="false">SUMIFS(데이터_총괄!$H$3:$H$33,데이터_총괄!$B$3:$B$33,2025,데이터_총괄!$C$3:$C$33,1)</f>
        <v>49176984</v>
      </c>
      <c r="D7" s="25" t="n">
        <f aca="false">SUMIFS(데이터_총괄!$H$3:$H$33,데이터_총괄!$B$3:$B$33,2026,데이터_총괄!$C$3:$C$33,1)</f>
        <v>65843937</v>
      </c>
      <c r="E7" s="36" t="n">
        <f aca="false">IFERROR(C7/B7-1,"")</f>
        <v>-0.101130632427745</v>
      </c>
      <c r="F7" s="36" t="n">
        <f aca="false">IFERROR(D7/C7-1,"")</f>
        <v>0.338917754695977</v>
      </c>
      <c r="G7" s="36" t="n">
        <f aca="false">IFERROR(D7/B7-1,"")</f>
        <v>0.203512155394836</v>
      </c>
      <c r="H7" s="34" t="n">
        <f aca="false">IFERROR(C7/SUM(C$7:C$18),"")</f>
        <v>0.0693287763798709</v>
      </c>
      <c r="I7" s="34" t="n">
        <f aca="false">IFERROR(D7/SUM(D$7:D$18),"")</f>
        <v>0.110650393566168</v>
      </c>
    </row>
    <row r="8" customFormat="false" ht="15" hidden="false" customHeight="true" outlineLevel="0" collapsed="false">
      <c r="A8" s="33" t="s">
        <v>19765</v>
      </c>
      <c r="B8" s="25" t="n">
        <f aca="false">SUMIFS(데이터_총괄!$H$3:$H$33,데이터_총괄!$B$3:$B$33,2024,데이터_총괄!$C$3:$C$33,2)</f>
        <v>52076390</v>
      </c>
      <c r="C8" s="25" t="n">
        <f aca="false">SUMIFS(데이터_총괄!$H$3:$H$33,데이터_총괄!$B$3:$B$33,2025,데이터_총괄!$C$3:$C$33,2)</f>
        <v>52292301</v>
      </c>
      <c r="D8" s="25" t="n">
        <f aca="false">SUMIFS(데이터_총괄!$H$3:$H$33,데이터_총괄!$B$3:$B$33,2026,데이터_총괄!$C$3:$C$33,2)</f>
        <v>67642547</v>
      </c>
      <c r="E8" s="36" t="n">
        <f aca="false">IFERROR(C8/B8-1,"")</f>
        <v>0.00414604391740681</v>
      </c>
      <c r="F8" s="36" t="n">
        <f aca="false">IFERROR(D8/C8-1,"")</f>
        <v>0.293546960192094</v>
      </c>
      <c r="G8" s="36" t="n">
        <f aca="false">IFERROR(D8/B8-1,"")</f>
        <v>0.298910062698278</v>
      </c>
      <c r="H8" s="34" t="n">
        <f aca="false">IFERROR(C8/SUM(C$7:C$18),"")</f>
        <v>0.073720691013054</v>
      </c>
      <c r="I8" s="34" t="n">
        <f aca="false">IFERROR(D8/SUM(D$7:D$18),"")</f>
        <v>0.113672948313647</v>
      </c>
    </row>
    <row r="9" customFormat="false" ht="15" hidden="false" customHeight="true" outlineLevel="0" collapsed="false">
      <c r="A9" s="33" t="s">
        <v>19766</v>
      </c>
      <c r="B9" s="25" t="n">
        <f aca="false">SUMIFS(데이터_총괄!$H$3:$H$33,데이터_총괄!$B$3:$B$33,2024,데이터_총괄!$C$3:$C$33,3)</f>
        <v>56518309</v>
      </c>
      <c r="C9" s="25" t="n">
        <f aca="false">SUMIFS(데이터_총괄!$H$3:$H$33,데이터_총괄!$B$3:$B$33,2025,데이터_총괄!$C$3:$C$33,3)</f>
        <v>58064562</v>
      </c>
      <c r="D9" s="25" t="n">
        <f aca="false">SUMIFS(데이터_총괄!$H$3:$H$33,데이터_총괄!$B$3:$B$33,2026,데이터_총괄!$C$3:$C$33,3)</f>
        <v>87333128</v>
      </c>
      <c r="E9" s="36" t="n">
        <f aca="false">IFERROR(C9/B9-1,"")</f>
        <v>0.0273584441459493</v>
      </c>
      <c r="F9" s="36" t="n">
        <f aca="false">IFERROR(D9/C9-1,"")</f>
        <v>0.504069349562992</v>
      </c>
      <c r="G9" s="36" t="n">
        <f aca="false">IFERROR(D9/B9-1,"")</f>
        <v>0.545218346854645</v>
      </c>
      <c r="H9" s="34" t="n">
        <f aca="false">IFERROR(C9/SUM(C$7:C$18),"")</f>
        <v>0.0818583147452302</v>
      </c>
      <c r="I9" s="34" t="n">
        <f aca="false">IFERROR(D9/SUM(D$7:D$18),"")</f>
        <v>0.146762867241133</v>
      </c>
    </row>
    <row r="10" customFormat="false" ht="15" hidden="false" customHeight="true" outlineLevel="0" collapsed="false">
      <c r="A10" s="33" t="s">
        <v>19767</v>
      </c>
      <c r="B10" s="25" t="n">
        <f aca="false">SUMIFS(데이터_총괄!$H$3:$H$33,데이터_총괄!$B$3:$B$33,2024,데이터_총괄!$C$3:$C$33,4)</f>
        <v>56148299</v>
      </c>
      <c r="C10" s="25" t="n">
        <f aca="false">SUMIFS(데이터_총괄!$H$3:$H$33,데이터_총괄!$B$3:$B$33,2025,데이터_총괄!$C$3:$C$33,4)</f>
        <v>58035745</v>
      </c>
      <c r="D10" s="25" t="n">
        <f aca="false">SUMIFS(데이터_총괄!$H$3:$H$33,데이터_총괄!$B$3:$B$33,2026,데이터_총괄!$C$3:$C$33,4)</f>
        <v>85751883</v>
      </c>
      <c r="E10" s="36" t="n">
        <f aca="false">IFERROR(C10/B10-1,"")</f>
        <v>0.0336153727470889</v>
      </c>
      <c r="F10" s="36" t="n">
        <f aca="false">IFERROR(D10/C10-1,"")</f>
        <v>0.477570125101349</v>
      </c>
      <c r="G10" s="36" t="n">
        <f aca="false">IFERROR(D10/B10-1,"")</f>
        <v>0.527239195616594</v>
      </c>
      <c r="H10" s="34" t="n">
        <f aca="false">IFERROR(C10/SUM(C$7:C$18),"")</f>
        <v>0.0818176890869154</v>
      </c>
      <c r="I10" s="34" t="n">
        <f aca="false">IFERROR(D10/SUM(D$7:D$18),"")</f>
        <v>0.144105593245282</v>
      </c>
    </row>
    <row r="11" customFormat="false" ht="15" hidden="false" customHeight="true" outlineLevel="0" collapsed="false">
      <c r="A11" s="33" t="s">
        <v>19768</v>
      </c>
      <c r="B11" s="25" t="n">
        <f aca="false">SUMIFS(데이터_총괄!$H$3:$H$33,데이터_총괄!$B$3:$B$33,2024,데이터_총괄!$C$3:$C$33,5)</f>
        <v>58020557</v>
      </c>
      <c r="C11" s="25" t="n">
        <f aca="false">SUMIFS(데이터_총괄!$H$3:$H$33,데이터_총괄!$B$3:$B$33,2025,데이터_총괄!$C$3:$C$33,5)</f>
        <v>57261063</v>
      </c>
      <c r="D11" s="25" t="n">
        <f aca="false">SUMIFS(데이터_총괄!$H$3:$H$33,데이터_총괄!$B$3:$B$33,2026,데이터_총괄!$C$3:$C$33,5)</f>
        <v>87576083</v>
      </c>
      <c r="E11" s="36" t="n">
        <f aca="false">IFERROR(C11/B11-1,"")</f>
        <v>-0.0130900846057028</v>
      </c>
      <c r="F11" s="36" t="n">
        <f aca="false">IFERROR(D11/C11-1,"")</f>
        <v>0.529417695232099</v>
      </c>
      <c r="G11" s="36" t="n">
        <f aca="false">IFERROR(D11/B11-1,"")</f>
        <v>0.509397488204052</v>
      </c>
      <c r="H11" s="34" t="n">
        <f aca="false">IFERROR(C11/SUM(C$7:C$18),"")</f>
        <v>0.0807255571427622</v>
      </c>
      <c r="I11" s="34" t="n">
        <f aca="false">IFERROR(D11/SUM(D$7:D$18),"")</f>
        <v>0.147171151854625</v>
      </c>
    </row>
    <row r="12" customFormat="false" ht="15" hidden="false" customHeight="true" outlineLevel="0" collapsed="false">
      <c r="A12" s="33" t="s">
        <v>19769</v>
      </c>
      <c r="B12" s="25" t="n">
        <f aca="false">SUMIFS(데이터_총괄!$H$3:$H$33,데이터_총괄!$B$3:$B$33,2024,데이터_총괄!$C$3:$C$33,6)</f>
        <v>57341634</v>
      </c>
      <c r="C12" s="25" t="n">
        <f aca="false">SUMIFS(데이터_총괄!$H$3:$H$33,데이터_총괄!$B$3:$B$33,2025,데이터_총괄!$C$3:$C$33,6)</f>
        <v>59833797</v>
      </c>
      <c r="D12" s="25" t="n">
        <f aca="false">SUMIFS(데이터_총괄!$H$3:$H$33,데이터_총괄!$B$3:$B$33,2026,데이터_총괄!$C$3:$C$33,6)</f>
        <v>101956159</v>
      </c>
      <c r="E12" s="36" t="n">
        <f aca="false">IFERROR(C12/B12-1,"")</f>
        <v>0.0434616669626122</v>
      </c>
      <c r="F12" s="36" t="n">
        <f aca="false">IFERROR(D12/C12-1,"")</f>
        <v>0.70398945264998</v>
      </c>
      <c r="G12" s="36" t="n">
        <f aca="false">IFERROR(D12/B12-1,"")</f>
        <v>0.778047674748857</v>
      </c>
      <c r="H12" s="34" t="n">
        <f aca="false">IFERROR(C12/SUM(C$7:C$18),"")</f>
        <v>0.0843525485859725</v>
      </c>
      <c r="I12" s="34" t="n">
        <f aca="false">IFERROR(D12/SUM(D$7:D$18),"")</f>
        <v>0.17133679475826</v>
      </c>
    </row>
    <row r="13" customFormat="false" ht="15" hidden="false" customHeight="true" outlineLevel="0" collapsed="false">
      <c r="A13" s="33" t="s">
        <v>19770</v>
      </c>
      <c r="B13" s="25" t="n">
        <f aca="false">SUMIFS(데이터_총괄!$H$3:$H$33,데이터_총괄!$B$3:$B$33,2024,데이터_총괄!$C$3:$C$33,7)</f>
        <v>57458788</v>
      </c>
      <c r="C13" s="25" t="n">
        <f aca="false">SUMIFS(데이터_총괄!$H$3:$H$33,데이터_총괄!$B$3:$B$33,2025,데이터_총괄!$C$3:$C$33,7)</f>
        <v>60724322</v>
      </c>
      <c r="D13" s="25" t="n">
        <f aca="false">SUMIFS(데이터_총괄!$H$3:$H$33,데이터_총괄!$B$3:$B$33,2026,데이터_총괄!$C$3:$C$33,7)</f>
        <v>98959099</v>
      </c>
      <c r="E13" s="36" t="n">
        <f aca="false">IFERROR(C13/B13-1,"")</f>
        <v>0.0568326293273016</v>
      </c>
      <c r="F13" s="36" t="n">
        <f aca="false">IFERROR(D13/C13-1,"")</f>
        <v>0.629645185663827</v>
      </c>
      <c r="G13" s="36" t="n">
        <f aca="false">IFERROR(D13/B13-1,"")</f>
        <v>0.722262206435681</v>
      </c>
      <c r="H13" s="34" t="n">
        <f aca="false">IFERROR(C13/SUM(C$7:C$18),"")</f>
        <v>0.0856079937874449</v>
      </c>
      <c r="I13" s="34" t="n">
        <f aca="false">IFERROR(D13/SUM(D$7:D$18),"")</f>
        <v>0.166300251020885</v>
      </c>
    </row>
    <row r="14" customFormat="false" ht="15" hidden="false" customHeight="true" outlineLevel="0" collapsed="false">
      <c r="A14" s="33" t="s">
        <v>19771</v>
      </c>
      <c r="B14" s="25" t="n">
        <f aca="false">SUMIFS(데이터_총괄!$H$3:$H$33,데이터_총괄!$B$3:$B$33,2024,데이터_총괄!$C$3:$C$33,8)</f>
        <v>57642924</v>
      </c>
      <c r="C14" s="25" t="n">
        <f aca="false">SUMIFS(데이터_총괄!$H$3:$H$33,데이터_총괄!$B$3:$B$33,2025,데이터_총괄!$C$3:$C$33,8)</f>
        <v>58259332</v>
      </c>
      <c r="D14" s="25"/>
      <c r="E14" s="36" t="n">
        <f aca="false">IFERROR(C14/B14-1,"")</f>
        <v>0.0106935588486108</v>
      </c>
      <c r="F14" s="36" t="n">
        <f aca="false">IFERROR(D14/C14-1,"")</f>
        <v>-1</v>
      </c>
      <c r="G14" s="36" t="n">
        <f aca="false">IFERROR(D14/B14-1,"")</f>
        <v>-1</v>
      </c>
      <c r="H14" s="34" t="n">
        <f aca="false">IFERROR(C14/SUM(C$7:C$18),"")</f>
        <v>0.0821328977854489</v>
      </c>
      <c r="I14" s="34" t="n">
        <f aca="false">IFERROR(D14/SUM(D$7:D$18),"")</f>
        <v>0</v>
      </c>
    </row>
    <row r="15" customFormat="false" ht="15" hidden="false" customHeight="true" outlineLevel="0" collapsed="false">
      <c r="A15" s="33" t="s">
        <v>19772</v>
      </c>
      <c r="B15" s="25" t="n">
        <f aca="false">SUMIFS(데이터_총괄!$H$3:$H$33,데이터_총괄!$B$3:$B$33,2024,데이터_총괄!$C$3:$C$33,9)</f>
        <v>58544693</v>
      </c>
      <c r="C15" s="25" t="n">
        <f aca="false">SUMIFS(데이터_총괄!$H$3:$H$33,데이터_총괄!$B$3:$B$33,2025,데이터_총괄!$C$3:$C$33,9)</f>
        <v>65904118</v>
      </c>
      <c r="D15" s="25"/>
      <c r="E15" s="36" t="n">
        <f aca="false">IFERROR(C15/B15-1,"")</f>
        <v>0.125706099440986</v>
      </c>
      <c r="F15" s="36" t="n">
        <f aca="false">IFERROR(D15/C15-1,"")</f>
        <v>-1</v>
      </c>
      <c r="G15" s="36" t="n">
        <f aca="false">IFERROR(D15/B15-1,"")</f>
        <v>-1</v>
      </c>
      <c r="H15" s="34" t="n">
        <f aca="false">IFERROR(C15/SUM(C$7:C$18),"")</f>
        <v>0.0929103716351256</v>
      </c>
      <c r="I15" s="34" t="n">
        <f aca="false">IFERROR(D15/SUM(D$7:D$18),"")</f>
        <v>0</v>
      </c>
    </row>
    <row r="16" customFormat="false" ht="15" hidden="false" customHeight="true" outlineLevel="0" collapsed="false">
      <c r="A16" s="33" t="s">
        <v>19773</v>
      </c>
      <c r="B16" s="25" t="n">
        <f aca="false">SUMIFS(데이터_총괄!$H$3:$H$33,데이터_총괄!$B$3:$B$33,2024,데이터_총괄!$C$3:$C$33,10)</f>
        <v>57500192</v>
      </c>
      <c r="C16" s="25" t="n">
        <f aca="false">SUMIFS(데이터_총괄!$H$3:$H$33,데이터_총괄!$B$3:$B$33,2025,데이터_총괄!$C$3:$C$33,10)</f>
        <v>59511578</v>
      </c>
      <c r="D16" s="25"/>
      <c r="E16" s="36" t="n">
        <f aca="false">IFERROR(C16/B16-1,"")</f>
        <v>0.0349805092824733</v>
      </c>
      <c r="F16" s="36" t="n">
        <f aca="false">IFERROR(D16/C16-1,"")</f>
        <v>-1</v>
      </c>
      <c r="G16" s="36" t="n">
        <f aca="false">IFERROR(D16/B16-1,"")</f>
        <v>-1</v>
      </c>
      <c r="H16" s="34" t="n">
        <f aca="false">IFERROR(C16/SUM(C$7:C$18),"")</f>
        <v>0.0838982903704555</v>
      </c>
      <c r="I16" s="34" t="n">
        <f aca="false">IFERROR(D16/SUM(D$7:D$18),"")</f>
        <v>0</v>
      </c>
    </row>
    <row r="17" customFormat="false" ht="15" hidden="false" customHeight="true" outlineLevel="0" collapsed="false">
      <c r="A17" s="33" t="s">
        <v>19774</v>
      </c>
      <c r="B17" s="25" t="n">
        <f aca="false">SUMIFS(데이터_총괄!$H$3:$H$33,데이터_총괄!$B$3:$B$33,2024,데이터_총괄!$C$3:$C$33,11)</f>
        <v>56288629</v>
      </c>
      <c r="C17" s="25" t="n">
        <f aca="false">SUMIFS(데이터_총괄!$H$3:$H$33,데이터_총괄!$B$3:$B$33,2025,데이터_총괄!$C$3:$C$33,11)</f>
        <v>60752618</v>
      </c>
      <c r="D17" s="25"/>
      <c r="E17" s="36" t="n">
        <f aca="false">IFERROR(C17/B17-1,"")</f>
        <v>0.0793053424697909</v>
      </c>
      <c r="F17" s="36" t="n">
        <f aca="false">IFERROR(D17/C17-1,"")</f>
        <v>-1</v>
      </c>
      <c r="G17" s="36" t="n">
        <f aca="false">IFERROR(D17/B17-1,"")</f>
        <v>-1</v>
      </c>
      <c r="H17" s="34" t="n">
        <f aca="false">IFERROR(C17/SUM(C$7:C$18),"")</f>
        <v>0.0856478849498725</v>
      </c>
      <c r="I17" s="34" t="n">
        <f aca="false">IFERROR(D17/SUM(D$7:D$18),"")</f>
        <v>0</v>
      </c>
    </row>
    <row r="18" customFormat="false" ht="15" hidden="false" customHeight="true" outlineLevel="0" collapsed="false">
      <c r="A18" s="33" t="s">
        <v>19775</v>
      </c>
      <c r="B18" s="25" t="n">
        <f aca="false">SUMIFS(데이터_총괄!$H$3:$H$33,데이터_총괄!$B$3:$B$33,2024,데이터_총괄!$C$3:$C$33,12)</f>
        <v>61359250</v>
      </c>
      <c r="C18" s="25" t="n">
        <f aca="false">SUMIFS(데이터_총괄!$H$3:$H$33,데이터_총괄!$B$3:$B$33,2025,데이터_총괄!$C$3:$C$33,12)</f>
        <v>69513624</v>
      </c>
      <c r="D18" s="25"/>
      <c r="E18" s="36" t="n">
        <f aca="false">IFERROR(C18/B18-1,"")</f>
        <v>0.132895594388784</v>
      </c>
      <c r="F18" s="36" t="n">
        <f aca="false">IFERROR(D18/C18-1,"")</f>
        <v>-1</v>
      </c>
      <c r="G18" s="36" t="n">
        <f aca="false">IFERROR(D18/B18-1,"")</f>
        <v>-1</v>
      </c>
      <c r="H18" s="34" t="n">
        <f aca="false">IFERROR(C18/SUM(C$7:C$18),"")</f>
        <v>0.0979989845178474</v>
      </c>
      <c r="I18" s="34" t="n">
        <f aca="false">IFERROR(D18/SUM(D$7:D$18),"")</f>
        <v>0</v>
      </c>
    </row>
    <row r="19" customFormat="false" ht="15" hidden="false" customHeight="true" outlineLevel="0" collapsed="false">
      <c r="A19" s="6" t="s">
        <v>19776</v>
      </c>
      <c r="B19" s="30" t="n">
        <f aca="false">SUM(B7:B18)</f>
        <v>683609488</v>
      </c>
      <c r="C19" s="30" t="n">
        <f aca="false">SUM(C7:C18)</f>
        <v>709330044</v>
      </c>
      <c r="D19" s="30" t="n">
        <f aca="false">SUM(D7:D18)</f>
        <v>595062836</v>
      </c>
      <c r="E19" s="41" t="n">
        <f aca="false">IFERROR(C19/B19-1,"")</f>
        <v>0.0376246328517897</v>
      </c>
      <c r="F19" s="36"/>
    </row>
    <row r="20" customFormat="false" ht="15" hidden="false" customHeight="true" outlineLevel="0" collapsed="false">
      <c r="A20" s="48" t="s">
        <v>19777</v>
      </c>
      <c r="B20" s="30" t="n">
        <f aca="false">SUM(B7:B13)</f>
        <v>392273800</v>
      </c>
      <c r="C20" s="30" t="n">
        <f aca="false">SUM(C7:C13)</f>
        <v>395388774</v>
      </c>
      <c r="D20" s="30" t="n">
        <f aca="false">SUM(D7:D13)</f>
        <v>595062836</v>
      </c>
      <c r="E20" s="41" t="n">
        <f aca="false">IFERROR(C20/B20-1,"")</f>
        <v>0.00794081582812822</v>
      </c>
      <c r="F20" s="41" t="n">
        <f aca="false">IFERROR(D20/C20-1,"")</f>
        <v>0.505006907454586</v>
      </c>
      <c r="G20" s="41" t="n">
        <f aca="false">IFERROR(D20/B20-1,"")</f>
        <v>0.516957890126743</v>
      </c>
    </row>
    <row r="22" customFormat="false" ht="14.25" hidden="false" customHeight="true" outlineLevel="0" collapsed="false">
      <c r="A22" s="4" t="s">
        <v>19778</v>
      </c>
      <c r="B22" s="4"/>
      <c r="C22" s="4"/>
      <c r="D22" s="4"/>
      <c r="E22" s="4"/>
      <c r="F22" s="4"/>
      <c r="G22" s="4"/>
      <c r="H22" s="4"/>
      <c r="I22" s="4"/>
    </row>
    <row r="23" customFormat="false" ht="15" hidden="false" customHeight="true" outlineLevel="0" collapsed="false">
      <c r="A23" s="5" t="s">
        <v>19654</v>
      </c>
      <c r="B23" s="50" t="s">
        <v>19756</v>
      </c>
      <c r="C23" s="51" t="s">
        <v>19757</v>
      </c>
      <c r="D23" s="52" t="s">
        <v>19758</v>
      </c>
      <c r="E23" s="44" t="s">
        <v>19759</v>
      </c>
      <c r="F23" s="44" t="s">
        <v>19760</v>
      </c>
      <c r="G23" s="44" t="s">
        <v>19761</v>
      </c>
      <c r="H23" s="44" t="s">
        <v>19762</v>
      </c>
      <c r="I23" s="44" t="s">
        <v>19763</v>
      </c>
    </row>
    <row r="24" customFormat="false" ht="15" hidden="false" customHeight="true" outlineLevel="0" collapsed="false">
      <c r="A24" s="33" t="s">
        <v>19764</v>
      </c>
      <c r="B24" s="25" t="n">
        <f aca="false">SUMIFS(데이터_총괄!$K$3:$K$33,데이터_총괄!$B$3:$B$33,2024,데이터_총괄!$C$3:$C$33,1)</f>
        <v>54474611</v>
      </c>
      <c r="C24" s="25" t="n">
        <f aca="false">SUMIFS(데이터_총괄!$K$3:$K$33,데이터_총괄!$B$3:$B$33,2025,데이터_총괄!$C$3:$C$33,1)</f>
        <v>51172292</v>
      </c>
      <c r="D24" s="25" t="n">
        <f aca="false">SUMIFS(데이터_총괄!$K$3:$K$33,데이터_총괄!$B$3:$B$33,2026,데이터_총괄!$C$3:$C$33,1)</f>
        <v>57143469</v>
      </c>
      <c r="E24" s="36" t="n">
        <f aca="false">IFERROR(C24/B24-1,"")</f>
        <v>-0.0606212497781765</v>
      </c>
      <c r="F24" s="36" t="n">
        <f aca="false">IFERROR(D24/C24-1,"")</f>
        <v>0.116687698882043</v>
      </c>
      <c r="G24" s="36" t="n">
        <f aca="false">IFERROR(D24/B24-1,"")</f>
        <v>0.0489926949638979</v>
      </c>
      <c r="H24" s="34" t="n">
        <f aca="false">IFERROR(C24/SUM(C$24:C$35),"")</f>
        <v>0.0809822236266179</v>
      </c>
      <c r="I24" s="34" t="n">
        <f aca="false">IFERROR(D24/SUM(D$24:D$35),"")</f>
        <v>0.133730513497625</v>
      </c>
    </row>
    <row r="25" customFormat="false" ht="15" hidden="false" customHeight="true" outlineLevel="0" collapsed="false">
      <c r="A25" s="33" t="s">
        <v>19765</v>
      </c>
      <c r="B25" s="25" t="n">
        <f aca="false">SUMIFS(데이터_총괄!$K$3:$K$33,데이터_총괄!$B$3:$B$33,2024,데이터_총괄!$C$3:$C$33,2)</f>
        <v>48221860</v>
      </c>
      <c r="C25" s="25" t="n">
        <f aca="false">SUMIFS(데이터_총괄!$K$3:$K$33,데이터_총괄!$B$3:$B$33,2025,데이터_총괄!$C$3:$C$33,2)</f>
        <v>48328741</v>
      </c>
      <c r="D25" s="25" t="n">
        <f aca="false">SUMIFS(데이터_총괄!$K$3:$K$33,데이터_총괄!$B$3:$B$33,2026,데이터_총괄!$C$3:$C$33,2)</f>
        <v>51933913</v>
      </c>
      <c r="E25" s="36" t="n">
        <f aca="false">IFERROR(C25/B25-1,"")</f>
        <v>0.00221644291613798</v>
      </c>
      <c r="F25" s="36" t="n">
        <f aca="false">IFERROR(D25/C25-1,"")</f>
        <v>0.0745968532472219</v>
      </c>
      <c r="G25" s="36" t="n">
        <f aca="false">IFERROR(D25/B25-1,"")</f>
        <v>0.076978635830306</v>
      </c>
      <c r="H25" s="34" t="n">
        <f aca="false">IFERROR(C25/SUM(C$24:C$35),"")</f>
        <v>0.0764821890576036</v>
      </c>
      <c r="I25" s="34" t="n">
        <f aca="false">IFERROR(D25/SUM(D$24:D$35),"")</f>
        <v>0.121538803558303</v>
      </c>
    </row>
    <row r="26" customFormat="false" ht="15" hidden="false" customHeight="true" outlineLevel="0" collapsed="false">
      <c r="A26" s="33" t="s">
        <v>19766</v>
      </c>
      <c r="B26" s="25" t="n">
        <f aca="false">SUMIFS(데이터_총괄!$K$3:$K$33,데이터_총괄!$B$3:$B$33,2024,데이터_총괄!$C$3:$C$33,3)</f>
        <v>52112905</v>
      </c>
      <c r="C26" s="25" t="n">
        <f aca="false">SUMIFS(데이터_총괄!$K$3:$K$33,데이터_총괄!$B$3:$B$33,2025,데이터_총괄!$C$3:$C$33,3)</f>
        <v>53341032</v>
      </c>
      <c r="D26" s="25" t="n">
        <f aca="false">SUMIFS(데이터_총괄!$K$3:$K$33,데이터_총괄!$B$3:$B$33,2026,데이터_총괄!$C$3:$C$33,3)</f>
        <v>60753446</v>
      </c>
      <c r="E26" s="36" t="n">
        <f aca="false">IFERROR(C26/B26-1,"")</f>
        <v>0.0235666578172911</v>
      </c>
      <c r="F26" s="36" t="n">
        <f aca="false">IFERROR(D26/C26-1,"")</f>
        <v>0.138962703233788</v>
      </c>
      <c r="G26" s="36" t="n">
        <f aca="false">IFERROR(D26/B26-1,"")</f>
        <v>0.165804247527556</v>
      </c>
      <c r="H26" s="34" t="n">
        <f aca="false">IFERROR(C26/SUM(C$24:C$35),"")</f>
        <v>0.0844143424706984</v>
      </c>
      <c r="I26" s="34" t="n">
        <f aca="false">IFERROR(D26/SUM(D$24:D$35),"")</f>
        <v>0.142178794401338</v>
      </c>
    </row>
    <row r="27" customFormat="false" ht="15" hidden="false" customHeight="true" outlineLevel="0" collapsed="false">
      <c r="A27" s="33" t="s">
        <v>19767</v>
      </c>
      <c r="B27" s="25" t="n">
        <f aca="false">SUMIFS(데이터_총괄!$K$3:$K$33,데이터_총괄!$B$3:$B$33,2024,데이터_총괄!$C$3:$C$33,4)</f>
        <v>54821181</v>
      </c>
      <c r="C27" s="25" t="n">
        <f aca="false">SUMIFS(데이터_총괄!$K$3:$K$33,데이터_총괄!$B$3:$B$33,2025,데이터_총괄!$C$3:$C$33,4)</f>
        <v>53232716</v>
      </c>
      <c r="D27" s="25" t="n">
        <f aca="false">SUMIFS(데이터_총괄!$K$3:$K$33,데이터_총괄!$B$3:$B$33,2026,데이터_총괄!$C$3:$C$33,4)</f>
        <v>62104908</v>
      </c>
      <c r="E27" s="36" t="n">
        <f aca="false">IFERROR(C27/B27-1,"")</f>
        <v>-0.0289753881807107</v>
      </c>
      <c r="F27" s="36" t="n">
        <f aca="false">IFERROR(D27/C27-1,"")</f>
        <v>0.166668031741984</v>
      </c>
      <c r="G27" s="36" t="n">
        <f aca="false">IFERROR(D27/B27-1,"")</f>
        <v>0.132863372644234</v>
      </c>
      <c r="H27" s="34" t="n">
        <f aca="false">IFERROR(C27/SUM(C$24:C$35),"")</f>
        <v>0.0842429280158927</v>
      </c>
      <c r="I27" s="34" t="n">
        <f aca="false">IFERROR(D27/SUM(D$24:D$35),"")</f>
        <v>0.145341565412536</v>
      </c>
    </row>
    <row r="28" customFormat="false" ht="15" hidden="false" customHeight="true" outlineLevel="0" collapsed="false">
      <c r="A28" s="33" t="s">
        <v>19768</v>
      </c>
      <c r="B28" s="25" t="n">
        <f aca="false">SUMIFS(데이터_총괄!$K$3:$K$33,데이터_총괄!$B$3:$B$33,2024,데이터_총괄!$C$3:$C$33,5)</f>
        <v>53132937</v>
      </c>
      <c r="C28" s="25" t="n">
        <f aca="false">SUMIFS(데이터_총괄!$K$3:$K$33,데이터_총괄!$B$3:$B$33,2025,데이터_총괄!$C$3:$C$33,5)</f>
        <v>50345116</v>
      </c>
      <c r="D28" s="25" t="n">
        <f aca="false">SUMIFS(데이터_총괄!$K$3:$K$33,데이터_총괄!$B$3:$B$33,2026,데이터_총괄!$C$3:$C$33,5)</f>
        <v>60748350</v>
      </c>
      <c r="E28" s="36" t="n">
        <f aca="false">IFERROR(C28/B28-1,"")</f>
        <v>-0.0524687916273102</v>
      </c>
      <c r="F28" s="36" t="n">
        <f aca="false">IFERROR(D28/C28-1,"")</f>
        <v>0.206638395668807</v>
      </c>
      <c r="G28" s="36" t="n">
        <f aca="false">IFERROR(D28/B28-1,"")</f>
        <v>0.143327537116949</v>
      </c>
      <c r="H28" s="34" t="n">
        <f aca="false">IFERROR(C28/SUM(C$24:C$35),"")</f>
        <v>0.0796731841212041</v>
      </c>
      <c r="I28" s="34" t="n">
        <f aca="false">IFERROR(D28/SUM(D$24:D$35),"")</f>
        <v>0.142166868441841</v>
      </c>
    </row>
    <row r="29" customFormat="false" ht="15" hidden="false" customHeight="true" outlineLevel="0" collapsed="false">
      <c r="A29" s="33" t="s">
        <v>19769</v>
      </c>
      <c r="B29" s="25" t="n">
        <f aca="false">SUMIFS(데이터_총괄!$K$3:$K$33,데이터_총괄!$B$3:$B$33,2024,데이터_총괄!$C$3:$C$33,6)</f>
        <v>49090193</v>
      </c>
      <c r="C29" s="25" t="n">
        <f aca="false">SUMIFS(데이터_총괄!$K$3:$K$33,데이터_총괄!$B$3:$B$33,2025,데이터_총괄!$C$3:$C$33,6)</f>
        <v>50825746</v>
      </c>
      <c r="D29" s="25" t="n">
        <f aca="false">SUMIFS(데이터_총괄!$K$3:$K$33,데이터_총괄!$B$3:$B$33,2026,데이터_총괄!$C$3:$C$33,6)</f>
        <v>66051586</v>
      </c>
      <c r="E29" s="36" t="n">
        <f aca="false">IFERROR(C29/B29-1,"")</f>
        <v>0.0353543731229575</v>
      </c>
      <c r="F29" s="36" t="n">
        <f aca="false">IFERROR(D29/C29-1,"")</f>
        <v>0.299569434750648</v>
      </c>
      <c r="G29" s="36" t="n">
        <f aca="false">IFERROR(D29/B29-1,"")</f>
        <v>0.345514897446013</v>
      </c>
      <c r="H29" s="34" t="n">
        <f aca="false">IFERROR(C29/SUM(C$24:C$35),"")</f>
        <v>0.0804338005528789</v>
      </c>
      <c r="I29" s="34" t="n">
        <f aca="false">IFERROR(D29/SUM(D$24:D$35),"")</f>
        <v>0.154577813837527</v>
      </c>
    </row>
    <row r="30" customFormat="false" ht="15" hidden="false" customHeight="true" outlineLevel="0" collapsed="false">
      <c r="A30" s="33" t="s">
        <v>19770</v>
      </c>
      <c r="B30" s="25" t="n">
        <f aca="false">SUMIFS(데이터_총괄!$K$3:$K$33,데이터_총괄!$B$3:$B$33,2024,데이터_총괄!$C$3:$C$33,7)</f>
        <v>53838742</v>
      </c>
      <c r="C30" s="25" t="n">
        <f aca="false">SUMIFS(데이터_총괄!$K$3:$K$33,데이터_총괄!$B$3:$B$33,2025,데이터_총괄!$C$3:$C$33,7)</f>
        <v>54210371</v>
      </c>
      <c r="D30" s="25" t="n">
        <f aca="false">SUMIFS(데이터_총괄!$K$3:$K$33,데이터_총괄!$B$3:$B$33,2026,데이터_총괄!$C$3:$C$33,7)</f>
        <v>68567473</v>
      </c>
      <c r="E30" s="36" t="n">
        <f aca="false">IFERROR(C30/B30-1,"")</f>
        <v>0.00690263156594551</v>
      </c>
      <c r="F30" s="36" t="n">
        <f aca="false">IFERROR(D30/C30-1,"")</f>
        <v>0.26484050441197</v>
      </c>
      <c r="G30" s="36" t="n">
        <f aca="false">IFERROR(D30/B30-1,"")</f>
        <v>0.27357123240361</v>
      </c>
      <c r="H30" s="34" t="n">
        <f aca="false">IFERROR(C30/SUM(C$24:C$35),"")</f>
        <v>0.0857901066304382</v>
      </c>
      <c r="I30" s="34" t="n">
        <f aca="false">IFERROR(D30/SUM(D$24:D$35),"")</f>
        <v>0.16046564085083</v>
      </c>
    </row>
    <row r="31" customFormat="false" ht="15" hidden="false" customHeight="true" outlineLevel="0" collapsed="false">
      <c r="A31" s="33" t="s">
        <v>19771</v>
      </c>
      <c r="B31" s="25" t="n">
        <f aca="false">SUMIFS(데이터_총괄!$K$3:$K$33,데이터_총괄!$B$3:$B$33,2024,데이터_총괄!$C$3:$C$33,8)</f>
        <v>54054894</v>
      </c>
      <c r="C31" s="25" t="n">
        <f aca="false">SUMIFS(데이터_총괄!$K$3:$K$33,데이터_총괄!$B$3:$B$33,2025,데이터_총괄!$C$3:$C$33,8)</f>
        <v>51856624</v>
      </c>
      <c r="D31" s="25"/>
      <c r="E31" s="36" t="n">
        <f aca="false">IFERROR(C31/B31-1,"")</f>
        <v>-0.0406673630698453</v>
      </c>
      <c r="F31" s="36" t="n">
        <f aca="false">IFERROR(D31/C31-1,"")</f>
        <v>-1</v>
      </c>
      <c r="G31" s="36" t="n">
        <f aca="false">IFERROR(D31/B31-1,"")</f>
        <v>-1</v>
      </c>
      <c r="H31" s="34" t="n">
        <f aca="false">IFERROR(C31/SUM(C$24:C$35),"")</f>
        <v>0.082065206719477</v>
      </c>
      <c r="I31" s="34" t="n">
        <f aca="false">IFERROR(D31/SUM(D$24:D$35),"")</f>
        <v>0</v>
      </c>
    </row>
    <row r="32" customFormat="false" ht="15" hidden="false" customHeight="true" outlineLevel="0" collapsed="false">
      <c r="A32" s="33" t="s">
        <v>19772</v>
      </c>
      <c r="B32" s="25" t="n">
        <f aca="false">SUMIFS(데이터_총괄!$K$3:$K$33,데이터_총괄!$B$3:$B$33,2024,데이터_총괄!$C$3:$C$33,9)</f>
        <v>52102925</v>
      </c>
      <c r="C32" s="25" t="n">
        <f aca="false">SUMIFS(데이터_총괄!$K$3:$K$33,데이터_총괄!$B$3:$B$33,2025,데이터_총괄!$C$3:$C$33,9)</f>
        <v>56419614</v>
      </c>
      <c r="D32" s="25"/>
      <c r="E32" s="36" t="n">
        <f aca="false">IFERROR(C32/B32-1,"")</f>
        <v>0.0828492642207708</v>
      </c>
      <c r="F32" s="36" t="n">
        <f aca="false">IFERROR(D32/C32-1,"")</f>
        <v>-1</v>
      </c>
      <c r="G32" s="36" t="n">
        <f aca="false">IFERROR(D32/B32-1,"")</f>
        <v>-1</v>
      </c>
      <c r="H32" s="34" t="n">
        <f aca="false">IFERROR(C32/SUM(C$24:C$35),"")</f>
        <v>0.0892863231116453</v>
      </c>
      <c r="I32" s="34" t="n">
        <f aca="false">IFERROR(D32/SUM(D$24:D$35),"")</f>
        <v>0</v>
      </c>
    </row>
    <row r="33" customFormat="false" ht="15" hidden="false" customHeight="true" outlineLevel="0" collapsed="false">
      <c r="A33" s="33" t="s">
        <v>19773</v>
      </c>
      <c r="B33" s="25" t="n">
        <f aca="false">SUMIFS(데이터_총괄!$K$3:$K$33,데이터_총괄!$B$3:$B$33,2024,데이터_총괄!$C$3:$C$33,10)</f>
        <v>54331589</v>
      </c>
      <c r="C33" s="25" t="n">
        <f aca="false">SUMIFS(데이터_총괄!$K$3:$K$33,데이터_총괄!$B$3:$B$33,2025,데이터_총괄!$C$3:$C$33,10)</f>
        <v>53510827</v>
      </c>
      <c r="D33" s="25"/>
      <c r="E33" s="36" t="n">
        <f aca="false">IFERROR(C33/B33-1,"")</f>
        <v>-0.0151065340643728</v>
      </c>
      <c r="F33" s="36" t="n">
        <f aca="false">IFERROR(D33/C33-1,"")</f>
        <v>-1</v>
      </c>
      <c r="G33" s="36" t="n">
        <f aca="false">IFERROR(D33/B33-1,"")</f>
        <v>-1</v>
      </c>
      <c r="H33" s="34" t="n">
        <f aca="false">IFERROR(C33/SUM(C$24:C$35),"")</f>
        <v>0.0846830499317729</v>
      </c>
      <c r="I33" s="34" t="n">
        <f aca="false">IFERROR(D33/SUM(D$24:D$35),"")</f>
        <v>0</v>
      </c>
    </row>
    <row r="34" customFormat="false" ht="15" hidden="false" customHeight="true" outlineLevel="0" collapsed="false">
      <c r="A34" s="33" t="s">
        <v>19774</v>
      </c>
      <c r="B34" s="25" t="n">
        <f aca="false">SUMIFS(데이터_총괄!$K$3:$K$33,데이터_총괄!$B$3:$B$33,2024,데이터_총괄!$C$3:$C$33,11)</f>
        <v>50718992</v>
      </c>
      <c r="C34" s="25" t="n">
        <f aca="false">SUMIFS(데이터_총괄!$K$3:$K$33,데이터_총괄!$B$3:$B$33,2025,데이터_총괄!$C$3:$C$33,11)</f>
        <v>51284605</v>
      </c>
      <c r="D34" s="25"/>
      <c r="E34" s="36" t="n">
        <f aca="false">IFERROR(C34/B34-1,"")</f>
        <v>0.0111518974982783</v>
      </c>
      <c r="F34" s="36" t="n">
        <f aca="false">IFERROR(D34/C34-1,"")</f>
        <v>-1</v>
      </c>
      <c r="G34" s="36" t="n">
        <f aca="false">IFERROR(D34/B34-1,"")</f>
        <v>-1</v>
      </c>
      <c r="H34" s="34" t="n">
        <f aca="false">IFERROR(C34/SUM(C$24:C$35),"")</f>
        <v>0.0811599634957286</v>
      </c>
      <c r="I34" s="34" t="n">
        <f aca="false">IFERROR(D34/SUM(D$24:D$35),"")</f>
        <v>0</v>
      </c>
    </row>
    <row r="35" customFormat="false" ht="15" hidden="false" customHeight="true" outlineLevel="0" collapsed="false">
      <c r="A35" s="33" t="s">
        <v>19775</v>
      </c>
      <c r="B35" s="25" t="n">
        <f aca="false">SUMIFS(데이터_총괄!$K$3:$K$33,데이터_총괄!$B$3:$B$33,2024,데이터_총괄!$C$3:$C$33,12)</f>
        <v>54866380</v>
      </c>
      <c r="C35" s="25" t="n">
        <f aca="false">SUMIFS(데이터_총괄!$K$3:$K$33,데이터_총괄!$B$3:$B$33,2025,데이터_총괄!$C$3:$C$33,12)</f>
        <v>57367684</v>
      </c>
      <c r="D35" s="25"/>
      <c r="E35" s="36" t="n">
        <f aca="false">IFERROR(C35/B35-1,"")</f>
        <v>0.0455890109753916</v>
      </c>
      <c r="F35" s="36" t="n">
        <f aca="false">IFERROR(D35/C35-1,"")</f>
        <v>-1</v>
      </c>
      <c r="G35" s="36" t="n">
        <f aca="false">IFERROR(D35/B35-1,"")</f>
        <v>-1</v>
      </c>
      <c r="H35" s="34" t="n">
        <f aca="false">IFERROR(C35/SUM(C$24:C$35),"")</f>
        <v>0.0907866822660425</v>
      </c>
      <c r="I35" s="34" t="n">
        <f aca="false">IFERROR(D35/SUM(D$24:D$35),"")</f>
        <v>0</v>
      </c>
    </row>
    <row r="36" customFormat="false" ht="15" hidden="false" customHeight="true" outlineLevel="0" collapsed="false">
      <c r="A36" s="6" t="s">
        <v>19776</v>
      </c>
      <c r="B36" s="30" t="n">
        <f aca="false">SUM(B24:B35)</f>
        <v>631767209</v>
      </c>
      <c r="C36" s="30" t="n">
        <f aca="false">SUM(C24:C35)</f>
        <v>631895368</v>
      </c>
      <c r="D36" s="30" t="n">
        <f aca="false">SUM(D24:D35)</f>
        <v>427303145</v>
      </c>
      <c r="E36" s="41" t="n">
        <f aca="false">IFERROR(C36/B36-1,"")</f>
        <v>0.000202857948583324</v>
      </c>
      <c r="F36" s="36"/>
    </row>
    <row r="37" customFormat="false" ht="15" hidden="false" customHeight="true" outlineLevel="0" collapsed="false">
      <c r="A37" s="48" t="s">
        <v>19777</v>
      </c>
      <c r="B37" s="30" t="n">
        <f aca="false">SUM(B24:B30)</f>
        <v>365692429</v>
      </c>
      <c r="C37" s="30" t="n">
        <f aca="false">SUM(C24:C30)</f>
        <v>361456014</v>
      </c>
      <c r="D37" s="30" t="n">
        <f aca="false">SUM(D24:D30)</f>
        <v>427303145</v>
      </c>
      <c r="E37" s="41" t="n">
        <f aca="false">IFERROR(C37/B37-1,"")</f>
        <v>-0.0115846396152762</v>
      </c>
      <c r="F37" s="41" t="n">
        <f aca="false">IFERROR(D37/C37-1,"")</f>
        <v>0.182171905984666</v>
      </c>
      <c r="G37" s="41" t="n">
        <f aca="false">IFERROR(D37/B37-1,"")</f>
        <v>0.168476870490529</v>
      </c>
    </row>
    <row r="39" customFormat="false" ht="14.25" hidden="false" customHeight="true" outlineLevel="0" collapsed="false">
      <c r="A39" s="4" t="s">
        <v>19779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5" t="s">
        <v>19654</v>
      </c>
      <c r="B40" s="50" t="s">
        <v>19756</v>
      </c>
      <c r="C40" s="51" t="s">
        <v>19757</v>
      </c>
      <c r="D40" s="52" t="s">
        <v>19758</v>
      </c>
      <c r="E40" s="44" t="s">
        <v>19759</v>
      </c>
      <c r="F40" s="44" t="s">
        <v>19760</v>
      </c>
      <c r="G40" s="44" t="s">
        <v>19761</v>
      </c>
      <c r="H40" s="44" t="s">
        <v>19762</v>
      </c>
      <c r="I40" s="44" t="s">
        <v>19763</v>
      </c>
    </row>
    <row r="41" customFormat="false" ht="15" hidden="false" customHeight="true" outlineLevel="0" collapsed="false">
      <c r="A41" s="33" t="s">
        <v>19764</v>
      </c>
      <c r="B41" s="25" t="n">
        <f aca="false">SUMIFS(데이터_총괄!$L$3:$L$33,데이터_총괄!$B$3:$B$33,2024,데이터_총괄!$C$3:$C$33,1)</f>
        <v>235213</v>
      </c>
      <c r="C41" s="25" t="n">
        <f aca="false">SUMIFS(데이터_총괄!$L$3:$L$33,데이터_총괄!$B$3:$B$33,2025,데이터_총괄!$C$3:$C$33,1)</f>
        <v>-1995308</v>
      </c>
      <c r="D41" s="25" t="n">
        <f aca="false">SUMIFS(데이터_총괄!$L$3:$L$33,데이터_총괄!$B$3:$B$33,2026,데이터_총괄!$C$3:$C$33,1)</f>
        <v>8700468</v>
      </c>
      <c r="E41" s="36" t="n">
        <f aca="false">IFERROR(C41/B41-1,"")</f>
        <v>-9.48298350856458</v>
      </c>
      <c r="F41" s="36" t="n">
        <f aca="false">IFERROR(D41/C41-1,"")</f>
        <v>-5.36046364771755</v>
      </c>
      <c r="G41" s="36" t="n">
        <f aca="false">IFERROR(D41/B41-1,"")</f>
        <v>35.9897412132833</v>
      </c>
      <c r="H41" s="34" t="n">
        <f aca="false">IFERROR(C41/SUM(C$41:C$52),"")</f>
        <v>-0.0257676289625077</v>
      </c>
      <c r="I41" s="34" t="n">
        <f aca="false">IFERROR(D41/SUM(D$41:D$52),"")</f>
        <v>0.0518626852493588</v>
      </c>
    </row>
    <row r="42" customFormat="false" ht="15" hidden="false" customHeight="true" outlineLevel="0" collapsed="false">
      <c r="A42" s="33" t="s">
        <v>19765</v>
      </c>
      <c r="B42" s="25" t="n">
        <f aca="false">SUMIFS(데이터_총괄!$L$3:$L$33,데이터_총괄!$B$3:$B$33,2024,데이터_총괄!$C$3:$C$33,2)</f>
        <v>3854529</v>
      </c>
      <c r="C42" s="25" t="n">
        <f aca="false">SUMIFS(데이터_총괄!$L$3:$L$33,데이터_총괄!$B$3:$B$33,2025,데이터_총괄!$C$3:$C$33,2)</f>
        <v>3963560</v>
      </c>
      <c r="D42" s="25" t="n">
        <f aca="false">SUMIFS(데이터_총괄!$L$3:$L$33,데이터_총괄!$B$3:$B$33,2026,데이터_총괄!$C$3:$C$33,2)</f>
        <v>15708634</v>
      </c>
      <c r="E42" s="36" t="n">
        <f aca="false">IFERROR(C42/B42-1,"")</f>
        <v>0.0282864650908061</v>
      </c>
      <c r="F42" s="36" t="n">
        <f aca="false">IFERROR(D42/C42-1,"")</f>
        <v>2.9632638335234</v>
      </c>
      <c r="G42" s="36" t="n">
        <f aca="false">IFERROR(D42/B42-1,"")</f>
        <v>3.07537055759601</v>
      </c>
      <c r="H42" s="34" t="n">
        <f aca="false">IFERROR(C42/SUM(C$41:C$52),"")</f>
        <v>0.0511858537381883</v>
      </c>
      <c r="I42" s="34" t="n">
        <f aca="false">IFERROR(D42/SUM(D$41:D$52),"")</f>
        <v>0.0936377147573413</v>
      </c>
    </row>
    <row r="43" customFormat="false" ht="15" hidden="false" customHeight="true" outlineLevel="0" collapsed="false">
      <c r="A43" s="33" t="s">
        <v>19766</v>
      </c>
      <c r="B43" s="25" t="n">
        <f aca="false">SUMIFS(데이터_총괄!$L$3:$L$33,데이터_총괄!$B$3:$B$33,2024,데이터_총괄!$C$3:$C$33,3)</f>
        <v>4405404</v>
      </c>
      <c r="C43" s="25" t="n">
        <f aca="false">SUMIFS(데이터_총괄!$L$3:$L$33,데이터_총괄!$B$3:$B$33,2025,데이터_총괄!$C$3:$C$33,3)</f>
        <v>4723530</v>
      </c>
      <c r="D43" s="25" t="n">
        <f aca="false">SUMIFS(데이터_총괄!$L$3:$L$33,데이터_총괄!$B$3:$B$33,2026,데이터_총괄!$C$3:$C$33,3)</f>
        <v>26579682</v>
      </c>
      <c r="E43" s="36" t="n">
        <f aca="false">IFERROR(C43/B43-1,"")</f>
        <v>0.0722126733439203</v>
      </c>
      <c r="F43" s="36" t="n">
        <f aca="false">IFERROR(D43/C43-1,"")</f>
        <v>4.62708017097383</v>
      </c>
      <c r="G43" s="36" t="n">
        <f aca="false">IFERROR(D43/B43-1,"")</f>
        <v>5.03342667324041</v>
      </c>
      <c r="H43" s="34" t="n">
        <f aca="false">IFERROR(C43/SUM(C$41:C$52),"")</f>
        <v>0.0610001906639346</v>
      </c>
      <c r="I43" s="34" t="n">
        <f aca="false">IFERROR(D43/SUM(D$41:D$52),"")</f>
        <v>0.158439026681559</v>
      </c>
    </row>
    <row r="44" customFormat="false" ht="15" hidden="false" customHeight="true" outlineLevel="0" collapsed="false">
      <c r="A44" s="33" t="s">
        <v>19767</v>
      </c>
      <c r="B44" s="25" t="n">
        <f aca="false">SUMIFS(데이터_총괄!$L$3:$L$33,데이터_총괄!$B$3:$B$33,2024,데이터_총괄!$C$3:$C$33,4)</f>
        <v>1327118</v>
      </c>
      <c r="C44" s="25" t="n">
        <f aca="false">SUMIFS(데이터_총괄!$L$3:$L$33,데이터_총괄!$B$3:$B$33,2025,데이터_총괄!$C$3:$C$33,4)</f>
        <v>4803029</v>
      </c>
      <c r="D44" s="25" t="n">
        <f aca="false">SUMIFS(데이터_총괄!$L$3:$L$33,데이터_총괄!$B$3:$B$33,2026,데이터_총괄!$C$3:$C$33,4)</f>
        <v>23646975</v>
      </c>
      <c r="E44" s="36" t="n">
        <f aca="false">IFERROR(C44/B44-1,"")</f>
        <v>2.61914238221469</v>
      </c>
      <c r="F44" s="36" t="n">
        <f aca="false">IFERROR(D44/C44-1,"")</f>
        <v>3.92334628835262</v>
      </c>
      <c r="G44" s="36" t="n">
        <f aca="false">IFERROR(D44/B44-1,"")</f>
        <v>16.8182912144964</v>
      </c>
      <c r="H44" s="34" t="n">
        <f aca="false">IFERROR(C44/SUM(C$41:C$52),"")</f>
        <v>0.0620268495731809</v>
      </c>
      <c r="I44" s="34" t="n">
        <f aca="false">IFERROR(D44/SUM(D$41:D$52),"")</f>
        <v>0.140957431430638</v>
      </c>
    </row>
    <row r="45" customFormat="false" ht="15" hidden="false" customHeight="true" outlineLevel="0" collapsed="false">
      <c r="A45" s="33" t="s">
        <v>19768</v>
      </c>
      <c r="B45" s="25" t="n">
        <f aca="false">SUMIFS(데이터_총괄!$L$3:$L$33,데이터_총괄!$B$3:$B$33,2024,데이터_총괄!$C$3:$C$33,5)</f>
        <v>4887620</v>
      </c>
      <c r="C45" s="25" t="n">
        <f aca="false">SUMIFS(데이터_총괄!$L$3:$L$33,데이터_총괄!$B$3:$B$33,2025,데이터_총괄!$C$3:$C$33,5)</f>
        <v>6915946</v>
      </c>
      <c r="D45" s="25" t="n">
        <f aca="false">SUMIFS(데이터_총괄!$L$3:$L$33,데이터_총괄!$B$3:$B$33,2026,데이터_총괄!$C$3:$C$33,5)</f>
        <v>26827733</v>
      </c>
      <c r="E45" s="36" t="n">
        <f aca="false">IFERROR(C45/B45-1,"")</f>
        <v>0.414992573072375</v>
      </c>
      <c r="F45" s="36" t="n">
        <f aca="false">IFERROR(D45/C45-1,"")</f>
        <v>2.87911256102925</v>
      </c>
      <c r="G45" s="36" t="n">
        <f aca="false">IFERROR(D45/B45-1,"")</f>
        <v>4.48891546396815</v>
      </c>
      <c r="H45" s="34" t="n">
        <f aca="false">IFERROR(C45/SUM(C$41:C$52),"")</f>
        <v>0.0893132942145971</v>
      </c>
      <c r="I45" s="34" t="n">
        <f aca="false">IFERROR(D45/SUM(D$41:D$52),"")</f>
        <v>0.159917635756242</v>
      </c>
    </row>
    <row r="46" customFormat="false" ht="15" hidden="false" customHeight="true" outlineLevel="0" collapsed="false">
      <c r="A46" s="33" t="s">
        <v>19769</v>
      </c>
      <c r="B46" s="25" t="n">
        <f aca="false">SUMIFS(데이터_총괄!$L$3:$L$33,데이터_총괄!$B$3:$B$33,2024,데이터_총괄!$C$3:$C$33,6)</f>
        <v>8251441</v>
      </c>
      <c r="C46" s="25" t="n">
        <f aca="false">SUMIFS(데이터_총괄!$L$3:$L$33,데이터_총괄!$B$3:$B$33,2025,데이터_총괄!$C$3:$C$33,6)</f>
        <v>9008051</v>
      </c>
      <c r="D46" s="25" t="n">
        <f aca="false">SUMIFS(데이터_총괄!$L$3:$L$33,데이터_총괄!$B$3:$B$33,2026,데이터_총괄!$C$3:$C$33,6)</f>
        <v>35904573</v>
      </c>
      <c r="E46" s="36" t="n">
        <f aca="false">IFERROR(C46/B46-1,"")</f>
        <v>0.0916942870948239</v>
      </c>
      <c r="F46" s="36" t="n">
        <f aca="false">IFERROR(D46/C46-1,"")</f>
        <v>2.98583145233081</v>
      </c>
      <c r="G46" s="36" t="n">
        <f aca="false">IFERROR(D46/B46-1,"")</f>
        <v>3.35130942583241</v>
      </c>
      <c r="H46" s="34" t="n">
        <f aca="false">IFERROR(C46/SUM(C$41:C$52),"")</f>
        <v>0.11633097037818</v>
      </c>
      <c r="I46" s="34" t="n">
        <f aca="false">IFERROR(D46/SUM(D$41:D$52),"")</f>
        <v>0.214023839695937</v>
      </c>
    </row>
    <row r="47" customFormat="false" ht="15" hidden="false" customHeight="true" outlineLevel="0" collapsed="false">
      <c r="A47" s="33" t="s">
        <v>19770</v>
      </c>
      <c r="B47" s="25" t="n">
        <f aca="false">SUMIFS(데이터_총괄!$L$3:$L$33,데이터_총괄!$B$3:$B$33,2024,데이터_총괄!$C$3:$C$33,7)</f>
        <v>3620046</v>
      </c>
      <c r="C47" s="25" t="n">
        <f aca="false">SUMIFS(데이터_총괄!$L$3:$L$33,데이터_총괄!$B$3:$B$33,2025,데이터_총괄!$C$3:$C$33,7)</f>
        <v>6513951</v>
      </c>
      <c r="D47" s="25" t="n">
        <f aca="false">SUMIFS(데이터_총괄!$L$3:$L$33,데이터_총괄!$B$3:$B$33,2026,데이터_총괄!$C$3:$C$33,7)</f>
        <v>30391625</v>
      </c>
      <c r="E47" s="36" t="n">
        <f aca="false">IFERROR(C47/B47-1,"")</f>
        <v>0.799411112455477</v>
      </c>
      <c r="F47" s="36" t="n">
        <f aca="false">IFERROR(D47/C47-1,"")</f>
        <v>3.66562075766305</v>
      </c>
      <c r="G47" s="36" t="n">
        <f aca="false">IFERROR(D47/B47-1,"")</f>
        <v>7.39536983784184</v>
      </c>
      <c r="H47" s="34" t="n">
        <f aca="false">IFERROR(C47/SUM(C$41:C$52),"")</f>
        <v>0.0841218861689303</v>
      </c>
      <c r="I47" s="34" t="n">
        <f aca="false">IFERROR(D47/SUM(D$41:D$52),"")</f>
        <v>0.181161666428926</v>
      </c>
    </row>
    <row r="48" customFormat="false" ht="15" hidden="false" customHeight="true" outlineLevel="0" collapsed="false">
      <c r="A48" s="33" t="s">
        <v>19771</v>
      </c>
      <c r="B48" s="25" t="n">
        <f aca="false">SUMIFS(데이터_총괄!$L$3:$L$33,데이터_총괄!$B$3:$B$33,2024,데이터_총괄!$C$3:$C$33,8)</f>
        <v>3588030</v>
      </c>
      <c r="C48" s="25" t="n">
        <f aca="false">SUMIFS(데이터_총괄!$L$3:$L$33,데이터_총괄!$B$3:$B$33,2025,데이터_총괄!$C$3:$C$33,8)</f>
        <v>6402708</v>
      </c>
      <c r="D48" s="25"/>
      <c r="E48" s="36" t="n">
        <f aca="false">IFERROR(C48/B48-1,"")</f>
        <v>0.78446334060752</v>
      </c>
      <c r="F48" s="36" t="n">
        <f aca="false">IFERROR(D48/C48-1,"")</f>
        <v>-1</v>
      </c>
      <c r="G48" s="36" t="n">
        <f aca="false">IFERROR(D48/B48-1,"")</f>
        <v>-1</v>
      </c>
      <c r="H48" s="34" t="n">
        <f aca="false">IFERROR(C48/SUM(C$41:C$52),"")</f>
        <v>0.0826852817205563</v>
      </c>
      <c r="I48" s="34" t="n">
        <f aca="false">IFERROR(D48/SUM(D$41:D$52),"")</f>
        <v>0</v>
      </c>
    </row>
    <row r="49" customFormat="false" ht="15" hidden="false" customHeight="true" outlineLevel="0" collapsed="false">
      <c r="A49" s="33" t="s">
        <v>19772</v>
      </c>
      <c r="B49" s="25" t="n">
        <f aca="false">SUMIFS(데이터_총괄!$L$3:$L$33,데이터_총괄!$B$3:$B$33,2024,데이터_총괄!$C$3:$C$33,9)</f>
        <v>6441768</v>
      </c>
      <c r="C49" s="25" t="n">
        <f aca="false">SUMIFS(데이터_총괄!$L$3:$L$33,데이터_총괄!$B$3:$B$33,2025,데이터_총괄!$C$3:$C$33,9)</f>
        <v>9484504</v>
      </c>
      <c r="D49" s="25"/>
      <c r="E49" s="36" t="n">
        <f aca="false">IFERROR(C49/B49-1,"")</f>
        <v>0.472344859361591</v>
      </c>
      <c r="F49" s="36" t="n">
        <f aca="false">IFERROR(D49/C49-1,"")</f>
        <v>-1</v>
      </c>
      <c r="G49" s="36" t="n">
        <f aca="false">IFERROR(D49/B49-1,"")</f>
        <v>-1</v>
      </c>
      <c r="H49" s="34" t="n">
        <f aca="false">IFERROR(C49/SUM(C$41:C$52),"")</f>
        <v>0.122483937299615</v>
      </c>
      <c r="I49" s="34" t="n">
        <f aca="false">IFERROR(D49/SUM(D$41:D$52),"")</f>
        <v>0</v>
      </c>
    </row>
    <row r="50" customFormat="false" ht="15" hidden="false" customHeight="true" outlineLevel="0" collapsed="false">
      <c r="A50" s="33" t="s">
        <v>19773</v>
      </c>
      <c r="B50" s="25" t="n">
        <f aca="false">SUMIFS(데이터_총괄!$L$3:$L$33,데이터_총괄!$B$3:$B$33,2024,데이터_총괄!$C$3:$C$33,10)</f>
        <v>3168604</v>
      </c>
      <c r="C50" s="25" t="n">
        <f aca="false">SUMIFS(데이터_총괄!$L$3:$L$33,데이터_총괄!$B$3:$B$33,2025,데이터_총괄!$C$3:$C$33,10)</f>
        <v>6000751</v>
      </c>
      <c r="D50" s="25"/>
      <c r="E50" s="36" t="n">
        <f aca="false">IFERROR(C50/B50-1,"")</f>
        <v>0.893815383683162</v>
      </c>
      <c r="F50" s="36" t="n">
        <f aca="false">IFERROR(D50/C50-1,"")</f>
        <v>-1</v>
      </c>
      <c r="G50" s="36" t="n">
        <f aca="false">IFERROR(D50/B50-1,"")</f>
        <v>-1</v>
      </c>
      <c r="H50" s="34" t="n">
        <f aca="false">IFERROR(C50/SUM(C$41:C$52),"")</f>
        <v>0.077494364411107</v>
      </c>
      <c r="I50" s="34" t="n">
        <f aca="false">IFERROR(D50/SUM(D$41:D$52),"")</f>
        <v>0</v>
      </c>
    </row>
    <row r="51" customFormat="false" ht="15" hidden="false" customHeight="true" outlineLevel="0" collapsed="false">
      <c r="A51" s="33" t="s">
        <v>19774</v>
      </c>
      <c r="B51" s="25" t="n">
        <f aca="false">SUMIFS(데이터_총괄!$L$3:$L$33,데이터_총괄!$B$3:$B$33,2024,데이터_총괄!$C$3:$C$33,11)</f>
        <v>5569637</v>
      </c>
      <c r="C51" s="25" t="n">
        <f aca="false">SUMIFS(데이터_총괄!$L$3:$L$33,데이터_총괄!$B$3:$B$33,2025,데이터_총괄!$C$3:$C$33,11)</f>
        <v>9468013</v>
      </c>
      <c r="D51" s="25"/>
      <c r="E51" s="36" t="n">
        <f aca="false">IFERROR(C51/B51-1,"")</f>
        <v>0.699933586336057</v>
      </c>
      <c r="F51" s="36" t="n">
        <f aca="false">IFERROR(D51/C51-1,"")</f>
        <v>-1</v>
      </c>
      <c r="G51" s="36" t="n">
        <f aca="false">IFERROR(D51/B51-1,"")</f>
        <v>-1</v>
      </c>
      <c r="H51" s="34" t="n">
        <f aca="false">IFERROR(C51/SUM(C$41:C$52),"")</f>
        <v>0.122270970695351</v>
      </c>
      <c r="I51" s="34" t="n">
        <f aca="false">IFERROR(D51/SUM(D$41:D$52),"")</f>
        <v>0</v>
      </c>
    </row>
    <row r="52" customFormat="false" ht="15" hidden="false" customHeight="true" outlineLevel="0" collapsed="false">
      <c r="A52" s="33" t="s">
        <v>19775</v>
      </c>
      <c r="B52" s="25" t="n">
        <f aca="false">SUMIFS(데이터_총괄!$L$3:$L$33,데이터_총괄!$B$3:$B$33,2024,데이터_총괄!$C$3:$C$33,12)</f>
        <v>6492870</v>
      </c>
      <c r="C52" s="25" t="n">
        <f aca="false">SUMIFS(데이터_총괄!$L$3:$L$33,데이터_총괄!$B$3:$B$33,2025,데이터_총괄!$C$3:$C$33,12)</f>
        <v>12145941</v>
      </c>
      <c r="D52" s="25"/>
      <c r="E52" s="36" t="n">
        <f aca="false">IFERROR(C52/B52-1,"")</f>
        <v>0.870658275924206</v>
      </c>
      <c r="F52" s="36" t="n">
        <f aca="false">IFERROR(D52/C52-1,"")</f>
        <v>-1</v>
      </c>
      <c r="G52" s="36" t="n">
        <f aca="false">IFERROR(D52/B52-1,"")</f>
        <v>-1</v>
      </c>
      <c r="H52" s="34" t="n">
        <f aca="false">IFERROR(C52/SUM(C$41:C$52),"")</f>
        <v>0.156854030098867</v>
      </c>
      <c r="I52" s="34" t="n">
        <f aca="false">IFERROR(D52/SUM(D$41:D$52),"")</f>
        <v>0</v>
      </c>
    </row>
    <row r="53" customFormat="false" ht="15" hidden="false" customHeight="true" outlineLevel="0" collapsed="false">
      <c r="A53" s="6" t="s">
        <v>19776</v>
      </c>
      <c r="B53" s="30" t="n">
        <f aca="false">SUM(B41:B52)</f>
        <v>51842280</v>
      </c>
      <c r="C53" s="30" t="n">
        <f aca="false">SUM(C41:C52)</f>
        <v>77434676</v>
      </c>
      <c r="D53" s="30" t="n">
        <f aca="false">SUM(D41:D52)</f>
        <v>167759690</v>
      </c>
      <c r="E53" s="41" t="n">
        <f aca="false">IFERROR(C53/B53-1,"")</f>
        <v>0.493658766551163</v>
      </c>
      <c r="F53" s="36"/>
    </row>
    <row r="54" customFormat="false" ht="15" hidden="false" customHeight="true" outlineLevel="0" collapsed="false">
      <c r="A54" s="48" t="s">
        <v>19777</v>
      </c>
      <c r="B54" s="30" t="n">
        <f aca="false">SUM(B41:B47)</f>
        <v>26581371</v>
      </c>
      <c r="C54" s="30" t="n">
        <f aca="false">SUM(C41:C47)</f>
        <v>33932759</v>
      </c>
      <c r="D54" s="30" t="n">
        <f aca="false">SUM(D41:D47)</f>
        <v>167759690</v>
      </c>
      <c r="E54" s="41" t="n">
        <f aca="false">IFERROR(C54/B54-1,"")</f>
        <v>0.276561656657965</v>
      </c>
      <c r="F54" s="41" t="n">
        <f aca="false">IFERROR(D54/C54-1,"")</f>
        <v>3.94388593630126</v>
      </c>
      <c r="G54" s="41" t="n">
        <f aca="false">IFERROR(D54/B54-1,"")</f>
        <v>5.31117522117275</v>
      </c>
    </row>
    <row r="56" customFormat="false" ht="14.25" hidden="false" customHeight="true" outlineLevel="0" collapsed="false">
      <c r="A56" s="4" t="s">
        <v>19780</v>
      </c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5" t="s">
        <v>19654</v>
      </c>
      <c r="B57" s="50" t="s">
        <v>19756</v>
      </c>
      <c r="C57" s="51" t="s">
        <v>19757</v>
      </c>
      <c r="D57" s="52" t="s">
        <v>19758</v>
      </c>
      <c r="E57" s="44" t="s">
        <v>19759</v>
      </c>
      <c r="F57" s="44" t="s">
        <v>19760</v>
      </c>
      <c r="G57" s="44" t="s">
        <v>19761</v>
      </c>
      <c r="H57" s="44" t="s">
        <v>19762</v>
      </c>
      <c r="I57" s="44" t="s">
        <v>19763</v>
      </c>
    </row>
    <row r="58" customFormat="false" ht="15" hidden="false" customHeight="true" outlineLevel="0" collapsed="false">
      <c r="A58" s="33" t="s">
        <v>19764</v>
      </c>
      <c r="B58" s="24" t="n">
        <f aca="false">SUMIFS(데이터_총괄!$G$3:$G$33,데이터_총괄!$B$3:$B$33,2024,데이터_총괄!$C$3:$C$33,1)</f>
        <v>17105790.7</v>
      </c>
      <c r="C58" s="24" t="n">
        <f aca="false">SUMIFS(데이터_총괄!$G$3:$G$33,데이터_총괄!$B$3:$B$33,2025,데이터_총괄!$C$3:$C$33,1)</f>
        <v>14986301.7</v>
      </c>
      <c r="D58" s="24" t="n">
        <f aca="false">SUMIFS(데이터_총괄!$G$3:$G$33,데이터_총괄!$B$3:$B$33,2026,데이터_총괄!$C$3:$C$33,1)</f>
        <v>16739947.8</v>
      </c>
      <c r="E58" s="36" t="n">
        <f aca="false">IFERROR(C58/B58-1,"")</f>
        <v>-0.12390476635494</v>
      </c>
      <c r="F58" s="36" t="n">
        <f aca="false">IFERROR(D58/C58-1,"")</f>
        <v>0.117016601901188</v>
      </c>
      <c r="G58" s="36" t="n">
        <f aca="false">IFERROR(D58/B58-1,"")</f>
        <v>-0.0213870791719671</v>
      </c>
      <c r="H58" s="34" t="n">
        <f aca="false">IFERROR(C58/SUM(C$58:C$69),"")</f>
        <v>0.075482832580493</v>
      </c>
      <c r="I58" s="34" t="n">
        <f aca="false">IFERROR(D58/SUM(D$58:D$69),"")</f>
        <v>0.152356498622935</v>
      </c>
    </row>
    <row r="59" customFormat="false" ht="15" hidden="false" customHeight="true" outlineLevel="0" collapsed="false">
      <c r="A59" s="33" t="s">
        <v>19765</v>
      </c>
      <c r="B59" s="24" t="n">
        <f aca="false">SUMIFS(데이터_총괄!$G$3:$G$33,데이터_총괄!$B$3:$B$33,2024,데이터_총괄!$C$3:$C$33,2)</f>
        <v>15678985.8</v>
      </c>
      <c r="C59" s="24" t="n">
        <f aca="false">SUMIFS(데이터_총괄!$G$3:$G$33,데이터_총괄!$B$3:$B$33,2025,데이터_총괄!$C$3:$C$33,2)</f>
        <v>16151895.1</v>
      </c>
      <c r="D59" s="24" t="n">
        <f aca="false">SUMIFS(데이터_총괄!$G$3:$G$33,데이터_총괄!$B$3:$B$33,2026,데이터_총괄!$C$3:$C$33,2)</f>
        <v>15601517.8</v>
      </c>
      <c r="E59" s="36" t="n">
        <f aca="false">IFERROR(C59/B59-1,"")</f>
        <v>0.0301619827986577</v>
      </c>
      <c r="F59" s="36" t="n">
        <f aca="false">IFERROR(D59/C59-1,"")</f>
        <v>-0.0340750912875851</v>
      </c>
      <c r="G59" s="36" t="n">
        <f aca="false">IFERROR(D59/B59-1,"")</f>
        <v>-0.00494088080620625</v>
      </c>
      <c r="H59" s="34" t="n">
        <f aca="false">IFERROR(C59/SUM(C$58:C$69),"")</f>
        <v>0.0813536800537644</v>
      </c>
      <c r="I59" s="34" t="n">
        <f aca="false">IFERROR(D59/SUM(D$58:D$69),"")</f>
        <v>0.141995223259381</v>
      </c>
    </row>
    <row r="60" customFormat="false" ht="15" hidden="false" customHeight="true" outlineLevel="0" collapsed="false">
      <c r="A60" s="33" t="s">
        <v>19766</v>
      </c>
      <c r="B60" s="24" t="n">
        <f aca="false">SUMIFS(데이터_총괄!$G$3:$G$33,데이터_총괄!$B$3:$B$33,2024,데이터_총괄!$C$3:$C$33,3)</f>
        <v>16805631.5</v>
      </c>
      <c r="C60" s="24" t="n">
        <f aca="false">SUMIFS(데이터_총괄!$G$3:$G$33,데이터_총괄!$B$3:$B$33,2025,데이터_총괄!$C$3:$C$33,3)</f>
        <v>15702059.6</v>
      </c>
      <c r="D60" s="24" t="n">
        <f aca="false">SUMIFS(데이터_총괄!$G$3:$G$33,데이터_총괄!$B$3:$B$33,2026,데이터_총괄!$C$3:$C$33,3)</f>
        <v>16180252</v>
      </c>
      <c r="E60" s="36" t="n">
        <f aca="false">IFERROR(C60/B60-1,"")</f>
        <v>-0.0656667915156893</v>
      </c>
      <c r="F60" s="36" t="n">
        <f aca="false">IFERROR(D60/C60-1,"")</f>
        <v>0.0304541195347392</v>
      </c>
      <c r="G60" s="36" t="n">
        <f aca="false">IFERROR(D60/B60-1,"")</f>
        <v>-0.0372124962992316</v>
      </c>
      <c r="H60" s="34" t="n">
        <f aca="false">IFERROR(C60/SUM(C$58:C$69),"")</f>
        <v>0.079087953764852</v>
      </c>
      <c r="I60" s="34" t="n">
        <f aca="false">IFERROR(D60/SUM(D$58:D$69),"")</f>
        <v>0.147262498725159</v>
      </c>
    </row>
    <row r="61" customFormat="false" ht="15" hidden="false" customHeight="true" outlineLevel="0" collapsed="false">
      <c r="A61" s="33" t="s">
        <v>19767</v>
      </c>
      <c r="B61" s="24" t="n">
        <f aca="false">SUMIFS(데이터_총괄!$G$3:$G$33,데이터_총괄!$B$3:$B$33,2024,데이터_총괄!$C$3:$C$33,4)</f>
        <v>16491489.3</v>
      </c>
      <c r="C61" s="24" t="n">
        <f aca="false">SUMIFS(데이터_총괄!$G$3:$G$33,데이터_총괄!$B$3:$B$33,2025,데이터_총괄!$C$3:$C$33,4)</f>
        <v>17527804.9</v>
      </c>
      <c r="D61" s="24" t="n">
        <f aca="false">SUMIFS(데이터_총괄!$G$3:$G$33,데이터_총괄!$B$3:$B$33,2026,데이터_총괄!$C$3:$C$33,4)</f>
        <v>14413704.2</v>
      </c>
      <c r="E61" s="36" t="n">
        <f aca="false">IFERROR(C61/B61-1,"")</f>
        <v>0.0628394186327368</v>
      </c>
      <c r="F61" s="36" t="n">
        <f aca="false">IFERROR(D61/C61-1,"")</f>
        <v>-0.177666326032645</v>
      </c>
      <c r="G61" s="36" t="n">
        <f aca="false">IFERROR(D61/B61-1,"")</f>
        <v>-0.125991356038414</v>
      </c>
      <c r="H61" s="34" t="n">
        <f aca="false">IFERROR(C61/SUM(C$58:C$69),"")</f>
        <v>0.0882838467592205</v>
      </c>
      <c r="I61" s="34" t="n">
        <f aca="false">IFERROR(D61/SUM(D$58:D$69),"")</f>
        <v>0.131184489362547</v>
      </c>
    </row>
    <row r="62" customFormat="false" ht="15" hidden="false" customHeight="true" outlineLevel="0" collapsed="false">
      <c r="A62" s="33" t="s">
        <v>19768</v>
      </c>
      <c r="B62" s="24" t="n">
        <f aca="false">SUMIFS(데이터_총괄!$G$3:$G$33,데이터_총괄!$B$3:$B$33,2024,데이터_총괄!$C$3:$C$33,5)</f>
        <v>16793798.4</v>
      </c>
      <c r="C62" s="24" t="n">
        <f aca="false">SUMIFS(데이터_총괄!$G$3:$G$33,데이터_총괄!$B$3:$B$33,2025,데이터_총괄!$C$3:$C$33,5)</f>
        <v>16573462.9</v>
      </c>
      <c r="D62" s="24" t="n">
        <f aca="false">SUMIFS(데이터_총괄!$G$3:$G$33,데이터_총괄!$B$3:$B$33,2026,데이터_총괄!$C$3:$C$33,5)</f>
        <v>13589511.3</v>
      </c>
      <c r="E62" s="36" t="n">
        <f aca="false">IFERROR(C62/B62-1,"")</f>
        <v>-0.0131200515066322</v>
      </c>
      <c r="F62" s="36" t="n">
        <f aca="false">IFERROR(D62/C62-1,"")</f>
        <v>-0.180043942415921</v>
      </c>
      <c r="G62" s="36" t="n">
        <f aca="false">IFERROR(D62/B62-1,"")</f>
        <v>-0.190801808124599</v>
      </c>
      <c r="H62" s="34" t="n">
        <f aca="false">IFERROR(C62/SUM(C$58:C$69),"")</f>
        <v>0.0834770279154137</v>
      </c>
      <c r="I62" s="34" t="n">
        <f aca="false">IFERROR(D62/SUM(D$58:D$69),"")</f>
        <v>0.123683202863082</v>
      </c>
    </row>
    <row r="63" customFormat="false" ht="15" hidden="false" customHeight="true" outlineLevel="0" collapsed="false">
      <c r="A63" s="33" t="s">
        <v>19769</v>
      </c>
      <c r="B63" s="24" t="n">
        <f aca="false">SUMIFS(데이터_총괄!$G$3:$G$33,데이터_총괄!$B$3:$B$33,2024,데이터_총괄!$C$3:$C$33,6)</f>
        <v>14641434.6</v>
      </c>
      <c r="C63" s="24" t="n">
        <f aca="false">SUMIFS(데이터_총괄!$G$3:$G$33,데이터_총괄!$B$3:$B$33,2025,데이터_총괄!$C$3:$C$33,6)</f>
        <v>16221157</v>
      </c>
      <c r="D63" s="24" t="n">
        <f aca="false">SUMIFS(데이터_총괄!$G$3:$G$33,데이터_총괄!$B$3:$B$33,2026,데이터_총괄!$C$3:$C$33,6)</f>
        <v>15687925.9</v>
      </c>
      <c r="E63" s="36" t="n">
        <f aca="false">IFERROR(C63/B63-1,"")</f>
        <v>0.107893962795149</v>
      </c>
      <c r="F63" s="36" t="n">
        <f aca="false">IFERROR(D63/C63-1,"")</f>
        <v>-0.0328725688309409</v>
      </c>
      <c r="G63" s="36" t="n">
        <f aca="false">IFERROR(D63/B63-1,"")</f>
        <v>0.071474642245781</v>
      </c>
      <c r="H63" s="34" t="n">
        <f aca="false">IFERROR(C63/SUM(C$58:C$69),"")</f>
        <v>0.0817025375975777</v>
      </c>
      <c r="I63" s="34" t="n">
        <f aca="false">IFERROR(D63/SUM(D$58:D$69),"")</f>
        <v>0.142781655554508</v>
      </c>
    </row>
    <row r="64" customFormat="false" ht="15" hidden="false" customHeight="true" outlineLevel="0" collapsed="false">
      <c r="A64" s="33" t="s">
        <v>19770</v>
      </c>
      <c r="B64" s="24" t="n">
        <f aca="false">SUMIFS(데이터_총괄!$G$3:$G$33,데이터_총괄!$B$3:$B$33,2024,데이터_총괄!$C$3:$C$33,7)</f>
        <v>16697113.3</v>
      </c>
      <c r="C64" s="24" t="n">
        <f aca="false">SUMIFS(데이터_총괄!$G$3:$G$33,데이터_총괄!$B$3:$B$33,2025,데이터_총괄!$C$3:$C$33,7)</f>
        <v>17580838.3</v>
      </c>
      <c r="D64" s="24" t="n">
        <f aca="false">SUMIFS(데이터_총괄!$G$3:$G$33,데이터_총괄!$B$3:$B$33,2026,데이터_총괄!$C$3:$C$33,7)</f>
        <v>17660680.7</v>
      </c>
      <c r="E64" s="36" t="n">
        <f aca="false">IFERROR(C64/B64-1,"")</f>
        <v>0.0529268134031289</v>
      </c>
      <c r="F64" s="36" t="n">
        <f aca="false">IFERROR(D64/C64-1,"")</f>
        <v>0.00454144442020144</v>
      </c>
      <c r="G64" s="36" t="n">
        <f aca="false">IFERROR(D64/B64-1,"")</f>
        <v>0.0577086220047389</v>
      </c>
      <c r="H64" s="34" t="n">
        <f aca="false">IFERROR(C64/SUM(C$58:C$69),"")</f>
        <v>0.088550964780298</v>
      </c>
      <c r="I64" s="34" t="n">
        <f aca="false">IFERROR(D64/SUM(D$58:D$69),"")</f>
        <v>0.160736431612388</v>
      </c>
    </row>
    <row r="65" customFormat="false" ht="15" hidden="false" customHeight="true" outlineLevel="0" collapsed="false">
      <c r="A65" s="33" t="s">
        <v>19771</v>
      </c>
      <c r="B65" s="24" t="n">
        <f aca="false">SUMIFS(데이터_총괄!$G$3:$G$33,데이터_총괄!$B$3:$B$33,2024,데이터_총괄!$C$3:$C$33,8)</f>
        <v>17070040.9</v>
      </c>
      <c r="C65" s="24" t="n">
        <f aca="false">SUMIFS(데이터_총괄!$G$3:$G$33,데이터_총괄!$B$3:$B$33,2025,데이터_총괄!$C$3:$C$33,8)</f>
        <v>17118673.9</v>
      </c>
      <c r="D65" s="24"/>
      <c r="E65" s="36" t="n">
        <f aca="false">IFERROR(C65/B65-1,"")</f>
        <v>0.00284902656560115</v>
      </c>
      <c r="F65" s="36" t="n">
        <f aca="false">IFERROR(D65/C65-1,"")</f>
        <v>-1</v>
      </c>
      <c r="G65" s="36" t="n">
        <f aca="false">IFERROR(D65/B65-1,"")</f>
        <v>-1</v>
      </c>
      <c r="H65" s="34" t="n">
        <f aca="false">IFERROR(C65/SUM(C$58:C$69),"")</f>
        <v>0.0862231404292198</v>
      </c>
      <c r="I65" s="34" t="n">
        <f aca="false">IFERROR(D65/SUM(D$58:D$69),"")</f>
        <v>0</v>
      </c>
    </row>
    <row r="66" customFormat="false" ht="15" hidden="false" customHeight="true" outlineLevel="0" collapsed="false">
      <c r="A66" s="33" t="s">
        <v>19772</v>
      </c>
      <c r="B66" s="24" t="n">
        <f aca="false">SUMIFS(데이터_총괄!$G$3:$G$33,데이터_총괄!$B$3:$B$33,2024,데이터_총괄!$C$3:$C$33,9)</f>
        <v>16449775.4</v>
      </c>
      <c r="C66" s="24" t="n">
        <f aca="false">SUMIFS(데이터_총괄!$G$3:$G$33,데이터_총괄!$B$3:$B$33,2025,데이터_총괄!$C$3:$C$33,9)</f>
        <v>18076703.2</v>
      </c>
      <c r="D66" s="24"/>
      <c r="E66" s="36" t="n">
        <f aca="false">IFERROR(C66/B66-1,"")</f>
        <v>0.0989027363862973</v>
      </c>
      <c r="F66" s="36" t="n">
        <f aca="false">IFERROR(D66/C66-1,"")</f>
        <v>-1</v>
      </c>
      <c r="G66" s="36" t="n">
        <f aca="false">IFERROR(D66/B66-1,"")</f>
        <v>-1</v>
      </c>
      <c r="H66" s="34" t="n">
        <f aca="false">IFERROR(C66/SUM(C$58:C$69),"")</f>
        <v>0.0910485314233906</v>
      </c>
      <c r="I66" s="34" t="n">
        <f aca="false">IFERROR(D66/SUM(D$58:D$69),"")</f>
        <v>0</v>
      </c>
    </row>
    <row r="67" customFormat="false" ht="15" hidden="false" customHeight="true" outlineLevel="0" collapsed="false">
      <c r="A67" s="33" t="s">
        <v>19773</v>
      </c>
      <c r="B67" s="24" t="n">
        <f aca="false">SUMIFS(데이터_총괄!$G$3:$G$33,데이터_총괄!$B$3:$B$33,2024,데이터_총괄!$C$3:$C$33,10)</f>
        <v>15994863.5</v>
      </c>
      <c r="C67" s="24" t="n">
        <f aca="false">SUMIFS(데이터_총괄!$G$3:$G$33,데이터_총괄!$B$3:$B$33,2025,데이터_총괄!$C$3:$C$33,10)</f>
        <v>16017317.9</v>
      </c>
      <c r="D67" s="24"/>
      <c r="E67" s="36" t="n">
        <f aca="false">IFERROR(C67/B67-1,"")</f>
        <v>0.00140385067993853</v>
      </c>
      <c r="F67" s="36" t="n">
        <f aca="false">IFERROR(D67/C67-1,"")</f>
        <v>-1</v>
      </c>
      <c r="G67" s="36" t="n">
        <f aca="false">IFERROR(D67/B67-1,"")</f>
        <v>-1</v>
      </c>
      <c r="H67" s="34" t="n">
        <f aca="false">IFERROR(C67/SUM(C$58:C$69),"")</f>
        <v>0.080675843155769</v>
      </c>
      <c r="I67" s="34" t="n">
        <f aca="false">IFERROR(D67/SUM(D$58:D$69),"")</f>
        <v>0</v>
      </c>
    </row>
    <row r="68" customFormat="false" ht="15" hidden="false" customHeight="true" outlineLevel="0" collapsed="false">
      <c r="A68" s="33" t="s">
        <v>19774</v>
      </c>
      <c r="B68" s="24" t="n">
        <f aca="false">SUMIFS(데이터_총괄!$G$3:$G$33,데이터_총괄!$B$3:$B$33,2024,데이터_총괄!$C$3:$C$33,11)</f>
        <v>15893956</v>
      </c>
      <c r="C68" s="24" t="n">
        <f aca="false">SUMIFS(데이터_총괄!$G$3:$G$33,데이터_총괄!$B$3:$B$33,2025,데이터_총괄!$C$3:$C$33,11)</f>
        <v>14605096.4</v>
      </c>
      <c r="D68" s="24"/>
      <c r="E68" s="36" t="n">
        <f aca="false">IFERROR(C68/B68-1,"")</f>
        <v>-0.0810911770486844</v>
      </c>
      <c r="F68" s="36" t="n">
        <f aca="false">IFERROR(D68/C68-1,"")</f>
        <v>-1</v>
      </c>
      <c r="G68" s="36" t="n">
        <f aca="false">IFERROR(D68/B68-1,"")</f>
        <v>-1</v>
      </c>
      <c r="H68" s="34" t="n">
        <f aca="false">IFERROR(C68/SUM(C$58:C$69),"")</f>
        <v>0.0735627820960765</v>
      </c>
      <c r="I68" s="34" t="n">
        <f aca="false">IFERROR(D68/SUM(D$58:D$69),"")</f>
        <v>0</v>
      </c>
    </row>
    <row r="69" customFormat="false" ht="15" hidden="false" customHeight="true" outlineLevel="0" collapsed="false">
      <c r="A69" s="33" t="s">
        <v>19775</v>
      </c>
      <c r="B69" s="24" t="n">
        <f aca="false">SUMIFS(데이터_총괄!$G$3:$G$33,데이터_총괄!$B$3:$B$33,2024,데이터_총괄!$C$3:$C$33,12)</f>
        <v>17620291.4</v>
      </c>
      <c r="C69" s="24" t="n">
        <f aca="false">SUMIFS(데이터_총괄!$G$3:$G$33,데이터_총괄!$B$3:$B$33,2025,데이터_총괄!$C$3:$C$33,12)</f>
        <v>17977895.8</v>
      </c>
      <c r="D69" s="24"/>
      <c r="E69" s="36" t="n">
        <f aca="false">IFERROR(C69/B69-1,"")</f>
        <v>0.0202950332592118</v>
      </c>
      <c r="F69" s="36" t="n">
        <f aca="false">IFERROR(D69/C69-1,"")</f>
        <v>-1</v>
      </c>
      <c r="G69" s="36" t="n">
        <f aca="false">IFERROR(D69/B69-1,"")</f>
        <v>-1</v>
      </c>
      <c r="H69" s="34" t="n">
        <f aca="false">IFERROR(C69/SUM(C$58:C$69),"")</f>
        <v>0.0905508594439246</v>
      </c>
      <c r="I69" s="34" t="n">
        <f aca="false">IFERROR(D69/SUM(D$58:D$69),"")</f>
        <v>0</v>
      </c>
    </row>
    <row r="70" customFormat="false" ht="15" hidden="false" customHeight="true" outlineLevel="0" collapsed="false">
      <c r="A70" s="6" t="s">
        <v>19776</v>
      </c>
      <c r="B70" s="31" t="n">
        <f aca="false">SUM(B58:B69)</f>
        <v>197243170.8</v>
      </c>
      <c r="C70" s="31" t="n">
        <f aca="false">SUM(C58:C69)</f>
        <v>198539206.7</v>
      </c>
      <c r="D70" s="31" t="n">
        <f aca="false">SUM(D58:D69)</f>
        <v>109873539.7</v>
      </c>
      <c r="E70" s="41" t="n">
        <f aca="false">IFERROR(C70/B70-1,"")</f>
        <v>0.00657075170077315</v>
      </c>
      <c r="F70" s="36"/>
    </row>
    <row r="71" customFormat="false" ht="15" hidden="false" customHeight="true" outlineLevel="0" collapsed="false">
      <c r="A71" s="48" t="s">
        <v>19777</v>
      </c>
      <c r="B71" s="31" t="n">
        <f aca="false">SUM(B58:B64)</f>
        <v>114214243.6</v>
      </c>
      <c r="C71" s="31" t="n">
        <f aca="false">SUM(C58:C64)</f>
        <v>114743519.5</v>
      </c>
      <c r="D71" s="31" t="n">
        <f aca="false">SUM(D58:D64)</f>
        <v>109873539.7</v>
      </c>
      <c r="E71" s="41" t="n">
        <f aca="false">IFERROR(C71/B71-1,"")</f>
        <v>0.00463406212147777</v>
      </c>
      <c r="F71" s="41" t="n">
        <f aca="false">IFERROR(D71/C71-1,"")</f>
        <v>-0.0424423080381459</v>
      </c>
      <c r="G71" s="41" t="n">
        <f aca="false">IFERROR(D71/B71-1,"")</f>
        <v>-0.0380049262086957</v>
      </c>
    </row>
    <row r="73" customFormat="false" ht="14.25" hidden="false" customHeight="true" outlineLevel="0" collapsed="false">
      <c r="A73" s="4" t="s">
        <v>19781</v>
      </c>
      <c r="B73" s="4"/>
      <c r="C73" s="4"/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5" t="s">
        <v>19654</v>
      </c>
      <c r="B74" s="50" t="s">
        <v>19756</v>
      </c>
      <c r="C74" s="51" t="s">
        <v>19757</v>
      </c>
      <c r="D74" s="52" t="s">
        <v>19758</v>
      </c>
      <c r="E74" s="44" t="s">
        <v>19759</v>
      </c>
      <c r="F74" s="44" t="s">
        <v>19760</v>
      </c>
      <c r="G74" s="44" t="s">
        <v>19761</v>
      </c>
      <c r="H74" s="44" t="s">
        <v>19762</v>
      </c>
      <c r="I74" s="44" t="s">
        <v>19763</v>
      </c>
    </row>
    <row r="75" customFormat="false" ht="15" hidden="false" customHeight="true" outlineLevel="0" collapsed="false">
      <c r="A75" s="33" t="s">
        <v>19764</v>
      </c>
      <c r="B75" s="37" t="n">
        <f aca="false">IFERROR(SUMIFS(데이터_총괄!$H$3:$H$33,데이터_총괄!$B$3:$B$33,2024,데이터_총괄!$C$3:$C$33,1)/SUMIFS(데이터_총괄!$G$3:$G$33,데이터_총괄!$B$3:$B$33,2024,데이터_총괄!$C$3:$C$33,1),"")</f>
        <v>3.1983217823424</v>
      </c>
      <c r="C75" s="37" t="n">
        <f aca="false">IFERROR(SUMIFS(데이터_총괄!$H$3:$H$33,데이터_총괄!$B$3:$B$33,2025,데이터_총괄!$C$3:$C$33,1)/SUMIFS(데이터_총괄!$G$3:$G$33,데이터_총괄!$B$3:$B$33,2025,데이터_총괄!$C$3:$C$33,1),"")</f>
        <v>3.28146229699887</v>
      </c>
      <c r="D75" s="37" t="n">
        <f aca="false">IFERROR(SUMIFS(데이터_총괄!$H$3:$H$33,데이터_총괄!$B$3:$B$33,2026,데이터_총괄!$C$3:$C$33,1)/SUMIFS(데이터_총괄!$G$3:$G$33,데이터_총괄!$B$3:$B$33,2026,데이터_총괄!$C$3:$C$33,1),"")</f>
        <v>3.93334183515196</v>
      </c>
      <c r="E75" s="36" t="n">
        <f aca="false">IFERROR(C75/B75-1,"")</f>
        <v>0.0259950437493433</v>
      </c>
      <c r="F75" s="36" t="n">
        <f aca="false">IFERROR(D75/C75-1,"")</f>
        <v>0.19865519672412</v>
      </c>
      <c r="G75" s="36" t="n">
        <f aca="false">IFERROR(D75/B75-1,"")</f>
        <v>0.229814291003342</v>
      </c>
      <c r="H75" s="34" t="n">
        <f aca="false">IFERROR(C75/SUM(C$75:C$86),"")</f>
        <v>0.0764617389586347</v>
      </c>
      <c r="I75" s="34" t="n">
        <f aca="false">IFERROR(D75/SUM(D$75:D$86),"")</f>
        <v>0.103067999980141</v>
      </c>
    </row>
    <row r="76" customFormat="false" ht="15" hidden="false" customHeight="true" outlineLevel="0" collapsed="false">
      <c r="A76" s="33" t="s">
        <v>19765</v>
      </c>
      <c r="B76" s="37" t="n">
        <f aca="false">IFERROR(SUMIFS(데이터_총괄!$H$3:$H$33,데이터_총괄!$B$3:$B$33,2024,데이터_총괄!$C$3:$C$33,2)/SUMIFS(데이터_총괄!$G$3:$G$33,데이터_총괄!$B$3:$B$33,2024,데이터_총괄!$C$3:$C$33,2),"")</f>
        <v>3.32141317456898</v>
      </c>
      <c r="C76" s="37" t="n">
        <f aca="false">IFERROR(SUMIFS(데이터_총괄!$H$3:$H$33,데이터_총괄!$B$3:$B$33,2025,데이터_총괄!$C$3:$C$33,2)/SUMIFS(데이터_총괄!$G$3:$G$33,데이터_총괄!$B$3:$B$33,2025,데이터_총괄!$C$3:$C$33,2),"")</f>
        <v>3.23753347060804</v>
      </c>
      <c r="D76" s="37" t="n">
        <f aca="false">IFERROR(SUMIFS(데이터_총괄!$H$3:$H$33,데이터_총괄!$B$3:$B$33,2026,데이터_총괄!$C$3:$C$33,2)/SUMIFS(데이터_총괄!$G$3:$G$33,데이터_총괄!$B$3:$B$33,2026,데이터_총괄!$C$3:$C$33,2),"")</f>
        <v>4.33563886970023</v>
      </c>
      <c r="E76" s="36" t="n">
        <f aca="false">IFERROR(C76/B76-1,"")</f>
        <v>-0.0252542214871617</v>
      </c>
      <c r="F76" s="36" t="n">
        <f aca="false">IFERROR(D76/C76-1,"")</f>
        <v>0.339179628276076</v>
      </c>
      <c r="G76" s="36" t="n">
        <f aca="false">IFERROR(D76/B76-1,"")</f>
        <v>0.305359689332497</v>
      </c>
      <c r="H76" s="34" t="n">
        <f aca="false">IFERROR(C76/SUM(C$75:C$86),"")</f>
        <v>0.0754381482078508</v>
      </c>
      <c r="I76" s="34" t="n">
        <f aca="false">IFERROR(D76/SUM(D$75:D$86),"")</f>
        <v>0.113609659588332</v>
      </c>
    </row>
    <row r="77" customFormat="false" ht="15" hidden="false" customHeight="true" outlineLevel="0" collapsed="false">
      <c r="A77" s="33" t="s">
        <v>19766</v>
      </c>
      <c r="B77" s="37" t="n">
        <f aca="false">IFERROR(SUMIFS(데이터_총괄!$H$3:$H$33,데이터_총괄!$B$3:$B$33,2024,데이터_총괄!$C$3:$C$33,3)/SUMIFS(데이터_총괄!$G$3:$G$33,데이터_총괄!$B$3:$B$33,2024,데이터_총괄!$C$3:$C$33,3),"")</f>
        <v>3.36305773454571</v>
      </c>
      <c r="C77" s="37" t="n">
        <f aca="false">IFERROR(SUMIFS(데이터_총괄!$H$3:$H$33,데이터_총괄!$B$3:$B$33,2025,데이터_총괄!$C$3:$C$33,3)/SUMIFS(데이터_총괄!$G$3:$G$33,데이터_총괄!$B$3:$B$33,2025,데이터_총괄!$C$3:$C$33,3),"")</f>
        <v>3.69789463797475</v>
      </c>
      <c r="D77" s="37" t="n">
        <f aca="false">IFERROR(SUMIFS(데이터_총괄!$H$3:$H$33,데이터_총괄!$B$3:$B$33,2026,데이터_총괄!$C$3:$C$33,3)/SUMIFS(데이터_총괄!$G$3:$G$33,데이터_총괄!$B$3:$B$33,2026,데이터_총괄!$C$3:$C$33,3),"")</f>
        <v>5.3975134627075</v>
      </c>
      <c r="E77" s="36" t="n">
        <f aca="false">IFERROR(C77/B77-1,"")</f>
        <v>0.0995632337766794</v>
      </c>
      <c r="F77" s="36" t="n">
        <f aca="false">IFERROR(D77/C77-1,"")</f>
        <v>0.459617969446417</v>
      </c>
      <c r="G77" s="36" t="n">
        <f aca="false">IFERROR(D77/B77-1,"")</f>
        <v>0.604942254563053</v>
      </c>
      <c r="H77" s="34" t="n">
        <f aca="false">IFERROR(C77/SUM(C$75:C$86),"")</f>
        <v>0.0861650779178398</v>
      </c>
      <c r="I77" s="34" t="n">
        <f aca="false">IFERROR(D77/SUM(D$75:D$86),"")</f>
        <v>0.141434673308951</v>
      </c>
    </row>
    <row r="78" customFormat="false" ht="15" hidden="false" customHeight="true" outlineLevel="0" collapsed="false">
      <c r="A78" s="33" t="s">
        <v>19767</v>
      </c>
      <c r="B78" s="37" t="n">
        <f aca="false">IFERROR(SUMIFS(데이터_총괄!$H$3:$H$33,데이터_총괄!$B$3:$B$33,2024,데이터_총괄!$C$3:$C$33,4)/SUMIFS(데이터_총괄!$G$3:$G$33,데이터_총괄!$B$3:$B$33,2024,데이터_총괄!$C$3:$C$33,4),"")</f>
        <v>3.404683347792</v>
      </c>
      <c r="C78" s="37" t="n">
        <f aca="false">IFERROR(SUMIFS(데이터_총괄!$H$3:$H$33,데이터_총괄!$B$3:$B$33,2025,데이터_총괄!$C$3:$C$33,4)/SUMIFS(데이터_총괄!$G$3:$G$33,데이터_총괄!$B$3:$B$33,2025,데이터_총괄!$C$3:$C$33,4),"")</f>
        <v>3.31106749140048</v>
      </c>
      <c r="D78" s="37" t="n">
        <f aca="false">IFERROR(SUMIFS(데이터_총괄!$H$3:$H$33,데이터_총괄!$B$3:$B$33,2026,데이터_총괄!$C$3:$C$33,4)/SUMIFS(데이터_총괄!$G$3:$G$33,데이터_총괄!$B$3:$B$33,2026,데이터_총괄!$C$3:$C$33,4),"")</f>
        <v>5.94933001330775</v>
      </c>
      <c r="E78" s="36" t="n">
        <f aca="false">IFERROR(C78/B78-1,"")</f>
        <v>-0.0274962006238367</v>
      </c>
      <c r="F78" s="36" t="n">
        <f aca="false">IFERROR(D78/C78-1,"")</f>
        <v>0.796801191385975</v>
      </c>
      <c r="G78" s="36" t="n">
        <f aca="false">IFERROR(D78/B78-1,"")</f>
        <v>0.747395985346478</v>
      </c>
      <c r="H78" s="34" t="n">
        <f aca="false">IFERROR(C78/SUM(C$75:C$86),"")</f>
        <v>0.077151573075646</v>
      </c>
      <c r="I78" s="34" t="n">
        <f aca="false">IFERROR(D78/SUM(D$75:D$86),"")</f>
        <v>0.155894293298758</v>
      </c>
    </row>
    <row r="79" customFormat="false" ht="15" hidden="false" customHeight="true" outlineLevel="0" collapsed="false">
      <c r="A79" s="33" t="s">
        <v>19768</v>
      </c>
      <c r="B79" s="37" t="n">
        <f aca="false">IFERROR(SUMIFS(데이터_총괄!$H$3:$H$33,데이터_총괄!$B$3:$B$33,2024,데이터_총괄!$C$3:$C$33,5)/SUMIFS(데이터_총괄!$G$3:$G$33,데이터_총괄!$B$3:$B$33,2024,데이터_총괄!$C$3:$C$33,5),"")</f>
        <v>3.45487992758089</v>
      </c>
      <c r="C79" s="37" t="n">
        <f aca="false">IFERROR(SUMIFS(데이터_총괄!$H$3:$H$33,데이터_총괄!$B$3:$B$33,2025,데이터_총괄!$C$3:$C$33,5)/SUMIFS(데이터_총괄!$G$3:$G$33,데이터_총괄!$B$3:$B$33,2025,데이터_총괄!$C$3:$C$33,5),"")</f>
        <v>3.45498483602965</v>
      </c>
      <c r="D79" s="37" t="n">
        <f aca="false">IFERROR(SUMIFS(데이터_총괄!$H$3:$H$33,데이터_총괄!$B$3:$B$33,2026,데이터_총괄!$C$3:$C$33,5)/SUMIFS(데이터_총괄!$G$3:$G$33,데이터_총괄!$B$3:$B$33,2026,데이터_총괄!$C$3:$C$33,5),"")</f>
        <v>6.44438795970537</v>
      </c>
      <c r="E79" s="36" t="n">
        <f aca="false">IFERROR(C79/B79-1,"")</f>
        <v>3.03652951660904E-005</v>
      </c>
      <c r="F79" s="36" t="n">
        <f aca="false">IFERROR(D79/C79-1,"")</f>
        <v>0.865243486020921</v>
      </c>
      <c r="G79" s="36" t="n">
        <f aca="false">IFERROR(D79/B79-1,"")</f>
        <v>0.86530012468993</v>
      </c>
      <c r="H79" s="34" t="n">
        <f aca="false">IFERROR(C79/SUM(C$75:C$86),"")</f>
        <v>0.0805050080508763</v>
      </c>
      <c r="I79" s="34" t="n">
        <f aca="false">IFERROR(D79/SUM(D$75:D$86),"")</f>
        <v>0.168866629431223</v>
      </c>
    </row>
    <row r="80" customFormat="false" ht="15" hidden="false" customHeight="true" outlineLevel="0" collapsed="false">
      <c r="A80" s="33" t="s">
        <v>19769</v>
      </c>
      <c r="B80" s="37" t="n">
        <f aca="false">IFERROR(SUMIFS(데이터_총괄!$H$3:$H$33,데이터_총괄!$B$3:$B$33,2024,데이터_총괄!$C$3:$C$33,6)/SUMIFS(데이터_총괄!$G$3:$G$33,데이터_총괄!$B$3:$B$33,2024,데이터_총괄!$C$3:$C$33,6),"")</f>
        <v>3.91639450412871</v>
      </c>
      <c r="C80" s="37" t="n">
        <f aca="false">IFERROR(SUMIFS(데이터_총괄!$H$3:$H$33,데이터_총괄!$B$3:$B$33,2025,데이터_총괄!$C$3:$C$33,6)/SUMIFS(데이터_총괄!$G$3:$G$33,데이터_총괄!$B$3:$B$33,2025,데이터_총괄!$C$3:$C$33,6),"")</f>
        <v>3.68862695799073</v>
      </c>
      <c r="D80" s="37" t="n">
        <f aca="false">IFERROR(SUMIFS(데이터_총괄!$H$3:$H$33,데이터_총괄!$B$3:$B$33,2026,데이터_총괄!$C$3:$C$33,6)/SUMIFS(데이터_총괄!$G$3:$G$33,데이터_총괄!$B$3:$B$33,2026,데이터_총괄!$C$3:$C$33,6),"")</f>
        <v>6.49902094450867</v>
      </c>
      <c r="E80" s="36" t="n">
        <f aca="false">IFERROR(C80/B80-1,"")</f>
        <v>-0.0581574572985104</v>
      </c>
      <c r="F80" s="36" t="n">
        <f aca="false">IFERROR(D80/C80-1,"")</f>
        <v>0.761907891073057</v>
      </c>
      <c r="G80" s="36" t="n">
        <f aca="false">IFERROR(D80/B80-1,"")</f>
        <v>0.659439808134067</v>
      </c>
      <c r="H80" s="34" t="n">
        <f aca="false">IFERROR(C80/SUM(C$75:C$86),"")</f>
        <v>0.0859491306164373</v>
      </c>
      <c r="I80" s="34" t="n">
        <f aca="false">IFERROR(D80/SUM(D$75:D$86),"")</f>
        <v>0.170298214254667</v>
      </c>
    </row>
    <row r="81" customFormat="false" ht="15" hidden="false" customHeight="true" outlineLevel="0" collapsed="false">
      <c r="A81" s="33" t="s">
        <v>19770</v>
      </c>
      <c r="B81" s="37" t="n">
        <f aca="false">IFERROR(SUMIFS(데이터_총괄!$H$3:$H$33,데이터_총괄!$B$3:$B$33,2024,데이터_총괄!$C$3:$C$33,7)/SUMIFS(데이터_총괄!$G$3:$G$33,데이터_총괄!$B$3:$B$33,2024,데이터_총괄!$C$3:$C$33,7),"")</f>
        <v>3.44124082813764</v>
      </c>
      <c r="C81" s="37" t="n">
        <f aca="false">IFERROR(SUMIFS(데이터_총괄!$H$3:$H$33,데이터_총괄!$B$3:$B$33,2025,데이터_총괄!$C$3:$C$33,7)/SUMIFS(데이터_총괄!$G$3:$G$33,데이터_총괄!$B$3:$B$33,2025,데이터_총괄!$C$3:$C$33,7),"")</f>
        <v>3.4540060584028</v>
      </c>
      <c r="D81" s="37" t="n">
        <f aca="false">IFERROR(SUMIFS(데이터_총괄!$H$3:$H$33,데이터_총괄!$B$3:$B$33,2026,데이터_총괄!$C$3:$C$33,7)/SUMIFS(데이터_총괄!$G$3:$G$33,데이터_총괄!$B$3:$B$33,2026,데이터_총괄!$C$3:$C$33,7),"")</f>
        <v>5.6033570099028</v>
      </c>
      <c r="E81" s="36" t="n">
        <f aca="false">IFERROR(C81/B81-1,"")</f>
        <v>0.00370948471864718</v>
      </c>
      <c r="F81" s="36" t="n">
        <f aca="false">IFERROR(D81/C81-1,"")</f>
        <v>0.622277701647662</v>
      </c>
      <c r="G81" s="36" t="n">
        <f aca="false">IFERROR(D81/B81-1,"")</f>
        <v>0.628295515991326</v>
      </c>
      <c r="H81" s="34" t="n">
        <f aca="false">IFERROR(C81/SUM(C$75:C$86),"")</f>
        <v>0.0804822014382661</v>
      </c>
      <c r="I81" s="34" t="n">
        <f aca="false">IFERROR(D81/SUM(D$75:D$86),"")</f>
        <v>0.146828530137928</v>
      </c>
    </row>
    <row r="82" customFormat="false" ht="15" hidden="false" customHeight="true" outlineLevel="0" collapsed="false">
      <c r="A82" s="33" t="s">
        <v>19771</v>
      </c>
      <c r="B82" s="37" t="n">
        <f aca="false">IFERROR(SUMIFS(데이터_총괄!$H$3:$H$33,데이터_총괄!$B$3:$B$33,2024,데이터_총괄!$C$3:$C$33,8)/SUMIFS(데이터_총괄!$G$3:$G$33,데이터_총괄!$B$3:$B$33,2024,데이터_총괄!$C$3:$C$33,8),"")</f>
        <v>3.37684744504625</v>
      </c>
      <c r="C82" s="37" t="n">
        <f aca="false">IFERROR(SUMIFS(데이터_총괄!$H$3:$H$33,데이터_총괄!$B$3:$B$33,2025,데이터_총괄!$C$3:$C$33,8)/SUMIFS(데이터_총괄!$G$3:$G$33,데이터_총괄!$B$3:$B$33,2025,데이터_총괄!$C$3:$C$33,8),"")</f>
        <v>3.40326197813722</v>
      </c>
      <c r="D82" s="37"/>
      <c r="E82" s="36" t="n">
        <f aca="false">IFERROR(C82/B82-1,"")</f>
        <v>0.00782224649494268</v>
      </c>
      <c r="F82" s="36" t="n">
        <f aca="false">IFERROR(D82/C82-1,"")</f>
        <v>-1</v>
      </c>
      <c r="G82" s="36" t="n">
        <f aca="false">IFERROR(D82/B82-1,"")</f>
        <v>-1</v>
      </c>
      <c r="H82" s="34" t="n">
        <f aca="false">IFERROR(C82/SUM(C$75:C$86),"")</f>
        <v>0.0792998076553141</v>
      </c>
      <c r="I82" s="34" t="n">
        <f aca="false">IFERROR(D82/SUM(D$75:D$86),"")</f>
        <v>0</v>
      </c>
    </row>
    <row r="83" customFormat="false" ht="15" hidden="false" customHeight="true" outlineLevel="0" collapsed="false">
      <c r="A83" s="33" t="s">
        <v>19772</v>
      </c>
      <c r="B83" s="37" t="n">
        <f aca="false">IFERROR(SUMIFS(데이터_총괄!$H$3:$H$33,데이터_총괄!$B$3:$B$33,2024,데이터_총괄!$C$3:$C$33,9)/SUMIFS(데이터_총괄!$G$3:$G$33,데이터_총괄!$B$3:$B$33,2024,데이터_총괄!$C$3:$C$33,9),"")</f>
        <v>3.55899649547799</v>
      </c>
      <c r="C83" s="37" t="n">
        <f aca="false">IFERROR(SUMIFS(데이터_총괄!$H$3:$H$33,데이터_총괄!$B$3:$B$33,2025,데이터_총괄!$C$3:$C$33,9)/SUMIFS(데이터_총괄!$G$3:$G$33,데이터_총괄!$B$3:$B$33,2025,데이터_총괄!$C$3:$C$33,9),"")</f>
        <v>3.64580406453761</v>
      </c>
      <c r="D83" s="37"/>
      <c r="E83" s="36" t="n">
        <f aca="false">IFERROR(C83/B83-1,"")</f>
        <v>0.0243910240344207</v>
      </c>
      <c r="F83" s="36" t="n">
        <f aca="false">IFERROR(D83/C83-1,"")</f>
        <v>-1</v>
      </c>
      <c r="G83" s="36" t="n">
        <f aca="false">IFERROR(D83/B83-1,"")</f>
        <v>-1</v>
      </c>
      <c r="H83" s="34" t="n">
        <f aca="false">IFERROR(C83/SUM(C$75:C$86),"")</f>
        <v>0.0849513093391183</v>
      </c>
      <c r="I83" s="34" t="n">
        <f aca="false">IFERROR(D83/SUM(D$75:D$86),"")</f>
        <v>0</v>
      </c>
    </row>
    <row r="84" customFormat="false" ht="15" hidden="false" customHeight="true" outlineLevel="0" collapsed="false">
      <c r="A84" s="33" t="s">
        <v>19773</v>
      </c>
      <c r="B84" s="37" t="n">
        <f aca="false">IFERROR(SUMIFS(데이터_총괄!$H$3:$H$33,데이터_총괄!$B$3:$B$33,2024,데이터_총괄!$C$3:$C$33,10)/SUMIFS(데이터_총괄!$G$3:$G$33,데이터_총괄!$B$3:$B$33,2024,데이터_총괄!$C$3:$C$33,10),"")</f>
        <v>3.59491608040294</v>
      </c>
      <c r="C84" s="37" t="n">
        <f aca="false">IFERROR(SUMIFS(데이터_총괄!$H$3:$H$33,데이터_총괄!$B$3:$B$33,2025,데이터_총괄!$C$3:$C$33,10)/SUMIFS(데이터_총괄!$G$3:$G$33,데이터_총괄!$B$3:$B$33,2025,데이터_총괄!$C$3:$C$33,10),"")</f>
        <v>3.71545213571618</v>
      </c>
      <c r="D84" s="37"/>
      <c r="E84" s="36" t="n">
        <f aca="false">IFERROR(C84/B84-1,"")</f>
        <v>0.0335295880675282</v>
      </c>
      <c r="F84" s="36" t="n">
        <f aca="false">IFERROR(D84/C84-1,"")</f>
        <v>-1</v>
      </c>
      <c r="G84" s="36" t="n">
        <f aca="false">IFERROR(D84/B84-1,"")</f>
        <v>-1</v>
      </c>
      <c r="H84" s="34" t="n">
        <f aca="false">IFERROR(C84/SUM(C$75:C$86),"")</f>
        <v>0.0865741872378827</v>
      </c>
      <c r="I84" s="34" t="n">
        <f aca="false">IFERROR(D84/SUM(D$75:D$86),"")</f>
        <v>0</v>
      </c>
    </row>
    <row r="85" customFormat="false" ht="15" hidden="false" customHeight="true" outlineLevel="0" collapsed="false">
      <c r="A85" s="33" t="s">
        <v>19774</v>
      </c>
      <c r="B85" s="37" t="n">
        <f aca="false">IFERROR(SUMIFS(데이터_총괄!$H$3:$H$33,데이터_총괄!$B$3:$B$33,2024,데이터_총괄!$C$3:$C$33,11)/SUMIFS(데이터_총괄!$G$3:$G$33,데이터_총괄!$B$3:$B$33,2024,데이터_총괄!$C$3:$C$33,11),"")</f>
        <v>3.5415115657801</v>
      </c>
      <c r="C85" s="37" t="n">
        <f aca="false">IFERROR(SUMIFS(데이터_총괄!$H$3:$H$33,데이터_총괄!$B$3:$B$33,2025,데이터_총괄!$C$3:$C$33,11)/SUMIFS(데이터_총괄!$G$3:$G$33,데이터_총괄!$B$3:$B$33,2025,데이터_총괄!$C$3:$C$33,11),"")</f>
        <v>4.15968620378295</v>
      </c>
      <c r="D85" s="37"/>
      <c r="E85" s="36" t="n">
        <f aca="false">IFERROR(C85/B85-1,"")</f>
        <v>0.174551071349299</v>
      </c>
      <c r="F85" s="36" t="n">
        <f aca="false">IFERROR(D85/C85-1,"")</f>
        <v>-1</v>
      </c>
      <c r="G85" s="36" t="n">
        <f aca="false">IFERROR(D85/B85-1,"")</f>
        <v>-1</v>
      </c>
      <c r="H85" s="34" t="n">
        <f aca="false">IFERROR(C85/SUM(C$75:C$86),"")</f>
        <v>0.0969253375101619</v>
      </c>
      <c r="I85" s="34" t="n">
        <f aca="false">IFERROR(D85/SUM(D$75:D$86),"")</f>
        <v>0</v>
      </c>
    </row>
    <row r="86" customFormat="false" ht="15" hidden="false" customHeight="true" outlineLevel="0" collapsed="false">
      <c r="A86" s="33" t="s">
        <v>19775</v>
      </c>
      <c r="B86" s="37" t="n">
        <f aca="false">IFERROR(SUMIFS(데이터_총괄!$H$3:$H$33,데이터_총괄!$B$3:$B$33,2024,데이터_총괄!$C$3:$C$33,12)/SUMIFS(데이터_총괄!$G$3:$G$33,데이터_총괄!$B$3:$B$33,2024,데이터_총괄!$C$3:$C$33,12),"")</f>
        <v>3.48230620067952</v>
      </c>
      <c r="C86" s="37" t="n">
        <f aca="false">IFERROR(SUMIFS(데이터_총괄!$H$3:$H$33,데이터_총괄!$B$3:$B$33,2025,데이터_총괄!$C$3:$C$33,12)/SUMIFS(데이터_총괄!$G$3:$G$33,데이터_총괄!$B$3:$B$33,2025,데이터_총괄!$C$3:$C$33,12),"")</f>
        <v>3.8666162477146</v>
      </c>
      <c r="D86" s="37"/>
      <c r="E86" s="36" t="n">
        <f aca="false">IFERROR(C86/B86-1,"")</f>
        <v>0.11036078532097</v>
      </c>
      <c r="F86" s="36" t="n">
        <f aca="false">IFERROR(D86/C86-1,"")</f>
        <v>-1</v>
      </c>
      <c r="G86" s="36" t="n">
        <f aca="false">IFERROR(D86/B86-1,"")</f>
        <v>-1</v>
      </c>
      <c r="H86" s="34" t="n">
        <f aca="false">IFERROR(C86/SUM(C$75:C$86),"")</f>
        <v>0.0900964799919721</v>
      </c>
      <c r="I86" s="34" t="n">
        <f aca="false">IFERROR(D86/SUM(D$75:D$86),"")</f>
        <v>0</v>
      </c>
    </row>
    <row r="87" customFormat="false" ht="15" hidden="false" customHeight="true" outlineLevel="0" collapsed="false">
      <c r="A87" s="6" t="s">
        <v>19776</v>
      </c>
      <c r="B87" s="39" t="n">
        <f aca="false">SUM(B75:B86)</f>
        <v>41.6545690864831</v>
      </c>
      <c r="C87" s="39" t="n">
        <f aca="false">SUM(C75:C86)</f>
        <v>42.9163963792939</v>
      </c>
      <c r="D87" s="39" t="n">
        <f aca="false">SUM(D75:D86)</f>
        <v>38.1625900949843</v>
      </c>
      <c r="E87" s="41" t="n">
        <f aca="false">IFERROR(C87/B87-1,"")</f>
        <v>0.0302926502538281</v>
      </c>
      <c r="F87" s="36"/>
    </row>
    <row r="88" customFormat="false" ht="15" hidden="false" customHeight="true" outlineLevel="0" collapsed="false">
      <c r="A88" s="48" t="s">
        <v>19777</v>
      </c>
      <c r="B88" s="39" t="n">
        <f aca="false">SUM(B75:B81)</f>
        <v>24.0999912990963</v>
      </c>
      <c r="C88" s="39" t="n">
        <f aca="false">SUM(C75:C81)</f>
        <v>24.1255757494053</v>
      </c>
      <c r="D88" s="39" t="n">
        <f aca="false">SUM(D75:D81)</f>
        <v>38.1625900949843</v>
      </c>
      <c r="E88" s="41" t="n">
        <f aca="false">IFERROR(C88/B88-1,"")</f>
        <v>0.00106159583177701</v>
      </c>
      <c r="F88" s="41" t="n">
        <f aca="false">IFERROR(D88/C88-1,"")</f>
        <v>0.581831268666198</v>
      </c>
      <c r="G88" s="41" t="n">
        <f aca="false">IFERROR(D88/B88-1,"")</f>
        <v>0.583510534147588</v>
      </c>
    </row>
    <row r="90" customFormat="false" ht="14.25" hidden="false" customHeight="true" outlineLevel="0" collapsed="false">
      <c r="A90" s="4" t="s">
        <v>19782</v>
      </c>
      <c r="B90" s="4"/>
      <c r="C90" s="4"/>
      <c r="D90" s="4"/>
      <c r="E90" s="4"/>
      <c r="F90" s="4"/>
      <c r="G90" s="4"/>
      <c r="H90" s="4"/>
      <c r="I90" s="4"/>
    </row>
    <row r="91" customFormat="false" ht="15" hidden="false" customHeight="true" outlineLevel="0" collapsed="false">
      <c r="A91" s="5" t="s">
        <v>19654</v>
      </c>
      <c r="B91" s="50" t="s">
        <v>19756</v>
      </c>
      <c r="C91" s="51" t="s">
        <v>19757</v>
      </c>
      <c r="D91" s="52" t="s">
        <v>19758</v>
      </c>
      <c r="E91" s="44" t="s">
        <v>19759</v>
      </c>
      <c r="F91" s="44" t="s">
        <v>19760</v>
      </c>
      <c r="G91" s="44" t="s">
        <v>19761</v>
      </c>
      <c r="H91" s="44" t="s">
        <v>19762</v>
      </c>
      <c r="I91" s="44" t="s">
        <v>19763</v>
      </c>
    </row>
    <row r="92" customFormat="false" ht="15" hidden="false" customHeight="true" outlineLevel="0" collapsed="false">
      <c r="A92" s="33" t="s">
        <v>19764</v>
      </c>
      <c r="B92" s="25" t="n">
        <f aca="false">IFERROR(SUMIFS(데이터_총괄!$H$3:$H$33,데이터_총괄!$B$3:$B$33,2024,데이터_총괄!$C$3:$C$33,1)/SUMIFS(데이터_총괄!$E$3:$E$33,데이터_총괄!$B$3:$B$33,2024,데이터_총괄!$C$3:$C$33,1),"")</f>
        <v>2279575.95833333</v>
      </c>
      <c r="C92" s="25" t="n">
        <f aca="false">IFERROR(SUMIFS(데이터_총괄!$H$3:$H$33,데이터_총괄!$B$3:$B$33,2025,데이터_총괄!$C$3:$C$33,1)/SUMIFS(데이터_총괄!$E$3:$E$33,데이터_총괄!$B$3:$B$33,2025,데이터_총괄!$C$3:$C$33,1),"")</f>
        <v>2458849.2</v>
      </c>
      <c r="D92" s="25" t="n">
        <f aca="false">IFERROR(SUMIFS(데이터_총괄!$H$3:$H$33,데이터_총괄!$B$3:$B$33,2026,데이터_총괄!$C$3:$C$33,1)/SUMIFS(데이터_총괄!$E$3:$E$33,데이터_총괄!$B$3:$B$33,2026,데이터_총괄!$C$3:$C$33,1),"")</f>
        <v>2801869.65957447</v>
      </c>
      <c r="E92" s="36" t="n">
        <f aca="false">IFERROR(C92/B92-1,"")</f>
        <v>0.0786432410867057</v>
      </c>
      <c r="F92" s="36" t="n">
        <f aca="false">IFERROR(D92/C92-1,"")</f>
        <v>0.139504472081683</v>
      </c>
      <c r="G92" s="36" t="n">
        <f aca="false">IFERROR(D92/B92-1,"")</f>
        <v>0.229118796998982</v>
      </c>
      <c r="H92" s="34" t="n">
        <f aca="false">IFERROR(C92/SUM(C$92:C$103),"")</f>
        <v>0.0774632517098999</v>
      </c>
      <c r="I92" s="34" t="n">
        <f aca="false">IFERROR(D92/SUM(D$92:D$103),"")</f>
        <v>0.105101211509755</v>
      </c>
    </row>
    <row r="93" customFormat="false" ht="15" hidden="false" customHeight="true" outlineLevel="0" collapsed="false">
      <c r="A93" s="33" t="s">
        <v>19765</v>
      </c>
      <c r="B93" s="25" t="n">
        <f aca="false">IFERROR(SUMIFS(데이터_총괄!$H$3:$H$33,데이터_총괄!$B$3:$B$33,2024,데이터_총괄!$C$3:$C$33,2)/SUMIFS(데이터_총괄!$E$3:$E$33,데이터_총괄!$B$3:$B$33,2024,데이터_총괄!$C$3:$C$33,2),"")</f>
        <v>2540311.70731707</v>
      </c>
      <c r="C93" s="25" t="n">
        <f aca="false">IFERROR(SUMIFS(데이터_총괄!$H$3:$H$33,데이터_총괄!$B$3:$B$33,2025,데이터_총괄!$C$3:$C$33,2)/SUMIFS(데이터_총괄!$E$3:$E$33,데이터_총괄!$B$3:$B$33,2025,데이터_총괄!$C$3:$C$33,2),"")</f>
        <v>2376922.77272727</v>
      </c>
      <c r="D93" s="25" t="n">
        <f aca="false">IFERROR(SUMIFS(데이터_총괄!$H$3:$H$33,데이터_총괄!$B$3:$B$33,2026,데이터_총괄!$C$3:$C$33,2)/SUMIFS(데이터_총괄!$E$3:$E$33,데이터_총괄!$B$3:$B$33,2026,데이터_총괄!$C$3:$C$33,2),"")</f>
        <v>3560134.05263158</v>
      </c>
      <c r="E93" s="36" t="n">
        <f aca="false">IFERROR(C93/B93-1,"")</f>
        <v>-0.0643184590769619</v>
      </c>
      <c r="F93" s="36" t="n">
        <f aca="false">IFERROR(D93/C93-1,"")</f>
        <v>0.49779121706453</v>
      </c>
      <c r="G93" s="36" t="n">
        <f aca="false">IFERROR(D93/B93-1,"")</f>
        <v>0.401455593963932</v>
      </c>
      <c r="H93" s="34" t="n">
        <f aca="false">IFERROR(C93/SUM(C$92:C$103),"")</f>
        <v>0.0748822526565541</v>
      </c>
      <c r="I93" s="34" t="n">
        <f aca="false">IFERROR(D93/SUM(D$92:D$103),"")</f>
        <v>0.133544542584304</v>
      </c>
    </row>
    <row r="94" customFormat="false" ht="15" hidden="false" customHeight="true" outlineLevel="0" collapsed="false">
      <c r="A94" s="33" t="s">
        <v>19766</v>
      </c>
      <c r="B94" s="25" t="n">
        <f aca="false">IFERROR(SUMIFS(데이터_총괄!$H$3:$H$33,데이터_총괄!$B$3:$B$33,2024,데이터_총괄!$C$3:$C$33,3)/SUMIFS(데이터_총괄!$E$3:$E$33,데이터_총괄!$B$3:$B$33,2024,데이터_총괄!$C$3:$C$33,3),"")</f>
        <v>2511924.84444444</v>
      </c>
      <c r="C94" s="25" t="n">
        <f aca="false">IFERROR(SUMIFS(데이터_총괄!$H$3:$H$33,데이터_총괄!$B$3:$B$33,2025,데이터_총괄!$C$3:$C$33,3)/SUMIFS(데이터_총괄!$E$3:$E$33,데이터_총괄!$B$3:$B$33,2025,데이터_총괄!$C$3:$C$33,3),"")</f>
        <v>2639298.27272727</v>
      </c>
      <c r="D94" s="25" t="n">
        <f aca="false">IFERROR(SUMIFS(데이터_총괄!$H$3:$H$33,데이터_총괄!$B$3:$B$33,2026,데이터_총괄!$C$3:$C$33,3)/SUMIFS(데이터_총괄!$E$3:$E$33,데이터_총괄!$B$3:$B$33,2026,데이터_총괄!$C$3:$C$33,3),"")</f>
        <v>3797092.52173913</v>
      </c>
      <c r="E94" s="36" t="n">
        <f aca="false">IFERROR(C94/B94-1,"")</f>
        <v>0.050707499694721</v>
      </c>
      <c r="F94" s="36" t="n">
        <f aca="false">IFERROR(D94/C94-1,"")</f>
        <v>0.438675030016775</v>
      </c>
      <c r="G94" s="36" t="n">
        <f aca="false">IFERROR(D94/B94-1,"")</f>
        <v>0.511626643662153</v>
      </c>
      <c r="H94" s="34" t="n">
        <f aca="false">IFERROR(C94/SUM(C$92:C$103),"")</f>
        <v>0.0831480948232924</v>
      </c>
      <c r="I94" s="34" t="n">
        <f aca="false">IFERROR(D94/SUM(D$92:D$103),"")</f>
        <v>0.142433115289889</v>
      </c>
    </row>
    <row r="95" customFormat="false" ht="15" hidden="false" customHeight="true" outlineLevel="0" collapsed="false">
      <c r="A95" s="33" t="s">
        <v>19767</v>
      </c>
      <c r="B95" s="25" t="n">
        <f aca="false">IFERROR(SUMIFS(데이터_총괄!$H$3:$H$33,데이터_총괄!$B$3:$B$33,2024,데이터_총괄!$C$3:$C$33,4)/SUMIFS(데이터_총괄!$E$3:$E$33,데이터_총괄!$B$3:$B$33,2024,데이터_총괄!$C$3:$C$33,4),"")</f>
        <v>2441230.39130435</v>
      </c>
      <c r="C95" s="25" t="n">
        <f aca="false">IFERROR(SUMIFS(데이터_총괄!$H$3:$H$33,데이터_총괄!$B$3:$B$33,2025,데이터_총괄!$C$3:$C$33,4)/SUMIFS(데이터_총괄!$E$3:$E$33,데이터_총괄!$B$3:$B$33,2025,데이터_총괄!$C$3:$C$33,4),"")</f>
        <v>2418156.04166667</v>
      </c>
      <c r="D95" s="25" t="n">
        <f aca="false">IFERROR(SUMIFS(데이터_총괄!$H$3:$H$33,데이터_총괄!$B$3:$B$33,2026,데이터_총괄!$C$3:$C$33,4)/SUMIFS(데이터_총괄!$E$3:$E$33,데이터_총괄!$B$3:$B$33,2026,데이터_총괄!$C$3:$C$33,4),"")</f>
        <v>3572995.125</v>
      </c>
      <c r="E95" s="36" t="n">
        <f aca="false">IFERROR(C95/B95-1,"")</f>
        <v>-0.00945193445070647</v>
      </c>
      <c r="F95" s="36" t="n">
        <f aca="false">IFERROR(D95/C95-1,"")</f>
        <v>0.477570125101349</v>
      </c>
      <c r="G95" s="36" t="n">
        <f aca="false">IFERROR(D95/B95-1,"")</f>
        <v>0.463604229132569</v>
      </c>
      <c r="H95" s="34" t="n">
        <f aca="false">IFERROR(C95/SUM(C$92:C$103),"")</f>
        <v>0.0761812599688668</v>
      </c>
      <c r="I95" s="34" t="n">
        <f aca="false">IFERROR(D95/SUM(D$92:D$103),"")</f>
        <v>0.134026975549241</v>
      </c>
    </row>
    <row r="96" customFormat="false" ht="15" hidden="false" customHeight="true" outlineLevel="0" collapsed="false">
      <c r="A96" s="33" t="s">
        <v>19768</v>
      </c>
      <c r="B96" s="25" t="n">
        <f aca="false">IFERROR(SUMIFS(데이터_총괄!$H$3:$H$33,데이터_총괄!$B$3:$B$33,2024,데이터_총괄!$C$3:$C$33,5)/SUMIFS(데이터_총괄!$E$3:$E$33,데이터_총괄!$B$3:$B$33,2024,데이터_총괄!$C$3:$C$33,5),"")</f>
        <v>2637298.04545455</v>
      </c>
      <c r="C96" s="25" t="n">
        <f aca="false">IFERROR(SUMIFS(데이터_총괄!$H$3:$H$33,데이터_총괄!$B$3:$B$33,2025,데이터_총괄!$C$3:$C$33,5)/SUMIFS(데이터_총괄!$E$3:$E$33,데이터_총괄!$B$3:$B$33,2025,데이터_총괄!$C$3:$C$33,5),"")</f>
        <v>2663305.25581395</v>
      </c>
      <c r="D96" s="25" t="n">
        <f aca="false">IFERROR(SUMIFS(데이터_총괄!$H$3:$H$33,데이터_총괄!$B$3:$B$33,2026,데이터_총괄!$C$3:$C$33,5)/SUMIFS(데이터_총괄!$E$3:$E$33,데이터_총괄!$B$3:$B$33,2026,데이터_총괄!$C$3:$C$33,5),"")</f>
        <v>4272004.04878049</v>
      </c>
      <c r="E96" s="36" t="n">
        <f aca="false">IFERROR(C96/B96-1,"")</f>
        <v>0.00986130877555991</v>
      </c>
      <c r="F96" s="36" t="n">
        <f aca="false">IFERROR(D96/C96-1,"")</f>
        <v>0.604023436462933</v>
      </c>
      <c r="G96" s="36" t="n">
        <f aca="false">IFERROR(D96/B96-1,"")</f>
        <v>0.619841206853129</v>
      </c>
      <c r="H96" s="34" t="n">
        <f aca="false">IFERROR(C96/SUM(C$92:C$103),"")</f>
        <v>0.0839044075624547</v>
      </c>
      <c r="I96" s="34" t="n">
        <f aca="false">IFERROR(D96/SUM(D$92:D$103),"")</f>
        <v>0.160247568821455</v>
      </c>
    </row>
    <row r="97" customFormat="false" ht="15" hidden="false" customHeight="true" outlineLevel="0" collapsed="false">
      <c r="A97" s="33" t="s">
        <v>19769</v>
      </c>
      <c r="B97" s="25" t="n">
        <f aca="false">IFERROR(SUMIFS(데이터_총괄!$H$3:$H$33,데이터_총괄!$B$3:$B$33,2024,데이터_총괄!$C$3:$C$33,6)/SUMIFS(데이터_총괄!$E$3:$E$33,데이터_총괄!$B$3:$B$33,2024,데이터_총괄!$C$3:$C$33,6),"")</f>
        <v>2667052.74418605</v>
      </c>
      <c r="C97" s="25" t="n">
        <f aca="false">IFERROR(SUMIFS(데이터_총괄!$H$3:$H$33,데이터_총괄!$B$3:$B$33,2025,데이터_총괄!$C$3:$C$33,6)/SUMIFS(데이터_총괄!$E$3:$E$33,데이터_총괄!$B$3:$B$33,2025,데이터_총괄!$C$3:$C$33,6),"")</f>
        <v>2849228.42857143</v>
      </c>
      <c r="D97" s="25" t="n">
        <f aca="false">IFERROR(SUMIFS(데이터_총괄!$H$3:$H$33,데이터_총괄!$B$3:$B$33,2026,데이터_총괄!$C$3:$C$33,6)/SUMIFS(데이터_총괄!$E$3:$E$33,데이터_총괄!$B$3:$B$33,2026,데이터_총괄!$C$3:$C$33,6),"")</f>
        <v>4531384.84444444</v>
      </c>
      <c r="E97" s="36" t="n">
        <f aca="false">IFERROR(C97/B97-1,"")</f>
        <v>0.0683059923664839</v>
      </c>
      <c r="F97" s="36" t="n">
        <f aca="false">IFERROR(D97/C97-1,"")</f>
        <v>0.590390155806648</v>
      </c>
      <c r="G97" s="36" t="n">
        <f aca="false">IFERROR(D97/B97-1,"")</f>
        <v>0.699023333648908</v>
      </c>
      <c r="H97" s="34" t="n">
        <f aca="false">IFERROR(C97/SUM(C$92:C$103),"")</f>
        <v>0.0897617059807617</v>
      </c>
      <c r="I97" s="34" t="n">
        <f aca="false">IFERROR(D97/SUM(D$92:D$103),"")</f>
        <v>0.169977227648906</v>
      </c>
    </row>
    <row r="98" customFormat="false" ht="15" hidden="false" customHeight="true" outlineLevel="0" collapsed="false">
      <c r="A98" s="33" t="s">
        <v>19770</v>
      </c>
      <c r="B98" s="25" t="n">
        <f aca="false">IFERROR(SUMIFS(데이터_총괄!$H$3:$H$33,데이터_총괄!$B$3:$B$33,2024,데이터_총괄!$C$3:$C$33,7)/SUMIFS(데이터_총괄!$E$3:$E$33,데이터_총괄!$B$3:$B$33,2024,데이터_총괄!$C$3:$C$33,7),"")</f>
        <v>2298351.52</v>
      </c>
      <c r="C98" s="25" t="n">
        <f aca="false">IFERROR(SUMIFS(데이터_총괄!$H$3:$H$33,데이터_총괄!$B$3:$B$33,2025,데이터_총괄!$C$3:$C$33,7)/SUMIFS(데이터_총괄!$E$3:$E$33,데이터_총괄!$B$3:$B$33,2025,데이터_총괄!$C$3:$C$33,7),"")</f>
        <v>2428972.88</v>
      </c>
      <c r="D98" s="25" t="n">
        <f aca="false">IFERROR(SUMIFS(데이터_총괄!$H$3:$H$33,데이터_총괄!$B$3:$B$33,2026,데이터_총괄!$C$3:$C$33,7)/SUMIFS(데이터_총괄!$E$3:$E$33,데이터_총괄!$B$3:$B$33,2026,데이터_총괄!$C$3:$C$33,7),"")</f>
        <v>4123295.79166667</v>
      </c>
      <c r="E98" s="36" t="n">
        <f aca="false">IFERROR(C98/B98-1,"")</f>
        <v>0.0568326293273014</v>
      </c>
      <c r="F98" s="36" t="n">
        <f aca="false">IFERROR(D98/C98-1,"")</f>
        <v>0.69754706839982</v>
      </c>
      <c r="G98" s="36" t="n">
        <f aca="false">IFERROR(D98/B98-1,"")</f>
        <v>0.794023131703834</v>
      </c>
      <c r="H98" s="34" t="n">
        <f aca="false">IFERROR(C98/SUM(C$92:C$103),"")</f>
        <v>0.0765220321766623</v>
      </c>
      <c r="I98" s="34" t="n">
        <f aca="false">IFERROR(D98/SUM(D$92:D$103),"")</f>
        <v>0.154669358596451</v>
      </c>
    </row>
    <row r="99" customFormat="false" ht="15" hidden="false" customHeight="true" outlineLevel="0" collapsed="false">
      <c r="A99" s="33" t="s">
        <v>19771</v>
      </c>
      <c r="B99" s="25" t="n">
        <f aca="false">IFERROR(SUMIFS(데이터_총괄!$H$3:$H$33,데이터_총괄!$B$3:$B$33,2024,데이터_총괄!$C$3:$C$33,8)/SUMIFS(데이터_총괄!$E$3:$E$33,데이터_총괄!$B$3:$B$33,2024,데이터_총괄!$C$3:$C$33,8),"")</f>
        <v>2452890.38297872</v>
      </c>
      <c r="C99" s="25" t="n">
        <f aca="false">IFERROR(SUMIFS(데이터_총괄!$H$3:$H$33,데이터_총괄!$B$3:$B$33,2025,데이터_총괄!$C$3:$C$33,8)/SUMIFS(데이터_총괄!$E$3:$E$33,데이터_총괄!$B$3:$B$33,2025,데이터_총괄!$C$3:$C$33,8),"")</f>
        <v>2589303.64444444</v>
      </c>
      <c r="D99" s="25"/>
      <c r="E99" s="36" t="n">
        <f aca="false">IFERROR(C99/B99-1,"")</f>
        <v>0.0556132725752156</v>
      </c>
      <c r="F99" s="36" t="n">
        <f aca="false">IFERROR(D99/C99-1,"")</f>
        <v>-1</v>
      </c>
      <c r="G99" s="36" t="n">
        <f aca="false">IFERROR(D99/B99-1,"")</f>
        <v>-1</v>
      </c>
      <c r="H99" s="34" t="n">
        <f aca="false">IFERROR(C99/SUM(C$92:C$103),"")</f>
        <v>0.081573070834503</v>
      </c>
      <c r="I99" s="34" t="n">
        <f aca="false">IFERROR(D99/SUM(D$92:D$103),"")</f>
        <v>0</v>
      </c>
    </row>
    <row r="100" customFormat="false" ht="15" hidden="false" customHeight="true" outlineLevel="0" collapsed="false">
      <c r="A100" s="33" t="s">
        <v>19772</v>
      </c>
      <c r="B100" s="25" t="n">
        <f aca="false">IFERROR(SUMIFS(데이터_총괄!$H$3:$H$33,데이터_총괄!$B$3:$B$33,2024,데이터_총괄!$C$3:$C$33,9)/SUMIFS(데이터_총괄!$E$3:$E$33,데이터_총괄!$B$3:$B$33,2024,데이터_총괄!$C$3:$C$33,9),"")</f>
        <v>2927234.65</v>
      </c>
      <c r="C100" s="25" t="n">
        <f aca="false">IFERROR(SUMIFS(데이터_총괄!$H$3:$H$33,데이터_총괄!$B$3:$B$33,2025,데이터_총괄!$C$3:$C$33,9)/SUMIFS(데이터_총괄!$E$3:$E$33,데이터_총괄!$B$3:$B$33,2025,데이터_총괄!$C$3:$C$33,9),"")</f>
        <v>2746004.91666667</v>
      </c>
      <c r="D100" s="25"/>
      <c r="E100" s="36" t="n">
        <f aca="false">IFERROR(C100/B100-1,"")</f>
        <v>-0.0619115837991783</v>
      </c>
      <c r="F100" s="36" t="n">
        <f aca="false">IFERROR(D100/C100-1,"")</f>
        <v>-1</v>
      </c>
      <c r="G100" s="36" t="n">
        <f aca="false">IFERROR(D100/B100-1,"")</f>
        <v>-1</v>
      </c>
      <c r="H100" s="34" t="n">
        <f aca="false">IFERROR(C100/SUM(C$92:C$103),"")</f>
        <v>0.0865097664616328</v>
      </c>
      <c r="I100" s="34" t="n">
        <f aca="false">IFERROR(D100/SUM(D$92:D$103),"")</f>
        <v>0</v>
      </c>
    </row>
    <row r="101" customFormat="false" ht="15" hidden="false" customHeight="true" outlineLevel="0" collapsed="false">
      <c r="A101" s="33" t="s">
        <v>19773</v>
      </c>
      <c r="B101" s="25" t="n">
        <f aca="false">IFERROR(SUMIFS(데이터_총괄!$H$3:$H$33,데이터_총괄!$B$3:$B$33,2024,데이터_총괄!$C$3:$C$33,10)/SUMIFS(데이터_총괄!$E$3:$E$33,데이터_총괄!$B$3:$B$33,2024,데이터_총괄!$C$3:$C$33,10),"")</f>
        <v>2613645.09090909</v>
      </c>
      <c r="C101" s="25" t="n">
        <f aca="false">IFERROR(SUMIFS(데이터_총괄!$H$3:$H$33,데이터_총괄!$B$3:$B$33,2025,데이터_총괄!$C$3:$C$33,10)/SUMIFS(데이터_총괄!$E$3:$E$33,데이터_총괄!$B$3:$B$33,2025,데이터_총괄!$C$3:$C$33,10),"")</f>
        <v>2975578.9</v>
      </c>
      <c r="D101" s="25"/>
      <c r="E101" s="36" t="n">
        <f aca="false">IFERROR(C101/B101-1,"")</f>
        <v>0.138478560210721</v>
      </c>
      <c r="F101" s="36" t="n">
        <f aca="false">IFERROR(D101/C101-1,"")</f>
        <v>-1</v>
      </c>
      <c r="G101" s="36" t="n">
        <f aca="false">IFERROR(D101/B101-1,"")</f>
        <v>-1</v>
      </c>
      <c r="H101" s="34" t="n">
        <f aca="false">IFERROR(C101/SUM(C$92:C$103),"")</f>
        <v>0.0937422340960833</v>
      </c>
      <c r="I101" s="34" t="n">
        <f aca="false">IFERROR(D101/SUM(D$92:D$103),"")</f>
        <v>0</v>
      </c>
    </row>
    <row r="102" customFormat="false" ht="15" hidden="false" customHeight="true" outlineLevel="0" collapsed="false">
      <c r="A102" s="33" t="s">
        <v>19774</v>
      </c>
      <c r="B102" s="25" t="n">
        <f aca="false">IFERROR(SUMIFS(데이터_총괄!$H$3:$H$33,데이터_총괄!$B$3:$B$33,2024,데이터_총괄!$C$3:$C$33,11)/SUMIFS(데이터_총괄!$E$3:$E$33,데이터_총괄!$B$3:$B$33,2024,데이터_총괄!$C$3:$C$33,11),"")</f>
        <v>2395260.80851064</v>
      </c>
      <c r="C102" s="25" t="n">
        <f aca="false">IFERROR(SUMIFS(데이터_총괄!$H$3:$H$33,데이터_총괄!$B$3:$B$33,2025,데이터_총괄!$C$3:$C$33,11)/SUMIFS(데이터_총괄!$E$3:$E$33,데이터_총괄!$B$3:$B$33,2025,데이터_총괄!$C$3:$C$33,11),"")</f>
        <v>2700116.35555556</v>
      </c>
      <c r="D102" s="25"/>
      <c r="E102" s="36" t="n">
        <f aca="false">IFERROR(C102/B102-1,"")</f>
        <v>0.127274468801782</v>
      </c>
      <c r="F102" s="36" t="n">
        <f aca="false">IFERROR(D102/C102-1,"")</f>
        <v>-1</v>
      </c>
      <c r="G102" s="36" t="n">
        <f aca="false">IFERROR(D102/B102-1,"")</f>
        <v>-1</v>
      </c>
      <c r="H102" s="34" t="n">
        <f aca="false">IFERROR(C102/SUM(C$92:C$103),"")</f>
        <v>0.0850640994561267</v>
      </c>
      <c r="I102" s="34" t="n">
        <f aca="false">IFERROR(D102/SUM(D$92:D$103),"")</f>
        <v>0</v>
      </c>
    </row>
    <row r="103" customFormat="false" ht="15" hidden="false" customHeight="true" outlineLevel="0" collapsed="false">
      <c r="A103" s="33" t="s">
        <v>19775</v>
      </c>
      <c r="B103" s="25" t="n">
        <f aca="false">IFERROR(SUMIFS(데이터_총괄!$H$3:$H$33,데이터_총괄!$B$3:$B$33,2024,데이터_총괄!$C$3:$C$33,12)/SUMIFS(데이터_총괄!$E$3:$E$33,데이터_총괄!$B$3:$B$33,2024,데이터_총괄!$C$3:$C$33,12),"")</f>
        <v>2667793.47826087</v>
      </c>
      <c r="C103" s="25" t="n">
        <f aca="false">IFERROR(SUMIFS(데이터_총괄!$H$3:$H$33,데이터_총괄!$B$3:$B$33,2025,데이터_총괄!$C$3:$C$33,12)/SUMIFS(데이터_총괄!$E$3:$E$33,데이터_총괄!$B$3:$B$33,2025,데이터_총괄!$C$3:$C$33,12),"")</f>
        <v>2896401</v>
      </c>
      <c r="D103" s="25"/>
      <c r="E103" s="36" t="n">
        <f aca="false">IFERROR(C103/B103-1,"")</f>
        <v>0.0856916112892514</v>
      </c>
      <c r="F103" s="36" t="n">
        <f aca="false">IFERROR(D103/C103-1,"")</f>
        <v>-1</v>
      </c>
      <c r="G103" s="36" t="n">
        <f aca="false">IFERROR(D103/B103-1,"")</f>
        <v>-1</v>
      </c>
      <c r="H103" s="34" t="n">
        <f aca="false">IFERROR(C103/SUM(C$92:C$103),"")</f>
        <v>0.0912478242731623</v>
      </c>
      <c r="I103" s="34" t="n">
        <f aca="false">IFERROR(D103/SUM(D$92:D$103),"")</f>
        <v>0</v>
      </c>
    </row>
    <row r="104" customFormat="false" ht="15" hidden="false" customHeight="true" outlineLevel="0" collapsed="false">
      <c r="A104" s="6" t="s">
        <v>19776</v>
      </c>
      <c r="B104" s="30" t="n">
        <f aca="false">SUM(B92:B103)</f>
        <v>30432569.6216991</v>
      </c>
      <c r="C104" s="30" t="n">
        <f aca="false">SUM(C92:C103)</f>
        <v>31742137.6681733</v>
      </c>
      <c r="D104" s="30" t="n">
        <f aca="false">SUM(D92:D103)</f>
        <v>26658776.0438368</v>
      </c>
      <c r="E104" s="41" t="n">
        <f aca="false">IFERROR(C104/B104-1,"")</f>
        <v>0.0430317933304061</v>
      </c>
      <c r="F104" s="36"/>
    </row>
    <row r="105" customFormat="false" ht="15" hidden="false" customHeight="true" outlineLevel="0" collapsed="false">
      <c r="A105" s="48" t="s">
        <v>19777</v>
      </c>
      <c r="B105" s="30" t="n">
        <f aca="false">SUM(B92:B98)</f>
        <v>17375745.2110398</v>
      </c>
      <c r="C105" s="30" t="n">
        <f aca="false">SUM(C92:C98)</f>
        <v>17834732.8515066</v>
      </c>
      <c r="D105" s="30" t="n">
        <f aca="false">SUM(D92:D98)</f>
        <v>26658776.0438368</v>
      </c>
      <c r="E105" s="41" t="n">
        <f aca="false">IFERROR(C105/B105-1,"")</f>
        <v>0.0264154218936856</v>
      </c>
      <c r="F105" s="41" t="n">
        <f aca="false">IFERROR(D105/C105-1,"")</f>
        <v>0.494767332137794</v>
      </c>
      <c r="G105" s="41" t="n">
        <f aca="false">IFERROR(D105/B105-1,"")</f>
        <v>0.534252241849112</v>
      </c>
    </row>
    <row r="107" customFormat="false" ht="14.25" hidden="false" customHeight="true" outlineLevel="0" collapsed="false">
      <c r="A107" s="23" t="s">
        <v>19783</v>
      </c>
      <c r="B107" s="23"/>
      <c r="C107" s="23"/>
      <c r="D107" s="23"/>
      <c r="E107" s="23"/>
      <c r="F107" s="23"/>
      <c r="G107" s="23"/>
      <c r="H107" s="23"/>
      <c r="I107" s="23"/>
    </row>
    <row r="108" customFormat="false" ht="15" hidden="false" customHeight="true" outlineLevel="0" collapsed="false">
      <c r="A108" s="5" t="s">
        <v>19654</v>
      </c>
      <c r="B108" s="50" t="s">
        <v>19756</v>
      </c>
      <c r="C108" s="51" t="s">
        <v>19757</v>
      </c>
      <c r="D108" s="52" t="s">
        <v>19758</v>
      </c>
      <c r="E108" s="44" t="s">
        <v>19759</v>
      </c>
      <c r="F108" s="44" t="s">
        <v>19760</v>
      </c>
      <c r="G108" s="44" t="s">
        <v>19761</v>
      </c>
      <c r="H108" s="44" t="s">
        <v>19762</v>
      </c>
      <c r="I108" s="44" t="s">
        <v>19763</v>
      </c>
    </row>
    <row r="109" customFormat="false" ht="15" hidden="false" customHeight="true" outlineLevel="0" collapsed="false">
      <c r="A109" s="33" t="s">
        <v>19764</v>
      </c>
      <c r="B109" s="25" t="n">
        <f aca="false">SUMIFS(데이터_신성질별!$G$3:$G$529,데이터_신성질별!$E$3:$E$529,"라.IT부품",데이터_신성질별!$B$3:$B$529,2024,데이터_신성질별!$C$3:$C$529,1)</f>
        <v>10906032</v>
      </c>
      <c r="C109" s="25" t="n">
        <f aca="false">SUMIFS(데이터_신성질별!$G$3:$G$529,데이터_신성질별!$E$3:$E$529,"라.IT부품",데이터_신성질별!$B$3:$B$529,2025,데이터_신성질별!$C$3:$C$529,1)</f>
        <v>11401866</v>
      </c>
      <c r="D109" s="25" t="n">
        <f aca="false">SUMIFS(데이터_신성질별!$G$3:$G$529,데이터_신성질별!$E$3:$E$529,"라.IT부품",데이터_신성질별!$B$3:$B$529,2026,데이터_신성질별!$C$3:$C$529,1)</f>
        <v>22116584</v>
      </c>
      <c r="E109" s="36" t="n">
        <f aca="false">IFERROR(C109/B109-1,"")</f>
        <v>0.0454641981611643</v>
      </c>
      <c r="F109" s="36" t="n">
        <f aca="false">IFERROR(D109/C109-1,"")</f>
        <v>0.939733724286884</v>
      </c>
      <c r="G109" s="36" t="n">
        <f aca="false">IFERROR(D109/B109-1,"")</f>
        <v>1.02792216270776</v>
      </c>
      <c r="H109" s="34" t="n">
        <f aca="false">IFERROR(C109/SUM(C$109:C$120),"")</f>
        <v>0.0596244796517254</v>
      </c>
      <c r="I109" s="34" t="n">
        <f aca="false">IFERROR(D109/SUM(D$109:D$120),"")</f>
        <v>0.0905169326613877</v>
      </c>
    </row>
    <row r="110" customFormat="false" ht="15" hidden="false" customHeight="true" outlineLevel="0" collapsed="false">
      <c r="A110" s="33" t="s">
        <v>19765</v>
      </c>
      <c r="B110" s="25" t="n">
        <f aca="false">SUMIFS(데이터_신성질별!$G$3:$G$529,데이터_신성질별!$E$3:$E$529,"라.IT부품",데이터_신성질별!$B$3:$B$529,2024,데이터_신성질별!$C$3:$C$529,2)</f>
        <v>11337326</v>
      </c>
      <c r="C110" s="25" t="n">
        <f aca="false">SUMIFS(데이터_신성질별!$G$3:$G$529,데이터_신성질별!$E$3:$E$529,"라.IT부품",데이터_신성질별!$B$3:$B$529,2025,데이터_신성질별!$C$3:$C$529,2)</f>
        <v>11047722</v>
      </c>
      <c r="D110" s="25" t="n">
        <f aca="false">SUMIFS(데이터_신성질별!$G$3:$G$529,데이터_신성질별!$E$3:$E$529,"라.IT부품",데이터_신성질별!$B$3:$B$529,2026,데이터_신성질별!$C$3:$C$529,2)</f>
        <v>26464502</v>
      </c>
      <c r="E110" s="36" t="n">
        <f aca="false">IFERROR(C110/B110-1,"")</f>
        <v>-0.0255442950127747</v>
      </c>
      <c r="F110" s="36" t="n">
        <f aca="false">IFERROR(D110/C110-1,"")</f>
        <v>1.39547139220194</v>
      </c>
      <c r="G110" s="36" t="n">
        <f aca="false">IFERROR(D110/B110-1,"")</f>
        <v>1.33428076426487</v>
      </c>
      <c r="H110" s="34" t="n">
        <f aca="false">IFERROR(C110/SUM(C$109:C$120),"")</f>
        <v>0.0577725326351773</v>
      </c>
      <c r="I110" s="34" t="n">
        <f aca="false">IFERROR(D110/SUM(D$109:D$120),"")</f>
        <v>0.108311733197638</v>
      </c>
    </row>
    <row r="111" customFormat="false" ht="15" hidden="false" customHeight="true" outlineLevel="0" collapsed="false">
      <c r="A111" s="33" t="s">
        <v>19766</v>
      </c>
      <c r="B111" s="25" t="n">
        <f aca="false">SUMIFS(데이터_신성질별!$G$3:$G$529,데이터_신성질별!$E$3:$E$529,"라.IT부품",데이터_신성질별!$B$3:$B$529,2024,데이터_신성질별!$C$3:$C$529,3)</f>
        <v>13100458</v>
      </c>
      <c r="C111" s="25" t="n">
        <f aca="false">SUMIFS(데이터_신성질별!$G$3:$G$529,데이터_신성질별!$E$3:$E$529,"라.IT부품",데이터_신성질별!$B$3:$B$529,2025,데이터_신성질별!$C$3:$C$529,3)</f>
        <v>14496027</v>
      </c>
      <c r="D111" s="25" t="n">
        <f aca="false">SUMIFS(데이터_신성질별!$G$3:$G$529,데이터_신성질별!$E$3:$E$529,"라.IT부품",데이터_신성질별!$B$3:$B$529,2026,데이터_신성질별!$C$3:$C$529,3)</f>
        <v>34380761</v>
      </c>
      <c r="E111" s="36" t="n">
        <f aca="false">IFERROR(C111/B111-1,"")</f>
        <v>0.106528260309678</v>
      </c>
      <c r="F111" s="36" t="n">
        <f aca="false">IFERROR(D111/C111-1,"")</f>
        <v>1.37173682140631</v>
      </c>
      <c r="G111" s="36" t="n">
        <f aca="false">IFERROR(D111/B111-1,"")</f>
        <v>1.62439381890313</v>
      </c>
      <c r="H111" s="34" t="n">
        <f aca="false">IFERROR(C111/SUM(C$109:C$120),"")</f>
        <v>0.0758049662127551</v>
      </c>
      <c r="I111" s="34" t="n">
        <f aca="false">IFERROR(D111/SUM(D$109:D$120),"")</f>
        <v>0.140710745759122</v>
      </c>
    </row>
    <row r="112" customFormat="false" ht="15" hidden="false" customHeight="true" outlineLevel="0" collapsed="false">
      <c r="A112" s="33" t="s">
        <v>19767</v>
      </c>
      <c r="B112" s="25" t="n">
        <f aca="false">SUMIFS(데이터_신성질별!$G$3:$G$529,데이터_신성질별!$E$3:$E$529,"라.IT부품",데이터_신성질별!$B$3:$B$529,2024,데이터_신성질별!$C$3:$C$529,4)</f>
        <v>11462315</v>
      </c>
      <c r="C112" s="25" t="n">
        <f aca="false">SUMIFS(데이터_신성질별!$G$3:$G$529,데이터_신성질별!$E$3:$E$529,"라.IT부품",데이터_신성질별!$B$3:$B$529,2025,데이터_신성질별!$C$3:$C$529,4)</f>
        <v>13164080</v>
      </c>
      <c r="D112" s="25" t="n">
        <f aca="false">SUMIFS(데이터_신성질별!$G$3:$G$529,데이터_신성질별!$E$3:$E$529,"라.IT부품",데이터_신성질별!$B$3:$B$529,2026,데이터_신성질별!$C$3:$C$529,4)</f>
        <v>33505272</v>
      </c>
      <c r="E112" s="36" t="n">
        <f aca="false">IFERROR(C112/B112-1,"")</f>
        <v>0.14846608211343</v>
      </c>
      <c r="F112" s="36" t="n">
        <f aca="false">IFERROR(D112/C112-1,"")</f>
        <v>1.54520422239913</v>
      </c>
      <c r="G112" s="36" t="n">
        <f aca="false">IFERROR(D112/B112-1,"")</f>
        <v>1.92308072147729</v>
      </c>
      <c r="H112" s="34" t="n">
        <f aca="false">IFERROR(C112/SUM(C$109:C$120),"")</f>
        <v>0.0688397337851265</v>
      </c>
      <c r="I112" s="34" t="n">
        <f aca="false">IFERROR(D112/SUM(D$109:D$120),"")</f>
        <v>0.137127616517337</v>
      </c>
    </row>
    <row r="113" customFormat="false" ht="15" hidden="false" customHeight="true" outlineLevel="0" collapsed="false">
      <c r="A113" s="33" t="s">
        <v>19768</v>
      </c>
      <c r="B113" s="25" t="n">
        <f aca="false">SUMIFS(데이터_신성질별!$G$3:$G$529,데이터_신성질별!$E$3:$E$529,"라.IT부품",데이터_신성질별!$B$3:$B$529,2024,데이터_신성질별!$C$3:$C$529,5)</f>
        <v>12885210</v>
      </c>
      <c r="C113" s="25" t="n">
        <f aca="false">SUMIFS(데이터_신성질별!$G$3:$G$529,데이터_신성질별!$E$3:$E$529,"라.IT부품",데이터_신성질별!$B$3:$B$529,2025,데이터_신성질별!$C$3:$C$529,5)</f>
        <v>15232758</v>
      </c>
      <c r="D113" s="25" t="n">
        <f aca="false">SUMIFS(데이터_신성질별!$G$3:$G$529,데이터_신성질별!$E$3:$E$529,"라.IT부품",데이터_신성질별!$B$3:$B$529,2026,데이터_신성질별!$C$3:$C$529,5)</f>
        <v>38640678</v>
      </c>
      <c r="E113" s="36" t="n">
        <f aca="false">IFERROR(C113/B113-1,"")</f>
        <v>0.182189347321464</v>
      </c>
      <c r="F113" s="36" t="n">
        <f aca="false">IFERROR(D113/C113-1,"")</f>
        <v>1.536682982819</v>
      </c>
      <c r="G113" s="36" t="n">
        <f aca="false">IFERROR(D113/B113-1,"")</f>
        <v>1.99883959982026</v>
      </c>
      <c r="H113" s="34" t="n">
        <f aca="false">IFERROR(C113/SUM(C$109:C$120),"")</f>
        <v>0.0796575989764006</v>
      </c>
      <c r="I113" s="34" t="n">
        <f aca="false">IFERROR(D113/SUM(D$109:D$120),"")</f>
        <v>0.158145383053566</v>
      </c>
    </row>
    <row r="114" customFormat="false" ht="15" hidden="false" customHeight="true" outlineLevel="0" collapsed="false">
      <c r="A114" s="33" t="s">
        <v>19769</v>
      </c>
      <c r="B114" s="25" t="n">
        <f aca="false">SUMIFS(데이터_신성질별!$G$3:$G$529,데이터_신성질별!$E$3:$E$529,"라.IT부품",데이터_신성질별!$B$3:$B$529,2024,데이터_신성질별!$C$3:$C$529,6)</f>
        <v>14858944</v>
      </c>
      <c r="C114" s="25" t="n">
        <f aca="false">SUMIFS(데이터_신성질별!$G$3:$G$529,데이터_신성질별!$E$3:$E$529,"라.IT부품",데이터_신성질별!$B$3:$B$529,2025,데이터_신성질별!$C$3:$C$529,6)</f>
        <v>16460523</v>
      </c>
      <c r="D114" s="25" t="n">
        <f aca="false">SUMIFS(데이터_신성질별!$G$3:$G$529,데이터_신성질별!$E$3:$E$529,"라.IT부품",데이터_신성질별!$B$3:$B$529,2026,데이터_신성질별!$C$3:$C$529,6)</f>
        <v>46467096</v>
      </c>
      <c r="E114" s="36" t="n">
        <f aca="false">IFERROR(C114/B114-1,"")</f>
        <v>0.107785519617006</v>
      </c>
      <c r="F114" s="36" t="n">
        <f aca="false">IFERROR(D114/C114-1,"")</f>
        <v>1.82294165258297</v>
      </c>
      <c r="G114" s="36" t="n">
        <f aca="false">IFERROR(D114/B114-1,"")</f>
        <v>2.12721388545512</v>
      </c>
      <c r="H114" s="34" t="n">
        <f aca="false">IFERROR(C114/SUM(C$109:C$120),"")</f>
        <v>0.0860780260590904</v>
      </c>
      <c r="I114" s="34" t="n">
        <f aca="false">IFERROR(D114/SUM(D$109:D$120),"")</f>
        <v>0.190176701772852</v>
      </c>
    </row>
    <row r="115" customFormat="false" ht="15" hidden="false" customHeight="true" outlineLevel="0" collapsed="false">
      <c r="A115" s="33" t="s">
        <v>19770</v>
      </c>
      <c r="B115" s="25" t="n">
        <f aca="false">SUMIFS(데이터_신성질별!$G$3:$G$529,데이터_신성질별!$E$3:$E$529,"라.IT부품",데이터_신성질별!$B$3:$B$529,2024,데이터_신성질별!$C$3:$C$529,7)</f>
        <v>12779175</v>
      </c>
      <c r="C115" s="25" t="n">
        <f aca="false">SUMIFS(데이터_신성질별!$G$3:$G$529,데이터_신성질별!$E$3:$E$529,"라.IT부품",데이터_신성질별!$B$3:$B$529,2025,데이터_신성질별!$C$3:$C$529,7)</f>
        <v>16315529</v>
      </c>
      <c r="D115" s="25" t="n">
        <f aca="false">SUMIFS(데이터_신성질별!$G$3:$G$529,데이터_신성질별!$E$3:$E$529,"라.IT부품",데이터_신성질별!$B$3:$B$529,2026,데이터_신성질별!$C$3:$C$529,7)</f>
        <v>42761535</v>
      </c>
      <c r="E115" s="36" t="n">
        <f aca="false">IFERROR(C115/B115-1,"")</f>
        <v>0.27672787953839</v>
      </c>
      <c r="F115" s="36" t="n">
        <f aca="false">IFERROR(D115/C115-1,"")</f>
        <v>1.62091011575536</v>
      </c>
      <c r="G115" s="36" t="n">
        <f aca="false">IFERROR(D115/B115-1,"")</f>
        <v>2.34618901454906</v>
      </c>
      <c r="H115" s="34" t="n">
        <f aca="false">IFERROR(C115/SUM(C$109:C$120),"")</f>
        <v>0.0853198000105978</v>
      </c>
      <c r="I115" s="34" t="n">
        <f aca="false">IFERROR(D115/SUM(D$109:D$120),"")</f>
        <v>0.175010887038097</v>
      </c>
    </row>
    <row r="116" customFormat="false" ht="15" hidden="false" customHeight="true" outlineLevel="0" collapsed="false">
      <c r="A116" s="33" t="s">
        <v>19771</v>
      </c>
      <c r="B116" s="25" t="n">
        <f aca="false">SUMIFS(데이터_신성질별!$G$3:$G$529,데이터_신성질별!$E$3:$E$529,"라.IT부품",데이터_신성질별!$B$3:$B$529,2024,데이터_신성질별!$C$3:$C$529,8)</f>
        <v>13355124</v>
      </c>
      <c r="C116" s="25" t="n">
        <f aca="false">SUMIFS(데이터_신성질별!$G$3:$G$529,데이터_신성질별!$E$3:$E$529,"라.IT부품",데이터_신성질별!$B$3:$B$529,2025,데이터_신성질별!$C$3:$C$529,8)</f>
        <v>16619686</v>
      </c>
      <c r="D116" s="25"/>
      <c r="E116" s="36" t="n">
        <f aca="false">IFERROR(C116/B116-1,"")</f>
        <v>0.244442657365068</v>
      </c>
      <c r="F116" s="36" t="n">
        <f aca="false">IFERROR(D116/C116-1,"")</f>
        <v>-1</v>
      </c>
      <c r="G116" s="36" t="n">
        <f aca="false">IFERROR(D116/B116-1,"")</f>
        <v>-1</v>
      </c>
      <c r="H116" s="34" t="n">
        <f aca="false">IFERROR(C116/SUM(C$109:C$120),"")</f>
        <v>0.0869103469313764</v>
      </c>
      <c r="I116" s="34" t="n">
        <f aca="false">IFERROR(D116/SUM(D$109:D$120),"")</f>
        <v>0</v>
      </c>
    </row>
    <row r="117" customFormat="false" ht="15" hidden="false" customHeight="true" outlineLevel="0" collapsed="false">
      <c r="A117" s="33" t="s">
        <v>19772</v>
      </c>
      <c r="B117" s="25" t="n">
        <f aca="false">SUMIFS(데이터_신성질별!$G$3:$G$529,데이터_신성질별!$E$3:$E$529,"라.IT부품",데이터_신성질별!$B$3:$B$529,2024,데이터_신성질별!$C$3:$C$529,9)</f>
        <v>15012173</v>
      </c>
      <c r="C117" s="25" t="n">
        <f aca="false">SUMIFS(데이터_신성질별!$G$3:$G$529,데이터_신성질별!$E$3:$E$529,"라.IT부품",데이터_신성질별!$B$3:$B$529,2025,데이터_신성질별!$C$3:$C$529,9)</f>
        <v>18213352</v>
      </c>
      <c r="D117" s="25"/>
      <c r="E117" s="36" t="n">
        <f aca="false">IFERROR(C117/B117-1,"")</f>
        <v>0.21323888287192</v>
      </c>
      <c r="F117" s="36" t="n">
        <f aca="false">IFERROR(D117/C117-1,"")</f>
        <v>-1</v>
      </c>
      <c r="G117" s="36" t="n">
        <f aca="false">IFERROR(D117/B117-1,"")</f>
        <v>-1</v>
      </c>
      <c r="H117" s="34" t="n">
        <f aca="false">IFERROR(C117/SUM(C$109:C$120),"")</f>
        <v>0.0952442026343505</v>
      </c>
      <c r="I117" s="34" t="n">
        <f aca="false">IFERROR(D117/SUM(D$109:D$120),"")</f>
        <v>0</v>
      </c>
    </row>
    <row r="118" customFormat="false" ht="15" hidden="false" customHeight="true" outlineLevel="0" collapsed="false">
      <c r="A118" s="33" t="s">
        <v>19773</v>
      </c>
      <c r="B118" s="25" t="n">
        <f aca="false">SUMIFS(데이터_신성질별!$G$3:$G$529,데이터_신성질별!$E$3:$E$529,"라.IT부품",데이터_신성질별!$B$3:$B$529,2024,데이터_신성질별!$C$3:$C$529,10)</f>
        <v>13966592</v>
      </c>
      <c r="C118" s="25" t="n">
        <f aca="false">SUMIFS(데이터_신성질별!$G$3:$G$529,데이터_신성질별!$E$3:$E$529,"라.IT부품",데이터_신성질별!$B$3:$B$529,2025,데이터_신성질별!$C$3:$C$529,10)</f>
        <v>17140440</v>
      </c>
      <c r="D118" s="25"/>
      <c r="E118" s="36" t="n">
        <f aca="false">IFERROR(C118/B118-1,"")</f>
        <v>0.227245701743131</v>
      </c>
      <c r="F118" s="36" t="n">
        <f aca="false">IFERROR(D118/C118-1,"")</f>
        <v>-1</v>
      </c>
      <c r="G118" s="36" t="n">
        <f aca="false">IFERROR(D118/B118-1,"")</f>
        <v>-1</v>
      </c>
      <c r="H118" s="34" t="n">
        <f aca="false">IFERROR(C118/SUM(C$109:C$120),"")</f>
        <v>0.0896335578756687</v>
      </c>
      <c r="I118" s="34" t="n">
        <f aca="false">IFERROR(D118/SUM(D$109:D$120),"")</f>
        <v>0</v>
      </c>
    </row>
    <row r="119" customFormat="false" ht="15" hidden="false" customHeight="true" outlineLevel="0" collapsed="false">
      <c r="A119" s="33" t="s">
        <v>19774</v>
      </c>
      <c r="B119" s="25" t="n">
        <f aca="false">SUMIFS(데이터_신성질별!$G$3:$G$529,데이터_신성질별!$E$3:$E$529,"라.IT부품",데이터_신성질별!$B$3:$B$529,2024,데이터_신성질별!$C$3:$C$529,11)</f>
        <v>13853750</v>
      </c>
      <c r="C119" s="25" t="n">
        <f aca="false">SUMIFS(데이터_신성질별!$G$3:$G$529,데이터_신성질별!$E$3:$E$529,"라.IT부품",데이터_신성질별!$B$3:$B$529,2025,데이터_신성질별!$C$3:$C$529,11)</f>
        <v>18753711</v>
      </c>
      <c r="D119" s="25"/>
      <c r="E119" s="36" t="n">
        <f aca="false">IFERROR(C119/B119-1,"")</f>
        <v>0.353692032843093</v>
      </c>
      <c r="F119" s="36" t="n">
        <f aca="false">IFERROR(D119/C119-1,"")</f>
        <v>-1</v>
      </c>
      <c r="G119" s="36" t="n">
        <f aca="false">IFERROR(D119/B119-1,"")</f>
        <v>-1</v>
      </c>
      <c r="H119" s="34" t="n">
        <f aca="false">IFERROR(C119/SUM(C$109:C$120),"")</f>
        <v>0.0980699352118187</v>
      </c>
      <c r="I119" s="34" t="n">
        <f aca="false">IFERROR(D119/SUM(D$109:D$120),"")</f>
        <v>0</v>
      </c>
    </row>
    <row r="120" customFormat="false" ht="15" hidden="false" customHeight="true" outlineLevel="0" collapsed="false">
      <c r="A120" s="33" t="s">
        <v>19775</v>
      </c>
      <c r="B120" s="25" t="n">
        <f aca="false">SUMIFS(데이터_신성질별!$G$3:$G$529,데이터_신성질별!$E$3:$E$529,"라.IT부품",데이터_신성질별!$B$3:$B$529,2024,데이터_신성질별!$C$3:$C$529,12)</f>
        <v>16007494</v>
      </c>
      <c r="C120" s="25" t="n">
        <f aca="false">SUMIFS(데이터_신성질별!$G$3:$G$529,데이터_신성질별!$E$3:$E$529,"라.IT부품",데이터_신성질별!$B$3:$B$529,2025,데이터_신성질별!$C$3:$C$529,12)</f>
        <v>22382239</v>
      </c>
      <c r="D120" s="25"/>
      <c r="E120" s="36" t="n">
        <f aca="false">IFERROR(C120/B120-1,"")</f>
        <v>0.398235039163532</v>
      </c>
      <c r="F120" s="36" t="n">
        <f aca="false">IFERROR(D120/C120-1,"")</f>
        <v>-1</v>
      </c>
      <c r="G120" s="36" t="n">
        <f aca="false">IFERROR(D120/B120-1,"")</f>
        <v>-1</v>
      </c>
      <c r="H120" s="34" t="n">
        <f aca="false">IFERROR(C120/SUM(C$109:C$120),"")</f>
        <v>0.117044820015913</v>
      </c>
      <c r="I120" s="34" t="n">
        <f aca="false">IFERROR(D120/SUM(D$109:D$120),"")</f>
        <v>0</v>
      </c>
    </row>
    <row r="121" customFormat="false" ht="15" hidden="false" customHeight="true" outlineLevel="0" collapsed="false">
      <c r="A121" s="6" t="s">
        <v>19776</v>
      </c>
      <c r="B121" s="30" t="n">
        <f aca="false">SUM(B109:B120)</f>
        <v>159524593</v>
      </c>
      <c r="C121" s="30" t="n">
        <f aca="false">SUM(C109:C120)</f>
        <v>191227933</v>
      </c>
      <c r="D121" s="30" t="n">
        <f aca="false">SUM(D109:D120)</f>
        <v>244336428</v>
      </c>
      <c r="E121" s="41" t="n">
        <f aca="false">IFERROR(C121/B121-1,"")</f>
        <v>0.1987363791613</v>
      </c>
      <c r="F121" s="36"/>
    </row>
    <row r="122" customFormat="false" ht="15" hidden="false" customHeight="true" outlineLevel="0" collapsed="false">
      <c r="A122" s="48" t="s">
        <v>19777</v>
      </c>
      <c r="B122" s="30" t="n">
        <f aca="false">SUM(B109:B115)</f>
        <v>87329460</v>
      </c>
      <c r="C122" s="30" t="n">
        <f aca="false">SUM(C109:C115)</f>
        <v>98118505</v>
      </c>
      <c r="D122" s="30" t="n">
        <f aca="false">SUM(D109:D115)</f>
        <v>244336428</v>
      </c>
      <c r="E122" s="41" t="n">
        <f aca="false">IFERROR(C122/B122-1,"")</f>
        <v>0.123544162531178</v>
      </c>
      <c r="F122" s="41" t="n">
        <f aca="false">IFERROR(D122/C122-1,"")</f>
        <v>1.49021759962608</v>
      </c>
      <c r="G122" s="41" t="n">
        <f aca="false">IFERROR(D122/B122-1,"")</f>
        <v>1.79786944749229</v>
      </c>
    </row>
    <row r="124" customFormat="false" ht="14.25" hidden="false" customHeight="true" outlineLevel="0" collapsed="false">
      <c r="A124" s="23" t="s">
        <v>19784</v>
      </c>
      <c r="B124" s="23"/>
      <c r="C124" s="23"/>
      <c r="D124" s="23"/>
      <c r="E124" s="23"/>
      <c r="F124" s="23"/>
      <c r="G124" s="23"/>
      <c r="H124" s="23"/>
      <c r="I124" s="23"/>
    </row>
    <row r="125" customFormat="false" ht="15" hidden="false" customHeight="true" outlineLevel="0" collapsed="false">
      <c r="A125" s="5" t="s">
        <v>19654</v>
      </c>
      <c r="B125" s="50" t="s">
        <v>19756</v>
      </c>
      <c r="C125" s="51" t="s">
        <v>19757</v>
      </c>
      <c r="D125" s="52" t="s">
        <v>19758</v>
      </c>
      <c r="E125" s="44" t="s">
        <v>19759</v>
      </c>
      <c r="F125" s="44" t="s">
        <v>19760</v>
      </c>
      <c r="G125" s="44" t="s">
        <v>19761</v>
      </c>
      <c r="H125" s="44" t="s">
        <v>19762</v>
      </c>
      <c r="I125" s="44" t="s">
        <v>19763</v>
      </c>
    </row>
    <row r="126" customFormat="false" ht="15" hidden="false" customHeight="true" outlineLevel="0" collapsed="false">
      <c r="A126" s="33" t="s">
        <v>19764</v>
      </c>
      <c r="B126" s="25" t="n">
        <f aca="false">SUMIFS(데이터_신성질별!$G$3:$G$529,데이터_신성질별!$E$3:$E$529,"다.IT제품",데이터_신성질별!$B$3:$B$529,2024,데이터_신성질별!$C$3:$C$529,1)</f>
        <v>3114163</v>
      </c>
      <c r="C126" s="25" t="n">
        <f aca="false">SUMIFS(데이터_신성질별!$G$3:$G$529,데이터_신성질별!$E$3:$E$529,"다.IT제품",데이터_신성질별!$B$3:$B$529,2025,데이터_신성질별!$C$3:$C$529,1)</f>
        <v>2960976</v>
      </c>
      <c r="D126" s="25" t="n">
        <f aca="false">SUMIFS(데이터_신성질별!$G$3:$G$529,데이터_신성질별!$E$3:$E$529,"다.IT제품",데이터_신성질별!$B$3:$B$529,2026,데이터_신성질별!$C$3:$C$529,1)</f>
        <v>4797650</v>
      </c>
      <c r="E126" s="36" t="n">
        <f aca="false">IFERROR(C126/B126-1,"")</f>
        <v>-0.0491904245217736</v>
      </c>
      <c r="F126" s="36" t="n">
        <f aca="false">IFERROR(D126/C126-1,"")</f>
        <v>0.620293443783401</v>
      </c>
      <c r="G126" s="36" t="n">
        <f aca="false">IFERROR(D126/B126-1,"")</f>
        <v>0.540590521433849</v>
      </c>
      <c r="H126" s="34" t="n">
        <f aca="false">IFERROR(C126/SUM(C$126:C$137),"")</f>
        <v>0.0645219703665904</v>
      </c>
      <c r="I126" s="34" t="n">
        <f aca="false">IFERROR(D126/SUM(D$126:D$137),"")</f>
        <v>0.103233781280418</v>
      </c>
    </row>
    <row r="127" customFormat="false" ht="15" hidden="false" customHeight="true" outlineLevel="0" collapsed="false">
      <c r="A127" s="33" t="s">
        <v>19765</v>
      </c>
      <c r="B127" s="25" t="n">
        <f aca="false">SUMIFS(데이터_신성질별!$G$3:$G$529,데이터_신성질별!$E$3:$E$529,"다.IT제품",데이터_신성질별!$B$3:$B$529,2024,데이터_신성질별!$C$3:$C$529,2)</f>
        <v>2808720</v>
      </c>
      <c r="C127" s="25" t="n">
        <f aca="false">SUMIFS(데이터_신성질별!$G$3:$G$529,데이터_신성질별!$E$3:$E$529,"다.IT제품",데이터_신성질별!$B$3:$B$529,2025,데이터_신성질별!$C$3:$C$529,2)</f>
        <v>3197859</v>
      </c>
      <c r="D127" s="25" t="n">
        <f aca="false">SUMIFS(데이터_신성질별!$G$3:$G$529,데이터_신성질별!$E$3:$E$529,"다.IT제품",데이터_신성질별!$B$3:$B$529,2026,데이터_신성질별!$C$3:$C$529,2)</f>
        <v>5117377</v>
      </c>
      <c r="E127" s="36" t="n">
        <f aca="false">IFERROR(C127/B127-1,"")</f>
        <v>0.138546740152098</v>
      </c>
      <c r="F127" s="36" t="n">
        <f aca="false">IFERROR(D127/C127-1,"")</f>
        <v>0.600250980421588</v>
      </c>
      <c r="G127" s="36" t="n">
        <f aca="false">IFERROR(D127/B127-1,"")</f>
        <v>0.821960537184198</v>
      </c>
      <c r="H127" s="34" t="n">
        <f aca="false">IFERROR(C127/SUM(C$126:C$137),"")</f>
        <v>0.0696838352065449</v>
      </c>
      <c r="I127" s="34" t="n">
        <f aca="false">IFERROR(D127/SUM(D$126:D$137),"")</f>
        <v>0.110113530154855</v>
      </c>
    </row>
    <row r="128" customFormat="false" ht="15" hidden="false" customHeight="true" outlineLevel="0" collapsed="false">
      <c r="A128" s="33" t="s">
        <v>19766</v>
      </c>
      <c r="B128" s="25" t="n">
        <f aca="false">SUMIFS(데이터_신성질별!$G$3:$G$529,데이터_신성질별!$E$3:$E$529,"다.IT제품",데이터_신성질별!$B$3:$B$529,2024,데이터_신성질별!$C$3:$C$529,3)</f>
        <v>3232430</v>
      </c>
      <c r="C128" s="25" t="n">
        <f aca="false">SUMIFS(데이터_신성질별!$G$3:$G$529,데이터_신성질별!$E$3:$E$529,"다.IT제품",데이터_신성질별!$B$3:$B$529,2025,데이터_신성질별!$C$3:$C$529,3)</f>
        <v>3719157</v>
      </c>
      <c r="D128" s="25" t="n">
        <f aca="false">SUMIFS(데이터_신성질별!$G$3:$G$529,데이터_신성질별!$E$3:$E$529,"다.IT제품",데이터_신성질별!$B$3:$B$529,2026,데이터_신성질별!$C$3:$C$529,3)</f>
        <v>6460687</v>
      </c>
      <c r="E128" s="36" t="n">
        <f aca="false">IFERROR(C128/B128-1,"")</f>
        <v>0.150576191905161</v>
      </c>
      <c r="F128" s="36" t="n">
        <f aca="false">IFERROR(D128/C128-1,"")</f>
        <v>0.737137474970807</v>
      </c>
      <c r="G128" s="36" t="n">
        <f aca="false">IFERROR(D128/B128-1,"")</f>
        <v>0.998709020767658</v>
      </c>
      <c r="H128" s="34" t="n">
        <f aca="false">IFERROR(C128/SUM(C$126:C$137),"")</f>
        <v>0.0810433241413295</v>
      </c>
      <c r="I128" s="34" t="n">
        <f aca="false">IFERROR(D128/SUM(D$126:D$137),"")</f>
        <v>0.139018300351055</v>
      </c>
    </row>
    <row r="129" customFormat="false" ht="15" hidden="false" customHeight="true" outlineLevel="0" collapsed="false">
      <c r="A129" s="33" t="s">
        <v>19767</v>
      </c>
      <c r="B129" s="25" t="n">
        <f aca="false">SUMIFS(데이터_신성질별!$G$3:$G$529,데이터_신성질별!$E$3:$E$529,"다.IT제품",데이터_신성질별!$B$3:$B$529,2024,데이터_신성질별!$C$3:$C$529,4)</f>
        <v>3144964</v>
      </c>
      <c r="C129" s="25" t="n">
        <f aca="false">SUMIFS(데이터_신성질별!$G$3:$G$529,데이터_신성질별!$E$3:$E$529,"다.IT제품",데이터_신성질별!$B$3:$B$529,2025,데이터_신성질별!$C$3:$C$529,4)</f>
        <v>3238072</v>
      </c>
      <c r="D129" s="25" t="n">
        <f aca="false">SUMIFS(데이터_신성질별!$G$3:$G$529,데이터_신성질별!$E$3:$E$529,"다.IT제품",데이터_신성질별!$B$3:$B$529,2026,데이터_신성질별!$C$3:$C$529,4)</f>
        <v>6821884</v>
      </c>
      <c r="E129" s="36" t="n">
        <f aca="false">IFERROR(C129/B129-1,"")</f>
        <v>0.0296054263260248</v>
      </c>
      <c r="F129" s="36" t="n">
        <f aca="false">IFERROR(D129/C129-1,"")</f>
        <v>1.10677341331508</v>
      </c>
      <c r="G129" s="36" t="n">
        <f aca="false">IFERROR(D129/B129-1,"")</f>
        <v>1.16914533838861</v>
      </c>
      <c r="H129" s="34" t="n">
        <f aca="false">IFERROR(C129/SUM(C$126:C$137),"")</f>
        <v>0.0705601077580116</v>
      </c>
      <c r="I129" s="34" t="n">
        <f aca="false">IFERROR(D129/SUM(D$126:D$137),"")</f>
        <v>0.1467903829534</v>
      </c>
    </row>
    <row r="130" customFormat="false" ht="15" hidden="false" customHeight="true" outlineLevel="0" collapsed="false">
      <c r="A130" s="33" t="s">
        <v>19768</v>
      </c>
      <c r="B130" s="25" t="n">
        <f aca="false">SUMIFS(데이터_신성질별!$G$3:$G$529,데이터_신성질별!$E$3:$E$529,"다.IT제품",데이터_신성질별!$B$3:$B$529,2024,데이터_신성질별!$C$3:$C$529,5)</f>
        <v>3707430</v>
      </c>
      <c r="C130" s="25" t="n">
        <f aca="false">SUMIFS(데이터_신성질별!$G$3:$G$529,데이터_신성질별!$E$3:$E$529,"다.IT제품",데이터_신성질별!$B$3:$B$529,2025,데이터_신성질별!$C$3:$C$529,5)</f>
        <v>3514373</v>
      </c>
      <c r="D130" s="25" t="n">
        <f aca="false">SUMIFS(데이터_신성질별!$G$3:$G$529,데이터_신성질별!$E$3:$E$529,"다.IT제품",데이터_신성질별!$B$3:$B$529,2026,데이터_신성질별!$C$3:$C$529,5)</f>
        <v>6917946</v>
      </c>
      <c r="E130" s="36" t="n">
        <f aca="false">IFERROR(C130/B130-1,"")</f>
        <v>-0.0520729993553486</v>
      </c>
      <c r="F130" s="36" t="n">
        <f aca="false">IFERROR(D130/C130-1,"")</f>
        <v>0.968472327780802</v>
      </c>
      <c r="G130" s="36" t="n">
        <f aca="false">IFERROR(D130/B130-1,"")</f>
        <v>0.865968069525251</v>
      </c>
      <c r="H130" s="34" t="n">
        <f aca="false">IFERROR(C130/SUM(C$126:C$137),"")</f>
        <v>0.0765809214810067</v>
      </c>
      <c r="I130" s="34" t="n">
        <f aca="false">IFERROR(D130/SUM(D$126:D$137),"")</f>
        <v>0.148857403994402</v>
      </c>
    </row>
    <row r="131" customFormat="false" ht="15" hidden="false" customHeight="true" outlineLevel="0" collapsed="false">
      <c r="A131" s="33" t="s">
        <v>19769</v>
      </c>
      <c r="B131" s="25" t="n">
        <f aca="false">SUMIFS(데이터_신성질별!$G$3:$G$529,데이터_신성질별!$E$3:$E$529,"다.IT제품",데이터_신성질별!$B$3:$B$529,2024,데이터_신성질별!$C$3:$C$529,6)</f>
        <v>3790198</v>
      </c>
      <c r="C131" s="25" t="n">
        <f aca="false">SUMIFS(데이터_신성질별!$G$3:$G$529,데이터_신성질별!$E$3:$E$529,"다.IT제품",데이터_신성질별!$B$3:$B$529,2025,데이터_신성질별!$C$3:$C$529,6)</f>
        <v>3295580</v>
      </c>
      <c r="D131" s="25" t="n">
        <f aca="false">SUMIFS(데이터_신성질별!$G$3:$G$529,데이터_신성질별!$E$3:$E$529,"다.IT제품",데이터_신성질별!$B$3:$B$529,2026,데이터_신성질별!$C$3:$C$529,6)</f>
        <v>8325417</v>
      </c>
      <c r="E131" s="36" t="n">
        <f aca="false">IFERROR(C131/B131-1,"")</f>
        <v>-0.130499250962615</v>
      </c>
      <c r="F131" s="36" t="n">
        <f aca="false">IFERROR(D131/C131-1,"")</f>
        <v>1.5262372632435</v>
      </c>
      <c r="G131" s="36" t="n">
        <f aca="false">IFERROR(D131/B131-1,"")</f>
        <v>1.19656519263637</v>
      </c>
      <c r="H131" s="34" t="n">
        <f aca="false">IFERROR(C131/SUM(C$126:C$137),"")</f>
        <v>0.0718132518131616</v>
      </c>
      <c r="I131" s="34" t="n">
        <f aca="false">IFERROR(D131/SUM(D$126:D$137),"")</f>
        <v>0.179142763154101</v>
      </c>
    </row>
    <row r="132" customFormat="false" ht="15" hidden="false" customHeight="true" outlineLevel="0" collapsed="false">
      <c r="A132" s="33" t="s">
        <v>19770</v>
      </c>
      <c r="B132" s="25" t="n">
        <f aca="false">SUMIFS(데이터_신성질별!$G$3:$G$529,데이터_신성질별!$E$3:$E$529,"다.IT제품",데이터_신성질별!$B$3:$B$529,2024,데이터_신성질별!$C$3:$C$529,7)</f>
        <v>4153118</v>
      </c>
      <c r="C132" s="25" t="n">
        <f aca="false">SUMIFS(데이터_신성질별!$G$3:$G$529,데이터_신성질별!$E$3:$E$529,"다.IT제품",데이터_신성질별!$B$3:$B$529,2025,데이터_신성질별!$C$3:$C$529,7)</f>
        <v>3534929</v>
      </c>
      <c r="D132" s="25" t="n">
        <f aca="false">SUMIFS(데이터_신성질별!$G$3:$G$529,데이터_신성질별!$E$3:$E$529,"다.IT제품",데이터_신성질별!$B$3:$B$529,2026,데이터_신성질별!$C$3:$C$529,7)</f>
        <v>8032683</v>
      </c>
      <c r="E132" s="36" t="n">
        <f aca="false">IFERROR(C132/B132-1,"")</f>
        <v>-0.148849370521136</v>
      </c>
      <c r="F132" s="36" t="n">
        <f aca="false">IFERROR(D132/C132-1,"")</f>
        <v>1.27237463609594</v>
      </c>
      <c r="G132" s="36" t="n">
        <f aca="false">IFERROR(D132/B132-1,"")</f>
        <v>0.934133101924867</v>
      </c>
      <c r="H132" s="34" t="n">
        <f aca="false">IFERROR(C132/SUM(C$126:C$137),"")</f>
        <v>0.0770288527114036</v>
      </c>
      <c r="I132" s="34" t="n">
        <f aca="false">IFERROR(D132/SUM(D$126:D$137),"")</f>
        <v>0.172843838111769</v>
      </c>
    </row>
    <row r="133" customFormat="false" ht="15" hidden="false" customHeight="true" outlineLevel="0" collapsed="false">
      <c r="A133" s="33" t="s">
        <v>19771</v>
      </c>
      <c r="B133" s="25" t="n">
        <f aca="false">SUMIFS(데이터_신성질별!$G$3:$G$529,데이터_신성질별!$E$3:$E$529,"다.IT제품",데이터_신성질별!$B$3:$B$529,2024,데이터_신성질별!$C$3:$C$529,8)</f>
        <v>4877249</v>
      </c>
      <c r="C133" s="25" t="n">
        <f aca="false">SUMIFS(데이터_신성질별!$G$3:$G$529,데이터_신성질별!$E$3:$E$529,"다.IT제품",데이터_신성질별!$B$3:$B$529,2025,데이터_신성질별!$C$3:$C$529,8)</f>
        <v>4225294</v>
      </c>
      <c r="D133" s="25"/>
      <c r="E133" s="36" t="n">
        <f aca="false">IFERROR(C133/B133-1,"")</f>
        <v>-0.133672691306103</v>
      </c>
      <c r="F133" s="36" t="n">
        <f aca="false">IFERROR(D133/C133-1,"")</f>
        <v>-1</v>
      </c>
      <c r="G133" s="36" t="n">
        <f aca="false">IFERROR(D133/B133-1,"")</f>
        <v>-1</v>
      </c>
      <c r="H133" s="34" t="n">
        <f aca="false">IFERROR(C133/SUM(C$126:C$137),"")</f>
        <v>0.0920724430924574</v>
      </c>
      <c r="I133" s="34" t="n">
        <f aca="false">IFERROR(D133/SUM(D$126:D$137),"")</f>
        <v>0</v>
      </c>
    </row>
    <row r="134" customFormat="false" ht="15" hidden="false" customHeight="true" outlineLevel="0" collapsed="false">
      <c r="A134" s="33" t="s">
        <v>19772</v>
      </c>
      <c r="B134" s="25" t="n">
        <f aca="false">SUMIFS(데이터_신성질별!$G$3:$G$529,데이터_신성질별!$E$3:$E$529,"다.IT제품",데이터_신성질별!$B$3:$B$529,2024,데이터_신성질별!$C$3:$C$529,9)</f>
        <v>4926301</v>
      </c>
      <c r="C134" s="25" t="n">
        <f aca="false">SUMIFS(데이터_신성질별!$G$3:$G$529,데이터_신성질별!$E$3:$E$529,"다.IT제품",데이터_신성질별!$B$3:$B$529,2025,데이터_신성질별!$C$3:$C$529,9)</f>
        <v>4619191</v>
      </c>
      <c r="D134" s="25"/>
      <c r="E134" s="36" t="n">
        <f aca="false">IFERROR(C134/B134-1,"")</f>
        <v>-0.062340892284089</v>
      </c>
      <c r="F134" s="36" t="n">
        <f aca="false">IFERROR(D134/C134-1,"")</f>
        <v>-1</v>
      </c>
      <c r="G134" s="36" t="n">
        <f aca="false">IFERROR(D134/B134-1,"")</f>
        <v>-1</v>
      </c>
      <c r="H134" s="34" t="n">
        <f aca="false">IFERROR(C134/SUM(C$126:C$137),"")</f>
        <v>0.10065576513272</v>
      </c>
      <c r="I134" s="34" t="n">
        <f aca="false">IFERROR(D134/SUM(D$126:D$137),"")</f>
        <v>0</v>
      </c>
    </row>
    <row r="135" customFormat="false" ht="15" hidden="false" customHeight="true" outlineLevel="0" collapsed="false">
      <c r="A135" s="33" t="s">
        <v>19773</v>
      </c>
      <c r="B135" s="25" t="n">
        <f aca="false">SUMIFS(데이터_신성질별!$G$3:$G$529,데이터_신성질별!$E$3:$E$529,"다.IT제품",데이터_신성질별!$B$3:$B$529,2024,데이터_신성질별!$C$3:$C$529,10)</f>
        <v>4421318</v>
      </c>
      <c r="C135" s="25" t="n">
        <f aca="false">SUMIFS(데이터_신성질별!$G$3:$G$529,데이터_신성질별!$E$3:$E$529,"다.IT제품",데이터_신성질별!$B$3:$B$529,2025,데이터_신성질별!$C$3:$C$529,10)</f>
        <v>4120522</v>
      </c>
      <c r="D135" s="25"/>
      <c r="E135" s="36" t="n">
        <f aca="false">IFERROR(C135/B135-1,"")</f>
        <v>-0.0680331068699424</v>
      </c>
      <c r="F135" s="36" t="n">
        <f aca="false">IFERROR(D135/C135-1,"")</f>
        <v>-1</v>
      </c>
      <c r="G135" s="36" t="n">
        <f aca="false">IFERROR(D135/B135-1,"")</f>
        <v>-1</v>
      </c>
      <c r="H135" s="34" t="n">
        <f aca="false">IFERROR(C135/SUM(C$126:C$137),"")</f>
        <v>0.0897893797109074</v>
      </c>
      <c r="I135" s="34" t="n">
        <f aca="false">IFERROR(D135/SUM(D$126:D$137),"")</f>
        <v>0</v>
      </c>
    </row>
    <row r="136" customFormat="false" ht="15" hidden="false" customHeight="true" outlineLevel="0" collapsed="false">
      <c r="A136" s="33" t="s">
        <v>19774</v>
      </c>
      <c r="B136" s="25" t="n">
        <f aca="false">SUMIFS(데이터_신성질별!$G$3:$G$529,데이터_신성질별!$E$3:$E$529,"다.IT제품",데이터_신성질별!$B$3:$B$529,2024,데이터_신성질별!$C$3:$C$529,11)</f>
        <v>4343246</v>
      </c>
      <c r="C136" s="25" t="n">
        <f aca="false">SUMIFS(데이터_신성질별!$G$3:$G$529,데이터_신성질별!$E$3:$E$529,"다.IT제품",데이터_신성질별!$B$3:$B$529,2025,데이터_신성질별!$C$3:$C$529,11)</f>
        <v>4413268</v>
      </c>
      <c r="D136" s="25"/>
      <c r="E136" s="36" t="n">
        <f aca="false">IFERROR(C136/B136-1,"")</f>
        <v>0.0161220432828351</v>
      </c>
      <c r="F136" s="36" t="n">
        <f aca="false">IFERROR(D136/C136-1,"")</f>
        <v>-1</v>
      </c>
      <c r="G136" s="36" t="n">
        <f aca="false">IFERROR(D136/B136-1,"")</f>
        <v>-1</v>
      </c>
      <c r="H136" s="34" t="n">
        <f aca="false">IFERROR(C136/SUM(C$126:C$137),"")</f>
        <v>0.0961685427763757</v>
      </c>
      <c r="I136" s="34" t="n">
        <f aca="false">IFERROR(D136/SUM(D$126:D$137),"")</f>
        <v>0</v>
      </c>
    </row>
    <row r="137" customFormat="false" ht="15" hidden="false" customHeight="true" outlineLevel="0" collapsed="false">
      <c r="A137" s="33" t="s">
        <v>19775</v>
      </c>
      <c r="B137" s="25" t="n">
        <f aca="false">SUMIFS(데이터_신성질별!$G$3:$G$529,데이터_신성질별!$E$3:$E$529,"다.IT제품",데이터_신성질별!$B$3:$B$529,2024,데이터_신성질별!$C$3:$C$529,12)</f>
        <v>4136134</v>
      </c>
      <c r="C137" s="25" t="n">
        <f aca="false">SUMIFS(데이터_신성질별!$G$3:$G$529,데이터_신성질별!$E$3:$E$529,"다.IT제품",데이터_신성질별!$B$3:$B$529,2025,데이터_신성질별!$C$3:$C$529,12)</f>
        <v>5051752</v>
      </c>
      <c r="D137" s="25"/>
      <c r="E137" s="36" t="n">
        <f aca="false">IFERROR(C137/B137-1,"")</f>
        <v>0.221370487513219</v>
      </c>
      <c r="F137" s="36" t="n">
        <f aca="false">IFERROR(D137/C137-1,"")</f>
        <v>-1</v>
      </c>
      <c r="G137" s="36" t="n">
        <f aca="false">IFERROR(D137/B137-1,"")</f>
        <v>-1</v>
      </c>
      <c r="H137" s="34" t="n">
        <f aca="false">IFERROR(C137/SUM(C$126:C$137),"")</f>
        <v>0.110081605809491</v>
      </c>
      <c r="I137" s="34" t="n">
        <f aca="false">IFERROR(D137/SUM(D$126:D$137),"")</f>
        <v>0</v>
      </c>
    </row>
    <row r="138" customFormat="false" ht="15" hidden="false" customHeight="true" outlineLevel="0" collapsed="false">
      <c r="A138" s="6" t="s">
        <v>19776</v>
      </c>
      <c r="B138" s="30" t="n">
        <f aca="false">SUM(B126:B137)</f>
        <v>46655271</v>
      </c>
      <c r="C138" s="30" t="n">
        <f aca="false">SUM(C126:C137)</f>
        <v>45890973</v>
      </c>
      <c r="D138" s="30" t="n">
        <f aca="false">SUM(D126:D137)</f>
        <v>46473644</v>
      </c>
      <c r="E138" s="41" t="n">
        <f aca="false">IFERROR(C138/B138-1,"")</f>
        <v>-0.0163818146078285</v>
      </c>
      <c r="F138" s="36"/>
    </row>
    <row r="139" customFormat="false" ht="15" hidden="false" customHeight="true" outlineLevel="0" collapsed="false">
      <c r="A139" s="48" t="s">
        <v>19777</v>
      </c>
      <c r="B139" s="30" t="n">
        <f aca="false">SUM(B126:B132)</f>
        <v>23951023</v>
      </c>
      <c r="C139" s="30" t="n">
        <f aca="false">SUM(C126:C132)</f>
        <v>23460946</v>
      </c>
      <c r="D139" s="30" t="n">
        <f aca="false">SUM(D126:D132)</f>
        <v>46473644</v>
      </c>
      <c r="E139" s="41" t="n">
        <f aca="false">IFERROR(C139/B139-1,"")</f>
        <v>-0.020461631221347</v>
      </c>
      <c r="F139" s="41" t="n">
        <f aca="false">IFERROR(D139/C139-1,"")</f>
        <v>0.980893865064094</v>
      </c>
      <c r="G139" s="41" t="n">
        <f aca="false">IFERROR(D139/B139-1,"")</f>
        <v>0.940361545308524</v>
      </c>
    </row>
    <row r="141" customFormat="false" ht="14.25" hidden="false" customHeight="true" outlineLevel="0" collapsed="false">
      <c r="A141" s="23" t="s">
        <v>19785</v>
      </c>
      <c r="B141" s="23"/>
      <c r="C141" s="23"/>
      <c r="D141" s="23"/>
      <c r="E141" s="23"/>
      <c r="F141" s="23"/>
      <c r="G141" s="23"/>
      <c r="H141" s="23"/>
      <c r="I141" s="23"/>
    </row>
    <row r="142" customFormat="false" ht="15" hidden="false" customHeight="true" outlineLevel="0" collapsed="false">
      <c r="A142" s="5" t="s">
        <v>19654</v>
      </c>
      <c r="B142" s="50" t="s">
        <v>19756</v>
      </c>
      <c r="C142" s="51" t="s">
        <v>19757</v>
      </c>
      <c r="D142" s="52" t="s">
        <v>19758</v>
      </c>
      <c r="E142" s="44" t="s">
        <v>19759</v>
      </c>
      <c r="F142" s="44" t="s">
        <v>19760</v>
      </c>
      <c r="G142" s="44" t="s">
        <v>19761</v>
      </c>
      <c r="H142" s="44" t="s">
        <v>19762</v>
      </c>
      <c r="I142" s="44" t="s">
        <v>19763</v>
      </c>
    </row>
    <row r="143" customFormat="false" ht="15" hidden="false" customHeight="true" outlineLevel="0" collapsed="false">
      <c r="A143" s="33" t="s">
        <v>19764</v>
      </c>
      <c r="B143" s="25" t="n">
        <f aca="false">IF(SUMIFS(데이터_총괄!$H$3:$H$33,데이터_총괄!$B$3:$B$33,2024,데이터_총괄!$C$3:$C$33,1)=0,"",SUMIFS(데이터_총괄!$H$3:$H$33,데이터_총괄!$B$3:$B$33,2024,데이터_총괄!$C$3:$C$33,1)-(SUMIFS(데이터_신성질별!$G$3:$G$529,데이터_신성질별!$E$3:$E$529,"라.IT부품",데이터_신성질별!$B$3:$B$529,2024,데이터_신성질별!$C$3:$C$529,1)+SUMIFS(데이터_신성질별!$G$3:$G$529,데이터_신성질별!$E$3:$E$529,"다.IT제품",데이터_신성질별!$B$3:$B$529,2024,데이터_신성질별!$C$3:$C$529,1)))</f>
        <v>40689628</v>
      </c>
      <c r="C143" s="25" t="n">
        <f aca="false">IF(SUMIFS(데이터_총괄!$H$3:$H$33,데이터_총괄!$B$3:$B$33,2025,데이터_총괄!$C$3:$C$33,1)=0,"",SUMIFS(데이터_총괄!$H$3:$H$33,데이터_총괄!$B$3:$B$33,2025,데이터_총괄!$C$3:$C$33,1)-(SUMIFS(데이터_신성질별!$G$3:$G$529,데이터_신성질별!$E$3:$E$529,"라.IT부품",데이터_신성질별!$B$3:$B$529,2025,데이터_신성질별!$C$3:$C$529,1)+SUMIFS(데이터_신성질별!$G$3:$G$529,데이터_신성질별!$E$3:$E$529,"다.IT제품",데이터_신성질별!$B$3:$B$529,2025,데이터_신성질별!$C$3:$C$529,1)))</f>
        <v>34814142</v>
      </c>
      <c r="D143" s="25" t="n">
        <f aca="false">IF(SUMIFS(데이터_총괄!$H$3:$H$33,데이터_총괄!$B$3:$B$33,2026,데이터_총괄!$C$3:$C$33,1)=0,"",SUMIFS(데이터_총괄!$H$3:$H$33,데이터_총괄!$B$3:$B$33,2026,데이터_총괄!$C$3:$C$33,1)-(SUMIFS(데이터_신성질별!$G$3:$G$529,데이터_신성질별!$E$3:$E$529,"라.IT부품",데이터_신성질별!$B$3:$B$529,2026,데이터_신성질별!$C$3:$C$529,1)+SUMIFS(데이터_신성질별!$G$3:$G$529,데이터_신성질별!$E$3:$E$529,"다.IT제품",데이터_신성질별!$B$3:$B$529,2026,데이터_신성질별!$C$3:$C$529,1)))</f>
        <v>38929703</v>
      </c>
      <c r="E143" s="36" t="n">
        <f aca="false">IFERROR(C143/B143-1,"")</f>
        <v>-0.144397633716386</v>
      </c>
      <c r="F143" s="36" t="n">
        <f aca="false">IFERROR(D143/C143-1,"")</f>
        <v>0.11821520691218</v>
      </c>
      <c r="G143" s="36" t="n">
        <f aca="false">IFERROR(D143/B143-1,"")</f>
        <v>-0.043252422951618</v>
      </c>
      <c r="H143" s="34" t="n">
        <f aca="false">IFERROR(C143/SUM(C$143:C$154),"")</f>
        <v>0.0737257959383415</v>
      </c>
      <c r="I143" s="34" t="n">
        <f aca="false">IFERROR(D143/SUM(D$143:D$154),"")</f>
        <v>0.127951846642879</v>
      </c>
    </row>
    <row r="144" customFormat="false" ht="15" hidden="false" customHeight="true" outlineLevel="0" collapsed="false">
      <c r="A144" s="33" t="s">
        <v>19765</v>
      </c>
      <c r="B144" s="25" t="n">
        <f aca="false">IF(SUMIFS(데이터_총괄!$H$3:$H$33,데이터_총괄!$B$3:$B$33,2024,데이터_총괄!$C$3:$C$33,2)=0,"",SUMIFS(데이터_총괄!$H$3:$H$33,데이터_총괄!$B$3:$B$33,2024,데이터_총괄!$C$3:$C$33,2)-(SUMIFS(데이터_신성질별!$G$3:$G$529,데이터_신성질별!$E$3:$E$529,"라.IT부품",데이터_신성질별!$B$3:$B$529,2024,데이터_신성질별!$C$3:$C$529,2)+SUMIFS(데이터_신성질별!$G$3:$G$529,데이터_신성질별!$E$3:$E$529,"다.IT제품",데이터_신성질별!$B$3:$B$529,2024,데이터_신성질별!$C$3:$C$529,2)))</f>
        <v>37930344</v>
      </c>
      <c r="C144" s="25" t="n">
        <f aca="false">IF(SUMIFS(데이터_총괄!$H$3:$H$33,데이터_총괄!$B$3:$B$33,2025,데이터_총괄!$C$3:$C$33,2)=0,"",SUMIFS(데이터_총괄!$H$3:$H$33,데이터_총괄!$B$3:$B$33,2025,데이터_총괄!$C$3:$C$33,2)-(SUMIFS(데이터_신성질별!$G$3:$G$529,데이터_신성질별!$E$3:$E$529,"라.IT부품",데이터_신성질별!$B$3:$B$529,2025,데이터_신성질별!$C$3:$C$529,2)+SUMIFS(데이터_신성질별!$G$3:$G$529,데이터_신성질별!$E$3:$E$529,"다.IT제품",데이터_신성질별!$B$3:$B$529,2025,데이터_신성질별!$C$3:$C$529,2)))</f>
        <v>38046720</v>
      </c>
      <c r="D144" s="25" t="n">
        <f aca="false">IF(SUMIFS(데이터_총괄!$H$3:$H$33,데이터_총괄!$B$3:$B$33,2026,데이터_총괄!$C$3:$C$33,2)=0,"",SUMIFS(데이터_총괄!$H$3:$H$33,데이터_총괄!$B$3:$B$33,2026,데이터_총괄!$C$3:$C$33,2)-(SUMIFS(데이터_신성질별!$G$3:$G$529,데이터_신성질별!$E$3:$E$529,"라.IT부품",데이터_신성질별!$B$3:$B$529,2026,데이터_신성질별!$C$3:$C$529,2)+SUMIFS(데이터_신성질별!$G$3:$G$529,데이터_신성질별!$E$3:$E$529,"다.IT제품",데이터_신성질별!$B$3:$B$529,2026,데이터_신성질별!$C$3:$C$529,2)))</f>
        <v>36060668</v>
      </c>
      <c r="E144" s="36" t="n">
        <f aca="false">IFERROR(C144/B144-1,"")</f>
        <v>0.00306815039694874</v>
      </c>
      <c r="F144" s="36" t="n">
        <f aca="false">IFERROR(D144/C144-1,"")</f>
        <v>-0.0522003473624008</v>
      </c>
      <c r="G144" s="36" t="n">
        <f aca="false">IFERROR(D144/B144-1,"")</f>
        <v>-0.0492923554819329</v>
      </c>
      <c r="H144" s="34" t="n">
        <f aca="false">IFERROR(C144/SUM(C$143:C$154),"")</f>
        <v>0.0805714159160727</v>
      </c>
      <c r="I144" s="34" t="n">
        <f aca="false">IFERROR(D144/SUM(D$143:D$154),"")</f>
        <v>0.11852207199669</v>
      </c>
    </row>
    <row r="145" customFormat="false" ht="15" hidden="false" customHeight="true" outlineLevel="0" collapsed="false">
      <c r="A145" s="33" t="s">
        <v>19766</v>
      </c>
      <c r="B145" s="25" t="n">
        <f aca="false">IF(SUMIFS(데이터_총괄!$H$3:$H$33,데이터_총괄!$B$3:$B$33,2024,데이터_총괄!$C$3:$C$33,3)=0,"",SUMIFS(데이터_총괄!$H$3:$H$33,데이터_총괄!$B$3:$B$33,2024,데이터_총괄!$C$3:$C$33,3)-(SUMIFS(데이터_신성질별!$G$3:$G$529,데이터_신성질별!$E$3:$E$529,"라.IT부품",데이터_신성질별!$B$3:$B$529,2024,데이터_신성질별!$C$3:$C$529,3)+SUMIFS(데이터_신성질별!$G$3:$G$529,데이터_신성질별!$E$3:$E$529,"다.IT제품",데이터_신성질별!$B$3:$B$529,2024,데이터_신성질별!$C$3:$C$529,3)))</f>
        <v>40185421</v>
      </c>
      <c r="C145" s="25" t="n">
        <f aca="false">IF(SUMIFS(데이터_총괄!$H$3:$H$33,데이터_총괄!$B$3:$B$33,2025,데이터_총괄!$C$3:$C$33,3)=0,"",SUMIFS(데이터_총괄!$H$3:$H$33,데이터_총괄!$B$3:$B$33,2025,데이터_총괄!$C$3:$C$33,3)-(SUMIFS(데이터_신성질별!$G$3:$G$529,데이터_신성질별!$E$3:$E$529,"라.IT부품",데이터_신성질별!$B$3:$B$529,2025,데이터_신성질별!$C$3:$C$529,3)+SUMIFS(데이터_신성질별!$G$3:$G$529,데이터_신성질별!$E$3:$E$529,"다.IT제품",데이터_신성질별!$B$3:$B$529,2025,데이터_신성질별!$C$3:$C$529,3)))</f>
        <v>39849378</v>
      </c>
      <c r="D145" s="25" t="n">
        <f aca="false">IF(SUMIFS(데이터_총괄!$H$3:$H$33,데이터_총괄!$B$3:$B$33,2026,데이터_총괄!$C$3:$C$33,3)=0,"",SUMIFS(데이터_총괄!$H$3:$H$33,데이터_총괄!$B$3:$B$33,2026,데이터_총괄!$C$3:$C$33,3)-(SUMIFS(데이터_신성질별!$G$3:$G$529,데이터_신성질별!$E$3:$E$529,"라.IT부품",데이터_신성질별!$B$3:$B$529,2026,데이터_신성질별!$C$3:$C$529,3)+SUMIFS(데이터_신성질별!$G$3:$G$529,데이터_신성질별!$E$3:$E$529,"다.IT제품",데이터_신성질별!$B$3:$B$529,2026,데이터_신성질별!$C$3:$C$529,3)))</f>
        <v>46491680</v>
      </c>
      <c r="E145" s="36" t="n">
        <f aca="false">IFERROR(C145/B145-1,"")</f>
        <v>-0.00836231129692533</v>
      </c>
      <c r="F145" s="36" t="n">
        <f aca="false">IFERROR(D145/C145-1,"")</f>
        <v>0.166685211498157</v>
      </c>
      <c r="G145" s="36" t="n">
        <f aca="false">IFERROR(D145/B145-1,"")</f>
        <v>0.15692902657409</v>
      </c>
      <c r="H145" s="34" t="n">
        <f aca="false">IFERROR(C145/SUM(C$143:C$154),"")</f>
        <v>0.0843888989335953</v>
      </c>
      <c r="I145" s="34" t="n">
        <f aca="false">IFERROR(D145/SUM(D$143:D$154),"")</f>
        <v>0.152806105649709</v>
      </c>
    </row>
    <row r="146" customFormat="false" ht="15" hidden="false" customHeight="true" outlineLevel="0" collapsed="false">
      <c r="A146" s="33" t="s">
        <v>19767</v>
      </c>
      <c r="B146" s="25" t="n">
        <f aca="false">IF(SUMIFS(데이터_총괄!$H$3:$H$33,데이터_총괄!$B$3:$B$33,2024,데이터_총괄!$C$3:$C$33,4)=0,"",SUMIFS(데이터_총괄!$H$3:$H$33,데이터_총괄!$B$3:$B$33,2024,데이터_총괄!$C$3:$C$33,4)-(SUMIFS(데이터_신성질별!$G$3:$G$529,데이터_신성질별!$E$3:$E$529,"라.IT부품",데이터_신성질별!$B$3:$B$529,2024,데이터_신성질별!$C$3:$C$529,4)+SUMIFS(데이터_신성질별!$G$3:$G$529,데이터_신성질별!$E$3:$E$529,"다.IT제품",데이터_신성질별!$B$3:$B$529,2024,데이터_신성질별!$C$3:$C$529,4)))</f>
        <v>41541020</v>
      </c>
      <c r="C146" s="25" t="n">
        <f aca="false">IF(SUMIFS(데이터_총괄!$H$3:$H$33,데이터_총괄!$B$3:$B$33,2025,데이터_총괄!$C$3:$C$33,4)=0,"",SUMIFS(데이터_총괄!$H$3:$H$33,데이터_총괄!$B$3:$B$33,2025,데이터_총괄!$C$3:$C$33,4)-(SUMIFS(데이터_신성질별!$G$3:$G$529,데이터_신성질별!$E$3:$E$529,"라.IT부품",데이터_신성질별!$B$3:$B$529,2025,데이터_신성질별!$C$3:$C$529,4)+SUMIFS(데이터_신성질별!$G$3:$G$529,데이터_신성질별!$E$3:$E$529,"다.IT제품",데이터_신성질별!$B$3:$B$529,2025,데이터_신성질별!$C$3:$C$529,4)))</f>
        <v>41633593</v>
      </c>
      <c r="D146" s="25" t="n">
        <f aca="false">IF(SUMIFS(데이터_총괄!$H$3:$H$33,데이터_총괄!$B$3:$B$33,2026,데이터_총괄!$C$3:$C$33,4)=0,"",SUMIFS(데이터_총괄!$H$3:$H$33,데이터_총괄!$B$3:$B$33,2026,데이터_총괄!$C$3:$C$33,4)-(SUMIFS(데이터_신성질별!$G$3:$G$529,데이터_신성질별!$E$3:$E$529,"라.IT부품",데이터_신성질별!$B$3:$B$529,2026,데이터_신성질별!$C$3:$C$529,4)+SUMIFS(데이터_신성질별!$G$3:$G$529,데이터_신성질별!$E$3:$E$529,"다.IT제품",데이터_신성질별!$B$3:$B$529,2026,데이터_신성질별!$C$3:$C$529,4)))</f>
        <v>45424727</v>
      </c>
      <c r="E146" s="36" t="n">
        <f aca="false">IFERROR(C146/B146-1,"")</f>
        <v>0.00222847200189125</v>
      </c>
      <c r="F146" s="36" t="n">
        <f aca="false">IFERROR(D146/C146-1,"")</f>
        <v>0.0910594961141116</v>
      </c>
      <c r="G146" s="36" t="n">
        <f aca="false">IFERROR(D146/B146-1,"")</f>
        <v>0.0934908916535993</v>
      </c>
      <c r="H146" s="34" t="n">
        <f aca="false">IFERROR(C146/SUM(C$143:C$154),"")</f>
        <v>0.0881673252696551</v>
      </c>
      <c r="I146" s="34" t="n">
        <f aca="false">IFERROR(D146/SUM(D$143:D$154),"")</f>
        <v>0.149299307598073</v>
      </c>
    </row>
    <row r="147" customFormat="false" ht="15" hidden="false" customHeight="true" outlineLevel="0" collapsed="false">
      <c r="A147" s="33" t="s">
        <v>19768</v>
      </c>
      <c r="B147" s="25" t="n">
        <f aca="false">IF(SUMIFS(데이터_총괄!$H$3:$H$33,데이터_총괄!$B$3:$B$33,2024,데이터_총괄!$C$3:$C$33,5)=0,"",SUMIFS(데이터_총괄!$H$3:$H$33,데이터_총괄!$B$3:$B$33,2024,데이터_총괄!$C$3:$C$33,5)-(SUMIFS(데이터_신성질별!$G$3:$G$529,데이터_신성질별!$E$3:$E$529,"라.IT부품",데이터_신성질별!$B$3:$B$529,2024,데이터_신성질별!$C$3:$C$529,5)+SUMIFS(데이터_신성질별!$G$3:$G$529,데이터_신성질별!$E$3:$E$529,"다.IT제품",데이터_신성질별!$B$3:$B$529,2024,데이터_신성질별!$C$3:$C$529,5)))</f>
        <v>41427917</v>
      </c>
      <c r="C147" s="25" t="n">
        <f aca="false">IF(SUMIFS(데이터_총괄!$H$3:$H$33,데이터_총괄!$B$3:$B$33,2025,데이터_총괄!$C$3:$C$33,5)=0,"",SUMIFS(데이터_총괄!$H$3:$H$33,데이터_총괄!$B$3:$B$33,2025,데이터_총괄!$C$3:$C$33,5)-(SUMIFS(데이터_신성질별!$G$3:$G$529,데이터_신성질별!$E$3:$E$529,"라.IT부품",데이터_신성질별!$B$3:$B$529,2025,데이터_신성질별!$C$3:$C$529,5)+SUMIFS(데이터_신성질별!$G$3:$G$529,데이터_신성질별!$E$3:$E$529,"다.IT제품",데이터_신성질별!$B$3:$B$529,2025,데이터_신성질별!$C$3:$C$529,5)))</f>
        <v>38513932</v>
      </c>
      <c r="D147" s="25" t="n">
        <f aca="false">IF(SUMIFS(데이터_총괄!$H$3:$H$33,데이터_총괄!$B$3:$B$33,2026,데이터_총괄!$C$3:$C$33,5)=0,"",SUMIFS(데이터_총괄!$H$3:$H$33,데이터_총괄!$B$3:$B$33,2026,데이터_총괄!$C$3:$C$33,5)-(SUMIFS(데이터_신성질별!$G$3:$G$529,데이터_신성질별!$E$3:$E$529,"라.IT부품",데이터_신성질별!$B$3:$B$529,2026,데이터_신성질별!$C$3:$C$529,5)+SUMIFS(데이터_신성질별!$G$3:$G$529,데이터_신성질별!$E$3:$E$529,"다.IT제품",데이터_신성질별!$B$3:$B$529,2026,데이터_신성질별!$C$3:$C$529,5)))</f>
        <v>42017459</v>
      </c>
      <c r="E147" s="36" t="n">
        <f aca="false">IFERROR(C147/B147-1,"")</f>
        <v>-0.0703386800741153</v>
      </c>
      <c r="F147" s="36" t="n">
        <f aca="false">IFERROR(D147/C147-1,"")</f>
        <v>0.0909677827753344</v>
      </c>
      <c r="G147" s="36" t="n">
        <f aca="false">IFERROR(D147/B147-1,"")</f>
        <v>0.0142305489315333</v>
      </c>
      <c r="H147" s="34" t="n">
        <f aca="false">IFERROR(C147/SUM(C$143:C$154),"")</f>
        <v>0.0815608292576953</v>
      </c>
      <c r="I147" s="34" t="n">
        <f aca="false">IFERROR(D147/SUM(D$143:D$154),"")</f>
        <v>0.138100500543029</v>
      </c>
    </row>
    <row r="148" customFormat="false" ht="15" hidden="false" customHeight="true" outlineLevel="0" collapsed="false">
      <c r="A148" s="33" t="s">
        <v>19769</v>
      </c>
      <c r="B148" s="25" t="n">
        <f aca="false">IF(SUMIFS(데이터_총괄!$H$3:$H$33,데이터_총괄!$B$3:$B$33,2024,데이터_총괄!$C$3:$C$33,6)=0,"",SUMIFS(데이터_총괄!$H$3:$H$33,데이터_총괄!$B$3:$B$33,2024,데이터_총괄!$C$3:$C$33,6)-(SUMIFS(데이터_신성질별!$G$3:$G$529,데이터_신성질별!$E$3:$E$529,"라.IT부품",데이터_신성질별!$B$3:$B$529,2024,데이터_신성질별!$C$3:$C$529,6)+SUMIFS(데이터_신성질별!$G$3:$G$529,데이터_신성질별!$E$3:$E$529,"다.IT제품",데이터_신성질별!$B$3:$B$529,2024,데이터_신성질별!$C$3:$C$529,6)))</f>
        <v>38692492</v>
      </c>
      <c r="C148" s="25" t="n">
        <f aca="false">IF(SUMIFS(데이터_총괄!$H$3:$H$33,데이터_총괄!$B$3:$B$33,2025,데이터_총괄!$C$3:$C$33,6)=0,"",SUMIFS(데이터_총괄!$H$3:$H$33,데이터_총괄!$B$3:$B$33,2025,데이터_총괄!$C$3:$C$33,6)-(SUMIFS(데이터_신성질별!$G$3:$G$529,데이터_신성질별!$E$3:$E$529,"라.IT부품",데이터_신성질별!$B$3:$B$529,2025,데이터_신성질별!$C$3:$C$529,6)+SUMIFS(데이터_신성질별!$G$3:$G$529,데이터_신성질별!$E$3:$E$529,"다.IT제품",데이터_신성질별!$B$3:$B$529,2025,데이터_신성질별!$C$3:$C$529,6)))</f>
        <v>40077694</v>
      </c>
      <c r="D148" s="25" t="n">
        <f aca="false">IF(SUMIFS(데이터_총괄!$H$3:$H$33,데이터_총괄!$B$3:$B$33,2026,데이터_총괄!$C$3:$C$33,6)=0,"",SUMIFS(데이터_총괄!$H$3:$H$33,데이터_총괄!$B$3:$B$33,2026,데이터_총괄!$C$3:$C$33,6)-(SUMIFS(데이터_신성질별!$G$3:$G$529,데이터_신성질별!$E$3:$E$529,"라.IT부품",데이터_신성질별!$B$3:$B$529,2026,데이터_신성질별!$C$3:$C$529,6)+SUMIFS(데이터_신성질별!$G$3:$G$529,데이터_신성질별!$E$3:$E$529,"다.IT제품",데이터_신성질별!$B$3:$B$529,2026,데이터_신성질별!$C$3:$C$529,6)))</f>
        <v>47163646</v>
      </c>
      <c r="E148" s="36" t="n">
        <f aca="false">IFERROR(C148/B148-1,"")</f>
        <v>0.0358002787724296</v>
      </c>
      <c r="F148" s="36" t="n">
        <f aca="false">IFERROR(D148/C148-1,"")</f>
        <v>0.176805382066144</v>
      </c>
      <c r="G148" s="36" t="n">
        <f aca="false">IFERROR(D148/B148-1,"")</f>
        <v>0.218935342805007</v>
      </c>
      <c r="H148" s="34" t="n">
        <f aca="false">IFERROR(C148/SUM(C$143:C$154),"")</f>
        <v>0.0848724029885123</v>
      </c>
      <c r="I148" s="34" t="n">
        <f aca="false">IFERROR(D148/SUM(D$143:D$154),"")</f>
        <v>0.15501468377786</v>
      </c>
    </row>
    <row r="149" customFormat="false" ht="15" hidden="false" customHeight="true" outlineLevel="0" collapsed="false">
      <c r="A149" s="33" t="s">
        <v>19770</v>
      </c>
      <c r="B149" s="25" t="n">
        <f aca="false">IF(SUMIFS(데이터_총괄!$H$3:$H$33,데이터_총괄!$B$3:$B$33,2024,데이터_총괄!$C$3:$C$33,7)=0,"",SUMIFS(데이터_총괄!$H$3:$H$33,데이터_총괄!$B$3:$B$33,2024,데이터_총괄!$C$3:$C$33,7)-(SUMIFS(데이터_신성질별!$G$3:$G$529,데이터_신성질별!$E$3:$E$529,"라.IT부품",데이터_신성질별!$B$3:$B$529,2024,데이터_신성질별!$C$3:$C$529,7)+SUMIFS(데이터_신성질별!$G$3:$G$529,데이터_신성질별!$E$3:$E$529,"다.IT제품",데이터_신성질별!$B$3:$B$529,2024,데이터_신성질별!$C$3:$C$529,7)))</f>
        <v>40526495</v>
      </c>
      <c r="C149" s="25" t="n">
        <f aca="false">IF(SUMIFS(데이터_총괄!$H$3:$H$33,데이터_총괄!$B$3:$B$33,2025,데이터_총괄!$C$3:$C$33,7)=0,"",SUMIFS(데이터_총괄!$H$3:$H$33,데이터_총괄!$B$3:$B$33,2025,데이터_총괄!$C$3:$C$33,7)-(SUMIFS(데이터_신성질별!$G$3:$G$529,데이터_신성질별!$E$3:$E$529,"라.IT부품",데이터_신성질별!$B$3:$B$529,2025,데이터_신성질별!$C$3:$C$529,7)+SUMIFS(데이터_신성질별!$G$3:$G$529,데이터_신성질별!$E$3:$E$529,"다.IT제품",데이터_신성질별!$B$3:$B$529,2025,데이터_신성질별!$C$3:$C$529,7)))</f>
        <v>40873864</v>
      </c>
      <c r="D149" s="25" t="n">
        <f aca="false">IF(SUMIFS(데이터_총괄!$H$3:$H$33,데이터_총괄!$B$3:$B$33,2026,데이터_총괄!$C$3:$C$33,7)=0,"",SUMIFS(데이터_총괄!$H$3:$H$33,데이터_총괄!$B$3:$B$33,2026,데이터_총괄!$C$3:$C$33,7)-(SUMIFS(데이터_신성질별!$G$3:$G$529,데이터_신성질별!$E$3:$E$529,"라.IT부품",데이터_신성질별!$B$3:$B$529,2026,데이터_신성질별!$C$3:$C$529,7)+SUMIFS(데이터_신성질별!$G$3:$G$529,데이터_신성질별!$E$3:$E$529,"다.IT제품",데이터_신성질별!$B$3:$B$529,2026,데이터_신성질별!$C$3:$C$529,7)))</f>
        <v>48164881</v>
      </c>
      <c r="E149" s="36" t="n">
        <f aca="false">IFERROR(C149/B149-1,"")</f>
        <v>0.00857140495372222</v>
      </c>
      <c r="F149" s="36" t="n">
        <f aca="false">IFERROR(D149/C149-1,"")</f>
        <v>0.178378462090102</v>
      </c>
      <c r="G149" s="36" t="n">
        <f aca="false">IFERROR(D149/B149-1,"")</f>
        <v>0.188478821077421</v>
      </c>
      <c r="H149" s="34" t="n">
        <f aca="false">IFERROR(C149/SUM(C$143:C$154),"")</f>
        <v>0.0865584496230159</v>
      </c>
      <c r="I149" s="34" t="n">
        <f aca="false">IFERROR(D149/SUM(D$143:D$154),"")</f>
        <v>0.158305483791759</v>
      </c>
    </row>
    <row r="150" customFormat="false" ht="15" hidden="false" customHeight="true" outlineLevel="0" collapsed="false">
      <c r="A150" s="33" t="s">
        <v>19771</v>
      </c>
      <c r="B150" s="25" t="n">
        <f aca="false">IF(SUMIFS(데이터_총괄!$H$3:$H$33,데이터_총괄!$B$3:$B$33,2024,데이터_총괄!$C$3:$C$33,8)=0,"",SUMIFS(데이터_총괄!$H$3:$H$33,데이터_총괄!$B$3:$B$33,2024,데이터_총괄!$C$3:$C$33,8)-(SUMIFS(데이터_신성질별!$G$3:$G$529,데이터_신성질별!$E$3:$E$529,"라.IT부품",데이터_신성질별!$B$3:$B$529,2024,데이터_신성질별!$C$3:$C$529,8)+SUMIFS(데이터_신성질별!$G$3:$G$529,데이터_신성질별!$E$3:$E$529,"다.IT제품",데이터_신성질별!$B$3:$B$529,2024,데이터_신성질별!$C$3:$C$529,8)))</f>
        <v>39410551</v>
      </c>
      <c r="C150" s="25" t="n">
        <f aca="false">IF(SUMIFS(데이터_총괄!$H$3:$H$33,데이터_총괄!$B$3:$B$33,2025,데이터_총괄!$C$3:$C$33,8)=0,"",SUMIFS(데이터_총괄!$H$3:$H$33,데이터_총괄!$B$3:$B$33,2025,데이터_총괄!$C$3:$C$33,8)-(SUMIFS(데이터_신성질별!$G$3:$G$529,데이터_신성질별!$E$3:$E$529,"라.IT부품",데이터_신성질별!$B$3:$B$529,2025,데이터_신성질별!$C$3:$C$529,8)+SUMIFS(데이터_신성질별!$G$3:$G$529,데이터_신성질별!$E$3:$E$529,"다.IT제품",데이터_신성질별!$B$3:$B$529,2025,데이터_신성질별!$C$3:$C$529,8)))</f>
        <v>37414352</v>
      </c>
      <c r="D150" s="25"/>
      <c r="E150" s="36" t="n">
        <f aca="false">IFERROR(C150/B150-1,"")</f>
        <v>-0.0506513852090015</v>
      </c>
      <c r="F150" s="36" t="n">
        <f aca="false">IFERROR(D150/C150-1,"")</f>
        <v>-1</v>
      </c>
      <c r="G150" s="36" t="n">
        <f aca="false">IFERROR(D150/B150-1,"")</f>
        <v>-1</v>
      </c>
      <c r="H150" s="34" t="n">
        <f aca="false">IFERROR(C150/SUM(C$143:C$154),"")</f>
        <v>0.0792322522472988</v>
      </c>
      <c r="I150" s="34" t="n">
        <f aca="false">IFERROR(D150/SUM(D$143:D$154),"")</f>
        <v>0</v>
      </c>
    </row>
    <row r="151" customFormat="false" ht="15" hidden="false" customHeight="true" outlineLevel="0" collapsed="false">
      <c r="A151" s="33" t="s">
        <v>19772</v>
      </c>
      <c r="B151" s="25" t="n">
        <f aca="false">IF(SUMIFS(데이터_총괄!$H$3:$H$33,데이터_총괄!$B$3:$B$33,2024,데이터_총괄!$C$3:$C$33,9)=0,"",SUMIFS(데이터_총괄!$H$3:$H$33,데이터_총괄!$B$3:$B$33,2024,데이터_총괄!$C$3:$C$33,9)-(SUMIFS(데이터_신성질별!$G$3:$G$529,데이터_신성질별!$E$3:$E$529,"라.IT부품",데이터_신성질별!$B$3:$B$529,2024,데이터_신성질별!$C$3:$C$529,9)+SUMIFS(데이터_신성질별!$G$3:$G$529,데이터_신성질별!$E$3:$E$529,"다.IT제품",데이터_신성질별!$B$3:$B$529,2024,데이터_신성질별!$C$3:$C$529,9)))</f>
        <v>38606219</v>
      </c>
      <c r="C151" s="25" t="n">
        <f aca="false">IF(SUMIFS(데이터_총괄!$H$3:$H$33,데이터_총괄!$B$3:$B$33,2025,데이터_총괄!$C$3:$C$33,9)=0,"",SUMIFS(데이터_총괄!$H$3:$H$33,데이터_총괄!$B$3:$B$33,2025,데이터_총괄!$C$3:$C$33,9)-(SUMIFS(데이터_신성질별!$G$3:$G$529,데이터_신성질별!$E$3:$E$529,"라.IT부품",데이터_신성질별!$B$3:$B$529,2025,데이터_신성질별!$C$3:$C$529,9)+SUMIFS(데이터_신성질별!$G$3:$G$529,데이터_신성질별!$E$3:$E$529,"다.IT제품",데이터_신성질별!$B$3:$B$529,2025,데이터_신성질별!$C$3:$C$529,9)))</f>
        <v>43071575</v>
      </c>
      <c r="D151" s="25"/>
      <c r="E151" s="36" t="n">
        <f aca="false">IFERROR(C151/B151-1,"")</f>
        <v>0.115664162812732</v>
      </c>
      <c r="F151" s="36" t="n">
        <f aca="false">IFERROR(D151/C151-1,"")</f>
        <v>-1</v>
      </c>
      <c r="G151" s="36" t="n">
        <f aca="false">IFERROR(D151/B151-1,"")</f>
        <v>-1</v>
      </c>
      <c r="H151" s="34" t="n">
        <f aca="false">IFERROR(C151/SUM(C$143:C$154),"")</f>
        <v>0.0912125351011945</v>
      </c>
      <c r="I151" s="34" t="n">
        <f aca="false">IFERROR(D151/SUM(D$143:D$154),"")</f>
        <v>0</v>
      </c>
    </row>
    <row r="152" customFormat="false" ht="15" hidden="false" customHeight="true" outlineLevel="0" collapsed="false">
      <c r="A152" s="33" t="s">
        <v>19773</v>
      </c>
      <c r="B152" s="25" t="n">
        <f aca="false">IF(SUMIFS(데이터_총괄!$H$3:$H$33,데이터_총괄!$B$3:$B$33,2024,데이터_총괄!$C$3:$C$33,10)=0,"",SUMIFS(데이터_총괄!$H$3:$H$33,데이터_총괄!$B$3:$B$33,2024,데이터_총괄!$C$3:$C$33,10)-(SUMIFS(데이터_신성질별!$G$3:$G$529,데이터_신성질별!$E$3:$E$529,"라.IT부품",데이터_신성질별!$B$3:$B$529,2024,데이터_신성질별!$C$3:$C$529,10)+SUMIFS(데이터_신성질별!$G$3:$G$529,데이터_신성질별!$E$3:$E$529,"다.IT제품",데이터_신성질별!$B$3:$B$529,2024,데이터_신성질별!$C$3:$C$529,10)))</f>
        <v>39112282</v>
      </c>
      <c r="C152" s="25" t="n">
        <f aca="false">IF(SUMIFS(데이터_총괄!$H$3:$H$33,데이터_총괄!$B$3:$B$33,2025,데이터_총괄!$C$3:$C$33,10)=0,"",SUMIFS(데이터_총괄!$H$3:$H$33,데이터_총괄!$B$3:$B$33,2025,데이터_총괄!$C$3:$C$33,10)-(SUMIFS(데이터_신성질별!$G$3:$G$529,데이터_신성질별!$E$3:$E$529,"라.IT부품",데이터_신성질별!$B$3:$B$529,2025,데이터_신성질별!$C$3:$C$529,10)+SUMIFS(데이터_신성질별!$G$3:$G$529,데이터_신성질별!$E$3:$E$529,"다.IT제품",데이터_신성질별!$B$3:$B$529,2025,데이터_신성질별!$C$3:$C$529,10)))</f>
        <v>38250616</v>
      </c>
      <c r="D152" s="25"/>
      <c r="E152" s="36" t="n">
        <f aca="false">IFERROR(C152/B152-1,"")</f>
        <v>-0.0220305734142539</v>
      </c>
      <c r="F152" s="36" t="n">
        <f aca="false">IFERROR(D152/C152-1,"")</f>
        <v>-1</v>
      </c>
      <c r="G152" s="36" t="n">
        <f aca="false">IFERROR(D152/B152-1,"")</f>
        <v>-1</v>
      </c>
      <c r="H152" s="34" t="n">
        <f aca="false">IFERROR(C152/SUM(C$143:C$154),"")</f>
        <v>0.0810032058159543</v>
      </c>
      <c r="I152" s="34" t="n">
        <f aca="false">IFERROR(D152/SUM(D$143:D$154),"")</f>
        <v>0</v>
      </c>
    </row>
    <row r="153" customFormat="false" ht="15" hidden="false" customHeight="true" outlineLevel="0" collapsed="false">
      <c r="A153" s="33" t="s">
        <v>19774</v>
      </c>
      <c r="B153" s="25" t="n">
        <f aca="false">IF(SUMIFS(데이터_총괄!$H$3:$H$33,데이터_총괄!$B$3:$B$33,2024,데이터_총괄!$C$3:$C$33,11)=0,"",SUMIFS(데이터_총괄!$H$3:$H$33,데이터_총괄!$B$3:$B$33,2024,데이터_총괄!$C$3:$C$33,11)-(SUMIFS(데이터_신성질별!$G$3:$G$529,데이터_신성질별!$E$3:$E$529,"라.IT부품",데이터_신성질별!$B$3:$B$529,2024,데이터_신성질별!$C$3:$C$529,11)+SUMIFS(데이터_신성질별!$G$3:$G$529,데이터_신성질별!$E$3:$E$529,"다.IT제품",데이터_신성질별!$B$3:$B$529,2024,데이터_신성질별!$C$3:$C$529,11)))</f>
        <v>38091633</v>
      </c>
      <c r="C153" s="25" t="n">
        <f aca="false">IF(SUMIFS(데이터_총괄!$H$3:$H$33,데이터_총괄!$B$3:$B$33,2025,데이터_총괄!$C$3:$C$33,11)=0,"",SUMIFS(데이터_총괄!$H$3:$H$33,데이터_총괄!$B$3:$B$33,2025,데이터_총괄!$C$3:$C$33,11)-(SUMIFS(데이터_신성질별!$G$3:$G$529,데이터_신성질별!$E$3:$E$529,"라.IT부품",데이터_신성질별!$B$3:$B$529,2025,데이터_신성질별!$C$3:$C$529,11)+SUMIFS(데이터_신성질별!$G$3:$G$529,데이터_신성질별!$E$3:$E$529,"다.IT제품",데이터_신성질별!$B$3:$B$529,2025,데이터_신성질별!$C$3:$C$529,11)))</f>
        <v>37585639</v>
      </c>
      <c r="D153" s="25"/>
      <c r="E153" s="36" t="n">
        <f aca="false">IFERROR(C153/B153-1,"")</f>
        <v>-0.0132835995768414</v>
      </c>
      <c r="F153" s="36" t="n">
        <f aca="false">IFERROR(D153/C153-1,"")</f>
        <v>-1</v>
      </c>
      <c r="G153" s="36" t="n">
        <f aca="false">IFERROR(D153/B153-1,"")</f>
        <v>-1</v>
      </c>
      <c r="H153" s="34" t="n">
        <f aca="false">IFERROR(C153/SUM(C$143:C$154),"")</f>
        <v>0.0795949861733249</v>
      </c>
      <c r="I153" s="34" t="n">
        <f aca="false">IFERROR(D153/SUM(D$143:D$154),"")</f>
        <v>0</v>
      </c>
    </row>
    <row r="154" customFormat="false" ht="15" hidden="false" customHeight="true" outlineLevel="0" collapsed="false">
      <c r="A154" s="33" t="s">
        <v>19775</v>
      </c>
      <c r="B154" s="25" t="n">
        <f aca="false">IF(SUMIFS(데이터_총괄!$H$3:$H$33,데이터_총괄!$B$3:$B$33,2024,데이터_총괄!$C$3:$C$33,12)=0,"",SUMIFS(데이터_총괄!$H$3:$H$33,데이터_총괄!$B$3:$B$33,2024,데이터_총괄!$C$3:$C$33,12)-(SUMIFS(데이터_신성질별!$G$3:$G$529,데이터_신성질별!$E$3:$E$529,"라.IT부품",데이터_신성질별!$B$3:$B$529,2024,데이터_신성질별!$C$3:$C$529,12)+SUMIFS(데이터_신성질별!$G$3:$G$529,데이터_신성질별!$E$3:$E$529,"다.IT제품",데이터_신성질별!$B$3:$B$529,2024,데이터_신성질별!$C$3:$C$529,12)))</f>
        <v>41215622</v>
      </c>
      <c r="C154" s="25" t="n">
        <f aca="false">IF(SUMIFS(데이터_총괄!$H$3:$H$33,데이터_총괄!$B$3:$B$33,2025,데이터_총괄!$C$3:$C$33,12)=0,"",SUMIFS(데이터_총괄!$H$3:$H$33,데이터_총괄!$B$3:$B$33,2025,데이터_총괄!$C$3:$C$33,12)-(SUMIFS(데이터_신성질별!$G$3:$G$529,데이터_신성질별!$E$3:$E$529,"라.IT부품",데이터_신성질별!$B$3:$B$529,2025,데이터_신성질별!$C$3:$C$529,12)+SUMIFS(데이터_신성질별!$G$3:$G$529,데이터_신성질별!$E$3:$E$529,"다.IT제품",데이터_신성질별!$B$3:$B$529,2025,데이터_신성질별!$C$3:$C$529,12)))</f>
        <v>42079633</v>
      </c>
      <c r="D154" s="25"/>
      <c r="E154" s="36" t="n">
        <f aca="false">IFERROR(C154/B154-1,"")</f>
        <v>0.0209631920634366</v>
      </c>
      <c r="F154" s="36" t="n">
        <f aca="false">IFERROR(D154/C154-1,"")</f>
        <v>-1</v>
      </c>
      <c r="G154" s="36" t="n">
        <f aca="false">IFERROR(D154/B154-1,"")</f>
        <v>-1</v>
      </c>
      <c r="H154" s="34" t="n">
        <f aca="false">IFERROR(C154/SUM(C$143:C$154),"")</f>
        <v>0.0891119027353396</v>
      </c>
      <c r="I154" s="34" t="n">
        <f aca="false">IFERROR(D154/SUM(D$143:D$154),"")</f>
        <v>0</v>
      </c>
    </row>
    <row r="155" customFormat="false" ht="15" hidden="false" customHeight="true" outlineLevel="0" collapsed="false">
      <c r="A155" s="6" t="s">
        <v>19776</v>
      </c>
      <c r="B155" s="30" t="n">
        <f aca="false">SUM(B143:B154)</f>
        <v>477429624</v>
      </c>
      <c r="C155" s="30" t="n">
        <f aca="false">SUM(C143:C154)</f>
        <v>472211138</v>
      </c>
      <c r="D155" s="30" t="n">
        <f aca="false">SUM(D143:D154)</f>
        <v>304252764</v>
      </c>
      <c r="E155" s="41" t="n">
        <f aca="false">IFERROR(C155/B155-1,"")</f>
        <v>-0.0109303774581025</v>
      </c>
      <c r="F155" s="36"/>
    </row>
    <row r="156" customFormat="false" ht="15" hidden="false" customHeight="true" outlineLevel="0" collapsed="false">
      <c r="A156" s="48" t="s">
        <v>19777</v>
      </c>
      <c r="B156" s="30" t="n">
        <f aca="false">SUM(B143:B149)</f>
        <v>280993317</v>
      </c>
      <c r="C156" s="30" t="n">
        <f aca="false">SUM(C143:C149)</f>
        <v>273809323</v>
      </c>
      <c r="D156" s="30" t="n">
        <f aca="false">SUM(D143:D149)</f>
        <v>304252764</v>
      </c>
      <c r="E156" s="41" t="n">
        <f aca="false">IFERROR(C156/B156-1,"")</f>
        <v>-0.0255664229907646</v>
      </c>
      <c r="F156" s="41" t="n">
        <f aca="false">IFERROR(D156/C156-1,"")</f>
        <v>0.11118482258546</v>
      </c>
      <c r="G156" s="41" t="n">
        <f aca="false">IFERROR(D156/B156-1,"")</f>
        <v>0.0827758013903228</v>
      </c>
    </row>
    <row r="158" customFormat="false" ht="14.25" hidden="false" customHeight="true" outlineLevel="0" collapsed="false">
      <c r="A158" s="23" t="s">
        <v>19786</v>
      </c>
      <c r="B158" s="23"/>
      <c r="C158" s="23"/>
      <c r="D158" s="23"/>
      <c r="E158" s="23"/>
      <c r="F158" s="23"/>
      <c r="G158" s="23"/>
      <c r="H158" s="23"/>
      <c r="I158" s="23"/>
    </row>
    <row r="159" customFormat="false" ht="15" hidden="false" customHeight="true" outlineLevel="0" collapsed="false">
      <c r="A159" s="5" t="s">
        <v>19654</v>
      </c>
      <c r="B159" s="50" t="s">
        <v>19756</v>
      </c>
      <c r="C159" s="51" t="s">
        <v>19757</v>
      </c>
      <c r="D159" s="52" t="s">
        <v>19758</v>
      </c>
      <c r="E159" s="44" t="s">
        <v>19759</v>
      </c>
      <c r="F159" s="44" t="s">
        <v>19760</v>
      </c>
      <c r="G159" s="44" t="s">
        <v>19761</v>
      </c>
      <c r="H159" s="44" t="s">
        <v>19762</v>
      </c>
      <c r="I159" s="44" t="s">
        <v>19763</v>
      </c>
    </row>
    <row r="160" customFormat="false" ht="15" hidden="false" customHeight="true" outlineLevel="0" collapsed="false">
      <c r="A160" s="33" t="s">
        <v>19764</v>
      </c>
      <c r="B160" s="25" t="n">
        <f aca="false">SUMIFS(데이터_품목별!$H$3:$H$2984,데이터_품목별!$E$3:$E$2984,"85",데이터_품목별!$B$3:$B$2984,2024,데이터_품목별!$C$3:$C$2984,1)</f>
        <v>15092049</v>
      </c>
      <c r="C160" s="25" t="n">
        <f aca="false">SUMIFS(데이터_품목별!$H$3:$H$2984,데이터_품목별!$E$3:$E$2984,"85",데이터_품목별!$B$3:$B$2984,2025,데이터_품목별!$C$3:$C$2984,1)</f>
        <v>14503290</v>
      </c>
      <c r="D160" s="25" t="n">
        <f aca="false">SUMIFS(데이터_품목별!$H$3:$H$2984,데이터_품목별!$E$3:$E$2984,"85",데이터_품목별!$B$3:$B$2984,2026,데이터_품목별!$C$3:$C$2984,1)</f>
        <v>25047980</v>
      </c>
      <c r="E160" s="36" t="n">
        <f aca="false">IFERROR(C160/B160-1,"")</f>
        <v>-0.0390112038464757</v>
      </c>
      <c r="F160" s="36" t="n">
        <f aca="false">IFERROR(D160/C160-1,"")</f>
        <v>0.727055033719935</v>
      </c>
      <c r="G160" s="36" t="n">
        <f aca="false">IFERROR(D160/B160-1,"")</f>
        <v>0.659680537745405</v>
      </c>
      <c r="H160" s="34" t="n">
        <f aca="false">IFERROR(C160/SUM(C$160:C$171),"")</f>
        <v>0.061725055729231</v>
      </c>
      <c r="I160" s="34" t="n">
        <f aca="false">IFERROR(D160/SUM(D$160:D$171),"")</f>
        <v>0.0975106402809598</v>
      </c>
    </row>
    <row r="161" customFormat="false" ht="15" hidden="false" customHeight="true" outlineLevel="0" collapsed="false">
      <c r="A161" s="33" t="s">
        <v>19765</v>
      </c>
      <c r="B161" s="25" t="n">
        <f aca="false">SUMIFS(데이터_품목별!$H$3:$H$2984,데이터_품목별!$E$3:$E$2984,"85",데이터_품목별!$B$3:$B$2984,2024,데이터_품목별!$C$3:$C$2984,2)</f>
        <v>15252575</v>
      </c>
      <c r="C161" s="25" t="n">
        <f aca="false">SUMIFS(데이터_품목별!$H$3:$H$2984,데이터_품목별!$E$3:$E$2984,"85",데이터_품목별!$B$3:$B$2984,2025,데이터_품목별!$C$3:$C$2984,2)</f>
        <v>15082652</v>
      </c>
      <c r="D161" s="25" t="n">
        <f aca="false">SUMIFS(데이터_품목별!$H$3:$H$2984,데이터_품목별!$E$3:$E$2984,"85",데이터_품목별!$B$3:$B$2984,2026,데이터_품목별!$C$3:$C$2984,2)</f>
        <v>28041015</v>
      </c>
      <c r="E161" s="36" t="n">
        <f aca="false">IFERROR(C161/B161-1,"")</f>
        <v>-0.0111406106837698</v>
      </c>
      <c r="F161" s="36" t="n">
        <f aca="false">IFERROR(D161/C161-1,"")</f>
        <v>0.859156798154595</v>
      </c>
      <c r="G161" s="36" t="n">
        <f aca="false">IFERROR(D161/B161-1,"")</f>
        <v>0.838444656066271</v>
      </c>
      <c r="H161" s="34" t="n">
        <f aca="false">IFERROR(C161/SUM(C$160:C$171),"")</f>
        <v>0.0641907825910258</v>
      </c>
      <c r="I161" s="34" t="n">
        <f aca="false">IFERROR(D161/SUM(D$160:D$171),"")</f>
        <v>0.10916238861489</v>
      </c>
    </row>
    <row r="162" customFormat="false" ht="15" hidden="false" customHeight="true" outlineLevel="0" collapsed="false">
      <c r="A162" s="33" t="s">
        <v>19766</v>
      </c>
      <c r="B162" s="25" t="n">
        <f aca="false">SUMIFS(데이터_품목별!$H$3:$H$2984,데이터_품목별!$E$3:$E$2984,"85",데이터_품목별!$B$3:$B$2984,2024,데이터_품목별!$C$3:$C$2984,3)</f>
        <v>16651262</v>
      </c>
      <c r="C162" s="25" t="n">
        <f aca="false">SUMIFS(데이터_품목별!$H$3:$H$2984,데이터_품목별!$E$3:$E$2984,"85",데이터_품목별!$B$3:$B$2984,2025,데이터_품목별!$C$3:$C$2984,3)</f>
        <v>18113797</v>
      </c>
      <c r="D162" s="25" t="n">
        <f aca="false">SUMIFS(데이터_품목별!$H$3:$H$2984,데이터_품목별!$E$3:$E$2984,"85",데이터_품목별!$B$3:$B$2984,2026,데이터_품목별!$C$3:$C$2984,3)</f>
        <v>35645727</v>
      </c>
      <c r="E162" s="36" t="n">
        <f aca="false">IFERROR(C162/B162-1,"")</f>
        <v>0.0878332825463919</v>
      </c>
      <c r="F162" s="36" t="n">
        <f aca="false">IFERROR(D162/C162-1,"")</f>
        <v>0.96787713807326</v>
      </c>
      <c r="G162" s="36" t="n">
        <f aca="false">IFERROR(D162/B162-1,"")</f>
        <v>1.14072224675823</v>
      </c>
      <c r="H162" s="34" t="n">
        <f aca="false">IFERROR(C162/SUM(C$160:C$171),"")</f>
        <v>0.0770911378930558</v>
      </c>
      <c r="I162" s="34" t="n">
        <f aca="false">IFERROR(D162/SUM(D$160:D$171),"")</f>
        <v>0.13876718454144</v>
      </c>
    </row>
    <row r="163" customFormat="false" ht="15" hidden="false" customHeight="true" outlineLevel="0" collapsed="false">
      <c r="A163" s="33" t="s">
        <v>19767</v>
      </c>
      <c r="B163" s="25" t="n">
        <f aca="false">SUMIFS(데이터_품목별!$H$3:$H$2984,데이터_품목별!$E$3:$E$2984,"85",데이터_품목별!$B$3:$B$2984,2024,데이터_품목별!$C$3:$C$2984,4)</f>
        <v>15588503</v>
      </c>
      <c r="C163" s="25" t="n">
        <f aca="false">SUMIFS(데이터_품목별!$H$3:$H$2984,데이터_품목별!$E$3:$E$2984,"85",데이터_품목별!$B$3:$B$2984,2025,데이터_품목별!$C$3:$C$2984,4)</f>
        <v>17098985</v>
      </c>
      <c r="D163" s="25" t="n">
        <f aca="false">SUMIFS(데이터_품목별!$H$3:$H$2984,데이터_품목별!$E$3:$E$2984,"85",데이터_품목별!$B$3:$B$2984,2026,데이터_품목별!$C$3:$C$2984,4)</f>
        <v>36211589</v>
      </c>
      <c r="E163" s="36" t="n">
        <f aca="false">IFERROR(C163/B163-1,"")</f>
        <v>0.0968971812110502</v>
      </c>
      <c r="F163" s="36" t="n">
        <f aca="false">IFERROR(D163/C163-1,"")</f>
        <v>1.1177624870716</v>
      </c>
      <c r="G163" s="36" t="n">
        <f aca="false">IFERROR(D163/B163-1,"")</f>
        <v>1.32296770254334</v>
      </c>
      <c r="H163" s="34" t="n">
        <f aca="false">IFERROR(C163/SUM(C$160:C$171),"")</f>
        <v>0.0727721642495107</v>
      </c>
      <c r="I163" s="34" t="n">
        <f aca="false">IFERROR(D163/SUM(D$160:D$171),"")</f>
        <v>0.140970059421197</v>
      </c>
    </row>
    <row r="164" customFormat="false" ht="15" hidden="false" customHeight="true" outlineLevel="0" collapsed="false">
      <c r="A164" s="33" t="s">
        <v>19768</v>
      </c>
      <c r="B164" s="25" t="n">
        <f aca="false">SUMIFS(데이터_품목별!$H$3:$H$2984,데이터_품목별!$E$3:$E$2984,"85",데이터_품목별!$B$3:$B$2984,2024,데이터_품목별!$C$3:$C$2984,5)</f>
        <v>17412613</v>
      </c>
      <c r="C164" s="25" t="n">
        <f aca="false">SUMIFS(데이터_품목별!$H$3:$H$2984,데이터_품목별!$E$3:$E$2984,"85",데이터_품목별!$B$3:$B$2984,2025,데이터_품목별!$C$3:$C$2984,5)</f>
        <v>18809466</v>
      </c>
      <c r="D164" s="25" t="n">
        <f aca="false">SUMIFS(데이터_품목별!$H$3:$H$2984,데이터_품목별!$E$3:$E$2984,"85",데이터_품목별!$B$3:$B$2984,2026,데이터_품목별!$C$3:$C$2984,5)</f>
        <v>40230637</v>
      </c>
      <c r="E164" s="36" t="n">
        <f aca="false">IFERROR(C164/B164-1,"")</f>
        <v>0.0802207572177709</v>
      </c>
      <c r="F164" s="36" t="n">
        <f aca="false">IFERROR(D164/C164-1,"")</f>
        <v>1.1388505659863</v>
      </c>
      <c r="G164" s="36" t="n">
        <f aca="false">IFERROR(D164/B164-1,"")</f>
        <v>1.31043077796538</v>
      </c>
      <c r="H164" s="34" t="n">
        <f aca="false">IFERROR(C164/SUM(C$160:C$171),"")</f>
        <v>0.0800518597564467</v>
      </c>
      <c r="I164" s="34" t="n">
        <f aca="false">IFERROR(D164/SUM(D$160:D$171),"")</f>
        <v>0.156616029427558</v>
      </c>
    </row>
    <row r="165" customFormat="false" ht="15" hidden="false" customHeight="true" outlineLevel="0" collapsed="false">
      <c r="A165" s="33" t="s">
        <v>19769</v>
      </c>
      <c r="B165" s="25" t="n">
        <f aca="false">SUMIFS(데이터_품목별!$H$3:$H$2984,데이터_품목별!$E$3:$E$2984,"85",데이터_품목별!$B$3:$B$2984,2024,데이터_품목별!$C$3:$C$2984,6)</f>
        <v>18947322</v>
      </c>
      <c r="C165" s="25" t="n">
        <f aca="false">SUMIFS(데이터_품목별!$H$3:$H$2984,데이터_품목별!$E$3:$E$2984,"85",데이터_품목별!$B$3:$B$2984,2025,데이터_품목별!$C$3:$C$2984,6)</f>
        <v>19535265</v>
      </c>
      <c r="D165" s="25" t="n">
        <f aca="false">SUMIFS(데이터_품목별!$H$3:$H$2984,데이터_품목별!$E$3:$E$2984,"85",데이터_품목별!$B$3:$B$2984,2026,데이터_품목별!$C$3:$C$2984,6)</f>
        <v>46280277</v>
      </c>
      <c r="E165" s="36" t="n">
        <f aca="false">IFERROR(C165/B165-1,"")</f>
        <v>0.0310304010244824</v>
      </c>
      <c r="F165" s="36" t="n">
        <f aca="false">IFERROR(D165/C165-1,"")</f>
        <v>1.36906317882046</v>
      </c>
      <c r="G165" s="36" t="n">
        <f aca="false">IFERROR(D165/B165-1,"")</f>
        <v>1.44257615931159</v>
      </c>
      <c r="H165" s="34" t="n">
        <f aca="false">IFERROR(C165/SUM(C$160:C$171),"")</f>
        <v>0.0831408129334997</v>
      </c>
      <c r="I165" s="34" t="n">
        <f aca="false">IFERROR(D165/SUM(D$160:D$171),"")</f>
        <v>0.180167001197309</v>
      </c>
    </row>
    <row r="166" customFormat="false" ht="15" hidden="false" customHeight="true" outlineLevel="0" collapsed="false">
      <c r="A166" s="33" t="s">
        <v>19770</v>
      </c>
      <c r="B166" s="25" t="n">
        <f aca="false">SUMIFS(데이터_품목별!$H$3:$H$2984,데이터_품목별!$E$3:$E$2984,"85",데이터_품목별!$B$3:$B$2984,2024,데이터_품목별!$C$3:$C$2984,7)</f>
        <v>17884638</v>
      </c>
      <c r="C166" s="25" t="n">
        <f aca="false">SUMIFS(데이터_품목별!$H$3:$H$2984,데이터_품목별!$E$3:$E$2984,"85",데이터_품목별!$B$3:$B$2984,2025,데이터_품목별!$C$3:$C$2984,7)</f>
        <v>19989877</v>
      </c>
      <c r="D166" s="25" t="n">
        <f aca="false">SUMIFS(데이터_품목별!$H$3:$H$2984,데이터_품목별!$E$3:$E$2984,"85",데이터_품목별!$B$3:$B$2984,2026,데이터_품목별!$C$3:$C$2984,7)</f>
        <v>45417101</v>
      </c>
      <c r="E166" s="36" t="n">
        <f aca="false">IFERROR(C166/B166-1,"")</f>
        <v>0.117712139323144</v>
      </c>
      <c r="F166" s="36" t="n">
        <f aca="false">IFERROR(D166/C166-1,"")</f>
        <v>1.27200502534358</v>
      </c>
      <c r="G166" s="36" t="n">
        <f aca="false">IFERROR(D166/B166-1,"")</f>
        <v>1.5394475974297</v>
      </c>
      <c r="H166" s="34" t="n">
        <f aca="false">IFERROR(C166/SUM(C$160:C$171),"")</f>
        <v>0.0850756119367036</v>
      </c>
      <c r="I166" s="34" t="n">
        <f aca="false">IFERROR(D166/SUM(D$160:D$171),"")</f>
        <v>0.176806696516646</v>
      </c>
    </row>
    <row r="167" customFormat="false" ht="15" hidden="false" customHeight="true" outlineLevel="0" collapsed="false">
      <c r="A167" s="33" t="s">
        <v>19771</v>
      </c>
      <c r="B167" s="25" t="n">
        <f aca="false">SUMIFS(데이터_품목별!$H$3:$H$2984,데이터_품목별!$E$3:$E$2984,"85",데이터_품목별!$B$3:$B$2984,2024,데이터_품목별!$C$3:$C$2984,8)</f>
        <v>18743622</v>
      </c>
      <c r="C167" s="25" t="n">
        <f aca="false">SUMIFS(데이터_품목별!$H$3:$H$2984,데이터_품목별!$E$3:$E$2984,"85",데이터_품목별!$B$3:$B$2984,2025,데이터_품목별!$C$3:$C$2984,8)</f>
        <v>20463780</v>
      </c>
      <c r="D167" s="25"/>
      <c r="E167" s="36" t="n">
        <f aca="false">IFERROR(C167/B167-1,"")</f>
        <v>0.091772977496025</v>
      </c>
      <c r="F167" s="36" t="n">
        <f aca="false">IFERROR(D167/C167-1,"")</f>
        <v>-1</v>
      </c>
      <c r="G167" s="36" t="n">
        <f aca="false">IFERROR(D167/B167-1,"")</f>
        <v>-1</v>
      </c>
      <c r="H167" s="34" t="n">
        <f aca="false">IFERROR(C167/SUM(C$160:C$171),"")</f>
        <v>0.0870925121769422</v>
      </c>
      <c r="I167" s="34" t="n">
        <f aca="false">IFERROR(D167/SUM(D$160:D$171),"")</f>
        <v>0</v>
      </c>
    </row>
    <row r="168" customFormat="false" ht="15" hidden="false" customHeight="true" outlineLevel="0" collapsed="false">
      <c r="A168" s="33" t="s">
        <v>19772</v>
      </c>
      <c r="B168" s="25" t="n">
        <f aca="false">SUMIFS(데이터_품목별!$H$3:$H$2984,데이터_품목별!$E$3:$E$2984,"85",데이터_품목별!$B$3:$B$2984,2024,데이터_품목별!$C$3:$C$2984,9)</f>
        <v>20007957</v>
      </c>
      <c r="C168" s="25" t="n">
        <f aca="false">SUMIFS(데이터_품목별!$H$3:$H$2984,데이터_품목별!$E$3:$E$2984,"85",데이터_품목별!$B$3:$B$2984,2025,데이터_품목별!$C$3:$C$2984,9)</f>
        <v>22344339</v>
      </c>
      <c r="D168" s="25"/>
      <c r="E168" s="36" t="n">
        <f aca="false">IFERROR(C168/B168-1,"")</f>
        <v>0.116772642004379</v>
      </c>
      <c r="F168" s="36" t="n">
        <f aca="false">IFERROR(D168/C168-1,"")</f>
        <v>-1</v>
      </c>
      <c r="G168" s="36" t="n">
        <f aca="false">IFERROR(D168/B168-1,"")</f>
        <v>-1</v>
      </c>
      <c r="H168" s="34" t="n">
        <f aca="false">IFERROR(C168/SUM(C$160:C$171),"")</f>
        <v>0.0950960485522823</v>
      </c>
      <c r="I168" s="34" t="n">
        <f aca="false">IFERROR(D168/SUM(D$160:D$171),"")</f>
        <v>0</v>
      </c>
    </row>
    <row r="169" customFormat="false" ht="15" hidden="false" customHeight="true" outlineLevel="0" collapsed="false">
      <c r="A169" s="33" t="s">
        <v>19773</v>
      </c>
      <c r="B169" s="25" t="n">
        <f aca="false">SUMIFS(데이터_품목별!$H$3:$H$2984,데이터_품목별!$E$3:$E$2984,"85",데이터_품목별!$B$3:$B$2984,2024,데이터_품목별!$C$3:$C$2984,10)</f>
        <v>19050286</v>
      </c>
      <c r="C169" s="25" t="n">
        <f aca="false">SUMIFS(데이터_품목별!$H$3:$H$2984,데이터_품목별!$E$3:$E$2984,"85",데이터_품목별!$B$3:$B$2984,2025,데이터_품목별!$C$3:$C$2984,10)</f>
        <v>20790549</v>
      </c>
      <c r="D169" s="25"/>
      <c r="E169" s="36" t="n">
        <f aca="false">IFERROR(C169/B169-1,"")</f>
        <v>0.0913510169873566</v>
      </c>
      <c r="F169" s="36" t="n">
        <f aca="false">IFERROR(D169/C169-1,"")</f>
        <v>-1</v>
      </c>
      <c r="G169" s="36" t="n">
        <f aca="false">IFERROR(D169/B169-1,"")</f>
        <v>-1</v>
      </c>
      <c r="H169" s="34" t="n">
        <f aca="false">IFERROR(C169/SUM(C$160:C$171),"")</f>
        <v>0.08848321971541</v>
      </c>
      <c r="I169" s="34" t="n">
        <f aca="false">IFERROR(D169/SUM(D$160:D$171),"")</f>
        <v>0</v>
      </c>
    </row>
    <row r="170" customFormat="false" ht="15" hidden="false" customHeight="true" outlineLevel="0" collapsed="false">
      <c r="A170" s="33" t="s">
        <v>19774</v>
      </c>
      <c r="B170" s="25" t="n">
        <f aca="false">SUMIFS(데이터_품목별!$H$3:$H$2984,데이터_품목별!$E$3:$E$2984,"85",데이터_품목별!$B$3:$B$2984,2024,데이터_품목별!$C$3:$C$2984,11)</f>
        <v>18411009</v>
      </c>
      <c r="C170" s="25" t="n">
        <f aca="false">SUMIFS(데이터_품목별!$H$3:$H$2984,데이터_품목별!$E$3:$E$2984,"85",데이터_품목별!$B$3:$B$2984,2025,데이터_품목별!$C$3:$C$2984,11)</f>
        <v>22241662</v>
      </c>
      <c r="D170" s="25"/>
      <c r="E170" s="36" t="n">
        <f aca="false">IFERROR(C170/B170-1,"")</f>
        <v>0.208063175679291</v>
      </c>
      <c r="F170" s="36" t="n">
        <f aca="false">IFERROR(D170/C170-1,"")</f>
        <v>-1</v>
      </c>
      <c r="G170" s="36" t="n">
        <f aca="false">IFERROR(D170/B170-1,"")</f>
        <v>-1</v>
      </c>
      <c r="H170" s="34" t="n">
        <f aca="false">IFERROR(C170/SUM(C$160:C$171),"")</f>
        <v>0.0946590619411678</v>
      </c>
      <c r="I170" s="34" t="n">
        <f aca="false">IFERROR(D170/SUM(D$160:D$171),"")</f>
        <v>0</v>
      </c>
    </row>
    <row r="171" customFormat="false" ht="15" hidden="false" customHeight="true" outlineLevel="0" collapsed="false">
      <c r="A171" s="33" t="s">
        <v>19775</v>
      </c>
      <c r="B171" s="25" t="n">
        <f aca="false">SUMIFS(데이터_품목별!$H$3:$H$2984,데이터_품목별!$E$3:$E$2984,"85",데이터_품목별!$B$3:$B$2984,2024,데이터_품목별!$C$3:$C$2984,12)</f>
        <v>19866706</v>
      </c>
      <c r="C171" s="25" t="n">
        <f aca="false">SUMIFS(데이터_품목별!$H$3:$H$2984,데이터_품목별!$E$3:$E$2984,"85",데이터_품목별!$B$3:$B$2984,2025,데이터_품목별!$C$3:$C$2984,12)</f>
        <v>25992347</v>
      </c>
      <c r="D171" s="25"/>
      <c r="E171" s="36" t="n">
        <f aca="false">IFERROR(C171/B171-1,"")</f>
        <v>0.308337023762268</v>
      </c>
      <c r="F171" s="36" t="n">
        <f aca="false">IFERROR(D171/C171-1,"")</f>
        <v>-1</v>
      </c>
      <c r="G171" s="36" t="n">
        <f aca="false">IFERROR(D171/B171-1,"")</f>
        <v>-1</v>
      </c>
      <c r="H171" s="34" t="n">
        <f aca="false">IFERROR(C171/SUM(C$160:C$171),"")</f>
        <v>0.110621732524724</v>
      </c>
      <c r="I171" s="34" t="n">
        <f aca="false">IFERROR(D171/SUM(D$160:D$171),"")</f>
        <v>0</v>
      </c>
    </row>
    <row r="172" customFormat="false" ht="15" hidden="false" customHeight="true" outlineLevel="0" collapsed="false">
      <c r="A172" s="6" t="s">
        <v>19776</v>
      </c>
      <c r="B172" s="30" t="n">
        <f aca="false">SUM(B160:B171)</f>
        <v>212908542</v>
      </c>
      <c r="C172" s="30" t="n">
        <f aca="false">SUM(C160:C171)</f>
        <v>234966009</v>
      </c>
      <c r="D172" s="30" t="n">
        <f aca="false">SUM(D160:D171)</f>
        <v>256874326</v>
      </c>
      <c r="E172" s="41" t="n">
        <f aca="false">IFERROR(C172/B172-1,"")</f>
        <v>0.10360066718225</v>
      </c>
      <c r="F172" s="36"/>
    </row>
    <row r="173" customFormat="false" ht="15" hidden="false" customHeight="true" outlineLevel="0" collapsed="false">
      <c r="A173" s="48" t="s">
        <v>19777</v>
      </c>
      <c r="B173" s="30" t="n">
        <f aca="false">SUM(B160:B166)</f>
        <v>116828962</v>
      </c>
      <c r="C173" s="30" t="n">
        <f aca="false">SUM(C160:C166)</f>
        <v>123133332</v>
      </c>
      <c r="D173" s="30" t="n">
        <f aca="false">SUM(D160:D166)</f>
        <v>256874326</v>
      </c>
      <c r="E173" s="41" t="n">
        <f aca="false">IFERROR(C173/B173-1,"")</f>
        <v>0.0539623899080777</v>
      </c>
      <c r="F173" s="41" t="n">
        <f aca="false">IFERROR(D173/C173-1,"")</f>
        <v>1.08614777028855</v>
      </c>
      <c r="G173" s="41" t="n">
        <f aca="false">IFERROR(D173/B173-1,"")</f>
        <v>1.19872128967473</v>
      </c>
    </row>
    <row r="175" customFormat="false" ht="14.25" hidden="false" customHeight="true" outlineLevel="0" collapsed="false">
      <c r="A175" s="23" t="s">
        <v>19787</v>
      </c>
      <c r="B175" s="23"/>
      <c r="C175" s="23"/>
      <c r="D175" s="23"/>
      <c r="E175" s="23"/>
      <c r="F175" s="23"/>
      <c r="G175" s="23"/>
      <c r="H175" s="23"/>
      <c r="I175" s="23"/>
    </row>
    <row r="176" customFormat="false" ht="15" hidden="false" customHeight="true" outlineLevel="0" collapsed="false">
      <c r="A176" s="5" t="s">
        <v>19654</v>
      </c>
      <c r="B176" s="50" t="s">
        <v>19756</v>
      </c>
      <c r="C176" s="51" t="s">
        <v>19757</v>
      </c>
      <c r="D176" s="52" t="s">
        <v>19758</v>
      </c>
      <c r="E176" s="44" t="s">
        <v>19759</v>
      </c>
      <c r="F176" s="44" t="s">
        <v>19760</v>
      </c>
      <c r="G176" s="44" t="s">
        <v>19761</v>
      </c>
      <c r="H176" s="44" t="s">
        <v>19762</v>
      </c>
      <c r="I176" s="44" t="s">
        <v>19763</v>
      </c>
    </row>
    <row r="177" customFormat="false" ht="15" hidden="false" customHeight="true" outlineLevel="0" collapsed="false">
      <c r="A177" s="33" t="s">
        <v>19764</v>
      </c>
      <c r="B177" s="25" t="n">
        <f aca="false">SUMIFS(데이터_품목별!$H$3:$H$2984,데이터_품목별!$E$3:$E$2984,"84",데이터_품목별!$B$3:$B$2984,2024,데이터_품목별!$C$3:$C$2984,1)</f>
        <v>5981471</v>
      </c>
      <c r="C177" s="25" t="n">
        <f aca="false">SUMIFS(데이터_품목별!$H$3:$H$2984,데이터_품목별!$E$3:$E$2984,"84",데이터_품목별!$B$3:$B$2984,2025,데이터_품목별!$C$3:$C$2984,1)</f>
        <v>5702602</v>
      </c>
      <c r="D177" s="25" t="n">
        <f aca="false">SUMIFS(데이터_품목별!$H$3:$H$2984,데이터_품목별!$E$3:$E$2984,"84",데이터_품목별!$B$3:$B$2984,2026,데이터_품목별!$C$3:$C$2984,1)</f>
        <v>8277088</v>
      </c>
      <c r="E177" s="36" t="n">
        <f aca="false">IFERROR(C177/B177-1,"")</f>
        <v>-0.0466221436165117</v>
      </c>
      <c r="F177" s="36" t="n">
        <f aca="false">IFERROR(D177/C177-1,"")</f>
        <v>0.451458123852936</v>
      </c>
      <c r="G177" s="36" t="n">
        <f aca="false">IFERROR(D177/B177-1,"")</f>
        <v>0.383788034749312</v>
      </c>
      <c r="H177" s="34" t="n">
        <f aca="false">IFERROR(C177/SUM(C$177:C$188),"")</f>
        <v>0.0669863472460793</v>
      </c>
      <c r="I177" s="34" t="n">
        <f aca="false">IFERROR(D177/SUM(D$177:D$188),"")</f>
        <v>0.0983816620433403</v>
      </c>
    </row>
    <row r="178" customFormat="false" ht="15" hidden="false" customHeight="true" outlineLevel="0" collapsed="false">
      <c r="A178" s="33" t="s">
        <v>19765</v>
      </c>
      <c r="B178" s="25" t="n">
        <f aca="false">SUMIFS(데이터_품목별!$H$3:$H$2984,데이터_품목별!$E$3:$E$2984,"84",데이터_품목별!$B$3:$B$2984,2024,데이터_품목별!$C$3:$C$2984,2)</f>
        <v>6139483</v>
      </c>
      <c r="C178" s="25" t="n">
        <f aca="false">SUMIFS(데이터_품목별!$H$3:$H$2984,데이터_품목별!$E$3:$E$2984,"84",데이터_품목별!$B$3:$B$2984,2025,데이터_품목별!$C$3:$C$2984,2)</f>
        <v>6017125</v>
      </c>
      <c r="D178" s="25" t="n">
        <f aca="false">SUMIFS(데이터_품목별!$H$3:$H$2984,데이터_품목별!$E$3:$E$2984,"84",데이터_품목별!$B$3:$B$2984,2026,데이터_품목별!$C$3:$C$2984,2)</f>
        <v>9458905</v>
      </c>
      <c r="E178" s="36" t="n">
        <f aca="false">IFERROR(C178/B178-1,"")</f>
        <v>-0.0199296911482612</v>
      </c>
      <c r="F178" s="36" t="n">
        <f aca="false">IFERROR(D178/C178-1,"")</f>
        <v>0.571997424018946</v>
      </c>
      <c r="G178" s="36" t="n">
        <f aca="false">IFERROR(D178/B178-1,"")</f>
        <v>0.540668000872386</v>
      </c>
      <c r="H178" s="34" t="n">
        <f aca="false">IFERROR(C178/SUM(C$177:C$188),"")</f>
        <v>0.0706809320855751</v>
      </c>
      <c r="I178" s="34" t="n">
        <f aca="false">IFERROR(D178/SUM(D$177:D$188),"")</f>
        <v>0.112428766615754</v>
      </c>
    </row>
    <row r="179" customFormat="false" ht="15" hidden="false" customHeight="true" outlineLevel="0" collapsed="false">
      <c r="A179" s="33" t="s">
        <v>19766</v>
      </c>
      <c r="B179" s="25" t="n">
        <f aca="false">SUMIFS(데이터_품목별!$H$3:$H$2984,데이터_품목별!$E$3:$E$2984,"84",데이터_품목별!$B$3:$B$2984,2024,데이터_품목별!$C$3:$C$2984,3)</f>
        <v>7019144</v>
      </c>
      <c r="C179" s="25" t="n">
        <f aca="false">SUMIFS(데이터_품목별!$H$3:$H$2984,데이터_품목별!$E$3:$E$2984,"84",데이터_품목별!$B$3:$B$2984,2025,데이터_품목별!$C$3:$C$2984,3)</f>
        <v>7421429</v>
      </c>
      <c r="D179" s="25" t="n">
        <f aca="false">SUMIFS(데이터_품목별!$H$3:$H$2984,데이터_품목별!$E$3:$E$2984,"84",데이터_품목별!$B$3:$B$2984,2026,데이터_품목별!$C$3:$C$2984,3)</f>
        <v>12701168</v>
      </c>
      <c r="E179" s="36" t="n">
        <f aca="false">IFERROR(C179/B179-1,"")</f>
        <v>0.0573125440936957</v>
      </c>
      <c r="F179" s="36" t="n">
        <f aca="false">IFERROR(D179/C179-1,"")</f>
        <v>0.711418110986442</v>
      </c>
      <c r="G179" s="36" t="n">
        <f aca="false">IFERROR(D179/B179-1,"")</f>
        <v>0.809503836935102</v>
      </c>
      <c r="H179" s="34" t="n">
        <f aca="false">IFERROR(C179/SUM(C$177:C$188),"")</f>
        <v>0.0871767694915625</v>
      </c>
      <c r="I179" s="34" t="n">
        <f aca="false">IFERROR(D179/SUM(D$177:D$188),"")</f>
        <v>0.150966380656058</v>
      </c>
    </row>
    <row r="180" customFormat="false" ht="15" hidden="false" customHeight="true" outlineLevel="0" collapsed="false">
      <c r="A180" s="33" t="s">
        <v>19767</v>
      </c>
      <c r="B180" s="25" t="n">
        <f aca="false">SUMIFS(데이터_품목별!$H$3:$H$2984,데이터_품목별!$E$3:$E$2984,"84",데이터_품목별!$B$3:$B$2984,2024,데이터_품목별!$C$3:$C$2984,4)</f>
        <v>6609237</v>
      </c>
      <c r="C180" s="25" t="n">
        <f aca="false">SUMIFS(데이터_품목별!$H$3:$H$2984,데이터_품목별!$E$3:$E$2984,"84",데이터_품목별!$B$3:$B$2984,2025,데이터_품목별!$C$3:$C$2984,4)</f>
        <v>7038785</v>
      </c>
      <c r="D180" s="25" t="n">
        <f aca="false">SUMIFS(데이터_품목별!$H$3:$H$2984,데이터_품목별!$E$3:$E$2984,"84",데이터_품목별!$B$3:$B$2984,2026,데이터_품목별!$C$3:$C$2984,4)</f>
        <v>11623503</v>
      </c>
      <c r="E180" s="36" t="n">
        <f aca="false">IFERROR(C180/B180-1,"")</f>
        <v>0.0649920709455569</v>
      </c>
      <c r="F180" s="36" t="n">
        <f aca="false">IFERROR(D180/C180-1,"")</f>
        <v>0.651350765792676</v>
      </c>
      <c r="G180" s="36" t="n">
        <f aca="false">IFERROR(D180/B180-1,"")</f>
        <v>0.758675471919073</v>
      </c>
      <c r="H180" s="34" t="n">
        <f aca="false">IFERROR(C180/SUM(C$177:C$188),"")</f>
        <v>0.0826819925711972</v>
      </c>
      <c r="I180" s="34" t="n">
        <f aca="false">IFERROR(D180/SUM(D$177:D$188),"")</f>
        <v>0.138157229197727</v>
      </c>
    </row>
    <row r="181" customFormat="false" ht="15" hidden="false" customHeight="true" outlineLevel="0" collapsed="false">
      <c r="A181" s="33" t="s">
        <v>19768</v>
      </c>
      <c r="B181" s="25" t="n">
        <f aca="false">SUMIFS(데이터_품목별!$H$3:$H$2984,데이터_품목별!$E$3:$E$2984,"84",데이터_품목별!$B$3:$B$2984,2024,데이터_품목별!$C$3:$C$2984,5)</f>
        <v>6647432</v>
      </c>
      <c r="C181" s="25" t="n">
        <f aca="false">SUMIFS(데이터_품목별!$H$3:$H$2984,데이터_품목별!$E$3:$E$2984,"84",데이터_품목별!$B$3:$B$2984,2025,데이터_품목별!$C$3:$C$2984,5)</f>
        <v>6838785</v>
      </c>
      <c r="D181" s="25" t="n">
        <f aca="false">SUMIFS(데이터_품목별!$H$3:$H$2984,데이터_품목별!$E$3:$E$2984,"84",데이터_품목별!$B$3:$B$2984,2026,데이터_품목별!$C$3:$C$2984,5)</f>
        <v>12074910</v>
      </c>
      <c r="E181" s="36" t="n">
        <f aca="false">IFERROR(C181/B181-1,"")</f>
        <v>0.0287860033769431</v>
      </c>
      <c r="F181" s="36" t="n">
        <f aca="false">IFERROR(D181/C181-1,"")</f>
        <v>0.765651354736258</v>
      </c>
      <c r="G181" s="36" t="n">
        <f aca="false">IFERROR(D181/B181-1,"")</f>
        <v>0.8164774005962</v>
      </c>
      <c r="H181" s="34" t="n">
        <f aca="false">IFERROR(C181/SUM(C$177:C$188),"")</f>
        <v>0.080332666868787</v>
      </c>
      <c r="I181" s="34" t="n">
        <f aca="false">IFERROR(D181/SUM(D$177:D$188),"")</f>
        <v>0.143522663384001</v>
      </c>
    </row>
    <row r="182" customFormat="false" ht="15" hidden="false" customHeight="true" outlineLevel="0" collapsed="false">
      <c r="A182" s="33" t="s">
        <v>19769</v>
      </c>
      <c r="B182" s="25" t="n">
        <f aca="false">SUMIFS(데이터_품목별!$H$3:$H$2984,데이터_품목별!$E$3:$E$2984,"84",데이터_품목별!$B$3:$B$2984,2024,데이터_품목별!$C$3:$C$2984,6)</f>
        <v>7171890</v>
      </c>
      <c r="C182" s="25" t="n">
        <f aca="false">SUMIFS(데이터_품목별!$H$3:$H$2984,데이터_품목별!$E$3:$E$2984,"84",데이터_품목별!$B$3:$B$2984,2025,데이터_품목별!$C$3:$C$2984,6)</f>
        <v>7429562</v>
      </c>
      <c r="D182" s="25" t="n">
        <f aca="false">SUMIFS(데이터_품목별!$H$3:$H$2984,데이터_품목별!$E$3:$E$2984,"84",데이터_품목별!$B$3:$B$2984,2026,데이터_품목별!$C$3:$C$2984,6)</f>
        <v>16352067</v>
      </c>
      <c r="E182" s="36" t="n">
        <f aca="false">IFERROR(C182/B182-1,"")</f>
        <v>0.0359280468607299</v>
      </c>
      <c r="F182" s="36" t="n">
        <f aca="false">IFERROR(D182/C182-1,"")</f>
        <v>1.20094630073751</v>
      </c>
      <c r="G182" s="36" t="n">
        <f aca="false">IFERROR(D182/B182-1,"")</f>
        <v>1.28002200256836</v>
      </c>
      <c r="H182" s="34" t="n">
        <f aca="false">IFERROR(C182/SUM(C$177:C$188),"")</f>
        <v>0.087272304821251</v>
      </c>
      <c r="I182" s="34" t="n">
        <f aca="false">IFERROR(D182/SUM(D$177:D$188),"")</f>
        <v>0.194361051773771</v>
      </c>
    </row>
    <row r="183" customFormat="false" ht="15" hidden="false" customHeight="true" outlineLevel="0" collapsed="false">
      <c r="A183" s="33" t="s">
        <v>19770</v>
      </c>
      <c r="B183" s="25" t="n">
        <f aca="false">SUMIFS(데이터_품목별!$H$3:$H$2984,데이터_품목별!$E$3:$E$2984,"84",데이터_품목별!$B$3:$B$2984,2024,데이터_품목별!$C$3:$C$2984,7)</f>
        <v>7310070</v>
      </c>
      <c r="C183" s="25" t="n">
        <f aca="false">SUMIFS(데이터_품목별!$H$3:$H$2984,데이터_품목별!$E$3:$E$2984,"84",데이터_품목별!$B$3:$B$2984,2025,데이터_품목별!$C$3:$C$2984,7)</f>
        <v>7485072</v>
      </c>
      <c r="D183" s="25" t="n">
        <f aca="false">SUMIFS(데이터_품목별!$H$3:$H$2984,데이터_품목별!$E$3:$E$2984,"84",데이터_품목별!$B$3:$B$2984,2026,데이터_품목별!$C$3:$C$2984,7)</f>
        <v>13644786</v>
      </c>
      <c r="E183" s="36" t="n">
        <f aca="false">IFERROR(C183/B183-1,"")</f>
        <v>0.0239398528331467</v>
      </c>
      <c r="F183" s="36" t="n">
        <f aca="false">IFERROR(D183/C183-1,"")</f>
        <v>0.822933166173953</v>
      </c>
      <c r="G183" s="36" t="n">
        <f aca="false">IFERROR(D183/B183-1,"")</f>
        <v>0.866573917896819</v>
      </c>
      <c r="H183" s="34" t="n">
        <f aca="false">IFERROR(C183/SUM(C$177:C$188),"")</f>
        <v>0.0879243601699549</v>
      </c>
      <c r="I183" s="34" t="n">
        <f aca="false">IFERROR(D183/SUM(D$177:D$188),"")</f>
        <v>0.162182246329349</v>
      </c>
    </row>
    <row r="184" customFormat="false" ht="15" hidden="false" customHeight="true" outlineLevel="0" collapsed="false">
      <c r="A184" s="33" t="s">
        <v>19771</v>
      </c>
      <c r="B184" s="25" t="n">
        <f aca="false">SUMIFS(데이터_품목별!$H$3:$H$2984,데이터_품목별!$E$3:$E$2984,"84",데이터_품목별!$B$3:$B$2984,2024,데이터_품목별!$C$3:$C$2984,8)</f>
        <v>6295152</v>
      </c>
      <c r="C184" s="25" t="n">
        <f aca="false">SUMIFS(데이터_품목별!$H$3:$H$2984,데이터_품목별!$E$3:$E$2984,"84",데이터_품목별!$B$3:$B$2984,2025,데이터_품목별!$C$3:$C$2984,8)</f>
        <v>6462986</v>
      </c>
      <c r="D184" s="25"/>
      <c r="E184" s="36" t="n">
        <f aca="false">IFERROR(C184/B184-1,"")</f>
        <v>0.0266608336065595</v>
      </c>
      <c r="F184" s="36" t="n">
        <f aca="false">IFERROR(D184/C184-1,"")</f>
        <v>-1</v>
      </c>
      <c r="G184" s="36" t="n">
        <f aca="false">IFERROR(D184/B184-1,"")</f>
        <v>-1</v>
      </c>
      <c r="H184" s="34" t="n">
        <f aca="false">IFERROR(C184/SUM(C$177:C$188),"")</f>
        <v>0.0759182956205867</v>
      </c>
      <c r="I184" s="34" t="n">
        <f aca="false">IFERROR(D184/SUM(D$177:D$188),"")</f>
        <v>0</v>
      </c>
    </row>
    <row r="185" customFormat="false" ht="15" hidden="false" customHeight="true" outlineLevel="0" collapsed="false">
      <c r="A185" s="33" t="s">
        <v>19772</v>
      </c>
      <c r="B185" s="25" t="n">
        <f aca="false">SUMIFS(데이터_품목별!$H$3:$H$2984,데이터_품목별!$E$3:$E$2984,"84",데이터_품목별!$B$3:$B$2984,2024,데이터_품목별!$C$3:$C$2984,9)</f>
        <v>6623701</v>
      </c>
      <c r="C185" s="25" t="n">
        <f aca="false">SUMIFS(데이터_품목별!$H$3:$H$2984,데이터_품목별!$E$3:$E$2984,"84",데이터_품목별!$B$3:$B$2984,2025,데이터_품목별!$C$3:$C$2984,9)</f>
        <v>7805028</v>
      </c>
      <c r="D185" s="25"/>
      <c r="E185" s="36" t="n">
        <f aca="false">IFERROR(C185/B185-1,"")</f>
        <v>0.178348479196147</v>
      </c>
      <c r="F185" s="36" t="n">
        <f aca="false">IFERROR(D185/C185-1,"")</f>
        <v>-1</v>
      </c>
      <c r="G185" s="36" t="n">
        <f aca="false">IFERROR(D185/B185-1,"")</f>
        <v>-1</v>
      </c>
      <c r="H185" s="34" t="n">
        <f aca="false">IFERROR(C185/SUM(C$177:C$188),"")</f>
        <v>0.0916827644421567</v>
      </c>
      <c r="I185" s="34" t="n">
        <f aca="false">IFERROR(D185/SUM(D$177:D$188),"")</f>
        <v>0</v>
      </c>
    </row>
    <row r="186" customFormat="false" ht="15" hidden="false" customHeight="true" outlineLevel="0" collapsed="false">
      <c r="A186" s="33" t="s">
        <v>19773</v>
      </c>
      <c r="B186" s="25" t="n">
        <f aca="false">SUMIFS(데이터_품목별!$H$3:$H$2984,데이터_품목별!$E$3:$E$2984,"84",데이터_품목별!$B$3:$B$2984,2024,데이터_품목별!$C$3:$C$2984,10)</f>
        <v>6223215</v>
      </c>
      <c r="C186" s="25" t="n">
        <f aca="false">SUMIFS(데이터_품목별!$H$3:$H$2984,데이터_품목별!$E$3:$E$2984,"84",데이터_품목별!$B$3:$B$2984,2025,데이터_품목별!$C$3:$C$2984,10)</f>
        <v>6307730</v>
      </c>
      <c r="D186" s="25"/>
      <c r="E186" s="36" t="n">
        <f aca="false">IFERROR(C186/B186-1,"")</f>
        <v>0.0135806010237474</v>
      </c>
      <c r="F186" s="36" t="n">
        <f aca="false">IFERROR(D186/C186-1,"")</f>
        <v>-1</v>
      </c>
      <c r="G186" s="36" t="n">
        <f aca="false">IFERROR(D186/B186-1,"")</f>
        <v>-1</v>
      </c>
      <c r="H186" s="34" t="n">
        <f aca="false">IFERROR(C186/SUM(C$177:C$188),"")</f>
        <v>0.0740945610643197</v>
      </c>
      <c r="I186" s="34" t="n">
        <f aca="false">IFERROR(D186/SUM(D$177:D$188),"")</f>
        <v>0</v>
      </c>
    </row>
    <row r="187" customFormat="false" ht="15" hidden="false" customHeight="true" outlineLevel="0" collapsed="false">
      <c r="A187" s="33" t="s">
        <v>19774</v>
      </c>
      <c r="B187" s="25" t="n">
        <f aca="false">SUMIFS(데이터_품목별!$H$3:$H$2984,데이터_품목별!$E$3:$E$2984,"84",데이터_품목별!$B$3:$B$2984,2024,데이터_품목별!$C$3:$C$2984,11)</f>
        <v>6654815</v>
      </c>
      <c r="C187" s="25" t="n">
        <f aca="false">SUMIFS(데이터_품목별!$H$3:$H$2984,데이터_품목별!$E$3:$E$2984,"84",데이터_품목별!$B$3:$B$2984,2025,데이터_품목별!$C$3:$C$2984,11)</f>
        <v>7692368</v>
      </c>
      <c r="D187" s="25"/>
      <c r="E187" s="36" t="n">
        <f aca="false">IFERROR(C187/B187-1,"")</f>
        <v>0.155910119214433</v>
      </c>
      <c r="F187" s="36" t="n">
        <f aca="false">IFERROR(D187/C187-1,"")</f>
        <v>-1</v>
      </c>
      <c r="G187" s="36" t="n">
        <f aca="false">IFERROR(D187/B187-1,"")</f>
        <v>-1</v>
      </c>
      <c r="H187" s="34" t="n">
        <f aca="false">IFERROR(C187/SUM(C$177:C$188),"")</f>
        <v>0.0903593892739891</v>
      </c>
      <c r="I187" s="34" t="n">
        <f aca="false">IFERROR(D187/SUM(D$177:D$188),"")</f>
        <v>0</v>
      </c>
    </row>
    <row r="188" customFormat="false" ht="15" hidden="false" customHeight="true" outlineLevel="0" collapsed="false">
      <c r="A188" s="33" t="s">
        <v>19775</v>
      </c>
      <c r="B188" s="25" t="n">
        <f aca="false">SUMIFS(데이터_품목별!$H$3:$H$2984,데이터_품목별!$E$3:$E$2984,"84",데이터_품목별!$B$3:$B$2984,2024,데이터_품목별!$C$3:$C$2984,12)</f>
        <v>7773055</v>
      </c>
      <c r="C188" s="25" t="n">
        <f aca="false">SUMIFS(데이터_품목별!$H$3:$H$2984,데이터_품목별!$E$3:$E$2984,"84",데이터_품목별!$B$3:$B$2984,2025,데이터_품목별!$C$3:$C$2984,12)</f>
        <v>8929338</v>
      </c>
      <c r="D188" s="25"/>
      <c r="E188" s="36" t="n">
        <f aca="false">IFERROR(C188/B188-1,"")</f>
        <v>0.148755283476059</v>
      </c>
      <c r="F188" s="36" t="n">
        <f aca="false">IFERROR(D188/C188-1,"")</f>
        <v>-1</v>
      </c>
      <c r="G188" s="36" t="n">
        <f aca="false">IFERROR(D188/B188-1,"")</f>
        <v>-1</v>
      </c>
      <c r="H188" s="34" t="n">
        <f aca="false">IFERROR(C188/SUM(C$177:C$188),"")</f>
        <v>0.104889616344541</v>
      </c>
      <c r="I188" s="34" t="n">
        <f aca="false">IFERROR(D188/SUM(D$177:D$188),"")</f>
        <v>0</v>
      </c>
    </row>
    <row r="189" customFormat="false" ht="15" hidden="false" customHeight="true" outlineLevel="0" collapsed="false">
      <c r="A189" s="6" t="s">
        <v>19776</v>
      </c>
      <c r="B189" s="30" t="n">
        <f aca="false">SUM(B177:B188)</f>
        <v>80448665</v>
      </c>
      <c r="C189" s="30" t="n">
        <f aca="false">SUM(C177:C188)</f>
        <v>85130810</v>
      </c>
      <c r="D189" s="30" t="n">
        <f aca="false">SUM(D177:D188)</f>
        <v>84132427</v>
      </c>
      <c r="E189" s="41" t="n">
        <f aca="false">IFERROR(C189/B189-1,"")</f>
        <v>0.0582004064330961</v>
      </c>
      <c r="F189" s="36"/>
    </row>
    <row r="190" customFormat="false" ht="15" hidden="false" customHeight="true" outlineLevel="0" collapsed="false">
      <c r="A190" s="48" t="s">
        <v>19777</v>
      </c>
      <c r="B190" s="30" t="n">
        <f aca="false">SUM(B177:B183)</f>
        <v>46878727</v>
      </c>
      <c r="C190" s="30" t="n">
        <f aca="false">SUM(C177:C183)</f>
        <v>47933360</v>
      </c>
      <c r="D190" s="30" t="n">
        <f aca="false">SUM(D177:D183)</f>
        <v>84132427</v>
      </c>
      <c r="E190" s="41" t="n">
        <f aca="false">IFERROR(C190/B190-1,"")</f>
        <v>0.0224970486079965</v>
      </c>
      <c r="F190" s="41" t="n">
        <f aca="false">IFERROR(D190/C190-1,"")</f>
        <v>0.755195692519782</v>
      </c>
      <c r="G190" s="41" t="n">
        <f aca="false">IFERROR(D190/B190-1,"")</f>
        <v>0.794682415330945</v>
      </c>
    </row>
    <row r="192" customFormat="false" ht="14.25" hidden="false" customHeight="true" outlineLevel="0" collapsed="false">
      <c r="A192" s="23" t="s">
        <v>19788</v>
      </c>
      <c r="B192" s="23"/>
      <c r="C192" s="23"/>
      <c r="D192" s="23"/>
      <c r="E192" s="23"/>
      <c r="F192" s="23"/>
      <c r="G192" s="23"/>
      <c r="H192" s="23"/>
      <c r="I192" s="23"/>
    </row>
    <row r="193" customFormat="false" ht="15" hidden="false" customHeight="true" outlineLevel="0" collapsed="false">
      <c r="A193" s="5" t="s">
        <v>19654</v>
      </c>
      <c r="B193" s="50" t="s">
        <v>19756</v>
      </c>
      <c r="C193" s="51" t="s">
        <v>19757</v>
      </c>
      <c r="D193" s="52" t="s">
        <v>19758</v>
      </c>
      <c r="E193" s="44" t="s">
        <v>19759</v>
      </c>
      <c r="F193" s="44" t="s">
        <v>19760</v>
      </c>
      <c r="G193" s="44" t="s">
        <v>19761</v>
      </c>
      <c r="H193" s="44" t="s">
        <v>19762</v>
      </c>
      <c r="I193" s="44" t="s">
        <v>19763</v>
      </c>
    </row>
    <row r="194" customFormat="false" ht="15" hidden="false" customHeight="true" outlineLevel="0" collapsed="false">
      <c r="A194" s="33" t="s">
        <v>19764</v>
      </c>
      <c r="B194" s="25" t="n">
        <f aca="false">SUMIFS(데이터_품목별!$H$3:$H$2984,데이터_품목별!$E$3:$E$2984,"87",데이터_품목별!$B$3:$B$2984,2024,데이터_품목별!$C$3:$C$2984,1)</f>
        <v>8118538</v>
      </c>
      <c r="C194" s="25" t="n">
        <f aca="false">SUMIFS(데이터_품목별!$H$3:$H$2984,데이터_품목별!$E$3:$E$2984,"87",데이터_품목별!$B$3:$B$2984,2025,데이터_품목별!$C$3:$C$2984,1)</f>
        <v>6545132</v>
      </c>
      <c r="D194" s="25" t="n">
        <f aca="false">SUMIFS(데이터_품목별!$H$3:$H$2984,데이터_품목별!$E$3:$E$2984,"87",데이터_품목별!$B$3:$B$2984,2026,데이터_품목별!$C$3:$C$2984,1)</f>
        <v>7562422</v>
      </c>
      <c r="E194" s="36" t="n">
        <f aca="false">IFERROR(C194/B194-1,"")</f>
        <v>-0.19380410610876</v>
      </c>
      <c r="F194" s="36" t="n">
        <f aca="false">IFERROR(D194/C194-1,"")</f>
        <v>0.15542696465098</v>
      </c>
      <c r="G194" s="36" t="n">
        <f aca="false">IFERROR(D194/B194-1,"")</f>
        <v>-0.0684995254071608</v>
      </c>
      <c r="H194" s="34" t="n">
        <f aca="false">IFERROR(C194/SUM(C$194:C$205),"")</f>
        <v>0.0708836102247259</v>
      </c>
      <c r="I194" s="34" t="n">
        <f aca="false">IFERROR(D194/SUM(D$194:D$205),"")</f>
        <v>0.14029198137304</v>
      </c>
    </row>
    <row r="195" customFormat="false" ht="15" hidden="false" customHeight="true" outlineLevel="0" collapsed="false">
      <c r="A195" s="33" t="s">
        <v>19765</v>
      </c>
      <c r="B195" s="25" t="n">
        <f aca="false">SUMIFS(데이터_품목별!$H$3:$H$2984,데이터_품목별!$E$3:$E$2984,"87",데이터_품목별!$B$3:$B$2984,2024,데이터_품목별!$C$3:$C$2984,2)</f>
        <v>6910254</v>
      </c>
      <c r="C195" s="25" t="n">
        <f aca="false">SUMIFS(데이터_품목별!$H$3:$H$2984,데이터_품목별!$E$3:$E$2984,"87",데이터_품목별!$B$3:$B$2984,2025,데이터_품목별!$C$3:$C$2984,2)</f>
        <v>7721370</v>
      </c>
      <c r="D195" s="25" t="n">
        <f aca="false">SUMIFS(데이터_품목별!$H$3:$H$2984,데이터_품목별!$E$3:$E$2984,"87",데이터_품목별!$B$3:$B$2984,2026,데이터_품목별!$C$3:$C$2984,2)</f>
        <v>6152886</v>
      </c>
      <c r="E195" s="36" t="n">
        <f aca="false">IFERROR(C195/B195-1,"")</f>
        <v>0.117378608658958</v>
      </c>
      <c r="F195" s="36" t="n">
        <f aca="false">IFERROR(D195/C195-1,"")</f>
        <v>-0.203135453941464</v>
      </c>
      <c r="G195" s="36" t="n">
        <f aca="false">IFERROR(D195/B195-1,"")</f>
        <v>-0.109600602235461</v>
      </c>
      <c r="H195" s="34" t="n">
        <f aca="false">IFERROR(C195/SUM(C$194:C$205),"")</f>
        <v>0.0836222373331648</v>
      </c>
      <c r="I195" s="34" t="n">
        <f aca="false">IFERROR(D195/SUM(D$194:D$205),"")</f>
        <v>0.114143401162014</v>
      </c>
    </row>
    <row r="196" customFormat="false" ht="15" hidden="false" customHeight="true" outlineLevel="0" collapsed="false">
      <c r="A196" s="33" t="s">
        <v>19766</v>
      </c>
      <c r="B196" s="25" t="n">
        <f aca="false">SUMIFS(데이터_품목별!$H$3:$H$2984,데이터_품목별!$E$3:$E$2984,"87",데이터_품목별!$B$3:$B$2984,2024,데이터_품목별!$C$3:$C$2984,3)</f>
        <v>7885263</v>
      </c>
      <c r="C196" s="25" t="n">
        <f aca="false">SUMIFS(데이터_품목별!$H$3:$H$2984,데이터_품목별!$E$3:$E$2984,"87",데이터_품목별!$B$3:$B$2984,2025,데이터_품목별!$C$3:$C$2984,3)</f>
        <v>8087252</v>
      </c>
      <c r="D196" s="25" t="n">
        <f aca="false">SUMIFS(데이터_품목별!$H$3:$H$2984,데이터_품목별!$E$3:$E$2984,"87",데이터_품목별!$B$3:$B$2984,2026,데이터_품목별!$C$3:$C$2984,3)</f>
        <v>8020422</v>
      </c>
      <c r="E196" s="36" t="n">
        <f aca="false">IFERROR(C196/B196-1,"")</f>
        <v>0.0256160130613272</v>
      </c>
      <c r="F196" s="36" t="n">
        <f aca="false">IFERROR(D196/C196-1,"")</f>
        <v>-0.00826362279795412</v>
      </c>
      <c r="G196" s="36" t="n">
        <f aca="false">IFERROR(D196/B196-1,"")</f>
        <v>0.0171407091938467</v>
      </c>
      <c r="H196" s="34" t="n">
        <f aca="false">IFERROR(C196/SUM(C$194:C$205),"")</f>
        <v>0.087584729927087</v>
      </c>
      <c r="I196" s="34" t="n">
        <f aca="false">IFERROR(D196/SUM(D$194:D$205),"")</f>
        <v>0.148788429662867</v>
      </c>
    </row>
    <row r="197" customFormat="false" ht="15" hidden="false" customHeight="true" outlineLevel="0" collapsed="false">
      <c r="A197" s="33" t="s">
        <v>19767</v>
      </c>
      <c r="B197" s="25" t="n">
        <f aca="false">SUMIFS(데이터_품목별!$H$3:$H$2984,데이터_품목별!$E$3:$E$2984,"87",데이터_품목별!$B$3:$B$2984,2024,데이터_품목별!$C$3:$C$2984,4)</f>
        <v>8537047</v>
      </c>
      <c r="C197" s="25" t="n">
        <f aca="false">SUMIFS(데이터_품목별!$H$3:$H$2984,데이터_품목별!$E$3:$E$2984,"87",데이터_품목별!$B$3:$B$2984,2025,데이터_품목별!$C$3:$C$2984,4)</f>
        <v>8497645</v>
      </c>
      <c r="D197" s="25" t="n">
        <f aca="false">SUMIFS(데이터_품목별!$H$3:$H$2984,데이터_품목별!$E$3:$E$2984,"87",데이터_품목별!$B$3:$B$2984,2026,데이터_품목별!$C$3:$C$2984,4)</f>
        <v>7859533</v>
      </c>
      <c r="E197" s="36" t="n">
        <f aca="false">IFERROR(C197/B197-1,"")</f>
        <v>-0.00461541326878012</v>
      </c>
      <c r="F197" s="36" t="n">
        <f aca="false">IFERROR(D197/C197-1,"")</f>
        <v>-0.0750928051242432</v>
      </c>
      <c r="G197" s="36" t="n">
        <f aca="false">IFERROR(D197/B197-1,"")</f>
        <v>-0.0793616340638631</v>
      </c>
      <c r="H197" s="34" t="n">
        <f aca="false">IFERROR(C197/SUM(C$194:C$205),"")</f>
        <v>0.0920292754994232</v>
      </c>
      <c r="I197" s="34" t="n">
        <f aca="false">IFERROR(D197/SUM(D$194:D$205),"")</f>
        <v>0.145803746106312</v>
      </c>
    </row>
    <row r="198" customFormat="false" ht="15" hidden="false" customHeight="true" outlineLevel="0" collapsed="false">
      <c r="A198" s="33" t="s">
        <v>19768</v>
      </c>
      <c r="B198" s="25" t="n">
        <f aca="false">SUMIFS(데이터_품목별!$H$3:$H$2984,데이터_품목별!$E$3:$E$2984,"87",데이터_품목별!$B$3:$B$2984,2024,데이터_품목별!$C$3:$C$2984,5)</f>
        <v>8086139</v>
      </c>
      <c r="C198" s="25" t="n">
        <f aca="false">SUMIFS(데이터_품목별!$H$3:$H$2984,데이터_품목별!$E$3:$E$2984,"87",데이터_품목별!$B$3:$B$2984,2025,데이터_품목별!$C$3:$C$2984,5)</f>
        <v>7679192</v>
      </c>
      <c r="D198" s="25" t="n">
        <f aca="false">SUMIFS(데이터_품목별!$H$3:$H$2984,데이터_품목별!$E$3:$E$2984,"87",데이터_품목별!$B$3:$B$2984,2026,데이터_품목별!$C$3:$C$2984,5)</f>
        <v>7227360</v>
      </c>
      <c r="E198" s="36" t="n">
        <f aca="false">IFERROR(C198/B198-1,"")</f>
        <v>-0.0503264908011104</v>
      </c>
      <c r="F198" s="36" t="n">
        <f aca="false">IFERROR(D198/C198-1,"")</f>
        <v>-0.0588384819652901</v>
      </c>
      <c r="G198" s="36" t="n">
        <f aca="false">IFERROR(D198/B198-1,"")</f>
        <v>-0.106203838445023</v>
      </c>
      <c r="H198" s="34" t="n">
        <f aca="false">IFERROR(C198/SUM(C$194:C$205),"")</f>
        <v>0.0831654506843916</v>
      </c>
      <c r="I198" s="34" t="n">
        <f aca="false">IFERROR(D198/SUM(D$194:D$205),"")</f>
        <v>0.134076180157131</v>
      </c>
    </row>
    <row r="199" customFormat="false" ht="15" hidden="false" customHeight="true" outlineLevel="0" collapsed="false">
      <c r="A199" s="33" t="s">
        <v>19769</v>
      </c>
      <c r="B199" s="25" t="n">
        <f aca="false">SUMIFS(데이터_품목별!$H$3:$H$2984,데이터_품목별!$E$3:$E$2984,"87",데이터_품목별!$B$3:$B$2984,2024,데이터_품목별!$C$3:$C$2984,6)</f>
        <v>7771785</v>
      </c>
      <c r="C199" s="25" t="n">
        <f aca="false">SUMIFS(데이터_품목별!$H$3:$H$2984,데이터_품목별!$E$3:$E$2984,"87",데이터_품목별!$B$3:$B$2984,2025,데이터_품목별!$C$3:$C$2984,6)</f>
        <v>8230226</v>
      </c>
      <c r="D199" s="25" t="n">
        <f aca="false">SUMIFS(데이터_품목별!$H$3:$H$2984,데이터_품목별!$E$3:$E$2984,"87",데이터_품목별!$B$3:$B$2984,2026,데이터_품목별!$C$3:$C$2984,6)</f>
        <v>8746465</v>
      </c>
      <c r="E199" s="36" t="n">
        <f aca="false">IFERROR(C199/B199-1,"")</f>
        <v>0.0589878644352617</v>
      </c>
      <c r="F199" s="36" t="n">
        <f aca="false">IFERROR(D199/C199-1,"")</f>
        <v>0.0627247660027805</v>
      </c>
      <c r="G199" s="36" t="n">
        <f aca="false">IFERROR(D199/B199-1,"")</f>
        <v>0.125412630431748</v>
      </c>
      <c r="H199" s="34" t="n">
        <f aca="false">IFERROR(C199/SUM(C$194:C$205),"")</f>
        <v>0.089133134648072</v>
      </c>
      <c r="I199" s="34" t="n">
        <f aca="false">IFERROR(D199/SUM(D$194:D$205),"")</f>
        <v>0.16225739648752</v>
      </c>
    </row>
    <row r="200" customFormat="false" ht="15" hidden="false" customHeight="true" outlineLevel="0" collapsed="false">
      <c r="A200" s="33" t="s">
        <v>19770</v>
      </c>
      <c r="B200" s="25" t="n">
        <f aca="false">SUMIFS(데이터_품목별!$H$3:$H$2984,데이터_품목별!$E$3:$E$2984,"87",데이터_품목별!$B$3:$B$2984,2024,데이터_품목별!$C$3:$C$2984,7)</f>
        <v>7399270</v>
      </c>
      <c r="C200" s="25" t="n">
        <f aca="false">SUMIFS(데이터_품목별!$H$3:$H$2984,데이터_품목별!$E$3:$E$2984,"87",데이터_품목별!$B$3:$B$2984,2025,데이터_품목별!$C$3:$C$2984,7)</f>
        <v>7697863</v>
      </c>
      <c r="D200" s="25" t="n">
        <f aca="false">SUMIFS(데이터_품목별!$H$3:$H$2984,데이터_품목별!$E$3:$E$2984,"87",데이터_품목별!$B$3:$B$2984,2026,데이터_품목별!$C$3:$C$2984,7)</f>
        <v>8335789</v>
      </c>
      <c r="E200" s="36" t="n">
        <f aca="false">IFERROR(C200/B200-1,"")</f>
        <v>0.040354386311082</v>
      </c>
      <c r="F200" s="36" t="n">
        <f aca="false">IFERROR(D200/C200-1,"")</f>
        <v>0.0828705317306895</v>
      </c>
      <c r="G200" s="36" t="n">
        <f aca="false">IFERROR(D200/B200-1,"")</f>
        <v>0.126569107493036</v>
      </c>
      <c r="H200" s="34" t="n">
        <f aca="false">IFERROR(C200/SUM(C$194:C$205),"")</f>
        <v>0.0833676571313365</v>
      </c>
      <c r="I200" s="34" t="n">
        <f aca="false">IFERROR(D200/SUM(D$194:D$205),"")</f>
        <v>0.154638865051116</v>
      </c>
    </row>
    <row r="201" customFormat="false" ht="15" hidden="false" customHeight="true" outlineLevel="0" collapsed="false">
      <c r="A201" s="33" t="s">
        <v>19771</v>
      </c>
      <c r="B201" s="25" t="n">
        <f aca="false">SUMIFS(데이터_품목별!$H$3:$H$2984,데이터_품목별!$E$3:$E$2984,"87",데이터_품목별!$B$3:$B$2984,2024,데이터_품목별!$C$3:$C$2984,8)</f>
        <v>6715246</v>
      </c>
      <c r="C201" s="25" t="n">
        <f aca="false">SUMIFS(데이터_품목별!$H$3:$H$2984,데이터_품목별!$E$3:$E$2984,"87",데이터_품목별!$B$3:$B$2984,2025,데이터_품목별!$C$3:$C$2984,8)</f>
        <v>7000138</v>
      </c>
      <c r="D201" s="25"/>
      <c r="E201" s="36" t="n">
        <f aca="false">IFERROR(C201/B201-1,"")</f>
        <v>0.0424246557758272</v>
      </c>
      <c r="F201" s="36" t="n">
        <f aca="false">IFERROR(D201/C201-1,"")</f>
        <v>-1</v>
      </c>
      <c r="G201" s="36" t="n">
        <f aca="false">IFERROR(D201/B201-1,"")</f>
        <v>-1</v>
      </c>
      <c r="H201" s="34" t="n">
        <f aca="false">IFERROR(C201/SUM(C$194:C$205),"")</f>
        <v>0.0758113134328371</v>
      </c>
      <c r="I201" s="34" t="n">
        <f aca="false">IFERROR(D201/SUM(D$194:D$205),"")</f>
        <v>0</v>
      </c>
    </row>
    <row r="202" customFormat="false" ht="15" hidden="false" customHeight="true" outlineLevel="0" collapsed="false">
      <c r="A202" s="33" t="s">
        <v>19772</v>
      </c>
      <c r="B202" s="25" t="n">
        <f aca="false">SUMIFS(데이터_품목별!$H$3:$H$2984,데이터_품목별!$E$3:$E$2984,"87",데이터_품목별!$B$3:$B$2984,2024,데이터_품목별!$C$3:$C$2984,9)</f>
        <v>7342939</v>
      </c>
      <c r="C202" s="25" t="n">
        <f aca="false">SUMIFS(데이터_품목별!$H$3:$H$2984,데이터_품목별!$E$3:$E$2984,"87",데이터_품목별!$B$3:$B$2984,2025,데이터_품목별!$C$3:$C$2984,9)</f>
        <v>8461889</v>
      </c>
      <c r="D202" s="25"/>
      <c r="E202" s="36" t="n">
        <f aca="false">IFERROR(C202/B202-1,"")</f>
        <v>0.152384488009501</v>
      </c>
      <c r="F202" s="36" t="n">
        <f aca="false">IFERROR(D202/C202-1,"")</f>
        <v>-1</v>
      </c>
      <c r="G202" s="36" t="n">
        <f aca="false">IFERROR(D202/B202-1,"")</f>
        <v>-1</v>
      </c>
      <c r="H202" s="34" t="n">
        <f aca="false">IFERROR(C202/SUM(C$194:C$205),"")</f>
        <v>0.0916420389445003</v>
      </c>
      <c r="I202" s="34" t="n">
        <f aca="false">IFERROR(D202/SUM(D$194:D$205),"")</f>
        <v>0</v>
      </c>
    </row>
    <row r="203" customFormat="false" ht="15" hidden="false" customHeight="true" outlineLevel="0" collapsed="false">
      <c r="A203" s="33" t="s">
        <v>19773</v>
      </c>
      <c r="B203" s="25" t="n">
        <f aca="false">SUMIFS(데이터_품목별!$H$3:$H$2984,데이터_품목별!$E$3:$E$2984,"87",데이터_품목별!$B$3:$B$2984,2024,데이터_품목별!$C$3:$C$2984,10)</f>
        <v>7933147</v>
      </c>
      <c r="C203" s="25" t="n">
        <f aca="false">SUMIFS(데이터_품목별!$H$3:$H$2984,데이터_품목별!$E$3:$E$2984,"87",데이터_품목별!$B$3:$B$2984,2025,데이터_품목별!$C$3:$C$2984,10)</f>
        <v>6909678</v>
      </c>
      <c r="D203" s="25"/>
      <c r="E203" s="36" t="n">
        <f aca="false">IFERROR(C203/B203-1,"")</f>
        <v>-0.129011727628393</v>
      </c>
      <c r="F203" s="36" t="n">
        <f aca="false">IFERROR(D203/C203-1,"")</f>
        <v>-1</v>
      </c>
      <c r="G203" s="36" t="n">
        <f aca="false">IFERROR(D203/B203-1,"")</f>
        <v>-1</v>
      </c>
      <c r="H203" s="34" t="n">
        <f aca="false">IFERROR(C203/SUM(C$194:C$205),"")</f>
        <v>0.074831633973213</v>
      </c>
      <c r="I203" s="34" t="n">
        <f aca="false">IFERROR(D203/SUM(D$194:D$205),"")</f>
        <v>0</v>
      </c>
    </row>
    <row r="204" customFormat="false" ht="15" hidden="false" customHeight="true" outlineLevel="0" collapsed="false">
      <c r="A204" s="33" t="s">
        <v>19774</v>
      </c>
      <c r="B204" s="25" t="n">
        <f aca="false">SUMIFS(데이터_품목별!$H$3:$H$2984,데이터_품목별!$E$3:$E$2984,"87",데이터_품목별!$B$3:$B$2984,2024,데이터_품목별!$C$3:$C$2984,11)</f>
        <v>7197545</v>
      </c>
      <c r="C204" s="25" t="n">
        <f aca="false">SUMIFS(데이터_품목별!$H$3:$H$2984,데이터_품목별!$E$3:$E$2984,"87",데이터_품목별!$B$3:$B$2984,2025,데이터_품목별!$C$3:$C$2984,11)</f>
        <v>7861930</v>
      </c>
      <c r="D204" s="25"/>
      <c r="E204" s="36" t="n">
        <f aca="false">IFERROR(C204/B204-1,"")</f>
        <v>0.0923071686248576</v>
      </c>
      <c r="F204" s="36" t="n">
        <f aca="false">IFERROR(D204/C204-1,"")</f>
        <v>-1</v>
      </c>
      <c r="G204" s="36" t="n">
        <f aca="false">IFERROR(D204/B204-1,"")</f>
        <v>-1</v>
      </c>
      <c r="H204" s="34" t="n">
        <f aca="false">IFERROR(C204/SUM(C$194:C$205),"")</f>
        <v>0.0851444984966047</v>
      </c>
      <c r="I204" s="34" t="n">
        <f aca="false">IFERROR(D204/SUM(D$194:D$205),"")</f>
        <v>0</v>
      </c>
    </row>
    <row r="205" customFormat="false" ht="15" hidden="false" customHeight="true" outlineLevel="0" collapsed="false">
      <c r="A205" s="33" t="s">
        <v>19775</v>
      </c>
      <c r="B205" s="25" t="n">
        <f aca="false">SUMIFS(데이터_품목별!$H$3:$H$2984,데이터_품목별!$E$3:$E$2984,"87",데이터_품목별!$B$3:$B$2984,2024,데이터_품목별!$C$3:$C$2984,12)</f>
        <v>7972166</v>
      </c>
      <c r="C205" s="25" t="n">
        <f aca="false">SUMIFS(데이터_품목별!$H$3:$H$2984,데이터_품목별!$E$3:$E$2984,"87",데이터_품목별!$B$3:$B$2984,2025,데이터_품목별!$C$3:$C$2984,12)</f>
        <v>7644009</v>
      </c>
      <c r="D205" s="25"/>
      <c r="E205" s="36" t="n">
        <f aca="false">IFERROR(C205/B205-1,"")</f>
        <v>-0.0411628408139018</v>
      </c>
      <c r="F205" s="36" t="n">
        <f aca="false">IFERROR(D205/C205-1,"")</f>
        <v>-1</v>
      </c>
      <c r="G205" s="36" t="n">
        <f aca="false">IFERROR(D205/B205-1,"")</f>
        <v>-1</v>
      </c>
      <c r="H205" s="34" t="n">
        <f aca="false">IFERROR(C205/SUM(C$194:C$205),"")</f>
        <v>0.0827844197046441</v>
      </c>
      <c r="I205" s="34" t="n">
        <f aca="false">IFERROR(D205/SUM(D$194:D$205),"")</f>
        <v>0</v>
      </c>
    </row>
    <row r="206" customFormat="false" ht="15" hidden="false" customHeight="true" outlineLevel="0" collapsed="false">
      <c r="A206" s="6" t="s">
        <v>19776</v>
      </c>
      <c r="B206" s="30" t="n">
        <f aca="false">SUM(B194:B205)</f>
        <v>91869339</v>
      </c>
      <c r="C206" s="30" t="n">
        <f aca="false">SUM(C194:C205)</f>
        <v>92336324</v>
      </c>
      <c r="D206" s="30" t="n">
        <f aca="false">SUM(D194:D205)</f>
        <v>53904877</v>
      </c>
      <c r="E206" s="41" t="n">
        <f aca="false">IFERROR(C206/B206-1,"")</f>
        <v>0.00508314313658009</v>
      </c>
      <c r="F206" s="36"/>
    </row>
    <row r="207" customFormat="false" ht="15" hidden="false" customHeight="true" outlineLevel="0" collapsed="false">
      <c r="A207" s="48" t="s">
        <v>19777</v>
      </c>
      <c r="B207" s="30" t="n">
        <f aca="false">SUM(B194:B200)</f>
        <v>54708296</v>
      </c>
      <c r="C207" s="30" t="n">
        <f aca="false">SUM(C194:C200)</f>
        <v>54458680</v>
      </c>
      <c r="D207" s="30" t="n">
        <f aca="false">SUM(D194:D200)</f>
        <v>53904877</v>
      </c>
      <c r="E207" s="41" t="n">
        <f aca="false">IFERROR(C207/B207-1,"")</f>
        <v>-0.00456267181123682</v>
      </c>
      <c r="F207" s="41" t="n">
        <f aca="false">IFERROR(D207/C207-1,"")</f>
        <v>-0.010169232893636</v>
      </c>
      <c r="G207" s="41" t="n">
        <f aca="false">IFERROR(D207/B207-1,"")</f>
        <v>-0.0146855058326072</v>
      </c>
    </row>
    <row r="209" customFormat="false" ht="14.25" hidden="false" customHeight="true" outlineLevel="0" collapsed="false">
      <c r="A209" s="23" t="s">
        <v>19789</v>
      </c>
      <c r="B209" s="23"/>
      <c r="C209" s="23"/>
      <c r="D209" s="23"/>
      <c r="E209" s="23"/>
      <c r="F209" s="23"/>
      <c r="G209" s="23"/>
      <c r="H209" s="23"/>
      <c r="I209" s="23"/>
    </row>
    <row r="210" customFormat="false" ht="15" hidden="false" customHeight="true" outlineLevel="0" collapsed="false">
      <c r="A210" s="5" t="s">
        <v>19654</v>
      </c>
      <c r="B210" s="50" t="s">
        <v>19756</v>
      </c>
      <c r="C210" s="51" t="s">
        <v>19757</v>
      </c>
      <c r="D210" s="52" t="s">
        <v>19758</v>
      </c>
      <c r="E210" s="44" t="s">
        <v>19759</v>
      </c>
      <c r="F210" s="44" t="s">
        <v>19760</v>
      </c>
      <c r="G210" s="44" t="s">
        <v>19761</v>
      </c>
      <c r="H210" s="44" t="s">
        <v>19762</v>
      </c>
      <c r="I210" s="44" t="s">
        <v>19763</v>
      </c>
    </row>
    <row r="211" customFormat="false" ht="15" hidden="false" customHeight="true" outlineLevel="0" collapsed="false">
      <c r="A211" s="33" t="s">
        <v>19764</v>
      </c>
      <c r="B211" s="25" t="n">
        <f aca="false">SUMIFS(데이터_품목별!$H$3:$H$2984,데이터_품목별!$E$3:$E$2984,"27",데이터_품목별!$B$3:$B$2984,2024,데이터_품목별!$C$3:$C$2984,1)</f>
        <v>4964732</v>
      </c>
      <c r="C211" s="25" t="n">
        <f aca="false">SUMIFS(데이터_품목별!$H$3:$H$2984,데이터_품목별!$E$3:$E$2984,"27",데이터_품목별!$B$3:$B$2984,2025,데이터_품목별!$C$3:$C$2984,1)</f>
        <v>3606096</v>
      </c>
      <c r="D211" s="25" t="n">
        <f aca="false">SUMIFS(데이터_품목별!$H$3:$H$2984,데이터_품목별!$E$3:$E$2984,"27",데이터_품목별!$B$3:$B$2984,2026,데이터_품목별!$C$3:$C$2984,1)</f>
        <v>3868333</v>
      </c>
      <c r="E211" s="36" t="n">
        <f aca="false">IFERROR(C211/B211-1,"")</f>
        <v>-0.273657470332739</v>
      </c>
      <c r="F211" s="36" t="n">
        <f aca="false">IFERROR(D211/C211-1,"")</f>
        <v>0.0727204711133591</v>
      </c>
      <c r="G211" s="36" t="n">
        <f aca="false">IFERROR(D211/B211-1,"")</f>
        <v>-0.220837499385667</v>
      </c>
      <c r="H211" s="34" t="n">
        <f aca="false">IFERROR(C211/SUM(C$211:C$222),"")</f>
        <v>0.0763433790585397</v>
      </c>
      <c r="I211" s="34" t="n">
        <f aca="false">IFERROR(D211/SUM(D$211:D$222),"")</f>
        <v>0.106443483692174</v>
      </c>
    </row>
    <row r="212" customFormat="false" ht="15" hidden="false" customHeight="true" outlineLevel="0" collapsed="false">
      <c r="A212" s="33" t="s">
        <v>19765</v>
      </c>
      <c r="B212" s="25" t="n">
        <f aca="false">SUMIFS(데이터_품목별!$H$3:$H$2984,데이터_품목별!$E$3:$E$2984,"27",데이터_품목별!$B$3:$B$2984,2024,데이터_품목별!$C$3:$C$2984,2)</f>
        <v>4589485</v>
      </c>
      <c r="C212" s="25" t="n">
        <f aca="false">SUMIFS(데이터_품목별!$H$3:$H$2984,데이터_품목별!$E$3:$E$2984,"27",데이터_품목별!$B$3:$B$2984,2025,데이터_품목별!$C$3:$C$2984,2)</f>
        <v>4072937</v>
      </c>
      <c r="D212" s="25" t="n">
        <f aca="false">SUMIFS(데이터_품목별!$H$3:$H$2984,데이터_품목별!$E$3:$E$2984,"27",데이터_품목별!$B$3:$B$2984,2026,데이터_품목별!$C$3:$C$2984,2)</f>
        <v>4210226</v>
      </c>
      <c r="E212" s="36" t="n">
        <f aca="false">IFERROR(C212/B212-1,"")</f>
        <v>-0.112550318826622</v>
      </c>
      <c r="F212" s="36" t="n">
        <f aca="false">IFERROR(D212/C212-1,"")</f>
        <v>0.0337076168867823</v>
      </c>
      <c r="G212" s="36" t="n">
        <f aca="false">IFERROR(D212/B212-1,"")</f>
        <v>-0.082636504967333</v>
      </c>
      <c r="H212" s="34" t="n">
        <f aca="false">IFERROR(C212/SUM(C$211:C$222),"")</f>
        <v>0.0862267042454088</v>
      </c>
      <c r="I212" s="34" t="n">
        <f aca="false">IFERROR(D212/SUM(D$211:D$222),"")</f>
        <v>0.115851226502828</v>
      </c>
    </row>
    <row r="213" customFormat="false" ht="15" hidden="false" customHeight="true" outlineLevel="0" collapsed="false">
      <c r="A213" s="33" t="s">
        <v>19766</v>
      </c>
      <c r="B213" s="25" t="n">
        <f aca="false">SUMIFS(데이터_품목별!$H$3:$H$2984,데이터_품목별!$E$3:$E$2984,"27",데이터_품목별!$B$3:$B$2984,2024,데이터_품목별!$C$3:$C$2984,3)</f>
        <v>4878428</v>
      </c>
      <c r="C213" s="25" t="n">
        <f aca="false">SUMIFS(데이터_품목별!$H$3:$H$2984,데이터_품목별!$E$3:$E$2984,"27",데이터_품목별!$B$3:$B$2984,2025,데이터_품목별!$C$3:$C$2984,3)</f>
        <v>3466285</v>
      </c>
      <c r="D213" s="25" t="n">
        <f aca="false">SUMIFS(데이터_품목별!$H$3:$H$2984,데이터_품목별!$E$3:$E$2984,"27",데이터_품목별!$B$3:$B$2984,2026,데이터_품목별!$C$3:$C$2984,3)</f>
        <v>6411300</v>
      </c>
      <c r="E213" s="36" t="n">
        <f aca="false">IFERROR(C213/B213-1,"")</f>
        <v>-0.289466811850047</v>
      </c>
      <c r="F213" s="36" t="n">
        <f aca="false">IFERROR(D213/C213-1,"")</f>
        <v>0.849617097266959</v>
      </c>
      <c r="G213" s="36" t="n">
        <f aca="false">IFERROR(D213/B213-1,"")</f>
        <v>0.314214332977754</v>
      </c>
      <c r="H213" s="34" t="n">
        <f aca="false">IFERROR(C213/SUM(C$211:C$222),"")</f>
        <v>0.0733834899791715</v>
      </c>
      <c r="I213" s="34" t="n">
        <f aca="false">IFERROR(D213/SUM(D$211:D$222),"")</f>
        <v>0.176417362981841</v>
      </c>
    </row>
    <row r="214" customFormat="false" ht="15" hidden="false" customHeight="true" outlineLevel="0" collapsed="false">
      <c r="A214" s="33" t="s">
        <v>19767</v>
      </c>
      <c r="B214" s="25" t="n">
        <f aca="false">SUMIFS(데이터_품목별!$H$3:$H$2984,데이터_품목별!$E$3:$E$2984,"27",데이터_품목별!$B$3:$B$2984,2024,데이터_품목별!$C$3:$C$2984,4)</f>
        <v>4524006</v>
      </c>
      <c r="C214" s="25" t="n">
        <f aca="false">SUMIFS(데이터_품목별!$H$3:$H$2984,데이터_품목별!$E$3:$E$2984,"27",데이터_품목별!$B$3:$B$2984,2025,데이터_품목별!$C$3:$C$2984,4)</f>
        <v>3842945</v>
      </c>
      <c r="D214" s="25" t="n">
        <f aca="false">SUMIFS(데이터_품목별!$H$3:$H$2984,데이터_품목별!$E$3:$E$2984,"27",데이터_품목별!$B$3:$B$2984,2026,데이터_품목별!$C$3:$C$2984,4)</f>
        <v>5156235</v>
      </c>
      <c r="E214" s="36" t="n">
        <f aca="false">IFERROR(C214/B214-1,"")</f>
        <v>-0.150543787961378</v>
      </c>
      <c r="F214" s="36" t="n">
        <f aca="false">IFERROR(D214/C214-1,"")</f>
        <v>0.341740514110923</v>
      </c>
      <c r="G214" s="36" t="n">
        <f aca="false">IFERROR(D214/B214-1,"")</f>
        <v>0.139749814655418</v>
      </c>
      <c r="H214" s="34" t="n">
        <f aca="false">IFERROR(C214/SUM(C$211:C$222),"")</f>
        <v>0.0813576252091236</v>
      </c>
      <c r="I214" s="34" t="n">
        <f aca="false">IFERROR(D214/SUM(D$211:D$222),"")</f>
        <v>0.141882205108897</v>
      </c>
    </row>
    <row r="215" customFormat="false" ht="15" hidden="false" customHeight="true" outlineLevel="0" collapsed="false">
      <c r="A215" s="33" t="s">
        <v>19768</v>
      </c>
      <c r="B215" s="25" t="n">
        <f aca="false">SUMIFS(데이터_품목별!$H$3:$H$2984,데이터_품목별!$E$3:$E$2984,"27",데이터_품목별!$B$3:$B$2984,2024,데이터_품목별!$C$3:$C$2984,5)</f>
        <v>4762891</v>
      </c>
      <c r="C215" s="25" t="n">
        <f aca="false">SUMIFS(데이터_품목별!$H$3:$H$2984,데이터_품목별!$E$3:$E$2984,"27",데이터_품목별!$B$3:$B$2984,2025,데이터_품목별!$C$3:$C$2984,5)</f>
        <v>3755662</v>
      </c>
      <c r="D215" s="25" t="n">
        <f aca="false">SUMIFS(데이터_품목별!$H$3:$H$2984,데이터_품목별!$E$3:$E$2984,"27",데이터_품목별!$B$3:$B$2984,2026,데이터_품목별!$C$3:$C$2984,5)</f>
        <v>5298536</v>
      </c>
      <c r="E215" s="36" t="n">
        <f aca="false">IFERROR(C215/B215-1,"")</f>
        <v>-0.211474291559475</v>
      </c>
      <c r="F215" s="36" t="n">
        <f aca="false">IFERROR(D215/C215-1,"")</f>
        <v>0.410812794122581</v>
      </c>
      <c r="G215" s="36" t="n">
        <f aca="false">IFERROR(D215/B215-1,"")</f>
        <v>0.112462157962465</v>
      </c>
      <c r="H215" s="34" t="n">
        <f aca="false">IFERROR(C215/SUM(C$211:C$222),"")</f>
        <v>0.079509787782065</v>
      </c>
      <c r="I215" s="34" t="n">
        <f aca="false">IFERROR(D215/SUM(D$211:D$222),"")</f>
        <v>0.145797848920554</v>
      </c>
    </row>
    <row r="216" customFormat="false" ht="15" hidden="false" customHeight="true" outlineLevel="0" collapsed="false">
      <c r="A216" s="33" t="s">
        <v>19769</v>
      </c>
      <c r="B216" s="25" t="n">
        <f aca="false">SUMIFS(데이터_품목별!$H$3:$H$2984,데이터_품목별!$E$3:$E$2984,"27",데이터_품목별!$B$3:$B$2984,2024,데이터_품목별!$C$3:$C$2984,6)</f>
        <v>3866671</v>
      </c>
      <c r="C216" s="25" t="n">
        <f aca="false">SUMIFS(데이터_품목별!$H$3:$H$2984,데이터_품목별!$E$3:$E$2984,"27",데이터_품목별!$B$3:$B$2984,2025,데이터_품목별!$C$3:$C$2984,6)</f>
        <v>3907126</v>
      </c>
      <c r="D216" s="25" t="n">
        <f aca="false">SUMIFS(데이터_품목별!$H$3:$H$2984,데이터_품목별!$E$3:$E$2984,"27",데이터_품목별!$B$3:$B$2984,2026,데이터_품목별!$C$3:$C$2984,6)</f>
        <v>5500624</v>
      </c>
      <c r="E216" s="36" t="n">
        <f aca="false">IFERROR(C216/B216-1,"")</f>
        <v>0.0104624882747977</v>
      </c>
      <c r="F216" s="36" t="n">
        <f aca="false">IFERROR(D216/C216-1,"")</f>
        <v>0.407844026529987</v>
      </c>
      <c r="G216" s="36" t="n">
        <f aca="false">IFERROR(D216/B216-1,"")</f>
        <v>0.4225735781503</v>
      </c>
      <c r="H216" s="34" t="n">
        <f aca="false">IFERROR(C216/SUM(C$211:C$222),"")</f>
        <v>0.0827163783902248</v>
      </c>
      <c r="I216" s="34" t="n">
        <f aca="false">IFERROR(D216/SUM(D$211:D$222),"")</f>
        <v>0.151358629425331</v>
      </c>
    </row>
    <row r="217" customFormat="false" ht="15" hidden="false" customHeight="true" outlineLevel="0" collapsed="false">
      <c r="A217" s="33" t="s">
        <v>19770</v>
      </c>
      <c r="B217" s="25" t="n">
        <f aca="false">SUMIFS(데이터_품목별!$H$3:$H$2984,데이터_품목별!$E$3:$E$2984,"27",데이터_품목별!$B$3:$B$2984,2024,데이터_품목별!$C$3:$C$2984,7)</f>
        <v>4683150</v>
      </c>
      <c r="C217" s="25" t="n">
        <f aca="false">SUMIFS(데이터_품목별!$H$3:$H$2984,데이터_품목별!$E$3:$E$2984,"27",데이터_품목별!$B$3:$B$2984,2025,데이터_품목별!$C$3:$C$2984,7)</f>
        <v>4407315</v>
      </c>
      <c r="D217" s="25" t="n">
        <f aca="false">SUMIFS(데이터_품목별!$H$3:$H$2984,데이터_품목별!$E$3:$E$2984,"27",데이터_품목별!$B$3:$B$2984,2026,데이터_품목별!$C$3:$C$2984,7)</f>
        <v>5896407</v>
      </c>
      <c r="E217" s="36" t="n">
        <f aca="false">IFERROR(C217/B217-1,"")</f>
        <v>-0.0588994586976714</v>
      </c>
      <c r="F217" s="36" t="n">
        <f aca="false">IFERROR(D217/C217-1,"")</f>
        <v>0.337868293961289</v>
      </c>
      <c r="G217" s="36" t="n">
        <f aca="false">IFERROR(D217/B217-1,"")</f>
        <v>0.259068575638192</v>
      </c>
      <c r="H217" s="34" t="n">
        <f aca="false">IFERROR(C217/SUM(C$211:C$222),"")</f>
        <v>0.0933057022540132</v>
      </c>
      <c r="I217" s="34" t="n">
        <f aca="false">IFERROR(D217/SUM(D$211:D$222),"")</f>
        <v>0.162249243368375</v>
      </c>
    </row>
    <row r="218" customFormat="false" ht="15" hidden="false" customHeight="true" outlineLevel="0" collapsed="false">
      <c r="A218" s="33" t="s">
        <v>19771</v>
      </c>
      <c r="B218" s="25" t="n">
        <f aca="false">SUMIFS(데이터_품목별!$H$3:$H$2984,데이터_품목별!$E$3:$E$2984,"27",데이터_품목별!$B$3:$B$2984,2024,데이터_품목별!$C$3:$C$2984,8)</f>
        <v>4604299</v>
      </c>
      <c r="C218" s="25" t="n">
        <f aca="false">SUMIFS(데이터_품목별!$H$3:$H$2984,데이터_품목별!$E$3:$E$2984,"27",데이터_품목별!$B$3:$B$2984,2025,데이터_품목별!$C$3:$C$2984,8)</f>
        <v>4260591</v>
      </c>
      <c r="D218" s="25"/>
      <c r="E218" s="36" t="n">
        <f aca="false">IFERROR(C218/B218-1,"")</f>
        <v>-0.0746493657340672</v>
      </c>
      <c r="F218" s="36" t="n">
        <f aca="false">IFERROR(D218/C218-1,"")</f>
        <v>-1</v>
      </c>
      <c r="G218" s="36" t="n">
        <f aca="false">IFERROR(D218/B218-1,"")</f>
        <v>-1</v>
      </c>
      <c r="H218" s="34" t="n">
        <f aca="false">IFERROR(C218/SUM(C$211:C$222),"")</f>
        <v>0.0901994605042136</v>
      </c>
      <c r="I218" s="34" t="n">
        <f aca="false">IFERROR(D218/SUM(D$211:D$222),"")</f>
        <v>0</v>
      </c>
    </row>
    <row r="219" customFormat="false" ht="15" hidden="false" customHeight="true" outlineLevel="0" collapsed="false">
      <c r="A219" s="33" t="s">
        <v>19772</v>
      </c>
      <c r="B219" s="25" t="n">
        <f aca="false">SUMIFS(데이터_품목별!$H$3:$H$2984,데이터_품목별!$E$3:$E$2984,"27",데이터_품목별!$B$3:$B$2984,2024,데이터_품목별!$C$3:$C$2984,9)</f>
        <v>4165466</v>
      </c>
      <c r="C219" s="25" t="n">
        <f aca="false">SUMIFS(데이터_품목별!$H$3:$H$2984,데이터_품목별!$E$3:$E$2984,"27",데이터_품목별!$B$3:$B$2984,2025,데이터_품목별!$C$3:$C$2984,9)</f>
        <v>4322838</v>
      </c>
      <c r="D219" s="25"/>
      <c r="E219" s="36" t="n">
        <f aca="false">IFERROR(C219/B219-1,"")</f>
        <v>0.0377801667328457</v>
      </c>
      <c r="F219" s="36" t="n">
        <f aca="false">IFERROR(D219/C219-1,"")</f>
        <v>-1</v>
      </c>
      <c r="G219" s="36" t="n">
        <f aca="false">IFERROR(D219/B219-1,"")</f>
        <v>-1</v>
      </c>
      <c r="H219" s="34" t="n">
        <f aca="false">IFERROR(C219/SUM(C$211:C$222),"")</f>
        <v>0.0915172696574522</v>
      </c>
      <c r="I219" s="34" t="n">
        <f aca="false">IFERROR(D219/SUM(D$211:D$222),"")</f>
        <v>0</v>
      </c>
    </row>
    <row r="220" customFormat="false" ht="15" hidden="false" customHeight="true" outlineLevel="0" collapsed="false">
      <c r="A220" s="33" t="s">
        <v>19773</v>
      </c>
      <c r="B220" s="25" t="n">
        <f aca="false">SUMIFS(데이터_품목별!$H$3:$H$2984,데이터_품목별!$E$3:$E$2984,"27",데이터_품목별!$B$3:$B$2984,2024,데이터_품목별!$C$3:$C$2984,10)</f>
        <v>3618298</v>
      </c>
      <c r="C220" s="25" t="n">
        <f aca="false">SUMIFS(데이터_품목별!$H$3:$H$2984,데이터_품목별!$E$3:$E$2984,"27",데이터_품목별!$B$3:$B$2984,2025,데이터_품목별!$C$3:$C$2984,10)</f>
        <v>3933652</v>
      </c>
      <c r="D220" s="25"/>
      <c r="E220" s="36" t="n">
        <f aca="false">IFERROR(C220/B220-1,"")</f>
        <v>0.0871553420973066</v>
      </c>
      <c r="F220" s="36" t="n">
        <f aca="false">IFERROR(D220/C220-1,"")</f>
        <v>-1</v>
      </c>
      <c r="G220" s="36" t="n">
        <f aca="false">IFERROR(D220/B220-1,"")</f>
        <v>-1</v>
      </c>
      <c r="H220" s="34" t="n">
        <f aca="false">IFERROR(C220/SUM(C$211:C$222),"")</f>
        <v>0.0832779509254282</v>
      </c>
      <c r="I220" s="34" t="n">
        <f aca="false">IFERROR(D220/SUM(D$211:D$222),"")</f>
        <v>0</v>
      </c>
    </row>
    <row r="221" customFormat="false" ht="15" hidden="false" customHeight="true" outlineLevel="0" collapsed="false">
      <c r="A221" s="33" t="s">
        <v>19774</v>
      </c>
      <c r="B221" s="25" t="n">
        <f aca="false">SUMIFS(데이터_품목별!$H$3:$H$2984,데이터_품목별!$E$3:$E$2984,"27",데이터_품목별!$B$3:$B$2984,2024,데이터_품목별!$C$3:$C$2984,11)</f>
        <v>3835069</v>
      </c>
      <c r="C221" s="25" t="n">
        <f aca="false">SUMIFS(데이터_품목별!$H$3:$H$2984,데이터_품목별!$E$3:$E$2984,"27",데이터_품목별!$B$3:$B$2984,2025,데이터_품목별!$C$3:$C$2984,11)</f>
        <v>3380154</v>
      </c>
      <c r="D221" s="25"/>
      <c r="E221" s="36" t="n">
        <f aca="false">IFERROR(C221/B221-1,"")</f>
        <v>-0.118619769292287</v>
      </c>
      <c r="F221" s="36" t="n">
        <f aca="false">IFERROR(D221/C221-1,"")</f>
        <v>-1</v>
      </c>
      <c r="G221" s="36" t="n">
        <f aca="false">IFERROR(D221/B221-1,"")</f>
        <v>-1</v>
      </c>
      <c r="H221" s="34" t="n">
        <f aca="false">IFERROR(C221/SUM(C$211:C$222),"")</f>
        <v>0.0715600411354105</v>
      </c>
      <c r="I221" s="34" t="n">
        <f aca="false">IFERROR(D221/SUM(D$211:D$222),"")</f>
        <v>0</v>
      </c>
    </row>
    <row r="222" customFormat="false" ht="15" hidden="false" customHeight="true" outlineLevel="0" collapsed="false">
      <c r="A222" s="33" t="s">
        <v>19775</v>
      </c>
      <c r="B222" s="25" t="n">
        <f aca="false">SUMIFS(데이터_품목별!$H$3:$H$2984,데이터_품목별!$E$3:$E$2984,"27",데이터_품목별!$B$3:$B$2984,2024,데이터_품목별!$C$3:$C$2984,12)</f>
        <v>4124226</v>
      </c>
      <c r="C222" s="25" t="n">
        <f aca="false">SUMIFS(데이터_품목별!$H$3:$H$2984,데이터_품목별!$E$3:$E$2984,"27",데이터_품목별!$B$3:$B$2984,2025,데이터_품목별!$C$3:$C$2984,12)</f>
        <v>4279615</v>
      </c>
      <c r="D222" s="25"/>
      <c r="E222" s="36" t="n">
        <f aca="false">IFERROR(C222/B222-1,"")</f>
        <v>0.0376771302057646</v>
      </c>
      <c r="F222" s="36" t="n">
        <f aca="false">IFERROR(D222/C222-1,"")</f>
        <v>-1</v>
      </c>
      <c r="G222" s="36" t="n">
        <f aca="false">IFERROR(D222/B222-1,"")</f>
        <v>-1</v>
      </c>
      <c r="H222" s="34" t="n">
        <f aca="false">IFERROR(C222/SUM(C$211:C$222),"")</f>
        <v>0.090602210858949</v>
      </c>
      <c r="I222" s="34" t="n">
        <f aca="false">IFERROR(D222/SUM(D$211:D$222),"")</f>
        <v>0</v>
      </c>
    </row>
    <row r="223" customFormat="false" ht="15" hidden="false" customHeight="true" outlineLevel="0" collapsed="false">
      <c r="A223" s="6" t="s">
        <v>19776</v>
      </c>
      <c r="B223" s="30" t="n">
        <f aca="false">SUM(B211:B222)</f>
        <v>52616721</v>
      </c>
      <c r="C223" s="30" t="n">
        <f aca="false">SUM(C211:C222)</f>
        <v>47235216</v>
      </c>
      <c r="D223" s="30" t="n">
        <f aca="false">SUM(D211:D222)</f>
        <v>36341661</v>
      </c>
      <c r="E223" s="41" t="n">
        <f aca="false">IFERROR(C223/B223-1,"")</f>
        <v>-0.102277468031503</v>
      </c>
      <c r="F223" s="36"/>
    </row>
    <row r="224" customFormat="false" ht="15" hidden="false" customHeight="true" outlineLevel="0" collapsed="false">
      <c r="A224" s="48" t="s">
        <v>19777</v>
      </c>
      <c r="B224" s="30" t="n">
        <f aca="false">SUM(B211:B217)</f>
        <v>32269363</v>
      </c>
      <c r="C224" s="30" t="n">
        <f aca="false">SUM(C211:C217)</f>
        <v>27058366</v>
      </c>
      <c r="D224" s="30" t="n">
        <f aca="false">SUM(D211:D217)</f>
        <v>36341661</v>
      </c>
      <c r="E224" s="41" t="n">
        <f aca="false">IFERROR(C224/B224-1,"")</f>
        <v>-0.161484346623142</v>
      </c>
      <c r="F224" s="41" t="n">
        <f aca="false">IFERROR(D224/C224-1,"")</f>
        <v>0.343084094582799</v>
      </c>
      <c r="G224" s="41" t="n">
        <f aca="false">IFERROR(D224/B224-1,"")</f>
        <v>0.126197037109161</v>
      </c>
    </row>
    <row r="226" customFormat="false" ht="14.25" hidden="false" customHeight="true" outlineLevel="0" collapsed="false">
      <c r="A226" s="23" t="s">
        <v>19790</v>
      </c>
      <c r="B226" s="23"/>
      <c r="C226" s="23"/>
      <c r="D226" s="23"/>
      <c r="E226" s="23"/>
      <c r="F226" s="23"/>
      <c r="G226" s="23"/>
      <c r="H226" s="23"/>
      <c r="I226" s="23"/>
    </row>
    <row r="227" customFormat="false" ht="15" hidden="false" customHeight="true" outlineLevel="0" collapsed="false">
      <c r="A227" s="5" t="s">
        <v>19654</v>
      </c>
      <c r="B227" s="50" t="s">
        <v>19756</v>
      </c>
      <c r="C227" s="51" t="s">
        <v>19757</v>
      </c>
      <c r="D227" s="52" t="s">
        <v>19758</v>
      </c>
      <c r="E227" s="44" t="s">
        <v>19759</v>
      </c>
      <c r="F227" s="44" t="s">
        <v>19760</v>
      </c>
      <c r="G227" s="44" t="s">
        <v>19761</v>
      </c>
      <c r="H227" s="44" t="s">
        <v>19762</v>
      </c>
      <c r="I227" s="44" t="s">
        <v>19763</v>
      </c>
    </row>
    <row r="228" customFormat="false" ht="15" hidden="false" customHeight="true" outlineLevel="0" collapsed="false">
      <c r="A228" s="33" t="s">
        <v>19764</v>
      </c>
      <c r="B228" s="25" t="n">
        <f aca="false">SUMIFS(데이터_품목별!$H$3:$H$2984,데이터_품목별!$E$3:$E$2984,"89",데이터_품목별!$B$3:$B$2984,2024,데이터_품목별!$C$3:$C$2984,1)</f>
        <v>2407768</v>
      </c>
      <c r="C228" s="25" t="n">
        <f aca="false">SUMIFS(데이터_품목별!$H$3:$H$2984,데이터_품목별!$E$3:$E$2984,"89",데이터_품목별!$B$3:$B$2984,2025,데이터_품목별!$C$3:$C$2984,1)</f>
        <v>2356716</v>
      </c>
      <c r="D228" s="25" t="n">
        <f aca="false">SUMIFS(데이터_품목별!$H$3:$H$2984,데이터_품목별!$E$3:$E$2984,"89",데이터_품목별!$B$3:$B$2984,2026,데이터_품목별!$C$3:$C$2984,1)</f>
        <v>2314307</v>
      </c>
      <c r="E228" s="36" t="n">
        <f aca="false">IFERROR(C228/B228-1,"")</f>
        <v>-0.0212030394954996</v>
      </c>
      <c r="F228" s="36" t="n">
        <f aca="false">IFERROR(D228/C228-1,"")</f>
        <v>-0.0179949556925824</v>
      </c>
      <c r="G228" s="36" t="n">
        <f aca="false">IFERROR(D228/B228-1,"")</f>
        <v>-0.0388164474318123</v>
      </c>
      <c r="H228" s="34" t="n">
        <f aca="false">IFERROR(C228/SUM(C$228:C$239),"")</f>
        <v>0.0789042471805156</v>
      </c>
      <c r="I228" s="34" t="n">
        <f aca="false">IFERROR(D228/SUM(D$228:D$239),"")</f>
        <v>0.123867490713311</v>
      </c>
    </row>
    <row r="229" customFormat="false" ht="15" hidden="false" customHeight="true" outlineLevel="0" collapsed="false">
      <c r="A229" s="33" t="s">
        <v>19765</v>
      </c>
      <c r="B229" s="25" t="n">
        <f aca="false">SUMIFS(데이터_품목별!$H$3:$H$2984,데이터_품목별!$E$3:$E$2984,"89",데이터_품목별!$B$3:$B$2984,2024,데이터_품목별!$C$3:$C$2984,2)</f>
        <v>1610777</v>
      </c>
      <c r="C229" s="25" t="n">
        <f aca="false">SUMIFS(데이터_품목별!$H$3:$H$2984,데이터_품목별!$E$3:$E$2984,"89",데이터_품목별!$B$3:$B$2984,2025,데이터_품목별!$C$3:$C$2984,2)</f>
        <v>1435746</v>
      </c>
      <c r="D229" s="25" t="n">
        <f aca="false">SUMIFS(데이터_품목별!$H$3:$H$2984,데이터_품목별!$E$3:$E$2984,"89",데이터_품목별!$B$3:$B$2984,2026,데이터_품목별!$C$3:$C$2984,2)</f>
        <v>2104220</v>
      </c>
      <c r="E229" s="36" t="n">
        <f aca="false">IFERROR(C229/B229-1,"")</f>
        <v>-0.108662465381614</v>
      </c>
      <c r="F229" s="36" t="n">
        <f aca="false">IFERROR(D229/C229-1,"")</f>
        <v>0.465593496342668</v>
      </c>
      <c r="G229" s="36" t="n">
        <f aca="false">IFERROR(D229/B229-1,"")</f>
        <v>0.306338493782814</v>
      </c>
      <c r="H229" s="34" t="n">
        <f aca="false">IFERROR(C229/SUM(C$228:C$239),"")</f>
        <v>0.0480696262394097</v>
      </c>
      <c r="I229" s="34" t="n">
        <f aca="false">IFERROR(D229/SUM(D$228:D$239),"")</f>
        <v>0.112623109772716</v>
      </c>
    </row>
    <row r="230" customFormat="false" ht="15" hidden="false" customHeight="true" outlineLevel="0" collapsed="false">
      <c r="A230" s="33" t="s">
        <v>19766</v>
      </c>
      <c r="B230" s="25" t="n">
        <f aca="false">SUMIFS(데이터_품목별!$H$3:$H$2984,데이터_품목별!$E$3:$E$2984,"89",데이터_품목별!$B$3:$B$2984,2024,데이터_품목별!$C$3:$C$2984,3)</f>
        <v>1962701</v>
      </c>
      <c r="C230" s="25" t="n">
        <f aca="false">SUMIFS(데이터_품목별!$H$3:$H$2984,데이터_품목별!$E$3:$E$2984,"89",데이터_품목별!$B$3:$B$2984,2025,데이터_품목별!$C$3:$C$2984,3)</f>
        <v>3020110</v>
      </c>
      <c r="D230" s="25" t="n">
        <f aca="false">SUMIFS(데이터_품목별!$H$3:$H$2984,데이터_품목별!$E$3:$E$2984,"89",데이터_품목별!$B$3:$B$2984,2026,데이터_품목별!$C$3:$C$2984,3)</f>
        <v>3353562</v>
      </c>
      <c r="E230" s="36" t="n">
        <f aca="false">IFERROR(C230/B230-1,"")</f>
        <v>0.538751954576882</v>
      </c>
      <c r="F230" s="36" t="n">
        <f aca="false">IFERROR(D230/C230-1,"")</f>
        <v>0.110410547960174</v>
      </c>
      <c r="G230" s="36" t="n">
        <f aca="false">IFERROR(D230/B230-1,"")</f>
        <v>0.708646401056503</v>
      </c>
      <c r="H230" s="34" t="n">
        <f aca="false">IFERROR(C230/SUM(C$228:C$239),"")</f>
        <v>0.101115071121148</v>
      </c>
      <c r="I230" s="34" t="n">
        <f aca="false">IFERROR(D230/SUM(D$228:D$239),"")</f>
        <v>0.179491013893798</v>
      </c>
    </row>
    <row r="231" customFormat="false" ht="15" hidden="false" customHeight="true" outlineLevel="0" collapsed="false">
      <c r="A231" s="33" t="s">
        <v>19767</v>
      </c>
      <c r="B231" s="25" t="n">
        <f aca="false">SUMIFS(데이터_품목별!$H$3:$H$2984,데이터_품목별!$E$3:$E$2984,"89",데이터_품목별!$B$3:$B$2984,2024,데이터_품목별!$C$3:$C$2984,4)</f>
        <v>1558389</v>
      </c>
      <c r="C231" s="25" t="n">
        <f aca="false">SUMIFS(데이터_품목별!$H$3:$H$2984,데이터_품목별!$E$3:$E$2984,"89",데이터_품목별!$B$3:$B$2984,2025,데이터_품목별!$C$3:$C$2984,4)</f>
        <v>1806786</v>
      </c>
      <c r="D231" s="25" t="n">
        <f aca="false">SUMIFS(데이터_품목별!$H$3:$H$2984,데이터_품목별!$E$3:$E$2984,"89",데이터_품목별!$B$3:$B$2984,2026,데이터_품목별!$C$3:$C$2984,4)</f>
        <v>2723853</v>
      </c>
      <c r="E231" s="36" t="n">
        <f aca="false">IFERROR(C231/B231-1,"")</f>
        <v>0.15939345054412</v>
      </c>
      <c r="F231" s="36" t="n">
        <f aca="false">IFERROR(D231/C231-1,"")</f>
        <v>0.507568134798476</v>
      </c>
      <c r="G231" s="36" t="n">
        <f aca="false">IFERROR(D231/B231-1,"")</f>
        <v>0.747864621734368</v>
      </c>
      <c r="H231" s="34" t="n">
        <f aca="false">IFERROR(C231/SUM(C$228:C$239),"")</f>
        <v>0.0604922651462014</v>
      </c>
      <c r="I231" s="34" t="n">
        <f aca="false">IFERROR(D231/SUM(D$228:D$239),"")</f>
        <v>0.145787415490653</v>
      </c>
    </row>
    <row r="232" customFormat="false" ht="15" hidden="false" customHeight="true" outlineLevel="0" collapsed="false">
      <c r="A232" s="33" t="s">
        <v>19768</v>
      </c>
      <c r="B232" s="25" t="n">
        <f aca="false">SUMIFS(데이터_품목별!$H$3:$H$2984,데이터_품목별!$E$3:$E$2984,"89",데이터_품목별!$B$3:$B$2984,2024,데이터_품목별!$C$3:$C$2984,5)</f>
        <v>2005371</v>
      </c>
      <c r="C232" s="25" t="n">
        <f aca="false">SUMIFS(데이터_품목별!$H$3:$H$2984,데이터_품목별!$E$3:$E$2984,"89",데이터_품목별!$B$3:$B$2984,2025,데이터_품목별!$C$3:$C$2984,5)</f>
        <v>2123018</v>
      </c>
      <c r="D232" s="25" t="n">
        <f aca="false">SUMIFS(데이터_품목별!$H$3:$H$2984,데이터_품목별!$E$3:$E$2984,"89",데이터_품목별!$B$3:$B$2984,2026,데이터_품목별!$C$3:$C$2984,5)</f>
        <v>2457847</v>
      </c>
      <c r="E232" s="36" t="n">
        <f aca="false">IFERROR(C232/B232-1,"")</f>
        <v>0.0586659525843347</v>
      </c>
      <c r="F232" s="36" t="n">
        <f aca="false">IFERROR(D232/C232-1,"")</f>
        <v>0.157713688720491</v>
      </c>
      <c r="G232" s="36" t="n">
        <f aca="false">IFERROR(D232/B232-1,"")</f>
        <v>0.225632065089203</v>
      </c>
      <c r="H232" s="34" t="n">
        <f aca="false">IFERROR(C232/SUM(C$228:C$239),"")</f>
        <v>0.0710798997591071</v>
      </c>
      <c r="I232" s="34" t="n">
        <f aca="false">IFERROR(D232/SUM(D$228:D$239),"")</f>
        <v>0.131550110010141</v>
      </c>
    </row>
    <row r="233" customFormat="false" ht="15" hidden="false" customHeight="true" outlineLevel="0" collapsed="false">
      <c r="A233" s="33" t="s">
        <v>19769</v>
      </c>
      <c r="B233" s="25" t="n">
        <f aca="false">SUMIFS(데이터_품목별!$H$3:$H$2984,데이터_품목별!$E$3:$E$2984,"89",데이터_품목별!$B$3:$B$2984,2024,데이터_품목별!$C$3:$C$2984,6)</f>
        <v>1379609</v>
      </c>
      <c r="C233" s="25" t="n">
        <f aca="false">SUMIFS(데이터_품목별!$H$3:$H$2984,데이터_품목별!$E$3:$E$2984,"89",데이터_품목별!$B$3:$B$2984,2025,데이터_품목별!$C$3:$C$2984,6)</f>
        <v>2293326</v>
      </c>
      <c r="D233" s="25" t="n">
        <f aca="false">SUMIFS(데이터_품목별!$H$3:$H$2984,데이터_품목별!$E$3:$E$2984,"89",데이터_품목별!$B$3:$B$2984,2026,데이터_품목별!$C$3:$C$2984,6)</f>
        <v>2662952</v>
      </c>
      <c r="E233" s="36" t="n">
        <f aca="false">IFERROR(C233/B233-1,"")</f>
        <v>0.662301420184994</v>
      </c>
      <c r="F233" s="36" t="n">
        <f aca="false">IFERROR(D233/C233-1,"")</f>
        <v>0.161174643291011</v>
      </c>
      <c r="G233" s="36" t="n">
        <f aca="false">IFERROR(D233/B233-1,"")</f>
        <v>0.930222258625451</v>
      </c>
      <c r="H233" s="34" t="n">
        <f aca="false">IFERROR(C233/SUM(C$228:C$239),"")</f>
        <v>0.0767819124449035</v>
      </c>
      <c r="I233" s="34" t="n">
        <f aca="false">IFERROR(D233/SUM(D$228:D$239),"")</f>
        <v>0.142527841867995</v>
      </c>
    </row>
    <row r="234" customFormat="false" ht="15" hidden="false" customHeight="true" outlineLevel="0" collapsed="false">
      <c r="A234" s="33" t="s">
        <v>19770</v>
      </c>
      <c r="B234" s="25" t="n">
        <f aca="false">SUMIFS(데이터_품목별!$H$3:$H$2984,데이터_품목별!$E$3:$E$2984,"89",데이터_품목별!$B$3:$B$2984,2024,데이터_품목별!$C$3:$C$2984,7)</f>
        <v>947649</v>
      </c>
      <c r="C234" s="25" t="n">
        <f aca="false">SUMIFS(데이터_품목별!$H$3:$H$2984,데이터_품목별!$E$3:$E$2984,"89",데이터_품목별!$B$3:$B$2984,2025,데이터_품목별!$C$3:$C$2984,7)</f>
        <v>2062824</v>
      </c>
      <c r="D234" s="25" t="n">
        <f aca="false">SUMIFS(데이터_품목별!$H$3:$H$2984,데이터_품목별!$E$3:$E$2984,"89",데이터_품목별!$B$3:$B$2984,2026,데이터_품목별!$C$3:$C$2984,7)</f>
        <v>3066991</v>
      </c>
      <c r="E234" s="36" t="n">
        <f aca="false">IFERROR(C234/B234-1,"")</f>
        <v>1.17678064346609</v>
      </c>
      <c r="F234" s="36" t="n">
        <f aca="false">IFERROR(D234/C234-1,"")</f>
        <v>0.486792377827677</v>
      </c>
      <c r="G234" s="36" t="n">
        <f aca="false">IFERROR(D234/B234-1,"")</f>
        <v>2.23642086890821</v>
      </c>
      <c r="H234" s="34" t="n">
        <f aca="false">IFERROR(C234/SUM(C$228:C$239),"")</f>
        <v>0.0690645689959673</v>
      </c>
      <c r="I234" s="34" t="n">
        <f aca="false">IFERROR(D234/SUM(D$228:D$239),"")</f>
        <v>0.164153018251386</v>
      </c>
    </row>
    <row r="235" customFormat="false" ht="15" hidden="false" customHeight="true" outlineLevel="0" collapsed="false">
      <c r="A235" s="33" t="s">
        <v>19771</v>
      </c>
      <c r="B235" s="25" t="n">
        <f aca="false">SUMIFS(데이터_품목별!$H$3:$H$2984,데이터_품목별!$E$3:$E$2984,"89",데이터_품목별!$B$3:$B$2984,2024,데이터_품목별!$C$3:$C$2984,8)</f>
        <v>2697894</v>
      </c>
      <c r="C235" s="25" t="n">
        <f aca="false">SUMIFS(데이터_품목별!$H$3:$H$2984,데이터_품목별!$E$3:$E$2984,"89",데이터_품목별!$B$3:$B$2984,2025,데이터_품목별!$C$3:$C$2984,8)</f>
        <v>2941546</v>
      </c>
      <c r="D235" s="25"/>
      <c r="E235" s="36" t="n">
        <f aca="false">IFERROR(C235/B235-1,"")</f>
        <v>0.0903119247828121</v>
      </c>
      <c r="F235" s="36" t="n">
        <f aca="false">IFERROR(D235/C235-1,"")</f>
        <v>-1</v>
      </c>
      <c r="G235" s="36" t="n">
        <f aca="false">IFERROR(D235/B235-1,"")</f>
        <v>-1</v>
      </c>
      <c r="H235" s="34" t="n">
        <f aca="false">IFERROR(C235/SUM(C$228:C$239),"")</f>
        <v>0.0984847018804375</v>
      </c>
      <c r="I235" s="34" t="n">
        <f aca="false">IFERROR(D235/SUM(D$228:D$239),"")</f>
        <v>0</v>
      </c>
    </row>
    <row r="236" customFormat="false" ht="15" hidden="false" customHeight="true" outlineLevel="0" collapsed="false">
      <c r="A236" s="33" t="s">
        <v>19772</v>
      </c>
      <c r="B236" s="25" t="n">
        <f aca="false">SUMIFS(데이터_품목별!$H$3:$H$2984,데이터_품목별!$E$3:$E$2984,"89",데이터_품목별!$B$3:$B$2984,2024,데이터_품목별!$C$3:$C$2984,9)</f>
        <v>2201612</v>
      </c>
      <c r="C236" s="25" t="n">
        <f aca="false">SUMIFS(데이터_품목별!$H$3:$H$2984,데이터_품목별!$E$3:$E$2984,"89",데이터_품목별!$B$3:$B$2984,2025,데이터_품목별!$C$3:$C$2984,9)</f>
        <v>2724561</v>
      </c>
      <c r="D236" s="25"/>
      <c r="E236" s="36" t="n">
        <f aca="false">IFERROR(C236/B236-1,"")</f>
        <v>0.237530046166173</v>
      </c>
      <c r="F236" s="36" t="n">
        <f aca="false">IFERROR(D236/C236-1,"")</f>
        <v>-1</v>
      </c>
      <c r="G236" s="36" t="n">
        <f aca="false">IFERROR(D236/B236-1,"")</f>
        <v>-1</v>
      </c>
      <c r="H236" s="34" t="n">
        <f aca="false">IFERROR(C236/SUM(C$228:C$239),"")</f>
        <v>0.0912199155954272</v>
      </c>
      <c r="I236" s="34" t="n">
        <f aca="false">IFERROR(D236/SUM(D$228:D$239),"")</f>
        <v>0</v>
      </c>
    </row>
    <row r="237" customFormat="false" ht="15" hidden="false" customHeight="true" outlineLevel="0" collapsed="false">
      <c r="A237" s="33" t="s">
        <v>19773</v>
      </c>
      <c r="B237" s="25" t="n">
        <f aca="false">SUMIFS(데이터_품목별!$H$3:$H$2984,데이터_품목별!$E$3:$E$2984,"89",데이터_품목별!$B$3:$B$2984,2024,데이터_품목별!$C$3:$C$2984,10)</f>
        <v>1917169</v>
      </c>
      <c r="C237" s="25" t="n">
        <f aca="false">SUMIFS(데이터_품목별!$H$3:$H$2984,데이터_품목별!$E$3:$E$2984,"89",데이터_품목별!$B$3:$B$2984,2025,데이터_품목별!$C$3:$C$2984,10)</f>
        <v>4582113</v>
      </c>
      <c r="D237" s="25"/>
      <c r="E237" s="36" t="n">
        <f aca="false">IFERROR(C237/B237-1,"")</f>
        <v>1.39004125353581</v>
      </c>
      <c r="F237" s="36" t="n">
        <f aca="false">IFERROR(D237/C237-1,"")</f>
        <v>-1</v>
      </c>
      <c r="G237" s="36" t="n">
        <f aca="false">IFERROR(D237/B237-1,"")</f>
        <v>-1</v>
      </c>
      <c r="H237" s="34" t="n">
        <f aca="false">IFERROR(C237/SUM(C$228:C$239),"")</f>
        <v>0.153411856482094</v>
      </c>
      <c r="I237" s="34" t="n">
        <f aca="false">IFERROR(D237/SUM(D$228:D$239),"")</f>
        <v>0</v>
      </c>
    </row>
    <row r="238" customFormat="false" ht="15" hidden="false" customHeight="true" outlineLevel="0" collapsed="false">
      <c r="A238" s="33" t="s">
        <v>19774</v>
      </c>
      <c r="B238" s="25" t="n">
        <f aca="false">SUMIFS(데이터_품목별!$H$3:$H$2984,데이터_품목별!$E$3:$E$2984,"89",데이터_품목별!$B$3:$B$2984,2024,데이터_품목별!$C$3:$C$2984,11)</f>
        <v>2397600</v>
      </c>
      <c r="C238" s="25" t="n">
        <f aca="false">SUMIFS(데이터_품목별!$H$3:$H$2984,데이터_품목별!$E$3:$E$2984,"89",데이터_품목별!$B$3:$B$2984,2025,데이터_품목별!$C$3:$C$2984,11)</f>
        <v>1682410</v>
      </c>
      <c r="D238" s="25"/>
      <c r="E238" s="36" t="n">
        <f aca="false">IFERROR(C238/B238-1,"")</f>
        <v>-0.298294127460794</v>
      </c>
      <c r="F238" s="36" t="n">
        <f aca="false">IFERROR(D238/C238-1,"")</f>
        <v>-1</v>
      </c>
      <c r="G238" s="36" t="n">
        <f aca="false">IFERROR(D238/B238-1,"")</f>
        <v>-1</v>
      </c>
      <c r="H238" s="34" t="n">
        <f aca="false">IFERROR(C238/SUM(C$228:C$239),"")</f>
        <v>0.0563280830184763</v>
      </c>
      <c r="I238" s="34" t="n">
        <f aca="false">IFERROR(D238/SUM(D$228:D$239),"")</f>
        <v>0</v>
      </c>
    </row>
    <row r="239" customFormat="false" ht="15" hidden="false" customHeight="true" outlineLevel="0" collapsed="false">
      <c r="A239" s="33" t="s">
        <v>19775</v>
      </c>
      <c r="B239" s="25" t="n">
        <f aca="false">SUMIFS(데이터_품목별!$H$3:$H$2984,데이터_품목별!$E$3:$E$2984,"89",데이터_품목별!$B$3:$B$2984,2024,데이터_품목별!$C$3:$C$2984,12)</f>
        <v>2942884</v>
      </c>
      <c r="C239" s="25" t="n">
        <f aca="false">SUMIFS(데이터_품목별!$H$3:$H$2984,데이터_품목별!$E$3:$E$2984,"89",데이터_품목별!$B$3:$B$2984,2025,데이터_품목별!$C$3:$C$2984,12)</f>
        <v>2838894</v>
      </c>
      <c r="D239" s="25"/>
      <c r="E239" s="36" t="n">
        <f aca="false">IFERROR(C239/B239-1,"")</f>
        <v>-0.0353360852823285</v>
      </c>
      <c r="F239" s="36" t="n">
        <f aca="false">IFERROR(D239/C239-1,"")</f>
        <v>-1</v>
      </c>
      <c r="G239" s="36" t="n">
        <f aca="false">IFERROR(D239/B239-1,"")</f>
        <v>-1</v>
      </c>
      <c r="H239" s="34" t="n">
        <f aca="false">IFERROR(C239/SUM(C$228:C$239),"")</f>
        <v>0.0950478521363129</v>
      </c>
      <c r="I239" s="34" t="n">
        <f aca="false">IFERROR(D239/SUM(D$228:D$239),"")</f>
        <v>0</v>
      </c>
    </row>
    <row r="240" customFormat="false" ht="15" hidden="false" customHeight="true" outlineLevel="0" collapsed="false">
      <c r="A240" s="6" t="s">
        <v>19776</v>
      </c>
      <c r="B240" s="30" t="n">
        <f aca="false">SUM(B228:B239)</f>
        <v>24029423</v>
      </c>
      <c r="C240" s="30" t="n">
        <f aca="false">SUM(C228:C239)</f>
        <v>29868050</v>
      </c>
      <c r="D240" s="30" t="n">
        <f aca="false">SUM(D228:D239)</f>
        <v>18683732</v>
      </c>
      <c r="E240" s="41" t="n">
        <f aca="false">IFERROR(C240/B240-1,"")</f>
        <v>0.242978243797198</v>
      </c>
      <c r="F240" s="36"/>
    </row>
    <row r="241" customFormat="false" ht="15" hidden="false" customHeight="true" outlineLevel="0" collapsed="false">
      <c r="A241" s="48" t="s">
        <v>19777</v>
      </c>
      <c r="B241" s="30" t="n">
        <f aca="false">SUM(B228:B234)</f>
        <v>11872264</v>
      </c>
      <c r="C241" s="30" t="n">
        <f aca="false">SUM(C228:C234)</f>
        <v>15098526</v>
      </c>
      <c r="D241" s="30" t="n">
        <f aca="false">SUM(D228:D234)</f>
        <v>18683732</v>
      </c>
      <c r="E241" s="41" t="n">
        <f aca="false">IFERROR(C241/B241-1,"")</f>
        <v>0.271747831753068</v>
      </c>
      <c r="F241" s="41" t="n">
        <f aca="false">IFERROR(D241/C241-1,"")</f>
        <v>0.237454040215581</v>
      </c>
      <c r="G241" s="41" t="n">
        <f aca="false">IFERROR(D241/B241-1,"")</f>
        <v>0.573729492538239</v>
      </c>
    </row>
    <row r="243" customFormat="false" ht="14.25" hidden="false" customHeight="true" outlineLevel="0" collapsed="false">
      <c r="A243" s="4" t="s">
        <v>19791</v>
      </c>
      <c r="B243" s="4"/>
      <c r="C243" s="4"/>
      <c r="D243" s="4"/>
      <c r="E243" s="4"/>
      <c r="F243" s="4"/>
      <c r="G243" s="4"/>
      <c r="H243" s="4"/>
      <c r="I243" s="4"/>
    </row>
    <row r="244" customFormat="false" ht="15" hidden="false" customHeight="true" outlineLevel="0" collapsed="false">
      <c r="A244" s="5" t="s">
        <v>19654</v>
      </c>
      <c r="B244" s="50" t="s">
        <v>19756</v>
      </c>
      <c r="C244" s="51" t="s">
        <v>19757</v>
      </c>
      <c r="D244" s="52" t="s">
        <v>19758</v>
      </c>
      <c r="E244" s="44" t="s">
        <v>19759</v>
      </c>
      <c r="F244" s="44" t="s">
        <v>19760</v>
      </c>
      <c r="G244" s="44" t="s">
        <v>19761</v>
      </c>
      <c r="H244" s="44" t="s">
        <v>19762</v>
      </c>
      <c r="I244" s="44" t="s">
        <v>19763</v>
      </c>
    </row>
    <row r="245" customFormat="false" ht="15" hidden="false" customHeight="true" outlineLevel="0" collapsed="false">
      <c r="A245" s="33" t="s">
        <v>19764</v>
      </c>
      <c r="B245" s="25" t="n">
        <f aca="false">SUMIFS(데이터_성질별수출!$G$3:$G$653,데이터_성질별수출!$E$3:$E$653,"4. 중화학 공업품",데이터_성질별수출!$B$3:$B$653,2024,데이터_성질별수출!$C$3:$C$653,1)</f>
        <v>45513218</v>
      </c>
      <c r="C245" s="25" t="n">
        <f aca="false">SUMIFS(데이터_성질별수출!$G$3:$G$653,데이터_성질별수출!$E$3:$E$653,"4. 중화학 공업품",데이터_성질별수출!$B$3:$B$653,2025,데이터_성질별수출!$C$3:$C$653,1)</f>
        <v>41670482</v>
      </c>
      <c r="D245" s="25" t="n">
        <f aca="false">SUMIFS(데이터_성질별수출!$G$3:$G$653,데이터_성질별수출!$E$3:$E$653,"4. 중화학 공업품",데이터_성질별수출!$B$3:$B$653,2026,데이터_성질별수출!$C$3:$C$653,1)</f>
        <v>57089106</v>
      </c>
      <c r="E245" s="36" t="n">
        <f aca="false">IFERROR(C245/B245-1,"")</f>
        <v>-0.0844312085337495</v>
      </c>
      <c r="F245" s="36" t="n">
        <f aca="false">IFERROR(D245/C245-1,"")</f>
        <v>0.37001309464095</v>
      </c>
      <c r="G245" s="36" t="n">
        <f aca="false">IFERROR(D245/B245-1,"")</f>
        <v>0.254341233353352</v>
      </c>
      <c r="H245" s="34" t="n">
        <f aca="false">IFERROR(C245/SUM(C$245:C$256),"")</f>
        <v>0.06877851955515</v>
      </c>
      <c r="I245" s="34" t="n">
        <f aca="false">IFERROR(D245/SUM(D$245:D$256),"")</f>
        <v>0.110111748993034</v>
      </c>
    </row>
    <row r="246" customFormat="false" ht="15" hidden="false" customHeight="true" outlineLevel="0" collapsed="false">
      <c r="A246" s="33" t="s">
        <v>19765</v>
      </c>
      <c r="B246" s="25" t="n">
        <f aca="false">SUMIFS(데이터_성질별수출!$G$3:$G$653,데이터_성질별수출!$E$3:$E$653,"4. 중화학 공업품",데이터_성질별수출!$B$3:$B$653,2024,데이터_성질별수출!$C$3:$C$653,2)</f>
        <v>43464479</v>
      </c>
      <c r="C246" s="25" t="n">
        <f aca="false">SUMIFS(데이터_성질별수출!$G$3:$G$653,데이터_성질별수출!$E$3:$E$653,"4. 중화학 공업품",데이터_성질별수출!$B$3:$B$653,2025,데이터_성질별수출!$C$3:$C$653,2)</f>
        <v>43812695</v>
      </c>
      <c r="D246" s="25" t="n">
        <f aca="false">SUMIFS(데이터_성질별수출!$G$3:$G$653,데이터_성질별수출!$E$3:$E$653,"4. 중화학 공업품",데이터_성질별수출!$B$3:$B$653,2026,데이터_성질별수출!$C$3:$C$653,2)</f>
        <v>58704727</v>
      </c>
      <c r="E246" s="36" t="n">
        <f aca="false">IFERROR(C246/B246-1,"")</f>
        <v>0.00801150751168556</v>
      </c>
      <c r="F246" s="36" t="n">
        <f aca="false">IFERROR(D246/C246-1,"")</f>
        <v>0.33990221327403</v>
      </c>
      <c r="G246" s="36" t="n">
        <f aca="false">IFERROR(D246/B246-1,"")</f>
        <v>0.350636849920598</v>
      </c>
      <c r="H246" s="34" t="n">
        <f aca="false">IFERROR(C246/SUM(C$245:C$256),"")</f>
        <v>0.0723143135186515</v>
      </c>
      <c r="I246" s="34" t="n">
        <f aca="false">IFERROR(D246/SUM(D$245:D$256),"")</f>
        <v>0.113227910139783</v>
      </c>
    </row>
    <row r="247" customFormat="false" ht="15" hidden="false" customHeight="true" outlineLevel="0" collapsed="false">
      <c r="A247" s="33" t="s">
        <v>19766</v>
      </c>
      <c r="B247" s="25" t="n">
        <f aca="false">SUMIFS(데이터_성질별수출!$G$3:$G$653,데이터_성질별수출!$E$3:$E$653,"4. 중화학 공업품",데이터_성질별수출!$B$3:$B$653,2024,데이터_성질별수출!$C$3:$C$653,3)</f>
        <v>47391743</v>
      </c>
      <c r="C247" s="25" t="n">
        <f aca="false">SUMIFS(데이터_성질별수출!$G$3:$G$653,데이터_성질별수출!$E$3:$E$653,"4. 중화학 공업품",데이터_성질별수출!$B$3:$B$653,2025,데이터_성질별수출!$C$3:$C$653,3)</f>
        <v>50208489</v>
      </c>
      <c r="D247" s="25" t="n">
        <f aca="false">SUMIFS(데이터_성질별수출!$G$3:$G$653,데이터_성질별수출!$E$3:$E$653,"4. 중화학 공업품",데이터_성질별수출!$B$3:$B$653,2026,데이터_성질별수출!$C$3:$C$653,3)</f>
        <v>74771554</v>
      </c>
      <c r="E247" s="36" t="n">
        <f aca="false">IFERROR(C247/B247-1,"")</f>
        <v>0.0594353746389957</v>
      </c>
      <c r="F247" s="36" t="n">
        <f aca="false">IFERROR(D247/C247-1,"")</f>
        <v>0.489221354580099</v>
      </c>
      <c r="G247" s="36" t="n">
        <f aca="false">IFERROR(D247/B247-1,"")</f>
        <v>0.57773378370996</v>
      </c>
      <c r="H247" s="34" t="n">
        <f aca="false">IFERROR(C247/SUM(C$245:C$256),"")</f>
        <v>0.0828707847084907</v>
      </c>
      <c r="I247" s="34" t="n">
        <f aca="false">IFERROR(D247/SUM(D$245:D$256),"")</f>
        <v>0.144217122367743</v>
      </c>
    </row>
    <row r="248" customFormat="false" ht="15" hidden="false" customHeight="true" outlineLevel="0" collapsed="false">
      <c r="A248" s="33" t="s">
        <v>19767</v>
      </c>
      <c r="B248" s="25" t="n">
        <f aca="false">SUMIFS(데이터_성질별수출!$G$3:$G$653,데이터_성질별수출!$E$3:$E$653,"4. 중화학 공업품",데이터_성질별수출!$B$3:$B$653,2024,데이터_성질별수출!$C$3:$C$653,4)</f>
        <v>46884877</v>
      </c>
      <c r="C248" s="25" t="n">
        <f aca="false">SUMIFS(데이터_성질별수출!$G$3:$G$653,데이터_성질별수출!$E$3:$E$653,"4. 중화학 공업품",데이터_성질별수출!$B$3:$B$653,2025,데이터_성질별수출!$C$3:$C$653,4)</f>
        <v>49234895</v>
      </c>
      <c r="D248" s="25" t="n">
        <f aca="false">SUMIFS(데이터_성질별수출!$G$3:$G$653,데이터_성질별수출!$E$3:$E$653,"4. 중화학 공업품",데이터_성질별수출!$B$3:$B$653,2026,데이터_성질별수출!$C$3:$C$653,4)</f>
        <v>74317921</v>
      </c>
      <c r="E248" s="36" t="n">
        <f aca="false">IFERROR(C248/B248-1,"")</f>
        <v>0.0501231559165656</v>
      </c>
      <c r="F248" s="36" t="n">
        <f aca="false">IFERROR(D248/C248-1,"")</f>
        <v>0.509456270801431</v>
      </c>
      <c r="G248" s="36" t="n">
        <f aca="false">IFERROR(D248/B248-1,"")</f>
        <v>0.585114982812048</v>
      </c>
      <c r="H248" s="34" t="n">
        <f aca="false">IFERROR(C248/SUM(C$245:C$256),"")</f>
        <v>0.0812638353584021</v>
      </c>
      <c r="I248" s="34" t="n">
        <f aca="false">IFERROR(D248/SUM(D$245:D$256),"")</f>
        <v>0.143342168693903</v>
      </c>
    </row>
    <row r="249" customFormat="false" ht="15" hidden="false" customHeight="true" outlineLevel="0" collapsed="false">
      <c r="A249" s="33" t="s">
        <v>19768</v>
      </c>
      <c r="B249" s="25" t="n">
        <f aca="false">SUMIFS(데이터_성질별수출!$G$3:$G$653,데이터_성질별수출!$E$3:$E$653,"4. 중화학 공업품",데이터_성질별수출!$B$3:$B$653,2024,데이터_성질별수출!$C$3:$C$653,5)</f>
        <v>48445875</v>
      </c>
      <c r="C249" s="25" t="n">
        <f aca="false">SUMIFS(데이터_성질별수출!$G$3:$G$653,데이터_성질별수출!$E$3:$E$653,"4. 중화학 공업품",데이터_성질별수출!$B$3:$B$653,2025,데이터_성질별수출!$C$3:$C$653,5)</f>
        <v>48790323</v>
      </c>
      <c r="D249" s="25" t="n">
        <f aca="false">SUMIFS(데이터_성질별수출!$G$3:$G$653,데이터_성질별수출!$E$3:$E$653,"4. 중화학 공업품",데이터_성질별수출!$B$3:$B$653,2026,데이터_성질별수출!$C$3:$C$653,5)</f>
        <v>76244252</v>
      </c>
      <c r="E249" s="36" t="n">
        <f aca="false">IFERROR(C249/B249-1,"")</f>
        <v>0.00710995518194268</v>
      </c>
      <c r="F249" s="36" t="n">
        <f aca="false">IFERROR(D249/C249-1,"")</f>
        <v>0.562692093676035</v>
      </c>
      <c r="G249" s="36" t="n">
        <f aca="false">IFERROR(D249/B249-1,"")</f>
        <v>0.573802764425248</v>
      </c>
      <c r="H249" s="34" t="n">
        <f aca="false">IFERROR(C249/SUM(C$245:C$256),"")</f>
        <v>0.0805300544533559</v>
      </c>
      <c r="I249" s="34" t="n">
        <f aca="false">IFERROR(D249/SUM(D$245:D$256),"")</f>
        <v>0.14705761793477</v>
      </c>
    </row>
    <row r="250" customFormat="false" ht="15" hidden="false" customHeight="true" outlineLevel="0" collapsed="false">
      <c r="A250" s="33" t="s">
        <v>19769</v>
      </c>
      <c r="B250" s="25" t="n">
        <f aca="false">SUMIFS(데이터_성질별수출!$G$3:$G$653,데이터_성질별수출!$E$3:$E$653,"4. 중화학 공업품",데이터_성질별수출!$B$3:$B$653,2024,데이터_성질별수출!$C$3:$C$653,6)</f>
        <v>48971465</v>
      </c>
      <c r="C250" s="25" t="n">
        <f aca="false">SUMIFS(데이터_성질별수출!$G$3:$G$653,데이터_성질별수출!$E$3:$E$653,"4. 중화학 공업품",데이터_성질별수출!$B$3:$B$653,2025,데이터_성질별수출!$C$3:$C$653,6)</f>
        <v>51243762</v>
      </c>
      <c r="D250" s="25" t="n">
        <f aca="false">SUMIFS(데이터_성질별수출!$G$3:$G$653,데이터_성질별수출!$E$3:$E$653,"4. 중화학 공업품",데이터_성질별수출!$B$3:$B$653,2026,데이터_성질별수출!$C$3:$C$653,6)</f>
        <v>90134786</v>
      </c>
      <c r="E250" s="36" t="n">
        <f aca="false">IFERROR(C250/B250-1,"")</f>
        <v>0.0464004293112326</v>
      </c>
      <c r="F250" s="36" t="n">
        <f aca="false">IFERROR(D250/C250-1,"")</f>
        <v>0.758941624933782</v>
      </c>
      <c r="G250" s="36" t="n">
        <f aca="false">IFERROR(D250/B250-1,"")</f>
        <v>0.840557271464107</v>
      </c>
      <c r="H250" s="34" t="n">
        <f aca="false">IFERROR(C250/SUM(C$245:C$256),"")</f>
        <v>0.0845795373040431</v>
      </c>
      <c r="I250" s="34" t="n">
        <f aca="false">IFERROR(D250/SUM(D$245:D$256),"")</f>
        <v>0.173849261741335</v>
      </c>
    </row>
    <row r="251" customFormat="false" ht="15" hidden="false" customHeight="true" outlineLevel="0" collapsed="false">
      <c r="A251" s="33" t="s">
        <v>19770</v>
      </c>
      <c r="B251" s="25" t="n">
        <f aca="false">SUMIFS(데이터_성질별수출!$G$3:$G$653,데이터_성질별수출!$E$3:$E$653,"4. 중화학 공업품",데이터_성질별수출!$B$3:$B$653,2024,데이터_성질별수출!$C$3:$C$653,7)</f>
        <v>47898408</v>
      </c>
      <c r="C251" s="25" t="n">
        <f aca="false">SUMIFS(데이터_성질별수출!$G$3:$G$653,데이터_성질별수출!$E$3:$E$653,"4. 중화학 공업품",데이터_성질별수출!$B$3:$B$653,2025,데이터_성질별수출!$C$3:$C$653,7)</f>
        <v>51374607</v>
      </c>
      <c r="D251" s="25" t="n">
        <f aca="false">SUMIFS(데이터_성질별수출!$G$3:$G$653,데이터_성질별수출!$E$3:$E$653,"4. 중화학 공업품",데이터_성질별수출!$B$3:$B$653,2026,데이터_성질별수출!$C$3:$C$653,7)</f>
        <v>87202818</v>
      </c>
      <c r="E251" s="36" t="n">
        <f aca="false">IFERROR(C251/B251-1,"")</f>
        <v>0.0725744162519975</v>
      </c>
      <c r="F251" s="36" t="n">
        <f aca="false">IFERROR(D251/C251-1,"")</f>
        <v>0.697391436979752</v>
      </c>
      <c r="G251" s="36" t="n">
        <f aca="false">IFERROR(D251/B251-1,"")</f>
        <v>0.820578629669696</v>
      </c>
      <c r="H251" s="34" t="n">
        <f aca="false">IFERROR(C251/SUM(C$245:C$256),"")</f>
        <v>0.084795501338037</v>
      </c>
      <c r="I251" s="34" t="n">
        <f aca="false">IFERROR(D251/SUM(D$245:D$256),"")</f>
        <v>0.168194170129432</v>
      </c>
    </row>
    <row r="252" customFormat="false" ht="15" hidden="false" customHeight="true" outlineLevel="0" collapsed="false">
      <c r="A252" s="33" t="s">
        <v>19771</v>
      </c>
      <c r="B252" s="25" t="n">
        <f aca="false">SUMIFS(데이터_성질별수출!$G$3:$G$653,데이터_성질별수출!$E$3:$E$653,"4. 중화학 공업품",데이터_성질별수출!$B$3:$B$653,2024,데이터_성질별수출!$C$3:$C$653,8)</f>
        <v>48479858</v>
      </c>
      <c r="C252" s="25" t="n">
        <f aca="false">SUMIFS(데이터_성질별수출!$G$3:$G$653,데이터_성질별수출!$E$3:$E$653,"4. 중화학 공업품",데이터_성질별수출!$B$3:$B$653,2025,데이터_성질별수출!$C$3:$C$653,8)</f>
        <v>49624221</v>
      </c>
      <c r="D252" s="25"/>
      <c r="E252" s="36" t="n">
        <f aca="false">IFERROR(C252/B252-1,"")</f>
        <v>0.0236049164995491</v>
      </c>
      <c r="F252" s="36" t="n">
        <f aca="false">IFERROR(D252/C252-1,"")</f>
        <v>-1</v>
      </c>
      <c r="G252" s="36" t="n">
        <f aca="false">IFERROR(D252/B252-1,"")</f>
        <v>-1</v>
      </c>
      <c r="H252" s="34" t="n">
        <f aca="false">IFERROR(C252/SUM(C$245:C$256),"")</f>
        <v>0.0819064308989175</v>
      </c>
      <c r="I252" s="34" t="n">
        <f aca="false">IFERROR(D252/SUM(D$245:D$256),"")</f>
        <v>0</v>
      </c>
    </row>
    <row r="253" customFormat="false" ht="15" hidden="false" customHeight="true" outlineLevel="0" collapsed="false">
      <c r="A253" s="33" t="s">
        <v>19772</v>
      </c>
      <c r="B253" s="25" t="n">
        <f aca="false">SUMIFS(데이터_성질별수출!$G$3:$G$653,데이터_성질별수출!$E$3:$E$653,"4. 중화학 공업품",데이터_성질별수출!$B$3:$B$653,2024,데이터_성질별수출!$C$3:$C$653,9)</f>
        <v>49962689</v>
      </c>
      <c r="C253" s="25" t="n">
        <f aca="false">SUMIFS(데이터_성질별수출!$G$3:$G$653,데이터_성질별수출!$E$3:$E$653,"4. 중화학 공업품",데이터_성질별수출!$B$3:$B$653,2025,데이터_성질별수출!$C$3:$C$653,9)</f>
        <v>56633281</v>
      </c>
      <c r="D253" s="25"/>
      <c r="E253" s="36" t="n">
        <f aca="false">IFERROR(C253/B253-1,"")</f>
        <v>0.133511468928344</v>
      </c>
      <c r="F253" s="36" t="n">
        <f aca="false">IFERROR(D253/C253-1,"")</f>
        <v>-1</v>
      </c>
      <c r="G253" s="36" t="n">
        <f aca="false">IFERROR(D253/B253-1,"")</f>
        <v>-1</v>
      </c>
      <c r="H253" s="34" t="n">
        <f aca="false">IFERROR(C253/SUM(C$245:C$256),"")</f>
        <v>0.0934751180639285</v>
      </c>
      <c r="I253" s="34" t="n">
        <f aca="false">IFERROR(D253/SUM(D$245:D$256),"")</f>
        <v>0</v>
      </c>
    </row>
    <row r="254" customFormat="false" ht="15" hidden="false" customHeight="true" outlineLevel="0" collapsed="false">
      <c r="A254" s="33" t="s">
        <v>19773</v>
      </c>
      <c r="B254" s="25" t="n">
        <f aca="false">SUMIFS(데이터_성질별수출!$G$3:$G$653,데이터_성질별수출!$E$3:$E$653,"4. 중화학 공업품",데이터_성질별수출!$B$3:$B$653,2024,데이터_성질별수출!$C$3:$C$653,10)</f>
        <v>49371296</v>
      </c>
      <c r="C254" s="25" t="n">
        <f aca="false">SUMIFS(데이터_성질별수출!$G$3:$G$653,데이터_성질별수출!$E$3:$E$653,"4. 중화학 공업품",데이터_성질별수출!$B$3:$B$653,2025,데이터_성질별수출!$C$3:$C$653,10)</f>
        <v>50942462</v>
      </c>
      <c r="D254" s="25"/>
      <c r="E254" s="36" t="n">
        <f aca="false">IFERROR(C254/B254-1,"")</f>
        <v>0.0318234708685792</v>
      </c>
      <c r="F254" s="36" t="n">
        <f aca="false">IFERROR(D254/C254-1,"")</f>
        <v>-1</v>
      </c>
      <c r="G254" s="36" t="n">
        <f aca="false">IFERROR(D254/B254-1,"")</f>
        <v>-1</v>
      </c>
      <c r="H254" s="34" t="n">
        <f aca="false">IFERROR(C254/SUM(C$245:C$256),"")</f>
        <v>0.0840822316107236</v>
      </c>
      <c r="I254" s="34" t="n">
        <f aca="false">IFERROR(D254/SUM(D$245:D$256),"")</f>
        <v>0</v>
      </c>
    </row>
    <row r="255" customFormat="false" ht="15" hidden="false" customHeight="true" outlineLevel="0" collapsed="false">
      <c r="A255" s="33" t="s">
        <v>19774</v>
      </c>
      <c r="B255" s="25" t="n">
        <f aca="false">SUMIFS(데이터_성질별수출!$G$3:$G$653,데이터_성질별수출!$E$3:$E$653,"4. 중화학 공업품",데이터_성질별수출!$B$3:$B$653,2024,데이터_성질별수출!$C$3:$C$653,11)</f>
        <v>47958418</v>
      </c>
      <c r="C255" s="25" t="n">
        <f aca="false">SUMIFS(데이터_성질별수출!$G$3:$G$653,데이터_성질별수출!$E$3:$E$653,"4. 중화학 공업품",데이터_성질별수출!$B$3:$B$653,2025,데이터_성질별수출!$C$3:$C$653,11)</f>
        <v>52323214</v>
      </c>
      <c r="D255" s="25"/>
      <c r="E255" s="36" t="n">
        <f aca="false">IFERROR(C255/B255-1,"")</f>
        <v>0.0910120930177472</v>
      </c>
      <c r="F255" s="36" t="n">
        <f aca="false">IFERROR(D255/C255-1,"")</f>
        <v>-1</v>
      </c>
      <c r="G255" s="36" t="n">
        <f aca="false">IFERROR(D255/B255-1,"")</f>
        <v>-1</v>
      </c>
      <c r="H255" s="34" t="n">
        <f aca="false">IFERROR(C255/SUM(C$245:C$256),"")</f>
        <v>0.0863612088117267</v>
      </c>
      <c r="I255" s="34" t="n">
        <f aca="false">IFERROR(D255/SUM(D$245:D$256),"")</f>
        <v>0</v>
      </c>
    </row>
    <row r="256" customFormat="false" ht="15" hidden="false" customHeight="true" outlineLevel="0" collapsed="false">
      <c r="A256" s="33" t="s">
        <v>19775</v>
      </c>
      <c r="B256" s="25" t="n">
        <f aca="false">SUMIFS(데이터_성질별수출!$G$3:$G$653,데이터_성질별수출!$E$3:$E$653,"4. 중화학 공업품",데이터_성질별수출!$B$3:$B$653,2024,데이터_성질별수출!$C$3:$C$653,12)</f>
        <v>52570544</v>
      </c>
      <c r="C256" s="25" t="n">
        <f aca="false">SUMIFS(데이터_성질별수출!$G$3:$G$653,데이터_성질별수출!$E$3:$E$653,"4. 중화학 공업품",데이터_성질별수출!$B$3:$B$653,2025,데이터_성질별수출!$C$3:$C$653,12)</f>
        <v>60006340</v>
      </c>
      <c r="D256" s="25"/>
      <c r="E256" s="36" t="n">
        <f aca="false">IFERROR(C256/B256-1,"")</f>
        <v>0.141444151690726</v>
      </c>
      <c r="F256" s="36" t="n">
        <f aca="false">IFERROR(D256/C256-1,"")</f>
        <v>-1</v>
      </c>
      <c r="G256" s="36" t="n">
        <f aca="false">IFERROR(D256/B256-1,"")</f>
        <v>-1</v>
      </c>
      <c r="H256" s="34" t="n">
        <f aca="false">IFERROR(C256/SUM(C$245:C$256),"")</f>
        <v>0.0990424643785734</v>
      </c>
      <c r="I256" s="34" t="n">
        <f aca="false">IFERROR(D256/SUM(D$245:D$256),"")</f>
        <v>0</v>
      </c>
    </row>
    <row r="257" customFormat="false" ht="15" hidden="false" customHeight="true" outlineLevel="0" collapsed="false">
      <c r="A257" s="6" t="s">
        <v>19776</v>
      </c>
      <c r="B257" s="30" t="n">
        <f aca="false">SUM(B245:B256)</f>
        <v>576912870</v>
      </c>
      <c r="C257" s="30" t="n">
        <f aca="false">SUM(C245:C256)</f>
        <v>605864771</v>
      </c>
      <c r="D257" s="30" t="n">
        <f aca="false">SUM(D245:D256)</f>
        <v>518465164</v>
      </c>
      <c r="E257" s="41" t="n">
        <f aca="false">IFERROR(C257/B257-1,"")</f>
        <v>0.050184182925231</v>
      </c>
      <c r="F257" s="36"/>
    </row>
    <row r="258" customFormat="false" ht="15" hidden="false" customHeight="true" outlineLevel="0" collapsed="false">
      <c r="A258" s="48" t="s">
        <v>19777</v>
      </c>
      <c r="B258" s="30" t="n">
        <f aca="false">SUM(B245:B251)</f>
        <v>328570065</v>
      </c>
      <c r="C258" s="30" t="n">
        <f aca="false">SUM(C245:C251)</f>
        <v>336335253</v>
      </c>
      <c r="D258" s="30" t="n">
        <f aca="false">SUM(D245:D251)</f>
        <v>518465164</v>
      </c>
      <c r="E258" s="41" t="n">
        <f aca="false">IFERROR(C258/B258-1,"")</f>
        <v>0.0236332789476728</v>
      </c>
      <c r="F258" s="41" t="n">
        <f aca="false">IFERROR(D258/C258-1,"")</f>
        <v>0.541512997449601</v>
      </c>
      <c r="G258" s="41" t="n">
        <f aca="false">IFERROR(D258/B258-1,"")</f>
        <v>0.577944004119791</v>
      </c>
    </row>
    <row r="260" customFormat="false" ht="14.25" hidden="false" customHeight="true" outlineLevel="0" collapsed="false">
      <c r="A260" s="4" t="s">
        <v>19792</v>
      </c>
      <c r="B260" s="4"/>
      <c r="C260" s="4"/>
      <c r="D260" s="4"/>
      <c r="E260" s="4"/>
      <c r="F260" s="4"/>
      <c r="G260" s="4"/>
      <c r="H260" s="4"/>
      <c r="I260" s="4"/>
    </row>
    <row r="261" customFormat="false" ht="15" hidden="false" customHeight="true" outlineLevel="0" collapsed="false">
      <c r="A261" s="5" t="s">
        <v>19654</v>
      </c>
      <c r="B261" s="50" t="s">
        <v>19756</v>
      </c>
      <c r="C261" s="51" t="s">
        <v>19757</v>
      </c>
      <c r="D261" s="52" t="s">
        <v>19758</v>
      </c>
      <c r="E261" s="44" t="s">
        <v>19759</v>
      </c>
      <c r="F261" s="44" t="s">
        <v>19760</v>
      </c>
      <c r="G261" s="44" t="s">
        <v>19761</v>
      </c>
      <c r="H261" s="44" t="s">
        <v>19762</v>
      </c>
      <c r="I261" s="44" t="s">
        <v>19763</v>
      </c>
    </row>
    <row r="262" customFormat="false" ht="15" hidden="false" customHeight="true" outlineLevel="0" collapsed="false">
      <c r="A262" s="33" t="s">
        <v>19764</v>
      </c>
      <c r="B262" s="25" t="n">
        <f aca="false">SUMIFS(데이터_성질별수입!$G$3:$G$627,데이터_성질별수입!$E$3:$E$627,"2. 원자재",데이터_성질별수입!$B$3:$B$627,2024,데이터_성질별수입!$C$3:$C$627,1)</f>
        <v>28106321</v>
      </c>
      <c r="C262" s="25" t="n">
        <f aca="false">SUMIFS(데이터_성질별수입!$G$3:$G$627,데이터_성질별수입!$E$3:$E$627,"2. 원자재",데이터_성질별수입!$B$3:$B$627,2025,데이터_성질별수입!$C$3:$C$627,1)</f>
        <v>25519184</v>
      </c>
      <c r="D262" s="25" t="n">
        <f aca="false">SUMIFS(데이터_성질별수입!$G$3:$G$627,데이터_성질별수입!$E$3:$E$627,"2. 원자재",데이터_성질별수입!$B$3:$B$627,2026,데이터_성질별수입!$C$3:$C$627,1)</f>
        <v>25446510</v>
      </c>
      <c r="E262" s="36" t="n">
        <f aca="false">IFERROR(C262/B262-1,"")</f>
        <v>-0.0920482264469975</v>
      </c>
      <c r="F262" s="36" t="n">
        <f aca="false">IFERROR(D262/C262-1,"")</f>
        <v>-0.00284781833149528</v>
      </c>
      <c r="G262" s="36" t="n">
        <f aca="false">IFERROR(D262/B262-1,"")</f>
        <v>-0.0946339081518354</v>
      </c>
      <c r="H262" s="34" t="n">
        <f aca="false">IFERROR(C262/SUM(C$262:C$273),"")</f>
        <v>0.0893243460880386</v>
      </c>
      <c r="I262" s="34" t="n">
        <f aca="false">IFERROR(D262/SUM(D$262:D$273),"")</f>
        <v>0.133294138957942</v>
      </c>
    </row>
    <row r="263" customFormat="false" ht="15" hidden="false" customHeight="true" outlineLevel="0" collapsed="false">
      <c r="A263" s="33" t="s">
        <v>19765</v>
      </c>
      <c r="B263" s="25" t="n">
        <f aca="false">SUMIFS(데이터_성질별수입!$G$3:$G$627,데이터_성질별수입!$E$3:$E$627,"2. 원자재",데이터_성질별수입!$B$3:$B$627,2024,데이터_성질별수입!$C$3:$C$627,2)</f>
        <v>24864662</v>
      </c>
      <c r="C263" s="25" t="n">
        <f aca="false">SUMIFS(데이터_성질별수입!$G$3:$G$627,데이터_성질별수입!$E$3:$E$627,"2. 원자재",데이터_성질별수입!$B$3:$B$627,2025,데이터_성질별수입!$C$3:$C$627,2)</f>
        <v>22604209</v>
      </c>
      <c r="D263" s="25" t="n">
        <f aca="false">SUMIFS(데이터_성질별수입!$G$3:$G$627,데이터_성질별수입!$E$3:$E$627,"2. 원자재",데이터_성질별수입!$B$3:$B$627,2026,데이터_성질별수입!$C$3:$C$627,2)</f>
        <v>22237363</v>
      </c>
      <c r="E263" s="36" t="n">
        <f aca="false">IFERROR(C263/B263-1,"")</f>
        <v>-0.090910264535267</v>
      </c>
      <c r="F263" s="36" t="n">
        <f aca="false">IFERROR(D263/C263-1,"")</f>
        <v>-0.0162291014031944</v>
      </c>
      <c r="G263" s="36" t="n">
        <f aca="false">IFERROR(D263/B263-1,"")</f>
        <v>-0.105663974036727</v>
      </c>
      <c r="H263" s="34" t="n">
        <f aca="false">IFERROR(C263/SUM(C$262:C$273),"")</f>
        <v>0.0791211109164915</v>
      </c>
      <c r="I263" s="34" t="n">
        <f aca="false">IFERROR(D263/SUM(D$262:D$273),"")</f>
        <v>0.11648395610165</v>
      </c>
    </row>
    <row r="264" customFormat="false" ht="15" hidden="false" customHeight="true" outlineLevel="0" collapsed="false">
      <c r="A264" s="33" t="s">
        <v>19766</v>
      </c>
      <c r="B264" s="25" t="n">
        <f aca="false">SUMIFS(데이터_성질별수입!$G$3:$G$627,데이터_성질별수입!$E$3:$E$627,"2. 원자재",데이터_성질별수입!$B$3:$B$627,2024,데이터_성질별수입!$C$3:$C$627,3)</f>
        <v>25792586</v>
      </c>
      <c r="C264" s="25" t="n">
        <f aca="false">SUMIFS(데이터_성질별수입!$G$3:$G$627,데이터_성질별수입!$E$3:$E$627,"2. 원자재",데이터_성질별수입!$B$3:$B$627,2025,데이터_성질별수입!$C$3:$C$627,3)</f>
        <v>23875142</v>
      </c>
      <c r="D264" s="25" t="n">
        <f aca="false">SUMIFS(데이터_성질별수입!$G$3:$G$627,데이터_성질별수입!$E$3:$E$627,"2. 원자재",데이터_성질별수입!$B$3:$B$627,2026,데이터_성질별수입!$C$3:$C$627,3)</f>
        <v>26198227</v>
      </c>
      <c r="E264" s="36" t="n">
        <f aca="false">IFERROR(C264/B264-1,"")</f>
        <v>-0.0743408978068348</v>
      </c>
      <c r="F264" s="36" t="n">
        <f aca="false">IFERROR(D264/C264-1,"")</f>
        <v>0.0973014108146457</v>
      </c>
      <c r="G264" s="36" t="n">
        <f aca="false">IFERROR(D264/B264-1,"")</f>
        <v>0.0157270387699784</v>
      </c>
      <c r="H264" s="34" t="n">
        <f aca="false">IFERROR(C264/SUM(C$262:C$273),"")</f>
        <v>0.0835697351023867</v>
      </c>
      <c r="I264" s="34" t="n">
        <f aca="false">IFERROR(D264/SUM(D$262:D$273),"")</f>
        <v>0.137231789749939</v>
      </c>
    </row>
    <row r="265" customFormat="false" ht="15" hidden="false" customHeight="true" outlineLevel="0" collapsed="false">
      <c r="A265" s="33" t="s">
        <v>19767</v>
      </c>
      <c r="B265" s="25" t="n">
        <f aca="false">SUMIFS(데이터_성질별수입!$G$3:$G$627,데이터_성질별수입!$E$3:$E$627,"2. 원자재",데이터_성질별수입!$B$3:$B$627,2024,데이터_성질별수입!$C$3:$C$627,4)</f>
        <v>27567785</v>
      </c>
      <c r="C265" s="25" t="n">
        <f aca="false">SUMIFS(데이터_성질별수입!$G$3:$G$627,데이터_성질별수입!$E$3:$E$627,"2. 원자재",데이터_성질별수입!$B$3:$B$627,2025,데이터_성질별수입!$C$3:$C$627,4)</f>
        <v>24616883</v>
      </c>
      <c r="D265" s="25" t="n">
        <f aca="false">SUMIFS(데이터_성질별수입!$G$3:$G$627,데이터_성질별수입!$E$3:$E$627,"2. 원자재",데이터_성질별수입!$B$3:$B$627,2026,데이터_성질별수입!$C$3:$C$627,4)</f>
        <v>27622728</v>
      </c>
      <c r="E265" s="36" t="n">
        <f aca="false">IFERROR(C265/B265-1,"")</f>
        <v>-0.107041679264402</v>
      </c>
      <c r="F265" s="36" t="n">
        <f aca="false">IFERROR(D265/C265-1,"")</f>
        <v>0.122105020363463</v>
      </c>
      <c r="G265" s="36" t="n">
        <f aca="false">IFERROR(D265/B265-1,"")</f>
        <v>0.00199301467274204</v>
      </c>
      <c r="H265" s="34" t="n">
        <f aca="false">IFERROR(C265/SUM(C$262:C$273),"")</f>
        <v>0.0861660379383899</v>
      </c>
      <c r="I265" s="34" t="n">
        <f aca="false">IFERROR(D265/SUM(D$262:D$273),"")</f>
        <v>0.144693623779034</v>
      </c>
    </row>
    <row r="266" customFormat="false" ht="15" hidden="false" customHeight="true" outlineLevel="0" collapsed="false">
      <c r="A266" s="33" t="s">
        <v>19768</v>
      </c>
      <c r="B266" s="25" t="n">
        <f aca="false">SUMIFS(데이터_성질별수입!$G$3:$G$627,데이터_성질별수입!$E$3:$E$627,"2. 원자재",데이터_성질별수입!$B$3:$B$627,2024,데이터_성질별수입!$C$3:$C$627,5)</f>
        <v>27005809</v>
      </c>
      <c r="C266" s="25" t="n">
        <f aca="false">SUMIFS(데이터_성질별수입!$G$3:$G$627,데이터_성질별수입!$E$3:$E$627,"2. 원자재",데이터_성질별수입!$B$3:$B$627,2025,데이터_성질별수입!$C$3:$C$627,5)</f>
        <v>23319698</v>
      </c>
      <c r="D266" s="25" t="n">
        <f aca="false">SUMIFS(데이터_성질별수입!$G$3:$G$627,데이터_성질별수입!$E$3:$E$627,"2. 원자재",데이터_성질별수입!$B$3:$B$627,2026,데이터_성질별수입!$C$3:$C$627,5)</f>
        <v>28424410</v>
      </c>
      <c r="E266" s="36" t="n">
        <f aca="false">IFERROR(C266/B266-1,"")</f>
        <v>-0.136493263356784</v>
      </c>
      <c r="F266" s="36" t="n">
        <f aca="false">IFERROR(D266/C266-1,"")</f>
        <v>0.218901291088761</v>
      </c>
      <c r="G266" s="36" t="n">
        <f aca="false">IFERROR(D266/B266-1,"")</f>
        <v>0.0525294761582591</v>
      </c>
      <c r="H266" s="34" t="n">
        <f aca="false">IFERROR(C266/SUM(C$262:C$273),"")</f>
        <v>0.0816255243435895</v>
      </c>
      <c r="I266" s="34" t="n">
        <f aca="false">IFERROR(D266/SUM(D$262:D$273),"")</f>
        <v>0.148893001686185</v>
      </c>
    </row>
    <row r="267" customFormat="false" ht="15" hidden="false" customHeight="true" outlineLevel="0" collapsed="false">
      <c r="A267" s="33" t="s">
        <v>19769</v>
      </c>
      <c r="B267" s="25" t="n">
        <f aca="false">SUMIFS(데이터_성질별수입!$G$3:$G$627,데이터_성질별수입!$E$3:$E$627,"2. 원자재",데이터_성질별수입!$B$3:$B$627,2024,데이터_성질별수입!$C$3:$C$627,6)</f>
        <v>23953834</v>
      </c>
      <c r="C267" s="25" t="n">
        <f aca="false">SUMIFS(데이터_성질별수입!$G$3:$G$627,데이터_성질별수입!$E$3:$E$627,"2. 원자재",데이터_성질별수입!$B$3:$B$627,2025,데이터_성질별수입!$C$3:$C$627,6)</f>
        <v>22509706</v>
      </c>
      <c r="D267" s="25" t="n">
        <f aca="false">SUMIFS(데이터_성질별수입!$G$3:$G$627,데이터_성질별수입!$E$3:$E$627,"2. 원자재",데이터_성질별수입!$B$3:$B$627,2026,데이터_성질별수입!$C$3:$C$627,6)</f>
        <v>29348553</v>
      </c>
      <c r="E267" s="36" t="n">
        <f aca="false">IFERROR(C267/B267-1,"")</f>
        <v>-0.0602879689322385</v>
      </c>
      <c r="F267" s="36" t="n">
        <f aca="false">IFERROR(D267/C267-1,"")</f>
        <v>0.303817695353285</v>
      </c>
      <c r="G267" s="36" t="n">
        <f aca="false">IFERROR(D267/B267-1,"")</f>
        <v>0.225213174642523</v>
      </c>
      <c r="H267" s="34" t="n">
        <f aca="false">IFERROR(C267/SUM(C$262:C$273),"")</f>
        <v>0.0787903237456181</v>
      </c>
      <c r="I267" s="34" t="n">
        <f aca="false">IFERROR(D267/SUM(D$262:D$273),"")</f>
        <v>0.153733855911735</v>
      </c>
    </row>
    <row r="268" customFormat="false" ht="15" hidden="false" customHeight="true" outlineLevel="0" collapsed="false">
      <c r="A268" s="33" t="s">
        <v>19770</v>
      </c>
      <c r="B268" s="25" t="n">
        <f aca="false">SUMIFS(데이터_성질별수입!$G$3:$G$627,데이터_성질별수입!$E$3:$E$627,"2. 원자재",데이터_성질별수입!$B$3:$B$627,2024,데이터_성질별수입!$C$3:$C$627,7)</f>
        <v>25696113</v>
      </c>
      <c r="C268" s="25" t="n">
        <f aca="false">SUMIFS(데이터_성질별수입!$G$3:$G$627,데이터_성질별수입!$E$3:$E$627,"2. 원자재",데이터_성질별수입!$B$3:$B$627,2025,데이터_성질별수입!$C$3:$C$627,7)</f>
        <v>24495339</v>
      </c>
      <c r="D268" s="25" t="n">
        <f aca="false">SUMIFS(데이터_성질별수입!$G$3:$G$627,데이터_성질별수입!$E$3:$E$627,"2. 원자재",데이터_성질별수입!$B$3:$B$627,2026,데이터_성질별수입!$C$3:$C$627,7)</f>
        <v>31627152</v>
      </c>
      <c r="E268" s="36" t="n">
        <f aca="false">IFERROR(C268/B268-1,"")</f>
        <v>-0.0467297913890712</v>
      </c>
      <c r="F268" s="36" t="n">
        <f aca="false">IFERROR(D268/C268-1,"")</f>
        <v>0.291149797926863</v>
      </c>
      <c r="G268" s="36" t="n">
        <f aca="false">IFERROR(D268/B268-1,"")</f>
        <v>0.230814637217699</v>
      </c>
      <c r="H268" s="34" t="n">
        <f aca="false">IFERROR(C268/SUM(C$262:C$273),"")</f>
        <v>0.0857405996359378</v>
      </c>
      <c r="I268" s="34" t="n">
        <f aca="false">IFERROR(D268/SUM(D$262:D$273),"")</f>
        <v>0.165669633813515</v>
      </c>
    </row>
    <row r="269" customFormat="false" ht="15" hidden="false" customHeight="true" outlineLevel="0" collapsed="false">
      <c r="A269" s="33" t="s">
        <v>19771</v>
      </c>
      <c r="B269" s="25" t="n">
        <f aca="false">SUMIFS(데이터_성질별수입!$G$3:$G$627,데이터_성질별수입!$E$3:$E$627,"2. 원자재",데이터_성질별수입!$B$3:$B$627,2024,데이터_성질별수입!$C$3:$C$627,8)</f>
        <v>27175717</v>
      </c>
      <c r="C269" s="25" t="n">
        <f aca="false">SUMIFS(데이터_성질별수입!$G$3:$G$627,데이터_성질별수입!$E$3:$E$627,"2. 원자재",데이터_성질별수입!$B$3:$B$627,2025,데이터_성질별수입!$C$3:$C$627,8)</f>
        <v>24284869</v>
      </c>
      <c r="D269" s="25"/>
      <c r="E269" s="36" t="n">
        <f aca="false">IFERROR(C269/B269-1,"")</f>
        <v>-0.106376144555818</v>
      </c>
      <c r="F269" s="36" t="n">
        <f aca="false">IFERROR(D269/C269-1,"")</f>
        <v>-1</v>
      </c>
      <c r="G269" s="36" t="n">
        <f aca="false">IFERROR(D269/B269-1,"")</f>
        <v>-1</v>
      </c>
      <c r="H269" s="34" t="n">
        <f aca="false">IFERROR(C269/SUM(C$262:C$273),"")</f>
        <v>0.0850038952365671</v>
      </c>
      <c r="I269" s="34" t="n">
        <f aca="false">IFERROR(D269/SUM(D$262:D$273),"")</f>
        <v>0</v>
      </c>
    </row>
    <row r="270" customFormat="false" ht="15" hidden="false" customHeight="true" outlineLevel="0" collapsed="false">
      <c r="A270" s="33" t="s">
        <v>19772</v>
      </c>
      <c r="B270" s="25" t="n">
        <f aca="false">SUMIFS(데이터_성질별수입!$G$3:$G$627,데이터_성질별수입!$E$3:$E$627,"2. 원자재",데이터_성질별수입!$B$3:$B$627,2024,데이터_성질별수입!$C$3:$C$627,9)</f>
        <v>24388559</v>
      </c>
      <c r="C270" s="25" t="n">
        <f aca="false">SUMIFS(데이터_성질별수입!$G$3:$G$627,데이터_성질별수입!$E$3:$E$627,"2. 원자재",데이터_성질별수입!$B$3:$B$627,2025,데이터_성질별수입!$C$3:$C$627,9)</f>
        <v>24488105</v>
      </c>
      <c r="D270" s="25"/>
      <c r="E270" s="36" t="n">
        <f aca="false">IFERROR(C270/B270-1,"")</f>
        <v>0.00408166796570475</v>
      </c>
      <c r="F270" s="36" t="n">
        <f aca="false">IFERROR(D270/C270-1,"")</f>
        <v>-1</v>
      </c>
      <c r="G270" s="36" t="n">
        <f aca="false">IFERROR(D270/B270-1,"")</f>
        <v>-1</v>
      </c>
      <c r="H270" s="34" t="n">
        <f aca="false">IFERROR(C270/SUM(C$262:C$273),"")</f>
        <v>0.0857152785943401</v>
      </c>
      <c r="I270" s="34" t="n">
        <f aca="false">IFERROR(D270/SUM(D$262:D$273),"")</f>
        <v>0</v>
      </c>
    </row>
    <row r="271" customFormat="false" ht="15" hidden="false" customHeight="true" outlineLevel="0" collapsed="false">
      <c r="A271" s="33" t="s">
        <v>19773</v>
      </c>
      <c r="B271" s="25" t="n">
        <f aca="false">SUMIFS(데이터_성질별수입!$G$3:$G$627,데이터_성질별수입!$E$3:$E$627,"2. 원자재",데이터_성질별수입!$B$3:$B$627,2024,데이터_성질별수입!$C$3:$C$627,10)</f>
        <v>25204179</v>
      </c>
      <c r="C271" s="25" t="n">
        <f aca="false">SUMIFS(데이터_성질별수입!$G$3:$G$627,데이터_성질별수입!$E$3:$E$627,"2. 원자재",데이터_성질별수입!$B$3:$B$627,2025,데이터_성질별수입!$C$3:$C$627,10)</f>
        <v>23570523</v>
      </c>
      <c r="D271" s="25"/>
      <c r="E271" s="36" t="n">
        <f aca="false">IFERROR(C271/B271-1,"")</f>
        <v>-0.0648168702499693</v>
      </c>
      <c r="F271" s="36" t="n">
        <f aca="false">IFERROR(D271/C271-1,"")</f>
        <v>-1</v>
      </c>
      <c r="G271" s="36" t="n">
        <f aca="false">IFERROR(D271/B271-1,"")</f>
        <v>-1</v>
      </c>
      <c r="H271" s="34" t="n">
        <f aca="false">IFERROR(C271/SUM(C$262:C$273),"")</f>
        <v>0.0825034826320494</v>
      </c>
      <c r="I271" s="34" t="n">
        <f aca="false">IFERROR(D271/SUM(D$262:D$273),"")</f>
        <v>0</v>
      </c>
    </row>
    <row r="272" customFormat="false" ht="15" hidden="false" customHeight="true" outlineLevel="0" collapsed="false">
      <c r="A272" s="33" t="s">
        <v>19774</v>
      </c>
      <c r="B272" s="25" t="n">
        <f aca="false">SUMIFS(데이터_성질별수입!$G$3:$G$627,데이터_성질별수입!$E$3:$E$627,"2. 원자재",데이터_성질별수입!$B$3:$B$627,2024,데이터_성질별수입!$C$3:$C$627,11)</f>
        <v>23730222</v>
      </c>
      <c r="C272" s="25" t="n">
        <f aca="false">SUMIFS(데이터_성질별수입!$G$3:$G$627,데이터_성질별수입!$E$3:$E$627,"2. 원자재",데이터_성질별수입!$B$3:$B$627,2025,데이터_성질별수입!$C$3:$C$627,11)</f>
        <v>21849251</v>
      </c>
      <c r="D272" s="25"/>
      <c r="E272" s="36" t="n">
        <f aca="false">IFERROR(C272/B272-1,"")</f>
        <v>-0.0792647873247878</v>
      </c>
      <c r="F272" s="36" t="n">
        <f aca="false">IFERROR(D272/C272-1,"")</f>
        <v>-1</v>
      </c>
      <c r="G272" s="36" t="n">
        <f aca="false">IFERROR(D272/B272-1,"")</f>
        <v>-1</v>
      </c>
      <c r="H272" s="34" t="n">
        <f aca="false">IFERROR(C272/SUM(C$262:C$273),"")</f>
        <v>0.0764785448503535</v>
      </c>
      <c r="I272" s="34" t="n">
        <f aca="false">IFERROR(D272/SUM(D$262:D$273),"")</f>
        <v>0</v>
      </c>
    </row>
    <row r="273" customFormat="false" ht="15" hidden="false" customHeight="true" outlineLevel="0" collapsed="false">
      <c r="A273" s="33" t="s">
        <v>19775</v>
      </c>
      <c r="B273" s="25" t="n">
        <f aca="false">SUMIFS(데이터_성질별수입!$G$3:$G$627,데이터_성질별수입!$E$3:$E$627,"2. 원자재",데이터_성질별수입!$B$3:$B$627,2024,데이터_성질별수입!$C$3:$C$627,12)</f>
        <v>24801745</v>
      </c>
      <c r="C273" s="25" t="n">
        <f aca="false">SUMIFS(데이터_성질별수입!$G$3:$G$627,데이터_성질별수입!$E$3:$E$627,"2. 원자재",데이터_성질별수입!$B$3:$B$627,2025,데이터_성질별수입!$C$3:$C$627,12)</f>
        <v>24558340</v>
      </c>
      <c r="D273" s="25"/>
      <c r="E273" s="36" t="n">
        <f aca="false">IFERROR(C273/B273-1,"")</f>
        <v>-0.00981402719848945</v>
      </c>
      <c r="F273" s="36" t="n">
        <f aca="false">IFERROR(D273/C273-1,"")</f>
        <v>-1</v>
      </c>
      <c r="G273" s="36" t="n">
        <f aca="false">IFERROR(D273/B273-1,"")</f>
        <v>-1</v>
      </c>
      <c r="H273" s="34" t="n">
        <f aca="false">IFERROR(C273/SUM(C$262:C$273),"")</f>
        <v>0.0859611209162378</v>
      </c>
      <c r="I273" s="34" t="n">
        <f aca="false">IFERROR(D273/SUM(D$262:D$273),"")</f>
        <v>0</v>
      </c>
    </row>
    <row r="274" customFormat="false" ht="15" hidden="false" customHeight="true" outlineLevel="0" collapsed="false">
      <c r="A274" s="6" t="s">
        <v>19776</v>
      </c>
      <c r="B274" s="30" t="n">
        <f aca="false">SUM(B262:B273)</f>
        <v>308287532</v>
      </c>
      <c r="C274" s="30" t="n">
        <f aca="false">SUM(C262:C273)</f>
        <v>285691249</v>
      </c>
      <c r="D274" s="30" t="n">
        <f aca="false">SUM(D262:D273)</f>
        <v>190904943</v>
      </c>
      <c r="E274" s="41" t="n">
        <f aca="false">IFERROR(C274/B274-1,"")</f>
        <v>-0.0732961299258771</v>
      </c>
      <c r="F274" s="36"/>
    </row>
    <row r="275" customFormat="false" ht="15" hidden="false" customHeight="true" outlineLevel="0" collapsed="false">
      <c r="A275" s="48" t="s">
        <v>19777</v>
      </c>
      <c r="B275" s="30" t="n">
        <f aca="false">SUM(B262:B268)</f>
        <v>182987110</v>
      </c>
      <c r="C275" s="30" t="n">
        <f aca="false">SUM(C262:C268)</f>
        <v>166940161</v>
      </c>
      <c r="D275" s="30" t="n">
        <f aca="false">SUM(D262:D268)</f>
        <v>190904943</v>
      </c>
      <c r="E275" s="41" t="n">
        <f aca="false">IFERROR(C275/B275-1,"")</f>
        <v>-0.0876944228475984</v>
      </c>
      <c r="F275" s="41" t="n">
        <f aca="false">IFERROR(D275/C275-1,"")</f>
        <v>0.143553126200711</v>
      </c>
      <c r="G275" s="41" t="n">
        <f aca="false">IFERROR(D275/B275-1,"")</f>
        <v>0.0432698948029728</v>
      </c>
    </row>
    <row r="277" customFormat="false" ht="14.25" hidden="false" customHeight="true" outlineLevel="0" collapsed="false">
      <c r="A277" s="4" t="s">
        <v>19793</v>
      </c>
      <c r="B277" s="4"/>
      <c r="C277" s="4"/>
      <c r="D277" s="4"/>
      <c r="E277" s="4"/>
      <c r="F277" s="4"/>
      <c r="G277" s="4"/>
      <c r="H277" s="4"/>
      <c r="I277" s="4"/>
    </row>
    <row r="278" customFormat="false" ht="15" hidden="false" customHeight="true" outlineLevel="0" collapsed="false">
      <c r="A278" s="5" t="s">
        <v>19654</v>
      </c>
      <c r="B278" s="50" t="s">
        <v>19756</v>
      </c>
      <c r="C278" s="51" t="s">
        <v>19757</v>
      </c>
      <c r="D278" s="52" t="s">
        <v>19758</v>
      </c>
      <c r="E278" s="44" t="s">
        <v>19759</v>
      </c>
      <c r="F278" s="44" t="s">
        <v>19760</v>
      </c>
      <c r="G278" s="44" t="s">
        <v>19761</v>
      </c>
      <c r="H278" s="44" t="s">
        <v>19762</v>
      </c>
      <c r="I278" s="44" t="s">
        <v>19763</v>
      </c>
    </row>
    <row r="279" customFormat="false" ht="15" hidden="false" customHeight="true" outlineLevel="0" collapsed="false">
      <c r="A279" s="33" t="s">
        <v>19764</v>
      </c>
      <c r="B279" s="25" t="n">
        <f aca="false">SUMIFS(데이터_성질별수입!$G$3:$G$627,데이터_성질별수입!$E$3:$E$627,"3. 자본재",데이터_성질별수입!$B$3:$B$627,2024,데이터_성질별수입!$C$3:$C$627,1)</f>
        <v>17621984</v>
      </c>
      <c r="C279" s="25" t="n">
        <f aca="false">SUMIFS(데이터_성질별수입!$G$3:$G$627,데이터_성질별수입!$E$3:$E$627,"3. 자본재",데이터_성질별수입!$B$3:$B$627,2025,데이터_성질별수입!$C$3:$C$627,1)</f>
        <v>17803820</v>
      </c>
      <c r="D279" s="25" t="n">
        <f aca="false">SUMIFS(데이터_성질별수입!$G$3:$G$627,데이터_성질별수입!$E$3:$E$627,"3. 자본재",데이터_성질별수입!$B$3:$B$627,2026,데이터_성질별수입!$C$3:$C$627,1)</f>
        <v>21671520</v>
      </c>
      <c r="E279" s="36" t="n">
        <f aca="false">IFERROR(C279/B279-1,"")</f>
        <v>0.0103187019123385</v>
      </c>
      <c r="F279" s="36" t="n">
        <f aca="false">IFERROR(D279/C279-1,"")</f>
        <v>0.217239895707775</v>
      </c>
      <c r="G279" s="36" t="n">
        <f aca="false">IFERROR(D279/B279-1,"")</f>
        <v>0.22980023134739</v>
      </c>
      <c r="H279" s="34" t="n">
        <f aca="false">IFERROR(C279/SUM(C$279:C$290),"")</f>
        <v>0.0749663698492217</v>
      </c>
      <c r="I279" s="34" t="n">
        <f aca="false">IFERROR(D279/SUM(D$279:D$290),"")</f>
        <v>0.127054405371392</v>
      </c>
    </row>
    <row r="280" customFormat="false" ht="15" hidden="false" customHeight="true" outlineLevel="0" collapsed="false">
      <c r="A280" s="33" t="s">
        <v>19765</v>
      </c>
      <c r="B280" s="25" t="n">
        <f aca="false">SUMIFS(데이터_성질별수입!$G$3:$G$627,데이터_성질별수입!$E$3:$E$627,"3. 자본재",데이터_성질별수입!$B$3:$B$627,2024,데이터_성질별수입!$C$3:$C$627,2)</f>
        <v>16058968</v>
      </c>
      <c r="C280" s="25" t="n">
        <f aca="false">SUMIFS(데이터_성질별수입!$G$3:$G$627,데이터_성질별수입!$E$3:$E$627,"3. 자본재",데이터_성질별수입!$B$3:$B$627,2025,데이터_성질별수입!$C$3:$C$627,2)</f>
        <v>17570203</v>
      </c>
      <c r="D280" s="25" t="n">
        <f aca="false">SUMIFS(데이터_성질별수입!$G$3:$G$627,데이터_성질별수입!$E$3:$E$627,"3. 자본재",데이터_성질별수입!$B$3:$B$627,2026,데이터_성질별수입!$C$3:$C$627,2)</f>
        <v>20422881</v>
      </c>
      <c r="E280" s="36" t="n">
        <f aca="false">IFERROR(C280/B280-1,"")</f>
        <v>0.0941053621876573</v>
      </c>
      <c r="F280" s="36" t="n">
        <f aca="false">IFERROR(D280/C280-1,"")</f>
        <v>0.16235885265526</v>
      </c>
      <c r="G280" s="36" t="n">
        <f aca="false">IFERROR(D280/B280-1,"")</f>
        <v>0.271743053476413</v>
      </c>
      <c r="H280" s="34" t="n">
        <f aca="false">IFERROR(C280/SUM(C$279:C$290),"")</f>
        <v>0.0739826810439504</v>
      </c>
      <c r="I280" s="34" t="n">
        <f aca="false">IFERROR(D280/SUM(D$279:D$290),"")</f>
        <v>0.119733964273189</v>
      </c>
    </row>
    <row r="281" customFormat="false" ht="15" hidden="false" customHeight="true" outlineLevel="0" collapsed="false">
      <c r="A281" s="33" t="s">
        <v>19766</v>
      </c>
      <c r="B281" s="25" t="n">
        <f aca="false">SUMIFS(데이터_성질별수입!$G$3:$G$627,데이터_성질별수입!$E$3:$E$627,"3. 자본재",데이터_성질별수입!$B$3:$B$627,2024,데이터_성질별수입!$C$3:$C$627,3)</f>
        <v>17881046</v>
      </c>
      <c r="C281" s="25" t="n">
        <f aca="false">SUMIFS(데이터_성질별수입!$G$3:$G$627,데이터_성질별수입!$E$3:$E$627,"3. 자본재",데이터_성질별수입!$B$3:$B$627,2025,데이터_성질별수입!$C$3:$C$627,3)</f>
        <v>20423375</v>
      </c>
      <c r="D281" s="25" t="n">
        <f aca="false">SUMIFS(데이터_성질별수입!$G$3:$G$627,데이터_성질별수입!$E$3:$E$627,"3. 자본재",데이터_성질별수입!$B$3:$B$627,2026,데이터_성질별수입!$C$3:$C$627,3)</f>
        <v>25311968</v>
      </c>
      <c r="E281" s="36" t="n">
        <f aca="false">IFERROR(C281/B281-1,"")</f>
        <v>0.142180105123604</v>
      </c>
      <c r="F281" s="36" t="n">
        <f aca="false">IFERROR(D281/C281-1,"")</f>
        <v>0.239362642070667</v>
      </c>
      <c r="G281" s="36" t="n">
        <f aca="false">IFERROR(D281/B281-1,"")</f>
        <v>0.415575352806542</v>
      </c>
      <c r="H281" s="34" t="n">
        <f aca="false">IFERROR(C281/SUM(C$279:C$290),"")</f>
        <v>0.0859965043355498</v>
      </c>
      <c r="I281" s="34" t="n">
        <f aca="false">IFERROR(D281/SUM(D$279:D$290),"")</f>
        <v>0.148397391739006</v>
      </c>
    </row>
    <row r="282" customFormat="false" ht="15" hidden="false" customHeight="true" outlineLevel="0" collapsed="false">
      <c r="A282" s="33" t="s">
        <v>19767</v>
      </c>
      <c r="B282" s="25" t="n">
        <f aca="false">SUMIFS(데이터_성질별수입!$G$3:$G$627,데이터_성질별수입!$E$3:$E$627,"3. 자본재",데이터_성질별수입!$B$3:$B$627,2024,데이터_성질별수입!$C$3:$C$627,4)</f>
        <v>17906335</v>
      </c>
      <c r="C282" s="25" t="n">
        <f aca="false">SUMIFS(데이터_성질별수입!$G$3:$G$627,데이터_성질별수입!$E$3:$E$627,"3. 자본재",데이터_성질별수입!$B$3:$B$627,2025,데이터_성질별수입!$C$3:$C$627,4)</f>
        <v>19463751</v>
      </c>
      <c r="D282" s="25" t="n">
        <f aca="false">SUMIFS(데이터_성질별수입!$G$3:$G$627,데이터_성질별수입!$E$3:$E$627,"3. 자본재",데이터_성질별수입!$B$3:$B$627,2026,데이터_성질별수입!$C$3:$C$627,4)</f>
        <v>24865788</v>
      </c>
      <c r="E282" s="36" t="n">
        <f aca="false">IFERROR(C282/B282-1,"")</f>
        <v>0.0869756988239079</v>
      </c>
      <c r="F282" s="36" t="n">
        <f aca="false">IFERROR(D282/C282-1,"")</f>
        <v>0.277543470423558</v>
      </c>
      <c r="G282" s="36" t="n">
        <f aca="false">IFERROR(D282/B282-1,"")</f>
        <v>0.388658706541568</v>
      </c>
      <c r="H282" s="34" t="n">
        <f aca="false">IFERROR(C282/SUM(C$279:C$290),"")</f>
        <v>0.0819558249925667</v>
      </c>
      <c r="I282" s="34" t="n">
        <f aca="false">IFERROR(D282/SUM(D$279:D$290),"")</f>
        <v>0.145781556089794</v>
      </c>
    </row>
    <row r="283" customFormat="false" ht="15" hidden="false" customHeight="true" outlineLevel="0" collapsed="false">
      <c r="A283" s="33" t="s">
        <v>19768</v>
      </c>
      <c r="B283" s="25" t="n">
        <f aca="false">SUMIFS(데이터_성질별수입!$G$3:$G$627,데이터_성질별수입!$E$3:$E$627,"3. 자본재",데이터_성질별수입!$B$3:$B$627,2024,데이터_성질별수입!$C$3:$C$627,5)</f>
        <v>17479022</v>
      </c>
      <c r="C283" s="25" t="n">
        <f aca="false">SUMIFS(데이터_성질별수입!$G$3:$G$627,데이터_성질별수입!$E$3:$E$627,"3. 자본재",데이터_성질별수입!$B$3:$B$627,2025,데이터_성질별수입!$C$3:$C$627,5)</f>
        <v>18341591</v>
      </c>
      <c r="D283" s="25" t="n">
        <f aca="false">SUMIFS(데이터_성질별수입!$G$3:$G$627,데이터_성질별수입!$E$3:$E$627,"3. 자본재",데이터_성질별수입!$B$3:$B$627,2026,데이터_성질별수입!$C$3:$C$627,5)</f>
        <v>23487604</v>
      </c>
      <c r="E283" s="36" t="n">
        <f aca="false">IFERROR(C283/B283-1,"")</f>
        <v>0.0493488136807654</v>
      </c>
      <c r="F283" s="36" t="n">
        <f aca="false">IFERROR(D283/C283-1,"")</f>
        <v>0.280565246493611</v>
      </c>
      <c r="G283" s="36" t="n">
        <f aca="false">IFERROR(D283/B283-1,"")</f>
        <v>0.343759622248888</v>
      </c>
      <c r="H283" s="34" t="n">
        <f aca="false">IFERROR(C283/SUM(C$279:C$290),"")</f>
        <v>0.0772307569122332</v>
      </c>
      <c r="I283" s="34" t="n">
        <f aca="false">IFERROR(D283/SUM(D$279:D$290),"")</f>
        <v>0.137701626827224</v>
      </c>
    </row>
    <row r="284" customFormat="false" ht="15" hidden="false" customHeight="true" outlineLevel="0" collapsed="false">
      <c r="A284" s="33" t="s">
        <v>19769</v>
      </c>
      <c r="B284" s="25" t="n">
        <f aca="false">SUMIFS(데이터_성질별수입!$G$3:$G$627,데이터_성질별수입!$E$3:$E$627,"3. 자본재",데이터_성질별수입!$B$3:$B$627,2024,데이터_성질별수입!$C$3:$C$627,6)</f>
        <v>17251329</v>
      </c>
      <c r="C284" s="25" t="n">
        <f aca="false">SUMIFS(데이터_성질별수입!$G$3:$G$627,데이터_성질별수입!$E$3:$E$627,"3. 자본재",데이터_성질별수입!$B$3:$B$627,2025,데이터_성질별수입!$C$3:$C$627,6)</f>
        <v>19827208</v>
      </c>
      <c r="D284" s="25" t="n">
        <f aca="false">SUMIFS(데이터_성질별수입!$G$3:$G$627,데이터_성질별수입!$E$3:$E$627,"3. 자본재",데이터_성질별수입!$B$3:$B$627,2026,데이터_성질별수입!$C$3:$C$627,6)</f>
        <v>26828263</v>
      </c>
      <c r="E284" s="36" t="n">
        <f aca="false">IFERROR(C284/B284-1,"")</f>
        <v>0.149314815107868</v>
      </c>
      <c r="F284" s="36" t="n">
        <f aca="false">IFERROR(D284/C284-1,"")</f>
        <v>0.353103422327541</v>
      </c>
      <c r="G284" s="36" t="n">
        <f aca="false">IFERROR(D284/B284-1,"")</f>
        <v>0.555141809654201</v>
      </c>
      <c r="H284" s="34" t="n">
        <f aca="false">IFERROR(C284/SUM(C$279:C$290),"")</f>
        <v>0.0834862298094143</v>
      </c>
      <c r="I284" s="34" t="n">
        <f aca="false">IFERROR(D284/SUM(D$279:D$290),"")</f>
        <v>0.157287029364452</v>
      </c>
    </row>
    <row r="285" customFormat="false" ht="15" hidden="false" customHeight="true" outlineLevel="0" collapsed="false">
      <c r="A285" s="33" t="s">
        <v>19770</v>
      </c>
      <c r="B285" s="25" t="n">
        <f aca="false">SUMIFS(데이터_성질별수입!$G$3:$G$627,데이터_성질별수입!$E$3:$E$627,"3. 자본재",데이터_성질별수입!$B$3:$B$627,2024,데이터_성질별수입!$C$3:$C$627,7)</f>
        <v>19276448</v>
      </c>
      <c r="C285" s="25" t="n">
        <f aca="false">SUMIFS(데이터_성질별수입!$G$3:$G$627,데이터_성질별수입!$E$3:$E$627,"3. 자본재",데이터_성질별수입!$B$3:$B$627,2025,데이터_성질별수입!$C$3:$C$627,7)</f>
        <v>20474060</v>
      </c>
      <c r="D285" s="25" t="n">
        <f aca="false">SUMIFS(데이터_성질별수입!$G$3:$G$627,데이터_성질별수입!$E$3:$E$627,"3. 자본재",데이터_성질별수입!$B$3:$B$627,2026,데이터_성질별수입!$C$3:$C$627,7)</f>
        <v>27980796</v>
      </c>
      <c r="E285" s="36" t="n">
        <f aca="false">IFERROR(C285/B285-1,"")</f>
        <v>0.0621282510138796</v>
      </c>
      <c r="F285" s="36" t="n">
        <f aca="false">IFERROR(D285/C285-1,"")</f>
        <v>0.366646185465902</v>
      </c>
      <c r="G285" s="36" t="n">
        <f aca="false">IFERROR(D285/B285-1,"")</f>
        <v>0.451553522723688</v>
      </c>
      <c r="H285" s="34" t="n">
        <f aca="false">IFERROR(C285/SUM(C$279:C$290),"")</f>
        <v>0.0862099231667786</v>
      </c>
      <c r="I285" s="34" t="n">
        <f aca="false">IFERROR(D285/SUM(D$279:D$290),"")</f>
        <v>0.164044026334942</v>
      </c>
    </row>
    <row r="286" customFormat="false" ht="15" hidden="false" customHeight="true" outlineLevel="0" collapsed="false">
      <c r="A286" s="33" t="s">
        <v>19771</v>
      </c>
      <c r="B286" s="25" t="n">
        <f aca="false">SUMIFS(데이터_성질별수입!$G$3:$G$627,데이터_성질별수입!$E$3:$E$627,"3. 자본재",데이터_성질별수입!$B$3:$B$627,2024,데이터_성질별수입!$C$3:$C$627,8)</f>
        <v>18258464</v>
      </c>
      <c r="C286" s="25" t="n">
        <f aca="false">SUMIFS(데이터_성질별수입!$G$3:$G$627,데이터_성질별수입!$E$3:$E$627,"3. 자본재",데이터_성질별수입!$B$3:$B$627,2025,데이터_성질별수입!$C$3:$C$627,8)</f>
        <v>18833326</v>
      </c>
      <c r="D286" s="25"/>
      <c r="E286" s="36" t="n">
        <f aca="false">IFERROR(C286/B286-1,"")</f>
        <v>0.0314846856778315</v>
      </c>
      <c r="F286" s="36" t="n">
        <f aca="false">IFERROR(D286/C286-1,"")</f>
        <v>-1</v>
      </c>
      <c r="G286" s="36" t="n">
        <f aca="false">IFERROR(D286/B286-1,"")</f>
        <v>-1</v>
      </c>
      <c r="H286" s="34" t="n">
        <f aca="false">IFERROR(C286/SUM(C$279:C$290),"")</f>
        <v>0.0793013006426128</v>
      </c>
      <c r="I286" s="34" t="n">
        <f aca="false">IFERROR(D286/SUM(D$279:D$290),"")</f>
        <v>0</v>
      </c>
    </row>
    <row r="287" customFormat="false" ht="15" hidden="false" customHeight="true" outlineLevel="0" collapsed="false">
      <c r="A287" s="33" t="s">
        <v>19772</v>
      </c>
      <c r="B287" s="25" t="n">
        <f aca="false">SUMIFS(데이터_성질별수입!$G$3:$G$627,데이터_성질별수입!$E$3:$E$627,"3. 자본재",데이터_성질별수입!$B$3:$B$627,2024,데이터_성질별수입!$C$3:$C$627,9)</f>
        <v>19466868</v>
      </c>
      <c r="C287" s="25" t="n">
        <f aca="false">SUMIFS(데이터_성질별수입!$G$3:$G$627,데이터_성질별수입!$E$3:$E$627,"3. 자본재",데이터_성질별수입!$B$3:$B$627,2025,데이터_성질별수입!$C$3:$C$627,9)</f>
        <v>21850546</v>
      </c>
      <c r="D287" s="25"/>
      <c r="E287" s="36" t="n">
        <f aca="false">IFERROR(C287/B287-1,"")</f>
        <v>0.12244794591508</v>
      </c>
      <c r="F287" s="36" t="n">
        <f aca="false">IFERROR(D287/C287-1,"")</f>
        <v>-1</v>
      </c>
      <c r="G287" s="36" t="n">
        <f aca="false">IFERROR(D287/B287-1,"")</f>
        <v>-1</v>
      </c>
      <c r="H287" s="34" t="n">
        <f aca="false">IFERROR(C287/SUM(C$279:C$290),"")</f>
        <v>0.0920058792350985</v>
      </c>
      <c r="I287" s="34" t="n">
        <f aca="false">IFERROR(D287/SUM(D$279:D$290),"")</f>
        <v>0</v>
      </c>
    </row>
    <row r="288" customFormat="false" ht="15" hidden="false" customHeight="true" outlineLevel="0" collapsed="false">
      <c r="A288" s="33" t="s">
        <v>19773</v>
      </c>
      <c r="B288" s="25" t="n">
        <f aca="false">SUMIFS(데이터_성질별수입!$G$3:$G$627,데이터_성질별수입!$E$3:$E$627,"3. 자본재",데이터_성질별수입!$B$3:$B$627,2024,데이터_성질별수입!$C$3:$C$627,10)</f>
        <v>19876876</v>
      </c>
      <c r="C288" s="25" t="n">
        <f aca="false">SUMIFS(데이터_성질별수입!$G$3:$G$627,데이터_성질별수입!$E$3:$E$627,"3. 자본재",데이터_성질별수입!$B$3:$B$627,2025,데이터_성질별수입!$C$3:$C$627,10)</f>
        <v>19760310</v>
      </c>
      <c r="D288" s="25"/>
      <c r="E288" s="36" t="n">
        <f aca="false">IFERROR(C288/B288-1,"")</f>
        <v>-0.00586440243426578</v>
      </c>
      <c r="F288" s="36" t="n">
        <f aca="false">IFERROR(D288/C288-1,"")</f>
        <v>-1</v>
      </c>
      <c r="G288" s="36" t="n">
        <f aca="false">IFERROR(D288/B288-1,"")</f>
        <v>-1</v>
      </c>
      <c r="H288" s="34" t="n">
        <f aca="false">IFERROR(C288/SUM(C$279:C$290),"")</f>
        <v>0.0832045430584714</v>
      </c>
      <c r="I288" s="34" t="n">
        <f aca="false">IFERROR(D288/SUM(D$279:D$290),"")</f>
        <v>0</v>
      </c>
    </row>
    <row r="289" customFormat="false" ht="15" hidden="false" customHeight="true" outlineLevel="0" collapsed="false">
      <c r="A289" s="33" t="s">
        <v>19774</v>
      </c>
      <c r="B289" s="25" t="n">
        <f aca="false">SUMIFS(데이터_성질별수입!$G$3:$G$627,데이터_성질별수입!$E$3:$E$627,"3. 자본재",데이터_성질별수입!$B$3:$B$627,2024,데이터_성질별수입!$C$3:$C$627,11)</f>
        <v>19163786</v>
      </c>
      <c r="C289" s="25" t="n">
        <f aca="false">SUMIFS(데이터_성질별수입!$G$3:$G$627,데이터_성질별수입!$E$3:$E$627,"3. 자본재",데이터_성질별수입!$B$3:$B$627,2025,데이터_성질별수입!$C$3:$C$627,11)</f>
        <v>20053600</v>
      </c>
      <c r="D289" s="25"/>
      <c r="E289" s="36" t="n">
        <f aca="false">IFERROR(C289/B289-1,"")</f>
        <v>0.0464320567971277</v>
      </c>
      <c r="F289" s="36" t="n">
        <f aca="false">IFERROR(D289/C289-1,"")</f>
        <v>-1</v>
      </c>
      <c r="G289" s="36" t="n">
        <f aca="false">IFERROR(D289/B289-1,"")</f>
        <v>-1</v>
      </c>
      <c r="H289" s="34" t="n">
        <f aca="false">IFERROR(C289/SUM(C$279:C$290),"")</f>
        <v>0.0844394963782127</v>
      </c>
      <c r="I289" s="34" t="n">
        <f aca="false">IFERROR(D289/SUM(D$279:D$290),"")</f>
        <v>0</v>
      </c>
    </row>
    <row r="290" customFormat="false" ht="15" hidden="false" customHeight="true" outlineLevel="0" collapsed="false">
      <c r="A290" s="33" t="s">
        <v>19775</v>
      </c>
      <c r="B290" s="25" t="n">
        <f aca="false">SUMIFS(데이터_성질별수입!$G$3:$G$627,데이터_성질별수입!$E$3:$E$627,"3. 자본재",데이터_성질별수입!$B$3:$B$627,2024,데이터_성질별수입!$C$3:$C$627,12)</f>
        <v>21820098</v>
      </c>
      <c r="C290" s="25" t="n">
        <f aca="false">SUMIFS(데이터_성질별수입!$G$3:$G$627,데이터_성질별수입!$E$3:$E$627,"3. 자본재",데이터_성질별수입!$B$3:$B$627,2025,데이터_성질별수입!$C$3:$C$627,12)</f>
        <v>23088968</v>
      </c>
      <c r="D290" s="25"/>
      <c r="E290" s="36" t="n">
        <f aca="false">IFERROR(C290/B290-1,"")</f>
        <v>0.0581514345169303</v>
      </c>
      <c r="F290" s="36" t="n">
        <f aca="false">IFERROR(D290/C290-1,"")</f>
        <v>-1</v>
      </c>
      <c r="G290" s="36" t="n">
        <f aca="false">IFERROR(D290/B290-1,"")</f>
        <v>-1</v>
      </c>
      <c r="H290" s="34" t="n">
        <f aca="false">IFERROR(C290/SUM(C$279:C$290),"")</f>
        <v>0.0972204905758901</v>
      </c>
      <c r="I290" s="34" t="n">
        <f aca="false">IFERROR(D290/SUM(D$279:D$290),"")</f>
        <v>0</v>
      </c>
    </row>
    <row r="291" customFormat="false" ht="15" hidden="false" customHeight="true" outlineLevel="0" collapsed="false">
      <c r="A291" s="6" t="s">
        <v>19776</v>
      </c>
      <c r="B291" s="30" t="n">
        <f aca="false">SUM(B279:B290)</f>
        <v>222061224</v>
      </c>
      <c r="C291" s="30" t="n">
        <f aca="false">SUM(C279:C290)</f>
        <v>237490758</v>
      </c>
      <c r="D291" s="30" t="n">
        <f aca="false">SUM(D279:D290)</f>
        <v>170568820</v>
      </c>
      <c r="E291" s="41" t="n">
        <f aca="false">IFERROR(C291/B291-1,"")</f>
        <v>0.0694832430537264</v>
      </c>
      <c r="F291" s="36"/>
    </row>
    <row r="292" customFormat="false" ht="15" hidden="false" customHeight="true" outlineLevel="0" collapsed="false">
      <c r="A292" s="48" t="s">
        <v>19777</v>
      </c>
      <c r="B292" s="30" t="n">
        <f aca="false">SUM(B279:B285)</f>
        <v>123475132</v>
      </c>
      <c r="C292" s="30" t="n">
        <f aca="false">SUM(C279:C285)</f>
        <v>133904008</v>
      </c>
      <c r="D292" s="30" t="n">
        <f aca="false">SUM(D279:D285)</f>
        <v>170568820</v>
      </c>
      <c r="E292" s="41" t="n">
        <f aca="false">IFERROR(C292/B292-1,"")</f>
        <v>0.0844613472452089</v>
      </c>
      <c r="F292" s="41" t="n">
        <f aca="false">IFERROR(D292/C292-1,"")</f>
        <v>0.273814149013374</v>
      </c>
      <c r="G292" s="41" t="n">
        <f aca="false">IFERROR(D292/B292-1,"")</f>
        <v>0.381402208179053</v>
      </c>
    </row>
  </sheetData>
  <mergeCells count="20">
    <mergeCell ref="A1:I1"/>
    <mergeCell ref="A2:I2"/>
    <mergeCell ref="A3:I3"/>
    <mergeCell ref="A5:I5"/>
    <mergeCell ref="A22:I22"/>
    <mergeCell ref="A39:I39"/>
    <mergeCell ref="A56:I56"/>
    <mergeCell ref="A73:I73"/>
    <mergeCell ref="A90:I90"/>
    <mergeCell ref="A107:I107"/>
    <mergeCell ref="A124:I124"/>
    <mergeCell ref="A141:I141"/>
    <mergeCell ref="A158:I158"/>
    <mergeCell ref="A175:I175"/>
    <mergeCell ref="A192:I192"/>
    <mergeCell ref="A209:I209"/>
    <mergeCell ref="A226:I226"/>
    <mergeCell ref="A243:I243"/>
    <mergeCell ref="A260:I260"/>
    <mergeCell ref="A277:I2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3" min="3" style="1" width="12"/>
  </cols>
  <sheetData>
    <row r="1" customFormat="false" ht="21.75" hidden="false" customHeight="true" outlineLevel="0" collapsed="false">
      <c r="A1" s="42" t="s">
        <v>19794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2" customFormat="false" ht="15" hidden="false" customHeight="true" outlineLevel="0" collapsed="false">
      <c r="A2" s="3" t="s">
        <v>19795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4" customFormat="false" ht="14.25" hidden="false" customHeight="true" outlineLevel="0" collapsed="false">
      <c r="A4" s="23" t="s">
        <v>19796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 customFormat="false" ht="15" hidden="false" customHeight="true" outlineLevel="0" collapsed="false">
      <c r="A5" s="5" t="s">
        <v>19797</v>
      </c>
      <c r="B5" s="5" t="s">
        <v>19663</v>
      </c>
      <c r="C5" s="44" t="s">
        <v>74</v>
      </c>
      <c r="D5" s="44" t="s">
        <v>83</v>
      </c>
      <c r="E5" s="44" t="s">
        <v>92</v>
      </c>
      <c r="F5" s="44" t="s">
        <v>101</v>
      </c>
      <c r="G5" s="44" t="s">
        <v>110</v>
      </c>
      <c r="H5" s="44" t="s">
        <v>119</v>
      </c>
      <c r="I5" s="44" t="s">
        <v>128</v>
      </c>
      <c r="J5" s="44" t="s">
        <v>137</v>
      </c>
      <c r="K5" s="44" t="s">
        <v>146</v>
      </c>
      <c r="L5" s="44" t="s">
        <v>155</v>
      </c>
      <c r="M5" s="44" t="s">
        <v>163</v>
      </c>
      <c r="N5" s="44" t="s">
        <v>171</v>
      </c>
      <c r="O5" s="44" t="s">
        <v>179</v>
      </c>
      <c r="P5" s="44" t="s">
        <v>187</v>
      </c>
      <c r="Q5" s="44" t="s">
        <v>195</v>
      </c>
      <c r="R5" s="44" t="s">
        <v>203</v>
      </c>
      <c r="S5" s="44" t="s">
        <v>211</v>
      </c>
      <c r="T5" s="44" t="s">
        <v>219</v>
      </c>
      <c r="U5" s="44" t="s">
        <v>228</v>
      </c>
      <c r="V5" s="44" t="s">
        <v>236</v>
      </c>
      <c r="W5" s="44" t="s">
        <v>244</v>
      </c>
      <c r="X5" s="44" t="s">
        <v>252</v>
      </c>
      <c r="Y5" s="44" t="s">
        <v>260</v>
      </c>
      <c r="Z5" s="44" t="s">
        <v>268</v>
      </c>
      <c r="AA5" s="44" t="s">
        <v>276</v>
      </c>
      <c r="AB5" s="44" t="s">
        <v>284</v>
      </c>
      <c r="AC5" s="44" t="s">
        <v>293</v>
      </c>
      <c r="AD5" s="44" t="s">
        <v>301</v>
      </c>
      <c r="AE5" s="44" t="s">
        <v>309</v>
      </c>
      <c r="AF5" s="44" t="s">
        <v>317</v>
      </c>
      <c r="AG5" s="44" t="s">
        <v>325</v>
      </c>
    </row>
    <row r="6" customFormat="false" ht="15" hidden="false" customHeight="true" outlineLevel="0" collapsed="false">
      <c r="A6" s="53" t="s">
        <v>345</v>
      </c>
      <c r="B6" s="54" t="s">
        <v>346</v>
      </c>
      <c r="C6" s="55" t="n">
        <f aca="false">SUMIFS(데이터_품목별!$H$3:$H$2984,데이터_품목별!$E$3:$E$2984,"01",데이터_품목별!$A$3:$A$2984,"2024.01")</f>
        <v>697</v>
      </c>
      <c r="D6" s="55" t="n">
        <f aca="false">SUMIFS(데이터_품목별!$H$3:$H$2984,데이터_품목별!$E$3:$E$2984,"01",데이터_품목별!$A$3:$A$2984,"2024.02")</f>
        <v>712</v>
      </c>
      <c r="E6" s="55" t="n">
        <f aca="false">SUMIFS(데이터_품목별!$H$3:$H$2984,데이터_품목별!$E$3:$E$2984,"01",데이터_품목별!$A$3:$A$2984,"2024.03")</f>
        <v>944</v>
      </c>
      <c r="F6" s="55" t="n">
        <f aca="false">SUMIFS(데이터_품목별!$H$3:$H$2984,데이터_품목별!$E$3:$E$2984,"01",데이터_품목별!$A$3:$A$2984,"2024.04")</f>
        <v>665</v>
      </c>
      <c r="G6" s="55" t="n">
        <f aca="false">SUMIFS(데이터_품목별!$H$3:$H$2984,데이터_품목별!$E$3:$E$2984,"01",데이터_품목별!$A$3:$A$2984,"2024.05")</f>
        <v>789</v>
      </c>
      <c r="H6" s="55" t="n">
        <f aca="false">SUMIFS(데이터_품목별!$H$3:$H$2984,데이터_품목별!$E$3:$E$2984,"01",데이터_품목별!$A$3:$A$2984,"2024.06")</f>
        <v>562</v>
      </c>
      <c r="I6" s="55" t="n">
        <f aca="false">SUMIFS(데이터_품목별!$H$3:$H$2984,데이터_품목별!$E$3:$E$2984,"01",데이터_품목별!$A$3:$A$2984,"2024.07")</f>
        <v>642</v>
      </c>
      <c r="J6" s="55" t="n">
        <f aca="false">SUMIFS(데이터_품목별!$H$3:$H$2984,데이터_품목별!$E$3:$E$2984,"01",데이터_품목별!$A$3:$A$2984,"2024.08")</f>
        <v>411</v>
      </c>
      <c r="K6" s="55" t="n">
        <f aca="false">SUMIFS(데이터_품목별!$H$3:$H$2984,데이터_품목별!$E$3:$E$2984,"01",데이터_품목별!$A$3:$A$2984,"2024.09")</f>
        <v>411</v>
      </c>
      <c r="L6" s="55" t="n">
        <f aca="false">SUMIFS(데이터_품목별!$H$3:$H$2984,데이터_품목별!$E$3:$E$2984,"01",데이터_품목별!$A$3:$A$2984,"2024.10")</f>
        <v>411</v>
      </c>
      <c r="M6" s="55" t="n">
        <f aca="false">SUMIFS(데이터_품목별!$H$3:$H$2984,데이터_품목별!$E$3:$E$2984,"01",데이터_품목별!$A$3:$A$2984,"2024.11")</f>
        <v>530</v>
      </c>
      <c r="N6" s="55" t="n">
        <f aca="false">SUMIFS(데이터_품목별!$H$3:$H$2984,데이터_품목별!$E$3:$E$2984,"01",데이터_품목별!$A$3:$A$2984,"2024.12")</f>
        <v>523</v>
      </c>
      <c r="O6" s="55" t="n">
        <f aca="false">SUMIFS(데이터_품목별!$H$3:$H$2984,데이터_품목별!$E$3:$E$2984,"01",데이터_품목별!$A$3:$A$2984,"2025.01")</f>
        <v>511</v>
      </c>
      <c r="P6" s="55" t="n">
        <f aca="false">SUMIFS(데이터_품목별!$H$3:$H$2984,데이터_품목별!$E$3:$E$2984,"01",데이터_품목별!$A$3:$A$2984,"2025.02")</f>
        <v>443</v>
      </c>
      <c r="Q6" s="55" t="n">
        <f aca="false">SUMIFS(데이터_품목별!$H$3:$H$2984,데이터_품목별!$E$3:$E$2984,"01",데이터_품목별!$A$3:$A$2984,"2025.03")</f>
        <v>914</v>
      </c>
      <c r="R6" s="55" t="n">
        <f aca="false">SUMIFS(데이터_품목별!$H$3:$H$2984,데이터_품목별!$E$3:$E$2984,"01",데이터_품목별!$A$3:$A$2984,"2025.04")</f>
        <v>595</v>
      </c>
      <c r="S6" s="55" t="n">
        <f aca="false">SUMIFS(데이터_품목별!$H$3:$H$2984,데이터_품목별!$E$3:$E$2984,"01",데이터_품목별!$A$3:$A$2984,"2025.05")</f>
        <v>535</v>
      </c>
      <c r="T6" s="55" t="n">
        <f aca="false">SUMIFS(데이터_품목별!$H$3:$H$2984,데이터_품목별!$E$3:$E$2984,"01",데이터_품목별!$A$3:$A$2984,"2025.06")</f>
        <v>594</v>
      </c>
      <c r="U6" s="55" t="n">
        <f aca="false">SUMIFS(데이터_품목별!$H$3:$H$2984,데이터_품목별!$E$3:$E$2984,"01",데이터_품목별!$A$3:$A$2984,"2025.07")</f>
        <v>468</v>
      </c>
      <c r="V6" s="55" t="n">
        <f aca="false">SUMIFS(데이터_품목별!$H$3:$H$2984,데이터_품목별!$E$3:$E$2984,"01",데이터_품목별!$A$3:$A$2984,"2025.08")</f>
        <v>774</v>
      </c>
      <c r="W6" s="55" t="n">
        <f aca="false">SUMIFS(데이터_품목별!$H$3:$H$2984,데이터_품목별!$E$3:$E$2984,"01",데이터_품목별!$A$3:$A$2984,"2025.09")</f>
        <v>689</v>
      </c>
      <c r="X6" s="55" t="n">
        <f aca="false">SUMIFS(데이터_품목별!$H$3:$H$2984,데이터_품목별!$E$3:$E$2984,"01",데이터_품목별!$A$3:$A$2984,"2025.10")</f>
        <v>543</v>
      </c>
      <c r="Y6" s="55" t="n">
        <f aca="false">SUMIFS(데이터_품목별!$H$3:$H$2984,데이터_품목별!$E$3:$E$2984,"01",데이터_품목별!$A$3:$A$2984,"2025.11")</f>
        <v>445</v>
      </c>
      <c r="Z6" s="55" t="n">
        <f aca="false">SUMIFS(데이터_품목별!$H$3:$H$2984,데이터_품목별!$E$3:$E$2984,"01",데이터_품목별!$A$3:$A$2984,"2025.12")</f>
        <v>986</v>
      </c>
      <c r="AA6" s="55" t="n">
        <f aca="false">SUMIFS(데이터_품목별!$H$3:$H$2984,데이터_품목별!$E$3:$E$2984,"01",데이터_품목별!$A$3:$A$2984,"2026.01")</f>
        <v>405</v>
      </c>
      <c r="AB6" s="55" t="n">
        <f aca="false">SUMIFS(데이터_품목별!$H$3:$H$2984,데이터_품목별!$E$3:$E$2984,"01",데이터_품목별!$A$3:$A$2984,"2026.02")</f>
        <v>356</v>
      </c>
      <c r="AC6" s="55" t="n">
        <f aca="false">SUMIFS(데이터_품목별!$H$3:$H$2984,데이터_품목별!$E$3:$E$2984,"01",데이터_품목별!$A$3:$A$2984,"2026.03")</f>
        <v>616</v>
      </c>
      <c r="AD6" s="55" t="n">
        <f aca="false">SUMIFS(데이터_품목별!$H$3:$H$2984,데이터_품목별!$E$3:$E$2984,"01",데이터_품목별!$A$3:$A$2984,"2026.04")</f>
        <v>623</v>
      </c>
      <c r="AE6" s="55" t="n">
        <f aca="false">SUMIFS(데이터_품목별!$H$3:$H$2984,데이터_품목별!$E$3:$E$2984,"01",데이터_품목별!$A$3:$A$2984,"2026.05")</f>
        <v>816</v>
      </c>
      <c r="AF6" s="55" t="n">
        <f aca="false">SUMIFS(데이터_품목별!$H$3:$H$2984,데이터_품목별!$E$3:$E$2984,"01",데이터_품목별!$A$3:$A$2984,"2026.06")</f>
        <v>1992</v>
      </c>
      <c r="AG6" s="55" t="n">
        <f aca="false">SUMIFS(데이터_품목별!$H$3:$H$2984,데이터_품목별!$E$3:$E$2984,"01",데이터_품목별!$A$3:$A$2984,"2026.07")</f>
        <v>450</v>
      </c>
    </row>
    <row r="7" customFormat="false" ht="15" hidden="false" customHeight="true" outlineLevel="0" collapsed="false">
      <c r="A7" s="53" t="s">
        <v>352</v>
      </c>
      <c r="B7" s="54" t="s">
        <v>353</v>
      </c>
      <c r="C7" s="55" t="n">
        <f aca="false">SUMIFS(데이터_품목별!$H$3:$H$2984,데이터_품목별!$E$3:$E$2984,"02",데이터_품목별!$A$3:$A$2984,"2024.01")</f>
        <v>5389</v>
      </c>
      <c r="D7" s="55" t="n">
        <f aca="false">SUMIFS(데이터_품목별!$H$3:$H$2984,데이터_품목별!$E$3:$E$2984,"02",데이터_품목별!$A$3:$A$2984,"2024.02")</f>
        <v>7710</v>
      </c>
      <c r="E7" s="55" t="n">
        <f aca="false">SUMIFS(데이터_품목별!$H$3:$H$2984,데이터_품목별!$E$3:$E$2984,"02",데이터_품목별!$A$3:$A$2984,"2024.03")</f>
        <v>7350</v>
      </c>
      <c r="F7" s="55" t="n">
        <f aca="false">SUMIFS(데이터_품목별!$H$3:$H$2984,데이터_품목별!$E$3:$E$2984,"02",데이터_품목별!$A$3:$A$2984,"2024.04")</f>
        <v>5790</v>
      </c>
      <c r="G7" s="55" t="n">
        <f aca="false">SUMIFS(데이터_품목별!$H$3:$H$2984,데이터_품목별!$E$3:$E$2984,"02",데이터_품목별!$A$3:$A$2984,"2024.05")</f>
        <v>6317</v>
      </c>
      <c r="H7" s="55" t="n">
        <f aca="false">SUMIFS(데이터_품목별!$H$3:$H$2984,데이터_품목별!$E$3:$E$2984,"02",데이터_품목별!$A$3:$A$2984,"2024.06")</f>
        <v>3686</v>
      </c>
      <c r="I7" s="55" t="n">
        <f aca="false">SUMIFS(데이터_품목별!$H$3:$H$2984,데이터_품목별!$E$3:$E$2984,"02",데이터_품목별!$A$3:$A$2984,"2024.07")</f>
        <v>6364</v>
      </c>
      <c r="J7" s="55" t="n">
        <f aca="false">SUMIFS(데이터_품목별!$H$3:$H$2984,데이터_품목별!$E$3:$E$2984,"02",데이터_품목별!$A$3:$A$2984,"2024.08")</f>
        <v>7408</v>
      </c>
      <c r="K7" s="55" t="n">
        <f aca="false">SUMIFS(데이터_품목별!$H$3:$H$2984,데이터_품목별!$E$3:$E$2984,"02",데이터_품목별!$A$3:$A$2984,"2024.09")</f>
        <v>7631</v>
      </c>
      <c r="L7" s="55" t="n">
        <f aca="false">SUMIFS(데이터_품목별!$H$3:$H$2984,데이터_품목별!$E$3:$E$2984,"02",데이터_품목별!$A$3:$A$2984,"2024.10")</f>
        <v>8867</v>
      </c>
      <c r="M7" s="55" t="n">
        <f aca="false">SUMIFS(데이터_품목별!$H$3:$H$2984,데이터_품목별!$E$3:$E$2984,"02",데이터_품목별!$A$3:$A$2984,"2024.11")</f>
        <v>4944</v>
      </c>
      <c r="N7" s="55" t="n">
        <f aca="false">SUMIFS(데이터_품목별!$H$3:$H$2984,데이터_품목별!$E$3:$E$2984,"02",데이터_품목별!$A$3:$A$2984,"2024.12")</f>
        <v>6482</v>
      </c>
      <c r="O7" s="55" t="n">
        <f aca="false">SUMIFS(데이터_품목별!$H$3:$H$2984,데이터_품목별!$E$3:$E$2984,"02",데이터_품목별!$A$3:$A$2984,"2025.01")</f>
        <v>5868</v>
      </c>
      <c r="P7" s="55" t="n">
        <f aca="false">SUMIFS(데이터_품목별!$H$3:$H$2984,데이터_품목별!$E$3:$E$2984,"02",데이터_품목별!$A$3:$A$2984,"2025.02")</f>
        <v>8080</v>
      </c>
      <c r="Q7" s="55" t="n">
        <f aca="false">SUMIFS(데이터_품목별!$H$3:$H$2984,데이터_품목별!$E$3:$E$2984,"02",데이터_품목별!$A$3:$A$2984,"2025.03")</f>
        <v>8774</v>
      </c>
      <c r="R7" s="55" t="n">
        <f aca="false">SUMIFS(데이터_품목별!$H$3:$H$2984,데이터_품목별!$E$3:$E$2984,"02",데이터_품목별!$A$3:$A$2984,"2025.04")</f>
        <v>6196</v>
      </c>
      <c r="S7" s="55" t="n">
        <f aca="false">SUMIFS(데이터_품목별!$H$3:$H$2984,데이터_품목별!$E$3:$E$2984,"02",데이터_품목별!$A$3:$A$2984,"2025.05")</f>
        <v>5237</v>
      </c>
      <c r="T7" s="55" t="n">
        <f aca="false">SUMIFS(데이터_품목별!$H$3:$H$2984,데이터_품목별!$E$3:$E$2984,"02",데이터_품목별!$A$3:$A$2984,"2025.06")</f>
        <v>3762</v>
      </c>
      <c r="U7" s="55" t="n">
        <f aca="false">SUMIFS(데이터_품목별!$H$3:$H$2984,데이터_품목별!$E$3:$E$2984,"02",데이터_품목별!$A$3:$A$2984,"2025.07")</f>
        <v>5982</v>
      </c>
      <c r="V7" s="55" t="n">
        <f aca="false">SUMIFS(데이터_품목별!$H$3:$H$2984,데이터_품목별!$E$3:$E$2984,"02",데이터_품목별!$A$3:$A$2984,"2025.08")</f>
        <v>5772</v>
      </c>
      <c r="W7" s="55" t="n">
        <f aca="false">SUMIFS(데이터_품목별!$H$3:$H$2984,데이터_품목별!$E$3:$E$2984,"02",데이터_품목별!$A$3:$A$2984,"2025.09")</f>
        <v>6423</v>
      </c>
      <c r="X7" s="55" t="n">
        <f aca="false">SUMIFS(데이터_품목별!$H$3:$H$2984,데이터_품목별!$E$3:$E$2984,"02",데이터_품목별!$A$3:$A$2984,"2025.10")</f>
        <v>8329</v>
      </c>
      <c r="Y7" s="55" t="n">
        <f aca="false">SUMIFS(데이터_품목별!$H$3:$H$2984,데이터_품목별!$E$3:$E$2984,"02",데이터_품목별!$A$3:$A$2984,"2025.11")</f>
        <v>8044</v>
      </c>
      <c r="Z7" s="55" t="n">
        <f aca="false">SUMIFS(데이터_품목별!$H$3:$H$2984,데이터_품목별!$E$3:$E$2984,"02",데이터_품목별!$A$3:$A$2984,"2025.12")</f>
        <v>8391</v>
      </c>
      <c r="AA7" s="55" t="n">
        <f aca="false">SUMIFS(데이터_품목별!$H$3:$H$2984,데이터_품목별!$E$3:$E$2984,"02",데이터_품목별!$A$3:$A$2984,"2026.01")</f>
        <v>8807</v>
      </c>
      <c r="AB7" s="55" t="n">
        <f aca="false">SUMIFS(데이터_품목별!$H$3:$H$2984,데이터_품목별!$E$3:$E$2984,"02",데이터_품목별!$A$3:$A$2984,"2026.02")</f>
        <v>5508</v>
      </c>
      <c r="AC7" s="55" t="n">
        <f aca="false">SUMIFS(데이터_품목별!$H$3:$H$2984,데이터_품목별!$E$3:$E$2984,"02",데이터_품목별!$A$3:$A$2984,"2026.03")</f>
        <v>8418</v>
      </c>
      <c r="AD7" s="55" t="n">
        <f aca="false">SUMIFS(데이터_품목별!$H$3:$H$2984,데이터_품목별!$E$3:$E$2984,"02",데이터_품목별!$A$3:$A$2984,"2026.04")</f>
        <v>6683</v>
      </c>
      <c r="AE7" s="55" t="n">
        <f aca="false">SUMIFS(데이터_품목별!$H$3:$H$2984,데이터_품목별!$E$3:$E$2984,"02",데이터_품목별!$A$3:$A$2984,"2026.05")</f>
        <v>4836</v>
      </c>
      <c r="AF7" s="55" t="n">
        <f aca="false">SUMIFS(데이터_품목별!$H$3:$H$2984,데이터_품목별!$E$3:$E$2984,"02",데이터_품목별!$A$3:$A$2984,"2026.06")</f>
        <v>4776</v>
      </c>
      <c r="AG7" s="55" t="n">
        <f aca="false">SUMIFS(데이터_품목별!$H$3:$H$2984,데이터_품목별!$E$3:$E$2984,"02",데이터_품목별!$A$3:$A$2984,"2026.07")</f>
        <v>6320</v>
      </c>
    </row>
    <row r="8" customFormat="false" ht="15" hidden="false" customHeight="true" outlineLevel="0" collapsed="false">
      <c r="A8" s="53" t="s">
        <v>359</v>
      </c>
      <c r="B8" s="54" t="s">
        <v>360</v>
      </c>
      <c r="C8" s="55" t="n">
        <f aca="false">SUMIFS(데이터_품목별!$H$3:$H$2984,데이터_품목별!$E$3:$E$2984,"03",데이터_품목별!$A$3:$A$2984,"2024.01")</f>
        <v>128716</v>
      </c>
      <c r="D8" s="55" t="n">
        <f aca="false">SUMIFS(데이터_품목별!$H$3:$H$2984,데이터_품목별!$E$3:$E$2984,"03",데이터_품목별!$A$3:$A$2984,"2024.02")</f>
        <v>124869</v>
      </c>
      <c r="E8" s="55" t="n">
        <f aca="false">SUMIFS(데이터_품목별!$H$3:$H$2984,데이터_품목별!$E$3:$E$2984,"03",데이터_품목별!$A$3:$A$2984,"2024.03")</f>
        <v>120182</v>
      </c>
      <c r="F8" s="55" t="n">
        <f aca="false">SUMIFS(데이터_품목별!$H$3:$H$2984,데이터_품목별!$E$3:$E$2984,"03",데이터_품목별!$A$3:$A$2984,"2024.04")</f>
        <v>160358</v>
      </c>
      <c r="G8" s="55" t="n">
        <f aca="false">SUMIFS(데이터_품목별!$H$3:$H$2984,데이터_품목별!$E$3:$E$2984,"03",데이터_품목별!$A$3:$A$2984,"2024.05")</f>
        <v>109814</v>
      </c>
      <c r="H8" s="55" t="n">
        <f aca="false">SUMIFS(데이터_품목별!$H$3:$H$2984,데이터_품목별!$E$3:$E$2984,"03",데이터_품목별!$A$3:$A$2984,"2024.06")</f>
        <v>108994</v>
      </c>
      <c r="I8" s="55" t="n">
        <f aca="false">SUMIFS(데이터_품목별!$H$3:$H$2984,데이터_품목별!$E$3:$E$2984,"03",데이터_품목별!$A$3:$A$2984,"2024.07")</f>
        <v>125808</v>
      </c>
      <c r="J8" s="55" t="n">
        <f aca="false">SUMIFS(데이터_품목별!$H$3:$H$2984,데이터_품목별!$E$3:$E$2984,"03",데이터_품목별!$A$3:$A$2984,"2024.08")</f>
        <v>124068</v>
      </c>
      <c r="K8" s="55" t="n">
        <f aca="false">SUMIFS(데이터_품목별!$H$3:$H$2984,데이터_품목별!$E$3:$E$2984,"03",데이터_품목별!$A$3:$A$2984,"2024.09")</f>
        <v>127512</v>
      </c>
      <c r="L8" s="55" t="n">
        <f aca="false">SUMIFS(데이터_품목별!$H$3:$H$2984,데이터_품목별!$E$3:$E$2984,"03",데이터_품목별!$A$3:$A$2984,"2024.10")</f>
        <v>172319</v>
      </c>
      <c r="M8" s="55" t="n">
        <f aca="false">SUMIFS(데이터_품목별!$H$3:$H$2984,데이터_품목별!$E$3:$E$2984,"03",데이터_품목별!$A$3:$A$2984,"2024.11")</f>
        <v>162270</v>
      </c>
      <c r="N8" s="55" t="n">
        <f aca="false">SUMIFS(데이터_품목별!$H$3:$H$2984,데이터_품목별!$E$3:$E$2984,"03",데이터_품목별!$A$3:$A$2984,"2024.12")</f>
        <v>143073</v>
      </c>
      <c r="O8" s="55" t="n">
        <f aca="false">SUMIFS(데이터_품목별!$H$3:$H$2984,데이터_품목별!$E$3:$E$2984,"03",데이터_품목별!$A$3:$A$2984,"2025.01")</f>
        <v>98077</v>
      </c>
      <c r="P8" s="55" t="n">
        <f aca="false">SUMIFS(데이터_품목별!$H$3:$H$2984,데이터_품목별!$E$3:$E$2984,"03",데이터_품목별!$A$3:$A$2984,"2025.02")</f>
        <v>140969</v>
      </c>
      <c r="Q8" s="55" t="n">
        <f aca="false">SUMIFS(데이터_품목별!$H$3:$H$2984,데이터_품목별!$E$3:$E$2984,"03",데이터_품목별!$A$3:$A$2984,"2025.03")</f>
        <v>141976</v>
      </c>
      <c r="R8" s="55" t="n">
        <f aca="false">SUMIFS(데이터_품목별!$H$3:$H$2984,데이터_품목별!$E$3:$E$2984,"03",데이터_품목별!$A$3:$A$2984,"2025.04")</f>
        <v>143669</v>
      </c>
      <c r="S8" s="55" t="n">
        <f aca="false">SUMIFS(데이터_품목별!$H$3:$H$2984,데이터_품목별!$E$3:$E$2984,"03",데이터_품목별!$A$3:$A$2984,"2025.05")</f>
        <v>133471</v>
      </c>
      <c r="T8" s="55" t="n">
        <f aca="false">SUMIFS(데이터_품목별!$H$3:$H$2984,데이터_품목별!$E$3:$E$2984,"03",데이터_품목별!$A$3:$A$2984,"2025.06")</f>
        <v>128775</v>
      </c>
      <c r="U8" s="55" t="n">
        <f aca="false">SUMIFS(데이터_품목별!$H$3:$H$2984,데이터_품목별!$E$3:$E$2984,"03",데이터_품목별!$A$3:$A$2984,"2025.07")</f>
        <v>156545</v>
      </c>
      <c r="V8" s="55" t="n">
        <f aca="false">SUMIFS(데이터_품목별!$H$3:$H$2984,데이터_품목별!$E$3:$E$2984,"03",데이터_품목별!$A$3:$A$2984,"2025.08")</f>
        <v>133294</v>
      </c>
      <c r="W8" s="55" t="n">
        <f aca="false">SUMIFS(데이터_품목별!$H$3:$H$2984,데이터_품목별!$E$3:$E$2984,"03",데이터_품목별!$A$3:$A$2984,"2025.09")</f>
        <v>177718</v>
      </c>
      <c r="X8" s="55" t="n">
        <f aca="false">SUMIFS(데이터_품목별!$H$3:$H$2984,데이터_품목별!$E$3:$E$2984,"03",데이터_품목별!$A$3:$A$2984,"2025.10")</f>
        <v>162099</v>
      </c>
      <c r="Y8" s="55" t="n">
        <f aca="false">SUMIFS(데이터_품목별!$H$3:$H$2984,데이터_품목별!$E$3:$E$2984,"03",데이터_품목별!$A$3:$A$2984,"2025.11")</f>
        <v>159869</v>
      </c>
      <c r="Z8" s="55" t="n">
        <f aca="false">SUMIFS(데이터_품목별!$H$3:$H$2984,데이터_품목별!$E$3:$E$2984,"03",데이터_품목별!$A$3:$A$2984,"2025.12")</f>
        <v>203518</v>
      </c>
      <c r="AA8" s="55" t="n">
        <f aca="false">SUMIFS(데이터_품목별!$H$3:$H$2984,데이터_품목별!$E$3:$E$2984,"03",데이터_품목별!$A$3:$A$2984,"2026.01")</f>
        <v>154459</v>
      </c>
      <c r="AB8" s="55" t="n">
        <f aca="false">SUMIFS(데이터_품목별!$H$3:$H$2984,데이터_품목별!$E$3:$E$2984,"03",데이터_품목별!$A$3:$A$2984,"2026.02")</f>
        <v>148644</v>
      </c>
      <c r="AC8" s="55" t="n">
        <f aca="false">SUMIFS(데이터_품목별!$H$3:$H$2984,데이터_품목별!$E$3:$E$2984,"03",데이터_품목별!$A$3:$A$2984,"2026.03")</f>
        <v>197950</v>
      </c>
      <c r="AD8" s="55" t="n">
        <f aca="false">SUMIFS(데이터_품목별!$H$3:$H$2984,데이터_품목별!$E$3:$E$2984,"03",데이터_품목별!$A$3:$A$2984,"2026.04")</f>
        <v>206676</v>
      </c>
      <c r="AE8" s="55" t="n">
        <f aca="false">SUMIFS(데이터_품목별!$H$3:$H$2984,데이터_품목별!$E$3:$E$2984,"03",데이터_품목별!$A$3:$A$2984,"2026.05")</f>
        <v>200487</v>
      </c>
      <c r="AF8" s="55" t="n">
        <f aca="false">SUMIFS(데이터_품목별!$H$3:$H$2984,데이터_품목별!$E$3:$E$2984,"03",데이터_품목별!$A$3:$A$2984,"2026.06")</f>
        <v>184400</v>
      </c>
      <c r="AG8" s="55" t="n">
        <f aca="false">SUMIFS(데이터_품목별!$H$3:$H$2984,데이터_품목별!$E$3:$E$2984,"03",데이터_품목별!$A$3:$A$2984,"2026.07")</f>
        <v>178620</v>
      </c>
    </row>
    <row r="9" customFormat="false" ht="15" hidden="false" customHeight="true" outlineLevel="0" collapsed="false">
      <c r="A9" s="53" t="s">
        <v>366</v>
      </c>
      <c r="B9" s="54" t="s">
        <v>367</v>
      </c>
      <c r="C9" s="55" t="n">
        <f aca="false">SUMIFS(데이터_품목별!$H$3:$H$2984,데이터_품목별!$E$3:$E$2984,"04",데이터_품목별!$A$3:$A$2984,"2024.01")</f>
        <v>7500</v>
      </c>
      <c r="D9" s="55" t="n">
        <f aca="false">SUMIFS(데이터_품목별!$H$3:$H$2984,데이터_품목별!$E$3:$E$2984,"04",데이터_품목별!$A$3:$A$2984,"2024.02")</f>
        <v>6529</v>
      </c>
      <c r="E9" s="55" t="n">
        <f aca="false">SUMIFS(데이터_품목별!$H$3:$H$2984,데이터_품목별!$E$3:$E$2984,"04",데이터_품목별!$A$3:$A$2984,"2024.03")</f>
        <v>6627</v>
      </c>
      <c r="F9" s="55" t="n">
        <f aca="false">SUMIFS(데이터_품목별!$H$3:$H$2984,데이터_품목별!$E$3:$E$2984,"04",데이터_품목별!$A$3:$A$2984,"2024.04")</f>
        <v>5644</v>
      </c>
      <c r="G9" s="55" t="n">
        <f aca="false">SUMIFS(데이터_품목별!$H$3:$H$2984,데이터_품목별!$E$3:$E$2984,"04",데이터_품목별!$A$3:$A$2984,"2024.05")</f>
        <v>6793</v>
      </c>
      <c r="H9" s="55" t="n">
        <f aca="false">SUMIFS(데이터_품목별!$H$3:$H$2984,데이터_품목별!$E$3:$E$2984,"04",데이터_품목별!$A$3:$A$2984,"2024.06")</f>
        <v>6961</v>
      </c>
      <c r="I9" s="55" t="n">
        <f aca="false">SUMIFS(데이터_품목별!$H$3:$H$2984,데이터_품목별!$E$3:$E$2984,"04",데이터_품목별!$A$3:$A$2984,"2024.07")</f>
        <v>5162</v>
      </c>
      <c r="J9" s="55" t="n">
        <f aca="false">SUMIFS(데이터_품목별!$H$3:$H$2984,데이터_품목별!$E$3:$E$2984,"04",데이터_품목별!$A$3:$A$2984,"2024.08")</f>
        <v>5698</v>
      </c>
      <c r="K9" s="55" t="n">
        <f aca="false">SUMIFS(데이터_품목별!$H$3:$H$2984,데이터_품목별!$E$3:$E$2984,"04",데이터_품목별!$A$3:$A$2984,"2024.09")</f>
        <v>7152</v>
      </c>
      <c r="L9" s="55" t="n">
        <f aca="false">SUMIFS(데이터_품목별!$H$3:$H$2984,데이터_품목별!$E$3:$E$2984,"04",데이터_품목별!$A$3:$A$2984,"2024.10")</f>
        <v>6630</v>
      </c>
      <c r="M9" s="55" t="n">
        <f aca="false">SUMIFS(데이터_품목별!$H$3:$H$2984,데이터_품목별!$E$3:$E$2984,"04",데이터_품목별!$A$3:$A$2984,"2024.11")</f>
        <v>5362</v>
      </c>
      <c r="N9" s="55" t="n">
        <f aca="false">SUMIFS(데이터_품목별!$H$3:$H$2984,데이터_품목별!$E$3:$E$2984,"04",데이터_품목별!$A$3:$A$2984,"2024.12")</f>
        <v>6654</v>
      </c>
      <c r="O9" s="55" t="n">
        <f aca="false">SUMIFS(데이터_품목별!$H$3:$H$2984,데이터_품목별!$E$3:$E$2984,"04",데이터_품목별!$A$3:$A$2984,"2025.01")</f>
        <v>6510</v>
      </c>
      <c r="P9" s="55" t="n">
        <f aca="false">SUMIFS(데이터_품목별!$H$3:$H$2984,데이터_품목별!$E$3:$E$2984,"04",데이터_품목별!$A$3:$A$2984,"2025.02")</f>
        <v>6784</v>
      </c>
      <c r="Q9" s="55" t="n">
        <f aca="false">SUMIFS(데이터_품목별!$H$3:$H$2984,데이터_품목별!$E$3:$E$2984,"04",데이터_품목별!$A$3:$A$2984,"2025.03")</f>
        <v>7476</v>
      </c>
      <c r="R9" s="55" t="n">
        <f aca="false">SUMIFS(데이터_품목별!$H$3:$H$2984,데이터_품목별!$E$3:$E$2984,"04",데이터_품목별!$A$3:$A$2984,"2025.04")</f>
        <v>8234</v>
      </c>
      <c r="S9" s="55" t="n">
        <f aca="false">SUMIFS(데이터_품목별!$H$3:$H$2984,데이터_품목별!$E$3:$E$2984,"04",데이터_품목별!$A$3:$A$2984,"2025.05")</f>
        <v>8088</v>
      </c>
      <c r="T9" s="55" t="n">
        <f aca="false">SUMIFS(데이터_품목별!$H$3:$H$2984,데이터_품목별!$E$3:$E$2984,"04",데이터_품목별!$A$3:$A$2984,"2025.06")</f>
        <v>4489</v>
      </c>
      <c r="U9" s="55" t="n">
        <f aca="false">SUMIFS(데이터_품목별!$H$3:$H$2984,데이터_품목별!$E$3:$E$2984,"04",데이터_품목별!$A$3:$A$2984,"2025.07")</f>
        <v>7894</v>
      </c>
      <c r="V9" s="55" t="n">
        <f aca="false">SUMIFS(데이터_품목별!$H$3:$H$2984,데이터_품목별!$E$3:$E$2984,"04",데이터_품목별!$A$3:$A$2984,"2025.08")</f>
        <v>5207</v>
      </c>
      <c r="W9" s="55" t="n">
        <f aca="false">SUMIFS(데이터_품목별!$H$3:$H$2984,데이터_품목별!$E$3:$E$2984,"04",데이터_품목별!$A$3:$A$2984,"2025.09")</f>
        <v>7500</v>
      </c>
      <c r="X9" s="55" t="n">
        <f aca="false">SUMIFS(데이터_품목별!$H$3:$H$2984,데이터_품목별!$E$3:$E$2984,"04",데이터_품목별!$A$3:$A$2984,"2025.10")</f>
        <v>5660</v>
      </c>
      <c r="Y9" s="55" t="n">
        <f aca="false">SUMIFS(데이터_품목별!$H$3:$H$2984,데이터_품목별!$E$3:$E$2984,"04",데이터_품목별!$A$3:$A$2984,"2025.11")</f>
        <v>6208</v>
      </c>
      <c r="Z9" s="55" t="n">
        <f aca="false">SUMIFS(데이터_품목별!$H$3:$H$2984,데이터_품목별!$E$3:$E$2984,"04",데이터_품목별!$A$3:$A$2984,"2025.12")</f>
        <v>8647</v>
      </c>
      <c r="AA9" s="55" t="n">
        <f aca="false">SUMIFS(데이터_품목별!$H$3:$H$2984,데이터_품목별!$E$3:$E$2984,"04",데이터_품목별!$A$3:$A$2984,"2026.01")</f>
        <v>7077</v>
      </c>
      <c r="AB9" s="55" t="n">
        <f aca="false">SUMIFS(데이터_품목별!$H$3:$H$2984,데이터_품목별!$E$3:$E$2984,"04",데이터_품목별!$A$3:$A$2984,"2026.02")</f>
        <v>7023</v>
      </c>
      <c r="AC9" s="55" t="n">
        <f aca="false">SUMIFS(데이터_품목별!$H$3:$H$2984,데이터_품목별!$E$3:$E$2984,"04",데이터_품목별!$A$3:$A$2984,"2026.03")</f>
        <v>7653</v>
      </c>
      <c r="AD9" s="55" t="n">
        <f aca="false">SUMIFS(데이터_품목별!$H$3:$H$2984,데이터_품목별!$E$3:$E$2984,"04",데이터_품목별!$A$3:$A$2984,"2026.04")</f>
        <v>6183</v>
      </c>
      <c r="AE9" s="55" t="n">
        <f aca="false">SUMIFS(데이터_품목별!$H$3:$H$2984,데이터_품목별!$E$3:$E$2984,"04",데이터_품목별!$A$3:$A$2984,"2026.05")</f>
        <v>5541</v>
      </c>
      <c r="AF9" s="55" t="n">
        <f aca="false">SUMIFS(데이터_품목별!$H$3:$H$2984,데이터_품목별!$E$3:$E$2984,"04",데이터_품목별!$A$3:$A$2984,"2026.06")</f>
        <v>5837</v>
      </c>
      <c r="AG9" s="55" t="n">
        <f aca="false">SUMIFS(데이터_품목별!$H$3:$H$2984,데이터_품목별!$E$3:$E$2984,"04",데이터_품목별!$A$3:$A$2984,"2026.07")</f>
        <v>7164</v>
      </c>
    </row>
    <row r="10" customFormat="false" ht="15" hidden="false" customHeight="true" outlineLevel="0" collapsed="false">
      <c r="A10" s="53" t="s">
        <v>373</v>
      </c>
      <c r="B10" s="54" t="s">
        <v>374</v>
      </c>
      <c r="C10" s="55" t="n">
        <f aca="false">SUMIFS(데이터_품목별!$H$3:$H$2984,데이터_품목별!$E$3:$E$2984,"05",데이터_품목별!$A$3:$A$2984,"2024.01")</f>
        <v>3306</v>
      </c>
      <c r="D10" s="55" t="n">
        <f aca="false">SUMIFS(데이터_품목별!$H$3:$H$2984,데이터_품목별!$E$3:$E$2984,"05",데이터_품목별!$A$3:$A$2984,"2024.02")</f>
        <v>3523</v>
      </c>
      <c r="E10" s="55" t="n">
        <f aca="false">SUMIFS(데이터_품목별!$H$3:$H$2984,데이터_품목별!$E$3:$E$2984,"05",데이터_품목별!$A$3:$A$2984,"2024.03")</f>
        <v>7977</v>
      </c>
      <c r="F10" s="55" t="n">
        <f aca="false">SUMIFS(데이터_품목별!$H$3:$H$2984,데이터_품목별!$E$3:$E$2984,"05",데이터_품목별!$A$3:$A$2984,"2024.04")</f>
        <v>6423</v>
      </c>
      <c r="G10" s="55" t="n">
        <f aca="false">SUMIFS(데이터_품목별!$H$3:$H$2984,데이터_품목별!$E$3:$E$2984,"05",데이터_품목별!$A$3:$A$2984,"2024.05")</f>
        <v>7375</v>
      </c>
      <c r="H10" s="55" t="n">
        <f aca="false">SUMIFS(데이터_품목별!$H$3:$H$2984,데이터_품목별!$E$3:$E$2984,"05",데이터_품목별!$A$3:$A$2984,"2024.06")</f>
        <v>7008</v>
      </c>
      <c r="I10" s="55" t="n">
        <f aca="false">SUMIFS(데이터_품목별!$H$3:$H$2984,데이터_품목별!$E$3:$E$2984,"05",데이터_품목별!$A$3:$A$2984,"2024.07")</f>
        <v>11091</v>
      </c>
      <c r="J10" s="55" t="n">
        <f aca="false">SUMIFS(데이터_품목별!$H$3:$H$2984,데이터_품목별!$E$3:$E$2984,"05",데이터_품목별!$A$3:$A$2984,"2024.08")</f>
        <v>5074</v>
      </c>
      <c r="K10" s="55" t="n">
        <f aca="false">SUMIFS(데이터_품목별!$H$3:$H$2984,데이터_품목별!$E$3:$E$2984,"05",데이터_품목별!$A$3:$A$2984,"2024.09")</f>
        <v>4482</v>
      </c>
      <c r="L10" s="55" t="n">
        <f aca="false">SUMIFS(데이터_품목별!$H$3:$H$2984,데이터_품목별!$E$3:$E$2984,"05",데이터_품목별!$A$3:$A$2984,"2024.10")</f>
        <v>5244</v>
      </c>
      <c r="M10" s="55" t="n">
        <f aca="false">SUMIFS(데이터_품목별!$H$3:$H$2984,데이터_품목별!$E$3:$E$2984,"05",데이터_품목별!$A$3:$A$2984,"2024.11")</f>
        <v>8529</v>
      </c>
      <c r="N10" s="55" t="n">
        <f aca="false">SUMIFS(데이터_품목별!$H$3:$H$2984,데이터_품목별!$E$3:$E$2984,"05",데이터_품목별!$A$3:$A$2984,"2024.12")</f>
        <v>4054</v>
      </c>
      <c r="O10" s="55" t="n">
        <f aca="false">SUMIFS(데이터_품목별!$H$3:$H$2984,데이터_품목별!$E$3:$E$2984,"05",데이터_품목별!$A$3:$A$2984,"2025.01")</f>
        <v>2877</v>
      </c>
      <c r="P10" s="55" t="n">
        <f aca="false">SUMIFS(데이터_품목별!$H$3:$H$2984,데이터_품목별!$E$3:$E$2984,"05",데이터_품목별!$A$3:$A$2984,"2025.02")</f>
        <v>8292</v>
      </c>
      <c r="Q10" s="55" t="n">
        <f aca="false">SUMIFS(데이터_품목별!$H$3:$H$2984,데이터_품목별!$E$3:$E$2984,"05",데이터_품목별!$A$3:$A$2984,"2025.03")</f>
        <v>3438</v>
      </c>
      <c r="R10" s="55" t="n">
        <f aca="false">SUMIFS(데이터_품목별!$H$3:$H$2984,데이터_품목별!$E$3:$E$2984,"05",데이터_품목별!$A$3:$A$2984,"2025.04")</f>
        <v>7084</v>
      </c>
      <c r="S10" s="55" t="n">
        <f aca="false">SUMIFS(데이터_품목별!$H$3:$H$2984,데이터_품목별!$E$3:$E$2984,"05",데이터_품목별!$A$3:$A$2984,"2025.05")</f>
        <v>8819</v>
      </c>
      <c r="T10" s="55" t="n">
        <f aca="false">SUMIFS(데이터_품목별!$H$3:$H$2984,데이터_품목별!$E$3:$E$2984,"05",데이터_품목별!$A$3:$A$2984,"2025.06")</f>
        <v>8722</v>
      </c>
      <c r="U10" s="55" t="n">
        <f aca="false">SUMIFS(데이터_품목별!$H$3:$H$2984,데이터_품목별!$E$3:$E$2984,"05",데이터_품목별!$A$3:$A$2984,"2025.07")</f>
        <v>6637</v>
      </c>
      <c r="V10" s="55" t="n">
        <f aca="false">SUMIFS(데이터_품목별!$H$3:$H$2984,데이터_품목별!$E$3:$E$2984,"05",데이터_품목별!$A$3:$A$2984,"2025.08")</f>
        <v>7325</v>
      </c>
      <c r="W10" s="55" t="n">
        <f aca="false">SUMIFS(데이터_품목별!$H$3:$H$2984,데이터_품목별!$E$3:$E$2984,"05",데이터_품목별!$A$3:$A$2984,"2025.09")</f>
        <v>4353</v>
      </c>
      <c r="X10" s="55" t="n">
        <f aca="false">SUMIFS(데이터_품목별!$H$3:$H$2984,데이터_품목별!$E$3:$E$2984,"05",데이터_품목별!$A$3:$A$2984,"2025.10")</f>
        <v>3821</v>
      </c>
      <c r="Y10" s="55" t="n">
        <f aca="false">SUMIFS(데이터_품목별!$H$3:$H$2984,데이터_품목별!$E$3:$E$2984,"05",데이터_품목별!$A$3:$A$2984,"2025.11")</f>
        <v>4666</v>
      </c>
      <c r="Z10" s="55" t="n">
        <f aca="false">SUMIFS(데이터_품목별!$H$3:$H$2984,데이터_품목별!$E$3:$E$2984,"05",데이터_품목별!$A$3:$A$2984,"2025.12")</f>
        <v>4392</v>
      </c>
      <c r="AA10" s="55" t="n">
        <f aca="false">SUMIFS(데이터_품목별!$H$3:$H$2984,데이터_품목별!$E$3:$E$2984,"05",데이터_품목별!$A$3:$A$2984,"2026.01")</f>
        <v>4241</v>
      </c>
      <c r="AB10" s="55" t="n">
        <f aca="false">SUMIFS(데이터_품목별!$H$3:$H$2984,데이터_품목별!$E$3:$E$2984,"05",데이터_품목별!$A$3:$A$2984,"2026.02")</f>
        <v>4009</v>
      </c>
      <c r="AC10" s="55" t="n">
        <f aca="false">SUMIFS(데이터_품목별!$H$3:$H$2984,데이터_품목별!$E$3:$E$2984,"05",데이터_품목별!$A$3:$A$2984,"2026.03")</f>
        <v>6311</v>
      </c>
      <c r="AD10" s="55" t="n">
        <f aca="false">SUMIFS(데이터_품목별!$H$3:$H$2984,데이터_품목별!$E$3:$E$2984,"05",데이터_품목별!$A$3:$A$2984,"2026.04")</f>
        <v>8870</v>
      </c>
      <c r="AE10" s="55" t="n">
        <f aca="false">SUMIFS(데이터_품목별!$H$3:$H$2984,데이터_품목별!$E$3:$E$2984,"05",데이터_품목별!$A$3:$A$2984,"2026.05")</f>
        <v>9110</v>
      </c>
      <c r="AF10" s="55" t="n">
        <f aca="false">SUMIFS(데이터_품목별!$H$3:$H$2984,데이터_품목별!$E$3:$E$2984,"05",데이터_품목별!$A$3:$A$2984,"2026.06")</f>
        <v>9305</v>
      </c>
      <c r="AG10" s="55" t="n">
        <f aca="false">SUMIFS(데이터_품목별!$H$3:$H$2984,데이터_품목별!$E$3:$E$2984,"05",데이터_품목별!$A$3:$A$2984,"2026.07")</f>
        <v>10442</v>
      </c>
    </row>
    <row r="11" customFormat="false" ht="15" hidden="false" customHeight="true" outlineLevel="0" collapsed="false">
      <c r="A11" s="53" t="s">
        <v>380</v>
      </c>
      <c r="B11" s="54" t="s">
        <v>381</v>
      </c>
      <c r="C11" s="55" t="n">
        <f aca="false">SUMIFS(데이터_품목별!$H$3:$H$2984,데이터_품목별!$E$3:$E$2984,"06",데이터_품목별!$A$3:$A$2984,"2024.01")</f>
        <v>856</v>
      </c>
      <c r="D11" s="55" t="n">
        <f aca="false">SUMIFS(데이터_품목별!$H$3:$H$2984,데이터_품목별!$E$3:$E$2984,"06",데이터_품목별!$A$3:$A$2984,"2024.02")</f>
        <v>210</v>
      </c>
      <c r="E11" s="55" t="n">
        <f aca="false">SUMIFS(데이터_품목별!$H$3:$H$2984,데이터_품목별!$E$3:$E$2984,"06",데이터_품목별!$A$3:$A$2984,"2024.03")</f>
        <v>1480</v>
      </c>
      <c r="F11" s="55" t="n">
        <f aca="false">SUMIFS(데이터_품목별!$H$3:$H$2984,데이터_품목별!$E$3:$E$2984,"06",데이터_품목별!$A$3:$A$2984,"2024.04")</f>
        <v>859</v>
      </c>
      <c r="G11" s="55" t="n">
        <f aca="false">SUMIFS(데이터_품목별!$H$3:$H$2984,데이터_품목별!$E$3:$E$2984,"06",데이터_품목별!$A$3:$A$2984,"2024.05")</f>
        <v>487</v>
      </c>
      <c r="H11" s="55" t="n">
        <f aca="false">SUMIFS(데이터_품목별!$H$3:$H$2984,데이터_품목별!$E$3:$E$2984,"06",데이터_품목별!$A$3:$A$2984,"2024.06")</f>
        <v>651</v>
      </c>
      <c r="I11" s="55" t="n">
        <f aca="false">SUMIFS(데이터_품목별!$H$3:$H$2984,데이터_품목별!$E$3:$E$2984,"06",데이터_품목별!$A$3:$A$2984,"2024.07")</f>
        <v>445</v>
      </c>
      <c r="J11" s="55" t="n">
        <f aca="false">SUMIFS(데이터_품목별!$H$3:$H$2984,데이터_품목별!$E$3:$E$2984,"06",데이터_품목별!$A$3:$A$2984,"2024.08")</f>
        <v>365</v>
      </c>
      <c r="K11" s="55" t="n">
        <f aca="false">SUMIFS(데이터_품목별!$H$3:$H$2984,데이터_품목별!$E$3:$E$2984,"06",데이터_품목별!$A$3:$A$2984,"2024.09")</f>
        <v>269</v>
      </c>
      <c r="L11" s="55" t="n">
        <f aca="false">SUMIFS(데이터_품목별!$H$3:$H$2984,데이터_품목별!$E$3:$E$2984,"06",데이터_품목별!$A$3:$A$2984,"2024.10")</f>
        <v>737</v>
      </c>
      <c r="M11" s="55" t="n">
        <f aca="false">SUMIFS(데이터_품목별!$H$3:$H$2984,데이터_품목별!$E$3:$E$2984,"06",데이터_품목별!$A$3:$A$2984,"2024.11")</f>
        <v>545</v>
      </c>
      <c r="N11" s="55" t="n">
        <f aca="false">SUMIFS(데이터_품목별!$H$3:$H$2984,데이터_품목별!$E$3:$E$2984,"06",데이터_품목별!$A$3:$A$2984,"2024.12")</f>
        <v>995</v>
      </c>
      <c r="O11" s="55" t="n">
        <f aca="false">SUMIFS(데이터_품목별!$H$3:$H$2984,데이터_품목별!$E$3:$E$2984,"06",데이터_품목별!$A$3:$A$2984,"2025.01")</f>
        <v>418</v>
      </c>
      <c r="P11" s="55" t="n">
        <f aca="false">SUMIFS(데이터_품목별!$H$3:$H$2984,데이터_품목별!$E$3:$E$2984,"06",데이터_품목별!$A$3:$A$2984,"2025.02")</f>
        <v>305</v>
      </c>
      <c r="Q11" s="55" t="n">
        <f aca="false">SUMIFS(데이터_품목별!$H$3:$H$2984,데이터_품목별!$E$3:$E$2984,"06",데이터_품목별!$A$3:$A$2984,"2025.03")</f>
        <v>611</v>
      </c>
      <c r="R11" s="55" t="n">
        <f aca="false">SUMIFS(데이터_품목별!$H$3:$H$2984,데이터_품목별!$E$3:$E$2984,"06",데이터_품목별!$A$3:$A$2984,"2025.04")</f>
        <v>779</v>
      </c>
      <c r="S11" s="55" t="n">
        <f aca="false">SUMIFS(데이터_품목별!$H$3:$H$2984,데이터_품목별!$E$3:$E$2984,"06",데이터_품목별!$A$3:$A$2984,"2025.05")</f>
        <v>488</v>
      </c>
      <c r="T11" s="55" t="n">
        <f aca="false">SUMIFS(데이터_품목별!$H$3:$H$2984,데이터_품목별!$E$3:$E$2984,"06",데이터_품목별!$A$3:$A$2984,"2025.06")</f>
        <v>355</v>
      </c>
      <c r="U11" s="55" t="n">
        <f aca="false">SUMIFS(데이터_품목별!$H$3:$H$2984,데이터_품목별!$E$3:$E$2984,"06",데이터_품목별!$A$3:$A$2984,"2025.07")</f>
        <v>198</v>
      </c>
      <c r="V11" s="55" t="n">
        <f aca="false">SUMIFS(데이터_품목별!$H$3:$H$2984,데이터_품목별!$E$3:$E$2984,"06",데이터_품목별!$A$3:$A$2984,"2025.08")</f>
        <v>367</v>
      </c>
      <c r="W11" s="55" t="n">
        <f aca="false">SUMIFS(데이터_품목별!$H$3:$H$2984,데이터_품목별!$E$3:$E$2984,"06",데이터_품목별!$A$3:$A$2984,"2025.09")</f>
        <v>453</v>
      </c>
      <c r="X11" s="55" t="n">
        <f aca="false">SUMIFS(데이터_품목별!$H$3:$H$2984,데이터_품목별!$E$3:$E$2984,"06",데이터_품목별!$A$3:$A$2984,"2025.10")</f>
        <v>567</v>
      </c>
      <c r="Y11" s="55" t="n">
        <f aca="false">SUMIFS(데이터_품목별!$H$3:$H$2984,데이터_품목별!$E$3:$E$2984,"06",데이터_품목별!$A$3:$A$2984,"2025.11")</f>
        <v>262</v>
      </c>
      <c r="Z11" s="55" t="n">
        <f aca="false">SUMIFS(데이터_품목별!$H$3:$H$2984,데이터_품목별!$E$3:$E$2984,"06",데이터_품목별!$A$3:$A$2984,"2025.12")</f>
        <v>593</v>
      </c>
      <c r="AA11" s="55" t="n">
        <f aca="false">SUMIFS(데이터_품목별!$H$3:$H$2984,데이터_품목별!$E$3:$E$2984,"06",데이터_품목별!$A$3:$A$2984,"2026.01")</f>
        <v>350</v>
      </c>
      <c r="AB11" s="55" t="n">
        <f aca="false">SUMIFS(데이터_품목별!$H$3:$H$2984,데이터_품목별!$E$3:$E$2984,"06",데이터_품목별!$A$3:$A$2984,"2026.02")</f>
        <v>191</v>
      </c>
      <c r="AC11" s="55" t="n">
        <f aca="false">SUMIFS(데이터_품목별!$H$3:$H$2984,데이터_품목별!$E$3:$E$2984,"06",데이터_품목별!$A$3:$A$2984,"2026.03")</f>
        <v>754</v>
      </c>
      <c r="AD11" s="55" t="n">
        <f aca="false">SUMIFS(데이터_품목별!$H$3:$H$2984,데이터_품목별!$E$3:$E$2984,"06",데이터_품목별!$A$3:$A$2984,"2026.04")</f>
        <v>474</v>
      </c>
      <c r="AE11" s="55" t="n">
        <f aca="false">SUMIFS(데이터_품목별!$H$3:$H$2984,데이터_품목별!$E$3:$E$2984,"06",데이터_품목별!$A$3:$A$2984,"2026.05")</f>
        <v>355</v>
      </c>
      <c r="AF11" s="55" t="n">
        <f aca="false">SUMIFS(데이터_품목별!$H$3:$H$2984,데이터_품목별!$E$3:$E$2984,"06",데이터_품목별!$A$3:$A$2984,"2026.06")</f>
        <v>331</v>
      </c>
      <c r="AG11" s="55" t="n">
        <f aca="false">SUMIFS(데이터_품목별!$H$3:$H$2984,데이터_품목별!$E$3:$E$2984,"06",데이터_품목별!$A$3:$A$2984,"2026.07")</f>
        <v>181</v>
      </c>
    </row>
    <row r="12" customFormat="false" ht="15" hidden="false" customHeight="true" outlineLevel="0" collapsed="false">
      <c r="A12" s="53" t="s">
        <v>387</v>
      </c>
      <c r="B12" s="54" t="s">
        <v>388</v>
      </c>
      <c r="C12" s="55" t="n">
        <f aca="false">SUMIFS(데이터_품목별!$H$3:$H$2984,데이터_품목별!$E$3:$E$2984,"07",데이터_품목별!$A$3:$A$2984,"2024.01")</f>
        <v>10899</v>
      </c>
      <c r="D12" s="55" t="n">
        <f aca="false">SUMIFS(데이터_품목별!$H$3:$H$2984,데이터_품목별!$E$3:$E$2984,"07",데이터_품목별!$A$3:$A$2984,"2024.02")</f>
        <v>9624</v>
      </c>
      <c r="E12" s="55" t="n">
        <f aca="false">SUMIFS(데이터_품목별!$H$3:$H$2984,데이터_품목별!$E$3:$E$2984,"07",데이터_품목별!$A$3:$A$2984,"2024.03")</f>
        <v>10223</v>
      </c>
      <c r="F12" s="55" t="n">
        <f aca="false">SUMIFS(데이터_품목별!$H$3:$H$2984,데이터_품목별!$E$3:$E$2984,"07",데이터_품목별!$A$3:$A$2984,"2024.04")</f>
        <v>10717</v>
      </c>
      <c r="G12" s="55" t="n">
        <f aca="false">SUMIFS(데이터_품목별!$H$3:$H$2984,데이터_품목별!$E$3:$E$2984,"07",데이터_품목별!$A$3:$A$2984,"2024.05")</f>
        <v>10021</v>
      </c>
      <c r="H12" s="55" t="n">
        <f aca="false">SUMIFS(데이터_품목별!$H$3:$H$2984,데이터_품목별!$E$3:$E$2984,"07",데이터_품목별!$A$3:$A$2984,"2024.06")</f>
        <v>10136</v>
      </c>
      <c r="I12" s="55" t="n">
        <f aca="false">SUMIFS(데이터_품목별!$H$3:$H$2984,데이터_품목별!$E$3:$E$2984,"07",데이터_품목별!$A$3:$A$2984,"2024.07")</f>
        <v>9842</v>
      </c>
      <c r="J12" s="55" t="n">
        <f aca="false">SUMIFS(데이터_품목별!$H$3:$H$2984,데이터_품목별!$E$3:$E$2984,"07",데이터_품목별!$A$3:$A$2984,"2024.08")</f>
        <v>8915</v>
      </c>
      <c r="K12" s="55" t="n">
        <f aca="false">SUMIFS(데이터_품목별!$H$3:$H$2984,데이터_품목별!$E$3:$E$2984,"07",데이터_품목별!$A$3:$A$2984,"2024.09")</f>
        <v>8386</v>
      </c>
      <c r="L12" s="55" t="n">
        <f aca="false">SUMIFS(데이터_품목별!$H$3:$H$2984,데이터_품목별!$E$3:$E$2984,"07",데이터_품목별!$A$3:$A$2984,"2024.10")</f>
        <v>9179</v>
      </c>
      <c r="M12" s="55" t="n">
        <f aca="false">SUMIFS(데이터_품목별!$H$3:$H$2984,데이터_품목별!$E$3:$E$2984,"07",데이터_품목별!$A$3:$A$2984,"2024.11")</f>
        <v>11691</v>
      </c>
      <c r="N12" s="55" t="n">
        <f aca="false">SUMIFS(데이터_품목별!$H$3:$H$2984,데이터_품목별!$E$3:$E$2984,"07",데이터_품목별!$A$3:$A$2984,"2024.12")</f>
        <v>12484</v>
      </c>
      <c r="O12" s="55" t="n">
        <f aca="false">SUMIFS(데이터_품목별!$H$3:$H$2984,데이터_품목별!$E$3:$E$2984,"07",데이터_품목별!$A$3:$A$2984,"2025.01")</f>
        <v>9802</v>
      </c>
      <c r="P12" s="55" t="n">
        <f aca="false">SUMIFS(데이터_품목별!$H$3:$H$2984,데이터_품목별!$E$3:$E$2984,"07",데이터_품목별!$A$3:$A$2984,"2025.02")</f>
        <v>7535</v>
      </c>
      <c r="Q12" s="55" t="n">
        <f aca="false">SUMIFS(데이터_품목별!$H$3:$H$2984,데이터_품목별!$E$3:$E$2984,"07",데이터_품목별!$A$3:$A$2984,"2025.03")</f>
        <v>8265</v>
      </c>
      <c r="R12" s="55" t="n">
        <f aca="false">SUMIFS(데이터_품목별!$H$3:$H$2984,데이터_품목별!$E$3:$E$2984,"07",데이터_품목별!$A$3:$A$2984,"2025.04")</f>
        <v>9551</v>
      </c>
      <c r="S12" s="55" t="n">
        <f aca="false">SUMIFS(데이터_품목별!$H$3:$H$2984,데이터_품목별!$E$3:$E$2984,"07",데이터_품목별!$A$3:$A$2984,"2025.05")</f>
        <v>9453</v>
      </c>
      <c r="T12" s="55" t="n">
        <f aca="false">SUMIFS(데이터_품목별!$H$3:$H$2984,데이터_품목별!$E$3:$E$2984,"07",데이터_품목별!$A$3:$A$2984,"2025.06")</f>
        <v>10849</v>
      </c>
      <c r="U12" s="55" t="n">
        <f aca="false">SUMIFS(데이터_품목별!$H$3:$H$2984,데이터_품목별!$E$3:$E$2984,"07",데이터_품목별!$A$3:$A$2984,"2025.07")</f>
        <v>9864</v>
      </c>
      <c r="V12" s="55" t="n">
        <f aca="false">SUMIFS(데이터_품목별!$H$3:$H$2984,데이터_품목별!$E$3:$E$2984,"07",데이터_품목별!$A$3:$A$2984,"2025.08")</f>
        <v>8093</v>
      </c>
      <c r="W12" s="55" t="n">
        <f aca="false">SUMIFS(데이터_품목별!$H$3:$H$2984,데이터_품목별!$E$3:$E$2984,"07",데이터_품목별!$A$3:$A$2984,"2025.09")</f>
        <v>9147</v>
      </c>
      <c r="X12" s="55" t="n">
        <f aca="false">SUMIFS(데이터_품목별!$H$3:$H$2984,데이터_품목별!$E$3:$E$2984,"07",데이터_품목별!$A$3:$A$2984,"2025.10")</f>
        <v>8318</v>
      </c>
      <c r="Y12" s="55" t="n">
        <f aca="false">SUMIFS(데이터_품목별!$H$3:$H$2984,데이터_품목별!$E$3:$E$2984,"07",데이터_품목별!$A$3:$A$2984,"2025.11")</f>
        <v>10784</v>
      </c>
      <c r="Z12" s="55" t="n">
        <f aca="false">SUMIFS(데이터_품목별!$H$3:$H$2984,데이터_품목별!$E$3:$E$2984,"07",데이터_품목별!$A$3:$A$2984,"2025.12")</f>
        <v>11424</v>
      </c>
      <c r="AA12" s="55" t="n">
        <f aca="false">SUMIFS(데이터_품목별!$H$3:$H$2984,데이터_품목별!$E$3:$E$2984,"07",데이터_품목별!$A$3:$A$2984,"2026.01")</f>
        <v>8479</v>
      </c>
      <c r="AB12" s="55" t="n">
        <f aca="false">SUMIFS(데이터_품목별!$H$3:$H$2984,데이터_품목별!$E$3:$E$2984,"07",데이터_품목별!$A$3:$A$2984,"2026.02")</f>
        <v>7600</v>
      </c>
      <c r="AC12" s="55" t="n">
        <f aca="false">SUMIFS(데이터_품목별!$H$3:$H$2984,데이터_품목별!$E$3:$E$2984,"07",데이터_품목별!$A$3:$A$2984,"2026.03")</f>
        <v>9466</v>
      </c>
      <c r="AD12" s="55" t="n">
        <f aca="false">SUMIFS(데이터_품목별!$H$3:$H$2984,데이터_품목별!$E$3:$E$2984,"07",데이터_품목별!$A$3:$A$2984,"2026.04")</f>
        <v>9455</v>
      </c>
      <c r="AE12" s="55" t="n">
        <f aca="false">SUMIFS(데이터_품목별!$H$3:$H$2984,데이터_품목별!$E$3:$E$2984,"07",데이터_품목별!$A$3:$A$2984,"2026.05")</f>
        <v>9549</v>
      </c>
      <c r="AF12" s="55" t="n">
        <f aca="false">SUMIFS(데이터_품목별!$H$3:$H$2984,데이터_품목별!$E$3:$E$2984,"07",데이터_품목별!$A$3:$A$2984,"2026.06")</f>
        <v>10416</v>
      </c>
      <c r="AG12" s="55" t="n">
        <f aca="false">SUMIFS(데이터_품목별!$H$3:$H$2984,데이터_품목별!$E$3:$E$2984,"07",데이터_품목별!$A$3:$A$2984,"2026.07")</f>
        <v>10777</v>
      </c>
    </row>
    <row r="13" customFormat="false" ht="15" hidden="false" customHeight="true" outlineLevel="0" collapsed="false">
      <c r="A13" s="53" t="s">
        <v>394</v>
      </c>
      <c r="B13" s="54" t="s">
        <v>395</v>
      </c>
      <c r="C13" s="55" t="n">
        <f aca="false">SUMIFS(데이터_품목별!$H$3:$H$2984,데이터_품목별!$E$3:$E$2984,"08",데이터_품목별!$A$3:$A$2984,"2024.01")</f>
        <v>26827</v>
      </c>
      <c r="D13" s="55" t="n">
        <f aca="false">SUMIFS(데이터_품목별!$H$3:$H$2984,데이터_품목별!$E$3:$E$2984,"08",데이터_품목별!$A$3:$A$2984,"2024.02")</f>
        <v>18098</v>
      </c>
      <c r="E13" s="55" t="n">
        <f aca="false">SUMIFS(데이터_품목별!$H$3:$H$2984,데이터_품목별!$E$3:$E$2984,"08",데이터_품목별!$A$3:$A$2984,"2024.03")</f>
        <v>15298</v>
      </c>
      <c r="F13" s="55" t="n">
        <f aca="false">SUMIFS(데이터_품목별!$H$3:$H$2984,데이터_품목별!$E$3:$E$2984,"08",데이터_품목별!$A$3:$A$2984,"2024.04")</f>
        <v>9432</v>
      </c>
      <c r="G13" s="55" t="n">
        <f aca="false">SUMIFS(데이터_품목별!$H$3:$H$2984,데이터_품목별!$E$3:$E$2984,"08",데이터_품목별!$A$3:$A$2984,"2024.05")</f>
        <v>4065</v>
      </c>
      <c r="H13" s="55" t="n">
        <f aca="false">SUMIFS(데이터_품목별!$H$3:$H$2984,데이터_품목별!$E$3:$E$2984,"08",데이터_품목별!$A$3:$A$2984,"2024.06")</f>
        <v>1876</v>
      </c>
      <c r="I13" s="55" t="n">
        <f aca="false">SUMIFS(데이터_품목별!$H$3:$H$2984,데이터_품목별!$E$3:$E$2984,"08",데이터_품목별!$A$3:$A$2984,"2024.07")</f>
        <v>3771</v>
      </c>
      <c r="J13" s="55" t="n">
        <f aca="false">SUMIFS(데이터_품목별!$H$3:$H$2984,데이터_품목별!$E$3:$E$2984,"08",데이터_품목별!$A$3:$A$2984,"2024.08")</f>
        <v>20601</v>
      </c>
      <c r="K13" s="55" t="n">
        <f aca="false">SUMIFS(데이터_품목별!$H$3:$H$2984,데이터_품목별!$E$3:$E$2984,"08",데이터_품목별!$A$3:$A$2984,"2024.09")</f>
        <v>18766</v>
      </c>
      <c r="L13" s="55" t="n">
        <f aca="false">SUMIFS(데이터_품목별!$H$3:$H$2984,데이터_품목별!$E$3:$E$2984,"08",데이터_품목별!$A$3:$A$2984,"2024.10")</f>
        <v>32322</v>
      </c>
      <c r="M13" s="55" t="n">
        <f aca="false">SUMIFS(데이터_품목별!$H$3:$H$2984,데이터_품목별!$E$3:$E$2984,"08",데이터_품목별!$A$3:$A$2984,"2024.11")</f>
        <v>31188</v>
      </c>
      <c r="N13" s="55" t="n">
        <f aca="false">SUMIFS(데이터_품목별!$H$3:$H$2984,데이터_품목별!$E$3:$E$2984,"08",데이터_품목별!$A$3:$A$2984,"2024.12")</f>
        <v>40052</v>
      </c>
      <c r="O13" s="55" t="n">
        <f aca="false">SUMIFS(데이터_품목별!$H$3:$H$2984,데이터_품목별!$E$3:$E$2984,"08",데이터_품목별!$A$3:$A$2984,"2025.01")</f>
        <v>26837</v>
      </c>
      <c r="P13" s="55" t="n">
        <f aca="false">SUMIFS(데이터_품목별!$H$3:$H$2984,데이터_품목별!$E$3:$E$2984,"08",데이터_품목별!$A$3:$A$2984,"2025.02")</f>
        <v>20385</v>
      </c>
      <c r="Q13" s="55" t="n">
        <f aca="false">SUMIFS(데이터_품목별!$H$3:$H$2984,데이터_품목별!$E$3:$E$2984,"08",데이터_품목별!$A$3:$A$2984,"2025.03")</f>
        <v>16774</v>
      </c>
      <c r="R13" s="55" t="n">
        <f aca="false">SUMIFS(데이터_품목별!$H$3:$H$2984,데이터_품목별!$E$3:$E$2984,"08",데이터_품목별!$A$3:$A$2984,"2025.04")</f>
        <v>11474</v>
      </c>
      <c r="S13" s="55" t="n">
        <f aca="false">SUMIFS(데이터_품목별!$H$3:$H$2984,데이터_품목별!$E$3:$E$2984,"08",데이터_품목별!$A$3:$A$2984,"2025.05")</f>
        <v>4473</v>
      </c>
      <c r="T13" s="55" t="n">
        <f aca="false">SUMIFS(데이터_품목별!$H$3:$H$2984,데이터_품목별!$E$3:$E$2984,"08",데이터_품목별!$A$3:$A$2984,"2025.06")</f>
        <v>1573</v>
      </c>
      <c r="U13" s="55" t="n">
        <f aca="false">SUMIFS(데이터_품목별!$H$3:$H$2984,데이터_품목별!$E$3:$E$2984,"08",데이터_품목별!$A$3:$A$2984,"2025.07")</f>
        <v>5700</v>
      </c>
      <c r="V13" s="55" t="n">
        <f aca="false">SUMIFS(데이터_품목별!$H$3:$H$2984,데이터_품목별!$E$3:$E$2984,"08",데이터_품목별!$A$3:$A$2984,"2025.08")</f>
        <v>16433</v>
      </c>
      <c r="W13" s="55" t="n">
        <f aca="false">SUMIFS(데이터_품목별!$H$3:$H$2984,데이터_품목별!$E$3:$E$2984,"08",데이터_품목별!$A$3:$A$2984,"2025.09")</f>
        <v>26167</v>
      </c>
      <c r="X13" s="55" t="n">
        <f aca="false">SUMIFS(데이터_품목별!$H$3:$H$2984,데이터_품목별!$E$3:$E$2984,"08",데이터_품목별!$A$3:$A$2984,"2025.10")</f>
        <v>31335</v>
      </c>
      <c r="Y13" s="55" t="n">
        <f aca="false">SUMIFS(데이터_품목별!$H$3:$H$2984,데이터_품목별!$E$3:$E$2984,"08",데이터_품목별!$A$3:$A$2984,"2025.11")</f>
        <v>39022</v>
      </c>
      <c r="Z13" s="55" t="n">
        <f aca="false">SUMIFS(데이터_품목별!$H$3:$H$2984,데이터_품목별!$E$3:$E$2984,"08",데이터_품목별!$A$3:$A$2984,"2025.12")</f>
        <v>52188</v>
      </c>
      <c r="AA13" s="55" t="n">
        <f aca="false">SUMIFS(데이터_품목별!$H$3:$H$2984,데이터_품목별!$E$3:$E$2984,"08",데이터_품목별!$A$3:$A$2984,"2026.01")</f>
        <v>35911</v>
      </c>
      <c r="AB13" s="55" t="n">
        <f aca="false">SUMIFS(데이터_품목별!$H$3:$H$2984,데이터_품목별!$E$3:$E$2984,"08",데이터_품목별!$A$3:$A$2984,"2026.02")</f>
        <v>21242</v>
      </c>
      <c r="AC13" s="55" t="n">
        <f aca="false">SUMIFS(데이터_품목별!$H$3:$H$2984,데이터_품목별!$E$3:$E$2984,"08",데이터_품목별!$A$3:$A$2984,"2026.03")</f>
        <v>19244</v>
      </c>
      <c r="AD13" s="55" t="n">
        <f aca="false">SUMIFS(데이터_품목별!$H$3:$H$2984,데이터_품목별!$E$3:$E$2984,"08",데이터_품목별!$A$3:$A$2984,"2026.04")</f>
        <v>13264</v>
      </c>
      <c r="AE13" s="55" t="n">
        <f aca="false">SUMIFS(데이터_품목별!$H$3:$H$2984,데이터_품목별!$E$3:$E$2984,"08",데이터_품목별!$A$3:$A$2984,"2026.05")</f>
        <v>5460</v>
      </c>
      <c r="AF13" s="55" t="n">
        <f aca="false">SUMIFS(데이터_품목별!$H$3:$H$2984,데이터_품목별!$E$3:$E$2984,"08",데이터_품목별!$A$3:$A$2984,"2026.06")</f>
        <v>2867</v>
      </c>
      <c r="AG13" s="55" t="n">
        <f aca="false">SUMIFS(데이터_품목별!$H$3:$H$2984,데이터_품목별!$E$3:$E$2984,"08",데이터_품목별!$A$3:$A$2984,"2026.07")</f>
        <v>8301</v>
      </c>
    </row>
    <row r="14" customFormat="false" ht="15" hidden="false" customHeight="true" outlineLevel="0" collapsed="false">
      <c r="A14" s="53" t="s">
        <v>401</v>
      </c>
      <c r="B14" s="54" t="s">
        <v>402</v>
      </c>
      <c r="C14" s="55" t="n">
        <f aca="false">SUMIFS(데이터_품목별!$H$3:$H$2984,데이터_품목별!$E$3:$E$2984,"09",데이터_품목별!$A$3:$A$2984,"2024.01")</f>
        <v>3239</v>
      </c>
      <c r="D14" s="55" t="n">
        <f aca="false">SUMIFS(데이터_품목별!$H$3:$H$2984,데이터_품목별!$E$3:$E$2984,"09",데이터_품목별!$A$3:$A$2984,"2024.02")</f>
        <v>3019</v>
      </c>
      <c r="E14" s="55" t="n">
        <f aca="false">SUMIFS(데이터_품목별!$H$3:$H$2984,데이터_품목별!$E$3:$E$2984,"09",데이터_품목별!$A$3:$A$2984,"2024.03")</f>
        <v>3211</v>
      </c>
      <c r="F14" s="55" t="n">
        <f aca="false">SUMIFS(데이터_품목별!$H$3:$H$2984,데이터_품목별!$E$3:$E$2984,"09",데이터_품목별!$A$3:$A$2984,"2024.04")</f>
        <v>3955</v>
      </c>
      <c r="G14" s="55" t="n">
        <f aca="false">SUMIFS(데이터_품목별!$H$3:$H$2984,데이터_품목별!$E$3:$E$2984,"09",데이터_품목별!$A$3:$A$2984,"2024.05")</f>
        <v>2522</v>
      </c>
      <c r="H14" s="55" t="n">
        <f aca="false">SUMIFS(데이터_품목별!$H$3:$H$2984,데이터_품목별!$E$3:$E$2984,"09",데이터_품목별!$A$3:$A$2984,"2024.06")</f>
        <v>3364</v>
      </c>
      <c r="I14" s="55" t="n">
        <f aca="false">SUMIFS(데이터_품목별!$H$3:$H$2984,데이터_품목별!$E$3:$E$2984,"09",데이터_품목별!$A$3:$A$2984,"2024.07")</f>
        <v>2967</v>
      </c>
      <c r="J14" s="55" t="n">
        <f aca="false">SUMIFS(데이터_품목별!$H$3:$H$2984,데이터_품목별!$E$3:$E$2984,"09",데이터_품목별!$A$3:$A$2984,"2024.08")</f>
        <v>14519</v>
      </c>
      <c r="K14" s="55" t="n">
        <f aca="false">SUMIFS(데이터_품목별!$H$3:$H$2984,데이터_품목별!$E$3:$E$2984,"09",데이터_품목별!$A$3:$A$2984,"2024.09")</f>
        <v>2477</v>
      </c>
      <c r="L14" s="55" t="n">
        <f aca="false">SUMIFS(데이터_품목별!$H$3:$H$2984,데이터_품목별!$E$3:$E$2984,"09",데이터_품목별!$A$3:$A$2984,"2024.10")</f>
        <v>4096</v>
      </c>
      <c r="M14" s="55" t="n">
        <f aca="false">SUMIFS(데이터_품목별!$H$3:$H$2984,데이터_품목별!$E$3:$E$2984,"09",데이터_품목별!$A$3:$A$2984,"2024.11")</f>
        <v>4164</v>
      </c>
      <c r="N14" s="55" t="n">
        <f aca="false">SUMIFS(데이터_품목별!$H$3:$H$2984,데이터_품목별!$E$3:$E$2984,"09",데이터_품목별!$A$3:$A$2984,"2024.12")</f>
        <v>4472</v>
      </c>
      <c r="O14" s="55" t="n">
        <f aca="false">SUMIFS(데이터_품목별!$H$3:$H$2984,데이터_품목별!$E$3:$E$2984,"09",데이터_품목별!$A$3:$A$2984,"2025.01")</f>
        <v>2706</v>
      </c>
      <c r="P14" s="55" t="n">
        <f aca="false">SUMIFS(데이터_품목별!$H$3:$H$2984,데이터_품목별!$E$3:$E$2984,"09",데이터_품목별!$A$3:$A$2984,"2025.02")</f>
        <v>3441</v>
      </c>
      <c r="Q14" s="55" t="n">
        <f aca="false">SUMIFS(데이터_품목별!$H$3:$H$2984,데이터_품목별!$E$3:$E$2984,"09",데이터_품목별!$A$3:$A$2984,"2025.03")</f>
        <v>3800</v>
      </c>
      <c r="R14" s="55" t="n">
        <f aca="false">SUMIFS(데이터_품목별!$H$3:$H$2984,데이터_품목별!$E$3:$E$2984,"09",데이터_품목별!$A$3:$A$2984,"2025.04")</f>
        <v>3039</v>
      </c>
      <c r="S14" s="55" t="n">
        <f aca="false">SUMIFS(데이터_품목별!$H$3:$H$2984,데이터_품목별!$E$3:$E$2984,"09",데이터_품목별!$A$3:$A$2984,"2025.05")</f>
        <v>2987</v>
      </c>
      <c r="T14" s="55" t="n">
        <f aca="false">SUMIFS(데이터_품목별!$H$3:$H$2984,데이터_품목별!$E$3:$E$2984,"09",데이터_품목별!$A$3:$A$2984,"2025.06")</f>
        <v>4653</v>
      </c>
      <c r="U14" s="55" t="n">
        <f aca="false">SUMIFS(데이터_품목별!$H$3:$H$2984,데이터_품목별!$E$3:$E$2984,"09",데이터_품목별!$A$3:$A$2984,"2025.07")</f>
        <v>3774</v>
      </c>
      <c r="V14" s="55" t="n">
        <f aca="false">SUMIFS(데이터_품목별!$H$3:$H$2984,데이터_품목별!$E$3:$E$2984,"09",데이터_품목별!$A$3:$A$2984,"2025.08")</f>
        <v>2742</v>
      </c>
      <c r="W14" s="55" t="n">
        <f aca="false">SUMIFS(데이터_품목별!$H$3:$H$2984,데이터_품목별!$E$3:$E$2984,"09",데이터_품목별!$A$3:$A$2984,"2025.09")</f>
        <v>5367</v>
      </c>
      <c r="X14" s="55" t="n">
        <f aca="false">SUMIFS(데이터_품목별!$H$3:$H$2984,데이터_품목별!$E$3:$E$2984,"09",데이터_품목별!$A$3:$A$2984,"2025.10")</f>
        <v>7608</v>
      </c>
      <c r="Y14" s="55" t="n">
        <f aca="false">SUMIFS(데이터_품목별!$H$3:$H$2984,데이터_품목별!$E$3:$E$2984,"09",데이터_품목별!$A$3:$A$2984,"2025.11")</f>
        <v>3788</v>
      </c>
      <c r="Z14" s="55" t="n">
        <f aca="false">SUMIFS(데이터_품목별!$H$3:$H$2984,데이터_품목별!$E$3:$E$2984,"09",데이터_품목별!$A$3:$A$2984,"2025.12")</f>
        <v>4454</v>
      </c>
      <c r="AA14" s="55" t="n">
        <f aca="false">SUMIFS(데이터_품목별!$H$3:$H$2984,데이터_품목별!$E$3:$E$2984,"09",데이터_품목별!$A$3:$A$2984,"2026.01")</f>
        <v>4119</v>
      </c>
      <c r="AB14" s="55" t="n">
        <f aca="false">SUMIFS(데이터_품목별!$H$3:$H$2984,데이터_품목별!$E$3:$E$2984,"09",데이터_품목별!$A$3:$A$2984,"2026.02")</f>
        <v>3374</v>
      </c>
      <c r="AC14" s="55" t="n">
        <f aca="false">SUMIFS(데이터_품목별!$H$3:$H$2984,데이터_품목별!$E$3:$E$2984,"09",데이터_품목별!$A$3:$A$2984,"2026.03")</f>
        <v>3919</v>
      </c>
      <c r="AD14" s="55" t="n">
        <f aca="false">SUMIFS(데이터_품목별!$H$3:$H$2984,데이터_품목별!$E$3:$E$2984,"09",데이터_품목별!$A$3:$A$2984,"2026.04")</f>
        <v>3934</v>
      </c>
      <c r="AE14" s="55" t="n">
        <f aca="false">SUMIFS(데이터_품목별!$H$3:$H$2984,데이터_품목별!$E$3:$E$2984,"09",데이터_품목별!$A$3:$A$2984,"2026.05")</f>
        <v>2820</v>
      </c>
      <c r="AF14" s="55" t="n">
        <f aca="false">SUMIFS(데이터_품목별!$H$3:$H$2984,데이터_품목별!$E$3:$E$2984,"09",데이터_품목별!$A$3:$A$2984,"2026.06")</f>
        <v>3563</v>
      </c>
      <c r="AG14" s="55" t="n">
        <f aca="false">SUMIFS(데이터_품목별!$H$3:$H$2984,데이터_품목별!$E$3:$E$2984,"09",데이터_품목별!$A$3:$A$2984,"2026.07")</f>
        <v>4266</v>
      </c>
    </row>
    <row r="15" customFormat="false" ht="15" hidden="false" customHeight="true" outlineLevel="0" collapsed="false">
      <c r="A15" s="53" t="s">
        <v>408</v>
      </c>
      <c r="B15" s="54" t="s">
        <v>409</v>
      </c>
      <c r="C15" s="55" t="n">
        <f aca="false">SUMIFS(데이터_품목별!$H$3:$H$2984,데이터_품목별!$E$3:$E$2984,"10",데이터_품목별!$A$3:$A$2984,"2024.01")</f>
        <v>918</v>
      </c>
      <c r="D15" s="55" t="n">
        <f aca="false">SUMIFS(데이터_품목별!$H$3:$H$2984,데이터_품목별!$E$3:$E$2984,"10",데이터_품목별!$A$3:$A$2984,"2024.02")</f>
        <v>1127</v>
      </c>
      <c r="E15" s="55" t="n">
        <f aca="false">SUMIFS(데이터_품목별!$H$3:$H$2984,데이터_품목별!$E$3:$E$2984,"10",데이터_품목별!$A$3:$A$2984,"2024.03")</f>
        <v>1122</v>
      </c>
      <c r="F15" s="55" t="n">
        <f aca="false">SUMIFS(데이터_품목별!$H$3:$H$2984,데이터_품목별!$E$3:$E$2984,"10",데이터_품목별!$A$3:$A$2984,"2024.04")</f>
        <v>12352</v>
      </c>
      <c r="G15" s="55" t="n">
        <f aca="false">SUMIFS(데이터_품목별!$H$3:$H$2984,데이터_품목별!$E$3:$E$2984,"10",데이터_품목별!$A$3:$A$2984,"2024.05")</f>
        <v>16818</v>
      </c>
      <c r="H15" s="55" t="n">
        <f aca="false">SUMIFS(데이터_품목별!$H$3:$H$2984,데이터_품목별!$E$3:$E$2984,"10",데이터_품목별!$A$3:$A$2984,"2024.06")</f>
        <v>678</v>
      </c>
      <c r="I15" s="55" t="n">
        <f aca="false">SUMIFS(데이터_품목별!$H$3:$H$2984,데이터_품목별!$E$3:$E$2984,"10",데이터_품목별!$A$3:$A$2984,"2024.07")</f>
        <v>785</v>
      </c>
      <c r="J15" s="55" t="n">
        <f aca="false">SUMIFS(데이터_품목별!$H$3:$H$2984,데이터_품목별!$E$3:$E$2984,"10",데이터_품목별!$A$3:$A$2984,"2024.08")</f>
        <v>900</v>
      </c>
      <c r="K15" s="55" t="n">
        <f aca="false">SUMIFS(데이터_품목별!$H$3:$H$2984,데이터_품목별!$E$3:$E$2984,"10",데이터_품목별!$A$3:$A$2984,"2024.09")</f>
        <v>9911</v>
      </c>
      <c r="L15" s="55" t="n">
        <f aca="false">SUMIFS(데이터_품목별!$H$3:$H$2984,데이터_품목별!$E$3:$E$2984,"10",데이터_품목별!$A$3:$A$2984,"2024.10")</f>
        <v>1222</v>
      </c>
      <c r="M15" s="55" t="n">
        <f aca="false">SUMIFS(데이터_품목별!$H$3:$H$2984,데이터_품목별!$E$3:$E$2984,"10",데이터_품목별!$A$3:$A$2984,"2024.11")</f>
        <v>7463</v>
      </c>
      <c r="N15" s="55" t="n">
        <f aca="false">SUMIFS(데이터_품목별!$H$3:$H$2984,데이터_품목별!$E$3:$E$2984,"10",데이터_품목별!$A$3:$A$2984,"2024.12")</f>
        <v>13100</v>
      </c>
      <c r="O15" s="55" t="n">
        <f aca="false">SUMIFS(데이터_품목별!$H$3:$H$2984,데이터_품목별!$E$3:$E$2984,"10",데이터_품목별!$A$3:$A$2984,"2025.01")</f>
        <v>3159</v>
      </c>
      <c r="P15" s="55" t="n">
        <f aca="false">SUMIFS(데이터_품목별!$H$3:$H$2984,데이터_품목별!$E$3:$E$2984,"10",데이터_품목별!$A$3:$A$2984,"2025.02")</f>
        <v>1211</v>
      </c>
      <c r="Q15" s="55" t="n">
        <f aca="false">SUMIFS(데이터_품목별!$H$3:$H$2984,데이터_품목별!$E$3:$E$2984,"10",데이터_품목별!$A$3:$A$2984,"2025.03")</f>
        <v>1418</v>
      </c>
      <c r="R15" s="55" t="n">
        <f aca="false">SUMIFS(데이터_품목별!$H$3:$H$2984,데이터_품목별!$E$3:$E$2984,"10",데이터_품목별!$A$3:$A$2984,"2025.04")</f>
        <v>16113</v>
      </c>
      <c r="S15" s="55" t="n">
        <f aca="false">SUMIFS(데이터_품목별!$H$3:$H$2984,데이터_품목별!$E$3:$E$2984,"10",데이터_품목별!$A$3:$A$2984,"2025.05")</f>
        <v>10296</v>
      </c>
      <c r="T15" s="55" t="n">
        <f aca="false">SUMIFS(데이터_품목별!$H$3:$H$2984,데이터_품목별!$E$3:$E$2984,"10",데이터_품목별!$A$3:$A$2984,"2025.06")</f>
        <v>895</v>
      </c>
      <c r="U15" s="55" t="n">
        <f aca="false">SUMIFS(데이터_품목별!$H$3:$H$2984,데이터_품목별!$E$3:$E$2984,"10",데이터_품목별!$A$3:$A$2984,"2025.07")</f>
        <v>816</v>
      </c>
      <c r="V15" s="55" t="n">
        <f aca="false">SUMIFS(데이터_품목별!$H$3:$H$2984,데이터_품목별!$E$3:$E$2984,"10",데이터_품목별!$A$3:$A$2984,"2025.08")</f>
        <v>11882</v>
      </c>
      <c r="W15" s="55" t="n">
        <f aca="false">SUMIFS(데이터_품목별!$H$3:$H$2984,데이터_품목별!$E$3:$E$2984,"10",데이터_품목별!$A$3:$A$2984,"2025.09")</f>
        <v>26421</v>
      </c>
      <c r="X15" s="55" t="n">
        <f aca="false">SUMIFS(데이터_품목별!$H$3:$H$2984,데이터_품목별!$E$3:$E$2984,"10",데이터_품목별!$A$3:$A$2984,"2025.10")</f>
        <v>1287</v>
      </c>
      <c r="Y15" s="55" t="n">
        <f aca="false">SUMIFS(데이터_품목별!$H$3:$H$2984,데이터_품목별!$E$3:$E$2984,"10",데이터_품목별!$A$3:$A$2984,"2025.11")</f>
        <v>4092</v>
      </c>
      <c r="Z15" s="55" t="n">
        <f aca="false">SUMIFS(데이터_품목별!$H$3:$H$2984,데이터_품목별!$E$3:$E$2984,"10",데이터_품목별!$A$3:$A$2984,"2025.12")</f>
        <v>9768</v>
      </c>
      <c r="AA15" s="55" t="n">
        <f aca="false">SUMIFS(데이터_품목별!$H$3:$H$2984,데이터_품목별!$E$3:$E$2984,"10",데이터_품목별!$A$3:$A$2984,"2026.01")</f>
        <v>1131</v>
      </c>
      <c r="AB15" s="55" t="n">
        <f aca="false">SUMIFS(데이터_품목별!$H$3:$H$2984,데이터_품목별!$E$3:$E$2984,"10",데이터_품목별!$A$3:$A$2984,"2026.02")</f>
        <v>1272</v>
      </c>
      <c r="AC15" s="55" t="n">
        <f aca="false">SUMIFS(데이터_품목별!$H$3:$H$2984,데이터_품목별!$E$3:$E$2984,"10",데이터_품목별!$A$3:$A$2984,"2026.03")</f>
        <v>1430</v>
      </c>
      <c r="AD15" s="55" t="n">
        <f aca="false">SUMIFS(데이터_품목별!$H$3:$H$2984,데이터_품목별!$E$3:$E$2984,"10",데이터_품목별!$A$3:$A$2984,"2026.04")</f>
        <v>1380</v>
      </c>
      <c r="AE15" s="55" t="n">
        <f aca="false">SUMIFS(데이터_품목별!$H$3:$H$2984,데이터_품목별!$E$3:$E$2984,"10",데이터_품목별!$A$3:$A$2984,"2026.05")</f>
        <v>17308</v>
      </c>
      <c r="AF15" s="55" t="n">
        <f aca="false">SUMIFS(데이터_품목별!$H$3:$H$2984,데이터_품목별!$E$3:$E$2984,"10",데이터_품목별!$A$3:$A$2984,"2026.06")</f>
        <v>1052</v>
      </c>
      <c r="AG15" s="55" t="n">
        <f aca="false">SUMIFS(데이터_품목별!$H$3:$H$2984,데이터_품목별!$E$3:$E$2984,"10",데이터_품목별!$A$3:$A$2984,"2026.07")</f>
        <v>871</v>
      </c>
    </row>
    <row r="16" customFormat="false" ht="15" hidden="false" customHeight="true" outlineLevel="0" collapsed="false">
      <c r="A16" s="53" t="s">
        <v>415</v>
      </c>
      <c r="B16" s="54" t="s">
        <v>416</v>
      </c>
      <c r="C16" s="55" t="n">
        <f aca="false">SUMIFS(데이터_품목별!$H$3:$H$2984,데이터_품목별!$E$3:$E$2984,"11",데이터_품목별!$A$3:$A$2984,"2024.01")</f>
        <v>4158</v>
      </c>
      <c r="D16" s="55" t="n">
        <f aca="false">SUMIFS(데이터_품목별!$H$3:$H$2984,데이터_품목별!$E$3:$E$2984,"11",데이터_품목별!$A$3:$A$2984,"2024.02")</f>
        <v>4179</v>
      </c>
      <c r="E16" s="55" t="n">
        <f aca="false">SUMIFS(데이터_품목별!$H$3:$H$2984,데이터_품목별!$E$3:$E$2984,"11",데이터_품목별!$A$3:$A$2984,"2024.03")</f>
        <v>4391</v>
      </c>
      <c r="F16" s="55" t="n">
        <f aca="false">SUMIFS(데이터_품목별!$H$3:$H$2984,데이터_품목별!$E$3:$E$2984,"11",데이터_품목별!$A$3:$A$2984,"2024.04")</f>
        <v>4642</v>
      </c>
      <c r="G16" s="55" t="n">
        <f aca="false">SUMIFS(데이터_품목별!$H$3:$H$2984,데이터_품목별!$E$3:$E$2984,"11",데이터_품목별!$A$3:$A$2984,"2024.05")</f>
        <v>4495</v>
      </c>
      <c r="H16" s="55" t="n">
        <f aca="false">SUMIFS(데이터_품목별!$H$3:$H$2984,데이터_품목별!$E$3:$E$2984,"11",데이터_품목별!$A$3:$A$2984,"2024.06")</f>
        <v>3892</v>
      </c>
      <c r="I16" s="55" t="n">
        <f aca="false">SUMIFS(데이터_품목별!$H$3:$H$2984,데이터_품목별!$E$3:$E$2984,"11",데이터_품목별!$A$3:$A$2984,"2024.07")</f>
        <v>7128</v>
      </c>
      <c r="J16" s="55" t="n">
        <f aca="false">SUMIFS(데이터_품목별!$H$3:$H$2984,데이터_품목별!$E$3:$E$2984,"11",데이터_품목별!$A$3:$A$2984,"2024.08")</f>
        <v>3412</v>
      </c>
      <c r="K16" s="55" t="n">
        <f aca="false">SUMIFS(데이터_품목별!$H$3:$H$2984,데이터_품목별!$E$3:$E$2984,"11",데이터_품목별!$A$3:$A$2984,"2024.09")</f>
        <v>3558</v>
      </c>
      <c r="L16" s="55" t="n">
        <f aca="false">SUMIFS(데이터_품목별!$H$3:$H$2984,데이터_품목별!$E$3:$E$2984,"11",데이터_품목별!$A$3:$A$2984,"2024.10")</f>
        <v>3562</v>
      </c>
      <c r="M16" s="55" t="n">
        <f aca="false">SUMIFS(데이터_품목별!$H$3:$H$2984,데이터_품목별!$E$3:$E$2984,"11",데이터_품목별!$A$3:$A$2984,"2024.11")</f>
        <v>4060</v>
      </c>
      <c r="N16" s="55" t="n">
        <f aca="false">SUMIFS(데이터_품목별!$H$3:$H$2984,데이터_품목별!$E$3:$E$2984,"11",데이터_품목별!$A$3:$A$2984,"2024.12")</f>
        <v>4123</v>
      </c>
      <c r="O16" s="55" t="n">
        <f aca="false">SUMIFS(데이터_품목별!$H$3:$H$2984,데이터_품목별!$E$3:$E$2984,"11",데이터_품목별!$A$3:$A$2984,"2025.01")</f>
        <v>3474</v>
      </c>
      <c r="P16" s="55" t="n">
        <f aca="false">SUMIFS(데이터_품목별!$H$3:$H$2984,데이터_품목별!$E$3:$E$2984,"11",데이터_품목별!$A$3:$A$2984,"2025.02")</f>
        <v>3611</v>
      </c>
      <c r="Q16" s="55" t="n">
        <f aca="false">SUMIFS(데이터_품목별!$H$3:$H$2984,데이터_품목별!$E$3:$E$2984,"11",데이터_품목별!$A$3:$A$2984,"2025.03")</f>
        <v>3860</v>
      </c>
      <c r="R16" s="55" t="n">
        <f aca="false">SUMIFS(데이터_품목별!$H$3:$H$2984,데이터_품목별!$E$3:$E$2984,"11",데이터_품목별!$A$3:$A$2984,"2025.04")</f>
        <v>3788</v>
      </c>
      <c r="S16" s="55" t="n">
        <f aca="false">SUMIFS(데이터_품목별!$H$3:$H$2984,데이터_품목별!$E$3:$E$2984,"11",데이터_품목별!$A$3:$A$2984,"2025.05")</f>
        <v>3390</v>
      </c>
      <c r="T16" s="55" t="n">
        <f aca="false">SUMIFS(데이터_품목별!$H$3:$H$2984,데이터_품목별!$E$3:$E$2984,"11",데이터_품목별!$A$3:$A$2984,"2025.06")</f>
        <v>3253</v>
      </c>
      <c r="U16" s="55" t="n">
        <f aca="false">SUMIFS(데이터_품목별!$H$3:$H$2984,데이터_품목별!$E$3:$E$2984,"11",데이터_품목별!$A$3:$A$2984,"2025.07")</f>
        <v>3183</v>
      </c>
      <c r="V16" s="55" t="n">
        <f aca="false">SUMIFS(데이터_품목별!$H$3:$H$2984,데이터_품목별!$E$3:$E$2984,"11",데이터_품목별!$A$3:$A$2984,"2025.08")</f>
        <v>3356</v>
      </c>
      <c r="W16" s="55" t="n">
        <f aca="false">SUMIFS(데이터_품목별!$H$3:$H$2984,데이터_품목별!$E$3:$E$2984,"11",데이터_품목별!$A$3:$A$2984,"2025.09")</f>
        <v>3988</v>
      </c>
      <c r="X16" s="55" t="n">
        <f aca="false">SUMIFS(데이터_품목별!$H$3:$H$2984,데이터_품목별!$E$3:$E$2984,"11",데이터_품목별!$A$3:$A$2984,"2025.10")</f>
        <v>3118</v>
      </c>
      <c r="Y16" s="55" t="n">
        <f aca="false">SUMIFS(데이터_품목별!$H$3:$H$2984,데이터_품목별!$E$3:$E$2984,"11",데이터_품목별!$A$3:$A$2984,"2025.11")</f>
        <v>3830</v>
      </c>
      <c r="Z16" s="55" t="n">
        <f aca="false">SUMIFS(데이터_품목별!$H$3:$H$2984,데이터_품목별!$E$3:$E$2984,"11",데이터_품목별!$A$3:$A$2984,"2025.12")</f>
        <v>3658</v>
      </c>
      <c r="AA16" s="55" t="n">
        <f aca="false">SUMIFS(데이터_품목별!$H$3:$H$2984,데이터_품목별!$E$3:$E$2984,"11",데이터_품목별!$A$3:$A$2984,"2026.01")</f>
        <v>3379</v>
      </c>
      <c r="AB16" s="55" t="n">
        <f aca="false">SUMIFS(데이터_품목별!$H$3:$H$2984,데이터_품목별!$E$3:$E$2984,"11",데이터_품목별!$A$3:$A$2984,"2026.02")</f>
        <v>2930</v>
      </c>
      <c r="AC16" s="55" t="n">
        <f aca="false">SUMIFS(데이터_품목별!$H$3:$H$2984,데이터_품목별!$E$3:$E$2984,"11",데이터_품목별!$A$3:$A$2984,"2026.03")</f>
        <v>3112</v>
      </c>
      <c r="AD16" s="55" t="n">
        <f aca="false">SUMIFS(데이터_품목별!$H$3:$H$2984,데이터_품목별!$E$3:$E$2984,"11",데이터_품목별!$A$3:$A$2984,"2026.04")</f>
        <v>3832</v>
      </c>
      <c r="AE16" s="55" t="n">
        <f aca="false">SUMIFS(데이터_품목별!$H$3:$H$2984,데이터_품목별!$E$3:$E$2984,"11",데이터_품목별!$A$3:$A$2984,"2026.05")</f>
        <v>3756</v>
      </c>
      <c r="AF16" s="55" t="n">
        <f aca="false">SUMIFS(데이터_품목별!$H$3:$H$2984,데이터_품목별!$E$3:$E$2984,"11",데이터_품목별!$A$3:$A$2984,"2026.06")</f>
        <v>3394</v>
      </c>
      <c r="AG16" s="55" t="n">
        <f aca="false">SUMIFS(데이터_품목별!$H$3:$H$2984,데이터_품목별!$E$3:$E$2984,"11",데이터_품목별!$A$3:$A$2984,"2026.07")</f>
        <v>3393</v>
      </c>
    </row>
    <row r="17" customFormat="false" ht="15" hidden="false" customHeight="true" outlineLevel="0" collapsed="false">
      <c r="A17" s="53" t="s">
        <v>422</v>
      </c>
      <c r="B17" s="54" t="s">
        <v>423</v>
      </c>
      <c r="C17" s="55" t="n">
        <f aca="false">SUMIFS(데이터_품목별!$H$3:$H$2984,데이터_품목별!$E$3:$E$2984,"12",데이터_품목별!$A$3:$A$2984,"2024.01")</f>
        <v>46869</v>
      </c>
      <c r="D17" s="55" t="n">
        <f aca="false">SUMIFS(데이터_품목별!$H$3:$H$2984,데이터_품목별!$E$3:$E$2984,"12",데이터_품목별!$A$3:$A$2984,"2024.02")</f>
        <v>34253</v>
      </c>
      <c r="E17" s="55" t="n">
        <f aca="false">SUMIFS(데이터_품목별!$H$3:$H$2984,데이터_품목별!$E$3:$E$2984,"12",데이터_품목별!$A$3:$A$2984,"2024.03")</f>
        <v>59486</v>
      </c>
      <c r="F17" s="55" t="n">
        <f aca="false">SUMIFS(데이터_품목별!$H$3:$H$2984,데이터_품목별!$E$3:$E$2984,"12",데이터_품목별!$A$3:$A$2984,"2024.04")</f>
        <v>69205</v>
      </c>
      <c r="G17" s="55" t="n">
        <f aca="false">SUMIFS(데이터_품목별!$H$3:$H$2984,데이터_품목별!$E$3:$E$2984,"12",데이터_품목별!$A$3:$A$2984,"2024.05")</f>
        <v>65553</v>
      </c>
      <c r="H17" s="55" t="n">
        <f aca="false">SUMIFS(데이터_품목별!$H$3:$H$2984,데이터_품목별!$E$3:$E$2984,"12",데이터_품목별!$A$3:$A$2984,"2024.06")</f>
        <v>76729</v>
      </c>
      <c r="I17" s="55" t="n">
        <f aca="false">SUMIFS(데이터_품목별!$H$3:$H$2984,데이터_품목별!$E$3:$E$2984,"12",데이터_품목별!$A$3:$A$2984,"2024.07")</f>
        <v>65994</v>
      </c>
      <c r="J17" s="55" t="n">
        <f aca="false">SUMIFS(데이터_품목별!$H$3:$H$2984,데이터_품목별!$E$3:$E$2984,"12",데이터_품목별!$A$3:$A$2984,"2024.08")</f>
        <v>43277</v>
      </c>
      <c r="K17" s="55" t="n">
        <f aca="false">SUMIFS(데이터_품목별!$H$3:$H$2984,데이터_품목별!$E$3:$E$2984,"12",데이터_품목별!$A$3:$A$2984,"2024.09")</f>
        <v>43879</v>
      </c>
      <c r="L17" s="55" t="n">
        <f aca="false">SUMIFS(데이터_품목별!$H$3:$H$2984,데이터_품목별!$E$3:$E$2984,"12",데이터_품목별!$A$3:$A$2984,"2024.10")</f>
        <v>42772</v>
      </c>
      <c r="M17" s="55" t="n">
        <f aca="false">SUMIFS(데이터_품목별!$H$3:$H$2984,데이터_품목별!$E$3:$E$2984,"12",데이터_품목별!$A$3:$A$2984,"2024.11")</f>
        <v>35093</v>
      </c>
      <c r="N17" s="55" t="n">
        <f aca="false">SUMIFS(데이터_품목별!$H$3:$H$2984,데이터_품목별!$E$3:$E$2984,"12",데이터_품목별!$A$3:$A$2984,"2024.12")</f>
        <v>55279</v>
      </c>
      <c r="O17" s="55" t="n">
        <f aca="false">SUMIFS(데이터_품목별!$H$3:$H$2984,데이터_품목별!$E$3:$E$2984,"12",데이터_품목별!$A$3:$A$2984,"2025.01")</f>
        <v>53582</v>
      </c>
      <c r="P17" s="55" t="n">
        <f aca="false">SUMIFS(데이터_품목별!$H$3:$H$2984,데이터_품목별!$E$3:$E$2984,"12",데이터_품목별!$A$3:$A$2984,"2025.02")</f>
        <v>66717</v>
      </c>
      <c r="Q17" s="55" t="n">
        <f aca="false">SUMIFS(데이터_품목별!$H$3:$H$2984,데이터_품목별!$E$3:$E$2984,"12",데이터_품목별!$A$3:$A$2984,"2025.03")</f>
        <v>65893</v>
      </c>
      <c r="R17" s="55" t="n">
        <f aca="false">SUMIFS(데이터_품목별!$H$3:$H$2984,데이터_품목별!$E$3:$E$2984,"12",데이터_품목별!$A$3:$A$2984,"2025.04")</f>
        <v>67258</v>
      </c>
      <c r="S17" s="55" t="n">
        <f aca="false">SUMIFS(데이터_품목별!$H$3:$H$2984,데이터_품목별!$E$3:$E$2984,"12",데이터_품목별!$A$3:$A$2984,"2025.05")</f>
        <v>62557</v>
      </c>
      <c r="T17" s="55" t="n">
        <f aca="false">SUMIFS(데이터_품목별!$H$3:$H$2984,데이터_품목별!$E$3:$E$2984,"12",데이터_품목별!$A$3:$A$2984,"2025.06")</f>
        <v>67749</v>
      </c>
      <c r="U17" s="55" t="n">
        <f aca="false">SUMIFS(데이터_품목별!$H$3:$H$2984,데이터_품목별!$E$3:$E$2984,"12",데이터_품목별!$A$3:$A$2984,"2025.07")</f>
        <v>80340</v>
      </c>
      <c r="V17" s="55" t="n">
        <f aca="false">SUMIFS(데이터_품목별!$H$3:$H$2984,데이터_품목별!$E$3:$E$2984,"12",데이터_품목별!$A$3:$A$2984,"2025.08")</f>
        <v>53404</v>
      </c>
      <c r="W17" s="55" t="n">
        <f aca="false">SUMIFS(데이터_품목별!$H$3:$H$2984,데이터_품목별!$E$3:$E$2984,"12",데이터_품목별!$A$3:$A$2984,"2025.09")</f>
        <v>51340</v>
      </c>
      <c r="X17" s="55" t="n">
        <f aca="false">SUMIFS(데이터_품목별!$H$3:$H$2984,데이터_품목별!$E$3:$E$2984,"12",데이터_품목별!$A$3:$A$2984,"2025.10")</f>
        <v>45710</v>
      </c>
      <c r="Y17" s="55" t="n">
        <f aca="false">SUMIFS(데이터_품목별!$H$3:$H$2984,데이터_품목별!$E$3:$E$2984,"12",데이터_품목별!$A$3:$A$2984,"2025.11")</f>
        <v>39225</v>
      </c>
      <c r="Z17" s="55" t="n">
        <f aca="false">SUMIFS(데이터_품목별!$H$3:$H$2984,데이터_품목별!$E$3:$E$2984,"12",데이터_품목별!$A$3:$A$2984,"2025.12")</f>
        <v>51279</v>
      </c>
      <c r="AA17" s="55" t="n">
        <f aca="false">SUMIFS(데이터_품목별!$H$3:$H$2984,데이터_품목별!$E$3:$E$2984,"12",데이터_품목별!$A$3:$A$2984,"2026.01")</f>
        <v>57382</v>
      </c>
      <c r="AB17" s="55" t="n">
        <f aca="false">SUMIFS(데이터_품목별!$H$3:$H$2984,데이터_품목별!$E$3:$E$2984,"12",데이터_품목별!$A$3:$A$2984,"2026.02")</f>
        <v>43667</v>
      </c>
      <c r="AC17" s="55" t="n">
        <f aca="false">SUMIFS(데이터_품목별!$H$3:$H$2984,데이터_품목별!$E$3:$E$2984,"12",데이터_품목별!$A$3:$A$2984,"2026.03")</f>
        <v>68663</v>
      </c>
      <c r="AD17" s="55" t="n">
        <f aca="false">SUMIFS(데이터_품목별!$H$3:$H$2984,데이터_품목별!$E$3:$E$2984,"12",데이터_품목별!$A$3:$A$2984,"2026.04")</f>
        <v>63480</v>
      </c>
      <c r="AE17" s="55" t="n">
        <f aca="false">SUMIFS(데이터_품목별!$H$3:$H$2984,데이터_품목별!$E$3:$E$2984,"12",데이터_품목별!$A$3:$A$2984,"2026.05")</f>
        <v>45299</v>
      </c>
      <c r="AF17" s="55" t="n">
        <f aca="false">SUMIFS(데이터_품목별!$H$3:$H$2984,데이터_품목별!$E$3:$E$2984,"12",데이터_품목별!$A$3:$A$2984,"2026.06")</f>
        <v>86416</v>
      </c>
      <c r="AG17" s="55" t="n">
        <f aca="false">SUMIFS(데이터_품목별!$H$3:$H$2984,데이터_품목별!$E$3:$E$2984,"12",데이터_품목별!$A$3:$A$2984,"2026.07")</f>
        <v>48580</v>
      </c>
    </row>
    <row r="18" customFormat="false" ht="15" hidden="false" customHeight="true" outlineLevel="0" collapsed="false">
      <c r="A18" s="53" t="s">
        <v>429</v>
      </c>
      <c r="B18" s="54" t="s">
        <v>430</v>
      </c>
      <c r="C18" s="55" t="n">
        <f aca="false">SUMIFS(데이터_품목별!$H$3:$H$2984,데이터_품목별!$E$3:$E$2984,"13",데이터_품목별!$A$3:$A$2984,"2024.01")</f>
        <v>8023</v>
      </c>
      <c r="D18" s="55" t="n">
        <f aca="false">SUMIFS(데이터_품목별!$H$3:$H$2984,데이터_품목별!$E$3:$E$2984,"13",데이터_품목별!$A$3:$A$2984,"2024.02")</f>
        <v>8140</v>
      </c>
      <c r="E18" s="55" t="n">
        <f aca="false">SUMIFS(데이터_품목별!$H$3:$H$2984,데이터_품목별!$E$3:$E$2984,"13",데이터_품목별!$A$3:$A$2984,"2024.03")</f>
        <v>8869</v>
      </c>
      <c r="F18" s="55" t="n">
        <f aca="false">SUMIFS(데이터_품목별!$H$3:$H$2984,데이터_품목별!$E$3:$E$2984,"13",데이터_품목별!$A$3:$A$2984,"2024.04")</f>
        <v>10839</v>
      </c>
      <c r="G18" s="55" t="n">
        <f aca="false">SUMIFS(데이터_품목별!$H$3:$H$2984,데이터_품목별!$E$3:$E$2984,"13",데이터_품목별!$A$3:$A$2984,"2024.05")</f>
        <v>6798</v>
      </c>
      <c r="H18" s="55" t="n">
        <f aca="false">SUMIFS(데이터_품목별!$H$3:$H$2984,데이터_품목별!$E$3:$E$2984,"13",데이터_품목별!$A$3:$A$2984,"2024.06")</f>
        <v>7385</v>
      </c>
      <c r="I18" s="55" t="n">
        <f aca="false">SUMIFS(데이터_품목별!$H$3:$H$2984,데이터_품목별!$E$3:$E$2984,"13",데이터_품목별!$A$3:$A$2984,"2024.07")</f>
        <v>8785</v>
      </c>
      <c r="J18" s="55" t="n">
        <f aca="false">SUMIFS(데이터_품목별!$H$3:$H$2984,데이터_품목별!$E$3:$E$2984,"13",데이터_품목별!$A$3:$A$2984,"2024.08")</f>
        <v>6593</v>
      </c>
      <c r="K18" s="55" t="n">
        <f aca="false">SUMIFS(데이터_품목별!$H$3:$H$2984,데이터_품목별!$E$3:$E$2984,"13",데이터_품목별!$A$3:$A$2984,"2024.09")</f>
        <v>7369</v>
      </c>
      <c r="L18" s="55" t="n">
        <f aca="false">SUMIFS(데이터_품목별!$H$3:$H$2984,데이터_품목별!$E$3:$E$2984,"13",데이터_품목별!$A$3:$A$2984,"2024.10")</f>
        <v>9146</v>
      </c>
      <c r="M18" s="55" t="n">
        <f aca="false">SUMIFS(데이터_품목별!$H$3:$H$2984,데이터_품목별!$E$3:$E$2984,"13",데이터_품목별!$A$3:$A$2984,"2024.11")</f>
        <v>8760</v>
      </c>
      <c r="N18" s="55" t="n">
        <f aca="false">SUMIFS(데이터_품목별!$H$3:$H$2984,데이터_품목별!$E$3:$E$2984,"13",데이터_품목별!$A$3:$A$2984,"2024.12")</f>
        <v>7306</v>
      </c>
      <c r="O18" s="55" t="n">
        <f aca="false">SUMIFS(데이터_품목별!$H$3:$H$2984,데이터_품목별!$E$3:$E$2984,"13",데이터_품목별!$A$3:$A$2984,"2025.01")</f>
        <v>8220</v>
      </c>
      <c r="P18" s="55" t="n">
        <f aca="false">SUMIFS(데이터_품목별!$H$3:$H$2984,데이터_품목별!$E$3:$E$2984,"13",데이터_품목별!$A$3:$A$2984,"2025.02")</f>
        <v>7993</v>
      </c>
      <c r="Q18" s="55" t="n">
        <f aca="false">SUMIFS(데이터_품목별!$H$3:$H$2984,데이터_품목별!$E$3:$E$2984,"13",데이터_품목별!$A$3:$A$2984,"2025.03")</f>
        <v>9338</v>
      </c>
      <c r="R18" s="55" t="n">
        <f aca="false">SUMIFS(데이터_품목별!$H$3:$H$2984,데이터_품목별!$E$3:$E$2984,"13",데이터_품목별!$A$3:$A$2984,"2025.04")</f>
        <v>11130</v>
      </c>
      <c r="S18" s="55" t="n">
        <f aca="false">SUMIFS(데이터_품목별!$H$3:$H$2984,데이터_품목별!$E$3:$E$2984,"13",데이터_품목별!$A$3:$A$2984,"2025.05")</f>
        <v>7373</v>
      </c>
      <c r="T18" s="55" t="n">
        <f aca="false">SUMIFS(데이터_품목별!$H$3:$H$2984,데이터_품목별!$E$3:$E$2984,"13",데이터_품목별!$A$3:$A$2984,"2025.06")</f>
        <v>6657</v>
      </c>
      <c r="U18" s="55" t="n">
        <f aca="false">SUMIFS(데이터_품목별!$H$3:$H$2984,데이터_품목별!$E$3:$E$2984,"13",데이터_품목별!$A$3:$A$2984,"2025.07")</f>
        <v>7852</v>
      </c>
      <c r="V18" s="55" t="n">
        <f aca="false">SUMIFS(데이터_품목별!$H$3:$H$2984,데이터_품목별!$E$3:$E$2984,"13",데이터_품목별!$A$3:$A$2984,"2025.08")</f>
        <v>6351</v>
      </c>
      <c r="W18" s="55" t="n">
        <f aca="false">SUMIFS(데이터_품목별!$H$3:$H$2984,데이터_품목별!$E$3:$E$2984,"13",데이터_품목별!$A$3:$A$2984,"2025.09")</f>
        <v>6981</v>
      </c>
      <c r="X18" s="55" t="n">
        <f aca="false">SUMIFS(데이터_품목별!$H$3:$H$2984,데이터_품목별!$E$3:$E$2984,"13",데이터_품목별!$A$3:$A$2984,"2025.10")</f>
        <v>6921</v>
      </c>
      <c r="Y18" s="55" t="n">
        <f aca="false">SUMIFS(데이터_품목별!$H$3:$H$2984,데이터_품목별!$E$3:$E$2984,"13",데이터_품목별!$A$3:$A$2984,"2025.11")</f>
        <v>8443</v>
      </c>
      <c r="Z18" s="55" t="n">
        <f aca="false">SUMIFS(데이터_품목별!$H$3:$H$2984,데이터_품목별!$E$3:$E$2984,"13",데이터_품목별!$A$3:$A$2984,"2025.12")</f>
        <v>7785</v>
      </c>
      <c r="AA18" s="55" t="n">
        <f aca="false">SUMIFS(데이터_품목별!$H$3:$H$2984,데이터_품목별!$E$3:$E$2984,"13",데이터_품목별!$A$3:$A$2984,"2026.01")</f>
        <v>7416</v>
      </c>
      <c r="AB18" s="55" t="n">
        <f aca="false">SUMIFS(데이터_품목별!$H$3:$H$2984,데이터_품목별!$E$3:$E$2984,"13",데이터_품목별!$A$3:$A$2984,"2026.02")</f>
        <v>6002</v>
      </c>
      <c r="AC18" s="55" t="n">
        <f aca="false">SUMIFS(데이터_품목별!$H$3:$H$2984,데이터_품목별!$E$3:$E$2984,"13",데이터_품목별!$A$3:$A$2984,"2026.03")</f>
        <v>8622</v>
      </c>
      <c r="AD18" s="55" t="n">
        <f aca="false">SUMIFS(데이터_품목별!$H$3:$H$2984,데이터_품목별!$E$3:$E$2984,"13",데이터_품목별!$A$3:$A$2984,"2026.04")</f>
        <v>7845</v>
      </c>
      <c r="AE18" s="55" t="n">
        <f aca="false">SUMIFS(데이터_품목별!$H$3:$H$2984,데이터_품목별!$E$3:$E$2984,"13",데이터_품목별!$A$3:$A$2984,"2026.05")</f>
        <v>8815</v>
      </c>
      <c r="AF18" s="55" t="n">
        <f aca="false">SUMIFS(데이터_품목별!$H$3:$H$2984,데이터_품목별!$E$3:$E$2984,"13",데이터_품목별!$A$3:$A$2984,"2026.06")</f>
        <v>8562</v>
      </c>
      <c r="AG18" s="55" t="n">
        <f aca="false">SUMIFS(데이터_품목별!$H$3:$H$2984,데이터_품목별!$E$3:$E$2984,"13",데이터_품목별!$A$3:$A$2984,"2026.07")</f>
        <v>6421</v>
      </c>
    </row>
    <row r="19" customFormat="false" ht="15" hidden="false" customHeight="true" outlineLevel="0" collapsed="false">
      <c r="A19" s="53" t="s">
        <v>436</v>
      </c>
      <c r="B19" s="54" t="s">
        <v>437</v>
      </c>
      <c r="C19" s="55" t="n">
        <f aca="false">SUMIFS(데이터_품목별!$H$3:$H$2984,데이터_품목별!$E$3:$E$2984,"14",데이터_품목별!$A$3:$A$2984,"2024.01")</f>
        <v>88</v>
      </c>
      <c r="D19" s="55" t="n">
        <f aca="false">SUMIFS(데이터_품목별!$H$3:$H$2984,데이터_품목별!$E$3:$E$2984,"14",데이터_품목별!$A$3:$A$2984,"2024.02")</f>
        <v>12</v>
      </c>
      <c r="E19" s="55" t="n">
        <f aca="false">SUMIFS(데이터_품목별!$H$3:$H$2984,데이터_품목별!$E$3:$E$2984,"14",데이터_품목별!$A$3:$A$2984,"2024.03")</f>
        <v>28</v>
      </c>
      <c r="F19" s="55" t="n">
        <f aca="false">SUMIFS(데이터_품목별!$H$3:$H$2984,데이터_품목별!$E$3:$E$2984,"14",데이터_품목별!$A$3:$A$2984,"2024.04")</f>
        <v>73</v>
      </c>
      <c r="G19" s="55" t="n">
        <f aca="false">SUMIFS(데이터_품목별!$H$3:$H$2984,데이터_품목별!$E$3:$E$2984,"14",데이터_품목별!$A$3:$A$2984,"2024.05")</f>
        <v>22</v>
      </c>
      <c r="H19" s="55" t="n">
        <f aca="false">SUMIFS(데이터_품목별!$H$3:$H$2984,데이터_품목별!$E$3:$E$2984,"14",데이터_품목별!$A$3:$A$2984,"2024.06")</f>
        <v>35</v>
      </c>
      <c r="I19" s="55" t="n">
        <f aca="false">SUMIFS(데이터_품목별!$H$3:$H$2984,데이터_품목별!$E$3:$E$2984,"14",데이터_품목별!$A$3:$A$2984,"2024.07")</f>
        <v>80</v>
      </c>
      <c r="J19" s="55" t="n">
        <f aca="false">SUMIFS(데이터_품목별!$H$3:$H$2984,데이터_품목별!$E$3:$E$2984,"14",데이터_품목별!$A$3:$A$2984,"2024.08")</f>
        <v>22</v>
      </c>
      <c r="K19" s="55" t="n">
        <f aca="false">SUMIFS(데이터_품목별!$H$3:$H$2984,데이터_품목별!$E$3:$E$2984,"14",데이터_품목별!$A$3:$A$2984,"2024.09")</f>
        <v>23</v>
      </c>
      <c r="L19" s="55" t="n">
        <f aca="false">SUMIFS(데이터_품목별!$H$3:$H$2984,데이터_품목별!$E$3:$E$2984,"14",데이터_품목별!$A$3:$A$2984,"2024.10")</f>
        <v>18</v>
      </c>
      <c r="M19" s="55" t="n">
        <f aca="false">SUMIFS(데이터_품목별!$H$3:$H$2984,데이터_품목별!$E$3:$E$2984,"14",데이터_품목별!$A$3:$A$2984,"2024.11")</f>
        <v>41</v>
      </c>
      <c r="N19" s="55" t="n">
        <f aca="false">SUMIFS(데이터_품목별!$H$3:$H$2984,데이터_품목별!$E$3:$E$2984,"14",데이터_품목별!$A$3:$A$2984,"2024.12")</f>
        <v>39</v>
      </c>
      <c r="O19" s="55" t="n">
        <f aca="false">SUMIFS(데이터_품목별!$H$3:$H$2984,데이터_품목별!$E$3:$E$2984,"14",데이터_품목별!$A$3:$A$2984,"2025.01")</f>
        <v>14</v>
      </c>
      <c r="P19" s="55" t="n">
        <f aca="false">SUMIFS(데이터_품목별!$H$3:$H$2984,데이터_품목별!$E$3:$E$2984,"14",데이터_품목별!$A$3:$A$2984,"2025.02")</f>
        <v>35</v>
      </c>
      <c r="Q19" s="55" t="n">
        <f aca="false">SUMIFS(데이터_품목별!$H$3:$H$2984,데이터_품목별!$E$3:$E$2984,"14",데이터_품목별!$A$3:$A$2984,"2025.03")</f>
        <v>17</v>
      </c>
      <c r="R19" s="55" t="n">
        <f aca="false">SUMIFS(데이터_품목별!$H$3:$H$2984,데이터_품목별!$E$3:$E$2984,"14",데이터_품목별!$A$3:$A$2984,"2025.04")</f>
        <v>10</v>
      </c>
      <c r="S19" s="55" t="n">
        <f aca="false">SUMIFS(데이터_품목별!$H$3:$H$2984,데이터_품목별!$E$3:$E$2984,"14",데이터_품목별!$A$3:$A$2984,"2025.05")</f>
        <v>28</v>
      </c>
      <c r="T19" s="55" t="n">
        <f aca="false">SUMIFS(데이터_품목별!$H$3:$H$2984,데이터_품목별!$E$3:$E$2984,"14",데이터_품목별!$A$3:$A$2984,"2025.06")</f>
        <v>19</v>
      </c>
      <c r="U19" s="55" t="n">
        <f aca="false">SUMIFS(데이터_품목별!$H$3:$H$2984,데이터_품목별!$E$3:$E$2984,"14",데이터_품목별!$A$3:$A$2984,"2025.07")</f>
        <v>44</v>
      </c>
      <c r="V19" s="55" t="n">
        <f aca="false">SUMIFS(데이터_품목별!$H$3:$H$2984,데이터_품목별!$E$3:$E$2984,"14",데이터_품목별!$A$3:$A$2984,"2025.08")</f>
        <v>36</v>
      </c>
      <c r="W19" s="55" t="n">
        <f aca="false">SUMIFS(데이터_품목별!$H$3:$H$2984,데이터_품목별!$E$3:$E$2984,"14",데이터_품목별!$A$3:$A$2984,"2025.09")</f>
        <v>17</v>
      </c>
      <c r="X19" s="55" t="n">
        <f aca="false">SUMIFS(데이터_품목별!$H$3:$H$2984,데이터_품목별!$E$3:$E$2984,"14",데이터_품목별!$A$3:$A$2984,"2025.10")</f>
        <v>8</v>
      </c>
      <c r="Y19" s="55" t="n">
        <f aca="false">SUMIFS(데이터_품목별!$H$3:$H$2984,데이터_품목별!$E$3:$E$2984,"14",데이터_품목별!$A$3:$A$2984,"2025.11")</f>
        <v>8</v>
      </c>
      <c r="Z19" s="55" t="n">
        <f aca="false">SUMIFS(데이터_품목별!$H$3:$H$2984,데이터_품목별!$E$3:$E$2984,"14",데이터_품목별!$A$3:$A$2984,"2025.12")</f>
        <v>63</v>
      </c>
      <c r="AA19" s="55" t="n">
        <f aca="false">SUMIFS(데이터_품목별!$H$3:$H$2984,데이터_품목별!$E$3:$E$2984,"14",데이터_품목별!$A$3:$A$2984,"2026.01")</f>
        <v>53</v>
      </c>
      <c r="AB19" s="55" t="n">
        <f aca="false">SUMIFS(데이터_품목별!$H$3:$H$2984,데이터_품목별!$E$3:$E$2984,"14",데이터_품목별!$A$3:$A$2984,"2026.02")</f>
        <v>8</v>
      </c>
      <c r="AC19" s="55" t="n">
        <f aca="false">SUMIFS(데이터_품목별!$H$3:$H$2984,데이터_품목별!$E$3:$E$2984,"14",데이터_품목별!$A$3:$A$2984,"2026.03")</f>
        <v>60</v>
      </c>
      <c r="AD19" s="55" t="n">
        <f aca="false">SUMIFS(데이터_품목별!$H$3:$H$2984,데이터_품목별!$E$3:$E$2984,"14",데이터_품목별!$A$3:$A$2984,"2026.04")</f>
        <v>58</v>
      </c>
      <c r="AE19" s="55" t="n">
        <f aca="false">SUMIFS(데이터_품목별!$H$3:$H$2984,데이터_품목별!$E$3:$E$2984,"14",데이터_품목별!$A$3:$A$2984,"2026.05")</f>
        <v>21</v>
      </c>
      <c r="AF19" s="55" t="n">
        <f aca="false">SUMIFS(데이터_품목별!$H$3:$H$2984,데이터_품목별!$E$3:$E$2984,"14",데이터_품목별!$A$3:$A$2984,"2026.06")</f>
        <v>58</v>
      </c>
      <c r="AG19" s="55" t="n">
        <f aca="false">SUMIFS(데이터_품목별!$H$3:$H$2984,데이터_품목별!$E$3:$E$2984,"14",데이터_품목별!$A$3:$A$2984,"2026.07")</f>
        <v>44</v>
      </c>
    </row>
    <row r="20" customFormat="false" ht="15" hidden="false" customHeight="true" outlineLevel="0" collapsed="false">
      <c r="A20" s="53" t="s">
        <v>443</v>
      </c>
      <c r="B20" s="54" t="s">
        <v>444</v>
      </c>
      <c r="C20" s="55" t="n">
        <f aca="false">SUMIFS(데이터_품목별!$H$3:$H$2984,데이터_품목별!$E$3:$E$2984,"15",데이터_품목별!$A$3:$A$2984,"2024.01")</f>
        <v>6136</v>
      </c>
      <c r="D20" s="55" t="n">
        <f aca="false">SUMIFS(데이터_품목별!$H$3:$H$2984,데이터_품목별!$E$3:$E$2984,"15",데이터_품목별!$A$3:$A$2984,"2024.02")</f>
        <v>11664</v>
      </c>
      <c r="E20" s="55" t="n">
        <f aca="false">SUMIFS(데이터_품목별!$H$3:$H$2984,데이터_품목별!$E$3:$E$2984,"15",데이터_품목별!$A$3:$A$2984,"2024.03")</f>
        <v>13811</v>
      </c>
      <c r="F20" s="55" t="n">
        <f aca="false">SUMIFS(데이터_품목별!$H$3:$H$2984,데이터_품목별!$E$3:$E$2984,"15",데이터_품목별!$A$3:$A$2984,"2024.04")</f>
        <v>11193</v>
      </c>
      <c r="G20" s="55" t="n">
        <f aca="false">SUMIFS(데이터_품목별!$H$3:$H$2984,데이터_품목별!$E$3:$E$2984,"15",데이터_품목별!$A$3:$A$2984,"2024.05")</f>
        <v>16929</v>
      </c>
      <c r="H20" s="55" t="n">
        <f aca="false">SUMIFS(데이터_품목별!$H$3:$H$2984,데이터_품목별!$E$3:$E$2984,"15",데이터_품목별!$A$3:$A$2984,"2024.06")</f>
        <v>21574</v>
      </c>
      <c r="I20" s="55" t="n">
        <f aca="false">SUMIFS(데이터_품목별!$H$3:$H$2984,데이터_품목별!$E$3:$E$2984,"15",데이터_품목별!$A$3:$A$2984,"2024.07")</f>
        <v>32853</v>
      </c>
      <c r="J20" s="55" t="n">
        <f aca="false">SUMIFS(데이터_품목별!$H$3:$H$2984,데이터_품목별!$E$3:$E$2984,"15",데이터_품목별!$A$3:$A$2984,"2024.08")</f>
        <v>23842</v>
      </c>
      <c r="K20" s="55" t="n">
        <f aca="false">SUMIFS(데이터_품목별!$H$3:$H$2984,데이터_품목별!$E$3:$E$2984,"15",데이터_품목별!$A$3:$A$2984,"2024.09")</f>
        <v>23446</v>
      </c>
      <c r="L20" s="55" t="n">
        <f aca="false">SUMIFS(데이터_품목별!$H$3:$H$2984,데이터_품목별!$E$3:$E$2984,"15",데이터_품목별!$A$3:$A$2984,"2024.10")</f>
        <v>16046</v>
      </c>
      <c r="M20" s="55" t="n">
        <f aca="false">SUMIFS(데이터_품목별!$H$3:$H$2984,데이터_품목별!$E$3:$E$2984,"15",데이터_품목별!$A$3:$A$2984,"2024.11")</f>
        <v>9574</v>
      </c>
      <c r="N20" s="55" t="n">
        <f aca="false">SUMIFS(데이터_품목별!$H$3:$H$2984,데이터_품목별!$E$3:$E$2984,"15",데이터_품목별!$A$3:$A$2984,"2024.12")</f>
        <v>30530</v>
      </c>
      <c r="O20" s="55" t="n">
        <f aca="false">SUMIFS(데이터_품목별!$H$3:$H$2984,데이터_품목별!$E$3:$E$2984,"15",데이터_품목별!$A$3:$A$2984,"2025.01")</f>
        <v>36907</v>
      </c>
      <c r="P20" s="55" t="n">
        <f aca="false">SUMIFS(데이터_품목별!$H$3:$H$2984,데이터_품목별!$E$3:$E$2984,"15",데이터_품목별!$A$3:$A$2984,"2025.02")</f>
        <v>21126</v>
      </c>
      <c r="Q20" s="55" t="n">
        <f aca="false">SUMIFS(데이터_품목별!$H$3:$H$2984,데이터_품목별!$E$3:$E$2984,"15",데이터_품목별!$A$3:$A$2984,"2025.03")</f>
        <v>28244</v>
      </c>
      <c r="R20" s="55" t="n">
        <f aca="false">SUMIFS(데이터_품목별!$H$3:$H$2984,데이터_품목별!$E$3:$E$2984,"15",데이터_품목별!$A$3:$A$2984,"2025.04")</f>
        <v>37230</v>
      </c>
      <c r="S20" s="55" t="n">
        <f aca="false">SUMIFS(데이터_품목별!$H$3:$H$2984,데이터_품목별!$E$3:$E$2984,"15",데이터_품목별!$A$3:$A$2984,"2025.05")</f>
        <v>38282</v>
      </c>
      <c r="T20" s="55" t="n">
        <f aca="false">SUMIFS(데이터_품목별!$H$3:$H$2984,데이터_품목별!$E$3:$E$2984,"15",데이터_품목별!$A$3:$A$2984,"2025.06")</f>
        <v>39548</v>
      </c>
      <c r="U20" s="55" t="n">
        <f aca="false">SUMIFS(데이터_품목별!$H$3:$H$2984,데이터_품목별!$E$3:$E$2984,"15",데이터_품목별!$A$3:$A$2984,"2025.07")</f>
        <v>31028</v>
      </c>
      <c r="V20" s="55" t="n">
        <f aca="false">SUMIFS(데이터_품목별!$H$3:$H$2984,데이터_품목별!$E$3:$E$2984,"15",데이터_품목별!$A$3:$A$2984,"2025.08")</f>
        <v>30037</v>
      </c>
      <c r="W20" s="55" t="n">
        <f aca="false">SUMIFS(데이터_품목별!$H$3:$H$2984,데이터_품목별!$E$3:$E$2984,"15",데이터_품목별!$A$3:$A$2984,"2025.09")</f>
        <v>21190</v>
      </c>
      <c r="X20" s="55" t="n">
        <f aca="false">SUMIFS(데이터_품목별!$H$3:$H$2984,데이터_품목별!$E$3:$E$2984,"15",데이터_품목별!$A$3:$A$2984,"2025.10")</f>
        <v>52534</v>
      </c>
      <c r="Y20" s="55" t="n">
        <f aca="false">SUMIFS(데이터_품목별!$H$3:$H$2984,데이터_품목별!$E$3:$E$2984,"15",데이터_품목별!$A$3:$A$2984,"2025.11")</f>
        <v>17414</v>
      </c>
      <c r="Z20" s="55" t="n">
        <f aca="false">SUMIFS(데이터_품목별!$H$3:$H$2984,데이터_품목별!$E$3:$E$2984,"15",데이터_품목별!$A$3:$A$2984,"2025.12")</f>
        <v>24038</v>
      </c>
      <c r="AA20" s="55" t="n">
        <f aca="false">SUMIFS(데이터_품목별!$H$3:$H$2984,데이터_품목별!$E$3:$E$2984,"15",데이터_품목별!$A$3:$A$2984,"2026.01")</f>
        <v>8924</v>
      </c>
      <c r="AB20" s="55" t="n">
        <f aca="false">SUMIFS(데이터_품목별!$H$3:$H$2984,데이터_품목별!$E$3:$E$2984,"15",데이터_품목별!$A$3:$A$2984,"2026.02")</f>
        <v>13541</v>
      </c>
      <c r="AC20" s="55" t="n">
        <f aca="false">SUMIFS(데이터_품목별!$H$3:$H$2984,데이터_품목별!$E$3:$E$2984,"15",데이터_품목별!$A$3:$A$2984,"2026.03")</f>
        <v>33218</v>
      </c>
      <c r="AD20" s="55" t="n">
        <f aca="false">SUMIFS(데이터_품목별!$H$3:$H$2984,데이터_품목별!$E$3:$E$2984,"15",데이터_품목별!$A$3:$A$2984,"2026.04")</f>
        <v>21090</v>
      </c>
      <c r="AE20" s="55" t="n">
        <f aca="false">SUMIFS(데이터_품목별!$H$3:$H$2984,데이터_품목별!$E$3:$E$2984,"15",데이터_품목별!$A$3:$A$2984,"2026.05")</f>
        <v>47886</v>
      </c>
      <c r="AF20" s="55" t="n">
        <f aca="false">SUMIFS(데이터_품목별!$H$3:$H$2984,데이터_품목별!$E$3:$E$2984,"15",데이터_품목별!$A$3:$A$2984,"2026.06")</f>
        <v>46150</v>
      </c>
      <c r="AG20" s="55" t="n">
        <f aca="false">SUMIFS(데이터_품목별!$H$3:$H$2984,데이터_품목별!$E$3:$E$2984,"15",데이터_품목별!$A$3:$A$2984,"2026.07")</f>
        <v>25316</v>
      </c>
    </row>
    <row r="21" customFormat="false" ht="15" hidden="false" customHeight="true" outlineLevel="0" collapsed="false">
      <c r="A21" s="53" t="s">
        <v>450</v>
      </c>
      <c r="B21" s="54" t="s">
        <v>451</v>
      </c>
      <c r="C21" s="55" t="n">
        <f aca="false">SUMIFS(데이터_품목별!$H$3:$H$2984,데이터_품목별!$E$3:$E$2984,"16",데이터_품목별!$A$3:$A$2984,"2024.01")</f>
        <v>25872</v>
      </c>
      <c r="D21" s="55" t="n">
        <f aca="false">SUMIFS(데이터_품목별!$H$3:$H$2984,데이터_품목별!$E$3:$E$2984,"16",데이터_품목별!$A$3:$A$2984,"2024.02")</f>
        <v>22662</v>
      </c>
      <c r="E21" s="55" t="n">
        <f aca="false">SUMIFS(데이터_품목별!$H$3:$H$2984,데이터_품목별!$E$3:$E$2984,"16",데이터_품목별!$A$3:$A$2984,"2024.03")</f>
        <v>28939</v>
      </c>
      <c r="F21" s="55" t="n">
        <f aca="false">SUMIFS(데이터_품목별!$H$3:$H$2984,데이터_품목별!$E$3:$E$2984,"16",데이터_품목별!$A$3:$A$2984,"2024.04")</f>
        <v>31625</v>
      </c>
      <c r="G21" s="55" t="n">
        <f aca="false">SUMIFS(데이터_품목별!$H$3:$H$2984,데이터_품목별!$E$3:$E$2984,"16",데이터_품목별!$A$3:$A$2984,"2024.05")</f>
        <v>35932</v>
      </c>
      <c r="H21" s="55" t="n">
        <f aca="false">SUMIFS(데이터_품목별!$H$3:$H$2984,데이터_품목별!$E$3:$E$2984,"16",데이터_품목별!$A$3:$A$2984,"2024.06")</f>
        <v>27850</v>
      </c>
      <c r="I21" s="55" t="n">
        <f aca="false">SUMIFS(데이터_품목별!$H$3:$H$2984,데이터_품목별!$E$3:$E$2984,"16",데이터_품목별!$A$3:$A$2984,"2024.07")</f>
        <v>26468</v>
      </c>
      <c r="J21" s="55" t="n">
        <f aca="false">SUMIFS(데이터_품목별!$H$3:$H$2984,데이터_품목별!$E$3:$E$2984,"16",데이터_품목별!$A$3:$A$2984,"2024.08")</f>
        <v>24249</v>
      </c>
      <c r="K21" s="55" t="n">
        <f aca="false">SUMIFS(데이터_품목별!$H$3:$H$2984,데이터_품목별!$E$3:$E$2984,"16",데이터_품목별!$A$3:$A$2984,"2024.09")</f>
        <v>23688</v>
      </c>
      <c r="L21" s="55" t="n">
        <f aca="false">SUMIFS(데이터_품목별!$H$3:$H$2984,데이터_품목별!$E$3:$E$2984,"16",데이터_품목별!$A$3:$A$2984,"2024.10")</f>
        <v>26069</v>
      </c>
      <c r="M21" s="55" t="n">
        <f aca="false">SUMIFS(데이터_품목별!$H$3:$H$2984,데이터_품목별!$E$3:$E$2984,"16",데이터_품목별!$A$3:$A$2984,"2024.11")</f>
        <v>29708</v>
      </c>
      <c r="N21" s="55" t="n">
        <f aca="false">SUMIFS(데이터_품목별!$H$3:$H$2984,데이터_품목별!$E$3:$E$2984,"16",데이터_품목별!$A$3:$A$2984,"2024.12")</f>
        <v>27344</v>
      </c>
      <c r="O21" s="55" t="n">
        <f aca="false">SUMIFS(데이터_품목별!$H$3:$H$2984,데이터_품목별!$E$3:$E$2984,"16",데이터_품목별!$A$3:$A$2984,"2025.01")</f>
        <v>20531</v>
      </c>
      <c r="P21" s="55" t="n">
        <f aca="false">SUMIFS(데이터_품목별!$H$3:$H$2984,데이터_품목별!$E$3:$E$2984,"16",데이터_품목별!$A$3:$A$2984,"2025.02")</f>
        <v>25083</v>
      </c>
      <c r="Q21" s="55" t="n">
        <f aca="false">SUMIFS(데이터_품목별!$H$3:$H$2984,데이터_품목별!$E$3:$E$2984,"16",데이터_품목별!$A$3:$A$2984,"2025.03")</f>
        <v>24969</v>
      </c>
      <c r="R21" s="55" t="n">
        <f aca="false">SUMIFS(데이터_품목별!$H$3:$H$2984,데이터_품목별!$E$3:$E$2984,"16",데이터_품목별!$A$3:$A$2984,"2025.04")</f>
        <v>29657</v>
      </c>
      <c r="S21" s="55" t="n">
        <f aca="false">SUMIFS(데이터_품목별!$H$3:$H$2984,데이터_품목별!$E$3:$E$2984,"16",데이터_품목별!$A$3:$A$2984,"2025.05")</f>
        <v>27367</v>
      </c>
      <c r="T21" s="55" t="n">
        <f aca="false">SUMIFS(데이터_품목별!$H$3:$H$2984,데이터_품목별!$E$3:$E$2984,"16",데이터_품목별!$A$3:$A$2984,"2025.06")</f>
        <v>27363</v>
      </c>
      <c r="U21" s="55" t="n">
        <f aca="false">SUMIFS(데이터_품목별!$H$3:$H$2984,데이터_품목별!$E$3:$E$2984,"16",데이터_품목별!$A$3:$A$2984,"2025.07")</f>
        <v>29198</v>
      </c>
      <c r="V21" s="55" t="n">
        <f aca="false">SUMIFS(데이터_품목별!$H$3:$H$2984,데이터_품목별!$E$3:$E$2984,"16",데이터_품목별!$A$3:$A$2984,"2025.08")</f>
        <v>23685</v>
      </c>
      <c r="W21" s="55" t="n">
        <f aca="false">SUMIFS(데이터_품목별!$H$3:$H$2984,데이터_품목별!$E$3:$E$2984,"16",데이터_품목별!$A$3:$A$2984,"2025.09")</f>
        <v>29295</v>
      </c>
      <c r="X21" s="55" t="n">
        <f aca="false">SUMIFS(데이터_품목별!$H$3:$H$2984,데이터_품목별!$E$3:$E$2984,"16",데이터_품목별!$A$3:$A$2984,"2025.10")</f>
        <v>27705</v>
      </c>
      <c r="Y21" s="55" t="n">
        <f aca="false">SUMIFS(데이터_품목별!$H$3:$H$2984,데이터_품목별!$E$3:$E$2984,"16",데이터_품목별!$A$3:$A$2984,"2025.11")</f>
        <v>29243</v>
      </c>
      <c r="Z21" s="55" t="n">
        <f aca="false">SUMIFS(데이터_품목별!$H$3:$H$2984,데이터_품목별!$E$3:$E$2984,"16",데이터_품목별!$A$3:$A$2984,"2025.12")</f>
        <v>28030</v>
      </c>
      <c r="AA21" s="55" t="n">
        <f aca="false">SUMIFS(데이터_품목별!$H$3:$H$2984,데이터_품목별!$E$3:$E$2984,"16",데이터_품목별!$A$3:$A$2984,"2026.01")</f>
        <v>25326</v>
      </c>
      <c r="AB21" s="55" t="n">
        <f aca="false">SUMIFS(데이터_품목별!$H$3:$H$2984,데이터_품목별!$E$3:$E$2984,"16",데이터_품목별!$A$3:$A$2984,"2026.02")</f>
        <v>19869</v>
      </c>
      <c r="AC21" s="55" t="n">
        <f aca="false">SUMIFS(데이터_품목별!$H$3:$H$2984,데이터_품목별!$E$3:$E$2984,"16",데이터_품목별!$A$3:$A$2984,"2026.03")</f>
        <v>27253</v>
      </c>
      <c r="AD21" s="55" t="n">
        <f aca="false">SUMIFS(데이터_품목별!$H$3:$H$2984,데이터_품목별!$E$3:$E$2984,"16",데이터_품목별!$A$3:$A$2984,"2026.04")</f>
        <v>31816</v>
      </c>
      <c r="AE21" s="55" t="n">
        <f aca="false">SUMIFS(데이터_품목별!$H$3:$H$2984,데이터_품목별!$E$3:$E$2984,"16",데이터_품목별!$A$3:$A$2984,"2026.05")</f>
        <v>31142</v>
      </c>
      <c r="AF21" s="55" t="n">
        <f aca="false">SUMIFS(데이터_품목별!$H$3:$H$2984,데이터_품목별!$E$3:$E$2984,"16",데이터_품목별!$A$3:$A$2984,"2026.06")</f>
        <v>32160</v>
      </c>
      <c r="AG21" s="55" t="n">
        <f aca="false">SUMIFS(데이터_품목별!$H$3:$H$2984,데이터_품목별!$E$3:$E$2984,"16",데이터_품목별!$A$3:$A$2984,"2026.07")</f>
        <v>28121</v>
      </c>
    </row>
    <row r="22" customFormat="false" ht="15" hidden="false" customHeight="true" outlineLevel="0" collapsed="false">
      <c r="A22" s="53" t="s">
        <v>457</v>
      </c>
      <c r="B22" s="54" t="s">
        <v>458</v>
      </c>
      <c r="C22" s="55" t="n">
        <f aca="false">SUMIFS(데이터_품목별!$H$3:$H$2984,데이터_품목별!$E$3:$E$2984,"17",데이터_품목별!$A$3:$A$2984,"2024.01")</f>
        <v>31537</v>
      </c>
      <c r="D22" s="55" t="n">
        <f aca="false">SUMIFS(데이터_품목별!$H$3:$H$2984,데이터_품목별!$E$3:$E$2984,"17",데이터_품목별!$A$3:$A$2984,"2024.02")</f>
        <v>28636</v>
      </c>
      <c r="E22" s="55" t="n">
        <f aca="false">SUMIFS(데이터_품목별!$H$3:$H$2984,데이터_품목별!$E$3:$E$2984,"17",데이터_품목별!$A$3:$A$2984,"2024.03")</f>
        <v>21228</v>
      </c>
      <c r="F22" s="55" t="n">
        <f aca="false">SUMIFS(데이터_품목별!$H$3:$H$2984,데이터_품목별!$E$3:$E$2984,"17",데이터_품목별!$A$3:$A$2984,"2024.04")</f>
        <v>24029</v>
      </c>
      <c r="G22" s="55" t="n">
        <f aca="false">SUMIFS(데이터_품목별!$H$3:$H$2984,데이터_품목별!$E$3:$E$2984,"17",데이터_품목별!$A$3:$A$2984,"2024.05")</f>
        <v>26921</v>
      </c>
      <c r="H22" s="55" t="n">
        <f aca="false">SUMIFS(데이터_품목별!$H$3:$H$2984,데이터_품목별!$E$3:$E$2984,"17",데이터_품목별!$A$3:$A$2984,"2024.06")</f>
        <v>27142</v>
      </c>
      <c r="I22" s="55" t="n">
        <f aca="false">SUMIFS(데이터_품목별!$H$3:$H$2984,데이터_품목별!$E$3:$E$2984,"17",데이터_품목별!$A$3:$A$2984,"2024.07")</f>
        <v>32829</v>
      </c>
      <c r="J22" s="55" t="n">
        <f aca="false">SUMIFS(데이터_품목별!$H$3:$H$2984,데이터_품목별!$E$3:$E$2984,"17",데이터_품목별!$A$3:$A$2984,"2024.08")</f>
        <v>31191</v>
      </c>
      <c r="K22" s="55" t="n">
        <f aca="false">SUMIFS(데이터_품목별!$H$3:$H$2984,데이터_품목별!$E$3:$E$2984,"17",데이터_품목별!$A$3:$A$2984,"2024.09")</f>
        <v>32888</v>
      </c>
      <c r="L22" s="55" t="n">
        <f aca="false">SUMIFS(데이터_품목별!$H$3:$H$2984,데이터_품목별!$E$3:$E$2984,"17",데이터_품목별!$A$3:$A$2984,"2024.10")</f>
        <v>34901</v>
      </c>
      <c r="M22" s="55" t="n">
        <f aca="false">SUMIFS(데이터_품목별!$H$3:$H$2984,데이터_품목별!$E$3:$E$2984,"17",데이터_품목별!$A$3:$A$2984,"2024.11")</f>
        <v>32849</v>
      </c>
      <c r="N22" s="55" t="n">
        <f aca="false">SUMIFS(데이터_품목별!$H$3:$H$2984,데이터_품목별!$E$3:$E$2984,"17",데이터_품목별!$A$3:$A$2984,"2024.12")</f>
        <v>31956</v>
      </c>
      <c r="O22" s="55" t="n">
        <f aca="false">SUMIFS(데이터_품목별!$H$3:$H$2984,데이터_품목별!$E$3:$E$2984,"17",데이터_품목별!$A$3:$A$2984,"2025.01")</f>
        <v>19752</v>
      </c>
      <c r="P22" s="55" t="n">
        <f aca="false">SUMIFS(데이터_품목별!$H$3:$H$2984,데이터_품목별!$E$3:$E$2984,"17",데이터_품목별!$A$3:$A$2984,"2025.02")</f>
        <v>22146</v>
      </c>
      <c r="Q22" s="55" t="n">
        <f aca="false">SUMIFS(데이터_품목별!$H$3:$H$2984,데이터_품목별!$E$3:$E$2984,"17",데이터_품목별!$A$3:$A$2984,"2025.03")</f>
        <v>22873</v>
      </c>
      <c r="R22" s="55" t="n">
        <f aca="false">SUMIFS(데이터_품목별!$H$3:$H$2984,데이터_품목별!$E$3:$E$2984,"17",데이터_품목별!$A$3:$A$2984,"2025.04")</f>
        <v>25733</v>
      </c>
      <c r="S22" s="55" t="n">
        <f aca="false">SUMIFS(데이터_품목별!$H$3:$H$2984,데이터_품목별!$E$3:$E$2984,"17",데이터_품목별!$A$3:$A$2984,"2025.05")</f>
        <v>23976</v>
      </c>
      <c r="T22" s="55" t="n">
        <f aca="false">SUMIFS(데이터_품목별!$H$3:$H$2984,데이터_품목별!$E$3:$E$2984,"17",데이터_품목별!$A$3:$A$2984,"2025.06")</f>
        <v>26243</v>
      </c>
      <c r="U22" s="55" t="n">
        <f aca="false">SUMIFS(데이터_품목별!$H$3:$H$2984,데이터_품목별!$E$3:$E$2984,"17",데이터_품목별!$A$3:$A$2984,"2025.07")</f>
        <v>28492</v>
      </c>
      <c r="V22" s="55" t="n">
        <f aca="false">SUMIFS(데이터_품목별!$H$3:$H$2984,데이터_품목별!$E$3:$E$2984,"17",데이터_품목별!$A$3:$A$2984,"2025.08")</f>
        <v>24279</v>
      </c>
      <c r="W22" s="55" t="n">
        <f aca="false">SUMIFS(데이터_품목별!$H$3:$H$2984,데이터_품목별!$E$3:$E$2984,"17",데이터_품목별!$A$3:$A$2984,"2025.09")</f>
        <v>29459</v>
      </c>
      <c r="X22" s="55" t="n">
        <f aca="false">SUMIFS(데이터_품목별!$H$3:$H$2984,데이터_품목별!$E$3:$E$2984,"17",데이터_품목별!$A$3:$A$2984,"2025.10")</f>
        <v>27166</v>
      </c>
      <c r="Y22" s="55" t="n">
        <f aca="false">SUMIFS(데이터_품목별!$H$3:$H$2984,데이터_품목별!$E$3:$E$2984,"17",데이터_품목별!$A$3:$A$2984,"2025.11")</f>
        <v>27148</v>
      </c>
      <c r="Z22" s="55" t="n">
        <f aca="false">SUMIFS(데이터_품목별!$H$3:$H$2984,데이터_품목별!$E$3:$E$2984,"17",데이터_품목별!$A$3:$A$2984,"2025.12")</f>
        <v>25088</v>
      </c>
      <c r="AA22" s="55" t="n">
        <f aca="false">SUMIFS(데이터_품목별!$H$3:$H$2984,데이터_품목별!$E$3:$E$2984,"17",데이터_품목별!$A$3:$A$2984,"2026.01")</f>
        <v>20862</v>
      </c>
      <c r="AB22" s="55" t="n">
        <f aca="false">SUMIFS(데이터_품목별!$H$3:$H$2984,데이터_품목별!$E$3:$E$2984,"17",데이터_품목별!$A$3:$A$2984,"2026.02")</f>
        <v>16290</v>
      </c>
      <c r="AC22" s="55" t="n">
        <f aca="false">SUMIFS(데이터_품목별!$H$3:$H$2984,데이터_품목별!$E$3:$E$2984,"17",데이터_품목별!$A$3:$A$2984,"2026.03")</f>
        <v>22399</v>
      </c>
      <c r="AD22" s="55" t="n">
        <f aca="false">SUMIFS(데이터_품목별!$H$3:$H$2984,데이터_품목별!$E$3:$E$2984,"17",데이터_품목별!$A$3:$A$2984,"2026.04")</f>
        <v>23892</v>
      </c>
      <c r="AE22" s="55" t="n">
        <f aca="false">SUMIFS(데이터_품목별!$H$3:$H$2984,데이터_품목별!$E$3:$E$2984,"17",데이터_품목별!$A$3:$A$2984,"2026.05")</f>
        <v>21255</v>
      </c>
      <c r="AF22" s="55" t="n">
        <f aca="false">SUMIFS(데이터_품목별!$H$3:$H$2984,데이터_품목별!$E$3:$E$2984,"17",데이터_품목별!$A$3:$A$2984,"2026.06")</f>
        <v>19818</v>
      </c>
      <c r="AG22" s="55" t="n">
        <f aca="false">SUMIFS(데이터_품목별!$H$3:$H$2984,데이터_품목별!$E$3:$E$2984,"17",데이터_품목별!$A$3:$A$2984,"2026.07")</f>
        <v>24623</v>
      </c>
    </row>
    <row r="23" customFormat="false" ht="15" hidden="false" customHeight="true" outlineLevel="0" collapsed="false">
      <c r="A23" s="53" t="s">
        <v>464</v>
      </c>
      <c r="B23" s="54" t="s">
        <v>465</v>
      </c>
      <c r="C23" s="55" t="n">
        <f aca="false">SUMIFS(데이터_품목별!$H$3:$H$2984,데이터_품목별!$E$3:$E$2984,"18",데이터_품목별!$A$3:$A$2984,"2024.01")</f>
        <v>4923</v>
      </c>
      <c r="D23" s="55" t="n">
        <f aca="false">SUMIFS(데이터_품목별!$H$3:$H$2984,데이터_품목별!$E$3:$E$2984,"18",데이터_품목별!$A$3:$A$2984,"2024.02")</f>
        <v>4394</v>
      </c>
      <c r="E23" s="55" t="n">
        <f aca="false">SUMIFS(데이터_품목별!$H$3:$H$2984,데이터_품목별!$E$3:$E$2984,"18",데이터_품목별!$A$3:$A$2984,"2024.03")</f>
        <v>5579</v>
      </c>
      <c r="F23" s="55" t="n">
        <f aca="false">SUMIFS(데이터_품목별!$H$3:$H$2984,데이터_품목별!$E$3:$E$2984,"18",데이터_품목별!$A$3:$A$2984,"2024.04")</f>
        <v>4681</v>
      </c>
      <c r="G23" s="55" t="n">
        <f aca="false">SUMIFS(데이터_품목별!$H$3:$H$2984,데이터_품목별!$E$3:$E$2984,"18",데이터_품목별!$A$3:$A$2984,"2024.05")</f>
        <v>6067</v>
      </c>
      <c r="H23" s="55" t="n">
        <f aca="false">SUMIFS(데이터_품목별!$H$3:$H$2984,데이터_품목별!$E$3:$E$2984,"18",데이터_품목별!$A$3:$A$2984,"2024.06")</f>
        <v>5247</v>
      </c>
      <c r="I23" s="55" t="n">
        <f aca="false">SUMIFS(데이터_품목별!$H$3:$H$2984,데이터_품목별!$E$3:$E$2984,"18",데이터_품목별!$A$3:$A$2984,"2024.07")</f>
        <v>5444</v>
      </c>
      <c r="J23" s="55" t="n">
        <f aca="false">SUMIFS(데이터_품목별!$H$3:$H$2984,데이터_품목별!$E$3:$E$2984,"18",데이터_품목별!$A$3:$A$2984,"2024.08")</f>
        <v>5961</v>
      </c>
      <c r="K23" s="55" t="n">
        <f aca="false">SUMIFS(데이터_품목별!$H$3:$H$2984,데이터_품목별!$E$3:$E$2984,"18",데이터_품목별!$A$3:$A$2984,"2024.09")</f>
        <v>6890</v>
      </c>
      <c r="L23" s="55" t="n">
        <f aca="false">SUMIFS(데이터_품목별!$H$3:$H$2984,데이터_품목별!$E$3:$E$2984,"18",데이터_품목별!$A$3:$A$2984,"2024.10")</f>
        <v>8916</v>
      </c>
      <c r="M23" s="55" t="n">
        <f aca="false">SUMIFS(데이터_품목별!$H$3:$H$2984,데이터_품목별!$E$3:$E$2984,"18",데이터_품목별!$A$3:$A$2984,"2024.11")</f>
        <v>10288</v>
      </c>
      <c r="N23" s="55" t="n">
        <f aca="false">SUMIFS(데이터_품목별!$H$3:$H$2984,데이터_품목별!$E$3:$E$2984,"18",데이터_품목별!$A$3:$A$2984,"2024.12")</f>
        <v>9930</v>
      </c>
      <c r="O23" s="55" t="n">
        <f aca="false">SUMIFS(데이터_품목별!$H$3:$H$2984,데이터_품목별!$E$3:$E$2984,"18",데이터_품목별!$A$3:$A$2984,"2025.01")</f>
        <v>8048</v>
      </c>
      <c r="P23" s="55" t="n">
        <f aca="false">SUMIFS(데이터_품목별!$H$3:$H$2984,데이터_품목별!$E$3:$E$2984,"18",데이터_품목별!$A$3:$A$2984,"2025.02")</f>
        <v>8120</v>
      </c>
      <c r="Q23" s="55" t="n">
        <f aca="false">SUMIFS(데이터_품목별!$H$3:$H$2984,데이터_품목별!$E$3:$E$2984,"18",데이터_품목별!$A$3:$A$2984,"2025.03")</f>
        <v>9156</v>
      </c>
      <c r="R23" s="55" t="n">
        <f aca="false">SUMIFS(데이터_품목별!$H$3:$H$2984,데이터_품목별!$E$3:$E$2984,"18",데이터_품목별!$A$3:$A$2984,"2025.04")</f>
        <v>9394</v>
      </c>
      <c r="S23" s="55" t="n">
        <f aca="false">SUMIFS(데이터_품목별!$H$3:$H$2984,데이터_품목별!$E$3:$E$2984,"18",데이터_품목별!$A$3:$A$2984,"2025.05")</f>
        <v>8930</v>
      </c>
      <c r="T23" s="55" t="n">
        <f aca="false">SUMIFS(데이터_품목별!$H$3:$H$2984,데이터_품목별!$E$3:$E$2984,"18",데이터_품목별!$A$3:$A$2984,"2025.06")</f>
        <v>6254</v>
      </c>
      <c r="U23" s="55" t="n">
        <f aca="false">SUMIFS(데이터_품목별!$H$3:$H$2984,데이터_품목별!$E$3:$E$2984,"18",데이터_품목별!$A$3:$A$2984,"2025.07")</f>
        <v>7853</v>
      </c>
      <c r="V23" s="55" t="n">
        <f aca="false">SUMIFS(데이터_품목별!$H$3:$H$2984,데이터_품목별!$E$3:$E$2984,"18",데이터_품목별!$A$3:$A$2984,"2025.08")</f>
        <v>6490</v>
      </c>
      <c r="W23" s="55" t="n">
        <f aca="false">SUMIFS(데이터_품목별!$H$3:$H$2984,데이터_품목별!$E$3:$E$2984,"18",데이터_품목별!$A$3:$A$2984,"2025.09")</f>
        <v>8177</v>
      </c>
      <c r="X23" s="55" t="n">
        <f aca="false">SUMIFS(데이터_품목별!$H$3:$H$2984,데이터_품목별!$E$3:$E$2984,"18",데이터_품목별!$A$3:$A$2984,"2025.10")</f>
        <v>7760</v>
      </c>
      <c r="Y23" s="55" t="n">
        <f aca="false">SUMIFS(데이터_품목별!$H$3:$H$2984,데이터_품목별!$E$3:$E$2984,"18",데이터_품목별!$A$3:$A$2984,"2025.11")</f>
        <v>7603</v>
      </c>
      <c r="Z23" s="55" t="n">
        <f aca="false">SUMIFS(데이터_품목별!$H$3:$H$2984,데이터_품목별!$E$3:$E$2984,"18",데이터_품목별!$A$3:$A$2984,"2025.12")</f>
        <v>8460</v>
      </c>
      <c r="AA23" s="55" t="n">
        <f aca="false">SUMIFS(데이터_품목별!$H$3:$H$2984,데이터_품목별!$E$3:$E$2984,"18",데이터_품목별!$A$3:$A$2984,"2026.01")</f>
        <v>7441</v>
      </c>
      <c r="AB23" s="55" t="n">
        <f aca="false">SUMIFS(데이터_품목별!$H$3:$H$2984,데이터_품목별!$E$3:$E$2984,"18",데이터_품목별!$A$3:$A$2984,"2026.02")</f>
        <v>5519</v>
      </c>
      <c r="AC23" s="55" t="n">
        <f aca="false">SUMIFS(데이터_품목별!$H$3:$H$2984,데이터_품목별!$E$3:$E$2984,"18",데이터_품목별!$A$3:$A$2984,"2026.03")</f>
        <v>6840</v>
      </c>
      <c r="AD23" s="55" t="n">
        <f aca="false">SUMIFS(데이터_품목별!$H$3:$H$2984,데이터_품목별!$E$3:$E$2984,"18",데이터_품목별!$A$3:$A$2984,"2026.04")</f>
        <v>6428</v>
      </c>
      <c r="AE23" s="55" t="n">
        <f aca="false">SUMIFS(데이터_품목별!$H$3:$H$2984,데이터_품목별!$E$3:$E$2984,"18",데이터_품목별!$A$3:$A$2984,"2026.05")</f>
        <v>6179</v>
      </c>
      <c r="AF23" s="55" t="n">
        <f aca="false">SUMIFS(데이터_품목별!$H$3:$H$2984,데이터_품목별!$E$3:$E$2984,"18",데이터_품목별!$A$3:$A$2984,"2026.06")</f>
        <v>5846</v>
      </c>
      <c r="AG23" s="55" t="n">
        <f aca="false">SUMIFS(데이터_품목별!$H$3:$H$2984,데이터_품목별!$E$3:$E$2984,"18",데이터_품목별!$A$3:$A$2984,"2026.07")</f>
        <v>5750</v>
      </c>
    </row>
    <row r="24" customFormat="false" ht="15" hidden="false" customHeight="true" outlineLevel="0" collapsed="false">
      <c r="A24" s="53" t="s">
        <v>471</v>
      </c>
      <c r="B24" s="54" t="s">
        <v>472</v>
      </c>
      <c r="C24" s="55" t="n">
        <f aca="false">SUMIFS(데이터_품목별!$H$3:$H$2984,데이터_품목별!$E$3:$E$2984,"19",데이터_품목별!$A$3:$A$2984,"2024.01")</f>
        <v>172480</v>
      </c>
      <c r="D24" s="55" t="n">
        <f aca="false">SUMIFS(데이터_품목별!$H$3:$H$2984,데이터_품목별!$E$3:$E$2984,"19",데이터_품목별!$A$3:$A$2984,"2024.02")</f>
        <v>179549</v>
      </c>
      <c r="E24" s="55" t="n">
        <f aca="false">SUMIFS(데이터_품목별!$H$3:$H$2984,데이터_품목별!$E$3:$E$2984,"19",데이터_품목별!$A$3:$A$2984,"2024.03")</f>
        <v>190119</v>
      </c>
      <c r="F24" s="55" t="n">
        <f aca="false">SUMIFS(데이터_품목별!$H$3:$H$2984,데이터_품목별!$E$3:$E$2984,"19",데이터_품목별!$A$3:$A$2984,"2024.04")</f>
        <v>210518</v>
      </c>
      <c r="G24" s="55" t="n">
        <f aca="false">SUMIFS(데이터_품목별!$H$3:$H$2984,데이터_품목별!$E$3:$E$2984,"19",데이터_품목별!$A$3:$A$2984,"2024.05")</f>
        <v>207843</v>
      </c>
      <c r="H24" s="55" t="n">
        <f aca="false">SUMIFS(데이터_품목별!$H$3:$H$2984,데이터_품목별!$E$3:$E$2984,"19",데이터_품목별!$A$3:$A$2984,"2024.06")</f>
        <v>198857</v>
      </c>
      <c r="I24" s="55" t="n">
        <f aca="false">SUMIFS(데이터_품목별!$H$3:$H$2984,데이터_품목별!$E$3:$E$2984,"19",데이터_품목별!$A$3:$A$2984,"2024.07")</f>
        <v>216009</v>
      </c>
      <c r="J24" s="55" t="n">
        <f aca="false">SUMIFS(데이터_품목별!$H$3:$H$2984,데이터_품목별!$E$3:$E$2984,"19",데이터_품목별!$A$3:$A$2984,"2024.08")</f>
        <v>200312</v>
      </c>
      <c r="K24" s="55" t="n">
        <f aca="false">SUMIFS(데이터_품목별!$H$3:$H$2984,데이터_품목별!$E$3:$E$2984,"19",데이터_품목별!$A$3:$A$2984,"2024.09")</f>
        <v>199473</v>
      </c>
      <c r="L24" s="55" t="n">
        <f aca="false">SUMIFS(데이터_품목별!$H$3:$H$2984,데이터_품목별!$E$3:$E$2984,"19",데이터_품목별!$A$3:$A$2984,"2024.10")</f>
        <v>225058</v>
      </c>
      <c r="M24" s="55" t="n">
        <f aca="false">SUMIFS(데이터_품목별!$H$3:$H$2984,데이터_품목별!$E$3:$E$2984,"19",데이터_품목별!$A$3:$A$2984,"2024.11")</f>
        <v>217351</v>
      </c>
      <c r="N24" s="55" t="n">
        <f aca="false">SUMIFS(데이터_품목별!$H$3:$H$2984,데이터_품목별!$E$3:$E$2984,"19",데이터_품목별!$A$3:$A$2984,"2024.12")</f>
        <v>207896</v>
      </c>
      <c r="O24" s="55" t="n">
        <f aca="false">SUMIFS(데이터_품목별!$H$3:$H$2984,데이터_품목별!$E$3:$E$2984,"19",데이터_품목별!$A$3:$A$2984,"2025.01")</f>
        <v>186330</v>
      </c>
      <c r="P24" s="55" t="n">
        <f aca="false">SUMIFS(데이터_품목별!$H$3:$H$2984,데이터_품목별!$E$3:$E$2984,"19",데이터_품목별!$A$3:$A$2984,"2025.02")</f>
        <v>218456</v>
      </c>
      <c r="Q24" s="55" t="n">
        <f aca="false">SUMIFS(데이터_품목별!$H$3:$H$2984,데이터_품목별!$E$3:$E$2984,"19",데이터_품목별!$A$3:$A$2984,"2025.03")</f>
        <v>212573</v>
      </c>
      <c r="R24" s="55" t="n">
        <f aca="false">SUMIFS(데이터_품목별!$H$3:$H$2984,데이터_품목별!$E$3:$E$2984,"19",데이터_품목별!$A$3:$A$2984,"2025.04")</f>
        <v>247516</v>
      </c>
      <c r="S24" s="55" t="n">
        <f aca="false">SUMIFS(데이터_품목별!$H$3:$H$2984,데이터_품목별!$E$3:$E$2984,"19",데이터_품목별!$A$3:$A$2984,"2025.05")</f>
        <v>221804</v>
      </c>
      <c r="T24" s="55" t="n">
        <f aca="false">SUMIFS(데이터_품목별!$H$3:$H$2984,데이터_품목별!$E$3:$E$2984,"19",데이터_품목별!$A$3:$A$2984,"2025.06")</f>
        <v>221837</v>
      </c>
      <c r="U24" s="55" t="n">
        <f aca="false">SUMIFS(데이터_품목별!$H$3:$H$2984,데이터_품목별!$E$3:$E$2984,"19",데이터_품목별!$A$3:$A$2984,"2025.07")</f>
        <v>228953</v>
      </c>
      <c r="V24" s="55" t="n">
        <f aca="false">SUMIFS(데이터_품목별!$H$3:$H$2984,데이터_품목별!$E$3:$E$2984,"19",데이터_품목별!$A$3:$A$2984,"2025.08")</f>
        <v>204309</v>
      </c>
      <c r="W24" s="55" t="n">
        <f aca="false">SUMIFS(데이터_품목별!$H$3:$H$2984,데이터_품목별!$E$3:$E$2984,"19",데이터_품목별!$A$3:$A$2984,"2025.09")</f>
        <v>257181</v>
      </c>
      <c r="X24" s="55" t="n">
        <f aca="false">SUMIFS(데이터_품목별!$H$3:$H$2984,데이터_품목별!$E$3:$E$2984,"19",데이터_품목별!$A$3:$A$2984,"2025.10")</f>
        <v>212787</v>
      </c>
      <c r="Y24" s="55" t="n">
        <f aca="false">SUMIFS(데이터_품목별!$H$3:$H$2984,데이터_품목별!$E$3:$E$2984,"19",데이터_품목별!$A$3:$A$2984,"2025.11")</f>
        <v>225443</v>
      </c>
      <c r="Z24" s="55" t="n">
        <f aca="false">SUMIFS(데이터_품목별!$H$3:$H$2984,데이터_품목별!$E$3:$E$2984,"19",데이터_품목별!$A$3:$A$2984,"2025.12")</f>
        <v>242221</v>
      </c>
      <c r="AA24" s="55" t="n">
        <f aca="false">SUMIFS(데이터_품목별!$H$3:$H$2984,데이터_품목별!$E$3:$E$2984,"19",데이터_품목별!$A$3:$A$2984,"2026.01")</f>
        <v>229195</v>
      </c>
      <c r="AB24" s="55" t="n">
        <f aca="false">SUMIFS(데이터_품목별!$H$3:$H$2984,데이터_품목별!$E$3:$E$2984,"19",데이터_품목별!$A$3:$A$2984,"2026.02")</f>
        <v>229252</v>
      </c>
      <c r="AC24" s="55" t="n">
        <f aca="false">SUMIFS(데이터_품목별!$H$3:$H$2984,데이터_품목별!$E$3:$E$2984,"19",데이터_품목별!$A$3:$A$2984,"2026.03")</f>
        <v>277613</v>
      </c>
      <c r="AD24" s="55" t="n">
        <f aca="false">SUMIFS(데이터_품목별!$H$3:$H$2984,데이터_품목별!$E$3:$E$2984,"19",데이터_품목별!$A$3:$A$2984,"2026.04")</f>
        <v>299401</v>
      </c>
      <c r="AE24" s="55" t="n">
        <f aca="false">SUMIFS(데이터_품목별!$H$3:$H$2984,데이터_품목별!$E$3:$E$2984,"19",데이터_품목별!$A$3:$A$2984,"2026.05")</f>
        <v>253418</v>
      </c>
      <c r="AF24" s="55" t="n">
        <f aca="false">SUMIFS(데이터_품목별!$H$3:$H$2984,데이터_품목별!$E$3:$E$2984,"19",데이터_품목별!$A$3:$A$2984,"2026.06")</f>
        <v>270788</v>
      </c>
      <c r="AG24" s="55" t="n">
        <f aca="false">SUMIFS(데이터_품목별!$H$3:$H$2984,데이터_품목별!$E$3:$E$2984,"19",데이터_품목별!$A$3:$A$2984,"2026.07")</f>
        <v>260238</v>
      </c>
    </row>
    <row r="25" customFormat="false" ht="15" hidden="false" customHeight="true" outlineLevel="0" collapsed="false">
      <c r="A25" s="53" t="s">
        <v>478</v>
      </c>
      <c r="B25" s="54" t="s">
        <v>479</v>
      </c>
      <c r="C25" s="55" t="n">
        <f aca="false">SUMIFS(데이터_품목별!$H$3:$H$2984,데이터_품목별!$E$3:$E$2984,"20",데이터_품목별!$A$3:$A$2984,"2024.01")</f>
        <v>73506</v>
      </c>
      <c r="D25" s="55" t="n">
        <f aca="false">SUMIFS(데이터_품목별!$H$3:$H$2984,데이터_품목별!$E$3:$E$2984,"20",데이터_품목별!$A$3:$A$2984,"2024.02")</f>
        <v>73877</v>
      </c>
      <c r="E25" s="55" t="n">
        <f aca="false">SUMIFS(데이터_품목별!$H$3:$H$2984,데이터_품목별!$E$3:$E$2984,"20",데이터_품목별!$A$3:$A$2984,"2024.03")</f>
        <v>82228</v>
      </c>
      <c r="F25" s="55" t="n">
        <f aca="false">SUMIFS(데이터_품목별!$H$3:$H$2984,데이터_품목별!$E$3:$E$2984,"20",데이터_품목별!$A$3:$A$2984,"2024.04")</f>
        <v>84818</v>
      </c>
      <c r="G25" s="55" t="n">
        <f aca="false">SUMIFS(데이터_품목별!$H$3:$H$2984,데이터_품목별!$E$3:$E$2984,"20",데이터_품목별!$A$3:$A$2984,"2024.05")</f>
        <v>82002</v>
      </c>
      <c r="H25" s="55" t="n">
        <f aca="false">SUMIFS(데이터_품목별!$H$3:$H$2984,데이터_품목별!$E$3:$E$2984,"20",데이터_품목별!$A$3:$A$2984,"2024.06")</f>
        <v>79718</v>
      </c>
      <c r="I25" s="55" t="n">
        <f aca="false">SUMIFS(데이터_품목별!$H$3:$H$2984,데이터_품목별!$E$3:$E$2984,"20",데이터_품목별!$A$3:$A$2984,"2024.07")</f>
        <v>82809</v>
      </c>
      <c r="J25" s="55" t="n">
        <f aca="false">SUMIFS(데이터_품목별!$H$3:$H$2984,데이터_품목별!$E$3:$E$2984,"20",데이터_품목별!$A$3:$A$2984,"2024.08")</f>
        <v>76003</v>
      </c>
      <c r="K25" s="55" t="n">
        <f aca="false">SUMIFS(데이터_품목별!$H$3:$H$2984,데이터_품목별!$E$3:$E$2984,"20",데이터_품목별!$A$3:$A$2984,"2024.09")</f>
        <v>76496</v>
      </c>
      <c r="L25" s="55" t="n">
        <f aca="false">SUMIFS(데이터_품목별!$H$3:$H$2984,데이터_품목별!$E$3:$E$2984,"20",데이터_품목별!$A$3:$A$2984,"2024.10")</f>
        <v>85996</v>
      </c>
      <c r="M25" s="55" t="n">
        <f aca="false">SUMIFS(데이터_품목별!$H$3:$H$2984,데이터_품목별!$E$3:$E$2984,"20",데이터_품목별!$A$3:$A$2984,"2024.11")</f>
        <v>82847</v>
      </c>
      <c r="N25" s="55" t="n">
        <f aca="false">SUMIFS(데이터_품목별!$H$3:$H$2984,데이터_품목별!$E$3:$E$2984,"20",데이터_품목별!$A$3:$A$2984,"2024.12")</f>
        <v>90747</v>
      </c>
      <c r="O25" s="55" t="n">
        <f aca="false">SUMIFS(데이터_품목별!$H$3:$H$2984,데이터_품목별!$E$3:$E$2984,"20",데이터_품목별!$A$3:$A$2984,"2025.01")</f>
        <v>73316</v>
      </c>
      <c r="P25" s="55" t="n">
        <f aca="false">SUMIFS(데이터_품목별!$H$3:$H$2984,데이터_품목별!$E$3:$E$2984,"20",데이터_품목별!$A$3:$A$2984,"2025.02")</f>
        <v>83282</v>
      </c>
      <c r="Q25" s="55" t="n">
        <f aca="false">SUMIFS(데이터_품목별!$H$3:$H$2984,데이터_품목별!$E$3:$E$2984,"20",데이터_품목별!$A$3:$A$2984,"2025.03")</f>
        <v>84492</v>
      </c>
      <c r="R25" s="55" t="n">
        <f aca="false">SUMIFS(데이터_품목별!$H$3:$H$2984,데이터_품목별!$E$3:$E$2984,"20",데이터_품목별!$A$3:$A$2984,"2025.04")</f>
        <v>99730</v>
      </c>
      <c r="S25" s="55" t="n">
        <f aca="false">SUMIFS(데이터_품목별!$H$3:$H$2984,데이터_품목별!$E$3:$E$2984,"20",데이터_품목별!$A$3:$A$2984,"2025.05")</f>
        <v>83964</v>
      </c>
      <c r="T25" s="55" t="n">
        <f aca="false">SUMIFS(데이터_품목별!$H$3:$H$2984,데이터_품목별!$E$3:$E$2984,"20",데이터_품목별!$A$3:$A$2984,"2025.06")</f>
        <v>79820</v>
      </c>
      <c r="U25" s="55" t="n">
        <f aca="false">SUMIFS(데이터_품목별!$H$3:$H$2984,데이터_품목별!$E$3:$E$2984,"20",데이터_품목별!$A$3:$A$2984,"2025.07")</f>
        <v>85119</v>
      </c>
      <c r="V25" s="55" t="n">
        <f aca="false">SUMIFS(데이터_품목별!$H$3:$H$2984,데이터_품목별!$E$3:$E$2984,"20",데이터_품목별!$A$3:$A$2984,"2025.08")</f>
        <v>75874</v>
      </c>
      <c r="W25" s="55" t="n">
        <f aca="false">SUMIFS(데이터_품목별!$H$3:$H$2984,데이터_품목별!$E$3:$E$2984,"20",데이터_품목별!$A$3:$A$2984,"2025.09")</f>
        <v>91569</v>
      </c>
      <c r="X25" s="55" t="n">
        <f aca="false">SUMIFS(데이터_품목별!$H$3:$H$2984,데이터_품목별!$E$3:$E$2984,"20",데이터_품목별!$A$3:$A$2984,"2025.10")</f>
        <v>73401</v>
      </c>
      <c r="Y25" s="55" t="n">
        <f aca="false">SUMIFS(데이터_품목별!$H$3:$H$2984,데이터_품목별!$E$3:$E$2984,"20",데이터_품목별!$A$3:$A$2984,"2025.11")</f>
        <v>94981</v>
      </c>
      <c r="Z25" s="55" t="n">
        <f aca="false">SUMIFS(데이터_품목별!$H$3:$H$2984,데이터_품목별!$E$3:$E$2984,"20",데이터_품목별!$A$3:$A$2984,"2025.12")</f>
        <v>104969</v>
      </c>
      <c r="AA25" s="55" t="n">
        <f aca="false">SUMIFS(데이터_품목별!$H$3:$H$2984,데이터_품목별!$E$3:$E$2984,"20",데이터_품목별!$A$3:$A$2984,"2026.01")</f>
        <v>98993</v>
      </c>
      <c r="AB25" s="55" t="n">
        <f aca="false">SUMIFS(데이터_품목별!$H$3:$H$2984,데이터_품목별!$E$3:$E$2984,"20",데이터_품목별!$A$3:$A$2984,"2026.02")</f>
        <v>80672</v>
      </c>
      <c r="AC25" s="55" t="n">
        <f aca="false">SUMIFS(데이터_품목별!$H$3:$H$2984,데이터_품목별!$E$3:$E$2984,"20",데이터_품목별!$A$3:$A$2984,"2026.03")</f>
        <v>93090</v>
      </c>
      <c r="AD25" s="55" t="n">
        <f aca="false">SUMIFS(데이터_품목별!$H$3:$H$2984,데이터_품목별!$E$3:$E$2984,"20",데이터_품목별!$A$3:$A$2984,"2026.04")</f>
        <v>94485</v>
      </c>
      <c r="AE25" s="55" t="n">
        <f aca="false">SUMIFS(데이터_품목별!$H$3:$H$2984,데이터_품목별!$E$3:$E$2984,"20",데이터_품목별!$A$3:$A$2984,"2026.05")</f>
        <v>77104</v>
      </c>
      <c r="AF25" s="55" t="n">
        <f aca="false">SUMIFS(데이터_품목별!$H$3:$H$2984,데이터_품목별!$E$3:$E$2984,"20",데이터_품목별!$A$3:$A$2984,"2026.06")</f>
        <v>96896</v>
      </c>
      <c r="AG25" s="55" t="n">
        <f aca="false">SUMIFS(데이터_품목별!$H$3:$H$2984,데이터_품목별!$E$3:$E$2984,"20",데이터_품목별!$A$3:$A$2984,"2026.07")</f>
        <v>91224</v>
      </c>
    </row>
    <row r="26" customFormat="false" ht="15" hidden="false" customHeight="true" outlineLevel="0" collapsed="false">
      <c r="A26" s="53" t="s">
        <v>485</v>
      </c>
      <c r="B26" s="54" t="s">
        <v>486</v>
      </c>
      <c r="C26" s="55" t="n">
        <f aca="false">SUMIFS(데이터_품목별!$H$3:$H$2984,데이터_품목별!$E$3:$E$2984,"21",데이터_품목별!$A$3:$A$2984,"2024.01")</f>
        <v>141456</v>
      </c>
      <c r="D26" s="55" t="n">
        <f aca="false">SUMIFS(데이터_품목별!$H$3:$H$2984,데이터_품목별!$E$3:$E$2984,"21",데이터_품목별!$A$3:$A$2984,"2024.02")</f>
        <v>131030</v>
      </c>
      <c r="E26" s="55" t="n">
        <f aca="false">SUMIFS(데이터_품목별!$H$3:$H$2984,데이터_품목별!$E$3:$E$2984,"21",데이터_품목별!$A$3:$A$2984,"2024.03")</f>
        <v>147287</v>
      </c>
      <c r="F26" s="55" t="n">
        <f aca="false">SUMIFS(데이터_품목별!$H$3:$H$2984,데이터_품목별!$E$3:$E$2984,"21",데이터_품목별!$A$3:$A$2984,"2024.04")</f>
        <v>152319</v>
      </c>
      <c r="G26" s="55" t="n">
        <f aca="false">SUMIFS(데이터_품목별!$H$3:$H$2984,데이터_품목별!$E$3:$E$2984,"21",데이터_품목별!$A$3:$A$2984,"2024.05")</f>
        <v>159133</v>
      </c>
      <c r="H26" s="55" t="n">
        <f aca="false">SUMIFS(데이터_품목별!$H$3:$H$2984,데이터_품목별!$E$3:$E$2984,"21",데이터_품목별!$A$3:$A$2984,"2024.06")</f>
        <v>135582</v>
      </c>
      <c r="I26" s="55" t="n">
        <f aca="false">SUMIFS(데이터_품목별!$H$3:$H$2984,데이터_품목별!$E$3:$E$2984,"21",데이터_품목별!$A$3:$A$2984,"2024.07")</f>
        <v>150948</v>
      </c>
      <c r="J26" s="55" t="n">
        <f aca="false">SUMIFS(데이터_품목별!$H$3:$H$2984,데이터_품목별!$E$3:$E$2984,"21",데이터_품목별!$A$3:$A$2984,"2024.08")</f>
        <v>127976</v>
      </c>
      <c r="K26" s="55" t="n">
        <f aca="false">SUMIFS(데이터_품목별!$H$3:$H$2984,데이터_품목별!$E$3:$E$2984,"21",데이터_품목별!$A$3:$A$2984,"2024.09")</f>
        <v>128602</v>
      </c>
      <c r="L26" s="55" t="n">
        <f aca="false">SUMIFS(데이터_품목별!$H$3:$H$2984,데이터_품목별!$E$3:$E$2984,"21",데이터_품목별!$A$3:$A$2984,"2024.10")</f>
        <v>152397</v>
      </c>
      <c r="M26" s="55" t="n">
        <f aca="false">SUMIFS(데이터_품목별!$H$3:$H$2984,데이터_품목별!$E$3:$E$2984,"21",데이터_품목별!$A$3:$A$2984,"2024.11")</f>
        <v>144347</v>
      </c>
      <c r="N26" s="55" t="n">
        <f aca="false">SUMIFS(데이터_품목별!$H$3:$H$2984,데이터_품목별!$E$3:$E$2984,"21",데이터_품목별!$A$3:$A$2984,"2024.12")</f>
        <v>157399</v>
      </c>
      <c r="O26" s="55" t="n">
        <f aca="false">SUMIFS(데이터_품목별!$H$3:$H$2984,데이터_품목별!$E$3:$E$2984,"21",데이터_품목별!$A$3:$A$2984,"2025.01")</f>
        <v>125355</v>
      </c>
      <c r="P26" s="55" t="n">
        <f aca="false">SUMIFS(데이터_품목별!$H$3:$H$2984,데이터_품목별!$E$3:$E$2984,"21",데이터_품목별!$A$3:$A$2984,"2025.02")</f>
        <v>145905</v>
      </c>
      <c r="Q26" s="55" t="n">
        <f aca="false">SUMIFS(데이터_품목별!$H$3:$H$2984,데이터_품목별!$E$3:$E$2984,"21",데이터_품목별!$A$3:$A$2984,"2025.03")</f>
        <v>160598</v>
      </c>
      <c r="R26" s="55" t="n">
        <f aca="false">SUMIFS(데이터_품목별!$H$3:$H$2984,데이터_품목별!$E$3:$E$2984,"21",데이터_품목별!$A$3:$A$2984,"2025.04")</f>
        <v>171715</v>
      </c>
      <c r="S26" s="55" t="n">
        <f aca="false">SUMIFS(데이터_품목별!$H$3:$H$2984,데이터_품목별!$E$3:$E$2984,"21",데이터_품목별!$A$3:$A$2984,"2025.05")</f>
        <v>166386</v>
      </c>
      <c r="T26" s="55" t="n">
        <f aca="false">SUMIFS(데이터_품목별!$H$3:$H$2984,데이터_품목별!$E$3:$E$2984,"21",데이터_품목별!$A$3:$A$2984,"2025.06")</f>
        <v>157189</v>
      </c>
      <c r="U26" s="55" t="n">
        <f aca="false">SUMIFS(데이터_품목별!$H$3:$H$2984,데이터_품목별!$E$3:$E$2984,"21",데이터_품목별!$A$3:$A$2984,"2025.07")</f>
        <v>167042</v>
      </c>
      <c r="V26" s="55" t="n">
        <f aca="false">SUMIFS(데이터_품목별!$H$3:$H$2984,데이터_품목별!$E$3:$E$2984,"21",데이터_품목별!$A$3:$A$2984,"2025.08")</f>
        <v>144782</v>
      </c>
      <c r="W26" s="55" t="n">
        <f aca="false">SUMIFS(데이터_품목별!$H$3:$H$2984,데이터_품목별!$E$3:$E$2984,"21",데이터_품목별!$A$3:$A$2984,"2025.09")</f>
        <v>172857</v>
      </c>
      <c r="X26" s="55" t="n">
        <f aca="false">SUMIFS(데이터_품목별!$H$3:$H$2984,데이터_품목별!$E$3:$E$2984,"21",데이터_품목별!$A$3:$A$2984,"2025.10")</f>
        <v>139915</v>
      </c>
      <c r="Y26" s="55" t="n">
        <f aca="false">SUMIFS(데이터_품목별!$H$3:$H$2984,데이터_품목별!$E$3:$E$2984,"21",데이터_품목별!$A$3:$A$2984,"2025.11")</f>
        <v>154517</v>
      </c>
      <c r="Z26" s="55" t="n">
        <f aca="false">SUMIFS(데이터_품목별!$H$3:$H$2984,데이터_품목별!$E$3:$E$2984,"21",데이터_품목별!$A$3:$A$2984,"2025.12")</f>
        <v>167692</v>
      </c>
      <c r="AA26" s="55" t="n">
        <f aca="false">SUMIFS(데이터_품목별!$H$3:$H$2984,데이터_품목별!$E$3:$E$2984,"21",데이터_품목별!$A$3:$A$2984,"2026.01")</f>
        <v>150886</v>
      </c>
      <c r="AB26" s="55" t="n">
        <f aca="false">SUMIFS(데이터_품목별!$H$3:$H$2984,데이터_품목별!$E$3:$E$2984,"21",데이터_품목별!$A$3:$A$2984,"2026.02")</f>
        <v>138808</v>
      </c>
      <c r="AC26" s="55" t="n">
        <f aca="false">SUMIFS(데이터_품목별!$H$3:$H$2984,데이터_품목별!$E$3:$E$2984,"21",데이터_품목별!$A$3:$A$2984,"2026.03")</f>
        <v>167432</v>
      </c>
      <c r="AD26" s="55" t="n">
        <f aca="false">SUMIFS(데이터_품목별!$H$3:$H$2984,데이터_품목별!$E$3:$E$2984,"21",데이터_품목별!$A$3:$A$2984,"2026.04")</f>
        <v>176069</v>
      </c>
      <c r="AE26" s="55" t="n">
        <f aca="false">SUMIFS(데이터_품목별!$H$3:$H$2984,데이터_품목별!$E$3:$E$2984,"21",데이터_품목별!$A$3:$A$2984,"2026.05")</f>
        <v>145011</v>
      </c>
      <c r="AF26" s="55" t="n">
        <f aca="false">SUMIFS(데이터_품목별!$H$3:$H$2984,데이터_품목별!$E$3:$E$2984,"21",데이터_품목별!$A$3:$A$2984,"2026.06")</f>
        <v>169248</v>
      </c>
      <c r="AG26" s="55" t="n">
        <f aca="false">SUMIFS(데이터_품목별!$H$3:$H$2984,데이터_품목별!$E$3:$E$2984,"21",데이터_품목별!$A$3:$A$2984,"2026.07")</f>
        <v>155649</v>
      </c>
    </row>
    <row r="27" customFormat="false" ht="15" hidden="false" customHeight="true" outlineLevel="0" collapsed="false">
      <c r="A27" s="53" t="s">
        <v>492</v>
      </c>
      <c r="B27" s="54" t="s">
        <v>493</v>
      </c>
      <c r="C27" s="55" t="n">
        <f aca="false">SUMIFS(데이터_품목별!$H$3:$H$2984,데이터_품목별!$E$3:$E$2984,"22",데이터_품목별!$A$3:$A$2984,"2024.01")</f>
        <v>76784</v>
      </c>
      <c r="D27" s="55" t="n">
        <f aca="false">SUMIFS(데이터_품목별!$H$3:$H$2984,데이터_품목별!$E$3:$E$2984,"22",데이터_품목별!$A$3:$A$2984,"2024.02")</f>
        <v>86389</v>
      </c>
      <c r="E27" s="55" t="n">
        <f aca="false">SUMIFS(데이터_품목별!$H$3:$H$2984,데이터_품목별!$E$3:$E$2984,"22",데이터_품목별!$A$3:$A$2984,"2024.03")</f>
        <v>96435</v>
      </c>
      <c r="F27" s="55" t="n">
        <f aca="false">SUMIFS(데이터_품목별!$H$3:$H$2984,데이터_품목별!$E$3:$E$2984,"22",데이터_품목별!$A$3:$A$2984,"2024.04")</f>
        <v>105799</v>
      </c>
      <c r="G27" s="55" t="n">
        <f aca="false">SUMIFS(데이터_품목별!$H$3:$H$2984,데이터_품목별!$E$3:$E$2984,"22",데이터_품목별!$A$3:$A$2984,"2024.05")</f>
        <v>101023</v>
      </c>
      <c r="H27" s="55" t="n">
        <f aca="false">SUMIFS(데이터_품목별!$H$3:$H$2984,데이터_품목별!$E$3:$E$2984,"22",데이터_품목별!$A$3:$A$2984,"2024.06")</f>
        <v>102152</v>
      </c>
      <c r="I27" s="55" t="n">
        <f aca="false">SUMIFS(데이터_품목별!$H$3:$H$2984,데이터_품목별!$E$3:$E$2984,"22",데이터_품목별!$A$3:$A$2984,"2024.07")</f>
        <v>108979</v>
      </c>
      <c r="J27" s="55" t="n">
        <f aca="false">SUMIFS(데이터_품목별!$H$3:$H$2984,데이터_품목별!$E$3:$E$2984,"22",데이터_품목별!$A$3:$A$2984,"2024.08")</f>
        <v>92889</v>
      </c>
      <c r="K27" s="55" t="n">
        <f aca="false">SUMIFS(데이터_품목별!$H$3:$H$2984,데이터_품목별!$E$3:$E$2984,"22",데이터_품목별!$A$3:$A$2984,"2024.09")</f>
        <v>102978</v>
      </c>
      <c r="L27" s="55" t="n">
        <f aca="false">SUMIFS(데이터_품목별!$H$3:$H$2984,데이터_품목별!$E$3:$E$2984,"22",데이터_품목별!$A$3:$A$2984,"2024.10")</f>
        <v>96816</v>
      </c>
      <c r="M27" s="55" t="n">
        <f aca="false">SUMIFS(데이터_품목별!$H$3:$H$2984,데이터_품목별!$E$3:$E$2984,"22",데이터_품목별!$A$3:$A$2984,"2024.11")</f>
        <v>98868</v>
      </c>
      <c r="N27" s="55" t="n">
        <f aca="false">SUMIFS(데이터_품목별!$H$3:$H$2984,데이터_품목별!$E$3:$E$2984,"22",데이터_품목별!$A$3:$A$2984,"2024.12")</f>
        <v>89744</v>
      </c>
      <c r="O27" s="55" t="n">
        <f aca="false">SUMIFS(데이터_품목별!$H$3:$H$2984,데이터_품목별!$E$3:$E$2984,"22",데이터_품목별!$A$3:$A$2984,"2025.01")</f>
        <v>67192</v>
      </c>
      <c r="P27" s="55" t="n">
        <f aca="false">SUMIFS(데이터_품목별!$H$3:$H$2984,데이터_품목별!$E$3:$E$2984,"22",데이터_품목별!$A$3:$A$2984,"2025.02")</f>
        <v>88886</v>
      </c>
      <c r="Q27" s="55" t="n">
        <f aca="false">SUMIFS(데이터_품목별!$H$3:$H$2984,데이터_품목별!$E$3:$E$2984,"22",데이터_품목별!$A$3:$A$2984,"2025.03")</f>
        <v>100669</v>
      </c>
      <c r="R27" s="55" t="n">
        <f aca="false">SUMIFS(데이터_품목별!$H$3:$H$2984,데이터_품목별!$E$3:$E$2984,"22",데이터_품목별!$A$3:$A$2984,"2025.04")</f>
        <v>103572</v>
      </c>
      <c r="S27" s="55" t="n">
        <f aca="false">SUMIFS(데이터_품목별!$H$3:$H$2984,데이터_품목별!$E$3:$E$2984,"22",데이터_품목별!$A$3:$A$2984,"2025.05")</f>
        <v>98894</v>
      </c>
      <c r="T27" s="55" t="n">
        <f aca="false">SUMIFS(데이터_품목별!$H$3:$H$2984,데이터_품목별!$E$3:$E$2984,"22",데이터_품목별!$A$3:$A$2984,"2025.06")</f>
        <v>93992</v>
      </c>
      <c r="U27" s="55" t="n">
        <f aca="false">SUMIFS(데이터_품목별!$H$3:$H$2984,데이터_품목별!$E$3:$E$2984,"22",데이터_품목별!$A$3:$A$2984,"2025.07")</f>
        <v>99219</v>
      </c>
      <c r="V27" s="55" t="n">
        <f aca="false">SUMIFS(데이터_품목별!$H$3:$H$2984,데이터_품목별!$E$3:$E$2984,"22",데이터_품목별!$A$3:$A$2984,"2025.08")</f>
        <v>87413</v>
      </c>
      <c r="W27" s="55" t="n">
        <f aca="false">SUMIFS(데이터_품목별!$H$3:$H$2984,데이터_품목별!$E$3:$E$2984,"22",데이터_품목별!$A$3:$A$2984,"2025.09")</f>
        <v>108469</v>
      </c>
      <c r="X27" s="55" t="n">
        <f aca="false">SUMIFS(데이터_품목별!$H$3:$H$2984,데이터_품목별!$E$3:$E$2984,"22",데이터_품목별!$A$3:$A$2984,"2025.10")</f>
        <v>81967</v>
      </c>
      <c r="Y27" s="55" t="n">
        <f aca="false">SUMIFS(데이터_품목별!$H$3:$H$2984,데이터_품목별!$E$3:$E$2984,"22",데이터_품목별!$A$3:$A$2984,"2025.11")</f>
        <v>88038</v>
      </c>
      <c r="Z27" s="55" t="n">
        <f aca="false">SUMIFS(데이터_품목별!$H$3:$H$2984,데이터_품목별!$E$3:$E$2984,"22",데이터_품목별!$A$3:$A$2984,"2025.12")</f>
        <v>92818</v>
      </c>
      <c r="AA27" s="55" t="n">
        <f aca="false">SUMIFS(데이터_품목별!$H$3:$H$2984,데이터_품목별!$E$3:$E$2984,"22",데이터_품목별!$A$3:$A$2984,"2026.01")</f>
        <v>79142</v>
      </c>
      <c r="AB27" s="55" t="n">
        <f aca="false">SUMIFS(데이터_품목별!$H$3:$H$2984,데이터_품목별!$E$3:$E$2984,"22",데이터_품목별!$A$3:$A$2984,"2026.02")</f>
        <v>73144</v>
      </c>
      <c r="AC27" s="55" t="n">
        <f aca="false">SUMIFS(데이터_품목별!$H$3:$H$2984,데이터_품목별!$E$3:$E$2984,"22",데이터_품목별!$A$3:$A$2984,"2026.03")</f>
        <v>111206</v>
      </c>
      <c r="AD27" s="55" t="n">
        <f aca="false">SUMIFS(데이터_품목별!$H$3:$H$2984,데이터_품목별!$E$3:$E$2984,"22",데이터_품목별!$A$3:$A$2984,"2026.04")</f>
        <v>109922</v>
      </c>
      <c r="AE27" s="55" t="n">
        <f aca="false">SUMIFS(데이터_품목별!$H$3:$H$2984,데이터_품목별!$E$3:$E$2984,"22",데이터_품목별!$A$3:$A$2984,"2026.05")</f>
        <v>88123</v>
      </c>
      <c r="AF27" s="55" t="n">
        <f aca="false">SUMIFS(데이터_품목별!$H$3:$H$2984,데이터_품목별!$E$3:$E$2984,"22",데이터_품목별!$A$3:$A$2984,"2026.06")</f>
        <v>100280</v>
      </c>
      <c r="AG27" s="55" t="n">
        <f aca="false">SUMIFS(데이터_품목별!$H$3:$H$2984,데이터_품목별!$E$3:$E$2984,"22",데이터_품목별!$A$3:$A$2984,"2026.07")</f>
        <v>101926</v>
      </c>
    </row>
    <row r="28" customFormat="false" ht="15" hidden="false" customHeight="true" outlineLevel="0" collapsed="false">
      <c r="A28" s="53" t="s">
        <v>499</v>
      </c>
      <c r="B28" s="54" t="s">
        <v>500</v>
      </c>
      <c r="C28" s="55" t="n">
        <f aca="false">SUMIFS(데이터_품목별!$H$3:$H$2984,데이터_품목별!$E$3:$E$2984,"23",데이터_품목별!$A$3:$A$2984,"2024.01")</f>
        <v>29457</v>
      </c>
      <c r="D28" s="55" t="n">
        <f aca="false">SUMIFS(데이터_품목별!$H$3:$H$2984,데이터_품목별!$E$3:$E$2984,"23",데이터_품목별!$A$3:$A$2984,"2024.02")</f>
        <v>25342</v>
      </c>
      <c r="E28" s="55" t="n">
        <f aca="false">SUMIFS(데이터_품목별!$H$3:$H$2984,데이터_품목별!$E$3:$E$2984,"23",데이터_품목별!$A$3:$A$2984,"2024.03")</f>
        <v>29186</v>
      </c>
      <c r="F28" s="55" t="n">
        <f aca="false">SUMIFS(데이터_품목별!$H$3:$H$2984,데이터_품목별!$E$3:$E$2984,"23",데이터_품목별!$A$3:$A$2984,"2024.04")</f>
        <v>28763</v>
      </c>
      <c r="G28" s="55" t="n">
        <f aca="false">SUMIFS(데이터_품목별!$H$3:$H$2984,데이터_품목별!$E$3:$E$2984,"23",데이터_품목별!$A$3:$A$2984,"2024.05")</f>
        <v>26803</v>
      </c>
      <c r="H28" s="55" t="n">
        <f aca="false">SUMIFS(데이터_품목별!$H$3:$H$2984,데이터_품목별!$E$3:$E$2984,"23",데이터_품목별!$A$3:$A$2984,"2024.06")</f>
        <v>29586</v>
      </c>
      <c r="I28" s="55" t="n">
        <f aca="false">SUMIFS(데이터_품목별!$H$3:$H$2984,데이터_품목별!$E$3:$E$2984,"23",데이터_품목별!$A$3:$A$2984,"2024.07")</f>
        <v>33240</v>
      </c>
      <c r="J28" s="55" t="n">
        <f aca="false">SUMIFS(데이터_품목별!$H$3:$H$2984,데이터_품목별!$E$3:$E$2984,"23",데이터_품목별!$A$3:$A$2984,"2024.08")</f>
        <v>30796</v>
      </c>
      <c r="K28" s="55" t="n">
        <f aca="false">SUMIFS(데이터_품목별!$H$3:$H$2984,데이터_품목별!$E$3:$E$2984,"23",데이터_품목별!$A$3:$A$2984,"2024.09")</f>
        <v>27985</v>
      </c>
      <c r="L28" s="55" t="n">
        <f aca="false">SUMIFS(데이터_품목별!$H$3:$H$2984,데이터_품목별!$E$3:$E$2984,"23",데이터_품목별!$A$3:$A$2984,"2024.10")</f>
        <v>28999</v>
      </c>
      <c r="M28" s="55" t="n">
        <f aca="false">SUMIFS(데이터_품목별!$H$3:$H$2984,데이터_품목별!$E$3:$E$2984,"23",데이터_품목별!$A$3:$A$2984,"2024.11")</f>
        <v>27494</v>
      </c>
      <c r="N28" s="55" t="n">
        <f aca="false">SUMIFS(데이터_품목별!$H$3:$H$2984,데이터_품목별!$E$3:$E$2984,"23",데이터_품목별!$A$3:$A$2984,"2024.12")</f>
        <v>27319</v>
      </c>
      <c r="O28" s="55" t="n">
        <f aca="false">SUMIFS(데이터_품목별!$H$3:$H$2984,데이터_품목별!$E$3:$E$2984,"23",데이터_품목별!$A$3:$A$2984,"2025.01")</f>
        <v>27711</v>
      </c>
      <c r="P28" s="55" t="n">
        <f aca="false">SUMIFS(데이터_품목별!$H$3:$H$2984,데이터_품목별!$E$3:$E$2984,"23",데이터_품목별!$A$3:$A$2984,"2025.02")</f>
        <v>27304</v>
      </c>
      <c r="Q28" s="55" t="n">
        <f aca="false">SUMIFS(데이터_품목별!$H$3:$H$2984,데이터_품목별!$E$3:$E$2984,"23",데이터_품목별!$A$3:$A$2984,"2025.03")</f>
        <v>28607</v>
      </c>
      <c r="R28" s="55" t="n">
        <f aca="false">SUMIFS(데이터_품목별!$H$3:$H$2984,데이터_품목별!$E$3:$E$2984,"23",데이터_품목별!$A$3:$A$2984,"2025.04")</f>
        <v>28216</v>
      </c>
      <c r="S28" s="55" t="n">
        <f aca="false">SUMIFS(데이터_품목별!$H$3:$H$2984,데이터_품목별!$E$3:$E$2984,"23",데이터_품목별!$A$3:$A$2984,"2025.05")</f>
        <v>26753</v>
      </c>
      <c r="T28" s="55" t="n">
        <f aca="false">SUMIFS(데이터_품목별!$H$3:$H$2984,데이터_품목별!$E$3:$E$2984,"23",데이터_품목별!$A$3:$A$2984,"2025.06")</f>
        <v>25701</v>
      </c>
      <c r="U28" s="55" t="n">
        <f aca="false">SUMIFS(데이터_품목별!$H$3:$H$2984,데이터_품목별!$E$3:$E$2984,"23",데이터_품목별!$A$3:$A$2984,"2025.07")</f>
        <v>30661</v>
      </c>
      <c r="V28" s="55" t="n">
        <f aca="false">SUMIFS(데이터_품목별!$H$3:$H$2984,데이터_품목별!$E$3:$E$2984,"23",데이터_품목별!$A$3:$A$2984,"2025.08")</f>
        <v>27593</v>
      </c>
      <c r="W28" s="55" t="n">
        <f aca="false">SUMIFS(데이터_품목별!$H$3:$H$2984,데이터_품목별!$E$3:$E$2984,"23",데이터_품목별!$A$3:$A$2984,"2025.09")</f>
        <v>31844</v>
      </c>
      <c r="X28" s="55" t="n">
        <f aca="false">SUMIFS(데이터_품목별!$H$3:$H$2984,데이터_품목별!$E$3:$E$2984,"23",데이터_품목별!$A$3:$A$2984,"2025.10")</f>
        <v>23553</v>
      </c>
      <c r="Y28" s="55" t="n">
        <f aca="false">SUMIFS(데이터_품목별!$H$3:$H$2984,데이터_품목별!$E$3:$E$2984,"23",데이터_품목별!$A$3:$A$2984,"2025.11")</f>
        <v>28219</v>
      </c>
      <c r="Z28" s="55" t="n">
        <f aca="false">SUMIFS(데이터_품목별!$H$3:$H$2984,데이터_품목별!$E$3:$E$2984,"23",데이터_품목별!$A$3:$A$2984,"2025.12")</f>
        <v>29874</v>
      </c>
      <c r="AA28" s="55" t="n">
        <f aca="false">SUMIFS(데이터_품목별!$H$3:$H$2984,데이터_품목별!$E$3:$E$2984,"23",데이터_품목별!$A$3:$A$2984,"2026.01")</f>
        <v>29761</v>
      </c>
      <c r="AB28" s="55" t="n">
        <f aca="false">SUMIFS(데이터_품목별!$H$3:$H$2984,데이터_품목별!$E$3:$E$2984,"23",데이터_품목별!$A$3:$A$2984,"2026.02")</f>
        <v>27271</v>
      </c>
      <c r="AC28" s="55" t="n">
        <f aca="false">SUMIFS(데이터_품목별!$H$3:$H$2984,데이터_품목별!$E$3:$E$2984,"23",데이터_품목별!$A$3:$A$2984,"2026.03")</f>
        <v>33746</v>
      </c>
      <c r="AD28" s="55" t="n">
        <f aca="false">SUMIFS(데이터_품목별!$H$3:$H$2984,데이터_품목별!$E$3:$E$2984,"23",데이터_품목별!$A$3:$A$2984,"2026.04")</f>
        <v>33134</v>
      </c>
      <c r="AE28" s="55" t="n">
        <f aca="false">SUMIFS(데이터_품목별!$H$3:$H$2984,데이터_품목별!$E$3:$E$2984,"23",데이터_품목별!$A$3:$A$2984,"2026.05")</f>
        <v>29483</v>
      </c>
      <c r="AF28" s="55" t="n">
        <f aca="false">SUMIFS(데이터_품목별!$H$3:$H$2984,데이터_품목별!$E$3:$E$2984,"23",데이터_품목별!$A$3:$A$2984,"2026.06")</f>
        <v>28156</v>
      </c>
      <c r="AG28" s="55" t="n">
        <f aca="false">SUMIFS(데이터_품목별!$H$3:$H$2984,데이터_품목별!$E$3:$E$2984,"23",데이터_품목별!$A$3:$A$2984,"2026.07")</f>
        <v>25069</v>
      </c>
    </row>
    <row r="29" customFormat="false" ht="15" hidden="false" customHeight="true" outlineLevel="0" collapsed="false">
      <c r="A29" s="53" t="s">
        <v>506</v>
      </c>
      <c r="B29" s="54" t="s">
        <v>507</v>
      </c>
      <c r="C29" s="55" t="n">
        <f aca="false">SUMIFS(데이터_품목별!$H$3:$H$2984,데이터_품목별!$E$3:$E$2984,"24",데이터_품목별!$A$3:$A$2984,"2024.01")</f>
        <v>68475</v>
      </c>
      <c r="D29" s="55" t="n">
        <f aca="false">SUMIFS(데이터_품목별!$H$3:$H$2984,데이터_품목별!$E$3:$E$2984,"24",데이터_품목별!$A$3:$A$2984,"2024.02")</f>
        <v>82228</v>
      </c>
      <c r="E29" s="55" t="n">
        <f aca="false">SUMIFS(데이터_품목별!$H$3:$H$2984,데이터_품목별!$E$3:$E$2984,"24",데이터_품목별!$A$3:$A$2984,"2024.03")</f>
        <v>88441</v>
      </c>
      <c r="F29" s="55" t="n">
        <f aca="false">SUMIFS(데이터_품목별!$H$3:$H$2984,데이터_품목별!$E$3:$E$2984,"24",데이터_품목별!$A$3:$A$2984,"2024.04")</f>
        <v>106482</v>
      </c>
      <c r="G29" s="55" t="n">
        <f aca="false">SUMIFS(데이터_품목별!$H$3:$H$2984,데이터_품목별!$E$3:$E$2984,"24",데이터_품목별!$A$3:$A$2984,"2024.05")</f>
        <v>89639</v>
      </c>
      <c r="H29" s="55" t="n">
        <f aca="false">SUMIFS(데이터_품목별!$H$3:$H$2984,데이터_품목별!$E$3:$E$2984,"24",데이터_품목별!$A$3:$A$2984,"2024.06")</f>
        <v>107586</v>
      </c>
      <c r="I29" s="55" t="n">
        <f aca="false">SUMIFS(데이터_품목별!$H$3:$H$2984,데이터_품목별!$E$3:$E$2984,"24",데이터_품목별!$A$3:$A$2984,"2024.07")</f>
        <v>117865</v>
      </c>
      <c r="J29" s="55" t="n">
        <f aca="false">SUMIFS(데이터_품목별!$H$3:$H$2984,데이터_품목별!$E$3:$E$2984,"24",데이터_품목별!$A$3:$A$2984,"2024.08")</f>
        <v>95679</v>
      </c>
      <c r="K29" s="55" t="n">
        <f aca="false">SUMIFS(데이터_품목별!$H$3:$H$2984,데이터_품목별!$E$3:$E$2984,"24",데이터_품목별!$A$3:$A$2984,"2024.09")</f>
        <v>104106</v>
      </c>
      <c r="L29" s="55" t="n">
        <f aca="false">SUMIFS(데이터_품목별!$H$3:$H$2984,데이터_품목별!$E$3:$E$2984,"24",데이터_품목별!$A$3:$A$2984,"2024.10")</f>
        <v>89874</v>
      </c>
      <c r="M29" s="55" t="n">
        <f aca="false">SUMIFS(데이터_품목별!$H$3:$H$2984,데이터_품목별!$E$3:$E$2984,"24",데이터_품목별!$A$3:$A$2984,"2024.11")</f>
        <v>97378</v>
      </c>
      <c r="N29" s="55" t="n">
        <f aca="false">SUMIFS(데이터_품목별!$H$3:$H$2984,데이터_품목별!$E$3:$E$2984,"24",데이터_품목별!$A$3:$A$2984,"2024.12")</f>
        <v>109040</v>
      </c>
      <c r="O29" s="55" t="n">
        <f aca="false">SUMIFS(데이터_품목별!$H$3:$H$2984,데이터_품목별!$E$3:$E$2984,"24",데이터_품목별!$A$3:$A$2984,"2025.01")</f>
        <v>76365</v>
      </c>
      <c r="P29" s="55" t="n">
        <f aca="false">SUMIFS(데이터_품목별!$H$3:$H$2984,데이터_품목별!$E$3:$E$2984,"24",데이터_품목별!$A$3:$A$2984,"2025.02")</f>
        <v>102512</v>
      </c>
      <c r="Q29" s="55" t="n">
        <f aca="false">SUMIFS(데이터_품목별!$H$3:$H$2984,데이터_품목별!$E$3:$E$2984,"24",데이터_품목별!$A$3:$A$2984,"2025.03")</f>
        <v>86963</v>
      </c>
      <c r="R29" s="55" t="n">
        <f aca="false">SUMIFS(데이터_품목별!$H$3:$H$2984,데이터_품목별!$E$3:$E$2984,"24",데이터_품목별!$A$3:$A$2984,"2025.04")</f>
        <v>98980</v>
      </c>
      <c r="S29" s="55" t="n">
        <f aca="false">SUMIFS(데이터_품목별!$H$3:$H$2984,데이터_품목별!$E$3:$E$2984,"24",데이터_품목별!$A$3:$A$2984,"2025.05")</f>
        <v>96432</v>
      </c>
      <c r="T29" s="55" t="n">
        <f aca="false">SUMIFS(데이터_품목별!$H$3:$H$2984,데이터_품목별!$E$3:$E$2984,"24",데이터_품목별!$A$3:$A$2984,"2025.06")</f>
        <v>95341</v>
      </c>
      <c r="U29" s="55" t="n">
        <f aca="false">SUMIFS(데이터_품목별!$H$3:$H$2984,데이터_품목별!$E$3:$E$2984,"24",데이터_품목별!$A$3:$A$2984,"2025.07")</f>
        <v>76429</v>
      </c>
      <c r="V29" s="55" t="n">
        <f aca="false">SUMIFS(데이터_품목별!$H$3:$H$2984,데이터_품목별!$E$3:$E$2984,"24",데이터_품목별!$A$3:$A$2984,"2025.08")</f>
        <v>94228</v>
      </c>
      <c r="W29" s="55" t="n">
        <f aca="false">SUMIFS(데이터_품목별!$H$3:$H$2984,데이터_품목별!$E$3:$E$2984,"24",데이터_품목별!$A$3:$A$2984,"2025.09")</f>
        <v>102244</v>
      </c>
      <c r="X29" s="55" t="n">
        <f aca="false">SUMIFS(데이터_품목별!$H$3:$H$2984,데이터_품목별!$E$3:$E$2984,"24",데이터_품목별!$A$3:$A$2984,"2025.10")</f>
        <v>73309</v>
      </c>
      <c r="Y29" s="55" t="n">
        <f aca="false">SUMIFS(데이터_품목별!$H$3:$H$2984,데이터_품목별!$E$3:$E$2984,"24",데이터_품목별!$A$3:$A$2984,"2025.11")</f>
        <v>92708</v>
      </c>
      <c r="Z29" s="55" t="n">
        <f aca="false">SUMIFS(데이터_품목별!$H$3:$H$2984,데이터_품목별!$E$3:$E$2984,"24",데이터_품목별!$A$3:$A$2984,"2025.12")</f>
        <v>60593</v>
      </c>
      <c r="AA29" s="55" t="n">
        <f aca="false">SUMIFS(데이터_품목별!$H$3:$H$2984,데이터_품목별!$E$3:$E$2984,"24",데이터_품목별!$A$3:$A$2984,"2026.01")</f>
        <v>89961</v>
      </c>
      <c r="AB29" s="55" t="n">
        <f aca="false">SUMIFS(데이터_품목별!$H$3:$H$2984,데이터_품목별!$E$3:$E$2984,"24",데이터_품목별!$A$3:$A$2984,"2026.02")</f>
        <v>85098</v>
      </c>
      <c r="AC29" s="55" t="n">
        <f aca="false">SUMIFS(데이터_품목별!$H$3:$H$2984,데이터_품목별!$E$3:$E$2984,"24",데이터_품목별!$A$3:$A$2984,"2026.03")</f>
        <v>78757</v>
      </c>
      <c r="AD29" s="55" t="n">
        <f aca="false">SUMIFS(데이터_품목별!$H$3:$H$2984,데이터_품목별!$E$3:$E$2984,"24",데이터_품목별!$A$3:$A$2984,"2026.04")</f>
        <v>96431</v>
      </c>
      <c r="AE29" s="55" t="n">
        <f aca="false">SUMIFS(데이터_품목별!$H$3:$H$2984,데이터_품목별!$E$3:$E$2984,"24",데이터_품목별!$A$3:$A$2984,"2026.05")</f>
        <v>67582</v>
      </c>
      <c r="AF29" s="55" t="n">
        <f aca="false">SUMIFS(데이터_품목별!$H$3:$H$2984,데이터_품목별!$E$3:$E$2984,"24",데이터_품목별!$A$3:$A$2984,"2026.06")</f>
        <v>86171</v>
      </c>
      <c r="AG29" s="55" t="n">
        <f aca="false">SUMIFS(데이터_품목별!$H$3:$H$2984,데이터_품목별!$E$3:$E$2984,"24",데이터_품목별!$A$3:$A$2984,"2026.07")</f>
        <v>98190</v>
      </c>
    </row>
    <row r="30" customFormat="false" ht="15" hidden="false" customHeight="true" outlineLevel="0" collapsed="false">
      <c r="A30" s="53" t="s">
        <v>513</v>
      </c>
      <c r="B30" s="54" t="s">
        <v>514</v>
      </c>
      <c r="C30" s="55" t="n">
        <f aca="false">SUMIFS(데이터_품목별!$H$3:$H$2984,데이터_품목별!$E$3:$E$2984,"25",데이터_품목별!$A$3:$A$2984,"2024.01")</f>
        <v>23062</v>
      </c>
      <c r="D30" s="55" t="n">
        <f aca="false">SUMIFS(데이터_품목별!$H$3:$H$2984,데이터_품목별!$E$3:$E$2984,"25",데이터_품목별!$A$3:$A$2984,"2024.02")</f>
        <v>25189</v>
      </c>
      <c r="E30" s="55" t="n">
        <f aca="false">SUMIFS(데이터_품목별!$H$3:$H$2984,데이터_품목별!$E$3:$E$2984,"25",데이터_품목별!$A$3:$A$2984,"2024.03")</f>
        <v>21752</v>
      </c>
      <c r="F30" s="55" t="n">
        <f aca="false">SUMIFS(데이터_품목별!$H$3:$H$2984,데이터_품목별!$E$3:$E$2984,"25",데이터_품목별!$A$3:$A$2984,"2024.04")</f>
        <v>23148</v>
      </c>
      <c r="G30" s="55" t="n">
        <f aca="false">SUMIFS(데이터_품목별!$H$3:$H$2984,데이터_품목별!$E$3:$E$2984,"25",데이터_품목별!$A$3:$A$2984,"2024.05")</f>
        <v>28452</v>
      </c>
      <c r="H30" s="55" t="n">
        <f aca="false">SUMIFS(데이터_품목별!$H$3:$H$2984,데이터_품목별!$E$3:$E$2984,"25",데이터_품목별!$A$3:$A$2984,"2024.06")</f>
        <v>21856</v>
      </c>
      <c r="I30" s="55" t="n">
        <f aca="false">SUMIFS(데이터_품목별!$H$3:$H$2984,데이터_품목별!$E$3:$E$2984,"25",데이터_품목별!$A$3:$A$2984,"2024.07")</f>
        <v>28906</v>
      </c>
      <c r="J30" s="55" t="n">
        <f aca="false">SUMIFS(데이터_품목별!$H$3:$H$2984,데이터_품목별!$E$3:$E$2984,"25",데이터_품목별!$A$3:$A$2984,"2024.08")</f>
        <v>26227</v>
      </c>
      <c r="K30" s="55" t="n">
        <f aca="false">SUMIFS(데이터_품목별!$H$3:$H$2984,데이터_품목별!$E$3:$E$2984,"25",데이터_품목별!$A$3:$A$2984,"2024.09")</f>
        <v>27625</v>
      </c>
      <c r="L30" s="55" t="n">
        <f aca="false">SUMIFS(데이터_품목별!$H$3:$H$2984,데이터_품목별!$E$3:$E$2984,"25",데이터_품목별!$A$3:$A$2984,"2024.10")</f>
        <v>29904</v>
      </c>
      <c r="M30" s="55" t="n">
        <f aca="false">SUMIFS(데이터_품목별!$H$3:$H$2984,데이터_품목별!$E$3:$E$2984,"25",데이터_품목별!$A$3:$A$2984,"2024.11")</f>
        <v>31456</v>
      </c>
      <c r="N30" s="55" t="n">
        <f aca="false">SUMIFS(데이터_품목별!$H$3:$H$2984,데이터_품목별!$E$3:$E$2984,"25",데이터_품목별!$A$3:$A$2984,"2024.12")</f>
        <v>34432</v>
      </c>
      <c r="O30" s="55" t="n">
        <f aca="false">SUMIFS(데이터_품목별!$H$3:$H$2984,데이터_품목별!$E$3:$E$2984,"25",데이터_품목별!$A$3:$A$2984,"2025.01")</f>
        <v>31425</v>
      </c>
      <c r="P30" s="55" t="n">
        <f aca="false">SUMIFS(데이터_품목별!$H$3:$H$2984,데이터_품목별!$E$3:$E$2984,"25",데이터_품목별!$A$3:$A$2984,"2025.02")</f>
        <v>33160</v>
      </c>
      <c r="Q30" s="55" t="n">
        <f aca="false">SUMIFS(데이터_품목별!$H$3:$H$2984,데이터_품목별!$E$3:$E$2984,"25",데이터_품목별!$A$3:$A$2984,"2025.03")</f>
        <v>31657</v>
      </c>
      <c r="R30" s="55" t="n">
        <f aca="false">SUMIFS(데이터_품목별!$H$3:$H$2984,데이터_품목별!$E$3:$E$2984,"25",데이터_품목별!$A$3:$A$2984,"2025.04")</f>
        <v>50509</v>
      </c>
      <c r="S30" s="55" t="n">
        <f aca="false">SUMIFS(데이터_품목별!$H$3:$H$2984,데이터_품목별!$E$3:$E$2984,"25",데이터_품목별!$A$3:$A$2984,"2025.05")</f>
        <v>40180</v>
      </c>
      <c r="T30" s="55" t="n">
        <f aca="false">SUMIFS(데이터_품목별!$H$3:$H$2984,데이터_품목별!$E$3:$E$2984,"25",데이터_품목별!$A$3:$A$2984,"2025.06")</f>
        <v>39996</v>
      </c>
      <c r="U30" s="55" t="n">
        <f aca="false">SUMIFS(데이터_품목별!$H$3:$H$2984,데이터_품목별!$E$3:$E$2984,"25",데이터_품목별!$A$3:$A$2984,"2025.07")</f>
        <v>46733</v>
      </c>
      <c r="V30" s="55" t="n">
        <f aca="false">SUMIFS(데이터_품목별!$H$3:$H$2984,데이터_품목별!$E$3:$E$2984,"25",데이터_품목별!$A$3:$A$2984,"2025.08")</f>
        <v>47632</v>
      </c>
      <c r="W30" s="55" t="n">
        <f aca="false">SUMIFS(데이터_품목별!$H$3:$H$2984,데이터_품목별!$E$3:$E$2984,"25",데이터_품목별!$A$3:$A$2984,"2025.09")</f>
        <v>48301</v>
      </c>
      <c r="X30" s="55" t="n">
        <f aca="false">SUMIFS(데이터_품목별!$H$3:$H$2984,데이터_품목별!$E$3:$E$2984,"25",데이터_품목별!$A$3:$A$2984,"2025.10")</f>
        <v>49178</v>
      </c>
      <c r="Y30" s="55" t="n">
        <f aca="false">SUMIFS(데이터_품목별!$H$3:$H$2984,데이터_품목별!$E$3:$E$2984,"25",데이터_품목별!$A$3:$A$2984,"2025.11")</f>
        <v>42841</v>
      </c>
      <c r="Z30" s="55" t="n">
        <f aca="false">SUMIFS(데이터_품목별!$H$3:$H$2984,데이터_품목별!$E$3:$E$2984,"25",데이터_품목별!$A$3:$A$2984,"2025.12")</f>
        <v>67065</v>
      </c>
      <c r="AA30" s="55" t="n">
        <f aca="false">SUMIFS(데이터_품목별!$H$3:$H$2984,데이터_품목별!$E$3:$E$2984,"25",데이터_품목별!$A$3:$A$2984,"2026.01")</f>
        <v>70014</v>
      </c>
      <c r="AB30" s="55" t="n">
        <f aca="false">SUMIFS(데이터_품목별!$H$3:$H$2984,데이터_품목별!$E$3:$E$2984,"25",데이터_품목별!$A$3:$A$2984,"2026.02")</f>
        <v>70022</v>
      </c>
      <c r="AC30" s="55" t="n">
        <f aca="false">SUMIFS(데이터_품목별!$H$3:$H$2984,데이터_품목별!$E$3:$E$2984,"25",데이터_품목별!$A$3:$A$2984,"2026.03")</f>
        <v>73899</v>
      </c>
      <c r="AD30" s="55" t="n">
        <f aca="false">SUMIFS(데이터_품목별!$H$3:$H$2984,데이터_품목별!$E$3:$E$2984,"25",데이터_품목별!$A$3:$A$2984,"2026.04")</f>
        <v>55633</v>
      </c>
      <c r="AE30" s="55" t="n">
        <f aca="false">SUMIFS(데이터_품목별!$H$3:$H$2984,데이터_품목별!$E$3:$E$2984,"25",데이터_품목별!$A$3:$A$2984,"2026.05")</f>
        <v>53581</v>
      </c>
      <c r="AF30" s="55" t="n">
        <f aca="false">SUMIFS(데이터_품목별!$H$3:$H$2984,데이터_품목별!$E$3:$E$2984,"25",데이터_품목별!$A$3:$A$2984,"2026.06")</f>
        <v>65228</v>
      </c>
      <c r="AG30" s="55" t="n">
        <f aca="false">SUMIFS(데이터_품목별!$H$3:$H$2984,데이터_품목별!$E$3:$E$2984,"25",데이터_품목별!$A$3:$A$2984,"2026.07")</f>
        <v>98733</v>
      </c>
    </row>
    <row r="31" customFormat="false" ht="15" hidden="false" customHeight="true" outlineLevel="0" collapsed="false">
      <c r="A31" s="53" t="s">
        <v>520</v>
      </c>
      <c r="B31" s="54" t="s">
        <v>521</v>
      </c>
      <c r="C31" s="55" t="n">
        <f aca="false">SUMIFS(데이터_품목별!$H$3:$H$2984,데이터_품목별!$E$3:$E$2984,"26",데이터_품목별!$A$3:$A$2984,"2024.01")</f>
        <v>120988</v>
      </c>
      <c r="D31" s="55" t="n">
        <f aca="false">SUMIFS(데이터_품목별!$H$3:$H$2984,데이터_품목별!$E$3:$E$2984,"26",데이터_품목별!$A$3:$A$2984,"2024.02")</f>
        <v>136990</v>
      </c>
      <c r="E31" s="55" t="n">
        <f aca="false">SUMIFS(데이터_품목별!$H$3:$H$2984,데이터_품목별!$E$3:$E$2984,"26",데이터_품목별!$A$3:$A$2984,"2024.03")</f>
        <v>83256</v>
      </c>
      <c r="F31" s="55" t="n">
        <f aca="false">SUMIFS(데이터_품목별!$H$3:$H$2984,데이터_품목별!$E$3:$E$2984,"26",데이터_품목별!$A$3:$A$2984,"2024.04")</f>
        <v>61024</v>
      </c>
      <c r="G31" s="55" t="n">
        <f aca="false">SUMIFS(데이터_품목별!$H$3:$H$2984,데이터_품목별!$E$3:$E$2984,"26",데이터_품목별!$A$3:$A$2984,"2024.05")</f>
        <v>78337</v>
      </c>
      <c r="H31" s="55" t="n">
        <f aca="false">SUMIFS(데이터_품목별!$H$3:$H$2984,데이터_품목별!$E$3:$E$2984,"26",데이터_품목별!$A$3:$A$2984,"2024.06")</f>
        <v>71183</v>
      </c>
      <c r="I31" s="55" t="n">
        <f aca="false">SUMIFS(데이터_품목별!$H$3:$H$2984,데이터_품목별!$E$3:$E$2984,"26",데이터_품목별!$A$3:$A$2984,"2024.07")</f>
        <v>57092</v>
      </c>
      <c r="J31" s="55" t="n">
        <f aca="false">SUMIFS(데이터_품목별!$H$3:$H$2984,데이터_품목별!$E$3:$E$2984,"26",데이터_품목별!$A$3:$A$2984,"2024.08")</f>
        <v>63272</v>
      </c>
      <c r="K31" s="55" t="n">
        <f aca="false">SUMIFS(데이터_품목별!$H$3:$H$2984,데이터_품목별!$E$3:$E$2984,"26",데이터_품목별!$A$3:$A$2984,"2024.09")</f>
        <v>94527</v>
      </c>
      <c r="L31" s="55" t="n">
        <f aca="false">SUMIFS(데이터_품목별!$H$3:$H$2984,데이터_품목별!$E$3:$E$2984,"26",데이터_품목별!$A$3:$A$2984,"2024.10")</f>
        <v>33040</v>
      </c>
      <c r="M31" s="55" t="n">
        <f aca="false">SUMIFS(데이터_품목별!$H$3:$H$2984,데이터_품목별!$E$3:$E$2984,"26",데이터_품목별!$A$3:$A$2984,"2024.11")</f>
        <v>65224</v>
      </c>
      <c r="N31" s="55" t="n">
        <f aca="false">SUMIFS(데이터_품목별!$H$3:$H$2984,데이터_품목별!$E$3:$E$2984,"26",데이터_품목별!$A$3:$A$2984,"2024.12")</f>
        <v>75310</v>
      </c>
      <c r="O31" s="55" t="n">
        <f aca="false">SUMIFS(데이터_품목별!$H$3:$H$2984,데이터_품목별!$E$3:$E$2984,"26",데이터_품목별!$A$3:$A$2984,"2025.01")</f>
        <v>38549</v>
      </c>
      <c r="P31" s="55" t="n">
        <f aca="false">SUMIFS(데이터_품목별!$H$3:$H$2984,데이터_품목별!$E$3:$E$2984,"26",데이터_품목별!$A$3:$A$2984,"2025.02")</f>
        <v>32416</v>
      </c>
      <c r="Q31" s="55" t="n">
        <f aca="false">SUMIFS(데이터_품목별!$H$3:$H$2984,데이터_품목별!$E$3:$E$2984,"26",데이터_품목별!$A$3:$A$2984,"2025.03")</f>
        <v>70445</v>
      </c>
      <c r="R31" s="55" t="n">
        <f aca="false">SUMIFS(데이터_품목별!$H$3:$H$2984,데이터_품목별!$E$3:$E$2984,"26",데이터_품목별!$A$3:$A$2984,"2025.04")</f>
        <v>41174</v>
      </c>
      <c r="S31" s="55" t="n">
        <f aca="false">SUMIFS(데이터_품목별!$H$3:$H$2984,데이터_품목별!$E$3:$E$2984,"26",데이터_품목별!$A$3:$A$2984,"2025.05")</f>
        <v>42347</v>
      </c>
      <c r="T31" s="55" t="n">
        <f aca="false">SUMIFS(데이터_품목별!$H$3:$H$2984,데이터_품목별!$E$3:$E$2984,"26",데이터_품목별!$A$3:$A$2984,"2025.06")</f>
        <v>54902</v>
      </c>
      <c r="U31" s="55" t="n">
        <f aca="false">SUMIFS(데이터_품목별!$H$3:$H$2984,데이터_품목별!$E$3:$E$2984,"26",데이터_품목별!$A$3:$A$2984,"2025.07")</f>
        <v>46145</v>
      </c>
      <c r="V31" s="55" t="n">
        <f aca="false">SUMIFS(데이터_품목별!$H$3:$H$2984,데이터_품목별!$E$3:$E$2984,"26",데이터_품목별!$A$3:$A$2984,"2025.08")</f>
        <v>55932</v>
      </c>
      <c r="W31" s="55" t="n">
        <f aca="false">SUMIFS(데이터_품목별!$H$3:$H$2984,데이터_품목별!$E$3:$E$2984,"26",데이터_품목별!$A$3:$A$2984,"2025.09")</f>
        <v>59863</v>
      </c>
      <c r="X31" s="55" t="n">
        <f aca="false">SUMIFS(데이터_품목별!$H$3:$H$2984,데이터_품목별!$E$3:$E$2984,"26",데이터_품목별!$A$3:$A$2984,"2025.10")</f>
        <v>45755</v>
      </c>
      <c r="Y31" s="55" t="n">
        <f aca="false">SUMIFS(데이터_품목별!$H$3:$H$2984,데이터_품목별!$E$3:$E$2984,"26",데이터_품목별!$A$3:$A$2984,"2025.11")</f>
        <v>78595</v>
      </c>
      <c r="Z31" s="55" t="n">
        <f aca="false">SUMIFS(데이터_품목별!$H$3:$H$2984,데이터_품목별!$E$3:$E$2984,"26",데이터_품목별!$A$3:$A$2984,"2025.12")</f>
        <v>73494</v>
      </c>
      <c r="AA31" s="55" t="n">
        <f aca="false">SUMIFS(데이터_품목별!$H$3:$H$2984,데이터_품목별!$E$3:$E$2984,"26",데이터_품목별!$A$3:$A$2984,"2026.01")</f>
        <v>52856</v>
      </c>
      <c r="AB31" s="55" t="n">
        <f aca="false">SUMIFS(데이터_품목별!$H$3:$H$2984,데이터_품목별!$E$3:$E$2984,"26",데이터_품목별!$A$3:$A$2984,"2026.02")</f>
        <v>50624</v>
      </c>
      <c r="AC31" s="55" t="n">
        <f aca="false">SUMIFS(데이터_품목별!$H$3:$H$2984,데이터_품목별!$E$3:$E$2984,"26",데이터_품목별!$A$3:$A$2984,"2026.03")</f>
        <v>55525</v>
      </c>
      <c r="AD31" s="55" t="n">
        <f aca="false">SUMIFS(데이터_품목별!$H$3:$H$2984,데이터_품목별!$E$3:$E$2984,"26",데이터_품목별!$A$3:$A$2984,"2026.04")</f>
        <v>24203</v>
      </c>
      <c r="AE31" s="55" t="n">
        <f aca="false">SUMIFS(데이터_품목별!$H$3:$H$2984,데이터_품목별!$E$3:$E$2984,"26",데이터_품목별!$A$3:$A$2984,"2026.05")</f>
        <v>63360</v>
      </c>
      <c r="AF31" s="55" t="n">
        <f aca="false">SUMIFS(데이터_품목별!$H$3:$H$2984,데이터_품목별!$E$3:$E$2984,"26",데이터_품목별!$A$3:$A$2984,"2026.06")</f>
        <v>90793</v>
      </c>
      <c r="AG31" s="55" t="n">
        <f aca="false">SUMIFS(데이터_품목별!$H$3:$H$2984,데이터_품목별!$E$3:$E$2984,"26",데이터_품목별!$A$3:$A$2984,"2026.07")</f>
        <v>35351</v>
      </c>
    </row>
    <row r="32" customFormat="false" ht="15" hidden="false" customHeight="true" outlineLevel="0" collapsed="false">
      <c r="A32" s="53" t="s">
        <v>527</v>
      </c>
      <c r="B32" s="54" t="s">
        <v>528</v>
      </c>
      <c r="C32" s="55" t="n">
        <f aca="false">SUMIFS(데이터_품목별!$H$3:$H$2984,데이터_품목별!$E$3:$E$2984,"27",데이터_품목별!$A$3:$A$2984,"2024.01")</f>
        <v>4964732</v>
      </c>
      <c r="D32" s="55" t="n">
        <f aca="false">SUMIFS(데이터_품목별!$H$3:$H$2984,데이터_품목별!$E$3:$E$2984,"27",데이터_품목별!$A$3:$A$2984,"2024.02")</f>
        <v>4589485</v>
      </c>
      <c r="E32" s="55" t="n">
        <f aca="false">SUMIFS(데이터_품목별!$H$3:$H$2984,데이터_품목별!$E$3:$E$2984,"27",데이터_품목별!$A$3:$A$2984,"2024.03")</f>
        <v>4878428</v>
      </c>
      <c r="F32" s="55" t="n">
        <f aca="false">SUMIFS(데이터_품목별!$H$3:$H$2984,데이터_품목별!$E$3:$E$2984,"27",데이터_품목별!$A$3:$A$2984,"2024.04")</f>
        <v>4524006</v>
      </c>
      <c r="G32" s="55" t="n">
        <f aca="false">SUMIFS(데이터_품목별!$H$3:$H$2984,데이터_품목별!$E$3:$E$2984,"27",데이터_품목별!$A$3:$A$2984,"2024.05")</f>
        <v>4762891</v>
      </c>
      <c r="H32" s="55" t="n">
        <f aca="false">SUMIFS(데이터_품목별!$H$3:$H$2984,데이터_품목별!$E$3:$E$2984,"27",데이터_품목별!$A$3:$A$2984,"2024.06")</f>
        <v>3866671</v>
      </c>
      <c r="I32" s="55" t="n">
        <f aca="false">SUMIFS(데이터_품목별!$H$3:$H$2984,데이터_품목별!$E$3:$E$2984,"27",데이터_품목별!$A$3:$A$2984,"2024.07")</f>
        <v>4683150</v>
      </c>
      <c r="J32" s="55" t="n">
        <f aca="false">SUMIFS(데이터_품목별!$H$3:$H$2984,데이터_품목별!$E$3:$E$2984,"27",데이터_품목별!$A$3:$A$2984,"2024.08")</f>
        <v>4604299</v>
      </c>
      <c r="K32" s="55" t="n">
        <f aca="false">SUMIFS(데이터_품목별!$H$3:$H$2984,데이터_품목별!$E$3:$E$2984,"27",데이터_품목별!$A$3:$A$2984,"2024.09")</f>
        <v>4165466</v>
      </c>
      <c r="L32" s="55" t="n">
        <f aca="false">SUMIFS(데이터_품목별!$H$3:$H$2984,데이터_품목별!$E$3:$E$2984,"27",데이터_품목별!$A$3:$A$2984,"2024.10")</f>
        <v>3618298</v>
      </c>
      <c r="M32" s="55" t="n">
        <f aca="false">SUMIFS(데이터_품목별!$H$3:$H$2984,데이터_품목별!$E$3:$E$2984,"27",데이터_품목별!$A$3:$A$2984,"2024.11")</f>
        <v>3835069</v>
      </c>
      <c r="N32" s="55" t="n">
        <f aca="false">SUMIFS(데이터_품목별!$H$3:$H$2984,데이터_품목별!$E$3:$E$2984,"27",데이터_품목별!$A$3:$A$2984,"2024.12")</f>
        <v>4124226</v>
      </c>
      <c r="O32" s="55" t="n">
        <f aca="false">SUMIFS(데이터_품목별!$H$3:$H$2984,데이터_품목별!$E$3:$E$2984,"27",데이터_품목별!$A$3:$A$2984,"2025.01")</f>
        <v>3606096</v>
      </c>
      <c r="P32" s="55" t="n">
        <f aca="false">SUMIFS(데이터_품목별!$H$3:$H$2984,데이터_품목별!$E$3:$E$2984,"27",데이터_품목별!$A$3:$A$2984,"2025.02")</f>
        <v>4072937</v>
      </c>
      <c r="Q32" s="55" t="n">
        <f aca="false">SUMIFS(데이터_품목별!$H$3:$H$2984,데이터_품목별!$E$3:$E$2984,"27",데이터_품목별!$A$3:$A$2984,"2025.03")</f>
        <v>3466285</v>
      </c>
      <c r="R32" s="55" t="n">
        <f aca="false">SUMIFS(데이터_품목별!$H$3:$H$2984,데이터_품목별!$E$3:$E$2984,"27",데이터_품목별!$A$3:$A$2984,"2025.04")</f>
        <v>3842945</v>
      </c>
      <c r="S32" s="55" t="n">
        <f aca="false">SUMIFS(데이터_품목별!$H$3:$H$2984,데이터_품목별!$E$3:$E$2984,"27",데이터_품목별!$A$3:$A$2984,"2025.05")</f>
        <v>3755662</v>
      </c>
      <c r="T32" s="55" t="n">
        <f aca="false">SUMIFS(데이터_품목별!$H$3:$H$2984,데이터_품목별!$E$3:$E$2984,"27",데이터_품목별!$A$3:$A$2984,"2025.06")</f>
        <v>3907126</v>
      </c>
      <c r="U32" s="55" t="n">
        <f aca="false">SUMIFS(데이터_품목별!$H$3:$H$2984,데이터_품목별!$E$3:$E$2984,"27",데이터_품목별!$A$3:$A$2984,"2025.07")</f>
        <v>4407315</v>
      </c>
      <c r="V32" s="55" t="n">
        <f aca="false">SUMIFS(데이터_품목별!$H$3:$H$2984,데이터_품목별!$E$3:$E$2984,"27",데이터_품목별!$A$3:$A$2984,"2025.08")</f>
        <v>4260591</v>
      </c>
      <c r="W32" s="55" t="n">
        <f aca="false">SUMIFS(데이터_품목별!$H$3:$H$2984,데이터_품목별!$E$3:$E$2984,"27",데이터_품목별!$A$3:$A$2984,"2025.09")</f>
        <v>4322838</v>
      </c>
      <c r="X32" s="55" t="n">
        <f aca="false">SUMIFS(데이터_품목별!$H$3:$H$2984,데이터_품목별!$E$3:$E$2984,"27",데이터_품목별!$A$3:$A$2984,"2025.10")</f>
        <v>3933652</v>
      </c>
      <c r="Y32" s="55" t="n">
        <f aca="false">SUMIFS(데이터_품목별!$H$3:$H$2984,데이터_품목별!$E$3:$E$2984,"27",데이터_품목별!$A$3:$A$2984,"2025.11")</f>
        <v>3380154</v>
      </c>
      <c r="Z32" s="55" t="n">
        <f aca="false">SUMIFS(데이터_품목별!$H$3:$H$2984,데이터_품목별!$E$3:$E$2984,"27",데이터_품목별!$A$3:$A$2984,"2025.12")</f>
        <v>4279615</v>
      </c>
      <c r="AA32" s="55" t="n">
        <f aca="false">SUMIFS(데이터_품목별!$H$3:$H$2984,데이터_품목별!$E$3:$E$2984,"27",데이터_품목별!$A$3:$A$2984,"2026.01")</f>
        <v>3868333</v>
      </c>
      <c r="AB32" s="55" t="n">
        <f aca="false">SUMIFS(데이터_품목별!$H$3:$H$2984,데이터_품목별!$E$3:$E$2984,"27",데이터_품목별!$A$3:$A$2984,"2026.02")</f>
        <v>4210226</v>
      </c>
      <c r="AC32" s="55" t="n">
        <f aca="false">SUMIFS(데이터_품목별!$H$3:$H$2984,데이터_품목별!$E$3:$E$2984,"27",데이터_품목별!$A$3:$A$2984,"2026.03")</f>
        <v>6411300</v>
      </c>
      <c r="AD32" s="55" t="n">
        <f aca="false">SUMIFS(데이터_품목별!$H$3:$H$2984,데이터_품목별!$E$3:$E$2984,"27",데이터_품목별!$A$3:$A$2984,"2026.04")</f>
        <v>5156235</v>
      </c>
      <c r="AE32" s="55" t="n">
        <f aca="false">SUMIFS(데이터_품목별!$H$3:$H$2984,데이터_품목별!$E$3:$E$2984,"27",데이터_품목별!$A$3:$A$2984,"2026.05")</f>
        <v>5298536</v>
      </c>
      <c r="AF32" s="55" t="n">
        <f aca="false">SUMIFS(데이터_품목별!$H$3:$H$2984,데이터_품목별!$E$3:$E$2984,"27",데이터_품목별!$A$3:$A$2984,"2026.06")</f>
        <v>5500624</v>
      </c>
      <c r="AG32" s="55" t="n">
        <f aca="false">SUMIFS(데이터_품목별!$H$3:$H$2984,데이터_품목별!$E$3:$E$2984,"27",데이터_품목별!$A$3:$A$2984,"2026.07")</f>
        <v>5896407</v>
      </c>
    </row>
    <row r="33" customFormat="false" ht="15" hidden="false" customHeight="true" outlineLevel="0" collapsed="false">
      <c r="A33" s="53" t="s">
        <v>534</v>
      </c>
      <c r="B33" s="54" t="s">
        <v>535</v>
      </c>
      <c r="C33" s="55" t="n">
        <f aca="false">SUMIFS(데이터_품목별!$H$3:$H$2984,데이터_품목별!$E$3:$E$2984,"28",데이터_품목별!$A$3:$A$2984,"2024.01")</f>
        <v>914706</v>
      </c>
      <c r="D33" s="55" t="n">
        <f aca="false">SUMIFS(데이터_품목별!$H$3:$H$2984,데이터_품목별!$E$3:$E$2984,"28",데이터_품목별!$A$3:$A$2984,"2024.02")</f>
        <v>941068</v>
      </c>
      <c r="E33" s="55" t="n">
        <f aca="false">SUMIFS(데이터_품목별!$H$3:$H$2984,데이터_품목별!$E$3:$E$2984,"28",데이터_품목별!$A$3:$A$2984,"2024.03")</f>
        <v>832816</v>
      </c>
      <c r="F33" s="55" t="n">
        <f aca="false">SUMIFS(데이터_품목별!$H$3:$H$2984,데이터_품목별!$E$3:$E$2984,"28",데이터_품목별!$A$3:$A$2984,"2024.04")</f>
        <v>902405</v>
      </c>
      <c r="G33" s="55" t="n">
        <f aca="false">SUMIFS(데이터_품목별!$H$3:$H$2984,데이터_품목별!$E$3:$E$2984,"28",데이터_품목별!$A$3:$A$2984,"2024.05")</f>
        <v>813607</v>
      </c>
      <c r="H33" s="55" t="n">
        <f aca="false">SUMIFS(데이터_품목별!$H$3:$H$2984,데이터_품목별!$E$3:$E$2984,"28",데이터_품목별!$A$3:$A$2984,"2024.06")</f>
        <v>836459</v>
      </c>
      <c r="I33" s="55" t="n">
        <f aca="false">SUMIFS(데이터_품목별!$H$3:$H$2984,데이터_품목별!$E$3:$E$2984,"28",데이터_품목별!$A$3:$A$2984,"2024.07")</f>
        <v>735420</v>
      </c>
      <c r="J33" s="55" t="n">
        <f aca="false">SUMIFS(데이터_품목별!$H$3:$H$2984,데이터_품목별!$E$3:$E$2984,"28",데이터_품목별!$A$3:$A$2984,"2024.08")</f>
        <v>729313</v>
      </c>
      <c r="K33" s="55" t="n">
        <f aca="false">SUMIFS(데이터_품목별!$H$3:$H$2984,데이터_품목별!$E$3:$E$2984,"28",데이터_품목별!$A$3:$A$2984,"2024.09")</f>
        <v>698038</v>
      </c>
      <c r="L33" s="55" t="n">
        <f aca="false">SUMIFS(데이터_품목별!$H$3:$H$2984,데이터_품목별!$E$3:$E$2984,"28",데이터_품목별!$A$3:$A$2984,"2024.10")</f>
        <v>712372</v>
      </c>
      <c r="M33" s="55" t="n">
        <f aca="false">SUMIFS(데이터_품목별!$H$3:$H$2984,데이터_품목별!$E$3:$E$2984,"28",데이터_품목별!$A$3:$A$2984,"2024.11")</f>
        <v>650386</v>
      </c>
      <c r="N33" s="55" t="n">
        <f aca="false">SUMIFS(데이터_품목별!$H$3:$H$2984,데이터_품목별!$E$3:$E$2984,"28",데이터_품목별!$A$3:$A$2984,"2024.12")</f>
        <v>785044</v>
      </c>
      <c r="O33" s="55" t="n">
        <f aca="false">SUMIFS(데이터_품목별!$H$3:$H$2984,데이터_품목별!$E$3:$E$2984,"28",데이터_품목별!$A$3:$A$2984,"2025.01")</f>
        <v>663940</v>
      </c>
      <c r="P33" s="55" t="n">
        <f aca="false">SUMIFS(데이터_품목별!$H$3:$H$2984,데이터_품목별!$E$3:$E$2984,"28",데이터_품목별!$A$3:$A$2984,"2025.02")</f>
        <v>714507</v>
      </c>
      <c r="Q33" s="55" t="n">
        <f aca="false">SUMIFS(데이터_품목별!$H$3:$H$2984,데이터_품목별!$E$3:$E$2984,"28",데이터_품목별!$A$3:$A$2984,"2025.03")</f>
        <v>735683</v>
      </c>
      <c r="R33" s="55" t="n">
        <f aca="false">SUMIFS(데이터_품목별!$H$3:$H$2984,데이터_품목별!$E$3:$E$2984,"28",데이터_품목별!$A$3:$A$2984,"2025.04")</f>
        <v>767532</v>
      </c>
      <c r="S33" s="55" t="n">
        <f aca="false">SUMIFS(데이터_품목별!$H$3:$H$2984,데이터_품목별!$E$3:$E$2984,"28",데이터_품목별!$A$3:$A$2984,"2025.05")</f>
        <v>766628</v>
      </c>
      <c r="T33" s="55" t="n">
        <f aca="false">SUMIFS(데이터_품목별!$H$3:$H$2984,데이터_품목별!$E$3:$E$2984,"28",데이터_품목별!$A$3:$A$2984,"2025.06")</f>
        <v>775086</v>
      </c>
      <c r="U33" s="55" t="n">
        <f aca="false">SUMIFS(데이터_품목별!$H$3:$H$2984,데이터_품목별!$E$3:$E$2984,"28",데이터_품목별!$A$3:$A$2984,"2025.07")</f>
        <v>783831</v>
      </c>
      <c r="V33" s="55" t="n">
        <f aca="false">SUMIFS(데이터_품목별!$H$3:$H$2984,데이터_품목별!$E$3:$E$2984,"28",데이터_품목별!$A$3:$A$2984,"2025.08")</f>
        <v>679887</v>
      </c>
      <c r="W33" s="55" t="n">
        <f aca="false">SUMIFS(데이터_품목별!$H$3:$H$2984,데이터_품목별!$E$3:$E$2984,"28",데이터_품목별!$A$3:$A$2984,"2025.09")</f>
        <v>757809</v>
      </c>
      <c r="X33" s="55" t="n">
        <f aca="false">SUMIFS(데이터_품목별!$H$3:$H$2984,데이터_품목별!$E$3:$E$2984,"28",데이터_품목별!$A$3:$A$2984,"2025.10")</f>
        <v>653260</v>
      </c>
      <c r="Y33" s="55" t="n">
        <f aca="false">SUMIFS(데이터_품목별!$H$3:$H$2984,데이터_품목별!$E$3:$E$2984,"28",데이터_품목별!$A$3:$A$2984,"2025.11")</f>
        <v>683643</v>
      </c>
      <c r="Z33" s="55" t="n">
        <f aca="false">SUMIFS(데이터_품목별!$H$3:$H$2984,데이터_품목별!$E$3:$E$2984,"28",데이터_품목별!$A$3:$A$2984,"2025.12")</f>
        <v>786439</v>
      </c>
      <c r="AA33" s="55" t="n">
        <f aca="false">SUMIFS(데이터_품목별!$H$3:$H$2984,데이터_품목별!$E$3:$E$2984,"28",데이터_품목별!$A$3:$A$2984,"2026.01")</f>
        <v>716881</v>
      </c>
      <c r="AB33" s="55" t="n">
        <f aca="false">SUMIFS(데이터_품목별!$H$3:$H$2984,데이터_품목별!$E$3:$E$2984,"28",데이터_품목별!$A$3:$A$2984,"2026.02")</f>
        <v>744648</v>
      </c>
      <c r="AC33" s="55" t="n">
        <f aca="false">SUMIFS(데이터_품목별!$H$3:$H$2984,데이터_품목별!$E$3:$E$2984,"28",데이터_품목별!$A$3:$A$2984,"2026.03")</f>
        <v>882477</v>
      </c>
      <c r="AD33" s="55" t="n">
        <f aca="false">SUMIFS(데이터_품목별!$H$3:$H$2984,데이터_품목별!$E$3:$E$2984,"28",데이터_품목별!$A$3:$A$2984,"2026.04")</f>
        <v>993803</v>
      </c>
      <c r="AE33" s="55" t="n">
        <f aca="false">SUMIFS(데이터_품목별!$H$3:$H$2984,데이터_품목별!$E$3:$E$2984,"28",데이터_품목별!$A$3:$A$2984,"2026.05")</f>
        <v>970183</v>
      </c>
      <c r="AF33" s="55" t="n">
        <f aca="false">SUMIFS(데이터_품목별!$H$3:$H$2984,데이터_품목별!$E$3:$E$2984,"28",데이터_품목별!$A$3:$A$2984,"2026.06")</f>
        <v>998975</v>
      </c>
      <c r="AG33" s="55" t="n">
        <f aca="false">SUMIFS(데이터_품목별!$H$3:$H$2984,데이터_품목별!$E$3:$E$2984,"28",데이터_품목별!$A$3:$A$2984,"2026.07")</f>
        <v>1083240</v>
      </c>
    </row>
    <row r="34" customFormat="false" ht="15" hidden="false" customHeight="true" outlineLevel="0" collapsed="false">
      <c r="A34" s="53" t="s">
        <v>541</v>
      </c>
      <c r="B34" s="54" t="s">
        <v>542</v>
      </c>
      <c r="C34" s="55" t="n">
        <f aca="false">SUMIFS(데이터_품목별!$H$3:$H$2984,데이터_품목별!$E$3:$E$2984,"29",데이터_품목별!$A$3:$A$2984,"2024.01")</f>
        <v>1867566</v>
      </c>
      <c r="D34" s="55" t="n">
        <f aca="false">SUMIFS(데이터_품목별!$H$3:$H$2984,데이터_품목별!$E$3:$E$2984,"29",데이터_품목별!$A$3:$A$2984,"2024.02")</f>
        <v>1870413</v>
      </c>
      <c r="E34" s="55" t="n">
        <f aca="false">SUMIFS(데이터_품목별!$H$3:$H$2984,데이터_품목별!$E$3:$E$2984,"29",데이터_품목별!$A$3:$A$2984,"2024.03")</f>
        <v>1889609</v>
      </c>
      <c r="F34" s="55" t="n">
        <f aca="false">SUMIFS(데이터_품목별!$H$3:$H$2984,데이터_품목별!$E$3:$E$2984,"29",데이터_품목별!$A$3:$A$2984,"2024.04")</f>
        <v>2032844</v>
      </c>
      <c r="G34" s="55" t="n">
        <f aca="false">SUMIFS(데이터_품목별!$H$3:$H$2984,데이터_품목별!$E$3:$E$2984,"29",데이터_품목별!$A$3:$A$2984,"2024.05")</f>
        <v>1826035</v>
      </c>
      <c r="H34" s="55" t="n">
        <f aca="false">SUMIFS(데이터_품목별!$H$3:$H$2984,데이터_품목별!$E$3:$E$2984,"29",데이터_품목별!$A$3:$A$2984,"2024.06")</f>
        <v>1635601</v>
      </c>
      <c r="I34" s="55" t="n">
        <f aca="false">SUMIFS(데이터_품목별!$H$3:$H$2984,데이터_품목별!$E$3:$E$2984,"29",데이터_품목별!$A$3:$A$2984,"2024.07")</f>
        <v>1922804</v>
      </c>
      <c r="J34" s="55" t="n">
        <f aca="false">SUMIFS(데이터_품목별!$H$3:$H$2984,데이터_품목별!$E$3:$E$2984,"29",데이터_품목별!$A$3:$A$2984,"2024.08")</f>
        <v>1952588</v>
      </c>
      <c r="K34" s="55" t="n">
        <f aca="false">SUMIFS(데이터_품목별!$H$3:$H$2984,데이터_품목별!$E$3:$E$2984,"29",데이터_품목별!$A$3:$A$2984,"2024.09")</f>
        <v>1734020</v>
      </c>
      <c r="L34" s="55" t="n">
        <f aca="false">SUMIFS(데이터_품목별!$H$3:$H$2984,데이터_품목별!$E$3:$E$2984,"29",데이터_품목별!$A$3:$A$2984,"2024.10")</f>
        <v>1740881</v>
      </c>
      <c r="M34" s="55" t="n">
        <f aca="false">SUMIFS(데이터_품목별!$H$3:$H$2984,데이터_품목별!$E$3:$E$2984,"29",데이터_품목별!$A$3:$A$2984,"2024.11")</f>
        <v>1559880</v>
      </c>
      <c r="N34" s="55" t="n">
        <f aca="false">SUMIFS(데이터_품목별!$H$3:$H$2984,데이터_품목별!$E$3:$E$2984,"29",데이터_품목별!$A$3:$A$2984,"2024.12")</f>
        <v>1829133</v>
      </c>
      <c r="O34" s="55" t="n">
        <f aca="false">SUMIFS(데이터_품목별!$H$3:$H$2984,데이터_품목별!$E$3:$E$2984,"29",데이터_품목별!$A$3:$A$2984,"2025.01")</f>
        <v>1618152</v>
      </c>
      <c r="P34" s="55" t="n">
        <f aca="false">SUMIFS(데이터_품목별!$H$3:$H$2984,데이터_품목별!$E$3:$E$2984,"29",데이터_품목별!$A$3:$A$2984,"2025.02")</f>
        <v>1720428</v>
      </c>
      <c r="Q34" s="55" t="n">
        <f aca="false">SUMIFS(데이터_품목별!$H$3:$H$2984,데이터_품목별!$E$3:$E$2984,"29",데이터_품목별!$A$3:$A$2984,"2025.03")</f>
        <v>1611319</v>
      </c>
      <c r="R34" s="55" t="n">
        <f aca="false">SUMIFS(데이터_품목별!$H$3:$H$2984,데이터_품목별!$E$3:$E$2984,"29",데이터_품목별!$A$3:$A$2984,"2025.04")</f>
        <v>1554189</v>
      </c>
      <c r="S34" s="55" t="n">
        <f aca="false">SUMIFS(데이터_품목별!$H$3:$H$2984,데이터_품목별!$E$3:$E$2984,"29",데이터_품목별!$A$3:$A$2984,"2025.05")</f>
        <v>1474854</v>
      </c>
      <c r="T34" s="55" t="n">
        <f aca="false">SUMIFS(데이터_품목별!$H$3:$H$2984,데이터_품목별!$E$3:$E$2984,"29",데이터_품목별!$A$3:$A$2984,"2025.06")</f>
        <v>1572396</v>
      </c>
      <c r="U34" s="55" t="n">
        <f aca="false">SUMIFS(데이터_품목별!$H$3:$H$2984,데이터_품목별!$E$3:$E$2984,"29",데이터_품목별!$A$3:$A$2984,"2025.07")</f>
        <v>1626140</v>
      </c>
      <c r="V34" s="55" t="n">
        <f aca="false">SUMIFS(데이터_품목별!$H$3:$H$2984,데이터_품목별!$E$3:$E$2984,"29",데이터_품목별!$A$3:$A$2984,"2025.08")</f>
        <v>1554893</v>
      </c>
      <c r="W34" s="55" t="n">
        <f aca="false">SUMIFS(데이터_품목별!$H$3:$H$2984,데이터_품목별!$E$3:$E$2984,"29",데이터_품목별!$A$3:$A$2984,"2025.09")</f>
        <v>1702423</v>
      </c>
      <c r="X34" s="55" t="n">
        <f aca="false">SUMIFS(데이터_품목별!$H$3:$H$2984,데이터_품목별!$E$3:$E$2984,"29",데이터_품목별!$A$3:$A$2984,"2025.10")</f>
        <v>1429506</v>
      </c>
      <c r="Y34" s="55" t="n">
        <f aca="false">SUMIFS(데이터_품목별!$H$3:$H$2984,데이터_품목별!$E$3:$E$2984,"29",데이터_품목별!$A$3:$A$2984,"2025.11")</f>
        <v>1436329</v>
      </c>
      <c r="Z34" s="55" t="n">
        <f aca="false">SUMIFS(데이터_품목별!$H$3:$H$2984,데이터_품목별!$E$3:$E$2984,"29",데이터_품목별!$A$3:$A$2984,"2025.12")</f>
        <v>1667103</v>
      </c>
      <c r="AA34" s="55" t="n">
        <f aca="false">SUMIFS(데이터_품목별!$H$3:$H$2984,데이터_품목별!$E$3:$E$2984,"29",데이터_품목별!$A$3:$A$2984,"2026.01")</f>
        <v>1677439</v>
      </c>
      <c r="AB34" s="55" t="n">
        <f aca="false">SUMIFS(데이터_품목별!$H$3:$H$2984,데이터_품목별!$E$3:$E$2984,"29",데이터_품목별!$A$3:$A$2984,"2026.02")</f>
        <v>1540886</v>
      </c>
      <c r="AC34" s="55" t="n">
        <f aca="false">SUMIFS(데이터_품목별!$H$3:$H$2984,데이터_품목별!$E$3:$E$2984,"29",데이터_품목별!$A$3:$A$2984,"2026.03")</f>
        <v>2013831</v>
      </c>
      <c r="AD34" s="55" t="n">
        <f aca="false">SUMIFS(데이터_품목별!$H$3:$H$2984,데이터_품목별!$E$3:$E$2984,"29",데이터_품목별!$A$3:$A$2984,"2026.04")</f>
        <v>1704029</v>
      </c>
      <c r="AE34" s="55" t="n">
        <f aca="false">SUMIFS(데이터_품목별!$H$3:$H$2984,데이터_품목별!$E$3:$E$2984,"29",데이터_품목별!$A$3:$A$2984,"2026.05")</f>
        <v>1533365</v>
      </c>
      <c r="AF34" s="55" t="n">
        <f aca="false">SUMIFS(데이터_품목별!$H$3:$H$2984,데이터_품목별!$E$3:$E$2984,"29",데이터_품목별!$A$3:$A$2984,"2026.06")</f>
        <v>1685657</v>
      </c>
      <c r="AG34" s="55" t="n">
        <f aca="false">SUMIFS(데이터_품목별!$H$3:$H$2984,데이터_품목별!$E$3:$E$2984,"29",데이터_품목별!$A$3:$A$2984,"2026.07")</f>
        <v>1836067</v>
      </c>
    </row>
    <row r="35" customFormat="false" ht="15" hidden="false" customHeight="true" outlineLevel="0" collapsed="false">
      <c r="A35" s="53" t="s">
        <v>548</v>
      </c>
      <c r="B35" s="54" t="s">
        <v>549</v>
      </c>
      <c r="C35" s="55" t="n">
        <f aca="false">SUMIFS(데이터_품목별!$H$3:$H$2984,데이터_품목별!$E$3:$E$2984,"30",데이터_품목별!$A$3:$A$2984,"2024.01")</f>
        <v>556254</v>
      </c>
      <c r="D35" s="55" t="n">
        <f aca="false">SUMIFS(데이터_품목별!$H$3:$H$2984,데이터_품목별!$E$3:$E$2984,"30",데이터_품목별!$A$3:$A$2984,"2024.02")</f>
        <v>597545</v>
      </c>
      <c r="E35" s="55" t="n">
        <f aca="false">SUMIFS(데이터_품목별!$H$3:$H$2984,데이터_품목별!$E$3:$E$2984,"30",데이터_품목별!$A$3:$A$2984,"2024.03")</f>
        <v>651057</v>
      </c>
      <c r="F35" s="55" t="n">
        <f aca="false">SUMIFS(데이터_품목별!$H$3:$H$2984,데이터_품목별!$E$3:$E$2984,"30",데이터_품목별!$A$3:$A$2984,"2024.04")</f>
        <v>660387</v>
      </c>
      <c r="G35" s="55" t="n">
        <f aca="false">SUMIFS(데이터_품목별!$H$3:$H$2984,데이터_품목별!$E$3:$E$2984,"30",데이터_품목별!$A$3:$A$2984,"2024.05")</f>
        <v>678232</v>
      </c>
      <c r="H35" s="55" t="n">
        <f aca="false">SUMIFS(데이터_품목별!$H$3:$H$2984,데이터_품목별!$E$3:$E$2984,"30",데이터_품목별!$A$3:$A$2984,"2024.06")</f>
        <v>631623</v>
      </c>
      <c r="I35" s="55" t="n">
        <f aca="false">SUMIFS(데이터_품목별!$H$3:$H$2984,데이터_품목별!$E$3:$E$2984,"30",데이터_품목별!$A$3:$A$2984,"2024.07")</f>
        <v>649181</v>
      </c>
      <c r="J35" s="55" t="n">
        <f aca="false">SUMIFS(데이터_품목별!$H$3:$H$2984,데이터_품목별!$E$3:$E$2984,"30",데이터_품목별!$A$3:$A$2984,"2024.08")</f>
        <v>751479</v>
      </c>
      <c r="K35" s="55" t="n">
        <f aca="false">SUMIFS(데이터_품목별!$H$3:$H$2984,데이터_품목별!$E$3:$E$2984,"30",데이터_품목별!$A$3:$A$2984,"2024.09")</f>
        <v>687957</v>
      </c>
      <c r="L35" s="55" t="n">
        <f aca="false">SUMIFS(데이터_품목별!$H$3:$H$2984,데이터_품목별!$E$3:$E$2984,"30",데이터_품목별!$A$3:$A$2984,"2024.10")</f>
        <v>679283</v>
      </c>
      <c r="M35" s="55" t="n">
        <f aca="false">SUMIFS(데이터_품목별!$H$3:$H$2984,데이터_품목별!$E$3:$E$2984,"30",데이터_품목별!$A$3:$A$2984,"2024.11")</f>
        <v>795287</v>
      </c>
      <c r="N35" s="55" t="n">
        <f aca="false">SUMIFS(데이터_품목별!$H$3:$H$2984,데이터_품목별!$E$3:$E$2984,"30",데이터_품목별!$A$3:$A$2984,"2024.12")</f>
        <v>611814</v>
      </c>
      <c r="O35" s="55" t="n">
        <f aca="false">SUMIFS(데이터_품목별!$H$3:$H$2984,데이터_품목별!$E$3:$E$2984,"30",데이터_품목별!$A$3:$A$2984,"2025.01")</f>
        <v>681649</v>
      </c>
      <c r="P35" s="55" t="n">
        <f aca="false">SUMIFS(데이터_품목별!$H$3:$H$2984,데이터_품목별!$E$3:$E$2984,"30",데이터_품목별!$A$3:$A$2984,"2025.02")</f>
        <v>660431</v>
      </c>
      <c r="Q35" s="55" t="n">
        <f aca="false">SUMIFS(데이터_품목별!$H$3:$H$2984,데이터_품목별!$E$3:$E$2984,"30",데이터_품목별!$A$3:$A$2984,"2025.03")</f>
        <v>766350</v>
      </c>
      <c r="R35" s="55" t="n">
        <f aca="false">SUMIFS(데이터_품목별!$H$3:$H$2984,데이터_품목별!$E$3:$E$2984,"30",데이터_품목별!$A$3:$A$2984,"2025.04")</f>
        <v>763728</v>
      </c>
      <c r="S35" s="55" t="n">
        <f aca="false">SUMIFS(데이터_품목별!$H$3:$H$2984,데이터_품목별!$E$3:$E$2984,"30",데이터_품목별!$A$3:$A$2984,"2025.05")</f>
        <v>766771</v>
      </c>
      <c r="T35" s="55" t="n">
        <f aca="false">SUMIFS(데이터_품목별!$H$3:$H$2984,데이터_품목별!$E$3:$E$2984,"30",데이터_품목별!$A$3:$A$2984,"2025.06")</f>
        <v>969786</v>
      </c>
      <c r="U35" s="55" t="n">
        <f aca="false">SUMIFS(데이터_품목별!$H$3:$H$2984,데이터_품목별!$E$3:$E$2984,"30",데이터_품목별!$A$3:$A$2984,"2025.07")</f>
        <v>584318</v>
      </c>
      <c r="V35" s="55" t="n">
        <f aca="false">SUMIFS(데이터_품목별!$H$3:$H$2984,데이터_품목별!$E$3:$E$2984,"30",데이터_품목별!$A$3:$A$2984,"2025.08")</f>
        <v>649797</v>
      </c>
      <c r="W35" s="55" t="n">
        <f aca="false">SUMIFS(데이터_품목별!$H$3:$H$2984,데이터_품목별!$E$3:$E$2984,"30",데이터_품목별!$A$3:$A$2984,"2025.09")</f>
        <v>933388</v>
      </c>
      <c r="X35" s="55" t="n">
        <f aca="false">SUMIFS(데이터_품목별!$H$3:$H$2984,데이터_품목별!$E$3:$E$2984,"30",데이터_품목별!$A$3:$A$2984,"2025.10")</f>
        <v>649257</v>
      </c>
      <c r="Y35" s="55" t="n">
        <f aca="false">SUMIFS(데이터_품목별!$H$3:$H$2984,데이터_품목별!$E$3:$E$2984,"30",데이터_품목별!$A$3:$A$2984,"2025.11")</f>
        <v>860140</v>
      </c>
      <c r="Z35" s="55" t="n">
        <f aca="false">SUMIFS(데이터_품목별!$H$3:$H$2984,데이터_품목별!$E$3:$E$2984,"30",데이터_품목별!$A$3:$A$2984,"2025.12")</f>
        <v>803942</v>
      </c>
      <c r="AA35" s="55" t="n">
        <f aca="false">SUMIFS(데이터_품목별!$H$3:$H$2984,데이터_품목별!$E$3:$E$2984,"30",데이터_품목별!$A$3:$A$2984,"2026.01")</f>
        <v>761557</v>
      </c>
      <c r="AB35" s="55" t="n">
        <f aca="false">SUMIFS(데이터_품목별!$H$3:$H$2984,데이터_품목별!$E$3:$E$2984,"30",데이터_품목별!$A$3:$A$2984,"2026.02")</f>
        <v>785584</v>
      </c>
      <c r="AC35" s="55" t="n">
        <f aca="false">SUMIFS(데이터_품목별!$H$3:$H$2984,데이터_품목별!$E$3:$E$2984,"30",데이터_품목별!$A$3:$A$2984,"2026.03")</f>
        <v>786424</v>
      </c>
      <c r="AD35" s="55" t="n">
        <f aca="false">SUMIFS(데이터_품목별!$H$3:$H$2984,데이터_품목별!$E$3:$E$2984,"30",데이터_품목별!$A$3:$A$2984,"2026.04")</f>
        <v>953970</v>
      </c>
      <c r="AE35" s="55" t="n">
        <f aca="false">SUMIFS(데이터_품목별!$H$3:$H$2984,데이터_품목별!$E$3:$E$2984,"30",데이터_품목별!$A$3:$A$2984,"2026.05")</f>
        <v>831530</v>
      </c>
      <c r="AF35" s="55" t="n">
        <f aca="false">SUMIFS(데이터_품목별!$H$3:$H$2984,데이터_품목별!$E$3:$E$2984,"30",데이터_품목별!$A$3:$A$2984,"2026.06")</f>
        <v>1158671</v>
      </c>
      <c r="AG35" s="55" t="n">
        <f aca="false">SUMIFS(데이터_품목별!$H$3:$H$2984,데이터_품목별!$E$3:$E$2984,"30",데이터_품목별!$A$3:$A$2984,"2026.07")</f>
        <v>859910</v>
      </c>
    </row>
    <row r="36" customFormat="false" ht="15" hidden="false" customHeight="true" outlineLevel="0" collapsed="false">
      <c r="A36" s="53" t="s">
        <v>555</v>
      </c>
      <c r="B36" s="54" t="s">
        <v>556</v>
      </c>
      <c r="C36" s="55" t="n">
        <f aca="false">SUMIFS(데이터_품목별!$H$3:$H$2984,데이터_품목별!$E$3:$E$2984,"31",데이터_품목별!$A$3:$A$2984,"2024.01")</f>
        <v>42051</v>
      </c>
      <c r="D36" s="55" t="n">
        <f aca="false">SUMIFS(데이터_품목별!$H$3:$H$2984,데이터_품목별!$E$3:$E$2984,"31",데이터_품목별!$A$3:$A$2984,"2024.02")</f>
        <v>30087</v>
      </c>
      <c r="E36" s="55" t="n">
        <f aca="false">SUMIFS(데이터_품목별!$H$3:$H$2984,데이터_품목별!$E$3:$E$2984,"31",데이터_품목별!$A$3:$A$2984,"2024.03")</f>
        <v>27362</v>
      </c>
      <c r="F36" s="55" t="n">
        <f aca="false">SUMIFS(데이터_품목별!$H$3:$H$2984,데이터_품목별!$E$3:$E$2984,"31",데이터_품목별!$A$3:$A$2984,"2024.04")</f>
        <v>39094</v>
      </c>
      <c r="G36" s="55" t="n">
        <f aca="false">SUMIFS(데이터_품목별!$H$3:$H$2984,데이터_품목별!$E$3:$E$2984,"31",데이터_품목별!$A$3:$A$2984,"2024.05")</f>
        <v>35617</v>
      </c>
      <c r="H36" s="55" t="n">
        <f aca="false">SUMIFS(데이터_품목별!$H$3:$H$2984,데이터_품목별!$E$3:$E$2984,"31",데이터_품목별!$A$3:$A$2984,"2024.06")</f>
        <v>33186</v>
      </c>
      <c r="I36" s="55" t="n">
        <f aca="false">SUMIFS(데이터_품목별!$H$3:$H$2984,데이터_품목별!$E$3:$E$2984,"31",데이터_품목별!$A$3:$A$2984,"2024.07")</f>
        <v>31060</v>
      </c>
      <c r="J36" s="55" t="n">
        <f aca="false">SUMIFS(데이터_품목별!$H$3:$H$2984,데이터_품목별!$E$3:$E$2984,"31",데이터_품목별!$A$3:$A$2984,"2024.08")</f>
        <v>35086</v>
      </c>
      <c r="K36" s="55" t="n">
        <f aca="false">SUMIFS(데이터_품목별!$H$3:$H$2984,데이터_품목별!$E$3:$E$2984,"31",데이터_품목별!$A$3:$A$2984,"2024.09")</f>
        <v>33131</v>
      </c>
      <c r="L36" s="55" t="n">
        <f aca="false">SUMIFS(데이터_품목별!$H$3:$H$2984,데이터_품목별!$E$3:$E$2984,"31",데이터_품목별!$A$3:$A$2984,"2024.10")</f>
        <v>35340</v>
      </c>
      <c r="M36" s="55" t="n">
        <f aca="false">SUMIFS(데이터_품목별!$H$3:$H$2984,데이터_품목별!$E$3:$E$2984,"31",데이터_품목별!$A$3:$A$2984,"2024.11")</f>
        <v>17311</v>
      </c>
      <c r="N36" s="55" t="n">
        <f aca="false">SUMIFS(데이터_품목별!$H$3:$H$2984,데이터_품목별!$E$3:$E$2984,"31",데이터_품목별!$A$3:$A$2984,"2024.12")</f>
        <v>53825</v>
      </c>
      <c r="O36" s="55" t="n">
        <f aca="false">SUMIFS(데이터_품목별!$H$3:$H$2984,데이터_품목별!$E$3:$E$2984,"31",데이터_품목별!$A$3:$A$2984,"2025.01")</f>
        <v>42099</v>
      </c>
      <c r="P36" s="55" t="n">
        <f aca="false">SUMIFS(데이터_품목별!$H$3:$H$2984,데이터_품목별!$E$3:$E$2984,"31",데이터_품목별!$A$3:$A$2984,"2025.02")</f>
        <v>29637</v>
      </c>
      <c r="Q36" s="55" t="n">
        <f aca="false">SUMIFS(데이터_품목별!$H$3:$H$2984,데이터_품목별!$E$3:$E$2984,"31",데이터_품목별!$A$3:$A$2984,"2025.03")</f>
        <v>41243</v>
      </c>
      <c r="R36" s="55" t="n">
        <f aca="false">SUMIFS(데이터_품목별!$H$3:$H$2984,데이터_품목별!$E$3:$E$2984,"31",데이터_품목별!$A$3:$A$2984,"2025.04")</f>
        <v>35833</v>
      </c>
      <c r="S36" s="55" t="n">
        <f aca="false">SUMIFS(데이터_품목별!$H$3:$H$2984,데이터_품목별!$E$3:$E$2984,"31",데이터_품목별!$A$3:$A$2984,"2025.05")</f>
        <v>32628</v>
      </c>
      <c r="T36" s="55" t="n">
        <f aca="false">SUMIFS(데이터_품목별!$H$3:$H$2984,데이터_품목별!$E$3:$E$2984,"31",데이터_품목별!$A$3:$A$2984,"2025.06")</f>
        <v>40518</v>
      </c>
      <c r="U36" s="55" t="n">
        <f aca="false">SUMIFS(데이터_품목별!$H$3:$H$2984,데이터_품목별!$E$3:$E$2984,"31",데이터_품목별!$A$3:$A$2984,"2025.07")</f>
        <v>38686</v>
      </c>
      <c r="V36" s="55" t="n">
        <f aca="false">SUMIFS(데이터_품목별!$H$3:$H$2984,데이터_품목별!$E$3:$E$2984,"31",데이터_품목별!$A$3:$A$2984,"2025.08")</f>
        <v>50044</v>
      </c>
      <c r="W36" s="55" t="n">
        <f aca="false">SUMIFS(데이터_품목별!$H$3:$H$2984,데이터_품목별!$E$3:$E$2984,"31",데이터_품목별!$A$3:$A$2984,"2025.09")</f>
        <v>36528</v>
      </c>
      <c r="X36" s="55" t="n">
        <f aca="false">SUMIFS(데이터_품목별!$H$3:$H$2984,데이터_품목별!$E$3:$E$2984,"31",데이터_품목별!$A$3:$A$2984,"2025.10")</f>
        <v>30660</v>
      </c>
      <c r="Y36" s="55" t="n">
        <f aca="false">SUMIFS(데이터_품목별!$H$3:$H$2984,데이터_품목별!$E$3:$E$2984,"31",데이터_품목별!$A$3:$A$2984,"2025.11")</f>
        <v>17477</v>
      </c>
      <c r="Z36" s="55" t="n">
        <f aca="false">SUMIFS(데이터_품목별!$H$3:$H$2984,데이터_품목별!$E$3:$E$2984,"31",데이터_품목별!$A$3:$A$2984,"2025.12")</f>
        <v>51873</v>
      </c>
      <c r="AA36" s="55" t="n">
        <f aca="false">SUMIFS(데이터_품목별!$H$3:$H$2984,데이터_품목별!$E$3:$E$2984,"31",데이터_품목별!$A$3:$A$2984,"2026.01")</f>
        <v>36511</v>
      </c>
      <c r="AB36" s="55" t="n">
        <f aca="false">SUMIFS(데이터_품목별!$H$3:$H$2984,데이터_품목별!$E$3:$E$2984,"31",데이터_품목별!$A$3:$A$2984,"2026.02")</f>
        <v>34708</v>
      </c>
      <c r="AC36" s="55" t="n">
        <f aca="false">SUMIFS(데이터_품목별!$H$3:$H$2984,데이터_품목별!$E$3:$E$2984,"31",데이터_품목별!$A$3:$A$2984,"2026.03")</f>
        <v>47836</v>
      </c>
      <c r="AD36" s="55" t="n">
        <f aca="false">SUMIFS(데이터_품목별!$H$3:$H$2984,데이터_품목별!$E$3:$E$2984,"31",데이터_품목별!$A$3:$A$2984,"2026.04")</f>
        <v>45788</v>
      </c>
      <c r="AE36" s="55" t="n">
        <f aca="false">SUMIFS(데이터_품목별!$H$3:$H$2984,데이터_품목별!$E$3:$E$2984,"31",데이터_품목별!$A$3:$A$2984,"2026.05")</f>
        <v>33285</v>
      </c>
      <c r="AF36" s="55" t="n">
        <f aca="false">SUMIFS(데이터_품목별!$H$3:$H$2984,데이터_품목별!$E$3:$E$2984,"31",데이터_품목별!$A$3:$A$2984,"2026.06")</f>
        <v>54692</v>
      </c>
      <c r="AG36" s="55" t="n">
        <f aca="false">SUMIFS(데이터_품목별!$H$3:$H$2984,데이터_품목별!$E$3:$E$2984,"31",데이터_품목별!$A$3:$A$2984,"2026.07")</f>
        <v>75095</v>
      </c>
    </row>
    <row r="37" customFormat="false" ht="15" hidden="false" customHeight="true" outlineLevel="0" collapsed="false">
      <c r="A37" s="53" t="s">
        <v>562</v>
      </c>
      <c r="B37" s="54" t="s">
        <v>563</v>
      </c>
      <c r="C37" s="55" t="n">
        <f aca="false">SUMIFS(데이터_품목별!$H$3:$H$2984,데이터_품목별!$E$3:$E$2984,"32",데이터_품목별!$A$3:$A$2984,"2024.01")</f>
        <v>238057</v>
      </c>
      <c r="D37" s="55" t="n">
        <f aca="false">SUMIFS(데이터_품목별!$H$3:$H$2984,데이터_품목별!$E$3:$E$2984,"32",데이터_품목별!$A$3:$A$2984,"2024.02")</f>
        <v>243025</v>
      </c>
      <c r="E37" s="55" t="n">
        <f aca="false">SUMIFS(데이터_품목별!$H$3:$H$2984,데이터_품목별!$E$3:$E$2984,"32",데이터_품목별!$A$3:$A$2984,"2024.03")</f>
        <v>234753</v>
      </c>
      <c r="F37" s="55" t="n">
        <f aca="false">SUMIFS(데이터_품목별!$H$3:$H$2984,데이터_품목별!$E$3:$E$2984,"32",데이터_품목별!$A$3:$A$2984,"2024.04")</f>
        <v>242041</v>
      </c>
      <c r="G37" s="55" t="n">
        <f aca="false">SUMIFS(데이터_품목별!$H$3:$H$2984,데이터_품목별!$E$3:$E$2984,"32",데이터_품목별!$A$3:$A$2984,"2024.05")</f>
        <v>238498</v>
      </c>
      <c r="H37" s="55" t="n">
        <f aca="false">SUMIFS(데이터_품목별!$H$3:$H$2984,데이터_품목별!$E$3:$E$2984,"32",데이터_품목별!$A$3:$A$2984,"2024.06")</f>
        <v>216542</v>
      </c>
      <c r="I37" s="55" t="n">
        <f aca="false">SUMIFS(데이터_품목별!$H$3:$H$2984,데이터_품목별!$E$3:$E$2984,"32",데이터_품목별!$A$3:$A$2984,"2024.07")</f>
        <v>237748</v>
      </c>
      <c r="J37" s="55" t="n">
        <f aca="false">SUMIFS(데이터_품목별!$H$3:$H$2984,데이터_품목별!$E$3:$E$2984,"32",데이터_품목별!$A$3:$A$2984,"2024.08")</f>
        <v>209920</v>
      </c>
      <c r="K37" s="55" t="n">
        <f aca="false">SUMIFS(데이터_품목별!$H$3:$H$2984,데이터_품목별!$E$3:$E$2984,"32",데이터_품목별!$A$3:$A$2984,"2024.09")</f>
        <v>206020</v>
      </c>
      <c r="L37" s="55" t="n">
        <f aca="false">SUMIFS(데이터_품목별!$H$3:$H$2984,데이터_품목별!$E$3:$E$2984,"32",데이터_품목별!$A$3:$A$2984,"2024.10")</f>
        <v>225440</v>
      </c>
      <c r="M37" s="55" t="n">
        <f aca="false">SUMIFS(데이터_품목별!$H$3:$H$2984,데이터_품목별!$E$3:$E$2984,"32",데이터_품목별!$A$3:$A$2984,"2024.11")</f>
        <v>211725</v>
      </c>
      <c r="N37" s="55" t="n">
        <f aca="false">SUMIFS(데이터_품목별!$H$3:$H$2984,데이터_품목별!$E$3:$E$2984,"32",데이터_품목별!$A$3:$A$2984,"2024.12")</f>
        <v>221921</v>
      </c>
      <c r="O37" s="55" t="n">
        <f aca="false">SUMIFS(데이터_품목별!$H$3:$H$2984,데이터_품목별!$E$3:$E$2984,"32",데이터_품목별!$A$3:$A$2984,"2025.01")</f>
        <v>190642</v>
      </c>
      <c r="P37" s="55" t="n">
        <f aca="false">SUMIFS(데이터_품목별!$H$3:$H$2984,데이터_품목별!$E$3:$E$2984,"32",데이터_품목별!$A$3:$A$2984,"2025.02")</f>
        <v>227754</v>
      </c>
      <c r="Q37" s="55" t="n">
        <f aca="false">SUMIFS(데이터_품목별!$H$3:$H$2984,데이터_품목별!$E$3:$E$2984,"32",데이터_품목별!$A$3:$A$2984,"2025.03")</f>
        <v>223829</v>
      </c>
      <c r="R37" s="55" t="n">
        <f aca="false">SUMIFS(데이터_품목별!$H$3:$H$2984,데이터_품목별!$E$3:$E$2984,"32",데이터_품목별!$A$3:$A$2984,"2025.04")</f>
        <v>233233</v>
      </c>
      <c r="S37" s="55" t="n">
        <f aca="false">SUMIFS(데이터_품목별!$H$3:$H$2984,데이터_품목별!$E$3:$E$2984,"32",데이터_품목별!$A$3:$A$2984,"2025.05")</f>
        <v>208300</v>
      </c>
      <c r="T37" s="55" t="n">
        <f aca="false">SUMIFS(데이터_품목별!$H$3:$H$2984,데이터_품목별!$E$3:$E$2984,"32",데이터_품목별!$A$3:$A$2984,"2025.06")</f>
        <v>223739</v>
      </c>
      <c r="U37" s="55" t="n">
        <f aca="false">SUMIFS(데이터_품목별!$H$3:$H$2984,데이터_품목별!$E$3:$E$2984,"32",데이터_품목별!$A$3:$A$2984,"2025.07")</f>
        <v>227752</v>
      </c>
      <c r="V37" s="55" t="n">
        <f aca="false">SUMIFS(데이터_품목별!$H$3:$H$2984,데이터_품목별!$E$3:$E$2984,"32",데이터_품목별!$A$3:$A$2984,"2025.08")</f>
        <v>215634</v>
      </c>
      <c r="W37" s="55" t="n">
        <f aca="false">SUMIFS(데이터_품목별!$H$3:$H$2984,데이터_품목별!$E$3:$E$2984,"32",데이터_품목별!$A$3:$A$2984,"2025.09")</f>
        <v>258810</v>
      </c>
      <c r="X37" s="55" t="n">
        <f aca="false">SUMIFS(데이터_품목별!$H$3:$H$2984,데이터_품목별!$E$3:$E$2984,"32",데이터_품목별!$A$3:$A$2984,"2025.10")</f>
        <v>211007</v>
      </c>
      <c r="Y37" s="55" t="n">
        <f aca="false">SUMIFS(데이터_품목별!$H$3:$H$2984,데이터_품목별!$E$3:$E$2984,"32",데이터_품목별!$A$3:$A$2984,"2025.11")</f>
        <v>203725</v>
      </c>
      <c r="Z37" s="55" t="n">
        <f aca="false">SUMIFS(데이터_품목별!$H$3:$H$2984,데이터_품목별!$E$3:$E$2984,"32",데이터_품목별!$A$3:$A$2984,"2025.12")</f>
        <v>224733</v>
      </c>
      <c r="AA37" s="55" t="n">
        <f aca="false">SUMIFS(데이터_품목별!$H$3:$H$2984,데이터_품목별!$E$3:$E$2984,"32",데이터_품목별!$A$3:$A$2984,"2026.01")</f>
        <v>228719</v>
      </c>
      <c r="AB37" s="55" t="n">
        <f aca="false">SUMIFS(데이터_품목별!$H$3:$H$2984,데이터_품목별!$E$3:$E$2984,"32",데이터_품목별!$A$3:$A$2984,"2026.02")</f>
        <v>193435</v>
      </c>
      <c r="AC37" s="55" t="n">
        <f aca="false">SUMIFS(데이터_품목별!$H$3:$H$2984,데이터_품목별!$E$3:$E$2984,"32",데이터_품목별!$A$3:$A$2984,"2026.03")</f>
        <v>247193</v>
      </c>
      <c r="AD37" s="55" t="n">
        <f aca="false">SUMIFS(데이터_품목별!$H$3:$H$2984,데이터_품목별!$E$3:$E$2984,"32",데이터_품목별!$A$3:$A$2984,"2026.04")</f>
        <v>267249</v>
      </c>
      <c r="AE37" s="55" t="n">
        <f aca="false">SUMIFS(데이터_품목별!$H$3:$H$2984,데이터_품목별!$E$3:$E$2984,"32",데이터_품목별!$A$3:$A$2984,"2026.05")</f>
        <v>231322</v>
      </c>
      <c r="AF37" s="55" t="n">
        <f aca="false">SUMIFS(데이터_품목별!$H$3:$H$2984,데이터_품목별!$E$3:$E$2984,"32",데이터_품목별!$A$3:$A$2984,"2026.06")</f>
        <v>243223</v>
      </c>
      <c r="AG37" s="55" t="n">
        <f aca="false">SUMIFS(데이터_품목별!$H$3:$H$2984,데이터_품목별!$E$3:$E$2984,"32",데이터_품목별!$A$3:$A$2984,"2026.07")</f>
        <v>267863</v>
      </c>
    </row>
    <row r="38" customFormat="false" ht="15" hidden="false" customHeight="true" outlineLevel="0" collapsed="false">
      <c r="A38" s="53" t="s">
        <v>569</v>
      </c>
      <c r="B38" s="54" t="s">
        <v>570</v>
      </c>
      <c r="C38" s="55" t="n">
        <f aca="false">SUMIFS(데이터_품목별!$H$3:$H$2984,데이터_품목별!$E$3:$E$2984,"33",데이터_품목별!$A$3:$A$2984,"2024.01")</f>
        <v>773866</v>
      </c>
      <c r="D38" s="55" t="n">
        <f aca="false">SUMIFS(데이터_품목별!$H$3:$H$2984,데이터_품목별!$E$3:$E$2984,"33",데이터_품목별!$A$3:$A$2984,"2024.02")</f>
        <v>698589</v>
      </c>
      <c r="E38" s="55" t="n">
        <f aca="false">SUMIFS(데이터_품목별!$H$3:$H$2984,데이터_품목별!$E$3:$E$2984,"33",데이터_품목별!$A$3:$A$2984,"2024.03")</f>
        <v>749821</v>
      </c>
      <c r="F38" s="55" t="n">
        <f aca="false">SUMIFS(데이터_품목별!$H$3:$H$2984,데이터_품목별!$E$3:$E$2984,"33",데이터_품목별!$A$3:$A$2984,"2024.04")</f>
        <v>824896</v>
      </c>
      <c r="G38" s="55" t="n">
        <f aca="false">SUMIFS(데이터_품목별!$H$3:$H$2984,데이터_품목별!$E$3:$E$2984,"33",데이터_품목별!$A$3:$A$2984,"2024.05")</f>
        <v>850048</v>
      </c>
      <c r="H38" s="55" t="n">
        <f aca="false">SUMIFS(데이터_품목별!$H$3:$H$2984,데이터_품목별!$E$3:$E$2984,"33",데이터_품목별!$A$3:$A$2984,"2024.06")</f>
        <v>749670</v>
      </c>
      <c r="I38" s="55" t="n">
        <f aca="false">SUMIFS(데이터_품목별!$H$3:$H$2984,데이터_품목별!$E$3:$E$2984,"33",데이터_품목별!$A$3:$A$2984,"2024.07")</f>
        <v>806681</v>
      </c>
      <c r="J38" s="55" t="n">
        <f aca="false">SUMIFS(데이터_품목별!$H$3:$H$2984,데이터_품목별!$E$3:$E$2984,"33",데이터_품목별!$A$3:$A$2984,"2024.08")</f>
        <v>796202</v>
      </c>
      <c r="K38" s="55" t="n">
        <f aca="false">SUMIFS(데이터_품목별!$H$3:$H$2984,데이터_품목별!$E$3:$E$2984,"33",데이터_품목별!$A$3:$A$2984,"2024.09")</f>
        <v>881298</v>
      </c>
      <c r="L38" s="55" t="n">
        <f aca="false">SUMIFS(데이터_품목별!$H$3:$H$2984,데이터_품목별!$E$3:$E$2984,"33",데이터_품목별!$A$3:$A$2984,"2024.10")</f>
        <v>1001990</v>
      </c>
      <c r="M38" s="55" t="n">
        <f aca="false">SUMIFS(데이터_품목별!$H$3:$H$2984,데이터_품목별!$E$3:$E$2984,"33",데이터_품목별!$A$3:$A$2984,"2024.11")</f>
        <v>882072</v>
      </c>
      <c r="N38" s="55" t="n">
        <f aca="false">SUMIFS(데이터_품목별!$H$3:$H$2984,데이터_품목별!$E$3:$E$2984,"33",데이터_품목별!$A$3:$A$2984,"2024.12")</f>
        <v>850607</v>
      </c>
      <c r="O38" s="55" t="n">
        <f aca="false">SUMIFS(데이터_품목별!$H$3:$H$2984,데이터_품목별!$E$3:$E$2984,"33",데이터_품목별!$A$3:$A$2984,"2025.01")</f>
        <v>732310</v>
      </c>
      <c r="P38" s="55" t="n">
        <f aca="false">SUMIFS(데이터_품목별!$H$3:$H$2984,데이터_품목별!$E$3:$E$2984,"33",데이터_품목별!$A$3:$A$2984,"2025.02")</f>
        <v>855686</v>
      </c>
      <c r="Q38" s="55" t="n">
        <f aca="false">SUMIFS(데이터_품목별!$H$3:$H$2984,데이터_품목별!$E$3:$E$2984,"33",데이터_품목별!$A$3:$A$2984,"2025.03")</f>
        <v>912081</v>
      </c>
      <c r="R38" s="55" t="n">
        <f aca="false">SUMIFS(데이터_품목별!$H$3:$H$2984,데이터_품목별!$E$3:$E$2984,"33",데이터_품목별!$A$3:$A$2984,"2025.04")</f>
        <v>992867</v>
      </c>
      <c r="S38" s="55" t="n">
        <f aca="false">SUMIFS(데이터_품목별!$H$3:$H$2984,데이터_품목별!$E$3:$E$2984,"33",데이터_품목별!$A$3:$A$2984,"2025.05")</f>
        <v>924692</v>
      </c>
      <c r="T38" s="55" t="n">
        <f aca="false">SUMIFS(데이터_품목별!$H$3:$H$2984,데이터_품목별!$E$3:$E$2984,"33",데이터_품목별!$A$3:$A$2984,"2025.06")</f>
        <v>907377</v>
      </c>
      <c r="U38" s="55" t="n">
        <f aca="false">SUMIFS(데이터_품목별!$H$3:$H$2984,데이터_품목별!$E$3:$E$2984,"33",데이터_품목별!$A$3:$A$2984,"2025.07")</f>
        <v>949010</v>
      </c>
      <c r="V38" s="55" t="n">
        <f aca="false">SUMIFS(데이터_품목별!$H$3:$H$2984,데이터_품목별!$E$3:$E$2984,"33",데이터_품목별!$A$3:$A$2984,"2025.08")</f>
        <v>833141</v>
      </c>
      <c r="W38" s="55" t="n">
        <f aca="false">SUMIFS(데이터_품목별!$H$3:$H$2984,데이터_품목별!$E$3:$E$2984,"33",데이터_품목별!$A$3:$A$2984,"2025.09")</f>
        <v>1100924</v>
      </c>
      <c r="X38" s="55" t="n">
        <f aca="false">SUMIFS(데이터_품목별!$H$3:$H$2984,데이터_품목별!$E$3:$E$2984,"33",데이터_품목별!$A$3:$A$2984,"2025.10")</f>
        <v>878817</v>
      </c>
      <c r="Y38" s="55" t="n">
        <f aca="false">SUMIFS(데이터_품목별!$H$3:$H$2984,데이터_품목별!$E$3:$E$2984,"33",데이터_품목별!$A$3:$A$2984,"2025.11")</f>
        <v>906407</v>
      </c>
      <c r="Z38" s="55" t="n">
        <f aca="false">SUMIFS(데이터_품목별!$H$3:$H$2984,데이터_품목별!$E$3:$E$2984,"33",데이터_품목별!$A$3:$A$2984,"2025.12")</f>
        <v>1033401</v>
      </c>
      <c r="AA38" s="55" t="n">
        <f aca="false">SUMIFS(데이터_품목별!$H$3:$H$2984,데이터_품목별!$E$3:$E$2984,"33",데이터_품목별!$A$3:$A$2984,"2026.01")</f>
        <v>993062</v>
      </c>
      <c r="AB38" s="55" t="n">
        <f aca="false">SUMIFS(데이터_품목별!$H$3:$H$2984,데이터_품목별!$E$3:$E$2984,"33",데이터_품목별!$A$3:$A$2984,"2026.02")</f>
        <v>883056</v>
      </c>
      <c r="AC38" s="55" t="n">
        <f aca="false">SUMIFS(데이터_품목별!$H$3:$H$2984,데이터_품목별!$E$3:$E$2984,"33",데이터_품목별!$A$3:$A$2984,"2026.03")</f>
        <v>1143361</v>
      </c>
      <c r="AD38" s="55" t="n">
        <f aca="false">SUMIFS(데이터_품목별!$H$3:$H$2984,데이터_품목별!$E$3:$E$2984,"33",데이터_품목별!$A$3:$A$2984,"2026.04")</f>
        <v>1307969</v>
      </c>
      <c r="AE38" s="55" t="n">
        <f aca="false">SUMIFS(데이터_품목별!$H$3:$H$2984,데이터_품목별!$E$3:$E$2984,"33",데이터_품목별!$A$3:$A$2984,"2026.05")</f>
        <v>1136215</v>
      </c>
      <c r="AF38" s="55" t="n">
        <f aca="false">SUMIFS(데이터_품목별!$H$3:$H$2984,데이터_품목별!$E$3:$E$2984,"33",데이터_품목별!$A$3:$A$2984,"2026.06")</f>
        <v>1284859</v>
      </c>
      <c r="AG38" s="55" t="n">
        <f aca="false">SUMIFS(데이터_품목별!$H$3:$H$2984,데이터_품목별!$E$3:$E$2984,"33",데이터_품목별!$A$3:$A$2984,"2026.07")</f>
        <v>1304068</v>
      </c>
    </row>
    <row r="39" customFormat="false" ht="15" hidden="false" customHeight="true" outlineLevel="0" collapsed="false">
      <c r="A39" s="53" t="s">
        <v>576</v>
      </c>
      <c r="B39" s="54" t="s">
        <v>577</v>
      </c>
      <c r="C39" s="55" t="n">
        <f aca="false">SUMIFS(데이터_품목별!$H$3:$H$2984,데이터_품목별!$E$3:$E$2984,"34",데이터_품목별!$A$3:$A$2984,"2024.01")</f>
        <v>145384</v>
      </c>
      <c r="D39" s="55" t="n">
        <f aca="false">SUMIFS(데이터_품목별!$H$3:$H$2984,데이터_품목별!$E$3:$E$2984,"34",데이터_품목별!$A$3:$A$2984,"2024.02")</f>
        <v>135292</v>
      </c>
      <c r="E39" s="55" t="n">
        <f aca="false">SUMIFS(데이터_품목별!$H$3:$H$2984,데이터_품목별!$E$3:$E$2984,"34",데이터_품목별!$A$3:$A$2984,"2024.03")</f>
        <v>151784</v>
      </c>
      <c r="F39" s="55" t="n">
        <f aca="false">SUMIFS(데이터_품목별!$H$3:$H$2984,데이터_품목별!$E$3:$E$2984,"34",데이터_품목별!$A$3:$A$2984,"2024.04")</f>
        <v>168765</v>
      </c>
      <c r="G39" s="55" t="n">
        <f aca="false">SUMIFS(데이터_품목별!$H$3:$H$2984,데이터_품목별!$E$3:$E$2984,"34",데이터_품목별!$A$3:$A$2984,"2024.05")</f>
        <v>164214</v>
      </c>
      <c r="H39" s="55" t="n">
        <f aca="false">SUMIFS(데이터_품목별!$H$3:$H$2984,데이터_품목별!$E$3:$E$2984,"34",데이터_품목별!$A$3:$A$2984,"2024.06")</f>
        <v>155134</v>
      </c>
      <c r="I39" s="55" t="n">
        <f aca="false">SUMIFS(데이터_품목별!$H$3:$H$2984,데이터_품목별!$E$3:$E$2984,"34",데이터_품목별!$A$3:$A$2984,"2024.07")</f>
        <v>162162</v>
      </c>
      <c r="J39" s="55" t="n">
        <f aca="false">SUMIFS(데이터_품목별!$H$3:$H$2984,데이터_품목별!$E$3:$E$2984,"34",데이터_품목별!$A$3:$A$2984,"2024.08")</f>
        <v>157721</v>
      </c>
      <c r="K39" s="55" t="n">
        <f aca="false">SUMIFS(데이터_품목별!$H$3:$H$2984,데이터_품목별!$E$3:$E$2984,"34",데이터_품목별!$A$3:$A$2984,"2024.09")</f>
        <v>153671</v>
      </c>
      <c r="L39" s="55" t="n">
        <f aca="false">SUMIFS(데이터_품목별!$H$3:$H$2984,데이터_품목별!$E$3:$E$2984,"34",데이터_품목별!$A$3:$A$2984,"2024.10")</f>
        <v>162004</v>
      </c>
      <c r="M39" s="55" t="n">
        <f aca="false">SUMIFS(데이터_품목별!$H$3:$H$2984,데이터_품목별!$E$3:$E$2984,"34",데이터_품목별!$A$3:$A$2984,"2024.11")</f>
        <v>159678</v>
      </c>
      <c r="N39" s="55" t="n">
        <f aca="false">SUMIFS(데이터_품목별!$H$3:$H$2984,데이터_품목별!$E$3:$E$2984,"34",데이터_품목별!$A$3:$A$2984,"2024.12")</f>
        <v>155605</v>
      </c>
      <c r="O39" s="55" t="n">
        <f aca="false">SUMIFS(데이터_품목별!$H$3:$H$2984,데이터_품목별!$E$3:$E$2984,"34",데이터_품목별!$A$3:$A$2984,"2025.01")</f>
        <v>137521</v>
      </c>
      <c r="P39" s="55" t="n">
        <f aca="false">SUMIFS(데이터_품목별!$H$3:$H$2984,데이터_품목별!$E$3:$E$2984,"34",데이터_품목별!$A$3:$A$2984,"2025.02")</f>
        <v>154662</v>
      </c>
      <c r="Q39" s="55" t="n">
        <f aca="false">SUMIFS(데이터_품목별!$H$3:$H$2984,데이터_품목별!$E$3:$E$2984,"34",데이터_품목별!$A$3:$A$2984,"2025.03")</f>
        <v>149258</v>
      </c>
      <c r="R39" s="55" t="n">
        <f aca="false">SUMIFS(데이터_품목별!$H$3:$H$2984,데이터_품목별!$E$3:$E$2984,"34",데이터_품목별!$A$3:$A$2984,"2025.04")</f>
        <v>169033</v>
      </c>
      <c r="S39" s="55" t="n">
        <f aca="false">SUMIFS(데이터_품목별!$H$3:$H$2984,데이터_품목별!$E$3:$E$2984,"34",데이터_품목별!$A$3:$A$2984,"2025.05")</f>
        <v>146838</v>
      </c>
      <c r="T39" s="55" t="n">
        <f aca="false">SUMIFS(데이터_품목별!$H$3:$H$2984,데이터_품목별!$E$3:$E$2984,"34",데이터_품목별!$A$3:$A$2984,"2025.06")</f>
        <v>156708</v>
      </c>
      <c r="U39" s="55" t="n">
        <f aca="false">SUMIFS(데이터_품목별!$H$3:$H$2984,데이터_품목별!$E$3:$E$2984,"34",데이터_품목별!$A$3:$A$2984,"2025.07")</f>
        <v>171202</v>
      </c>
      <c r="V39" s="55" t="n">
        <f aca="false">SUMIFS(데이터_품목별!$H$3:$H$2984,데이터_품목별!$E$3:$E$2984,"34",데이터_품목별!$A$3:$A$2984,"2025.08")</f>
        <v>149230</v>
      </c>
      <c r="W39" s="55" t="n">
        <f aca="false">SUMIFS(데이터_품목별!$H$3:$H$2984,데이터_품목별!$E$3:$E$2984,"34",데이터_품목별!$A$3:$A$2984,"2025.09")</f>
        <v>185238</v>
      </c>
      <c r="X39" s="55" t="n">
        <f aca="false">SUMIFS(데이터_품목별!$H$3:$H$2984,데이터_품목별!$E$3:$E$2984,"34",데이터_품목별!$A$3:$A$2984,"2025.10")</f>
        <v>171740</v>
      </c>
      <c r="Y39" s="55" t="n">
        <f aca="false">SUMIFS(데이터_품목별!$H$3:$H$2984,데이터_품목별!$E$3:$E$2984,"34",데이터_품목별!$A$3:$A$2984,"2025.11")</f>
        <v>169474</v>
      </c>
      <c r="Z39" s="55" t="n">
        <f aca="false">SUMIFS(데이터_품목별!$H$3:$H$2984,데이터_품목별!$E$3:$E$2984,"34",데이터_품목별!$A$3:$A$2984,"2025.12")</f>
        <v>169659</v>
      </c>
      <c r="AA39" s="55" t="n">
        <f aca="false">SUMIFS(데이터_품목별!$H$3:$H$2984,데이터_품목별!$E$3:$E$2984,"34",데이터_품목별!$A$3:$A$2984,"2026.01")</f>
        <v>163588</v>
      </c>
      <c r="AB39" s="55" t="n">
        <f aca="false">SUMIFS(데이터_품목별!$H$3:$H$2984,데이터_품목별!$E$3:$E$2984,"34",데이터_품목별!$A$3:$A$2984,"2026.02")</f>
        <v>144577</v>
      </c>
      <c r="AC39" s="55" t="n">
        <f aca="false">SUMIFS(데이터_품목별!$H$3:$H$2984,데이터_품목별!$E$3:$E$2984,"34",데이터_품목별!$A$3:$A$2984,"2026.03")</f>
        <v>168853</v>
      </c>
      <c r="AD39" s="55" t="n">
        <f aca="false">SUMIFS(데이터_품목별!$H$3:$H$2984,데이터_품목별!$E$3:$E$2984,"34",데이터_품목별!$A$3:$A$2984,"2026.04")</f>
        <v>184124</v>
      </c>
      <c r="AE39" s="55" t="n">
        <f aca="false">SUMIFS(데이터_품목별!$H$3:$H$2984,데이터_품목별!$E$3:$E$2984,"34",데이터_품목별!$A$3:$A$2984,"2026.05")</f>
        <v>165186</v>
      </c>
      <c r="AF39" s="55" t="n">
        <f aca="false">SUMIFS(데이터_품목별!$H$3:$H$2984,데이터_품목별!$E$3:$E$2984,"34",데이터_품목별!$A$3:$A$2984,"2026.06")</f>
        <v>181181</v>
      </c>
      <c r="AG39" s="55" t="n">
        <f aca="false">SUMIFS(데이터_품목별!$H$3:$H$2984,데이터_품목별!$E$3:$E$2984,"34",데이터_품목별!$A$3:$A$2984,"2026.07")</f>
        <v>203414</v>
      </c>
    </row>
    <row r="40" customFormat="false" ht="15" hidden="false" customHeight="true" outlineLevel="0" collapsed="false">
      <c r="A40" s="53" t="s">
        <v>583</v>
      </c>
      <c r="B40" s="54" t="s">
        <v>584</v>
      </c>
      <c r="C40" s="55" t="n">
        <f aca="false">SUMIFS(데이터_품목별!$H$3:$H$2984,데이터_품목별!$E$3:$E$2984,"35",데이터_품목별!$A$3:$A$2984,"2024.01")</f>
        <v>91435</v>
      </c>
      <c r="D40" s="55" t="n">
        <f aca="false">SUMIFS(데이터_품목별!$H$3:$H$2984,데이터_품목별!$E$3:$E$2984,"35",데이터_품목별!$A$3:$A$2984,"2024.02")</f>
        <v>73663</v>
      </c>
      <c r="E40" s="55" t="n">
        <f aca="false">SUMIFS(데이터_품목별!$H$3:$H$2984,데이터_품목별!$E$3:$E$2984,"35",데이터_품목별!$A$3:$A$2984,"2024.03")</f>
        <v>81825</v>
      </c>
      <c r="F40" s="55" t="n">
        <f aca="false">SUMIFS(데이터_품목별!$H$3:$H$2984,데이터_품목별!$E$3:$E$2984,"35",데이터_품목별!$A$3:$A$2984,"2024.04")</f>
        <v>82543</v>
      </c>
      <c r="G40" s="55" t="n">
        <f aca="false">SUMIFS(데이터_품목별!$H$3:$H$2984,데이터_품목별!$E$3:$E$2984,"35",데이터_품목별!$A$3:$A$2984,"2024.05")</f>
        <v>83370</v>
      </c>
      <c r="H40" s="55" t="n">
        <f aca="false">SUMIFS(데이터_품목별!$H$3:$H$2984,데이터_품목별!$E$3:$E$2984,"35",데이터_품목별!$A$3:$A$2984,"2024.06")</f>
        <v>78556</v>
      </c>
      <c r="I40" s="55" t="n">
        <f aca="false">SUMIFS(데이터_품목별!$H$3:$H$2984,데이터_품목별!$E$3:$E$2984,"35",데이터_품목별!$A$3:$A$2984,"2024.07")</f>
        <v>89964</v>
      </c>
      <c r="J40" s="55" t="n">
        <f aca="false">SUMIFS(데이터_품목별!$H$3:$H$2984,데이터_품목별!$E$3:$E$2984,"35",데이터_품목별!$A$3:$A$2984,"2024.08")</f>
        <v>87917</v>
      </c>
      <c r="K40" s="55" t="n">
        <f aca="false">SUMIFS(데이터_품목별!$H$3:$H$2984,데이터_품목별!$E$3:$E$2984,"35",데이터_품목별!$A$3:$A$2984,"2024.09")</f>
        <v>85466</v>
      </c>
      <c r="L40" s="55" t="n">
        <f aca="false">SUMIFS(데이터_품목별!$H$3:$H$2984,데이터_품목별!$E$3:$E$2984,"35",데이터_품목별!$A$3:$A$2984,"2024.10")</f>
        <v>80955</v>
      </c>
      <c r="M40" s="55" t="n">
        <f aca="false">SUMIFS(데이터_품목별!$H$3:$H$2984,데이터_품목별!$E$3:$E$2984,"35",데이터_품목별!$A$3:$A$2984,"2024.11")</f>
        <v>76828</v>
      </c>
      <c r="N40" s="55" t="n">
        <f aca="false">SUMIFS(데이터_품목별!$H$3:$H$2984,데이터_품목별!$E$3:$E$2984,"35",데이터_품목별!$A$3:$A$2984,"2024.12")</f>
        <v>82342</v>
      </c>
      <c r="O40" s="55" t="n">
        <f aca="false">SUMIFS(데이터_품목별!$H$3:$H$2984,데이터_품목별!$E$3:$E$2984,"35",데이터_품목별!$A$3:$A$2984,"2025.01")</f>
        <v>75103</v>
      </c>
      <c r="P40" s="55" t="n">
        <f aca="false">SUMIFS(데이터_품목별!$H$3:$H$2984,데이터_품목별!$E$3:$E$2984,"35",데이터_품목별!$A$3:$A$2984,"2025.02")</f>
        <v>96028</v>
      </c>
      <c r="Q40" s="55" t="n">
        <f aca="false">SUMIFS(데이터_품목별!$H$3:$H$2984,데이터_품목별!$E$3:$E$2984,"35",데이터_품목별!$A$3:$A$2984,"2025.03")</f>
        <v>92038</v>
      </c>
      <c r="R40" s="55" t="n">
        <f aca="false">SUMIFS(데이터_품목별!$H$3:$H$2984,데이터_품목별!$E$3:$E$2984,"35",데이터_품목별!$A$3:$A$2984,"2025.04")</f>
        <v>85864</v>
      </c>
      <c r="S40" s="55" t="n">
        <f aca="false">SUMIFS(데이터_품목별!$H$3:$H$2984,데이터_품목별!$E$3:$E$2984,"35",데이터_품목별!$A$3:$A$2984,"2025.05")</f>
        <v>81469</v>
      </c>
      <c r="T40" s="55" t="n">
        <f aca="false">SUMIFS(데이터_품목별!$H$3:$H$2984,데이터_품목별!$E$3:$E$2984,"35",데이터_품목별!$A$3:$A$2984,"2025.06")</f>
        <v>77644</v>
      </c>
      <c r="U40" s="55" t="n">
        <f aca="false">SUMIFS(데이터_품목별!$H$3:$H$2984,데이터_품목별!$E$3:$E$2984,"35",데이터_품목별!$A$3:$A$2984,"2025.07")</f>
        <v>84694</v>
      </c>
      <c r="V40" s="55" t="n">
        <f aca="false">SUMIFS(데이터_품목별!$H$3:$H$2984,데이터_품목별!$E$3:$E$2984,"35",데이터_품목별!$A$3:$A$2984,"2025.08")</f>
        <v>78499</v>
      </c>
      <c r="W40" s="55" t="n">
        <f aca="false">SUMIFS(데이터_품목별!$H$3:$H$2984,데이터_품목별!$E$3:$E$2984,"35",데이터_품목별!$A$3:$A$2984,"2025.09")</f>
        <v>91869</v>
      </c>
      <c r="X40" s="55" t="n">
        <f aca="false">SUMIFS(데이터_품목별!$H$3:$H$2984,데이터_품목별!$E$3:$E$2984,"35",데이터_품목별!$A$3:$A$2984,"2025.10")</f>
        <v>72381</v>
      </c>
      <c r="Y40" s="55" t="n">
        <f aca="false">SUMIFS(데이터_품목별!$H$3:$H$2984,데이터_품목별!$E$3:$E$2984,"35",데이터_품목별!$A$3:$A$2984,"2025.11")</f>
        <v>78852</v>
      </c>
      <c r="Z40" s="55" t="n">
        <f aca="false">SUMIFS(데이터_품목별!$H$3:$H$2984,데이터_품목별!$E$3:$E$2984,"35",데이터_품목별!$A$3:$A$2984,"2025.12")</f>
        <v>81503</v>
      </c>
      <c r="AA40" s="55" t="n">
        <f aca="false">SUMIFS(데이터_품목별!$H$3:$H$2984,데이터_품목별!$E$3:$E$2984,"35",데이터_품목별!$A$3:$A$2984,"2026.01")</f>
        <v>84845</v>
      </c>
      <c r="AB40" s="55" t="n">
        <f aca="false">SUMIFS(데이터_품목별!$H$3:$H$2984,데이터_품목별!$E$3:$E$2984,"35",데이터_품목별!$A$3:$A$2984,"2026.02")</f>
        <v>69125</v>
      </c>
      <c r="AC40" s="55" t="n">
        <f aca="false">SUMIFS(데이터_품목별!$H$3:$H$2984,데이터_품목별!$E$3:$E$2984,"35",데이터_품목별!$A$3:$A$2984,"2026.03")</f>
        <v>82425</v>
      </c>
      <c r="AD40" s="55" t="n">
        <f aca="false">SUMIFS(데이터_품목별!$H$3:$H$2984,데이터_품목별!$E$3:$E$2984,"35",데이터_품목별!$A$3:$A$2984,"2026.04")</f>
        <v>103454</v>
      </c>
      <c r="AE40" s="55" t="n">
        <f aca="false">SUMIFS(데이터_품목별!$H$3:$H$2984,데이터_품목별!$E$3:$E$2984,"35",데이터_품목별!$A$3:$A$2984,"2026.05")</f>
        <v>78642</v>
      </c>
      <c r="AF40" s="55" t="n">
        <f aca="false">SUMIFS(데이터_품목별!$H$3:$H$2984,데이터_품목별!$E$3:$E$2984,"35",데이터_품목별!$A$3:$A$2984,"2026.06")</f>
        <v>92582</v>
      </c>
      <c r="AG40" s="55" t="n">
        <f aca="false">SUMIFS(데이터_품목별!$H$3:$H$2984,데이터_품목별!$E$3:$E$2984,"35",데이터_품목별!$A$3:$A$2984,"2026.07")</f>
        <v>94028</v>
      </c>
    </row>
    <row r="41" customFormat="false" ht="15" hidden="false" customHeight="true" outlineLevel="0" collapsed="false">
      <c r="A41" s="53" t="s">
        <v>590</v>
      </c>
      <c r="B41" s="54" t="s">
        <v>591</v>
      </c>
      <c r="C41" s="55" t="n">
        <f aca="false">SUMIFS(데이터_품목별!$H$3:$H$2984,데이터_품목별!$E$3:$E$2984,"36",데이터_품목별!$A$3:$A$2984,"2024.01")</f>
        <v>2618</v>
      </c>
      <c r="D41" s="55" t="n">
        <f aca="false">SUMIFS(데이터_품목별!$H$3:$H$2984,데이터_품목별!$E$3:$E$2984,"36",데이터_품목별!$A$3:$A$2984,"2024.02")</f>
        <v>3040</v>
      </c>
      <c r="E41" s="55" t="n">
        <f aca="false">SUMIFS(데이터_품목별!$H$3:$H$2984,데이터_품목별!$E$3:$E$2984,"36",데이터_품목별!$A$3:$A$2984,"2024.03")</f>
        <v>2377</v>
      </c>
      <c r="F41" s="55" t="n">
        <f aca="false">SUMIFS(데이터_품목별!$H$3:$H$2984,데이터_품목별!$E$3:$E$2984,"36",데이터_품목별!$A$3:$A$2984,"2024.04")</f>
        <v>8795</v>
      </c>
      <c r="G41" s="55" t="n">
        <f aca="false">SUMIFS(데이터_품목별!$H$3:$H$2984,데이터_품목별!$E$3:$E$2984,"36",데이터_품목별!$A$3:$A$2984,"2024.05")</f>
        <v>6737</v>
      </c>
      <c r="H41" s="55" t="n">
        <f aca="false">SUMIFS(데이터_품목별!$H$3:$H$2984,데이터_품목별!$E$3:$E$2984,"36",데이터_품목별!$A$3:$A$2984,"2024.06")</f>
        <v>1111</v>
      </c>
      <c r="I41" s="55" t="n">
        <f aca="false">SUMIFS(데이터_품목별!$H$3:$H$2984,데이터_품목별!$E$3:$E$2984,"36",데이터_품목별!$A$3:$A$2984,"2024.07")</f>
        <v>4940</v>
      </c>
      <c r="J41" s="55" t="n">
        <f aca="false">SUMIFS(데이터_품목별!$H$3:$H$2984,데이터_품목별!$E$3:$E$2984,"36",데이터_품목별!$A$3:$A$2984,"2024.08")</f>
        <v>1851</v>
      </c>
      <c r="K41" s="55" t="n">
        <f aca="false">SUMIFS(데이터_품목별!$H$3:$H$2984,데이터_품목별!$E$3:$E$2984,"36",데이터_품목별!$A$3:$A$2984,"2024.09")</f>
        <v>5541</v>
      </c>
      <c r="L41" s="55" t="n">
        <f aca="false">SUMIFS(데이터_품목별!$H$3:$H$2984,데이터_품목별!$E$3:$E$2984,"36",데이터_품목별!$A$3:$A$2984,"2024.10")</f>
        <v>3100</v>
      </c>
      <c r="M41" s="55" t="n">
        <f aca="false">SUMIFS(데이터_품목별!$H$3:$H$2984,데이터_품목별!$E$3:$E$2984,"36",데이터_품목별!$A$3:$A$2984,"2024.11")</f>
        <v>8794</v>
      </c>
      <c r="N41" s="55" t="n">
        <f aca="false">SUMIFS(데이터_품목별!$H$3:$H$2984,데이터_품목별!$E$3:$E$2984,"36",데이터_품목별!$A$3:$A$2984,"2024.12")</f>
        <v>8579</v>
      </c>
      <c r="O41" s="55" t="n">
        <f aca="false">SUMIFS(데이터_품목별!$H$3:$H$2984,데이터_품목별!$E$3:$E$2984,"36",데이터_품목별!$A$3:$A$2984,"2025.01")</f>
        <v>1929</v>
      </c>
      <c r="P41" s="55" t="n">
        <f aca="false">SUMIFS(데이터_품목별!$H$3:$H$2984,데이터_품목별!$E$3:$E$2984,"36",데이터_품목별!$A$3:$A$2984,"2025.02")</f>
        <v>1437</v>
      </c>
      <c r="Q41" s="55" t="n">
        <f aca="false">SUMIFS(데이터_품목별!$H$3:$H$2984,데이터_품목별!$E$3:$E$2984,"36",데이터_품목별!$A$3:$A$2984,"2025.03")</f>
        <v>8059</v>
      </c>
      <c r="R41" s="55" t="n">
        <f aca="false">SUMIFS(데이터_품목별!$H$3:$H$2984,데이터_품목별!$E$3:$E$2984,"36",데이터_품목별!$A$3:$A$2984,"2025.04")</f>
        <v>2317</v>
      </c>
      <c r="S41" s="55" t="n">
        <f aca="false">SUMIFS(데이터_품목별!$H$3:$H$2984,데이터_품목별!$E$3:$E$2984,"36",데이터_품목별!$A$3:$A$2984,"2025.05")</f>
        <v>2617</v>
      </c>
      <c r="T41" s="55" t="n">
        <f aca="false">SUMIFS(데이터_품목별!$H$3:$H$2984,데이터_품목별!$E$3:$E$2984,"36",데이터_품목별!$A$3:$A$2984,"2025.06")</f>
        <v>3992</v>
      </c>
      <c r="U41" s="55" t="n">
        <f aca="false">SUMIFS(데이터_품목별!$H$3:$H$2984,데이터_품목별!$E$3:$E$2984,"36",데이터_품목별!$A$3:$A$2984,"2025.07")</f>
        <v>4511</v>
      </c>
      <c r="V41" s="55" t="n">
        <f aca="false">SUMIFS(데이터_품목별!$H$3:$H$2984,데이터_품목별!$E$3:$E$2984,"36",데이터_품목별!$A$3:$A$2984,"2025.08")</f>
        <v>1323</v>
      </c>
      <c r="W41" s="55" t="n">
        <f aca="false">SUMIFS(데이터_품목별!$H$3:$H$2984,데이터_품목별!$E$3:$E$2984,"36",데이터_품목별!$A$3:$A$2984,"2025.09")</f>
        <v>5474</v>
      </c>
      <c r="X41" s="55" t="n">
        <f aca="false">SUMIFS(데이터_품목별!$H$3:$H$2984,데이터_품목별!$E$3:$E$2984,"36",데이터_품목별!$A$3:$A$2984,"2025.10")</f>
        <v>6801</v>
      </c>
      <c r="Y41" s="55" t="n">
        <f aca="false">SUMIFS(데이터_품목별!$H$3:$H$2984,데이터_품목별!$E$3:$E$2984,"36",데이터_품목별!$A$3:$A$2984,"2025.11")</f>
        <v>9284</v>
      </c>
      <c r="Z41" s="55" t="n">
        <f aca="false">SUMIFS(데이터_품목별!$H$3:$H$2984,데이터_품목별!$E$3:$E$2984,"36",데이터_품목별!$A$3:$A$2984,"2025.12")</f>
        <v>17296</v>
      </c>
      <c r="AA41" s="55" t="n">
        <f aca="false">SUMIFS(데이터_품목별!$H$3:$H$2984,데이터_품목별!$E$3:$E$2984,"36",데이터_품목별!$A$3:$A$2984,"2026.01")</f>
        <v>3948</v>
      </c>
      <c r="AB41" s="55" t="n">
        <f aca="false">SUMIFS(데이터_품목별!$H$3:$H$2984,데이터_품목별!$E$3:$E$2984,"36",데이터_품목별!$A$3:$A$2984,"2026.02")</f>
        <v>8750</v>
      </c>
      <c r="AC41" s="55" t="n">
        <f aca="false">SUMIFS(데이터_품목별!$H$3:$H$2984,데이터_품목별!$E$3:$E$2984,"36",데이터_품목별!$A$3:$A$2984,"2026.03")</f>
        <v>8349</v>
      </c>
      <c r="AD41" s="55" t="n">
        <f aca="false">SUMIFS(데이터_품목별!$H$3:$H$2984,데이터_품목별!$E$3:$E$2984,"36",데이터_품목별!$A$3:$A$2984,"2026.04")</f>
        <v>4281</v>
      </c>
      <c r="AE41" s="55" t="n">
        <f aca="false">SUMIFS(데이터_품목별!$H$3:$H$2984,데이터_품목별!$E$3:$E$2984,"36",데이터_품목별!$A$3:$A$2984,"2026.05")</f>
        <v>8797</v>
      </c>
      <c r="AF41" s="55" t="n">
        <f aca="false">SUMIFS(데이터_품목별!$H$3:$H$2984,데이터_품목별!$E$3:$E$2984,"36",데이터_품목별!$A$3:$A$2984,"2026.06")</f>
        <v>5545</v>
      </c>
      <c r="AG41" s="55" t="n">
        <f aca="false">SUMIFS(데이터_품목별!$H$3:$H$2984,데이터_품목별!$E$3:$E$2984,"36",데이터_품목별!$A$3:$A$2984,"2026.07")</f>
        <v>5921</v>
      </c>
    </row>
    <row r="42" customFormat="false" ht="15" hidden="false" customHeight="true" outlineLevel="0" collapsed="false">
      <c r="A42" s="53" t="s">
        <v>597</v>
      </c>
      <c r="B42" s="54" t="s">
        <v>598</v>
      </c>
      <c r="C42" s="55" t="n">
        <f aca="false">SUMIFS(데이터_품목별!$H$3:$H$2984,데이터_품목별!$E$3:$E$2984,"37",데이터_품목별!$A$3:$A$2984,"2024.01")</f>
        <v>100232</v>
      </c>
      <c r="D42" s="55" t="n">
        <f aca="false">SUMIFS(데이터_품목별!$H$3:$H$2984,데이터_품목별!$E$3:$E$2984,"37",데이터_품목별!$A$3:$A$2984,"2024.02")</f>
        <v>82155</v>
      </c>
      <c r="E42" s="55" t="n">
        <f aca="false">SUMIFS(데이터_품목별!$H$3:$H$2984,데이터_품목별!$E$3:$E$2984,"37",데이터_품목별!$A$3:$A$2984,"2024.03")</f>
        <v>98115</v>
      </c>
      <c r="F42" s="55" t="n">
        <f aca="false">SUMIFS(데이터_품목별!$H$3:$H$2984,데이터_품목별!$E$3:$E$2984,"37",데이터_품목별!$A$3:$A$2984,"2024.04")</f>
        <v>100970</v>
      </c>
      <c r="G42" s="55" t="n">
        <f aca="false">SUMIFS(데이터_품목별!$H$3:$H$2984,데이터_품목별!$E$3:$E$2984,"37",데이터_품목별!$A$3:$A$2984,"2024.05")</f>
        <v>91428</v>
      </c>
      <c r="H42" s="55" t="n">
        <f aca="false">SUMIFS(데이터_품목별!$H$3:$H$2984,데이터_품목별!$E$3:$E$2984,"37",데이터_품목별!$A$3:$A$2984,"2024.06")</f>
        <v>82845</v>
      </c>
      <c r="I42" s="55" t="n">
        <f aca="false">SUMIFS(데이터_품목별!$H$3:$H$2984,데이터_품목별!$E$3:$E$2984,"37",데이터_품목별!$A$3:$A$2984,"2024.07")</f>
        <v>94031</v>
      </c>
      <c r="J42" s="55" t="n">
        <f aca="false">SUMIFS(데이터_품목별!$H$3:$H$2984,데이터_품목별!$E$3:$E$2984,"37",데이터_품목별!$A$3:$A$2984,"2024.08")</f>
        <v>97672</v>
      </c>
      <c r="K42" s="55" t="n">
        <f aca="false">SUMIFS(데이터_품목별!$H$3:$H$2984,데이터_품목별!$E$3:$E$2984,"37",데이터_품목별!$A$3:$A$2984,"2024.09")</f>
        <v>92120</v>
      </c>
      <c r="L42" s="55" t="n">
        <f aca="false">SUMIFS(데이터_품목별!$H$3:$H$2984,데이터_품목별!$E$3:$E$2984,"37",데이터_품목별!$A$3:$A$2984,"2024.10")</f>
        <v>84820</v>
      </c>
      <c r="M42" s="55" t="n">
        <f aca="false">SUMIFS(데이터_품목별!$H$3:$H$2984,데이터_품목별!$E$3:$E$2984,"37",데이터_품목별!$A$3:$A$2984,"2024.11")</f>
        <v>90144</v>
      </c>
      <c r="N42" s="55" t="n">
        <f aca="false">SUMIFS(데이터_품목별!$H$3:$H$2984,데이터_품목별!$E$3:$E$2984,"37",데이터_품목별!$A$3:$A$2984,"2024.12")</f>
        <v>93107</v>
      </c>
      <c r="O42" s="55" t="n">
        <f aca="false">SUMIFS(데이터_품목별!$H$3:$H$2984,데이터_품목별!$E$3:$E$2984,"37",데이터_품목별!$A$3:$A$2984,"2025.01")</f>
        <v>92061</v>
      </c>
      <c r="P42" s="55" t="n">
        <f aca="false">SUMIFS(데이터_품목별!$H$3:$H$2984,데이터_품목별!$E$3:$E$2984,"37",데이터_품목별!$A$3:$A$2984,"2025.02")</f>
        <v>102808</v>
      </c>
      <c r="Q42" s="55" t="n">
        <f aca="false">SUMIFS(데이터_품목별!$H$3:$H$2984,데이터_품목별!$E$3:$E$2984,"37",데이터_품목별!$A$3:$A$2984,"2025.03")</f>
        <v>93809</v>
      </c>
      <c r="R42" s="55" t="n">
        <f aca="false">SUMIFS(데이터_품목별!$H$3:$H$2984,데이터_품목별!$E$3:$E$2984,"37",데이터_품목별!$A$3:$A$2984,"2025.04")</f>
        <v>97568</v>
      </c>
      <c r="S42" s="55" t="n">
        <f aca="false">SUMIFS(데이터_품목별!$H$3:$H$2984,데이터_품목별!$E$3:$E$2984,"37",데이터_품목별!$A$3:$A$2984,"2025.05")</f>
        <v>90100</v>
      </c>
      <c r="T42" s="55" t="n">
        <f aca="false">SUMIFS(데이터_품목별!$H$3:$H$2984,데이터_품목별!$E$3:$E$2984,"37",데이터_품목별!$A$3:$A$2984,"2025.06")</f>
        <v>89265</v>
      </c>
      <c r="U42" s="55" t="n">
        <f aca="false">SUMIFS(데이터_품목별!$H$3:$H$2984,데이터_품목별!$E$3:$E$2984,"37",데이터_품목별!$A$3:$A$2984,"2025.07")</f>
        <v>99456</v>
      </c>
      <c r="V42" s="55" t="n">
        <f aca="false">SUMIFS(데이터_품목별!$H$3:$H$2984,데이터_품목별!$E$3:$E$2984,"37",데이터_품목별!$A$3:$A$2984,"2025.08")</f>
        <v>94362</v>
      </c>
      <c r="W42" s="55" t="n">
        <f aca="false">SUMIFS(데이터_품목별!$H$3:$H$2984,데이터_품목별!$E$3:$E$2984,"37",데이터_품목별!$A$3:$A$2984,"2025.09")</f>
        <v>99169</v>
      </c>
      <c r="X42" s="55" t="n">
        <f aca="false">SUMIFS(데이터_품목별!$H$3:$H$2984,데이터_품목별!$E$3:$E$2984,"37",데이터_품목별!$A$3:$A$2984,"2025.10")</f>
        <v>91405</v>
      </c>
      <c r="Y42" s="55" t="n">
        <f aca="false">SUMIFS(데이터_품목별!$H$3:$H$2984,데이터_품목별!$E$3:$E$2984,"37",데이터_품목별!$A$3:$A$2984,"2025.11")</f>
        <v>87264</v>
      </c>
      <c r="Z42" s="55" t="n">
        <f aca="false">SUMIFS(데이터_품목별!$H$3:$H$2984,데이터_품목별!$E$3:$E$2984,"37",데이터_품목별!$A$3:$A$2984,"2025.12")</f>
        <v>95512</v>
      </c>
      <c r="AA42" s="55" t="n">
        <f aca="false">SUMIFS(데이터_품목별!$H$3:$H$2984,데이터_품목별!$E$3:$E$2984,"37",데이터_품목별!$A$3:$A$2984,"2026.01")</f>
        <v>98677</v>
      </c>
      <c r="AB42" s="55" t="n">
        <f aca="false">SUMIFS(데이터_품목별!$H$3:$H$2984,데이터_품목별!$E$3:$E$2984,"37",데이터_품목별!$A$3:$A$2984,"2026.02")</f>
        <v>85327</v>
      </c>
      <c r="AC42" s="55" t="n">
        <f aca="false">SUMIFS(데이터_품목별!$H$3:$H$2984,데이터_품목별!$E$3:$E$2984,"37",데이터_품목별!$A$3:$A$2984,"2026.03")</f>
        <v>93640</v>
      </c>
      <c r="AD42" s="55" t="n">
        <f aca="false">SUMIFS(데이터_품목별!$H$3:$H$2984,데이터_품목별!$E$3:$E$2984,"37",데이터_품목별!$A$3:$A$2984,"2026.04")</f>
        <v>93733</v>
      </c>
      <c r="AE42" s="55" t="n">
        <f aca="false">SUMIFS(데이터_품목별!$H$3:$H$2984,데이터_품목별!$E$3:$E$2984,"37",데이터_품목별!$A$3:$A$2984,"2026.05")</f>
        <v>87792</v>
      </c>
      <c r="AF42" s="55" t="n">
        <f aca="false">SUMIFS(데이터_품목별!$H$3:$H$2984,데이터_품목별!$E$3:$E$2984,"37",데이터_품목별!$A$3:$A$2984,"2026.06")</f>
        <v>90534</v>
      </c>
      <c r="AG42" s="55" t="n">
        <f aca="false">SUMIFS(데이터_품목별!$H$3:$H$2984,데이터_품목별!$E$3:$E$2984,"37",데이터_품목별!$A$3:$A$2984,"2026.07")</f>
        <v>108564</v>
      </c>
    </row>
    <row r="43" customFormat="false" ht="15" hidden="false" customHeight="true" outlineLevel="0" collapsed="false">
      <c r="A43" s="53" t="s">
        <v>604</v>
      </c>
      <c r="B43" s="54" t="s">
        <v>605</v>
      </c>
      <c r="C43" s="55" t="n">
        <f aca="false">SUMIFS(데이터_품목별!$H$3:$H$2984,데이터_품목별!$E$3:$E$2984,"38",데이터_품목별!$A$3:$A$2984,"2024.01")</f>
        <v>587080</v>
      </c>
      <c r="D43" s="55" t="n">
        <f aca="false">SUMIFS(데이터_품목별!$H$3:$H$2984,데이터_품목별!$E$3:$E$2984,"38",데이터_품목별!$A$3:$A$2984,"2024.02")</f>
        <v>533432</v>
      </c>
      <c r="E43" s="55" t="n">
        <f aca="false">SUMIFS(데이터_품목별!$H$3:$H$2984,데이터_품목별!$E$3:$E$2984,"38",데이터_품목별!$A$3:$A$2984,"2024.03")</f>
        <v>578130</v>
      </c>
      <c r="F43" s="55" t="n">
        <f aca="false">SUMIFS(데이터_품목별!$H$3:$H$2984,데이터_품목별!$E$3:$E$2984,"38",데이터_품목별!$A$3:$A$2984,"2024.04")</f>
        <v>603715</v>
      </c>
      <c r="G43" s="55" t="n">
        <f aca="false">SUMIFS(데이터_품목별!$H$3:$H$2984,데이터_품목별!$E$3:$E$2984,"38",데이터_품목별!$A$3:$A$2984,"2024.05")</f>
        <v>592052</v>
      </c>
      <c r="H43" s="55" t="n">
        <f aca="false">SUMIFS(데이터_품목별!$H$3:$H$2984,데이터_품목별!$E$3:$E$2984,"38",데이터_품목별!$A$3:$A$2984,"2024.06")</f>
        <v>560796</v>
      </c>
      <c r="I43" s="55" t="n">
        <f aca="false">SUMIFS(데이터_품목별!$H$3:$H$2984,데이터_품목별!$E$3:$E$2984,"38",데이터_품목별!$A$3:$A$2984,"2024.07")</f>
        <v>627355</v>
      </c>
      <c r="J43" s="55" t="n">
        <f aca="false">SUMIFS(데이터_품목별!$H$3:$H$2984,데이터_품목별!$E$3:$E$2984,"38",데이터_품목별!$A$3:$A$2984,"2024.08")</f>
        <v>615724</v>
      </c>
      <c r="K43" s="55" t="n">
        <f aca="false">SUMIFS(데이터_품목별!$H$3:$H$2984,데이터_품목별!$E$3:$E$2984,"38",데이터_품목별!$A$3:$A$2984,"2024.09")</f>
        <v>569802</v>
      </c>
      <c r="L43" s="55" t="n">
        <f aca="false">SUMIFS(데이터_품목별!$H$3:$H$2984,데이터_품목별!$E$3:$E$2984,"38",데이터_품목별!$A$3:$A$2984,"2024.10")</f>
        <v>582442</v>
      </c>
      <c r="M43" s="55" t="n">
        <f aca="false">SUMIFS(데이터_품목별!$H$3:$H$2984,데이터_품목별!$E$3:$E$2984,"38",데이터_품목별!$A$3:$A$2984,"2024.11")</f>
        <v>568551</v>
      </c>
      <c r="N43" s="55" t="n">
        <f aca="false">SUMIFS(데이터_품목별!$H$3:$H$2984,데이터_품목별!$E$3:$E$2984,"38",데이터_품목별!$A$3:$A$2984,"2024.12")</f>
        <v>589876</v>
      </c>
      <c r="O43" s="55" t="n">
        <f aca="false">SUMIFS(데이터_품목별!$H$3:$H$2984,데이터_품목별!$E$3:$E$2984,"38",데이터_품목별!$A$3:$A$2984,"2025.01")</f>
        <v>527030</v>
      </c>
      <c r="P43" s="55" t="n">
        <f aca="false">SUMIFS(데이터_품목별!$H$3:$H$2984,데이터_품목별!$E$3:$E$2984,"38",데이터_품목별!$A$3:$A$2984,"2025.02")</f>
        <v>578994</v>
      </c>
      <c r="Q43" s="55" t="n">
        <f aca="false">SUMIFS(데이터_품목별!$H$3:$H$2984,데이터_품목별!$E$3:$E$2984,"38",데이터_품목별!$A$3:$A$2984,"2025.03")</f>
        <v>670164</v>
      </c>
      <c r="R43" s="55" t="n">
        <f aca="false">SUMIFS(데이터_품목별!$H$3:$H$2984,데이터_품목별!$E$3:$E$2984,"38",데이터_품목별!$A$3:$A$2984,"2025.04")</f>
        <v>687376</v>
      </c>
      <c r="S43" s="55" t="n">
        <f aca="false">SUMIFS(데이터_품목별!$H$3:$H$2984,데이터_품목별!$E$3:$E$2984,"38",데이터_품목별!$A$3:$A$2984,"2025.05")</f>
        <v>569962</v>
      </c>
      <c r="T43" s="55" t="n">
        <f aca="false">SUMIFS(데이터_품목별!$H$3:$H$2984,데이터_품목별!$E$3:$E$2984,"38",데이터_품목별!$A$3:$A$2984,"2025.06")</f>
        <v>617744</v>
      </c>
      <c r="U43" s="55" t="n">
        <f aca="false">SUMIFS(데이터_품목별!$H$3:$H$2984,데이터_품목별!$E$3:$E$2984,"38",데이터_품목별!$A$3:$A$2984,"2025.07")</f>
        <v>651006</v>
      </c>
      <c r="V43" s="55" t="n">
        <f aca="false">SUMIFS(데이터_품목별!$H$3:$H$2984,데이터_품목별!$E$3:$E$2984,"38",데이터_품목별!$A$3:$A$2984,"2025.08")</f>
        <v>691406</v>
      </c>
      <c r="W43" s="55" t="n">
        <f aca="false">SUMIFS(데이터_품목별!$H$3:$H$2984,데이터_품목별!$E$3:$E$2984,"38",데이터_품목별!$A$3:$A$2984,"2025.09")</f>
        <v>717659</v>
      </c>
      <c r="X43" s="55" t="n">
        <f aca="false">SUMIFS(데이터_품목별!$H$3:$H$2984,데이터_품목별!$E$3:$E$2984,"38",데이터_품목별!$A$3:$A$2984,"2025.10")</f>
        <v>599068</v>
      </c>
      <c r="Y43" s="55" t="n">
        <f aca="false">SUMIFS(데이터_품목별!$H$3:$H$2984,데이터_품목별!$E$3:$E$2984,"38",데이터_품목별!$A$3:$A$2984,"2025.11")</f>
        <v>650620</v>
      </c>
      <c r="Z43" s="55" t="n">
        <f aca="false">SUMIFS(데이터_품목별!$H$3:$H$2984,데이터_품목별!$E$3:$E$2984,"38",데이터_품목별!$A$3:$A$2984,"2025.12")</f>
        <v>667452</v>
      </c>
      <c r="AA43" s="55" t="n">
        <f aca="false">SUMIFS(데이터_품목별!$H$3:$H$2984,데이터_품목별!$E$3:$E$2984,"38",데이터_품목별!$A$3:$A$2984,"2026.01")</f>
        <v>622606</v>
      </c>
      <c r="AB43" s="55" t="n">
        <f aca="false">SUMIFS(데이터_품목별!$H$3:$H$2984,데이터_품목별!$E$3:$E$2984,"38",데이터_품목별!$A$3:$A$2984,"2026.02")</f>
        <v>578368</v>
      </c>
      <c r="AC43" s="55" t="n">
        <f aca="false">SUMIFS(데이터_품목별!$H$3:$H$2984,데이터_품목별!$E$3:$E$2984,"38",데이터_품목별!$A$3:$A$2984,"2026.03")</f>
        <v>747205</v>
      </c>
      <c r="AD43" s="55" t="n">
        <f aca="false">SUMIFS(데이터_품목별!$H$3:$H$2984,데이터_품목별!$E$3:$E$2984,"38",데이터_품목별!$A$3:$A$2984,"2026.04")</f>
        <v>660634</v>
      </c>
      <c r="AE43" s="55" t="n">
        <f aca="false">SUMIFS(데이터_품목별!$H$3:$H$2984,데이터_품목별!$E$3:$E$2984,"38",데이터_품목별!$A$3:$A$2984,"2026.05")</f>
        <v>687709</v>
      </c>
      <c r="AF43" s="55" t="n">
        <f aca="false">SUMIFS(데이터_품목별!$H$3:$H$2984,데이터_품목별!$E$3:$E$2984,"38",데이터_품목별!$A$3:$A$2984,"2026.06")</f>
        <v>720738</v>
      </c>
      <c r="AG43" s="55" t="n">
        <f aca="false">SUMIFS(데이터_품목별!$H$3:$H$2984,데이터_품목별!$E$3:$E$2984,"38",데이터_품목별!$A$3:$A$2984,"2026.07")</f>
        <v>745094</v>
      </c>
    </row>
    <row r="44" customFormat="false" ht="15" hidden="false" customHeight="true" outlineLevel="0" collapsed="false">
      <c r="A44" s="53" t="s">
        <v>611</v>
      </c>
      <c r="B44" s="54" t="s">
        <v>612</v>
      </c>
      <c r="C44" s="55" t="n">
        <f aca="false">SUMIFS(데이터_품목별!$H$3:$H$2984,데이터_품목별!$E$3:$E$2984,"39",데이터_품목별!$A$3:$A$2984,"2024.01")</f>
        <v>3037165</v>
      </c>
      <c r="D44" s="55" t="n">
        <f aca="false">SUMIFS(데이터_품목별!$H$3:$H$2984,데이터_품목별!$E$3:$E$2984,"39",데이터_품목별!$A$3:$A$2984,"2024.02")</f>
        <v>2946760</v>
      </c>
      <c r="E44" s="55" t="n">
        <f aca="false">SUMIFS(데이터_품목별!$H$3:$H$2984,데이터_품목별!$E$3:$E$2984,"39",데이터_품목별!$A$3:$A$2984,"2024.03")</f>
        <v>3023845</v>
      </c>
      <c r="F44" s="55" t="n">
        <f aca="false">SUMIFS(데이터_품목별!$H$3:$H$2984,데이터_품목별!$E$3:$E$2984,"39",데이터_품목별!$A$3:$A$2984,"2024.04")</f>
        <v>3217969</v>
      </c>
      <c r="G44" s="55" t="n">
        <f aca="false">SUMIFS(데이터_품목별!$H$3:$H$2984,데이터_품목별!$E$3:$E$2984,"39",데이터_품목별!$A$3:$A$2984,"2024.05")</f>
        <v>3178756</v>
      </c>
      <c r="H44" s="55" t="n">
        <f aca="false">SUMIFS(데이터_품목별!$H$3:$H$2984,데이터_품목별!$E$3:$E$2984,"39",데이터_품목별!$A$3:$A$2984,"2024.06")</f>
        <v>3151097</v>
      </c>
      <c r="I44" s="55" t="n">
        <f aca="false">SUMIFS(데이터_품목별!$H$3:$H$2984,데이터_품목별!$E$3:$E$2984,"39",데이터_품목별!$A$3:$A$2984,"2024.07")</f>
        <v>3174667</v>
      </c>
      <c r="J44" s="55" t="n">
        <f aca="false">SUMIFS(데이터_품목별!$H$3:$H$2984,데이터_품목별!$E$3:$E$2984,"39",데이터_품목별!$A$3:$A$2984,"2024.08")</f>
        <v>2947210</v>
      </c>
      <c r="K44" s="55" t="n">
        <f aca="false">SUMIFS(데이터_품목별!$H$3:$H$2984,데이터_품목별!$E$3:$E$2984,"39",데이터_품목별!$A$3:$A$2984,"2024.09")</f>
        <v>2847294</v>
      </c>
      <c r="L44" s="55" t="n">
        <f aca="false">SUMIFS(데이터_품목별!$H$3:$H$2984,데이터_품목별!$E$3:$E$2984,"39",데이터_품목별!$A$3:$A$2984,"2024.10")</f>
        <v>2974791</v>
      </c>
      <c r="M44" s="55" t="n">
        <f aca="false">SUMIFS(데이터_품목별!$H$3:$H$2984,데이터_품목별!$E$3:$E$2984,"39",데이터_품목별!$A$3:$A$2984,"2024.11")</f>
        <v>2845165</v>
      </c>
      <c r="N44" s="55" t="n">
        <f aca="false">SUMIFS(데이터_품목별!$H$3:$H$2984,데이터_품목별!$E$3:$E$2984,"39",데이터_품목별!$A$3:$A$2984,"2024.12")</f>
        <v>2887852</v>
      </c>
      <c r="O44" s="55" t="n">
        <f aca="false">SUMIFS(데이터_품목별!$H$3:$H$2984,데이터_품목별!$E$3:$E$2984,"39",데이터_품목별!$A$3:$A$2984,"2025.01")</f>
        <v>2634109</v>
      </c>
      <c r="P44" s="55" t="n">
        <f aca="false">SUMIFS(데이터_품목별!$H$3:$H$2984,데이터_품목별!$E$3:$E$2984,"39",데이터_품목별!$A$3:$A$2984,"2025.02")</f>
        <v>2993339</v>
      </c>
      <c r="Q44" s="55" t="n">
        <f aca="false">SUMIFS(데이터_품목별!$H$3:$H$2984,데이터_품목별!$E$3:$E$2984,"39",데이터_품목별!$A$3:$A$2984,"2025.03")</f>
        <v>2864112</v>
      </c>
      <c r="R44" s="55" t="n">
        <f aca="false">SUMIFS(데이터_품목별!$H$3:$H$2984,데이터_품목별!$E$3:$E$2984,"39",데이터_품목별!$A$3:$A$2984,"2025.04")</f>
        <v>3164916</v>
      </c>
      <c r="S44" s="55" t="n">
        <f aca="false">SUMIFS(데이터_품목별!$H$3:$H$2984,데이터_품목별!$E$3:$E$2984,"39",데이터_품목별!$A$3:$A$2984,"2025.05")</f>
        <v>2749744</v>
      </c>
      <c r="T44" s="55" t="n">
        <f aca="false">SUMIFS(데이터_품목별!$H$3:$H$2984,데이터_품목별!$E$3:$E$2984,"39",데이터_품목별!$A$3:$A$2984,"2025.06")</f>
        <v>2722389</v>
      </c>
      <c r="U44" s="55" t="n">
        <f aca="false">SUMIFS(데이터_품목별!$H$3:$H$2984,데이터_품목별!$E$3:$E$2984,"39",데이터_품목별!$A$3:$A$2984,"2025.07")</f>
        <v>3063537</v>
      </c>
      <c r="V44" s="55" t="n">
        <f aca="false">SUMIFS(데이터_품목별!$H$3:$H$2984,데이터_품목별!$E$3:$E$2984,"39",데이터_품목별!$A$3:$A$2984,"2025.08")</f>
        <v>2708020</v>
      </c>
      <c r="W44" s="55" t="n">
        <f aca="false">SUMIFS(데이터_품목별!$H$3:$H$2984,데이터_품목별!$E$3:$E$2984,"39",데이터_품목별!$A$3:$A$2984,"2025.09")</f>
        <v>3099678</v>
      </c>
      <c r="X44" s="55" t="n">
        <f aca="false">SUMIFS(데이터_품목별!$H$3:$H$2984,데이터_품목별!$E$3:$E$2984,"39",데이터_품목별!$A$3:$A$2984,"2025.10")</f>
        <v>2501159</v>
      </c>
      <c r="Y44" s="55" t="n">
        <f aca="false">SUMIFS(데이터_품목별!$H$3:$H$2984,데이터_품목별!$E$3:$E$2984,"39",데이터_품목별!$A$3:$A$2984,"2025.11")</f>
        <v>2489906</v>
      </c>
      <c r="Z44" s="55" t="n">
        <f aca="false">SUMIFS(데이터_품목별!$H$3:$H$2984,데이터_품목별!$E$3:$E$2984,"39",데이터_품목별!$A$3:$A$2984,"2025.12")</f>
        <v>2849819</v>
      </c>
      <c r="AA44" s="55" t="n">
        <f aca="false">SUMIFS(데이터_품목별!$H$3:$H$2984,데이터_품목별!$E$3:$E$2984,"39",데이터_품목별!$A$3:$A$2984,"2026.01")</f>
        <v>2786655</v>
      </c>
      <c r="AB44" s="55" t="n">
        <f aca="false">SUMIFS(데이터_품목별!$H$3:$H$2984,데이터_품목별!$E$3:$E$2984,"39",데이터_품목별!$A$3:$A$2984,"2026.02")</f>
        <v>2600571</v>
      </c>
      <c r="AC44" s="55" t="n">
        <f aca="false">SUMIFS(데이터_품목별!$H$3:$H$2984,데이터_품목별!$E$3:$E$2984,"39",데이터_품목별!$A$3:$A$2984,"2026.03")</f>
        <v>2896890</v>
      </c>
      <c r="AD44" s="55" t="n">
        <f aca="false">SUMIFS(데이터_품목별!$H$3:$H$2984,데이터_품목별!$E$3:$E$2984,"39",데이터_품목별!$A$3:$A$2984,"2026.04")</f>
        <v>3340102</v>
      </c>
      <c r="AE44" s="55" t="n">
        <f aca="false">SUMIFS(데이터_품목별!$H$3:$H$2984,데이터_품목별!$E$3:$E$2984,"39",데이터_품목별!$A$3:$A$2984,"2026.05")</f>
        <v>2958951</v>
      </c>
      <c r="AF44" s="55" t="n">
        <f aca="false">SUMIFS(데이터_품목별!$H$3:$H$2984,데이터_품목별!$E$3:$E$2984,"39",데이터_품목별!$A$3:$A$2984,"2026.06")</f>
        <v>3292799</v>
      </c>
      <c r="AG44" s="55" t="n">
        <f aca="false">SUMIFS(데이터_품목별!$H$3:$H$2984,데이터_품목별!$E$3:$E$2984,"39",데이터_품목별!$A$3:$A$2984,"2026.07")</f>
        <v>3405002</v>
      </c>
    </row>
    <row r="45" customFormat="false" ht="15" hidden="false" customHeight="true" outlineLevel="0" collapsed="false">
      <c r="A45" s="53" t="s">
        <v>618</v>
      </c>
      <c r="B45" s="54" t="s">
        <v>619</v>
      </c>
      <c r="C45" s="55" t="n">
        <f aca="false">SUMIFS(데이터_품목별!$H$3:$H$2984,데이터_품목별!$E$3:$E$2984,"40",데이터_품목별!$A$3:$A$2984,"2024.01")</f>
        <v>643545</v>
      </c>
      <c r="D45" s="55" t="n">
        <f aca="false">SUMIFS(데이터_품목별!$H$3:$H$2984,데이터_품목별!$E$3:$E$2984,"40",데이터_품목별!$A$3:$A$2984,"2024.02")</f>
        <v>601129</v>
      </c>
      <c r="E45" s="55" t="n">
        <f aca="false">SUMIFS(데이터_품목별!$H$3:$H$2984,데이터_품목별!$E$3:$E$2984,"40",데이터_품목별!$A$3:$A$2984,"2024.03")</f>
        <v>630862</v>
      </c>
      <c r="F45" s="55" t="n">
        <f aca="false">SUMIFS(데이터_품목별!$H$3:$H$2984,데이터_품목별!$E$3:$E$2984,"40",데이터_품목별!$A$3:$A$2984,"2024.04")</f>
        <v>695054</v>
      </c>
      <c r="G45" s="55" t="n">
        <f aca="false">SUMIFS(데이터_품목별!$H$3:$H$2984,데이터_품목별!$E$3:$E$2984,"40",데이터_품목별!$A$3:$A$2984,"2024.05")</f>
        <v>698143</v>
      </c>
      <c r="H45" s="55" t="n">
        <f aca="false">SUMIFS(데이터_품목별!$H$3:$H$2984,데이터_품목별!$E$3:$E$2984,"40",데이터_품목별!$A$3:$A$2984,"2024.06")</f>
        <v>669250</v>
      </c>
      <c r="I45" s="55" t="n">
        <f aca="false">SUMIFS(데이터_품목별!$H$3:$H$2984,데이터_품목별!$E$3:$E$2984,"40",데이터_품목별!$A$3:$A$2984,"2024.07")</f>
        <v>746841</v>
      </c>
      <c r="J45" s="55" t="n">
        <f aca="false">SUMIFS(데이터_품목별!$H$3:$H$2984,데이터_품목별!$E$3:$E$2984,"40",데이터_품목별!$A$3:$A$2984,"2024.08")</f>
        <v>637916</v>
      </c>
      <c r="K45" s="55" t="n">
        <f aca="false">SUMIFS(데이터_품목별!$H$3:$H$2984,데이터_품목별!$E$3:$E$2984,"40",데이터_품목별!$A$3:$A$2984,"2024.09")</f>
        <v>593653</v>
      </c>
      <c r="L45" s="55" t="n">
        <f aca="false">SUMIFS(데이터_품목별!$H$3:$H$2984,데이터_품목별!$E$3:$E$2984,"40",데이터_품목별!$A$3:$A$2984,"2024.10")</f>
        <v>629518</v>
      </c>
      <c r="M45" s="55" t="n">
        <f aca="false">SUMIFS(데이터_품목별!$H$3:$H$2984,데이터_품목별!$E$3:$E$2984,"40",데이터_품목별!$A$3:$A$2984,"2024.11")</f>
        <v>619527</v>
      </c>
      <c r="N45" s="55" t="n">
        <f aca="false">SUMIFS(데이터_품목별!$H$3:$H$2984,데이터_품목별!$E$3:$E$2984,"40",데이터_품목별!$A$3:$A$2984,"2024.12")</f>
        <v>637026</v>
      </c>
      <c r="O45" s="55" t="n">
        <f aca="false">SUMIFS(데이터_품목별!$H$3:$H$2984,데이터_품목별!$E$3:$E$2984,"40",데이터_품목별!$A$3:$A$2984,"2025.01")</f>
        <v>628364</v>
      </c>
      <c r="P45" s="55" t="n">
        <f aca="false">SUMIFS(데이터_품목별!$H$3:$H$2984,데이터_품목별!$E$3:$E$2984,"40",데이터_품목별!$A$3:$A$2984,"2025.02")</f>
        <v>664391</v>
      </c>
      <c r="Q45" s="55" t="n">
        <f aca="false">SUMIFS(데이터_품목별!$H$3:$H$2984,데이터_품목별!$E$3:$E$2984,"40",데이터_품목별!$A$3:$A$2984,"2025.03")</f>
        <v>662560</v>
      </c>
      <c r="R45" s="55" t="n">
        <f aca="false">SUMIFS(데이터_품목별!$H$3:$H$2984,데이터_품목별!$E$3:$E$2984,"40",데이터_품목별!$A$3:$A$2984,"2025.04")</f>
        <v>710640</v>
      </c>
      <c r="S45" s="55" t="n">
        <f aca="false">SUMIFS(데이터_품목별!$H$3:$H$2984,데이터_품목별!$E$3:$E$2984,"40",데이터_품목별!$A$3:$A$2984,"2025.05")</f>
        <v>675860</v>
      </c>
      <c r="T45" s="55" t="n">
        <f aca="false">SUMIFS(데이터_품목별!$H$3:$H$2984,데이터_품목별!$E$3:$E$2984,"40",데이터_품목별!$A$3:$A$2984,"2025.06")</f>
        <v>628525</v>
      </c>
      <c r="U45" s="55" t="n">
        <f aca="false">SUMIFS(데이터_품목별!$H$3:$H$2984,데이터_품목별!$E$3:$E$2984,"40",데이터_품목별!$A$3:$A$2984,"2025.07")</f>
        <v>667898</v>
      </c>
      <c r="V45" s="55" t="n">
        <f aca="false">SUMIFS(데이터_품목별!$H$3:$H$2984,데이터_품목별!$E$3:$E$2984,"40",데이터_품목별!$A$3:$A$2984,"2025.08")</f>
        <v>546986</v>
      </c>
      <c r="W45" s="55" t="n">
        <f aca="false">SUMIFS(데이터_품목별!$H$3:$H$2984,데이터_품목별!$E$3:$E$2984,"40",데이터_품목별!$A$3:$A$2984,"2025.09")</f>
        <v>597747</v>
      </c>
      <c r="X45" s="55" t="n">
        <f aca="false">SUMIFS(데이터_품목별!$H$3:$H$2984,데이터_품목별!$E$3:$E$2984,"40",데이터_품목별!$A$3:$A$2984,"2025.10")</f>
        <v>514798</v>
      </c>
      <c r="Y45" s="55" t="n">
        <f aca="false">SUMIFS(데이터_품목별!$H$3:$H$2984,데이터_품목별!$E$3:$E$2984,"40",데이터_품목별!$A$3:$A$2984,"2025.11")</f>
        <v>534993</v>
      </c>
      <c r="Z45" s="55" t="n">
        <f aca="false">SUMIFS(데이터_품목별!$H$3:$H$2984,데이터_품목별!$E$3:$E$2984,"40",데이터_품목별!$A$3:$A$2984,"2025.12")</f>
        <v>620681</v>
      </c>
      <c r="AA45" s="55" t="n">
        <f aca="false">SUMIFS(데이터_품목별!$H$3:$H$2984,데이터_품목별!$E$3:$E$2984,"40",데이터_품목별!$A$3:$A$2984,"2026.01")</f>
        <v>621189</v>
      </c>
      <c r="AB45" s="55" t="n">
        <f aca="false">SUMIFS(데이터_품목별!$H$3:$H$2984,데이터_품목별!$E$3:$E$2984,"40",데이터_품목별!$A$3:$A$2984,"2026.02")</f>
        <v>564932</v>
      </c>
      <c r="AC45" s="55" t="n">
        <f aca="false">SUMIFS(데이터_품목별!$H$3:$H$2984,데이터_품목별!$E$3:$E$2984,"40",데이터_품목별!$A$3:$A$2984,"2026.03")</f>
        <v>652373</v>
      </c>
      <c r="AD45" s="55" t="n">
        <f aca="false">SUMIFS(데이터_품목별!$H$3:$H$2984,데이터_품목별!$E$3:$E$2984,"40",데이터_품목별!$A$3:$A$2984,"2026.04")</f>
        <v>749190</v>
      </c>
      <c r="AE45" s="55" t="n">
        <f aca="false">SUMIFS(데이터_품목별!$H$3:$H$2984,데이터_품목별!$E$3:$E$2984,"40",데이터_품목별!$A$3:$A$2984,"2026.05")</f>
        <v>730580</v>
      </c>
      <c r="AF45" s="55" t="n">
        <f aca="false">SUMIFS(데이터_품목별!$H$3:$H$2984,데이터_품목별!$E$3:$E$2984,"40",데이터_품목별!$A$3:$A$2984,"2026.06")</f>
        <v>747510</v>
      </c>
      <c r="AG45" s="55" t="n">
        <f aca="false">SUMIFS(데이터_품목별!$H$3:$H$2984,데이터_품목별!$E$3:$E$2984,"40",데이터_품목별!$A$3:$A$2984,"2026.07")</f>
        <v>753662</v>
      </c>
    </row>
    <row r="46" customFormat="false" ht="15" hidden="false" customHeight="true" outlineLevel="0" collapsed="false">
      <c r="A46" s="53" t="s">
        <v>625</v>
      </c>
      <c r="B46" s="54" t="s">
        <v>626</v>
      </c>
      <c r="C46" s="55" t="n">
        <f aca="false">SUMIFS(데이터_품목별!$H$3:$H$2984,데이터_품목별!$E$3:$E$2984,"41",데이터_품목별!$A$3:$A$2984,"2024.01")</f>
        <v>24757</v>
      </c>
      <c r="D46" s="55" t="n">
        <f aca="false">SUMIFS(데이터_품목별!$H$3:$H$2984,데이터_품목별!$E$3:$E$2984,"41",데이터_품목별!$A$3:$A$2984,"2024.02")</f>
        <v>23663</v>
      </c>
      <c r="E46" s="55" t="n">
        <f aca="false">SUMIFS(데이터_품목별!$H$3:$H$2984,데이터_품목별!$E$3:$E$2984,"41",데이터_품목별!$A$3:$A$2984,"2024.03")</f>
        <v>24358</v>
      </c>
      <c r="F46" s="55" t="n">
        <f aca="false">SUMIFS(데이터_품목별!$H$3:$H$2984,데이터_품목별!$E$3:$E$2984,"41",데이터_품목별!$A$3:$A$2984,"2024.04")</f>
        <v>31407</v>
      </c>
      <c r="G46" s="55" t="n">
        <f aca="false">SUMIFS(데이터_품목별!$H$3:$H$2984,데이터_품목별!$E$3:$E$2984,"41",데이터_품목별!$A$3:$A$2984,"2024.05")</f>
        <v>26933</v>
      </c>
      <c r="H46" s="55" t="n">
        <f aca="false">SUMIFS(데이터_품목별!$H$3:$H$2984,데이터_품목별!$E$3:$E$2984,"41",데이터_품목별!$A$3:$A$2984,"2024.06")</f>
        <v>26209</v>
      </c>
      <c r="I46" s="55" t="n">
        <f aca="false">SUMIFS(데이터_품목별!$H$3:$H$2984,데이터_품목별!$E$3:$E$2984,"41",데이터_품목별!$A$3:$A$2984,"2024.07")</f>
        <v>28039</v>
      </c>
      <c r="J46" s="55" t="n">
        <f aca="false">SUMIFS(데이터_품목별!$H$3:$H$2984,데이터_품목별!$E$3:$E$2984,"41",데이터_품목별!$A$3:$A$2984,"2024.08")</f>
        <v>23413</v>
      </c>
      <c r="K46" s="55" t="n">
        <f aca="false">SUMIFS(데이터_품목별!$H$3:$H$2984,데이터_품목별!$E$3:$E$2984,"41",데이터_품목별!$A$3:$A$2984,"2024.09")</f>
        <v>23225</v>
      </c>
      <c r="L46" s="55" t="n">
        <f aca="false">SUMIFS(데이터_품목별!$H$3:$H$2984,데이터_품목별!$E$3:$E$2984,"41",데이터_품목별!$A$3:$A$2984,"2024.10")</f>
        <v>25551</v>
      </c>
      <c r="M46" s="55" t="n">
        <f aca="false">SUMIFS(데이터_품목별!$H$3:$H$2984,데이터_품목별!$E$3:$E$2984,"41",데이터_품목별!$A$3:$A$2984,"2024.11")</f>
        <v>24179</v>
      </c>
      <c r="N46" s="55" t="n">
        <f aca="false">SUMIFS(데이터_품목별!$H$3:$H$2984,데이터_품목별!$E$3:$E$2984,"41",데이터_품목별!$A$3:$A$2984,"2024.12")</f>
        <v>24663</v>
      </c>
      <c r="O46" s="55" t="n">
        <f aca="false">SUMIFS(데이터_품목별!$H$3:$H$2984,데이터_품목별!$E$3:$E$2984,"41",데이터_품목별!$A$3:$A$2984,"2025.01")</f>
        <v>24264</v>
      </c>
      <c r="P46" s="55" t="n">
        <f aca="false">SUMIFS(데이터_품목별!$H$3:$H$2984,데이터_품목별!$E$3:$E$2984,"41",데이터_품목별!$A$3:$A$2984,"2025.02")</f>
        <v>18247</v>
      </c>
      <c r="Q46" s="55" t="n">
        <f aca="false">SUMIFS(데이터_품목별!$H$3:$H$2984,데이터_품목별!$E$3:$E$2984,"41",데이터_품목별!$A$3:$A$2984,"2025.03")</f>
        <v>28697</v>
      </c>
      <c r="R46" s="55" t="n">
        <f aca="false">SUMIFS(데이터_품목별!$H$3:$H$2984,데이터_품목별!$E$3:$E$2984,"41",데이터_품목별!$A$3:$A$2984,"2025.04")</f>
        <v>28039</v>
      </c>
      <c r="S46" s="55" t="n">
        <f aca="false">SUMIFS(데이터_품목별!$H$3:$H$2984,데이터_품목별!$E$3:$E$2984,"41",데이터_품목별!$A$3:$A$2984,"2025.05")</f>
        <v>19718</v>
      </c>
      <c r="T46" s="55" t="n">
        <f aca="false">SUMIFS(데이터_품목별!$H$3:$H$2984,데이터_품목별!$E$3:$E$2984,"41",데이터_품목별!$A$3:$A$2984,"2025.06")</f>
        <v>24065</v>
      </c>
      <c r="U46" s="55" t="n">
        <f aca="false">SUMIFS(데이터_품목별!$H$3:$H$2984,데이터_품목별!$E$3:$E$2984,"41",데이터_품목별!$A$3:$A$2984,"2025.07")</f>
        <v>21345</v>
      </c>
      <c r="V46" s="55" t="n">
        <f aca="false">SUMIFS(데이터_품목별!$H$3:$H$2984,데이터_품목별!$E$3:$E$2984,"41",데이터_품목별!$A$3:$A$2984,"2025.08")</f>
        <v>17443</v>
      </c>
      <c r="W46" s="55" t="n">
        <f aca="false">SUMIFS(데이터_품목별!$H$3:$H$2984,데이터_품목별!$E$3:$E$2984,"41",데이터_품목별!$A$3:$A$2984,"2025.09")</f>
        <v>25116</v>
      </c>
      <c r="X46" s="55" t="n">
        <f aca="false">SUMIFS(데이터_품목별!$H$3:$H$2984,데이터_품목별!$E$3:$E$2984,"41",데이터_품목별!$A$3:$A$2984,"2025.10")</f>
        <v>20272</v>
      </c>
      <c r="Y46" s="55" t="n">
        <f aca="false">SUMIFS(데이터_품목별!$H$3:$H$2984,데이터_품목별!$E$3:$E$2984,"41",데이터_품목별!$A$3:$A$2984,"2025.11")</f>
        <v>20174</v>
      </c>
      <c r="Z46" s="55" t="n">
        <f aca="false">SUMIFS(데이터_품목별!$H$3:$H$2984,데이터_품목별!$E$3:$E$2984,"41",데이터_품목별!$A$3:$A$2984,"2025.12")</f>
        <v>21524</v>
      </c>
      <c r="AA46" s="55" t="n">
        <f aca="false">SUMIFS(데이터_품목별!$H$3:$H$2984,데이터_품목별!$E$3:$E$2984,"41",데이터_품목별!$A$3:$A$2984,"2026.01")</f>
        <v>21554</v>
      </c>
      <c r="AB46" s="55" t="n">
        <f aca="false">SUMIFS(데이터_품목별!$H$3:$H$2984,데이터_품목별!$E$3:$E$2984,"41",데이터_품목별!$A$3:$A$2984,"2026.02")</f>
        <v>18117</v>
      </c>
      <c r="AC46" s="55" t="n">
        <f aca="false">SUMIFS(데이터_품목별!$H$3:$H$2984,데이터_품목별!$E$3:$E$2984,"41",데이터_품목별!$A$3:$A$2984,"2026.03")</f>
        <v>25840</v>
      </c>
      <c r="AD46" s="55" t="n">
        <f aca="false">SUMIFS(데이터_품목별!$H$3:$H$2984,데이터_품목별!$E$3:$E$2984,"41",데이터_품목별!$A$3:$A$2984,"2026.04")</f>
        <v>27214</v>
      </c>
      <c r="AE46" s="55" t="n">
        <f aca="false">SUMIFS(데이터_품목별!$H$3:$H$2984,데이터_품목별!$E$3:$E$2984,"41",데이터_품목별!$A$3:$A$2984,"2026.05")</f>
        <v>19952</v>
      </c>
      <c r="AF46" s="55" t="n">
        <f aca="false">SUMIFS(데이터_품목별!$H$3:$H$2984,데이터_품목별!$E$3:$E$2984,"41",데이터_품목별!$A$3:$A$2984,"2026.06")</f>
        <v>21790</v>
      </c>
      <c r="AG46" s="55" t="n">
        <f aca="false">SUMIFS(데이터_품목별!$H$3:$H$2984,데이터_품목별!$E$3:$E$2984,"41",데이터_품목별!$A$3:$A$2984,"2026.07")</f>
        <v>24275</v>
      </c>
    </row>
    <row r="47" customFormat="false" ht="15" hidden="false" customHeight="true" outlineLevel="0" collapsed="false">
      <c r="A47" s="53" t="s">
        <v>632</v>
      </c>
      <c r="B47" s="54" t="s">
        <v>633</v>
      </c>
      <c r="C47" s="55" t="n">
        <f aca="false">SUMIFS(데이터_품목별!$H$3:$H$2984,데이터_품목별!$E$3:$E$2984,"42",데이터_품목별!$A$3:$A$2984,"2024.01")</f>
        <v>31796</v>
      </c>
      <c r="D47" s="55" t="n">
        <f aca="false">SUMIFS(데이터_품목별!$H$3:$H$2984,데이터_품목별!$E$3:$E$2984,"42",데이터_품목별!$A$3:$A$2984,"2024.02")</f>
        <v>24685</v>
      </c>
      <c r="E47" s="55" t="n">
        <f aca="false">SUMIFS(데이터_품목별!$H$3:$H$2984,데이터_품목별!$E$3:$E$2984,"42",데이터_품목별!$A$3:$A$2984,"2024.03")</f>
        <v>29172</v>
      </c>
      <c r="F47" s="55" t="n">
        <f aca="false">SUMIFS(데이터_품목별!$H$3:$H$2984,데이터_품목별!$E$3:$E$2984,"42",데이터_품목별!$A$3:$A$2984,"2024.04")</f>
        <v>30676</v>
      </c>
      <c r="G47" s="55" t="n">
        <f aca="false">SUMIFS(데이터_품목별!$H$3:$H$2984,데이터_품목별!$E$3:$E$2984,"42",데이터_품목별!$A$3:$A$2984,"2024.05")</f>
        <v>36424</v>
      </c>
      <c r="H47" s="55" t="n">
        <f aca="false">SUMIFS(데이터_품목별!$H$3:$H$2984,데이터_품목별!$E$3:$E$2984,"42",데이터_품목별!$A$3:$A$2984,"2024.06")</f>
        <v>33019</v>
      </c>
      <c r="I47" s="55" t="n">
        <f aca="false">SUMIFS(데이터_품목별!$H$3:$H$2984,데이터_품목별!$E$3:$E$2984,"42",데이터_품목별!$A$3:$A$2984,"2024.07")</f>
        <v>33219</v>
      </c>
      <c r="J47" s="55" t="n">
        <f aca="false">SUMIFS(데이터_품목별!$H$3:$H$2984,데이터_품목별!$E$3:$E$2984,"42",데이터_품목별!$A$3:$A$2984,"2024.08")</f>
        <v>33848</v>
      </c>
      <c r="K47" s="55" t="n">
        <f aca="false">SUMIFS(데이터_품목별!$H$3:$H$2984,데이터_품목별!$E$3:$E$2984,"42",데이터_품목별!$A$3:$A$2984,"2024.09")</f>
        <v>33086</v>
      </c>
      <c r="L47" s="55" t="n">
        <f aca="false">SUMIFS(데이터_품목별!$H$3:$H$2984,데이터_품목별!$E$3:$E$2984,"42",데이터_품목별!$A$3:$A$2984,"2024.10")</f>
        <v>36496</v>
      </c>
      <c r="M47" s="55" t="n">
        <f aca="false">SUMIFS(데이터_품목별!$H$3:$H$2984,데이터_품목별!$E$3:$E$2984,"42",데이터_품목별!$A$3:$A$2984,"2024.11")</f>
        <v>36618</v>
      </c>
      <c r="N47" s="55" t="n">
        <f aca="false">SUMIFS(데이터_품목별!$H$3:$H$2984,데이터_품목별!$E$3:$E$2984,"42",데이터_품목별!$A$3:$A$2984,"2024.12")</f>
        <v>36781</v>
      </c>
      <c r="O47" s="55" t="n">
        <f aca="false">SUMIFS(데이터_품목별!$H$3:$H$2984,데이터_품목별!$E$3:$E$2984,"42",데이터_품목별!$A$3:$A$2984,"2025.01")</f>
        <v>32138</v>
      </c>
      <c r="P47" s="55" t="n">
        <f aca="false">SUMIFS(데이터_품목별!$H$3:$H$2984,데이터_품목별!$E$3:$E$2984,"42",데이터_품목별!$A$3:$A$2984,"2025.02")</f>
        <v>35429</v>
      </c>
      <c r="Q47" s="55" t="n">
        <f aca="false">SUMIFS(데이터_품목별!$H$3:$H$2984,데이터_품목별!$E$3:$E$2984,"42",데이터_품목별!$A$3:$A$2984,"2025.03")</f>
        <v>38578</v>
      </c>
      <c r="R47" s="55" t="n">
        <f aca="false">SUMIFS(데이터_품목별!$H$3:$H$2984,데이터_품목별!$E$3:$E$2984,"42",데이터_품목별!$A$3:$A$2984,"2025.04")</f>
        <v>41742</v>
      </c>
      <c r="S47" s="55" t="n">
        <f aca="false">SUMIFS(데이터_품목별!$H$3:$H$2984,데이터_품목별!$E$3:$E$2984,"42",데이터_품목별!$A$3:$A$2984,"2025.05")</f>
        <v>38063</v>
      </c>
      <c r="T47" s="55" t="n">
        <f aca="false">SUMIFS(데이터_품목별!$H$3:$H$2984,데이터_품목별!$E$3:$E$2984,"42",데이터_품목별!$A$3:$A$2984,"2025.06")</f>
        <v>49177</v>
      </c>
      <c r="U47" s="55" t="n">
        <f aca="false">SUMIFS(데이터_품목별!$H$3:$H$2984,데이터_품목별!$E$3:$E$2984,"42",데이터_품목별!$A$3:$A$2984,"2025.07")</f>
        <v>43808</v>
      </c>
      <c r="V47" s="55" t="n">
        <f aca="false">SUMIFS(데이터_품목별!$H$3:$H$2984,데이터_품목별!$E$3:$E$2984,"42",데이터_품목별!$A$3:$A$2984,"2025.08")</f>
        <v>39428</v>
      </c>
      <c r="W47" s="55" t="n">
        <f aca="false">SUMIFS(데이터_품목별!$H$3:$H$2984,데이터_품목별!$E$3:$E$2984,"42",데이터_품목별!$A$3:$A$2984,"2025.09")</f>
        <v>44333</v>
      </c>
      <c r="X47" s="55" t="n">
        <f aca="false">SUMIFS(데이터_품목별!$H$3:$H$2984,데이터_품목별!$E$3:$E$2984,"42",데이터_품목별!$A$3:$A$2984,"2025.10")</f>
        <v>35168</v>
      </c>
      <c r="Y47" s="55" t="n">
        <f aca="false">SUMIFS(데이터_품목별!$H$3:$H$2984,데이터_품목별!$E$3:$E$2984,"42",데이터_품목별!$A$3:$A$2984,"2025.11")</f>
        <v>54618</v>
      </c>
      <c r="Z47" s="55" t="n">
        <f aca="false">SUMIFS(데이터_품목별!$H$3:$H$2984,데이터_품목별!$E$3:$E$2984,"42",데이터_품목별!$A$3:$A$2984,"2025.12")</f>
        <v>47897</v>
      </c>
      <c r="AA47" s="55" t="n">
        <f aca="false">SUMIFS(데이터_품목별!$H$3:$H$2984,데이터_품목별!$E$3:$E$2984,"42",데이터_품목별!$A$3:$A$2984,"2026.01")</f>
        <v>49738</v>
      </c>
      <c r="AB47" s="55" t="n">
        <f aca="false">SUMIFS(데이터_품목별!$H$3:$H$2984,데이터_품목별!$E$3:$E$2984,"42",데이터_품목별!$A$3:$A$2984,"2026.02")</f>
        <v>39053</v>
      </c>
      <c r="AC47" s="55" t="n">
        <f aca="false">SUMIFS(데이터_품목별!$H$3:$H$2984,데이터_품목별!$E$3:$E$2984,"42",데이터_품목별!$A$3:$A$2984,"2026.03")</f>
        <v>53379</v>
      </c>
      <c r="AD47" s="55" t="n">
        <f aca="false">SUMIFS(데이터_품목별!$H$3:$H$2984,데이터_품목별!$E$3:$E$2984,"42",데이터_품목별!$A$3:$A$2984,"2026.04")</f>
        <v>61897</v>
      </c>
      <c r="AE47" s="55" t="n">
        <f aca="false">SUMIFS(데이터_품목별!$H$3:$H$2984,데이터_품목별!$E$3:$E$2984,"42",데이터_품목별!$A$3:$A$2984,"2026.05")</f>
        <v>55086</v>
      </c>
      <c r="AF47" s="55" t="n">
        <f aca="false">SUMIFS(데이터_품목별!$H$3:$H$2984,데이터_품목별!$E$3:$E$2984,"42",데이터_품목별!$A$3:$A$2984,"2026.06")</f>
        <v>70230</v>
      </c>
      <c r="AG47" s="55" t="n">
        <f aca="false">SUMIFS(데이터_품목별!$H$3:$H$2984,데이터_품목별!$E$3:$E$2984,"42",데이터_품목별!$A$3:$A$2984,"2026.07")</f>
        <v>68664</v>
      </c>
    </row>
    <row r="48" customFormat="false" ht="15" hidden="false" customHeight="true" outlineLevel="0" collapsed="false">
      <c r="A48" s="53" t="s">
        <v>639</v>
      </c>
      <c r="B48" s="54" t="s">
        <v>640</v>
      </c>
      <c r="C48" s="55" t="n">
        <f aca="false">SUMIFS(데이터_품목별!$H$3:$H$2984,데이터_품목별!$E$3:$E$2984,"43",데이터_품목별!$A$3:$A$2984,"2024.01")</f>
        <v>335</v>
      </c>
      <c r="D48" s="55" t="n">
        <f aca="false">SUMIFS(데이터_품목별!$H$3:$H$2984,데이터_품목별!$E$3:$E$2984,"43",데이터_품목별!$A$3:$A$2984,"2024.02")</f>
        <v>441</v>
      </c>
      <c r="E48" s="55" t="n">
        <f aca="false">SUMIFS(데이터_품목별!$H$3:$H$2984,데이터_품목별!$E$3:$E$2984,"43",데이터_품목별!$A$3:$A$2984,"2024.03")</f>
        <v>721</v>
      </c>
      <c r="F48" s="55" t="n">
        <f aca="false">SUMIFS(데이터_품목별!$H$3:$H$2984,데이터_품목별!$E$3:$E$2984,"43",데이터_품목별!$A$3:$A$2984,"2024.04")</f>
        <v>519</v>
      </c>
      <c r="G48" s="55" t="n">
        <f aca="false">SUMIFS(데이터_품목별!$H$3:$H$2984,데이터_품목별!$E$3:$E$2984,"43",데이터_품목별!$A$3:$A$2984,"2024.05")</f>
        <v>541</v>
      </c>
      <c r="H48" s="55" t="n">
        <f aca="false">SUMIFS(데이터_품목별!$H$3:$H$2984,데이터_품목별!$E$3:$E$2984,"43",데이터_품목별!$A$3:$A$2984,"2024.06")</f>
        <v>586</v>
      </c>
      <c r="I48" s="55" t="n">
        <f aca="false">SUMIFS(데이터_품목별!$H$3:$H$2984,데이터_품목별!$E$3:$E$2984,"43",데이터_품목별!$A$3:$A$2984,"2024.07")</f>
        <v>858</v>
      </c>
      <c r="J48" s="55" t="n">
        <f aca="false">SUMIFS(데이터_품목별!$H$3:$H$2984,데이터_품목별!$E$3:$E$2984,"43",데이터_품목별!$A$3:$A$2984,"2024.08")</f>
        <v>1269</v>
      </c>
      <c r="K48" s="55" t="n">
        <f aca="false">SUMIFS(데이터_품목별!$H$3:$H$2984,데이터_품목별!$E$3:$E$2984,"43",데이터_품목별!$A$3:$A$2984,"2024.09")</f>
        <v>1256</v>
      </c>
      <c r="L48" s="55" t="n">
        <f aca="false">SUMIFS(데이터_품목별!$H$3:$H$2984,데이터_품목별!$E$3:$E$2984,"43",데이터_품목별!$A$3:$A$2984,"2024.10")</f>
        <v>739</v>
      </c>
      <c r="M48" s="55" t="n">
        <f aca="false">SUMIFS(데이터_품목별!$H$3:$H$2984,데이터_품목별!$E$3:$E$2984,"43",데이터_품목별!$A$3:$A$2984,"2024.11")</f>
        <v>608</v>
      </c>
      <c r="N48" s="55" t="n">
        <f aca="false">SUMIFS(데이터_품목별!$H$3:$H$2984,데이터_품목별!$E$3:$E$2984,"43",데이터_품목별!$A$3:$A$2984,"2024.12")</f>
        <v>912</v>
      </c>
      <c r="O48" s="55" t="n">
        <f aca="false">SUMIFS(데이터_품목별!$H$3:$H$2984,데이터_품목별!$E$3:$E$2984,"43",데이터_품목별!$A$3:$A$2984,"2025.01")</f>
        <v>393</v>
      </c>
      <c r="P48" s="55" t="n">
        <f aca="false">SUMIFS(데이터_품목별!$H$3:$H$2984,데이터_품목별!$E$3:$E$2984,"43",데이터_품목별!$A$3:$A$2984,"2025.02")</f>
        <v>790</v>
      </c>
      <c r="Q48" s="55" t="n">
        <f aca="false">SUMIFS(데이터_품목별!$H$3:$H$2984,데이터_품목별!$E$3:$E$2984,"43",데이터_품목별!$A$3:$A$2984,"2025.03")</f>
        <v>451</v>
      </c>
      <c r="R48" s="55" t="n">
        <f aca="false">SUMIFS(데이터_품목별!$H$3:$H$2984,데이터_품목별!$E$3:$E$2984,"43",데이터_품목별!$A$3:$A$2984,"2025.04")</f>
        <v>1848</v>
      </c>
      <c r="S48" s="55" t="n">
        <f aca="false">SUMIFS(데이터_품목별!$H$3:$H$2984,데이터_품목별!$E$3:$E$2984,"43",데이터_품목별!$A$3:$A$2984,"2025.05")</f>
        <v>936</v>
      </c>
      <c r="T48" s="55" t="n">
        <f aca="false">SUMIFS(데이터_품목별!$H$3:$H$2984,데이터_품목별!$E$3:$E$2984,"43",데이터_품목별!$A$3:$A$2984,"2025.06")</f>
        <v>952</v>
      </c>
      <c r="U48" s="55" t="n">
        <f aca="false">SUMIFS(데이터_품목별!$H$3:$H$2984,데이터_품목별!$E$3:$E$2984,"43",데이터_품목별!$A$3:$A$2984,"2025.07")</f>
        <v>1247</v>
      </c>
      <c r="V48" s="55" t="n">
        <f aca="false">SUMIFS(데이터_품목별!$H$3:$H$2984,데이터_품목별!$E$3:$E$2984,"43",데이터_품목별!$A$3:$A$2984,"2025.08")</f>
        <v>700</v>
      </c>
      <c r="W48" s="55" t="n">
        <f aca="false">SUMIFS(데이터_품목별!$H$3:$H$2984,데이터_품목별!$E$3:$E$2984,"43",데이터_품목별!$A$3:$A$2984,"2025.09")</f>
        <v>715</v>
      </c>
      <c r="X48" s="55" t="n">
        <f aca="false">SUMIFS(데이터_품목별!$H$3:$H$2984,데이터_품목별!$E$3:$E$2984,"43",데이터_품목별!$A$3:$A$2984,"2025.10")</f>
        <v>405</v>
      </c>
      <c r="Y48" s="55" t="n">
        <f aca="false">SUMIFS(데이터_품목별!$H$3:$H$2984,데이터_품목별!$E$3:$E$2984,"43",데이터_품목별!$A$3:$A$2984,"2025.11")</f>
        <v>645</v>
      </c>
      <c r="Z48" s="55" t="n">
        <f aca="false">SUMIFS(데이터_품목별!$H$3:$H$2984,데이터_품목별!$E$3:$E$2984,"43",데이터_품목별!$A$3:$A$2984,"2025.12")</f>
        <v>517</v>
      </c>
      <c r="AA48" s="55" t="n">
        <f aca="false">SUMIFS(데이터_품목별!$H$3:$H$2984,데이터_품목별!$E$3:$E$2984,"43",데이터_품목별!$A$3:$A$2984,"2026.01")</f>
        <v>469</v>
      </c>
      <c r="AB48" s="55" t="n">
        <f aca="false">SUMIFS(데이터_품목별!$H$3:$H$2984,데이터_품목별!$E$3:$E$2984,"43",데이터_품목별!$A$3:$A$2984,"2026.02")</f>
        <v>315</v>
      </c>
      <c r="AC48" s="55" t="n">
        <f aca="false">SUMIFS(데이터_품목별!$H$3:$H$2984,데이터_품목별!$E$3:$E$2984,"43",데이터_품목별!$A$3:$A$2984,"2026.03")</f>
        <v>354</v>
      </c>
      <c r="AD48" s="55" t="n">
        <f aca="false">SUMIFS(데이터_품목별!$H$3:$H$2984,데이터_품목별!$E$3:$E$2984,"43",데이터_품목별!$A$3:$A$2984,"2026.04")</f>
        <v>617</v>
      </c>
      <c r="AE48" s="55" t="n">
        <f aca="false">SUMIFS(데이터_품목별!$H$3:$H$2984,데이터_품목별!$E$3:$E$2984,"43",데이터_품목별!$A$3:$A$2984,"2026.05")</f>
        <v>345</v>
      </c>
      <c r="AF48" s="55" t="n">
        <f aca="false">SUMIFS(데이터_품목별!$H$3:$H$2984,데이터_품목별!$E$3:$E$2984,"43",데이터_품목별!$A$3:$A$2984,"2026.06")</f>
        <v>785</v>
      </c>
      <c r="AG48" s="55" t="n">
        <f aca="false">SUMIFS(데이터_품목별!$H$3:$H$2984,데이터_품목별!$E$3:$E$2984,"43",데이터_품목별!$A$3:$A$2984,"2026.07")</f>
        <v>1011</v>
      </c>
    </row>
    <row r="49" customFormat="false" ht="15" hidden="false" customHeight="true" outlineLevel="0" collapsed="false">
      <c r="A49" s="53" t="s">
        <v>646</v>
      </c>
      <c r="B49" s="54" t="s">
        <v>647</v>
      </c>
      <c r="C49" s="55" t="n">
        <f aca="false">SUMIFS(데이터_품목별!$H$3:$H$2984,데이터_품목별!$E$3:$E$2984,"44",데이터_품목별!$A$3:$A$2984,"2024.01")</f>
        <v>6338</v>
      </c>
      <c r="D49" s="55" t="n">
        <f aca="false">SUMIFS(데이터_품목별!$H$3:$H$2984,데이터_품목별!$E$3:$E$2984,"44",데이터_품목별!$A$3:$A$2984,"2024.02")</f>
        <v>4995</v>
      </c>
      <c r="E49" s="55" t="n">
        <f aca="false">SUMIFS(데이터_품목별!$H$3:$H$2984,데이터_품목별!$E$3:$E$2984,"44",데이터_품목별!$A$3:$A$2984,"2024.03")</f>
        <v>5569</v>
      </c>
      <c r="F49" s="55" t="n">
        <f aca="false">SUMIFS(데이터_품목별!$H$3:$H$2984,데이터_품목별!$E$3:$E$2984,"44",데이터_품목별!$A$3:$A$2984,"2024.04")</f>
        <v>6850</v>
      </c>
      <c r="G49" s="55" t="n">
        <f aca="false">SUMIFS(데이터_품목별!$H$3:$H$2984,데이터_품목별!$E$3:$E$2984,"44",데이터_품목별!$A$3:$A$2984,"2024.05")</f>
        <v>6588</v>
      </c>
      <c r="H49" s="55" t="n">
        <f aca="false">SUMIFS(데이터_품목별!$H$3:$H$2984,데이터_품목별!$E$3:$E$2984,"44",데이터_품목별!$A$3:$A$2984,"2024.06")</f>
        <v>4986</v>
      </c>
      <c r="I49" s="55" t="n">
        <f aca="false">SUMIFS(데이터_품목별!$H$3:$H$2984,데이터_품목별!$E$3:$E$2984,"44",데이터_품목별!$A$3:$A$2984,"2024.07")</f>
        <v>5387</v>
      </c>
      <c r="J49" s="55" t="n">
        <f aca="false">SUMIFS(데이터_품목별!$H$3:$H$2984,데이터_품목별!$E$3:$E$2984,"44",데이터_품목별!$A$3:$A$2984,"2024.08")</f>
        <v>5991</v>
      </c>
      <c r="K49" s="55" t="n">
        <f aca="false">SUMIFS(데이터_품목별!$H$3:$H$2984,데이터_품목별!$E$3:$E$2984,"44",데이터_품목별!$A$3:$A$2984,"2024.09")</f>
        <v>4419</v>
      </c>
      <c r="L49" s="55" t="n">
        <f aca="false">SUMIFS(데이터_품목별!$H$3:$H$2984,데이터_품목별!$E$3:$E$2984,"44",데이터_품목별!$A$3:$A$2984,"2024.10")</f>
        <v>5199</v>
      </c>
      <c r="M49" s="55" t="n">
        <f aca="false">SUMIFS(데이터_품목별!$H$3:$H$2984,데이터_품목별!$E$3:$E$2984,"44",데이터_품목별!$A$3:$A$2984,"2024.11")</f>
        <v>7089</v>
      </c>
      <c r="N49" s="55" t="n">
        <f aca="false">SUMIFS(데이터_품목별!$H$3:$H$2984,데이터_품목별!$E$3:$E$2984,"44",데이터_품목별!$A$3:$A$2984,"2024.12")</f>
        <v>4779</v>
      </c>
      <c r="O49" s="55" t="n">
        <f aca="false">SUMIFS(데이터_품목별!$H$3:$H$2984,데이터_품목별!$E$3:$E$2984,"44",데이터_품목별!$A$3:$A$2984,"2025.01")</f>
        <v>4723</v>
      </c>
      <c r="P49" s="55" t="n">
        <f aca="false">SUMIFS(데이터_품목별!$H$3:$H$2984,데이터_품목별!$E$3:$E$2984,"44",데이터_품목별!$A$3:$A$2984,"2025.02")</f>
        <v>4997</v>
      </c>
      <c r="Q49" s="55" t="n">
        <f aca="false">SUMIFS(데이터_품목별!$H$3:$H$2984,데이터_품목별!$E$3:$E$2984,"44",데이터_품목별!$A$3:$A$2984,"2025.03")</f>
        <v>6420</v>
      </c>
      <c r="R49" s="55" t="n">
        <f aca="false">SUMIFS(데이터_품목별!$H$3:$H$2984,데이터_품목별!$E$3:$E$2984,"44",데이터_품목별!$A$3:$A$2984,"2025.04")</f>
        <v>6804</v>
      </c>
      <c r="S49" s="55" t="n">
        <f aca="false">SUMIFS(데이터_품목별!$H$3:$H$2984,데이터_품목별!$E$3:$E$2984,"44",데이터_품목별!$A$3:$A$2984,"2025.05")</f>
        <v>4882</v>
      </c>
      <c r="T49" s="55" t="n">
        <f aca="false">SUMIFS(데이터_품목별!$H$3:$H$2984,데이터_품목별!$E$3:$E$2984,"44",데이터_품목별!$A$3:$A$2984,"2025.06")</f>
        <v>6909</v>
      </c>
      <c r="U49" s="55" t="n">
        <f aca="false">SUMIFS(데이터_품목별!$H$3:$H$2984,데이터_품목별!$E$3:$E$2984,"44",데이터_품목별!$A$3:$A$2984,"2025.07")</f>
        <v>7140</v>
      </c>
      <c r="V49" s="55" t="n">
        <f aca="false">SUMIFS(데이터_품목별!$H$3:$H$2984,데이터_품목별!$E$3:$E$2984,"44",데이터_품목별!$A$3:$A$2984,"2025.08")</f>
        <v>6856</v>
      </c>
      <c r="W49" s="55" t="n">
        <f aca="false">SUMIFS(데이터_품목별!$H$3:$H$2984,데이터_품목별!$E$3:$E$2984,"44",데이터_품목별!$A$3:$A$2984,"2025.09")</f>
        <v>6138</v>
      </c>
      <c r="X49" s="55" t="n">
        <f aca="false">SUMIFS(데이터_품목별!$H$3:$H$2984,데이터_품목별!$E$3:$E$2984,"44",데이터_품목별!$A$3:$A$2984,"2025.10")</f>
        <v>5025</v>
      </c>
      <c r="Y49" s="55" t="n">
        <f aca="false">SUMIFS(데이터_품목별!$H$3:$H$2984,데이터_품목별!$E$3:$E$2984,"44",데이터_품목별!$A$3:$A$2984,"2025.11")</f>
        <v>4800</v>
      </c>
      <c r="Z49" s="55" t="n">
        <f aca="false">SUMIFS(데이터_품목별!$H$3:$H$2984,데이터_품목별!$E$3:$E$2984,"44",데이터_품목별!$A$3:$A$2984,"2025.12")</f>
        <v>6284</v>
      </c>
      <c r="AA49" s="55" t="n">
        <f aca="false">SUMIFS(데이터_품목별!$H$3:$H$2984,데이터_품목별!$E$3:$E$2984,"44",데이터_품목별!$A$3:$A$2984,"2026.01")</f>
        <v>6948</v>
      </c>
      <c r="AB49" s="55" t="n">
        <f aca="false">SUMIFS(데이터_품목별!$H$3:$H$2984,데이터_품목별!$E$3:$E$2984,"44",데이터_품목별!$A$3:$A$2984,"2026.02")</f>
        <v>5958</v>
      </c>
      <c r="AC49" s="55" t="n">
        <f aca="false">SUMIFS(데이터_품목별!$H$3:$H$2984,데이터_품목별!$E$3:$E$2984,"44",데이터_품목별!$A$3:$A$2984,"2026.03")</f>
        <v>7994</v>
      </c>
      <c r="AD49" s="55" t="n">
        <f aca="false">SUMIFS(데이터_품목별!$H$3:$H$2984,데이터_품목별!$E$3:$E$2984,"44",데이터_품목별!$A$3:$A$2984,"2026.04")</f>
        <v>7879</v>
      </c>
      <c r="AE49" s="55" t="n">
        <f aca="false">SUMIFS(데이터_품목별!$H$3:$H$2984,데이터_품목별!$E$3:$E$2984,"44",데이터_품목별!$A$3:$A$2984,"2026.05")</f>
        <v>6312</v>
      </c>
      <c r="AF49" s="55" t="n">
        <f aca="false">SUMIFS(데이터_품목별!$H$3:$H$2984,데이터_품목별!$E$3:$E$2984,"44",데이터_품목별!$A$3:$A$2984,"2026.06")</f>
        <v>7681</v>
      </c>
      <c r="AG49" s="55" t="n">
        <f aca="false">SUMIFS(데이터_품목별!$H$3:$H$2984,데이터_품목별!$E$3:$E$2984,"44",데이터_품목별!$A$3:$A$2984,"2026.07")</f>
        <v>7814</v>
      </c>
    </row>
    <row r="50" customFormat="false" ht="15" hidden="false" customHeight="true" outlineLevel="0" collapsed="false">
      <c r="A50" s="53" t="s">
        <v>653</v>
      </c>
      <c r="B50" s="54" t="s">
        <v>654</v>
      </c>
      <c r="C50" s="55" t="n">
        <f aca="false">SUMIFS(데이터_품목별!$H$3:$H$2984,데이터_품목별!$E$3:$E$2984,"45",데이터_품목별!$A$3:$A$2984,"2024.01")</f>
        <v>53</v>
      </c>
      <c r="D50" s="55" t="n">
        <f aca="false">SUMIFS(데이터_품목별!$H$3:$H$2984,데이터_품목별!$E$3:$E$2984,"45",데이터_품목별!$A$3:$A$2984,"2024.02")</f>
        <v>76</v>
      </c>
      <c r="E50" s="55" t="n">
        <f aca="false">SUMIFS(데이터_품목별!$H$3:$H$2984,데이터_품목별!$E$3:$E$2984,"45",데이터_품목별!$A$3:$A$2984,"2024.03")</f>
        <v>42</v>
      </c>
      <c r="F50" s="55" t="n">
        <f aca="false">SUMIFS(데이터_품목별!$H$3:$H$2984,데이터_품목별!$E$3:$E$2984,"45",데이터_품목별!$A$3:$A$2984,"2024.04")</f>
        <v>26</v>
      </c>
      <c r="G50" s="55" t="n">
        <f aca="false">SUMIFS(데이터_품목별!$H$3:$H$2984,데이터_품목별!$E$3:$E$2984,"45",데이터_품목별!$A$3:$A$2984,"2024.05")</f>
        <v>24</v>
      </c>
      <c r="H50" s="55" t="n">
        <f aca="false">SUMIFS(데이터_품목별!$H$3:$H$2984,데이터_품목별!$E$3:$E$2984,"45",데이터_품목별!$A$3:$A$2984,"2024.06")</f>
        <v>26</v>
      </c>
      <c r="I50" s="55" t="n">
        <f aca="false">SUMIFS(데이터_품목별!$H$3:$H$2984,데이터_품목별!$E$3:$E$2984,"45",데이터_품목별!$A$3:$A$2984,"2024.07")</f>
        <v>24</v>
      </c>
      <c r="J50" s="55" t="n">
        <f aca="false">SUMIFS(데이터_품목별!$H$3:$H$2984,데이터_품목별!$E$3:$E$2984,"45",데이터_품목별!$A$3:$A$2984,"2024.08")</f>
        <v>69</v>
      </c>
      <c r="K50" s="55" t="n">
        <f aca="false">SUMIFS(데이터_품목별!$H$3:$H$2984,데이터_품목별!$E$3:$E$2984,"45",데이터_품목별!$A$3:$A$2984,"2024.09")</f>
        <v>27</v>
      </c>
      <c r="L50" s="55" t="n">
        <f aca="false">SUMIFS(데이터_품목별!$H$3:$H$2984,데이터_품목별!$E$3:$E$2984,"45",데이터_품목별!$A$3:$A$2984,"2024.10")</f>
        <v>66</v>
      </c>
      <c r="M50" s="55" t="n">
        <f aca="false">SUMIFS(데이터_품목별!$H$3:$H$2984,데이터_품목별!$E$3:$E$2984,"45",데이터_품목별!$A$3:$A$2984,"2024.11")</f>
        <v>29</v>
      </c>
      <c r="N50" s="55" t="n">
        <f aca="false">SUMIFS(데이터_품목별!$H$3:$H$2984,데이터_품목별!$E$3:$E$2984,"45",데이터_품목별!$A$3:$A$2984,"2024.12")</f>
        <v>17</v>
      </c>
      <c r="O50" s="55" t="n">
        <f aca="false">SUMIFS(데이터_품목별!$H$3:$H$2984,데이터_품목별!$E$3:$E$2984,"45",데이터_품목별!$A$3:$A$2984,"2025.01")</f>
        <v>19</v>
      </c>
      <c r="P50" s="55" t="n">
        <f aca="false">SUMIFS(데이터_품목별!$H$3:$H$2984,데이터_품목별!$E$3:$E$2984,"45",데이터_품목별!$A$3:$A$2984,"2025.02")</f>
        <v>37</v>
      </c>
      <c r="Q50" s="55" t="n">
        <f aca="false">SUMIFS(데이터_품목별!$H$3:$H$2984,데이터_품목별!$E$3:$E$2984,"45",데이터_품목별!$A$3:$A$2984,"2025.03")</f>
        <v>53</v>
      </c>
      <c r="R50" s="55" t="n">
        <f aca="false">SUMIFS(데이터_품목별!$H$3:$H$2984,데이터_품목별!$E$3:$E$2984,"45",데이터_품목별!$A$3:$A$2984,"2025.04")</f>
        <v>33</v>
      </c>
      <c r="S50" s="55" t="n">
        <f aca="false">SUMIFS(데이터_품목별!$H$3:$H$2984,데이터_품목별!$E$3:$E$2984,"45",데이터_품목별!$A$3:$A$2984,"2025.05")</f>
        <v>71</v>
      </c>
      <c r="T50" s="55" t="n">
        <f aca="false">SUMIFS(데이터_품목별!$H$3:$H$2984,데이터_품목별!$E$3:$E$2984,"45",데이터_품목별!$A$3:$A$2984,"2025.06")</f>
        <v>18</v>
      </c>
      <c r="U50" s="55" t="n">
        <f aca="false">SUMIFS(데이터_품목별!$H$3:$H$2984,데이터_품목별!$E$3:$E$2984,"45",데이터_품목별!$A$3:$A$2984,"2025.07")</f>
        <v>66</v>
      </c>
      <c r="V50" s="55" t="n">
        <f aca="false">SUMIFS(데이터_품목별!$H$3:$H$2984,데이터_품목별!$E$3:$E$2984,"45",데이터_품목별!$A$3:$A$2984,"2025.08")</f>
        <v>15</v>
      </c>
      <c r="W50" s="55" t="n">
        <f aca="false">SUMIFS(데이터_품목별!$H$3:$H$2984,데이터_품목별!$E$3:$E$2984,"45",데이터_품목별!$A$3:$A$2984,"2025.09")</f>
        <v>40</v>
      </c>
      <c r="X50" s="55" t="n">
        <f aca="false">SUMIFS(데이터_품목별!$H$3:$H$2984,데이터_품목별!$E$3:$E$2984,"45",데이터_품목별!$A$3:$A$2984,"2025.10")</f>
        <v>24</v>
      </c>
      <c r="Y50" s="55" t="n">
        <f aca="false">SUMIFS(데이터_품목별!$H$3:$H$2984,데이터_품목별!$E$3:$E$2984,"45",데이터_품목별!$A$3:$A$2984,"2025.11")</f>
        <v>17</v>
      </c>
      <c r="Z50" s="55" t="n">
        <f aca="false">SUMIFS(데이터_품목별!$H$3:$H$2984,데이터_품목별!$E$3:$E$2984,"45",데이터_품목별!$A$3:$A$2984,"2025.12")</f>
        <v>40</v>
      </c>
      <c r="AA50" s="55" t="n">
        <f aca="false">SUMIFS(데이터_품목별!$H$3:$H$2984,데이터_품목별!$E$3:$E$2984,"45",데이터_품목별!$A$3:$A$2984,"2026.01")</f>
        <v>15</v>
      </c>
      <c r="AB50" s="55" t="n">
        <f aca="false">SUMIFS(데이터_품목별!$H$3:$H$2984,데이터_품목별!$E$3:$E$2984,"45",데이터_품목별!$A$3:$A$2984,"2026.02")</f>
        <v>35</v>
      </c>
      <c r="AC50" s="55" t="n">
        <f aca="false">SUMIFS(데이터_품목별!$H$3:$H$2984,데이터_품목별!$E$3:$E$2984,"45",데이터_품목별!$A$3:$A$2984,"2026.03")</f>
        <v>37</v>
      </c>
      <c r="AD50" s="55" t="n">
        <f aca="false">SUMIFS(데이터_품목별!$H$3:$H$2984,데이터_품목별!$E$3:$E$2984,"45",데이터_품목별!$A$3:$A$2984,"2026.04")</f>
        <v>42</v>
      </c>
      <c r="AE50" s="55" t="n">
        <f aca="false">SUMIFS(데이터_품목별!$H$3:$H$2984,데이터_품목별!$E$3:$E$2984,"45",데이터_품목별!$A$3:$A$2984,"2026.05")</f>
        <v>59</v>
      </c>
      <c r="AF50" s="55" t="n">
        <f aca="false">SUMIFS(데이터_품목별!$H$3:$H$2984,데이터_품목별!$E$3:$E$2984,"45",데이터_품목별!$A$3:$A$2984,"2026.06")</f>
        <v>30</v>
      </c>
      <c r="AG50" s="55" t="n">
        <f aca="false">SUMIFS(데이터_품목별!$H$3:$H$2984,데이터_품목별!$E$3:$E$2984,"45",데이터_품목별!$A$3:$A$2984,"2026.07")</f>
        <v>24</v>
      </c>
    </row>
    <row r="51" customFormat="false" ht="15" hidden="false" customHeight="true" outlineLevel="0" collapsed="false">
      <c r="A51" s="53" t="s">
        <v>660</v>
      </c>
      <c r="B51" s="54" t="s">
        <v>661</v>
      </c>
      <c r="C51" s="55" t="n">
        <f aca="false">SUMIFS(데이터_품목별!$H$3:$H$2984,데이터_품목별!$E$3:$E$2984,"46",데이터_품목별!$A$3:$A$2984,"2024.01")</f>
        <v>72</v>
      </c>
      <c r="D51" s="55" t="n">
        <f aca="false">SUMIFS(데이터_품목별!$H$3:$H$2984,데이터_품목별!$E$3:$E$2984,"46",데이터_품목별!$A$3:$A$2984,"2024.02")</f>
        <v>86</v>
      </c>
      <c r="E51" s="55" t="n">
        <f aca="false">SUMIFS(데이터_품목별!$H$3:$H$2984,데이터_품목별!$E$3:$E$2984,"46",데이터_품목별!$A$3:$A$2984,"2024.03")</f>
        <v>85</v>
      </c>
      <c r="F51" s="55" t="n">
        <f aca="false">SUMIFS(데이터_품목별!$H$3:$H$2984,데이터_품목별!$E$3:$E$2984,"46",데이터_품목별!$A$3:$A$2984,"2024.04")</f>
        <v>370</v>
      </c>
      <c r="G51" s="55" t="n">
        <f aca="false">SUMIFS(데이터_품목별!$H$3:$H$2984,데이터_품목별!$E$3:$E$2984,"46",데이터_품목별!$A$3:$A$2984,"2024.05")</f>
        <v>135</v>
      </c>
      <c r="H51" s="55" t="n">
        <f aca="false">SUMIFS(데이터_품목별!$H$3:$H$2984,데이터_품목별!$E$3:$E$2984,"46",데이터_품목별!$A$3:$A$2984,"2024.06")</f>
        <v>41</v>
      </c>
      <c r="I51" s="55" t="n">
        <f aca="false">SUMIFS(데이터_품목별!$H$3:$H$2984,데이터_품목별!$E$3:$E$2984,"46",데이터_품목별!$A$3:$A$2984,"2024.07")</f>
        <v>168</v>
      </c>
      <c r="J51" s="55" t="n">
        <f aca="false">SUMIFS(데이터_품목별!$H$3:$H$2984,데이터_품목별!$E$3:$E$2984,"46",데이터_품목별!$A$3:$A$2984,"2024.08")</f>
        <v>302</v>
      </c>
      <c r="K51" s="55" t="n">
        <f aca="false">SUMIFS(데이터_품목별!$H$3:$H$2984,데이터_품목별!$E$3:$E$2984,"46",데이터_품목별!$A$3:$A$2984,"2024.09")</f>
        <v>82</v>
      </c>
      <c r="L51" s="55" t="n">
        <f aca="false">SUMIFS(데이터_품목별!$H$3:$H$2984,데이터_품목별!$E$3:$E$2984,"46",데이터_품목별!$A$3:$A$2984,"2024.10")</f>
        <v>105</v>
      </c>
      <c r="M51" s="55" t="n">
        <f aca="false">SUMIFS(데이터_품목별!$H$3:$H$2984,데이터_품목별!$E$3:$E$2984,"46",데이터_품목별!$A$3:$A$2984,"2024.11")</f>
        <v>76</v>
      </c>
      <c r="N51" s="55" t="n">
        <f aca="false">SUMIFS(데이터_품목별!$H$3:$H$2984,데이터_품목별!$E$3:$E$2984,"46",데이터_품목별!$A$3:$A$2984,"2024.12")</f>
        <v>157</v>
      </c>
      <c r="O51" s="55" t="n">
        <f aca="false">SUMIFS(데이터_품목별!$H$3:$H$2984,데이터_품목별!$E$3:$E$2984,"46",데이터_품목별!$A$3:$A$2984,"2025.01")</f>
        <v>67</v>
      </c>
      <c r="P51" s="55" t="n">
        <f aca="false">SUMIFS(데이터_품목별!$H$3:$H$2984,데이터_품목별!$E$3:$E$2984,"46",데이터_품목별!$A$3:$A$2984,"2025.02")</f>
        <v>152</v>
      </c>
      <c r="Q51" s="55" t="n">
        <f aca="false">SUMIFS(데이터_품목별!$H$3:$H$2984,데이터_품목별!$E$3:$E$2984,"46",데이터_품목별!$A$3:$A$2984,"2025.03")</f>
        <v>112</v>
      </c>
      <c r="R51" s="55" t="n">
        <f aca="false">SUMIFS(데이터_품목별!$H$3:$H$2984,데이터_품목별!$E$3:$E$2984,"46",데이터_품목별!$A$3:$A$2984,"2025.04")</f>
        <v>119</v>
      </c>
      <c r="S51" s="55" t="n">
        <f aca="false">SUMIFS(데이터_품목별!$H$3:$H$2984,데이터_품목별!$E$3:$E$2984,"46",데이터_품목별!$A$3:$A$2984,"2025.05")</f>
        <v>162</v>
      </c>
      <c r="T51" s="55" t="n">
        <f aca="false">SUMIFS(데이터_품목별!$H$3:$H$2984,데이터_품목별!$E$3:$E$2984,"46",데이터_품목별!$A$3:$A$2984,"2025.06")</f>
        <v>121</v>
      </c>
      <c r="U51" s="55" t="n">
        <f aca="false">SUMIFS(데이터_품목별!$H$3:$H$2984,데이터_품목별!$E$3:$E$2984,"46",데이터_품목별!$A$3:$A$2984,"2025.07")</f>
        <v>125</v>
      </c>
      <c r="V51" s="55" t="n">
        <f aca="false">SUMIFS(데이터_품목별!$H$3:$H$2984,데이터_품목별!$E$3:$E$2984,"46",데이터_품목별!$A$3:$A$2984,"2025.08")</f>
        <v>182</v>
      </c>
      <c r="W51" s="55" t="n">
        <f aca="false">SUMIFS(데이터_품목별!$H$3:$H$2984,데이터_품목별!$E$3:$E$2984,"46",데이터_품목별!$A$3:$A$2984,"2025.09")</f>
        <v>77</v>
      </c>
      <c r="X51" s="55" t="n">
        <f aca="false">SUMIFS(데이터_품목별!$H$3:$H$2984,데이터_품목별!$E$3:$E$2984,"46",데이터_품목별!$A$3:$A$2984,"2025.10")</f>
        <v>54</v>
      </c>
      <c r="Y51" s="55" t="n">
        <f aca="false">SUMIFS(데이터_품목별!$H$3:$H$2984,데이터_품목별!$E$3:$E$2984,"46",데이터_품목별!$A$3:$A$2984,"2025.11")</f>
        <v>68</v>
      </c>
      <c r="Z51" s="55" t="n">
        <f aca="false">SUMIFS(데이터_품목별!$H$3:$H$2984,데이터_품목별!$E$3:$E$2984,"46",데이터_품목별!$A$3:$A$2984,"2025.12")</f>
        <v>185</v>
      </c>
      <c r="AA51" s="55" t="n">
        <f aca="false">SUMIFS(데이터_품목별!$H$3:$H$2984,데이터_품목별!$E$3:$E$2984,"46",데이터_품목별!$A$3:$A$2984,"2026.01")</f>
        <v>42</v>
      </c>
      <c r="AB51" s="55" t="n">
        <f aca="false">SUMIFS(데이터_품목별!$H$3:$H$2984,데이터_품목별!$E$3:$E$2984,"46",데이터_품목별!$A$3:$A$2984,"2026.02")</f>
        <v>21</v>
      </c>
      <c r="AC51" s="55" t="n">
        <f aca="false">SUMIFS(데이터_품목별!$H$3:$H$2984,데이터_품목별!$E$3:$E$2984,"46",데이터_품목별!$A$3:$A$2984,"2026.03")</f>
        <v>82</v>
      </c>
      <c r="AD51" s="55" t="n">
        <f aca="false">SUMIFS(데이터_품목별!$H$3:$H$2984,데이터_품목별!$E$3:$E$2984,"46",데이터_품목별!$A$3:$A$2984,"2026.04")</f>
        <v>80</v>
      </c>
      <c r="AE51" s="55" t="n">
        <f aca="false">SUMIFS(데이터_품목별!$H$3:$H$2984,데이터_품목별!$E$3:$E$2984,"46",데이터_품목별!$A$3:$A$2984,"2026.05")</f>
        <v>51</v>
      </c>
      <c r="AF51" s="55" t="n">
        <f aca="false">SUMIFS(데이터_품목별!$H$3:$H$2984,데이터_품목별!$E$3:$E$2984,"46",데이터_품목별!$A$3:$A$2984,"2026.06")</f>
        <v>107</v>
      </c>
      <c r="AG51" s="55" t="n">
        <f aca="false">SUMIFS(데이터_품목별!$H$3:$H$2984,데이터_품목별!$E$3:$E$2984,"46",데이터_품목별!$A$3:$A$2984,"2026.07")</f>
        <v>64</v>
      </c>
    </row>
    <row r="52" customFormat="false" ht="15" hidden="false" customHeight="true" outlineLevel="0" collapsed="false">
      <c r="A52" s="53" t="s">
        <v>667</v>
      </c>
      <c r="B52" s="54" t="s">
        <v>668</v>
      </c>
      <c r="C52" s="55" t="n">
        <f aca="false">SUMIFS(데이터_품목별!$H$3:$H$2984,데이터_품목별!$E$3:$E$2984,"47",데이터_품목별!$A$3:$A$2984,"2024.01")</f>
        <v>11662</v>
      </c>
      <c r="D52" s="55" t="n">
        <f aca="false">SUMIFS(데이터_품목별!$H$3:$H$2984,데이터_품목별!$E$3:$E$2984,"47",데이터_품목별!$A$3:$A$2984,"2024.02")</f>
        <v>10449</v>
      </c>
      <c r="E52" s="55" t="n">
        <f aca="false">SUMIFS(데이터_품목별!$H$3:$H$2984,데이터_품목별!$E$3:$E$2984,"47",데이터_품목별!$A$3:$A$2984,"2024.03")</f>
        <v>13248</v>
      </c>
      <c r="F52" s="55" t="n">
        <f aca="false">SUMIFS(데이터_품목별!$H$3:$H$2984,데이터_품목별!$E$3:$E$2984,"47",데이터_품목별!$A$3:$A$2984,"2024.04")</f>
        <v>14896</v>
      </c>
      <c r="G52" s="55" t="n">
        <f aca="false">SUMIFS(데이터_품목별!$H$3:$H$2984,데이터_품목별!$E$3:$E$2984,"47",데이터_품목별!$A$3:$A$2984,"2024.05")</f>
        <v>16717</v>
      </c>
      <c r="H52" s="55" t="n">
        <f aca="false">SUMIFS(데이터_품목별!$H$3:$H$2984,데이터_품목별!$E$3:$E$2984,"47",데이터_품목별!$A$3:$A$2984,"2024.06")</f>
        <v>10492</v>
      </c>
      <c r="I52" s="55" t="n">
        <f aca="false">SUMIFS(데이터_품목별!$H$3:$H$2984,데이터_품목별!$E$3:$E$2984,"47",데이터_품목별!$A$3:$A$2984,"2024.07")</f>
        <v>9268</v>
      </c>
      <c r="J52" s="55" t="n">
        <f aca="false">SUMIFS(데이터_품목별!$H$3:$H$2984,데이터_품목별!$E$3:$E$2984,"47",데이터_품목별!$A$3:$A$2984,"2024.08")</f>
        <v>7185</v>
      </c>
      <c r="K52" s="55" t="n">
        <f aca="false">SUMIFS(데이터_품목별!$H$3:$H$2984,데이터_품목별!$E$3:$E$2984,"47",데이터_품목별!$A$3:$A$2984,"2024.09")</f>
        <v>7869</v>
      </c>
      <c r="L52" s="55" t="n">
        <f aca="false">SUMIFS(데이터_품목별!$H$3:$H$2984,데이터_품목별!$E$3:$E$2984,"47",데이터_품목별!$A$3:$A$2984,"2024.10")</f>
        <v>10903</v>
      </c>
      <c r="M52" s="55" t="n">
        <f aca="false">SUMIFS(데이터_품목별!$H$3:$H$2984,데이터_품목별!$E$3:$E$2984,"47",데이터_품목별!$A$3:$A$2984,"2024.11")</f>
        <v>7315</v>
      </c>
      <c r="N52" s="55" t="n">
        <f aca="false">SUMIFS(데이터_품목별!$H$3:$H$2984,데이터_품목별!$E$3:$E$2984,"47",데이터_품목별!$A$3:$A$2984,"2024.12")</f>
        <v>8289</v>
      </c>
      <c r="O52" s="55" t="n">
        <f aca="false">SUMIFS(데이터_품목별!$H$3:$H$2984,데이터_품목별!$E$3:$E$2984,"47",데이터_품목별!$A$3:$A$2984,"2025.01")</f>
        <v>6780</v>
      </c>
      <c r="P52" s="55" t="n">
        <f aca="false">SUMIFS(데이터_품목별!$H$3:$H$2984,데이터_품목별!$E$3:$E$2984,"47",데이터_품목별!$A$3:$A$2984,"2025.02")</f>
        <v>8689</v>
      </c>
      <c r="Q52" s="55" t="n">
        <f aca="false">SUMIFS(데이터_품목별!$H$3:$H$2984,데이터_품목별!$E$3:$E$2984,"47",데이터_품목별!$A$3:$A$2984,"2025.03")</f>
        <v>8312</v>
      </c>
      <c r="R52" s="55" t="n">
        <f aca="false">SUMIFS(데이터_품목별!$H$3:$H$2984,데이터_품목별!$E$3:$E$2984,"47",데이터_품목별!$A$3:$A$2984,"2025.04")</f>
        <v>10759</v>
      </c>
      <c r="S52" s="55" t="n">
        <f aca="false">SUMIFS(데이터_품목별!$H$3:$H$2984,데이터_품목별!$E$3:$E$2984,"47",데이터_품목별!$A$3:$A$2984,"2025.05")</f>
        <v>7752</v>
      </c>
      <c r="T52" s="55" t="n">
        <f aca="false">SUMIFS(데이터_품목별!$H$3:$H$2984,데이터_품목별!$E$3:$E$2984,"47",데이터_품목별!$A$3:$A$2984,"2025.06")</f>
        <v>6556</v>
      </c>
      <c r="U52" s="55" t="n">
        <f aca="false">SUMIFS(데이터_품목별!$H$3:$H$2984,데이터_품목별!$E$3:$E$2984,"47",데이터_품목별!$A$3:$A$2984,"2025.07")</f>
        <v>8480</v>
      </c>
      <c r="V52" s="55" t="n">
        <f aca="false">SUMIFS(데이터_품목별!$H$3:$H$2984,데이터_품목별!$E$3:$E$2984,"47",데이터_품목별!$A$3:$A$2984,"2025.08")</f>
        <v>9228</v>
      </c>
      <c r="W52" s="55" t="n">
        <f aca="false">SUMIFS(데이터_품목별!$H$3:$H$2984,데이터_품목별!$E$3:$E$2984,"47",데이터_품목별!$A$3:$A$2984,"2025.09")</f>
        <v>10423</v>
      </c>
      <c r="X52" s="55" t="n">
        <f aca="false">SUMIFS(데이터_품목별!$H$3:$H$2984,데이터_품목별!$E$3:$E$2984,"47",데이터_품목별!$A$3:$A$2984,"2025.10")</f>
        <v>8771</v>
      </c>
      <c r="Y52" s="55" t="n">
        <f aca="false">SUMIFS(데이터_품목별!$H$3:$H$2984,데이터_품목별!$E$3:$E$2984,"47",데이터_품목별!$A$3:$A$2984,"2025.11")</f>
        <v>8651</v>
      </c>
      <c r="Z52" s="55" t="n">
        <f aca="false">SUMIFS(데이터_품목별!$H$3:$H$2984,데이터_품목별!$E$3:$E$2984,"47",데이터_품목별!$A$3:$A$2984,"2025.12")</f>
        <v>10619</v>
      </c>
      <c r="AA52" s="55" t="n">
        <f aca="false">SUMIFS(데이터_품목별!$H$3:$H$2984,데이터_품목별!$E$3:$E$2984,"47",데이터_품목별!$A$3:$A$2984,"2026.01")</f>
        <v>9575</v>
      </c>
      <c r="AB52" s="55" t="n">
        <f aca="false">SUMIFS(데이터_품목별!$H$3:$H$2984,데이터_품목별!$E$3:$E$2984,"47",데이터_품목별!$A$3:$A$2984,"2026.02")</f>
        <v>8645</v>
      </c>
      <c r="AC52" s="55" t="n">
        <f aca="false">SUMIFS(데이터_품목별!$H$3:$H$2984,데이터_품목별!$E$3:$E$2984,"47",데이터_품목별!$A$3:$A$2984,"2026.03")</f>
        <v>11801</v>
      </c>
      <c r="AD52" s="55" t="n">
        <f aca="false">SUMIFS(데이터_품목별!$H$3:$H$2984,데이터_품목별!$E$3:$E$2984,"47",데이터_품목별!$A$3:$A$2984,"2026.04")</f>
        <v>11257</v>
      </c>
      <c r="AE52" s="55" t="n">
        <f aca="false">SUMIFS(데이터_품목별!$H$3:$H$2984,데이터_품목별!$E$3:$E$2984,"47",데이터_품목별!$A$3:$A$2984,"2026.05")</f>
        <v>10443</v>
      </c>
      <c r="AF52" s="55" t="n">
        <f aca="false">SUMIFS(데이터_품목별!$H$3:$H$2984,데이터_품목별!$E$3:$E$2984,"47",데이터_품목별!$A$3:$A$2984,"2026.06")</f>
        <v>8951</v>
      </c>
      <c r="AG52" s="55" t="n">
        <f aca="false">SUMIFS(데이터_품목별!$H$3:$H$2984,데이터_품목별!$E$3:$E$2984,"47",데이터_품목별!$A$3:$A$2984,"2026.07")</f>
        <v>7894</v>
      </c>
    </row>
    <row r="53" customFormat="false" ht="15" hidden="false" customHeight="true" outlineLevel="0" collapsed="false">
      <c r="A53" s="53" t="s">
        <v>674</v>
      </c>
      <c r="B53" s="54" t="s">
        <v>675</v>
      </c>
      <c r="C53" s="55" t="n">
        <f aca="false">SUMIFS(데이터_품목별!$H$3:$H$2984,데이터_품목별!$E$3:$E$2984,"48",데이터_품목별!$A$3:$A$2984,"2024.01")</f>
        <v>231117</v>
      </c>
      <c r="D53" s="55" t="n">
        <f aca="false">SUMIFS(데이터_품목별!$H$3:$H$2984,데이터_품목별!$E$3:$E$2984,"48",데이터_품목별!$A$3:$A$2984,"2024.02")</f>
        <v>231242</v>
      </c>
      <c r="E53" s="55" t="n">
        <f aca="false">SUMIFS(데이터_품목별!$H$3:$H$2984,데이터_품목별!$E$3:$E$2984,"48",데이터_품목별!$A$3:$A$2984,"2024.03")</f>
        <v>234010</v>
      </c>
      <c r="F53" s="55" t="n">
        <f aca="false">SUMIFS(데이터_품목별!$H$3:$H$2984,데이터_품목별!$E$3:$E$2984,"48",데이터_품목별!$A$3:$A$2984,"2024.04")</f>
        <v>254150</v>
      </c>
      <c r="G53" s="55" t="n">
        <f aca="false">SUMIFS(데이터_품목별!$H$3:$H$2984,데이터_품목별!$E$3:$E$2984,"48",데이터_품목별!$A$3:$A$2984,"2024.05")</f>
        <v>243014</v>
      </c>
      <c r="H53" s="55" t="n">
        <f aca="false">SUMIFS(데이터_품목별!$H$3:$H$2984,데이터_품목별!$E$3:$E$2984,"48",데이터_품목별!$A$3:$A$2984,"2024.06")</f>
        <v>225036</v>
      </c>
      <c r="I53" s="55" t="n">
        <f aca="false">SUMIFS(데이터_품목별!$H$3:$H$2984,데이터_품목별!$E$3:$E$2984,"48",데이터_품목별!$A$3:$A$2984,"2024.07")</f>
        <v>245139</v>
      </c>
      <c r="J53" s="55" t="n">
        <f aca="false">SUMIFS(데이터_품목별!$H$3:$H$2984,데이터_품목별!$E$3:$E$2984,"48",데이터_품목별!$A$3:$A$2984,"2024.08")</f>
        <v>221385</v>
      </c>
      <c r="K53" s="55" t="n">
        <f aca="false">SUMIFS(데이터_품목별!$H$3:$H$2984,데이터_품목별!$E$3:$E$2984,"48",데이터_품목별!$A$3:$A$2984,"2024.09")</f>
        <v>206908</v>
      </c>
      <c r="L53" s="55" t="n">
        <f aca="false">SUMIFS(데이터_품목별!$H$3:$H$2984,데이터_품목별!$E$3:$E$2984,"48",데이터_품목별!$A$3:$A$2984,"2024.10")</f>
        <v>227603</v>
      </c>
      <c r="M53" s="55" t="n">
        <f aca="false">SUMIFS(데이터_품목별!$H$3:$H$2984,데이터_품목별!$E$3:$E$2984,"48",데이터_품목별!$A$3:$A$2984,"2024.11")</f>
        <v>214513</v>
      </c>
      <c r="N53" s="55" t="n">
        <f aca="false">SUMIFS(데이터_품목별!$H$3:$H$2984,데이터_품목별!$E$3:$E$2984,"48",데이터_품목별!$A$3:$A$2984,"2024.12")</f>
        <v>225238</v>
      </c>
      <c r="O53" s="55" t="n">
        <f aca="false">SUMIFS(데이터_품목별!$H$3:$H$2984,데이터_품목별!$E$3:$E$2984,"48",데이터_품목별!$A$3:$A$2984,"2025.01")</f>
        <v>208453</v>
      </c>
      <c r="P53" s="55" t="n">
        <f aca="false">SUMIFS(데이터_품목별!$H$3:$H$2984,데이터_품목별!$E$3:$E$2984,"48",데이터_품목별!$A$3:$A$2984,"2025.02")</f>
        <v>236567</v>
      </c>
      <c r="Q53" s="55" t="n">
        <f aca="false">SUMIFS(데이터_품목별!$H$3:$H$2984,데이터_품목별!$E$3:$E$2984,"48",데이터_품목별!$A$3:$A$2984,"2025.03")</f>
        <v>214018</v>
      </c>
      <c r="R53" s="55" t="n">
        <f aca="false">SUMIFS(데이터_품목별!$H$3:$H$2984,데이터_품목별!$E$3:$E$2984,"48",데이터_품목별!$A$3:$A$2984,"2025.04")</f>
        <v>231346</v>
      </c>
      <c r="S53" s="55" t="n">
        <f aca="false">SUMIFS(데이터_품목별!$H$3:$H$2984,데이터_품목별!$E$3:$E$2984,"48",데이터_품목별!$A$3:$A$2984,"2025.05")</f>
        <v>211153</v>
      </c>
      <c r="T53" s="55" t="n">
        <f aca="false">SUMIFS(데이터_품목별!$H$3:$H$2984,데이터_품목별!$E$3:$E$2984,"48",데이터_품목별!$A$3:$A$2984,"2025.06")</f>
        <v>209379</v>
      </c>
      <c r="U53" s="55" t="n">
        <f aca="false">SUMIFS(데이터_품목별!$H$3:$H$2984,데이터_품목별!$E$3:$E$2984,"48",데이터_품목별!$A$3:$A$2984,"2025.07")</f>
        <v>232353</v>
      </c>
      <c r="V53" s="55" t="n">
        <f aca="false">SUMIFS(데이터_품목별!$H$3:$H$2984,데이터_품목별!$E$3:$E$2984,"48",데이터_품목별!$A$3:$A$2984,"2025.08")</f>
        <v>195760</v>
      </c>
      <c r="W53" s="55" t="n">
        <f aca="false">SUMIFS(데이터_품목별!$H$3:$H$2984,데이터_품목별!$E$3:$E$2984,"48",데이터_품목별!$A$3:$A$2984,"2025.09")</f>
        <v>221425</v>
      </c>
      <c r="X53" s="55" t="n">
        <f aca="false">SUMIFS(데이터_품목별!$H$3:$H$2984,데이터_품목별!$E$3:$E$2984,"48",데이터_품목별!$A$3:$A$2984,"2025.10")</f>
        <v>192923</v>
      </c>
      <c r="Y53" s="55" t="n">
        <f aca="false">SUMIFS(데이터_품목별!$H$3:$H$2984,데이터_품목별!$E$3:$E$2984,"48",데이터_품목별!$A$3:$A$2984,"2025.11")</f>
        <v>205343</v>
      </c>
      <c r="Z53" s="55" t="n">
        <f aca="false">SUMIFS(데이터_품목별!$H$3:$H$2984,데이터_품목별!$E$3:$E$2984,"48",데이터_품목별!$A$3:$A$2984,"2025.12")</f>
        <v>227466</v>
      </c>
      <c r="AA53" s="55" t="n">
        <f aca="false">SUMIFS(데이터_품목별!$H$3:$H$2984,데이터_품목별!$E$3:$E$2984,"48",데이터_품목별!$A$3:$A$2984,"2026.01")</f>
        <v>221867</v>
      </c>
      <c r="AB53" s="55" t="n">
        <f aca="false">SUMIFS(데이터_품목별!$H$3:$H$2984,데이터_품목별!$E$3:$E$2984,"48",데이터_품목별!$A$3:$A$2984,"2026.02")</f>
        <v>194053</v>
      </c>
      <c r="AC53" s="55" t="n">
        <f aca="false">SUMIFS(데이터_품목별!$H$3:$H$2984,데이터_품목별!$E$3:$E$2984,"48",데이터_품목별!$A$3:$A$2984,"2026.03")</f>
        <v>239957</v>
      </c>
      <c r="AD53" s="55" t="n">
        <f aca="false">SUMIFS(데이터_품목별!$H$3:$H$2984,데이터_품목별!$E$3:$E$2984,"48",데이터_품목별!$A$3:$A$2984,"2026.04")</f>
        <v>250624</v>
      </c>
      <c r="AE53" s="55" t="n">
        <f aca="false">SUMIFS(데이터_품목별!$H$3:$H$2984,데이터_품목별!$E$3:$E$2984,"48",데이터_품목별!$A$3:$A$2984,"2026.05")</f>
        <v>209019</v>
      </c>
      <c r="AF53" s="55" t="n">
        <f aca="false">SUMIFS(데이터_품목별!$H$3:$H$2984,데이터_품목별!$E$3:$E$2984,"48",데이터_품목별!$A$3:$A$2984,"2026.06")</f>
        <v>234719</v>
      </c>
      <c r="AG53" s="55" t="n">
        <f aca="false">SUMIFS(데이터_품목별!$H$3:$H$2984,데이터_품목별!$E$3:$E$2984,"48",데이터_품목별!$A$3:$A$2984,"2026.07")</f>
        <v>247355</v>
      </c>
    </row>
    <row r="54" customFormat="false" ht="15" hidden="false" customHeight="true" outlineLevel="0" collapsed="false">
      <c r="A54" s="53" t="s">
        <v>681</v>
      </c>
      <c r="B54" s="54" t="s">
        <v>682</v>
      </c>
      <c r="C54" s="55" t="n">
        <f aca="false">SUMIFS(데이터_품목별!$H$3:$H$2984,데이터_품목별!$E$3:$E$2984,"49",데이터_품목별!$A$3:$A$2984,"2024.01")</f>
        <v>26947</v>
      </c>
      <c r="D54" s="55" t="n">
        <f aca="false">SUMIFS(데이터_품목별!$H$3:$H$2984,데이터_품목별!$E$3:$E$2984,"49",데이터_품목별!$A$3:$A$2984,"2024.02")</f>
        <v>24884</v>
      </c>
      <c r="E54" s="55" t="n">
        <f aca="false">SUMIFS(데이터_품목별!$H$3:$H$2984,데이터_품목별!$E$3:$E$2984,"49",데이터_품목별!$A$3:$A$2984,"2024.03")</f>
        <v>19652</v>
      </c>
      <c r="F54" s="55" t="n">
        <f aca="false">SUMIFS(데이터_품목별!$H$3:$H$2984,데이터_품목별!$E$3:$E$2984,"49",데이터_품목별!$A$3:$A$2984,"2024.04")</f>
        <v>32209</v>
      </c>
      <c r="G54" s="55" t="n">
        <f aca="false">SUMIFS(데이터_품목별!$H$3:$H$2984,데이터_품목별!$E$3:$E$2984,"49",데이터_품목별!$A$3:$A$2984,"2024.05")</f>
        <v>28556</v>
      </c>
      <c r="H54" s="55" t="n">
        <f aca="false">SUMIFS(데이터_품목별!$H$3:$H$2984,데이터_품목별!$E$3:$E$2984,"49",데이터_품목별!$A$3:$A$2984,"2024.06")</f>
        <v>47839</v>
      </c>
      <c r="I54" s="55" t="n">
        <f aca="false">SUMIFS(데이터_품목별!$H$3:$H$2984,데이터_품목별!$E$3:$E$2984,"49",데이터_품목별!$A$3:$A$2984,"2024.07")</f>
        <v>38294</v>
      </c>
      <c r="J54" s="55" t="n">
        <f aca="false">SUMIFS(데이터_품목별!$H$3:$H$2984,데이터_품목별!$E$3:$E$2984,"49",데이터_품목별!$A$3:$A$2984,"2024.08")</f>
        <v>23107</v>
      </c>
      <c r="K54" s="55" t="n">
        <f aca="false">SUMIFS(데이터_품목별!$H$3:$H$2984,데이터_품목별!$E$3:$E$2984,"49",데이터_품목별!$A$3:$A$2984,"2024.09")</f>
        <v>35809</v>
      </c>
      <c r="L54" s="55" t="n">
        <f aca="false">SUMIFS(데이터_품목별!$H$3:$H$2984,데이터_품목별!$E$3:$E$2984,"49",데이터_품목별!$A$3:$A$2984,"2024.10")</f>
        <v>36848</v>
      </c>
      <c r="M54" s="55" t="n">
        <f aca="false">SUMIFS(데이터_품목별!$H$3:$H$2984,데이터_품목별!$E$3:$E$2984,"49",데이터_품목별!$A$3:$A$2984,"2024.11")</f>
        <v>44417</v>
      </c>
      <c r="N54" s="55" t="n">
        <f aca="false">SUMIFS(데이터_품목별!$H$3:$H$2984,데이터_품목별!$E$3:$E$2984,"49",데이터_품목별!$A$3:$A$2984,"2024.12")</f>
        <v>43605</v>
      </c>
      <c r="O54" s="55" t="n">
        <f aca="false">SUMIFS(데이터_품목별!$H$3:$H$2984,데이터_품목별!$E$3:$E$2984,"49",데이터_품목별!$A$3:$A$2984,"2025.01")</f>
        <v>22594</v>
      </c>
      <c r="P54" s="55" t="n">
        <f aca="false">SUMIFS(데이터_품목별!$H$3:$H$2984,데이터_품목별!$E$3:$E$2984,"49",데이터_품목별!$A$3:$A$2984,"2025.02")</f>
        <v>30743</v>
      </c>
      <c r="Q54" s="55" t="n">
        <f aca="false">SUMIFS(데이터_품목별!$H$3:$H$2984,데이터_품목별!$E$3:$E$2984,"49",데이터_품목별!$A$3:$A$2984,"2025.03")</f>
        <v>33147</v>
      </c>
      <c r="R54" s="55" t="n">
        <f aca="false">SUMIFS(데이터_품목별!$H$3:$H$2984,데이터_품목별!$E$3:$E$2984,"49",데이터_품목별!$A$3:$A$2984,"2025.04")</f>
        <v>39265</v>
      </c>
      <c r="S54" s="55" t="n">
        <f aca="false">SUMIFS(데이터_품목별!$H$3:$H$2984,데이터_품목별!$E$3:$E$2984,"49",데이터_품목별!$A$3:$A$2984,"2025.05")</f>
        <v>40435</v>
      </c>
      <c r="T54" s="55" t="n">
        <f aca="false">SUMIFS(데이터_품목별!$H$3:$H$2984,데이터_품목별!$E$3:$E$2984,"49",데이터_품목별!$A$3:$A$2984,"2025.06")</f>
        <v>41597</v>
      </c>
      <c r="U54" s="55" t="n">
        <f aca="false">SUMIFS(데이터_품목별!$H$3:$H$2984,데이터_품목별!$E$3:$E$2984,"49",데이터_품목별!$A$3:$A$2984,"2025.07")</f>
        <v>42815</v>
      </c>
      <c r="V54" s="55" t="n">
        <f aca="false">SUMIFS(데이터_품목별!$H$3:$H$2984,데이터_품목별!$E$3:$E$2984,"49",데이터_품목별!$A$3:$A$2984,"2025.08")</f>
        <v>19754</v>
      </c>
      <c r="W54" s="55" t="n">
        <f aca="false">SUMIFS(데이터_품목별!$H$3:$H$2984,데이터_품목별!$E$3:$E$2984,"49",데이터_품목별!$A$3:$A$2984,"2025.09")</f>
        <v>33884</v>
      </c>
      <c r="X54" s="55" t="n">
        <f aca="false">SUMIFS(데이터_품목별!$H$3:$H$2984,데이터_품목별!$E$3:$E$2984,"49",데이터_품목별!$A$3:$A$2984,"2025.10")</f>
        <v>33055</v>
      </c>
      <c r="Y54" s="55" t="n">
        <f aca="false">SUMIFS(데이터_품목별!$H$3:$H$2984,데이터_품목별!$E$3:$E$2984,"49",데이터_품목별!$A$3:$A$2984,"2025.11")</f>
        <v>25234</v>
      </c>
      <c r="Z54" s="55" t="n">
        <f aca="false">SUMIFS(데이터_품목별!$H$3:$H$2984,데이터_품목별!$E$3:$E$2984,"49",데이터_품목별!$A$3:$A$2984,"2025.12")</f>
        <v>27117</v>
      </c>
      <c r="AA54" s="55" t="n">
        <f aca="false">SUMIFS(데이터_품목별!$H$3:$H$2984,데이터_품목별!$E$3:$E$2984,"49",데이터_품목별!$A$3:$A$2984,"2026.01")</f>
        <v>28473</v>
      </c>
      <c r="AB54" s="55" t="n">
        <f aca="false">SUMIFS(데이터_품목별!$H$3:$H$2984,데이터_품목별!$E$3:$E$2984,"49",데이터_품목별!$A$3:$A$2984,"2026.02")</f>
        <v>19249</v>
      </c>
      <c r="AC54" s="55" t="n">
        <f aca="false">SUMIFS(데이터_품목별!$H$3:$H$2984,데이터_품목별!$E$3:$E$2984,"49",데이터_품목별!$A$3:$A$2984,"2026.03")</f>
        <v>23073</v>
      </c>
      <c r="AD54" s="55" t="n">
        <f aca="false">SUMIFS(데이터_품목별!$H$3:$H$2984,데이터_품목별!$E$3:$E$2984,"49",데이터_품목별!$A$3:$A$2984,"2026.04")</f>
        <v>33604</v>
      </c>
      <c r="AE54" s="55" t="n">
        <f aca="false">SUMIFS(데이터_품목별!$H$3:$H$2984,데이터_품목별!$E$3:$E$2984,"49",데이터_품목별!$A$3:$A$2984,"2026.05")</f>
        <v>30136</v>
      </c>
      <c r="AF54" s="55" t="n">
        <f aca="false">SUMIFS(데이터_품목별!$H$3:$H$2984,데이터_품목별!$E$3:$E$2984,"49",데이터_품목별!$A$3:$A$2984,"2026.06")</f>
        <v>37863</v>
      </c>
      <c r="AG54" s="55" t="n">
        <f aca="false">SUMIFS(데이터_품목별!$H$3:$H$2984,데이터_품목별!$E$3:$E$2984,"49",데이터_품목별!$A$3:$A$2984,"2026.07")</f>
        <v>56112</v>
      </c>
    </row>
    <row r="55" customFormat="false" ht="15" hidden="false" customHeight="true" outlineLevel="0" collapsed="false">
      <c r="A55" s="53" t="s">
        <v>688</v>
      </c>
      <c r="B55" s="54" t="s">
        <v>689</v>
      </c>
      <c r="C55" s="55" t="n">
        <f aca="false">SUMIFS(데이터_품목별!$H$3:$H$2984,데이터_품목별!$E$3:$E$2984,"50",데이터_품목별!$A$3:$A$2984,"2024.01")</f>
        <v>1724</v>
      </c>
      <c r="D55" s="55" t="n">
        <f aca="false">SUMIFS(데이터_품목별!$H$3:$H$2984,데이터_품목별!$E$3:$E$2984,"50",데이터_품목별!$A$3:$A$2984,"2024.02")</f>
        <v>1767</v>
      </c>
      <c r="E55" s="55" t="n">
        <f aca="false">SUMIFS(데이터_품목별!$H$3:$H$2984,데이터_품목별!$E$3:$E$2984,"50",데이터_품목별!$A$3:$A$2984,"2024.03")</f>
        <v>1136</v>
      </c>
      <c r="F55" s="55" t="n">
        <f aca="false">SUMIFS(데이터_품목별!$H$3:$H$2984,데이터_품목별!$E$3:$E$2984,"50",데이터_품목별!$A$3:$A$2984,"2024.04")</f>
        <v>1939</v>
      </c>
      <c r="G55" s="55" t="n">
        <f aca="false">SUMIFS(데이터_품목별!$H$3:$H$2984,데이터_품목별!$E$3:$E$2984,"50",데이터_품목별!$A$3:$A$2984,"2024.05")</f>
        <v>1232</v>
      </c>
      <c r="H55" s="55" t="n">
        <f aca="false">SUMIFS(데이터_품목별!$H$3:$H$2984,데이터_품목별!$E$3:$E$2984,"50",데이터_품목별!$A$3:$A$2984,"2024.06")</f>
        <v>1451</v>
      </c>
      <c r="I55" s="55" t="n">
        <f aca="false">SUMIFS(데이터_품목별!$H$3:$H$2984,데이터_품목별!$E$3:$E$2984,"50",데이터_품목별!$A$3:$A$2984,"2024.07")</f>
        <v>1671</v>
      </c>
      <c r="J55" s="55" t="n">
        <f aca="false">SUMIFS(데이터_품목별!$H$3:$H$2984,데이터_품목별!$E$3:$E$2984,"50",데이터_품목별!$A$3:$A$2984,"2024.08")</f>
        <v>1074</v>
      </c>
      <c r="K55" s="55" t="n">
        <f aca="false">SUMIFS(데이터_품목별!$H$3:$H$2984,데이터_품목별!$E$3:$E$2984,"50",데이터_품목별!$A$3:$A$2984,"2024.09")</f>
        <v>1231</v>
      </c>
      <c r="L55" s="55" t="n">
        <f aca="false">SUMIFS(데이터_품목별!$H$3:$H$2984,데이터_품목별!$E$3:$E$2984,"50",데이터_품목별!$A$3:$A$2984,"2024.10")</f>
        <v>1609</v>
      </c>
      <c r="M55" s="55" t="n">
        <f aca="false">SUMIFS(데이터_품목별!$H$3:$H$2984,데이터_품목별!$E$3:$E$2984,"50",데이터_품목별!$A$3:$A$2984,"2024.11")</f>
        <v>1866</v>
      </c>
      <c r="N55" s="55" t="n">
        <f aca="false">SUMIFS(데이터_품목별!$H$3:$H$2984,데이터_품목별!$E$3:$E$2984,"50",데이터_품목별!$A$3:$A$2984,"2024.12")</f>
        <v>1093</v>
      </c>
      <c r="O55" s="55" t="n">
        <f aca="false">SUMIFS(데이터_품목별!$H$3:$H$2984,데이터_품목별!$E$3:$E$2984,"50",데이터_품목별!$A$3:$A$2984,"2025.01")</f>
        <v>1291</v>
      </c>
      <c r="P55" s="55" t="n">
        <f aca="false">SUMIFS(데이터_품목별!$H$3:$H$2984,데이터_품목별!$E$3:$E$2984,"50",데이터_품목별!$A$3:$A$2984,"2025.02")</f>
        <v>1801</v>
      </c>
      <c r="Q55" s="55" t="n">
        <f aca="false">SUMIFS(데이터_품목별!$H$3:$H$2984,데이터_품목별!$E$3:$E$2984,"50",데이터_품목별!$A$3:$A$2984,"2025.03")</f>
        <v>1249</v>
      </c>
      <c r="R55" s="55" t="n">
        <f aca="false">SUMIFS(데이터_품목별!$H$3:$H$2984,데이터_품목별!$E$3:$E$2984,"50",데이터_품목별!$A$3:$A$2984,"2025.04")</f>
        <v>1485</v>
      </c>
      <c r="S55" s="55" t="n">
        <f aca="false">SUMIFS(데이터_품목별!$H$3:$H$2984,데이터_품목별!$E$3:$E$2984,"50",데이터_품목별!$A$3:$A$2984,"2025.05")</f>
        <v>1093</v>
      </c>
      <c r="T55" s="55" t="n">
        <f aca="false">SUMIFS(데이터_품목별!$H$3:$H$2984,데이터_품목별!$E$3:$E$2984,"50",데이터_품목별!$A$3:$A$2984,"2025.06")</f>
        <v>1530</v>
      </c>
      <c r="U55" s="55" t="n">
        <f aca="false">SUMIFS(데이터_품목별!$H$3:$H$2984,데이터_품목별!$E$3:$E$2984,"50",데이터_품목별!$A$3:$A$2984,"2025.07")</f>
        <v>2490</v>
      </c>
      <c r="V55" s="55" t="n">
        <f aca="false">SUMIFS(데이터_품목별!$H$3:$H$2984,데이터_품목별!$E$3:$E$2984,"50",데이터_품목별!$A$3:$A$2984,"2025.08")</f>
        <v>852</v>
      </c>
      <c r="W55" s="55" t="n">
        <f aca="false">SUMIFS(데이터_품목별!$H$3:$H$2984,데이터_품목별!$E$3:$E$2984,"50",데이터_품목별!$A$3:$A$2984,"2025.09")</f>
        <v>1589</v>
      </c>
      <c r="X55" s="55" t="n">
        <f aca="false">SUMIFS(데이터_품목별!$H$3:$H$2984,데이터_품목별!$E$3:$E$2984,"50",데이터_품목별!$A$3:$A$2984,"2025.10")</f>
        <v>1336</v>
      </c>
      <c r="Y55" s="55" t="n">
        <f aca="false">SUMIFS(데이터_품목별!$H$3:$H$2984,데이터_품목별!$E$3:$E$2984,"50",데이터_품목별!$A$3:$A$2984,"2025.11")</f>
        <v>1589</v>
      </c>
      <c r="Z55" s="55" t="n">
        <f aca="false">SUMIFS(데이터_품목별!$H$3:$H$2984,데이터_품목별!$E$3:$E$2984,"50",데이터_품목별!$A$3:$A$2984,"2025.12")</f>
        <v>1541</v>
      </c>
      <c r="AA55" s="55" t="n">
        <f aca="false">SUMIFS(데이터_품목별!$H$3:$H$2984,데이터_품목별!$E$3:$E$2984,"50",데이터_품목별!$A$3:$A$2984,"2026.01")</f>
        <v>1579</v>
      </c>
      <c r="AB55" s="55" t="n">
        <f aca="false">SUMIFS(데이터_품목별!$H$3:$H$2984,데이터_품목별!$E$3:$E$2984,"50",데이터_품목별!$A$3:$A$2984,"2026.02")</f>
        <v>1855</v>
      </c>
      <c r="AC55" s="55" t="n">
        <f aca="false">SUMIFS(데이터_품목별!$H$3:$H$2984,데이터_품목별!$E$3:$E$2984,"50",데이터_품목별!$A$3:$A$2984,"2026.03")</f>
        <v>1185</v>
      </c>
      <c r="AD55" s="55" t="n">
        <f aca="false">SUMIFS(데이터_품목별!$H$3:$H$2984,데이터_품목별!$E$3:$E$2984,"50",데이터_품목별!$A$3:$A$2984,"2026.04")</f>
        <v>1900</v>
      </c>
      <c r="AE55" s="55" t="n">
        <f aca="false">SUMIFS(데이터_품목별!$H$3:$H$2984,데이터_품목별!$E$3:$E$2984,"50",데이터_품목별!$A$3:$A$2984,"2026.05")</f>
        <v>1850</v>
      </c>
      <c r="AF55" s="55" t="n">
        <f aca="false">SUMIFS(데이터_품목별!$H$3:$H$2984,데이터_품목별!$E$3:$E$2984,"50",데이터_품목별!$A$3:$A$2984,"2026.06")</f>
        <v>1660</v>
      </c>
      <c r="AG55" s="55" t="n">
        <f aca="false">SUMIFS(데이터_품목별!$H$3:$H$2984,데이터_품목별!$E$3:$E$2984,"50",데이터_품목별!$A$3:$A$2984,"2026.07")</f>
        <v>2521</v>
      </c>
    </row>
    <row r="56" customFormat="false" ht="15" hidden="false" customHeight="true" outlineLevel="0" collapsed="false">
      <c r="A56" s="53" t="s">
        <v>695</v>
      </c>
      <c r="B56" s="54" t="s">
        <v>696</v>
      </c>
      <c r="C56" s="55" t="n">
        <f aca="false">SUMIFS(데이터_품목별!$H$3:$H$2984,데이터_품목별!$E$3:$E$2984,"51",데이터_품목별!$A$3:$A$2984,"2024.01")</f>
        <v>2673</v>
      </c>
      <c r="D56" s="55" t="n">
        <f aca="false">SUMIFS(데이터_품목별!$H$3:$H$2984,데이터_품목별!$E$3:$E$2984,"51",데이터_품목별!$A$3:$A$2984,"2024.02")</f>
        <v>2702</v>
      </c>
      <c r="E56" s="55" t="n">
        <f aca="false">SUMIFS(데이터_품목별!$H$3:$H$2984,데이터_품목별!$E$3:$E$2984,"51",데이터_품목별!$A$3:$A$2984,"2024.03")</f>
        <v>3039</v>
      </c>
      <c r="F56" s="55" t="n">
        <f aca="false">SUMIFS(데이터_품목별!$H$3:$H$2984,데이터_품목별!$E$3:$E$2984,"51",데이터_품목별!$A$3:$A$2984,"2024.04")</f>
        <v>8422</v>
      </c>
      <c r="G56" s="55" t="n">
        <f aca="false">SUMIFS(데이터_품목별!$H$3:$H$2984,데이터_품목별!$E$3:$E$2984,"51",데이터_품목별!$A$3:$A$2984,"2024.05")</f>
        <v>9649</v>
      </c>
      <c r="H56" s="55" t="n">
        <f aca="false">SUMIFS(데이터_품목별!$H$3:$H$2984,데이터_품목별!$E$3:$E$2984,"51",데이터_품목별!$A$3:$A$2984,"2024.06")</f>
        <v>7949</v>
      </c>
      <c r="I56" s="55" t="n">
        <f aca="false">SUMIFS(데이터_품목별!$H$3:$H$2984,데이터_품목별!$E$3:$E$2984,"51",데이터_품목별!$A$3:$A$2984,"2024.07")</f>
        <v>6373</v>
      </c>
      <c r="J56" s="55" t="n">
        <f aca="false">SUMIFS(데이터_품목별!$H$3:$H$2984,데이터_품목별!$E$3:$E$2984,"51",데이터_품목별!$A$3:$A$2984,"2024.08")</f>
        <v>2324</v>
      </c>
      <c r="K56" s="55" t="n">
        <f aca="false">SUMIFS(데이터_품목별!$H$3:$H$2984,데이터_품목별!$E$3:$E$2984,"51",데이터_품목별!$A$3:$A$2984,"2024.09")</f>
        <v>2783</v>
      </c>
      <c r="L56" s="55" t="n">
        <f aca="false">SUMIFS(데이터_품목별!$H$3:$H$2984,데이터_품목별!$E$3:$E$2984,"51",데이터_품목별!$A$3:$A$2984,"2024.10")</f>
        <v>2008</v>
      </c>
      <c r="M56" s="55" t="n">
        <f aca="false">SUMIFS(데이터_품목별!$H$3:$H$2984,데이터_품목별!$E$3:$E$2984,"51",데이터_품목별!$A$3:$A$2984,"2024.11")</f>
        <v>2410</v>
      </c>
      <c r="N56" s="55" t="n">
        <f aca="false">SUMIFS(데이터_품목별!$H$3:$H$2984,데이터_품목별!$E$3:$E$2984,"51",데이터_품목별!$A$3:$A$2984,"2024.12")</f>
        <v>1548</v>
      </c>
      <c r="O56" s="55" t="n">
        <f aca="false">SUMIFS(데이터_품목별!$H$3:$H$2984,데이터_품목별!$E$3:$E$2984,"51",데이터_품목별!$A$3:$A$2984,"2025.01")</f>
        <v>2214</v>
      </c>
      <c r="P56" s="55" t="n">
        <f aca="false">SUMIFS(데이터_품목별!$H$3:$H$2984,데이터_품목별!$E$3:$E$2984,"51",데이터_품목별!$A$3:$A$2984,"2025.02")</f>
        <v>1243</v>
      </c>
      <c r="Q56" s="55" t="n">
        <f aca="false">SUMIFS(데이터_품목별!$H$3:$H$2984,데이터_품목별!$E$3:$E$2984,"51",데이터_품목별!$A$3:$A$2984,"2025.03")</f>
        <v>2115</v>
      </c>
      <c r="R56" s="55" t="n">
        <f aca="false">SUMIFS(데이터_품목별!$H$3:$H$2984,데이터_품목별!$E$3:$E$2984,"51",데이터_품목별!$A$3:$A$2984,"2025.04")</f>
        <v>3987</v>
      </c>
      <c r="S56" s="55" t="n">
        <f aca="false">SUMIFS(데이터_품목별!$H$3:$H$2984,데이터_품목별!$E$3:$E$2984,"51",데이터_품목별!$A$3:$A$2984,"2025.05")</f>
        <v>6844</v>
      </c>
      <c r="T56" s="55" t="n">
        <f aca="false">SUMIFS(데이터_품목별!$H$3:$H$2984,데이터_품목별!$E$3:$E$2984,"51",데이터_품목별!$A$3:$A$2984,"2025.06")</f>
        <v>5585</v>
      </c>
      <c r="U56" s="55" t="n">
        <f aca="false">SUMIFS(데이터_품목별!$H$3:$H$2984,데이터_품목별!$E$3:$E$2984,"51",데이터_품목별!$A$3:$A$2984,"2025.07")</f>
        <v>5836</v>
      </c>
      <c r="V56" s="55" t="n">
        <f aca="false">SUMIFS(데이터_품목별!$H$3:$H$2984,데이터_품목별!$E$3:$E$2984,"51",데이터_품목별!$A$3:$A$2984,"2025.08")</f>
        <v>2539</v>
      </c>
      <c r="W56" s="55" t="n">
        <f aca="false">SUMIFS(데이터_품목별!$H$3:$H$2984,데이터_품목별!$E$3:$E$2984,"51",데이터_품목별!$A$3:$A$2984,"2025.09")</f>
        <v>1811</v>
      </c>
      <c r="X56" s="55" t="n">
        <f aca="false">SUMIFS(데이터_품목별!$H$3:$H$2984,데이터_품목별!$E$3:$E$2984,"51",데이터_품목별!$A$3:$A$2984,"2025.10")</f>
        <v>1608</v>
      </c>
      <c r="Y56" s="55" t="n">
        <f aca="false">SUMIFS(데이터_품목별!$H$3:$H$2984,데이터_품목별!$E$3:$E$2984,"51",데이터_품목별!$A$3:$A$2984,"2025.11")</f>
        <v>2313</v>
      </c>
      <c r="Z56" s="55" t="n">
        <f aca="false">SUMIFS(데이터_품목별!$H$3:$H$2984,데이터_품목별!$E$3:$E$2984,"51",데이터_품목별!$A$3:$A$2984,"2025.12")</f>
        <v>1324</v>
      </c>
      <c r="AA56" s="55" t="n">
        <f aca="false">SUMIFS(데이터_품목별!$H$3:$H$2984,데이터_품목별!$E$3:$E$2984,"51",데이터_품목별!$A$3:$A$2984,"2026.01")</f>
        <v>1855</v>
      </c>
      <c r="AB56" s="55" t="n">
        <f aca="false">SUMIFS(데이터_품목별!$H$3:$H$2984,데이터_품목별!$E$3:$E$2984,"51",데이터_품목별!$A$3:$A$2984,"2026.02")</f>
        <v>497</v>
      </c>
      <c r="AC56" s="55" t="n">
        <f aca="false">SUMIFS(데이터_품목별!$H$3:$H$2984,데이터_품목별!$E$3:$E$2984,"51",데이터_품목별!$A$3:$A$2984,"2026.03")</f>
        <v>2503</v>
      </c>
      <c r="AD56" s="55" t="n">
        <f aca="false">SUMIFS(데이터_품목별!$H$3:$H$2984,데이터_품목별!$E$3:$E$2984,"51",데이터_품목별!$A$3:$A$2984,"2026.04")</f>
        <v>5311</v>
      </c>
      <c r="AE56" s="55" t="n">
        <f aca="false">SUMIFS(데이터_품목별!$H$3:$H$2984,데이터_품목별!$E$3:$E$2984,"51",데이터_품목별!$A$3:$A$2984,"2026.05")</f>
        <v>5058</v>
      </c>
      <c r="AF56" s="55" t="n">
        <f aca="false">SUMIFS(데이터_품목별!$H$3:$H$2984,데이터_품목별!$E$3:$E$2984,"51",데이터_품목별!$A$3:$A$2984,"2026.06")</f>
        <v>7180</v>
      </c>
      <c r="AG56" s="55" t="n">
        <f aca="false">SUMIFS(데이터_품목별!$H$3:$H$2984,데이터_품목별!$E$3:$E$2984,"51",데이터_품목별!$A$3:$A$2984,"2026.07")</f>
        <v>5200</v>
      </c>
    </row>
    <row r="57" customFormat="false" ht="15" hidden="false" customHeight="true" outlineLevel="0" collapsed="false">
      <c r="A57" s="53" t="s">
        <v>702</v>
      </c>
      <c r="B57" s="54" t="s">
        <v>703</v>
      </c>
      <c r="C57" s="55" t="n">
        <f aca="false">SUMIFS(데이터_품목별!$H$3:$H$2984,데이터_품목별!$E$3:$E$2984,"52",데이터_품목별!$A$3:$A$2984,"2024.01")</f>
        <v>21683</v>
      </c>
      <c r="D57" s="55" t="n">
        <f aca="false">SUMIFS(데이터_품목별!$H$3:$H$2984,데이터_품목별!$E$3:$E$2984,"52",데이터_품목별!$A$3:$A$2984,"2024.02")</f>
        <v>21304</v>
      </c>
      <c r="E57" s="55" t="n">
        <f aca="false">SUMIFS(데이터_품목별!$H$3:$H$2984,데이터_품목별!$E$3:$E$2984,"52",데이터_품목별!$A$3:$A$2984,"2024.03")</f>
        <v>20915</v>
      </c>
      <c r="F57" s="55" t="n">
        <f aca="false">SUMIFS(데이터_품목별!$H$3:$H$2984,데이터_품목별!$E$3:$E$2984,"52",데이터_품목별!$A$3:$A$2984,"2024.04")</f>
        <v>26190</v>
      </c>
      <c r="G57" s="55" t="n">
        <f aca="false">SUMIFS(데이터_품목별!$H$3:$H$2984,데이터_품목별!$E$3:$E$2984,"52",데이터_품목별!$A$3:$A$2984,"2024.05")</f>
        <v>28686</v>
      </c>
      <c r="H57" s="55" t="n">
        <f aca="false">SUMIFS(데이터_품목별!$H$3:$H$2984,데이터_품목별!$E$3:$E$2984,"52",데이터_품목별!$A$3:$A$2984,"2024.06")</f>
        <v>25519</v>
      </c>
      <c r="I57" s="55" t="n">
        <f aca="false">SUMIFS(데이터_품목별!$H$3:$H$2984,데이터_품목별!$E$3:$E$2984,"52",데이터_품목별!$A$3:$A$2984,"2024.07")</f>
        <v>26800</v>
      </c>
      <c r="J57" s="55" t="n">
        <f aca="false">SUMIFS(데이터_품목별!$H$3:$H$2984,데이터_품목별!$E$3:$E$2984,"52",데이터_품목별!$A$3:$A$2984,"2024.08")</f>
        <v>23559</v>
      </c>
      <c r="K57" s="55" t="n">
        <f aca="false">SUMIFS(데이터_품목별!$H$3:$H$2984,데이터_품목별!$E$3:$E$2984,"52",데이터_품목별!$A$3:$A$2984,"2024.09")</f>
        <v>25928</v>
      </c>
      <c r="L57" s="55" t="n">
        <f aca="false">SUMIFS(데이터_품목별!$H$3:$H$2984,데이터_품목별!$E$3:$E$2984,"52",데이터_품목별!$A$3:$A$2984,"2024.10")</f>
        <v>27811</v>
      </c>
      <c r="M57" s="55" t="n">
        <f aca="false">SUMIFS(데이터_품목별!$H$3:$H$2984,데이터_품목별!$E$3:$E$2984,"52",데이터_품목별!$A$3:$A$2984,"2024.11")</f>
        <v>27465</v>
      </c>
      <c r="N57" s="55" t="n">
        <f aca="false">SUMIFS(데이터_품목별!$H$3:$H$2984,데이터_품목별!$E$3:$E$2984,"52",데이터_품목별!$A$3:$A$2984,"2024.12")</f>
        <v>27162</v>
      </c>
      <c r="O57" s="55" t="n">
        <f aca="false">SUMIFS(데이터_품목별!$H$3:$H$2984,데이터_품목별!$E$3:$E$2984,"52",데이터_품목별!$A$3:$A$2984,"2025.01")</f>
        <v>20928</v>
      </c>
      <c r="P57" s="55" t="n">
        <f aca="false">SUMIFS(데이터_품목별!$H$3:$H$2984,데이터_품목별!$E$3:$E$2984,"52",데이터_품목별!$A$3:$A$2984,"2025.02")</f>
        <v>20926</v>
      </c>
      <c r="Q57" s="55" t="n">
        <f aca="false">SUMIFS(데이터_품목별!$H$3:$H$2984,데이터_품목별!$E$3:$E$2984,"52",데이터_품목별!$A$3:$A$2984,"2025.03")</f>
        <v>22837</v>
      </c>
      <c r="R57" s="55" t="n">
        <f aca="false">SUMIFS(데이터_품목별!$H$3:$H$2984,데이터_품목별!$E$3:$E$2984,"52",데이터_품목별!$A$3:$A$2984,"2025.04")</f>
        <v>24505</v>
      </c>
      <c r="S57" s="55" t="n">
        <f aca="false">SUMIFS(데이터_품목별!$H$3:$H$2984,데이터_품목별!$E$3:$E$2984,"52",데이터_품목별!$A$3:$A$2984,"2025.05")</f>
        <v>26928</v>
      </c>
      <c r="T57" s="55" t="n">
        <f aca="false">SUMIFS(데이터_품목별!$H$3:$H$2984,데이터_품목별!$E$3:$E$2984,"52",데이터_품목별!$A$3:$A$2984,"2025.06")</f>
        <v>25149</v>
      </c>
      <c r="U57" s="55" t="n">
        <f aca="false">SUMIFS(데이터_품목별!$H$3:$H$2984,데이터_품목별!$E$3:$E$2984,"52",데이터_품목별!$A$3:$A$2984,"2025.07")</f>
        <v>23214</v>
      </c>
      <c r="V57" s="55" t="n">
        <f aca="false">SUMIFS(데이터_품목별!$H$3:$H$2984,데이터_품목별!$E$3:$E$2984,"52",데이터_품목별!$A$3:$A$2984,"2025.08")</f>
        <v>17992</v>
      </c>
      <c r="W57" s="55" t="n">
        <f aca="false">SUMIFS(데이터_품목별!$H$3:$H$2984,데이터_품목별!$E$3:$E$2984,"52",데이터_품목별!$A$3:$A$2984,"2025.09")</f>
        <v>25972</v>
      </c>
      <c r="X57" s="55" t="n">
        <f aca="false">SUMIFS(데이터_품목별!$H$3:$H$2984,데이터_품목별!$E$3:$E$2984,"52",데이터_품목별!$A$3:$A$2984,"2025.10")</f>
        <v>21655</v>
      </c>
      <c r="Y57" s="55" t="n">
        <f aca="false">SUMIFS(데이터_품목별!$H$3:$H$2984,데이터_품목별!$E$3:$E$2984,"52",데이터_품목별!$A$3:$A$2984,"2025.11")</f>
        <v>22927</v>
      </c>
      <c r="Z57" s="55" t="n">
        <f aca="false">SUMIFS(데이터_품목별!$H$3:$H$2984,데이터_품목별!$E$3:$E$2984,"52",데이터_품목별!$A$3:$A$2984,"2025.12")</f>
        <v>26699</v>
      </c>
      <c r="AA57" s="55" t="n">
        <f aca="false">SUMIFS(데이터_품목별!$H$3:$H$2984,데이터_품목별!$E$3:$E$2984,"52",데이터_품목별!$A$3:$A$2984,"2026.01")</f>
        <v>21816</v>
      </c>
      <c r="AB57" s="55" t="n">
        <f aca="false">SUMIFS(데이터_품목별!$H$3:$H$2984,데이터_품목별!$E$3:$E$2984,"52",데이터_품목별!$A$3:$A$2984,"2026.02")</f>
        <v>18146</v>
      </c>
      <c r="AC57" s="55" t="n">
        <f aca="false">SUMIFS(데이터_품목별!$H$3:$H$2984,데이터_품목별!$E$3:$E$2984,"52",데이터_품목별!$A$3:$A$2984,"2026.03")</f>
        <v>25662</v>
      </c>
      <c r="AD57" s="55" t="n">
        <f aca="false">SUMIFS(데이터_품목별!$H$3:$H$2984,데이터_품목별!$E$3:$E$2984,"52",데이터_품목별!$A$3:$A$2984,"2026.04")</f>
        <v>26469</v>
      </c>
      <c r="AE57" s="55" t="n">
        <f aca="false">SUMIFS(데이터_품목별!$H$3:$H$2984,데이터_품목별!$E$3:$E$2984,"52",데이터_품목별!$A$3:$A$2984,"2026.05")</f>
        <v>22835</v>
      </c>
      <c r="AF57" s="55" t="n">
        <f aca="false">SUMIFS(데이터_품목별!$H$3:$H$2984,데이터_품목별!$E$3:$E$2984,"52",데이터_품목별!$A$3:$A$2984,"2026.06")</f>
        <v>23876</v>
      </c>
      <c r="AG57" s="55" t="n">
        <f aca="false">SUMIFS(데이터_품목별!$H$3:$H$2984,데이터_품목별!$E$3:$E$2984,"52",데이터_품목별!$A$3:$A$2984,"2026.07")</f>
        <v>24752</v>
      </c>
    </row>
    <row r="58" customFormat="false" ht="15" hidden="false" customHeight="true" outlineLevel="0" collapsed="false">
      <c r="A58" s="53" t="s">
        <v>709</v>
      </c>
      <c r="B58" s="54" t="s">
        <v>710</v>
      </c>
      <c r="C58" s="55" t="n">
        <f aca="false">SUMIFS(데이터_품목별!$H$3:$H$2984,데이터_품목별!$E$3:$E$2984,"53",데이터_품목별!$A$3:$A$2984,"2024.01")</f>
        <v>829</v>
      </c>
      <c r="D58" s="55" t="n">
        <f aca="false">SUMIFS(데이터_품목별!$H$3:$H$2984,데이터_품목별!$E$3:$E$2984,"53",데이터_품목별!$A$3:$A$2984,"2024.02")</f>
        <v>665</v>
      </c>
      <c r="E58" s="55" t="n">
        <f aca="false">SUMIFS(데이터_품목별!$H$3:$H$2984,데이터_품목별!$E$3:$E$2984,"53",데이터_품목별!$A$3:$A$2984,"2024.03")</f>
        <v>452</v>
      </c>
      <c r="F58" s="55" t="n">
        <f aca="false">SUMIFS(데이터_품목별!$H$3:$H$2984,데이터_품목별!$E$3:$E$2984,"53",데이터_품목별!$A$3:$A$2984,"2024.04")</f>
        <v>348</v>
      </c>
      <c r="G58" s="55" t="n">
        <f aca="false">SUMIFS(데이터_품목별!$H$3:$H$2984,데이터_품목별!$E$3:$E$2984,"53",데이터_품목별!$A$3:$A$2984,"2024.05")</f>
        <v>429</v>
      </c>
      <c r="H58" s="55" t="n">
        <f aca="false">SUMIFS(데이터_품목별!$H$3:$H$2984,데이터_품목별!$E$3:$E$2984,"53",데이터_품목별!$A$3:$A$2984,"2024.06")</f>
        <v>162</v>
      </c>
      <c r="I58" s="55" t="n">
        <f aca="false">SUMIFS(데이터_품목별!$H$3:$H$2984,데이터_품목별!$E$3:$E$2984,"53",데이터_품목별!$A$3:$A$2984,"2024.07")</f>
        <v>318</v>
      </c>
      <c r="J58" s="55" t="n">
        <f aca="false">SUMIFS(데이터_품목별!$H$3:$H$2984,데이터_품목별!$E$3:$E$2984,"53",데이터_품목별!$A$3:$A$2984,"2024.08")</f>
        <v>234</v>
      </c>
      <c r="K58" s="55" t="n">
        <f aca="false">SUMIFS(데이터_품목별!$H$3:$H$2984,데이터_품목별!$E$3:$E$2984,"53",데이터_품목별!$A$3:$A$2984,"2024.09")</f>
        <v>412</v>
      </c>
      <c r="L58" s="55" t="n">
        <f aca="false">SUMIFS(데이터_품목별!$H$3:$H$2984,데이터_품목별!$E$3:$E$2984,"53",데이터_품목별!$A$3:$A$2984,"2024.10")</f>
        <v>394</v>
      </c>
      <c r="M58" s="55" t="n">
        <f aca="false">SUMIFS(데이터_품목별!$H$3:$H$2984,데이터_품목별!$E$3:$E$2984,"53",데이터_품목별!$A$3:$A$2984,"2024.11")</f>
        <v>1663</v>
      </c>
      <c r="N58" s="55" t="n">
        <f aca="false">SUMIFS(데이터_품목별!$H$3:$H$2984,데이터_품목별!$E$3:$E$2984,"53",데이터_품목별!$A$3:$A$2984,"2024.12")</f>
        <v>1344</v>
      </c>
      <c r="O58" s="55" t="n">
        <f aca="false">SUMIFS(데이터_품목별!$H$3:$H$2984,데이터_품목별!$E$3:$E$2984,"53",데이터_품목별!$A$3:$A$2984,"2025.01")</f>
        <v>1182</v>
      </c>
      <c r="P58" s="55" t="n">
        <f aca="false">SUMIFS(데이터_품목별!$H$3:$H$2984,데이터_품목별!$E$3:$E$2984,"53",데이터_품목별!$A$3:$A$2984,"2025.02")</f>
        <v>502</v>
      </c>
      <c r="Q58" s="55" t="n">
        <f aca="false">SUMIFS(데이터_품목별!$H$3:$H$2984,데이터_품목별!$E$3:$E$2984,"53",데이터_품목별!$A$3:$A$2984,"2025.03")</f>
        <v>502</v>
      </c>
      <c r="R58" s="55" t="n">
        <f aca="false">SUMIFS(데이터_품목별!$H$3:$H$2984,데이터_품목별!$E$3:$E$2984,"53",데이터_품목별!$A$3:$A$2984,"2025.04")</f>
        <v>454</v>
      </c>
      <c r="S58" s="55" t="n">
        <f aca="false">SUMIFS(데이터_품목별!$H$3:$H$2984,데이터_품목별!$E$3:$E$2984,"53",데이터_품목별!$A$3:$A$2984,"2025.05")</f>
        <v>397</v>
      </c>
      <c r="T58" s="55" t="n">
        <f aca="false">SUMIFS(데이터_품목별!$H$3:$H$2984,데이터_품목별!$E$3:$E$2984,"53",데이터_품목별!$A$3:$A$2984,"2025.06")</f>
        <v>332</v>
      </c>
      <c r="U58" s="55" t="n">
        <f aca="false">SUMIFS(데이터_품목별!$H$3:$H$2984,데이터_품목별!$E$3:$E$2984,"53",데이터_품목별!$A$3:$A$2984,"2025.07")</f>
        <v>338</v>
      </c>
      <c r="V58" s="55" t="n">
        <f aca="false">SUMIFS(데이터_품목별!$H$3:$H$2984,데이터_품목별!$E$3:$E$2984,"53",데이터_품목별!$A$3:$A$2984,"2025.08")</f>
        <v>161</v>
      </c>
      <c r="W58" s="55" t="n">
        <f aca="false">SUMIFS(데이터_품목별!$H$3:$H$2984,데이터_품목별!$E$3:$E$2984,"53",데이터_품목별!$A$3:$A$2984,"2025.09")</f>
        <v>654</v>
      </c>
      <c r="X58" s="55" t="n">
        <f aca="false">SUMIFS(데이터_품목별!$H$3:$H$2984,데이터_품목별!$E$3:$E$2984,"53",데이터_품목별!$A$3:$A$2984,"2025.10")</f>
        <v>339</v>
      </c>
      <c r="Y58" s="55" t="n">
        <f aca="false">SUMIFS(데이터_품목별!$H$3:$H$2984,데이터_품목별!$E$3:$E$2984,"53",데이터_품목별!$A$3:$A$2984,"2025.11")</f>
        <v>766</v>
      </c>
      <c r="Z58" s="55" t="n">
        <f aca="false">SUMIFS(데이터_품목별!$H$3:$H$2984,데이터_품목별!$E$3:$E$2984,"53",데이터_품목별!$A$3:$A$2984,"2025.12")</f>
        <v>880</v>
      </c>
      <c r="AA58" s="55" t="n">
        <f aca="false">SUMIFS(데이터_품목별!$H$3:$H$2984,데이터_품목별!$E$3:$E$2984,"53",데이터_품목별!$A$3:$A$2984,"2026.01")</f>
        <v>828</v>
      </c>
      <c r="AB58" s="55" t="n">
        <f aca="false">SUMIFS(데이터_품목별!$H$3:$H$2984,데이터_품목별!$E$3:$E$2984,"53",데이터_품목별!$A$3:$A$2984,"2026.02")</f>
        <v>291</v>
      </c>
      <c r="AC58" s="55" t="n">
        <f aca="false">SUMIFS(데이터_품목별!$H$3:$H$2984,데이터_품목별!$E$3:$E$2984,"53",데이터_품목별!$A$3:$A$2984,"2026.03")</f>
        <v>490</v>
      </c>
      <c r="AD58" s="55" t="n">
        <f aca="false">SUMIFS(데이터_품목별!$H$3:$H$2984,데이터_품목별!$E$3:$E$2984,"53",데이터_품목별!$A$3:$A$2984,"2026.04")</f>
        <v>315</v>
      </c>
      <c r="AE58" s="55" t="n">
        <f aca="false">SUMIFS(데이터_품목별!$H$3:$H$2984,데이터_품목별!$E$3:$E$2984,"53",데이터_품목별!$A$3:$A$2984,"2026.05")</f>
        <v>344</v>
      </c>
      <c r="AF58" s="55" t="n">
        <f aca="false">SUMIFS(데이터_품목별!$H$3:$H$2984,데이터_품목별!$E$3:$E$2984,"53",데이터_품목별!$A$3:$A$2984,"2026.06")</f>
        <v>333</v>
      </c>
      <c r="AG58" s="55" t="n">
        <f aca="false">SUMIFS(데이터_품목별!$H$3:$H$2984,데이터_품목별!$E$3:$E$2984,"53",데이터_품목별!$A$3:$A$2984,"2026.07")</f>
        <v>157</v>
      </c>
    </row>
    <row r="59" customFormat="false" ht="15" hidden="false" customHeight="true" outlineLevel="0" collapsed="false">
      <c r="A59" s="53" t="s">
        <v>716</v>
      </c>
      <c r="B59" s="54" t="s">
        <v>717</v>
      </c>
      <c r="C59" s="55" t="n">
        <f aca="false">SUMIFS(데이터_품목별!$H$3:$H$2984,데이터_품목별!$E$3:$E$2984,"54",데이터_품목별!$A$3:$A$2984,"2024.01")</f>
        <v>171295</v>
      </c>
      <c r="D59" s="55" t="n">
        <f aca="false">SUMIFS(데이터_품목별!$H$3:$H$2984,데이터_품목별!$E$3:$E$2984,"54",데이터_품목별!$A$3:$A$2984,"2024.02")</f>
        <v>160685</v>
      </c>
      <c r="E59" s="55" t="n">
        <f aca="false">SUMIFS(데이터_품목별!$H$3:$H$2984,데이터_품목별!$E$3:$E$2984,"54",데이터_품목별!$A$3:$A$2984,"2024.03")</f>
        <v>170478</v>
      </c>
      <c r="F59" s="55" t="n">
        <f aca="false">SUMIFS(데이터_품목별!$H$3:$H$2984,데이터_품목별!$E$3:$E$2984,"54",데이터_품목별!$A$3:$A$2984,"2024.04")</f>
        <v>181979</v>
      </c>
      <c r="G59" s="55" t="n">
        <f aca="false">SUMIFS(데이터_품목별!$H$3:$H$2984,데이터_품목별!$E$3:$E$2984,"54",데이터_품목별!$A$3:$A$2984,"2024.05")</f>
        <v>184661</v>
      </c>
      <c r="H59" s="55" t="n">
        <f aca="false">SUMIFS(데이터_품목별!$H$3:$H$2984,데이터_품목별!$E$3:$E$2984,"54",데이터_품목별!$A$3:$A$2984,"2024.06")</f>
        <v>166103</v>
      </c>
      <c r="I59" s="55" t="n">
        <f aca="false">SUMIFS(데이터_품목별!$H$3:$H$2984,데이터_품목별!$E$3:$E$2984,"54",데이터_품목별!$A$3:$A$2984,"2024.07")</f>
        <v>170814</v>
      </c>
      <c r="J59" s="55" t="n">
        <f aca="false">SUMIFS(데이터_품목별!$H$3:$H$2984,데이터_품목별!$E$3:$E$2984,"54",데이터_품목별!$A$3:$A$2984,"2024.08")</f>
        <v>133384</v>
      </c>
      <c r="K59" s="55" t="n">
        <f aca="false">SUMIFS(데이터_품목별!$H$3:$H$2984,데이터_품목별!$E$3:$E$2984,"54",데이터_품목별!$A$3:$A$2984,"2024.09")</f>
        <v>145210</v>
      </c>
      <c r="L59" s="55" t="n">
        <f aca="false">SUMIFS(데이터_품목별!$H$3:$H$2984,데이터_품목별!$E$3:$E$2984,"54",데이터_품목별!$A$3:$A$2984,"2024.10")</f>
        <v>159640</v>
      </c>
      <c r="M59" s="55" t="n">
        <f aca="false">SUMIFS(데이터_품목별!$H$3:$H$2984,데이터_품목별!$E$3:$E$2984,"54",데이터_품목별!$A$3:$A$2984,"2024.11")</f>
        <v>174225</v>
      </c>
      <c r="N59" s="55" t="n">
        <f aca="false">SUMIFS(데이터_품목별!$H$3:$H$2984,데이터_품목별!$E$3:$E$2984,"54",데이터_품목별!$A$3:$A$2984,"2024.12")</f>
        <v>168568</v>
      </c>
      <c r="O59" s="55" t="n">
        <f aca="false">SUMIFS(데이터_품목별!$H$3:$H$2984,데이터_품목별!$E$3:$E$2984,"54",데이터_품목별!$A$3:$A$2984,"2025.01")</f>
        <v>138707</v>
      </c>
      <c r="P59" s="55" t="n">
        <f aca="false">SUMIFS(데이터_품목별!$H$3:$H$2984,데이터_품목별!$E$3:$E$2984,"54",데이터_품목별!$A$3:$A$2984,"2025.02")</f>
        <v>150196</v>
      </c>
      <c r="Q59" s="55" t="n">
        <f aca="false">SUMIFS(데이터_품목별!$H$3:$H$2984,데이터_품목별!$E$3:$E$2984,"54",데이터_품목별!$A$3:$A$2984,"2025.03")</f>
        <v>148460</v>
      </c>
      <c r="R59" s="55" t="n">
        <f aca="false">SUMIFS(데이터_품목별!$H$3:$H$2984,데이터_품목별!$E$3:$E$2984,"54",데이터_품목별!$A$3:$A$2984,"2025.04")</f>
        <v>173282</v>
      </c>
      <c r="S59" s="55" t="n">
        <f aca="false">SUMIFS(데이터_품목별!$H$3:$H$2984,데이터_품목별!$E$3:$E$2984,"54",데이터_품목별!$A$3:$A$2984,"2025.05")</f>
        <v>150468</v>
      </c>
      <c r="T59" s="55" t="n">
        <f aca="false">SUMIFS(데이터_품목별!$H$3:$H$2984,데이터_품목별!$E$3:$E$2984,"54",데이터_품목별!$A$3:$A$2984,"2025.06")</f>
        <v>134567</v>
      </c>
      <c r="U59" s="55" t="n">
        <f aca="false">SUMIFS(데이터_품목별!$H$3:$H$2984,데이터_품목별!$E$3:$E$2984,"54",데이터_품목별!$A$3:$A$2984,"2025.07")</f>
        <v>147159</v>
      </c>
      <c r="V59" s="55" t="n">
        <f aca="false">SUMIFS(데이터_품목별!$H$3:$H$2984,데이터_품목별!$E$3:$E$2984,"54",데이터_품목별!$A$3:$A$2984,"2025.08")</f>
        <v>116184</v>
      </c>
      <c r="W59" s="55" t="n">
        <f aca="false">SUMIFS(데이터_품목별!$H$3:$H$2984,데이터_품목별!$E$3:$E$2984,"54",데이터_품목별!$A$3:$A$2984,"2025.09")</f>
        <v>150308</v>
      </c>
      <c r="X59" s="55" t="n">
        <f aca="false">SUMIFS(데이터_품목별!$H$3:$H$2984,데이터_품목별!$E$3:$E$2984,"54",데이터_품목별!$A$3:$A$2984,"2025.10")</f>
        <v>131873</v>
      </c>
      <c r="Y59" s="55" t="n">
        <f aca="false">SUMIFS(데이터_품목별!$H$3:$H$2984,데이터_품목별!$E$3:$E$2984,"54",데이터_품목별!$A$3:$A$2984,"2025.11")</f>
        <v>150650</v>
      </c>
      <c r="Z59" s="55" t="n">
        <f aca="false">SUMIFS(데이터_품목별!$H$3:$H$2984,데이터_품목별!$E$3:$E$2984,"54",데이터_품목별!$A$3:$A$2984,"2025.12")</f>
        <v>168488</v>
      </c>
      <c r="AA59" s="55" t="n">
        <f aca="false">SUMIFS(데이터_품목별!$H$3:$H$2984,데이터_품목별!$E$3:$E$2984,"54",데이터_품목별!$A$3:$A$2984,"2026.01")</f>
        <v>140695</v>
      </c>
      <c r="AB59" s="55" t="n">
        <f aca="false">SUMIFS(데이터_품목별!$H$3:$H$2984,데이터_품목별!$E$3:$E$2984,"54",데이터_품목별!$A$3:$A$2984,"2026.02")</f>
        <v>118958</v>
      </c>
      <c r="AC59" s="55" t="n">
        <f aca="false">SUMIFS(데이터_품목별!$H$3:$H$2984,데이터_품목별!$E$3:$E$2984,"54",데이터_품목별!$A$3:$A$2984,"2026.03")</f>
        <v>144090</v>
      </c>
      <c r="AD59" s="55" t="n">
        <f aca="false">SUMIFS(데이터_품목별!$H$3:$H$2984,데이터_품목별!$E$3:$E$2984,"54",데이터_품목별!$A$3:$A$2984,"2026.04")</f>
        <v>159399</v>
      </c>
      <c r="AE59" s="55" t="n">
        <f aca="false">SUMIFS(데이터_품목별!$H$3:$H$2984,데이터_품목별!$E$3:$E$2984,"54",데이터_품목별!$A$3:$A$2984,"2026.05")</f>
        <v>135343</v>
      </c>
      <c r="AF59" s="55" t="n">
        <f aca="false">SUMIFS(데이터_품목별!$H$3:$H$2984,데이터_품목별!$E$3:$E$2984,"54",데이터_품목별!$A$3:$A$2984,"2026.06")</f>
        <v>146105</v>
      </c>
      <c r="AG59" s="55" t="n">
        <f aca="false">SUMIFS(데이터_품목별!$H$3:$H$2984,데이터_품목별!$E$3:$E$2984,"54",데이터_품목별!$A$3:$A$2984,"2026.07")</f>
        <v>149027</v>
      </c>
    </row>
    <row r="60" customFormat="false" ht="15" hidden="false" customHeight="true" outlineLevel="0" collapsed="false">
      <c r="A60" s="53" t="s">
        <v>723</v>
      </c>
      <c r="B60" s="54" t="s">
        <v>724</v>
      </c>
      <c r="C60" s="55" t="n">
        <f aca="false">SUMIFS(데이터_품목별!$H$3:$H$2984,데이터_품목별!$E$3:$E$2984,"55",데이터_품목별!$A$3:$A$2984,"2024.01")</f>
        <v>115753</v>
      </c>
      <c r="D60" s="55" t="n">
        <f aca="false">SUMIFS(데이터_품목별!$H$3:$H$2984,데이터_품목별!$E$3:$E$2984,"55",데이터_품목별!$A$3:$A$2984,"2024.02")</f>
        <v>97400</v>
      </c>
      <c r="E60" s="55" t="n">
        <f aca="false">SUMIFS(데이터_품목별!$H$3:$H$2984,데이터_품목별!$E$3:$E$2984,"55",데이터_품목별!$A$3:$A$2984,"2024.03")</f>
        <v>105979</v>
      </c>
      <c r="F60" s="55" t="n">
        <f aca="false">SUMIFS(데이터_품목별!$H$3:$H$2984,데이터_품목별!$E$3:$E$2984,"55",데이터_품목별!$A$3:$A$2984,"2024.04")</f>
        <v>114507</v>
      </c>
      <c r="G60" s="55" t="n">
        <f aca="false">SUMIFS(데이터_품목별!$H$3:$H$2984,데이터_품목별!$E$3:$E$2984,"55",데이터_품목별!$A$3:$A$2984,"2024.05")</f>
        <v>116090</v>
      </c>
      <c r="H60" s="55" t="n">
        <f aca="false">SUMIFS(데이터_품목별!$H$3:$H$2984,데이터_품목별!$E$3:$E$2984,"55",데이터_품목별!$A$3:$A$2984,"2024.06")</f>
        <v>106905</v>
      </c>
      <c r="I60" s="55" t="n">
        <f aca="false">SUMIFS(데이터_품목별!$H$3:$H$2984,데이터_품목별!$E$3:$E$2984,"55",데이터_품목별!$A$3:$A$2984,"2024.07")</f>
        <v>110847</v>
      </c>
      <c r="J60" s="55" t="n">
        <f aca="false">SUMIFS(데이터_품목별!$H$3:$H$2984,데이터_품목별!$E$3:$E$2984,"55",데이터_품목별!$A$3:$A$2984,"2024.08")</f>
        <v>105023</v>
      </c>
      <c r="K60" s="55" t="n">
        <f aca="false">SUMIFS(데이터_품목별!$H$3:$H$2984,데이터_품목별!$E$3:$E$2984,"55",데이터_품목별!$A$3:$A$2984,"2024.09")</f>
        <v>98859</v>
      </c>
      <c r="L60" s="55" t="n">
        <f aca="false">SUMIFS(데이터_품목별!$H$3:$H$2984,데이터_품목별!$E$3:$E$2984,"55",데이터_품목별!$A$3:$A$2984,"2024.10")</f>
        <v>100424</v>
      </c>
      <c r="M60" s="55" t="n">
        <f aca="false">SUMIFS(데이터_품목별!$H$3:$H$2984,데이터_품목별!$E$3:$E$2984,"55",데이터_품목별!$A$3:$A$2984,"2024.11")</f>
        <v>106688</v>
      </c>
      <c r="N60" s="55" t="n">
        <f aca="false">SUMIFS(데이터_품목별!$H$3:$H$2984,데이터_품목별!$E$3:$E$2984,"55",데이터_품목별!$A$3:$A$2984,"2024.12")</f>
        <v>108584</v>
      </c>
      <c r="O60" s="55" t="n">
        <f aca="false">SUMIFS(데이터_품목별!$H$3:$H$2984,데이터_품목별!$E$3:$E$2984,"55",데이터_품목별!$A$3:$A$2984,"2025.01")</f>
        <v>92665</v>
      </c>
      <c r="P60" s="55" t="n">
        <f aca="false">SUMIFS(데이터_품목별!$H$3:$H$2984,데이터_품목별!$E$3:$E$2984,"55",데이터_품목별!$A$3:$A$2984,"2025.02")</f>
        <v>104033</v>
      </c>
      <c r="Q60" s="55" t="n">
        <f aca="false">SUMIFS(데이터_품목별!$H$3:$H$2984,데이터_품목별!$E$3:$E$2984,"55",데이터_품목별!$A$3:$A$2984,"2025.03")</f>
        <v>95879</v>
      </c>
      <c r="R60" s="55" t="n">
        <f aca="false">SUMIFS(데이터_품목별!$H$3:$H$2984,데이터_품목별!$E$3:$E$2984,"55",데이터_품목별!$A$3:$A$2984,"2025.04")</f>
        <v>111178</v>
      </c>
      <c r="S60" s="55" t="n">
        <f aca="false">SUMIFS(데이터_품목별!$H$3:$H$2984,데이터_품목별!$E$3:$E$2984,"55",데이터_품목별!$A$3:$A$2984,"2025.05")</f>
        <v>99608</v>
      </c>
      <c r="T60" s="55" t="n">
        <f aca="false">SUMIFS(데이터_품목별!$H$3:$H$2984,데이터_품목별!$E$3:$E$2984,"55",데이터_품목별!$A$3:$A$2984,"2025.06")</f>
        <v>85626</v>
      </c>
      <c r="U60" s="55" t="n">
        <f aca="false">SUMIFS(데이터_품목별!$H$3:$H$2984,데이터_품목별!$E$3:$E$2984,"55",데이터_품목별!$A$3:$A$2984,"2025.07")</f>
        <v>92716</v>
      </c>
      <c r="V60" s="55" t="n">
        <f aca="false">SUMIFS(데이터_품목별!$H$3:$H$2984,데이터_품목별!$E$3:$E$2984,"55",데이터_품목별!$A$3:$A$2984,"2025.08")</f>
        <v>83388</v>
      </c>
      <c r="W60" s="55" t="n">
        <f aca="false">SUMIFS(데이터_품목별!$H$3:$H$2984,데이터_품목별!$E$3:$E$2984,"55",데이터_품목별!$A$3:$A$2984,"2025.09")</f>
        <v>100003</v>
      </c>
      <c r="X60" s="55" t="n">
        <f aca="false">SUMIFS(데이터_품목별!$H$3:$H$2984,데이터_품목별!$E$3:$E$2984,"55",데이터_품목별!$A$3:$A$2984,"2025.10")</f>
        <v>83203</v>
      </c>
      <c r="Y60" s="55" t="n">
        <f aca="false">SUMIFS(데이터_품목별!$H$3:$H$2984,데이터_품목별!$E$3:$E$2984,"55",데이터_품목별!$A$3:$A$2984,"2025.11")</f>
        <v>93801</v>
      </c>
      <c r="Z60" s="55" t="n">
        <f aca="false">SUMIFS(데이터_품목별!$H$3:$H$2984,데이터_품목별!$E$3:$E$2984,"55",데이터_품목별!$A$3:$A$2984,"2025.12")</f>
        <v>103834</v>
      </c>
      <c r="AA60" s="55" t="n">
        <f aca="false">SUMIFS(데이터_품목별!$H$3:$H$2984,데이터_품목별!$E$3:$E$2984,"55",데이터_품목별!$A$3:$A$2984,"2026.01")</f>
        <v>98558</v>
      </c>
      <c r="AB60" s="55" t="n">
        <f aca="false">SUMIFS(데이터_품목별!$H$3:$H$2984,데이터_품목별!$E$3:$E$2984,"55",데이터_품목별!$A$3:$A$2984,"2026.02")</f>
        <v>86717</v>
      </c>
      <c r="AC60" s="55" t="n">
        <f aca="false">SUMIFS(데이터_품목별!$H$3:$H$2984,데이터_품목별!$E$3:$E$2984,"55",데이터_품목별!$A$3:$A$2984,"2026.03")</f>
        <v>102566</v>
      </c>
      <c r="AD60" s="55" t="n">
        <f aca="false">SUMIFS(데이터_품목별!$H$3:$H$2984,데이터_품목별!$E$3:$E$2984,"55",데이터_품목별!$A$3:$A$2984,"2026.04")</f>
        <v>106727</v>
      </c>
      <c r="AE60" s="55" t="n">
        <f aca="false">SUMIFS(데이터_품목별!$H$3:$H$2984,데이터_품목별!$E$3:$E$2984,"55",데이터_품목별!$A$3:$A$2984,"2026.05")</f>
        <v>91335</v>
      </c>
      <c r="AF60" s="55" t="n">
        <f aca="false">SUMIFS(데이터_품목별!$H$3:$H$2984,데이터_품목별!$E$3:$E$2984,"55",데이터_품목별!$A$3:$A$2984,"2026.06")</f>
        <v>93600</v>
      </c>
      <c r="AG60" s="55" t="n">
        <f aca="false">SUMIFS(데이터_품목별!$H$3:$H$2984,데이터_품목별!$E$3:$E$2984,"55",데이터_품목별!$A$3:$A$2984,"2026.07")</f>
        <v>92749</v>
      </c>
    </row>
    <row r="61" customFormat="false" ht="15" hidden="false" customHeight="true" outlineLevel="0" collapsed="false">
      <c r="A61" s="53" t="s">
        <v>730</v>
      </c>
      <c r="B61" s="54" t="s">
        <v>731</v>
      </c>
      <c r="C61" s="55" t="n">
        <f aca="false">SUMIFS(데이터_품목별!$H$3:$H$2984,데이터_품목별!$E$3:$E$2984,"56",데이터_품목별!$A$3:$A$2984,"2024.01")</f>
        <v>63709</v>
      </c>
      <c r="D61" s="55" t="n">
        <f aca="false">SUMIFS(데이터_품목별!$H$3:$H$2984,데이터_품목별!$E$3:$E$2984,"56",데이터_품목별!$A$3:$A$2984,"2024.02")</f>
        <v>62671</v>
      </c>
      <c r="E61" s="55" t="n">
        <f aca="false">SUMIFS(데이터_품목별!$H$3:$H$2984,데이터_품목별!$E$3:$E$2984,"56",데이터_품목별!$A$3:$A$2984,"2024.03")</f>
        <v>65487</v>
      </c>
      <c r="F61" s="55" t="n">
        <f aca="false">SUMIFS(데이터_품목별!$H$3:$H$2984,데이터_품목별!$E$3:$E$2984,"56",데이터_품목별!$A$3:$A$2984,"2024.04")</f>
        <v>64786</v>
      </c>
      <c r="G61" s="55" t="n">
        <f aca="false">SUMIFS(데이터_품목별!$H$3:$H$2984,데이터_품목별!$E$3:$E$2984,"56",데이터_품목별!$A$3:$A$2984,"2024.05")</f>
        <v>65471</v>
      </c>
      <c r="H61" s="55" t="n">
        <f aca="false">SUMIFS(데이터_품목별!$H$3:$H$2984,데이터_품목별!$E$3:$E$2984,"56",데이터_품목별!$A$3:$A$2984,"2024.06")</f>
        <v>61067</v>
      </c>
      <c r="I61" s="55" t="n">
        <f aca="false">SUMIFS(데이터_품목별!$H$3:$H$2984,데이터_품목별!$E$3:$E$2984,"56",데이터_품목별!$A$3:$A$2984,"2024.07")</f>
        <v>65949</v>
      </c>
      <c r="J61" s="55" t="n">
        <f aca="false">SUMIFS(데이터_품목별!$H$3:$H$2984,데이터_품목별!$E$3:$E$2984,"56",데이터_품목별!$A$3:$A$2984,"2024.08")</f>
        <v>63522</v>
      </c>
      <c r="K61" s="55" t="n">
        <f aca="false">SUMIFS(데이터_품목별!$H$3:$H$2984,데이터_품목별!$E$3:$E$2984,"56",데이터_품목별!$A$3:$A$2984,"2024.09")</f>
        <v>61938</v>
      </c>
      <c r="L61" s="55" t="n">
        <f aca="false">SUMIFS(데이터_품목별!$H$3:$H$2984,데이터_품목별!$E$3:$E$2984,"56",데이터_품목별!$A$3:$A$2984,"2024.10")</f>
        <v>60100</v>
      </c>
      <c r="M61" s="55" t="n">
        <f aca="false">SUMIFS(데이터_품목별!$H$3:$H$2984,데이터_품목별!$E$3:$E$2984,"56",데이터_품목별!$A$3:$A$2984,"2024.11")</f>
        <v>68902</v>
      </c>
      <c r="N61" s="55" t="n">
        <f aca="false">SUMIFS(데이터_품목별!$H$3:$H$2984,데이터_품목별!$E$3:$E$2984,"56",데이터_품목별!$A$3:$A$2984,"2024.12")</f>
        <v>63888</v>
      </c>
      <c r="O61" s="55" t="n">
        <f aca="false">SUMIFS(데이터_품목별!$H$3:$H$2984,데이터_품목별!$E$3:$E$2984,"56",데이터_품목별!$A$3:$A$2984,"2025.01")</f>
        <v>55119</v>
      </c>
      <c r="P61" s="55" t="n">
        <f aca="false">SUMIFS(데이터_품목별!$H$3:$H$2984,데이터_품목별!$E$3:$E$2984,"56",데이터_품목별!$A$3:$A$2984,"2025.02")</f>
        <v>63923</v>
      </c>
      <c r="Q61" s="55" t="n">
        <f aca="false">SUMIFS(데이터_품목별!$H$3:$H$2984,데이터_품목별!$E$3:$E$2984,"56",데이터_품목별!$A$3:$A$2984,"2025.03")</f>
        <v>65351</v>
      </c>
      <c r="R61" s="55" t="n">
        <f aca="false">SUMIFS(데이터_품목별!$H$3:$H$2984,데이터_품목별!$E$3:$E$2984,"56",데이터_품목별!$A$3:$A$2984,"2025.04")</f>
        <v>76024</v>
      </c>
      <c r="S61" s="55" t="n">
        <f aca="false">SUMIFS(데이터_품목별!$H$3:$H$2984,데이터_품목별!$E$3:$E$2984,"56",데이터_품목별!$A$3:$A$2984,"2025.05")</f>
        <v>61922</v>
      </c>
      <c r="T61" s="55" t="n">
        <f aca="false">SUMIFS(데이터_품목별!$H$3:$H$2984,데이터_품목별!$E$3:$E$2984,"56",데이터_품목별!$A$3:$A$2984,"2025.06")</f>
        <v>65094</v>
      </c>
      <c r="U61" s="55" t="n">
        <f aca="false">SUMIFS(데이터_품목별!$H$3:$H$2984,데이터_품목별!$E$3:$E$2984,"56",데이터_품목별!$A$3:$A$2984,"2025.07")</f>
        <v>69122</v>
      </c>
      <c r="V61" s="55" t="n">
        <f aca="false">SUMIFS(데이터_품목별!$H$3:$H$2984,데이터_품목별!$E$3:$E$2984,"56",데이터_품목별!$A$3:$A$2984,"2025.08")</f>
        <v>57858</v>
      </c>
      <c r="W61" s="55" t="n">
        <f aca="false">SUMIFS(데이터_품목별!$H$3:$H$2984,데이터_품목별!$E$3:$E$2984,"56",데이터_품목별!$A$3:$A$2984,"2025.09")</f>
        <v>73202</v>
      </c>
      <c r="X61" s="55" t="n">
        <f aca="false">SUMIFS(데이터_품목별!$H$3:$H$2984,데이터_품목별!$E$3:$E$2984,"56",데이터_품목별!$A$3:$A$2984,"2025.10")</f>
        <v>55218</v>
      </c>
      <c r="Y61" s="55" t="n">
        <f aca="false">SUMIFS(데이터_품목별!$H$3:$H$2984,데이터_품목별!$E$3:$E$2984,"56",데이터_품목별!$A$3:$A$2984,"2025.11")</f>
        <v>59769</v>
      </c>
      <c r="Z61" s="55" t="n">
        <f aca="false">SUMIFS(데이터_품목별!$H$3:$H$2984,데이터_품목별!$E$3:$E$2984,"56",데이터_품목별!$A$3:$A$2984,"2025.12")</f>
        <v>65123</v>
      </c>
      <c r="AA61" s="55" t="n">
        <f aca="false">SUMIFS(데이터_품목별!$H$3:$H$2984,데이터_품목별!$E$3:$E$2984,"56",데이터_품목별!$A$3:$A$2984,"2026.01")</f>
        <v>57171</v>
      </c>
      <c r="AB61" s="55" t="n">
        <f aca="false">SUMIFS(데이터_품목별!$H$3:$H$2984,데이터_품목별!$E$3:$E$2984,"56",데이터_품목별!$A$3:$A$2984,"2026.02")</f>
        <v>57146</v>
      </c>
      <c r="AC61" s="55" t="n">
        <f aca="false">SUMIFS(데이터_품목별!$H$3:$H$2984,데이터_품목별!$E$3:$E$2984,"56",데이터_품목별!$A$3:$A$2984,"2026.03")</f>
        <v>63848</v>
      </c>
      <c r="AD61" s="55" t="n">
        <f aca="false">SUMIFS(데이터_품목별!$H$3:$H$2984,데이터_품목별!$E$3:$E$2984,"56",데이터_품목별!$A$3:$A$2984,"2026.04")</f>
        <v>68417</v>
      </c>
      <c r="AE61" s="55" t="n">
        <f aca="false">SUMIFS(데이터_품목별!$H$3:$H$2984,데이터_품목별!$E$3:$E$2984,"56",데이터_품목별!$A$3:$A$2984,"2026.05")</f>
        <v>57400</v>
      </c>
      <c r="AF61" s="55" t="n">
        <f aca="false">SUMIFS(데이터_품목별!$H$3:$H$2984,데이터_품목별!$E$3:$E$2984,"56",데이터_품목별!$A$3:$A$2984,"2026.06")</f>
        <v>69626</v>
      </c>
      <c r="AG61" s="55" t="n">
        <f aca="false">SUMIFS(데이터_품목별!$H$3:$H$2984,데이터_품목별!$E$3:$E$2984,"56",데이터_품목별!$A$3:$A$2984,"2026.07")</f>
        <v>72942</v>
      </c>
    </row>
    <row r="62" customFormat="false" ht="15" hidden="false" customHeight="true" outlineLevel="0" collapsed="false">
      <c r="A62" s="53" t="s">
        <v>737</v>
      </c>
      <c r="B62" s="54" t="s">
        <v>738</v>
      </c>
      <c r="C62" s="55" t="n">
        <f aca="false">SUMIFS(데이터_품목별!$H$3:$H$2984,데이터_품목별!$E$3:$E$2984,"57",데이터_품목별!$A$3:$A$2984,"2024.01")</f>
        <v>3773</v>
      </c>
      <c r="D62" s="55" t="n">
        <f aca="false">SUMIFS(데이터_품목별!$H$3:$H$2984,데이터_품목별!$E$3:$E$2984,"57",데이터_품목별!$A$3:$A$2984,"2024.02")</f>
        <v>3065</v>
      </c>
      <c r="E62" s="55" t="n">
        <f aca="false">SUMIFS(데이터_품목별!$H$3:$H$2984,데이터_품목별!$E$3:$E$2984,"57",데이터_품목별!$A$3:$A$2984,"2024.03")</f>
        <v>3871</v>
      </c>
      <c r="F62" s="55" t="n">
        <f aca="false">SUMIFS(데이터_품목별!$H$3:$H$2984,데이터_품목별!$E$3:$E$2984,"57",데이터_품목별!$A$3:$A$2984,"2024.04")</f>
        <v>8598</v>
      </c>
      <c r="G62" s="55" t="n">
        <f aca="false">SUMIFS(데이터_품목별!$H$3:$H$2984,데이터_품목별!$E$3:$E$2984,"57",데이터_품목별!$A$3:$A$2984,"2024.05")</f>
        <v>5556</v>
      </c>
      <c r="H62" s="55" t="n">
        <f aca="false">SUMIFS(데이터_품목별!$H$3:$H$2984,데이터_품목별!$E$3:$E$2984,"57",데이터_품목별!$A$3:$A$2984,"2024.06")</f>
        <v>6948</v>
      </c>
      <c r="I62" s="55" t="n">
        <f aca="false">SUMIFS(데이터_품목별!$H$3:$H$2984,데이터_품목별!$E$3:$E$2984,"57",데이터_품목별!$A$3:$A$2984,"2024.07")</f>
        <v>7548</v>
      </c>
      <c r="J62" s="55" t="n">
        <f aca="false">SUMIFS(데이터_품목별!$H$3:$H$2984,데이터_품목별!$E$3:$E$2984,"57",데이터_품목별!$A$3:$A$2984,"2024.08")</f>
        <v>5964</v>
      </c>
      <c r="K62" s="55" t="n">
        <f aca="false">SUMIFS(데이터_품목별!$H$3:$H$2984,데이터_품목별!$E$3:$E$2984,"57",데이터_품목별!$A$3:$A$2984,"2024.09")</f>
        <v>6462</v>
      </c>
      <c r="L62" s="55" t="n">
        <f aca="false">SUMIFS(데이터_품목별!$H$3:$H$2984,데이터_품목별!$E$3:$E$2984,"57",데이터_품목별!$A$3:$A$2984,"2024.10")</f>
        <v>5968</v>
      </c>
      <c r="M62" s="55" t="n">
        <f aca="false">SUMIFS(데이터_품목별!$H$3:$H$2984,데이터_품목별!$E$3:$E$2984,"57",데이터_품목별!$A$3:$A$2984,"2024.11")</f>
        <v>6449</v>
      </c>
      <c r="N62" s="55" t="n">
        <f aca="false">SUMIFS(데이터_품목별!$H$3:$H$2984,데이터_품목별!$E$3:$E$2984,"57",데이터_품목별!$A$3:$A$2984,"2024.12")</f>
        <v>6597</v>
      </c>
      <c r="O62" s="55" t="n">
        <f aca="false">SUMIFS(데이터_품목별!$H$3:$H$2984,데이터_품목별!$E$3:$E$2984,"57",데이터_품목별!$A$3:$A$2984,"2025.01")</f>
        <v>6235</v>
      </c>
      <c r="P62" s="55" t="n">
        <f aca="false">SUMIFS(데이터_품목별!$H$3:$H$2984,데이터_품목별!$E$3:$E$2984,"57",데이터_품목별!$A$3:$A$2984,"2025.02")</f>
        <v>5971</v>
      </c>
      <c r="Q62" s="55" t="n">
        <f aca="false">SUMIFS(데이터_품목별!$H$3:$H$2984,데이터_품목별!$E$3:$E$2984,"57",데이터_품목별!$A$3:$A$2984,"2025.03")</f>
        <v>6048</v>
      </c>
      <c r="R62" s="55" t="n">
        <f aca="false">SUMIFS(데이터_품목별!$H$3:$H$2984,데이터_품목별!$E$3:$E$2984,"57",데이터_품목별!$A$3:$A$2984,"2025.04")</f>
        <v>7769</v>
      </c>
      <c r="S62" s="55" t="n">
        <f aca="false">SUMIFS(데이터_품목별!$H$3:$H$2984,데이터_품목별!$E$3:$E$2984,"57",데이터_품목별!$A$3:$A$2984,"2025.05")</f>
        <v>6131</v>
      </c>
      <c r="T62" s="55" t="n">
        <f aca="false">SUMIFS(데이터_품목별!$H$3:$H$2984,데이터_품목별!$E$3:$E$2984,"57",데이터_품목별!$A$3:$A$2984,"2025.06")</f>
        <v>6660</v>
      </c>
      <c r="U62" s="55" t="n">
        <f aca="false">SUMIFS(데이터_품목별!$H$3:$H$2984,데이터_품목별!$E$3:$E$2984,"57",데이터_품목별!$A$3:$A$2984,"2025.07")</f>
        <v>5734</v>
      </c>
      <c r="V62" s="55" t="n">
        <f aca="false">SUMIFS(데이터_품목별!$H$3:$H$2984,데이터_품목별!$E$3:$E$2984,"57",데이터_품목별!$A$3:$A$2984,"2025.08")</f>
        <v>5723</v>
      </c>
      <c r="W62" s="55" t="n">
        <f aca="false">SUMIFS(데이터_품목별!$H$3:$H$2984,데이터_품목별!$E$3:$E$2984,"57",데이터_품목별!$A$3:$A$2984,"2025.09")</f>
        <v>4377</v>
      </c>
      <c r="X62" s="55" t="n">
        <f aca="false">SUMIFS(데이터_품목별!$H$3:$H$2984,데이터_품목별!$E$3:$E$2984,"57",데이터_품목별!$A$3:$A$2984,"2025.10")</f>
        <v>4627</v>
      </c>
      <c r="Y62" s="55" t="n">
        <f aca="false">SUMIFS(데이터_품목별!$H$3:$H$2984,데이터_품목별!$E$3:$E$2984,"57",데이터_품목별!$A$3:$A$2984,"2025.11")</f>
        <v>4549</v>
      </c>
      <c r="Z62" s="55" t="n">
        <f aca="false">SUMIFS(데이터_품목별!$H$3:$H$2984,데이터_품목별!$E$3:$E$2984,"57",데이터_품목별!$A$3:$A$2984,"2025.12")</f>
        <v>7159</v>
      </c>
      <c r="AA62" s="55" t="n">
        <f aca="false">SUMIFS(데이터_품목별!$H$3:$H$2984,데이터_품목별!$E$3:$E$2984,"57",데이터_품목별!$A$3:$A$2984,"2026.01")</f>
        <v>4585</v>
      </c>
      <c r="AB62" s="55" t="n">
        <f aca="false">SUMIFS(데이터_품목별!$H$3:$H$2984,데이터_품목별!$E$3:$E$2984,"57",데이터_품목별!$A$3:$A$2984,"2026.02")</f>
        <v>4570</v>
      </c>
      <c r="AC62" s="55" t="n">
        <f aca="false">SUMIFS(데이터_품목별!$H$3:$H$2984,데이터_품목별!$E$3:$E$2984,"57",데이터_품목별!$A$3:$A$2984,"2026.03")</f>
        <v>7169</v>
      </c>
      <c r="AD62" s="55" t="n">
        <f aca="false">SUMIFS(데이터_품목별!$H$3:$H$2984,데이터_품목별!$E$3:$E$2984,"57",데이터_품목별!$A$3:$A$2984,"2026.04")</f>
        <v>5237</v>
      </c>
      <c r="AE62" s="55" t="n">
        <f aca="false">SUMIFS(데이터_품목별!$H$3:$H$2984,데이터_품목별!$E$3:$E$2984,"57",데이터_품목별!$A$3:$A$2984,"2026.05")</f>
        <v>3758</v>
      </c>
      <c r="AF62" s="55" t="n">
        <f aca="false">SUMIFS(데이터_품목별!$H$3:$H$2984,데이터_품목별!$E$3:$E$2984,"57",데이터_품목별!$A$3:$A$2984,"2026.06")</f>
        <v>4391</v>
      </c>
      <c r="AG62" s="55" t="n">
        <f aca="false">SUMIFS(데이터_품목별!$H$3:$H$2984,데이터_품목별!$E$3:$E$2984,"57",데이터_품목별!$A$3:$A$2984,"2026.07")</f>
        <v>5590</v>
      </c>
    </row>
    <row r="63" customFormat="false" ht="15" hidden="false" customHeight="true" outlineLevel="0" collapsed="false">
      <c r="A63" s="53" t="s">
        <v>744</v>
      </c>
      <c r="B63" s="54" t="s">
        <v>745</v>
      </c>
      <c r="C63" s="55" t="n">
        <f aca="false">SUMIFS(데이터_품목별!$H$3:$H$2984,데이터_품목별!$E$3:$E$2984,"58",데이터_품목별!$A$3:$A$2984,"2024.01")</f>
        <v>17690</v>
      </c>
      <c r="D63" s="55" t="n">
        <f aca="false">SUMIFS(데이터_품목별!$H$3:$H$2984,데이터_품목별!$E$3:$E$2984,"58",데이터_품목별!$A$3:$A$2984,"2024.02")</f>
        <v>16267</v>
      </c>
      <c r="E63" s="55" t="n">
        <f aca="false">SUMIFS(데이터_품목별!$H$3:$H$2984,데이터_품목별!$E$3:$E$2984,"58",데이터_품목별!$A$3:$A$2984,"2024.03")</f>
        <v>15696</v>
      </c>
      <c r="F63" s="55" t="n">
        <f aca="false">SUMIFS(데이터_품목별!$H$3:$H$2984,데이터_품목별!$E$3:$E$2984,"58",데이터_품목별!$A$3:$A$2984,"2024.04")</f>
        <v>17593</v>
      </c>
      <c r="G63" s="55" t="n">
        <f aca="false">SUMIFS(데이터_품목별!$H$3:$H$2984,데이터_품목별!$E$3:$E$2984,"58",데이터_품목별!$A$3:$A$2984,"2024.05")</f>
        <v>18487</v>
      </c>
      <c r="H63" s="55" t="n">
        <f aca="false">SUMIFS(데이터_품목별!$H$3:$H$2984,데이터_품목별!$E$3:$E$2984,"58",데이터_품목별!$A$3:$A$2984,"2024.06")</f>
        <v>15623</v>
      </c>
      <c r="I63" s="55" t="n">
        <f aca="false">SUMIFS(데이터_품목별!$H$3:$H$2984,데이터_품목별!$E$3:$E$2984,"58",데이터_품목별!$A$3:$A$2984,"2024.07")</f>
        <v>16614</v>
      </c>
      <c r="J63" s="55" t="n">
        <f aca="false">SUMIFS(데이터_품목별!$H$3:$H$2984,데이터_품목별!$E$3:$E$2984,"58",데이터_품목별!$A$3:$A$2984,"2024.08")</f>
        <v>15109</v>
      </c>
      <c r="K63" s="55" t="n">
        <f aca="false">SUMIFS(데이터_품목별!$H$3:$H$2984,데이터_품목별!$E$3:$E$2984,"58",데이터_품목별!$A$3:$A$2984,"2024.09")</f>
        <v>15259</v>
      </c>
      <c r="L63" s="55" t="n">
        <f aca="false">SUMIFS(데이터_품목별!$H$3:$H$2984,데이터_품목별!$E$3:$E$2984,"58",데이터_품목별!$A$3:$A$2984,"2024.10")</f>
        <v>17551</v>
      </c>
      <c r="M63" s="55" t="n">
        <f aca="false">SUMIFS(데이터_품목별!$H$3:$H$2984,데이터_품목별!$E$3:$E$2984,"58",데이터_품목별!$A$3:$A$2984,"2024.11")</f>
        <v>18164</v>
      </c>
      <c r="N63" s="55" t="n">
        <f aca="false">SUMIFS(데이터_품목별!$H$3:$H$2984,데이터_품목별!$E$3:$E$2984,"58",데이터_품목별!$A$3:$A$2984,"2024.12")</f>
        <v>16080</v>
      </c>
      <c r="O63" s="55" t="n">
        <f aca="false">SUMIFS(데이터_품목별!$H$3:$H$2984,데이터_품목별!$E$3:$E$2984,"58",데이터_품목별!$A$3:$A$2984,"2025.01")</f>
        <v>14184</v>
      </c>
      <c r="P63" s="55" t="n">
        <f aca="false">SUMIFS(데이터_품목별!$H$3:$H$2984,데이터_품목별!$E$3:$E$2984,"58",데이터_품목별!$A$3:$A$2984,"2025.02")</f>
        <v>16628</v>
      </c>
      <c r="Q63" s="55" t="n">
        <f aca="false">SUMIFS(데이터_품목별!$H$3:$H$2984,데이터_품목별!$E$3:$E$2984,"58",데이터_품목별!$A$3:$A$2984,"2025.03")</f>
        <v>15344</v>
      </c>
      <c r="R63" s="55" t="n">
        <f aca="false">SUMIFS(데이터_품목별!$H$3:$H$2984,데이터_품목별!$E$3:$E$2984,"58",데이터_품목별!$A$3:$A$2984,"2025.04")</f>
        <v>17499</v>
      </c>
      <c r="S63" s="55" t="n">
        <f aca="false">SUMIFS(데이터_품목별!$H$3:$H$2984,데이터_품목별!$E$3:$E$2984,"58",데이터_품목별!$A$3:$A$2984,"2025.05")</f>
        <v>15258</v>
      </c>
      <c r="T63" s="55" t="n">
        <f aca="false">SUMIFS(데이터_품목별!$H$3:$H$2984,데이터_품목별!$E$3:$E$2984,"58",데이터_품목별!$A$3:$A$2984,"2025.06")</f>
        <v>15653</v>
      </c>
      <c r="U63" s="55" t="n">
        <f aca="false">SUMIFS(데이터_품목별!$H$3:$H$2984,데이터_품목별!$E$3:$E$2984,"58",데이터_품목별!$A$3:$A$2984,"2025.07")</f>
        <v>13882</v>
      </c>
      <c r="V63" s="55" t="n">
        <f aca="false">SUMIFS(데이터_품목별!$H$3:$H$2984,데이터_품목별!$E$3:$E$2984,"58",데이터_품목별!$A$3:$A$2984,"2025.08")</f>
        <v>14034</v>
      </c>
      <c r="W63" s="55" t="n">
        <f aca="false">SUMIFS(데이터_품목별!$H$3:$H$2984,데이터_품목별!$E$3:$E$2984,"58",데이터_품목별!$A$3:$A$2984,"2025.09")</f>
        <v>18316</v>
      </c>
      <c r="X63" s="55" t="n">
        <f aca="false">SUMIFS(데이터_품목별!$H$3:$H$2984,데이터_품목별!$E$3:$E$2984,"58",데이터_품목별!$A$3:$A$2984,"2025.10")</f>
        <v>13723</v>
      </c>
      <c r="Y63" s="55" t="n">
        <f aca="false">SUMIFS(데이터_품목별!$H$3:$H$2984,데이터_품목별!$E$3:$E$2984,"58",데이터_품목별!$A$3:$A$2984,"2025.11")</f>
        <v>15784</v>
      </c>
      <c r="Z63" s="55" t="n">
        <f aca="false">SUMIFS(데이터_품목별!$H$3:$H$2984,데이터_품목별!$E$3:$E$2984,"58",데이터_품목별!$A$3:$A$2984,"2025.12")</f>
        <v>16358</v>
      </c>
      <c r="AA63" s="55" t="n">
        <f aca="false">SUMIFS(데이터_품목별!$H$3:$H$2984,데이터_품목별!$E$3:$E$2984,"58",데이터_품목별!$A$3:$A$2984,"2026.01")</f>
        <v>15260</v>
      </c>
      <c r="AB63" s="55" t="n">
        <f aca="false">SUMIFS(데이터_품목별!$H$3:$H$2984,데이터_품목별!$E$3:$E$2984,"58",데이터_품목별!$A$3:$A$2984,"2026.02")</f>
        <v>12811</v>
      </c>
      <c r="AC63" s="55" t="n">
        <f aca="false">SUMIFS(데이터_품목별!$H$3:$H$2984,데이터_품목별!$E$3:$E$2984,"58",데이터_품목별!$A$3:$A$2984,"2026.03")</f>
        <v>14841</v>
      </c>
      <c r="AD63" s="55" t="n">
        <f aca="false">SUMIFS(데이터_품목별!$H$3:$H$2984,데이터_품목별!$E$3:$E$2984,"58",데이터_품목별!$A$3:$A$2984,"2026.04")</f>
        <v>17881</v>
      </c>
      <c r="AE63" s="55" t="n">
        <f aca="false">SUMIFS(데이터_품목별!$H$3:$H$2984,데이터_품목별!$E$3:$E$2984,"58",데이터_품목별!$A$3:$A$2984,"2026.05")</f>
        <v>14991</v>
      </c>
      <c r="AF63" s="55" t="n">
        <f aca="false">SUMIFS(데이터_품목별!$H$3:$H$2984,데이터_품목별!$E$3:$E$2984,"58",데이터_품목별!$A$3:$A$2984,"2026.06")</f>
        <v>15217</v>
      </c>
      <c r="AG63" s="55" t="n">
        <f aca="false">SUMIFS(데이터_품목별!$H$3:$H$2984,데이터_품목별!$E$3:$E$2984,"58",데이터_품목별!$A$3:$A$2984,"2026.07")</f>
        <v>16016</v>
      </c>
    </row>
    <row r="64" customFormat="false" ht="15" hidden="false" customHeight="true" outlineLevel="0" collapsed="false">
      <c r="A64" s="53" t="s">
        <v>751</v>
      </c>
      <c r="B64" s="54" t="s">
        <v>752</v>
      </c>
      <c r="C64" s="55" t="n">
        <f aca="false">SUMIFS(데이터_품목별!$H$3:$H$2984,데이터_품목별!$E$3:$E$2984,"59",데이터_품목별!$A$3:$A$2984,"2024.01")</f>
        <v>89852</v>
      </c>
      <c r="D64" s="55" t="n">
        <f aca="false">SUMIFS(데이터_품목별!$H$3:$H$2984,데이터_품목별!$E$3:$E$2984,"59",데이터_품목별!$A$3:$A$2984,"2024.02")</f>
        <v>94707</v>
      </c>
      <c r="E64" s="55" t="n">
        <f aca="false">SUMIFS(데이터_품목별!$H$3:$H$2984,데이터_품목별!$E$3:$E$2984,"59",데이터_품목별!$A$3:$A$2984,"2024.03")</f>
        <v>100815</v>
      </c>
      <c r="F64" s="55" t="n">
        <f aca="false">SUMIFS(데이터_품목별!$H$3:$H$2984,데이터_품목별!$E$3:$E$2984,"59",데이터_품목별!$A$3:$A$2984,"2024.04")</f>
        <v>106157</v>
      </c>
      <c r="G64" s="55" t="n">
        <f aca="false">SUMIFS(데이터_품목별!$H$3:$H$2984,데이터_품목별!$E$3:$E$2984,"59",데이터_품목별!$A$3:$A$2984,"2024.05")</f>
        <v>96065</v>
      </c>
      <c r="H64" s="55" t="n">
        <f aca="false">SUMIFS(데이터_품목별!$H$3:$H$2984,데이터_품목별!$E$3:$E$2984,"59",데이터_품목별!$A$3:$A$2984,"2024.06")</f>
        <v>88637</v>
      </c>
      <c r="I64" s="55" t="n">
        <f aca="false">SUMIFS(데이터_품목별!$H$3:$H$2984,데이터_품목별!$E$3:$E$2984,"59",데이터_품목별!$A$3:$A$2984,"2024.07")</f>
        <v>98601</v>
      </c>
      <c r="J64" s="55" t="n">
        <f aca="false">SUMIFS(데이터_품목별!$H$3:$H$2984,데이터_품목별!$E$3:$E$2984,"59",데이터_품목별!$A$3:$A$2984,"2024.08")</f>
        <v>100463</v>
      </c>
      <c r="K64" s="55" t="n">
        <f aca="false">SUMIFS(데이터_품목별!$H$3:$H$2984,데이터_품목별!$E$3:$E$2984,"59",데이터_품목별!$A$3:$A$2984,"2024.09")</f>
        <v>95666</v>
      </c>
      <c r="L64" s="55" t="n">
        <f aca="false">SUMIFS(데이터_품목별!$H$3:$H$2984,데이터_품목별!$E$3:$E$2984,"59",데이터_품목별!$A$3:$A$2984,"2024.10")</f>
        <v>94689</v>
      </c>
      <c r="M64" s="55" t="n">
        <f aca="false">SUMIFS(데이터_품목별!$H$3:$H$2984,데이터_품목별!$E$3:$E$2984,"59",데이터_품목별!$A$3:$A$2984,"2024.11")</f>
        <v>95666</v>
      </c>
      <c r="N64" s="55" t="n">
        <f aca="false">SUMIFS(데이터_품목별!$H$3:$H$2984,데이터_품목별!$E$3:$E$2984,"59",데이터_품목별!$A$3:$A$2984,"2024.12")</f>
        <v>93200</v>
      </c>
      <c r="O64" s="55" t="n">
        <f aca="false">SUMIFS(데이터_품목별!$H$3:$H$2984,데이터_품목별!$E$3:$E$2984,"59",데이터_품목별!$A$3:$A$2984,"2025.01")</f>
        <v>84895</v>
      </c>
      <c r="P64" s="55" t="n">
        <f aca="false">SUMIFS(데이터_품목별!$H$3:$H$2984,데이터_품목별!$E$3:$E$2984,"59",데이터_품목별!$A$3:$A$2984,"2025.02")</f>
        <v>99698</v>
      </c>
      <c r="Q64" s="55" t="n">
        <f aca="false">SUMIFS(데이터_품목별!$H$3:$H$2984,데이터_품목별!$E$3:$E$2984,"59",데이터_품목별!$A$3:$A$2984,"2025.03")</f>
        <v>100144</v>
      </c>
      <c r="R64" s="55" t="n">
        <f aca="false">SUMIFS(데이터_품목별!$H$3:$H$2984,데이터_품목별!$E$3:$E$2984,"59",데이터_품목별!$A$3:$A$2984,"2025.04")</f>
        <v>101720</v>
      </c>
      <c r="S64" s="55" t="n">
        <f aca="false">SUMIFS(데이터_품목별!$H$3:$H$2984,데이터_품목별!$E$3:$E$2984,"59",데이터_품목별!$A$3:$A$2984,"2025.05")</f>
        <v>88395</v>
      </c>
      <c r="T64" s="55" t="n">
        <f aca="false">SUMIFS(데이터_품목별!$H$3:$H$2984,데이터_품목별!$E$3:$E$2984,"59",데이터_품목별!$A$3:$A$2984,"2025.06")</f>
        <v>87070</v>
      </c>
      <c r="U64" s="55" t="n">
        <f aca="false">SUMIFS(데이터_품목별!$H$3:$H$2984,데이터_품목별!$E$3:$E$2984,"59",데이터_품목별!$A$3:$A$2984,"2025.07")</f>
        <v>103472</v>
      </c>
      <c r="V64" s="55" t="n">
        <f aca="false">SUMIFS(데이터_품목별!$H$3:$H$2984,데이터_품목별!$E$3:$E$2984,"59",데이터_품목별!$A$3:$A$2984,"2025.08")</f>
        <v>89693</v>
      </c>
      <c r="W64" s="55" t="n">
        <f aca="false">SUMIFS(데이터_품목별!$H$3:$H$2984,데이터_품목별!$E$3:$E$2984,"59",데이터_품목별!$A$3:$A$2984,"2025.09")</f>
        <v>106891</v>
      </c>
      <c r="X64" s="55" t="n">
        <f aca="false">SUMIFS(데이터_품목별!$H$3:$H$2984,데이터_품목별!$E$3:$E$2984,"59",데이터_품목별!$A$3:$A$2984,"2025.10")</f>
        <v>79963</v>
      </c>
      <c r="Y64" s="55" t="n">
        <f aca="false">SUMIFS(데이터_품목별!$H$3:$H$2984,데이터_품목별!$E$3:$E$2984,"59",데이터_품목별!$A$3:$A$2984,"2025.11")</f>
        <v>86040</v>
      </c>
      <c r="Z64" s="55" t="n">
        <f aca="false">SUMIFS(데이터_품목별!$H$3:$H$2984,데이터_품목별!$E$3:$E$2984,"59",데이터_품목별!$A$3:$A$2984,"2025.12")</f>
        <v>91677</v>
      </c>
      <c r="AA64" s="55" t="n">
        <f aca="false">SUMIFS(데이터_품목별!$H$3:$H$2984,데이터_품목별!$E$3:$E$2984,"59",데이터_품목별!$A$3:$A$2984,"2026.01")</f>
        <v>94853</v>
      </c>
      <c r="AB64" s="55" t="n">
        <f aca="false">SUMIFS(데이터_품목별!$H$3:$H$2984,데이터_품목별!$E$3:$E$2984,"59",데이터_품목별!$A$3:$A$2984,"2026.02")</f>
        <v>79652</v>
      </c>
      <c r="AC64" s="55" t="n">
        <f aca="false">SUMIFS(데이터_품목별!$H$3:$H$2984,데이터_품목별!$E$3:$E$2984,"59",데이터_품목별!$A$3:$A$2984,"2026.03")</f>
        <v>98346</v>
      </c>
      <c r="AD64" s="55" t="n">
        <f aca="false">SUMIFS(데이터_품목별!$H$3:$H$2984,데이터_품목별!$E$3:$E$2984,"59",데이터_품목별!$A$3:$A$2984,"2026.04")</f>
        <v>109692</v>
      </c>
      <c r="AE64" s="55" t="n">
        <f aca="false">SUMIFS(데이터_품목별!$H$3:$H$2984,데이터_품목별!$E$3:$E$2984,"59",데이터_품목별!$A$3:$A$2984,"2026.05")</f>
        <v>87499</v>
      </c>
      <c r="AF64" s="55" t="n">
        <f aca="false">SUMIFS(데이터_품목별!$H$3:$H$2984,데이터_품목별!$E$3:$E$2984,"59",데이터_품목별!$A$3:$A$2984,"2026.06")</f>
        <v>95010</v>
      </c>
      <c r="AG64" s="55" t="n">
        <f aca="false">SUMIFS(데이터_품목별!$H$3:$H$2984,데이터_품목별!$E$3:$E$2984,"59",데이터_품목별!$A$3:$A$2984,"2026.07")</f>
        <v>106289</v>
      </c>
    </row>
    <row r="65" customFormat="false" ht="15" hidden="false" customHeight="true" outlineLevel="0" collapsed="false">
      <c r="A65" s="53" t="s">
        <v>758</v>
      </c>
      <c r="B65" s="54" t="s">
        <v>759</v>
      </c>
      <c r="C65" s="55" t="n">
        <f aca="false">SUMIFS(데이터_품목별!$H$3:$H$2984,데이터_품목별!$E$3:$E$2984,"60",데이터_품목별!$A$3:$A$2984,"2024.01")</f>
        <v>128730</v>
      </c>
      <c r="D65" s="55" t="n">
        <f aca="false">SUMIFS(데이터_품목별!$H$3:$H$2984,데이터_품목별!$E$3:$E$2984,"60",데이터_품목별!$A$3:$A$2984,"2024.02")</f>
        <v>142974</v>
      </c>
      <c r="E65" s="55" t="n">
        <f aca="false">SUMIFS(데이터_품목별!$H$3:$H$2984,데이터_품목별!$E$3:$E$2984,"60",데이터_품목별!$A$3:$A$2984,"2024.03")</f>
        <v>143181</v>
      </c>
      <c r="F65" s="55" t="n">
        <f aca="false">SUMIFS(데이터_품목별!$H$3:$H$2984,데이터_품목별!$E$3:$E$2984,"60",데이터_품목별!$A$3:$A$2984,"2024.04")</f>
        <v>161015</v>
      </c>
      <c r="G65" s="55" t="n">
        <f aca="false">SUMIFS(데이터_품목별!$H$3:$H$2984,데이터_품목별!$E$3:$E$2984,"60",데이터_품목별!$A$3:$A$2984,"2024.05")</f>
        <v>171356</v>
      </c>
      <c r="H65" s="55" t="n">
        <f aca="false">SUMIFS(데이터_품목별!$H$3:$H$2984,데이터_품목별!$E$3:$E$2984,"60",데이터_품목별!$A$3:$A$2984,"2024.06")</f>
        <v>147754</v>
      </c>
      <c r="I65" s="55" t="n">
        <f aca="false">SUMIFS(데이터_품목별!$H$3:$H$2984,데이터_품목별!$E$3:$E$2984,"60",데이터_품목별!$A$3:$A$2984,"2024.07")</f>
        <v>142230</v>
      </c>
      <c r="J65" s="55" t="n">
        <f aca="false">SUMIFS(데이터_품목별!$H$3:$H$2984,데이터_품목별!$E$3:$E$2984,"60",데이터_품목별!$A$3:$A$2984,"2024.08")</f>
        <v>128829</v>
      </c>
      <c r="K65" s="55" t="n">
        <f aca="false">SUMIFS(데이터_품목별!$H$3:$H$2984,데이터_품목별!$E$3:$E$2984,"60",데이터_품목별!$A$3:$A$2984,"2024.09")</f>
        <v>124317</v>
      </c>
      <c r="L65" s="55" t="n">
        <f aca="false">SUMIFS(데이터_품목별!$H$3:$H$2984,데이터_품목별!$E$3:$E$2984,"60",데이터_품목별!$A$3:$A$2984,"2024.10")</f>
        <v>135865</v>
      </c>
      <c r="M65" s="55" t="n">
        <f aca="false">SUMIFS(데이터_품목별!$H$3:$H$2984,데이터_품목별!$E$3:$E$2984,"60",데이터_품목별!$A$3:$A$2984,"2024.11")</f>
        <v>147536</v>
      </c>
      <c r="N65" s="55" t="n">
        <f aca="false">SUMIFS(데이터_품목별!$H$3:$H$2984,데이터_품목별!$E$3:$E$2984,"60",데이터_품목별!$A$3:$A$2984,"2024.12")</f>
        <v>140035</v>
      </c>
      <c r="O65" s="55" t="n">
        <f aca="false">SUMIFS(데이터_품목별!$H$3:$H$2984,데이터_품목별!$E$3:$E$2984,"60",데이터_품목별!$A$3:$A$2984,"2025.01")</f>
        <v>110973</v>
      </c>
      <c r="P65" s="55" t="n">
        <f aca="false">SUMIFS(데이터_품목별!$H$3:$H$2984,데이터_품목별!$E$3:$E$2984,"60",데이터_품목별!$A$3:$A$2984,"2025.02")</f>
        <v>124790</v>
      </c>
      <c r="Q65" s="55" t="n">
        <f aca="false">SUMIFS(데이터_품목별!$H$3:$H$2984,데이터_품목별!$E$3:$E$2984,"60",데이터_품목별!$A$3:$A$2984,"2025.03")</f>
        <v>127346</v>
      </c>
      <c r="R65" s="55" t="n">
        <f aca="false">SUMIFS(데이터_품목별!$H$3:$H$2984,데이터_품목별!$E$3:$E$2984,"60",데이터_품목별!$A$3:$A$2984,"2025.04")</f>
        <v>138916</v>
      </c>
      <c r="S65" s="55" t="n">
        <f aca="false">SUMIFS(데이터_품목별!$H$3:$H$2984,데이터_품목별!$E$3:$E$2984,"60",데이터_품목별!$A$3:$A$2984,"2025.05")</f>
        <v>137237</v>
      </c>
      <c r="T65" s="55" t="n">
        <f aca="false">SUMIFS(데이터_품목별!$H$3:$H$2984,데이터_품목별!$E$3:$E$2984,"60",데이터_품목별!$A$3:$A$2984,"2025.06")</f>
        <v>130373</v>
      </c>
      <c r="U65" s="55" t="n">
        <f aca="false">SUMIFS(데이터_품목별!$H$3:$H$2984,데이터_품목별!$E$3:$E$2984,"60",데이터_품목별!$A$3:$A$2984,"2025.07")</f>
        <v>124239</v>
      </c>
      <c r="V65" s="55" t="n">
        <f aca="false">SUMIFS(데이터_품목별!$H$3:$H$2984,데이터_품목별!$E$3:$E$2984,"60",데이터_품목별!$A$3:$A$2984,"2025.08")</f>
        <v>96066</v>
      </c>
      <c r="W65" s="55" t="n">
        <f aca="false">SUMIFS(데이터_품목별!$H$3:$H$2984,데이터_품목별!$E$3:$E$2984,"60",데이터_품목별!$A$3:$A$2984,"2025.09")</f>
        <v>128333</v>
      </c>
      <c r="X65" s="55" t="n">
        <f aca="false">SUMIFS(데이터_품목별!$H$3:$H$2984,데이터_품목별!$E$3:$E$2984,"60",데이터_품목별!$A$3:$A$2984,"2025.10")</f>
        <v>103972</v>
      </c>
      <c r="Y65" s="55" t="n">
        <f aca="false">SUMIFS(데이터_품목별!$H$3:$H$2984,데이터_품목별!$E$3:$E$2984,"60",데이터_품목별!$A$3:$A$2984,"2025.11")</f>
        <v>114830</v>
      </c>
      <c r="Z65" s="55" t="n">
        <f aca="false">SUMIFS(데이터_품목별!$H$3:$H$2984,데이터_품목별!$E$3:$E$2984,"60",데이터_품목별!$A$3:$A$2984,"2025.12")</f>
        <v>132486</v>
      </c>
      <c r="AA65" s="55" t="n">
        <f aca="false">SUMIFS(데이터_품목별!$H$3:$H$2984,데이터_품목별!$E$3:$E$2984,"60",데이터_품목별!$A$3:$A$2984,"2026.01")</f>
        <v>113823</v>
      </c>
      <c r="AB65" s="55" t="n">
        <f aca="false">SUMIFS(데이터_품목별!$H$3:$H$2984,데이터_품목별!$E$3:$E$2984,"60",데이터_품목별!$A$3:$A$2984,"2026.02")</f>
        <v>92030</v>
      </c>
      <c r="AC65" s="55" t="n">
        <f aca="false">SUMIFS(데이터_품목별!$H$3:$H$2984,데이터_품목별!$E$3:$E$2984,"60",데이터_품목별!$A$3:$A$2984,"2026.03")</f>
        <v>121473</v>
      </c>
      <c r="AD65" s="55" t="n">
        <f aca="false">SUMIFS(데이터_품목별!$H$3:$H$2984,데이터_품목별!$E$3:$E$2984,"60",데이터_품목별!$A$3:$A$2984,"2026.04")</f>
        <v>138630</v>
      </c>
      <c r="AE65" s="55" t="n">
        <f aca="false">SUMIFS(데이터_품목별!$H$3:$H$2984,데이터_품목별!$E$3:$E$2984,"60",데이터_품목별!$A$3:$A$2984,"2026.05")</f>
        <v>107438</v>
      </c>
      <c r="AF65" s="55" t="n">
        <f aca="false">SUMIFS(데이터_품목별!$H$3:$H$2984,데이터_품목별!$E$3:$E$2984,"60",데이터_품목별!$A$3:$A$2984,"2026.06")</f>
        <v>125456</v>
      </c>
      <c r="AG65" s="55" t="n">
        <f aca="false">SUMIFS(데이터_품목별!$H$3:$H$2984,데이터_품목별!$E$3:$E$2984,"60",데이터_품목별!$A$3:$A$2984,"2026.07")</f>
        <v>124239</v>
      </c>
    </row>
    <row r="66" customFormat="false" ht="15" hidden="false" customHeight="true" outlineLevel="0" collapsed="false">
      <c r="A66" s="53" t="s">
        <v>765</v>
      </c>
      <c r="B66" s="54" t="s">
        <v>766</v>
      </c>
      <c r="C66" s="55" t="n">
        <f aca="false">SUMIFS(데이터_품목별!$H$3:$H$2984,데이터_품목별!$E$3:$E$2984,"61",데이터_품목별!$A$3:$A$2984,"2024.01")</f>
        <v>70792</v>
      </c>
      <c r="D66" s="55" t="n">
        <f aca="false">SUMIFS(데이터_품목별!$H$3:$H$2984,데이터_품목별!$E$3:$E$2984,"61",데이터_품목별!$A$3:$A$2984,"2024.02")</f>
        <v>60261</v>
      </c>
      <c r="E66" s="55" t="n">
        <f aca="false">SUMIFS(데이터_품목별!$H$3:$H$2984,데이터_품목별!$E$3:$E$2984,"61",데이터_품목별!$A$3:$A$2984,"2024.03")</f>
        <v>68070</v>
      </c>
      <c r="F66" s="55" t="n">
        <f aca="false">SUMIFS(데이터_품목별!$H$3:$H$2984,데이터_품목별!$E$3:$E$2984,"61",데이터_품목별!$A$3:$A$2984,"2024.04")</f>
        <v>66615</v>
      </c>
      <c r="G66" s="55" t="n">
        <f aca="false">SUMIFS(데이터_품목별!$H$3:$H$2984,데이터_품목별!$E$3:$E$2984,"61",데이터_품목별!$A$3:$A$2984,"2024.05")</f>
        <v>68010</v>
      </c>
      <c r="H66" s="55" t="n">
        <f aca="false">SUMIFS(데이터_품목별!$H$3:$H$2984,데이터_품목별!$E$3:$E$2984,"61",데이터_품목별!$A$3:$A$2984,"2024.06")</f>
        <v>65552</v>
      </c>
      <c r="I66" s="55" t="n">
        <f aca="false">SUMIFS(데이터_품목별!$H$3:$H$2984,데이터_품목별!$E$3:$E$2984,"61",데이터_품목별!$A$3:$A$2984,"2024.07")</f>
        <v>66148</v>
      </c>
      <c r="J66" s="55" t="n">
        <f aca="false">SUMIFS(데이터_품목별!$H$3:$H$2984,데이터_품목별!$E$3:$E$2984,"61",데이터_품목별!$A$3:$A$2984,"2024.08")</f>
        <v>61411</v>
      </c>
      <c r="K66" s="55" t="n">
        <f aca="false">SUMIFS(데이터_품목별!$H$3:$H$2984,데이터_품목별!$E$3:$E$2984,"61",데이터_품목별!$A$3:$A$2984,"2024.09")</f>
        <v>64983</v>
      </c>
      <c r="L66" s="55" t="n">
        <f aca="false">SUMIFS(데이터_품목별!$H$3:$H$2984,데이터_품목별!$E$3:$E$2984,"61",데이터_품목별!$A$3:$A$2984,"2024.10")</f>
        <v>70335</v>
      </c>
      <c r="M66" s="55" t="n">
        <f aca="false">SUMIFS(데이터_품목별!$H$3:$H$2984,데이터_품목별!$E$3:$E$2984,"61",데이터_품목별!$A$3:$A$2984,"2024.11")</f>
        <v>74201</v>
      </c>
      <c r="N66" s="55" t="n">
        <f aca="false">SUMIFS(데이터_품목별!$H$3:$H$2984,데이터_품목별!$E$3:$E$2984,"61",데이터_품목별!$A$3:$A$2984,"2024.12")</f>
        <v>78740</v>
      </c>
      <c r="O66" s="55" t="n">
        <f aca="false">SUMIFS(데이터_품목별!$H$3:$H$2984,데이터_품목별!$E$3:$E$2984,"61",데이터_품목별!$A$3:$A$2984,"2025.01")</f>
        <v>56447</v>
      </c>
      <c r="P66" s="55" t="n">
        <f aca="false">SUMIFS(데이터_품목별!$H$3:$H$2984,데이터_품목별!$E$3:$E$2984,"61",데이터_품목별!$A$3:$A$2984,"2025.02")</f>
        <v>66068</v>
      </c>
      <c r="Q66" s="55" t="n">
        <f aca="false">SUMIFS(데이터_품목별!$H$3:$H$2984,데이터_품목별!$E$3:$E$2984,"61",데이터_품목별!$A$3:$A$2984,"2025.03")</f>
        <v>72600</v>
      </c>
      <c r="R66" s="55" t="n">
        <f aca="false">SUMIFS(데이터_품목별!$H$3:$H$2984,데이터_품목별!$E$3:$E$2984,"61",데이터_품목별!$A$3:$A$2984,"2025.04")</f>
        <v>67920</v>
      </c>
      <c r="S66" s="55" t="n">
        <f aca="false">SUMIFS(데이터_품목별!$H$3:$H$2984,데이터_품목별!$E$3:$E$2984,"61",데이터_품목별!$A$3:$A$2984,"2025.05")</f>
        <v>73379</v>
      </c>
      <c r="T66" s="55" t="n">
        <f aca="false">SUMIFS(데이터_품목별!$H$3:$H$2984,데이터_품목별!$E$3:$E$2984,"61",데이터_품목별!$A$3:$A$2984,"2025.06")</f>
        <v>72488</v>
      </c>
      <c r="U66" s="55" t="n">
        <f aca="false">SUMIFS(데이터_품목별!$H$3:$H$2984,데이터_품목별!$E$3:$E$2984,"61",데이터_품목별!$A$3:$A$2984,"2025.07")</f>
        <v>77746</v>
      </c>
      <c r="V66" s="55" t="n">
        <f aca="false">SUMIFS(데이터_품목별!$H$3:$H$2984,데이터_품목별!$E$3:$E$2984,"61",데이터_품목별!$A$3:$A$2984,"2025.08")</f>
        <v>66631</v>
      </c>
      <c r="W66" s="55" t="n">
        <f aca="false">SUMIFS(데이터_품목별!$H$3:$H$2984,데이터_품목별!$E$3:$E$2984,"61",데이터_품목별!$A$3:$A$2984,"2025.09")</f>
        <v>80414</v>
      </c>
      <c r="X66" s="55" t="n">
        <f aca="false">SUMIFS(데이터_품목별!$H$3:$H$2984,데이터_품목별!$E$3:$E$2984,"61",데이터_품목별!$A$3:$A$2984,"2025.10")</f>
        <v>65494</v>
      </c>
      <c r="Y66" s="55" t="n">
        <f aca="false">SUMIFS(데이터_품목별!$H$3:$H$2984,데이터_품목별!$E$3:$E$2984,"61",데이터_품목별!$A$3:$A$2984,"2025.11")</f>
        <v>73679</v>
      </c>
      <c r="Z66" s="55" t="n">
        <f aca="false">SUMIFS(데이터_품목별!$H$3:$H$2984,데이터_품목별!$E$3:$E$2984,"61",데이터_품목별!$A$3:$A$2984,"2025.12")</f>
        <v>86428</v>
      </c>
      <c r="AA66" s="55" t="n">
        <f aca="false">SUMIFS(데이터_품목별!$H$3:$H$2984,데이터_품목별!$E$3:$E$2984,"61",데이터_품목별!$A$3:$A$2984,"2026.01")</f>
        <v>62607</v>
      </c>
      <c r="AB66" s="55" t="n">
        <f aca="false">SUMIFS(데이터_품목별!$H$3:$H$2984,데이터_품목별!$E$3:$E$2984,"61",데이터_품목별!$A$3:$A$2984,"2026.02")</f>
        <v>59917</v>
      </c>
      <c r="AC66" s="55" t="n">
        <f aca="false">SUMIFS(데이터_품목별!$H$3:$H$2984,데이터_품목별!$E$3:$E$2984,"61",데이터_품목별!$A$3:$A$2984,"2026.03")</f>
        <v>79589</v>
      </c>
      <c r="AD66" s="55" t="n">
        <f aca="false">SUMIFS(데이터_품목별!$H$3:$H$2984,데이터_품목별!$E$3:$E$2984,"61",데이터_품목별!$A$3:$A$2984,"2026.04")</f>
        <v>104281</v>
      </c>
      <c r="AE66" s="55" t="n">
        <f aca="false">SUMIFS(데이터_품목별!$H$3:$H$2984,데이터_품목별!$E$3:$E$2984,"61",데이터_품목별!$A$3:$A$2984,"2026.05")</f>
        <v>70852</v>
      </c>
      <c r="AF66" s="55" t="n">
        <f aca="false">SUMIFS(데이터_품목별!$H$3:$H$2984,데이터_품목별!$E$3:$E$2984,"61",데이터_품목별!$A$3:$A$2984,"2026.06")</f>
        <v>90862</v>
      </c>
      <c r="AG66" s="55" t="n">
        <f aca="false">SUMIFS(데이터_품목별!$H$3:$H$2984,데이터_품목별!$E$3:$E$2984,"61",데이터_품목별!$A$3:$A$2984,"2026.07")</f>
        <v>72526</v>
      </c>
    </row>
    <row r="67" customFormat="false" ht="15" hidden="false" customHeight="true" outlineLevel="0" collapsed="false">
      <c r="A67" s="53" t="s">
        <v>772</v>
      </c>
      <c r="B67" s="54" t="s">
        <v>773</v>
      </c>
      <c r="C67" s="55" t="n">
        <f aca="false">SUMIFS(데이터_품목별!$H$3:$H$2984,데이터_품목별!$E$3:$E$2984,"62",데이터_품목별!$A$3:$A$2984,"2024.01")</f>
        <v>85016</v>
      </c>
      <c r="D67" s="55" t="n">
        <f aca="false">SUMIFS(데이터_품목별!$H$3:$H$2984,데이터_품목별!$E$3:$E$2984,"62",데이터_품목별!$A$3:$A$2984,"2024.02")</f>
        <v>64578</v>
      </c>
      <c r="E67" s="55" t="n">
        <f aca="false">SUMIFS(데이터_품목별!$H$3:$H$2984,데이터_품목별!$E$3:$E$2984,"62",데이터_품목별!$A$3:$A$2984,"2024.03")</f>
        <v>76156</v>
      </c>
      <c r="F67" s="55" t="n">
        <f aca="false">SUMIFS(데이터_품목별!$H$3:$H$2984,데이터_품목별!$E$3:$E$2984,"62",데이터_품목별!$A$3:$A$2984,"2024.04")</f>
        <v>81874</v>
      </c>
      <c r="G67" s="55" t="n">
        <f aca="false">SUMIFS(데이터_품목별!$H$3:$H$2984,데이터_품목별!$E$3:$E$2984,"62",데이터_품목별!$A$3:$A$2984,"2024.05")</f>
        <v>92802</v>
      </c>
      <c r="H67" s="55" t="n">
        <f aca="false">SUMIFS(데이터_품목별!$H$3:$H$2984,데이터_품목별!$E$3:$E$2984,"62",데이터_품목별!$A$3:$A$2984,"2024.06")</f>
        <v>82344</v>
      </c>
      <c r="I67" s="55" t="n">
        <f aca="false">SUMIFS(데이터_품목별!$H$3:$H$2984,데이터_품목별!$E$3:$E$2984,"62",데이터_품목별!$A$3:$A$2984,"2024.07")</f>
        <v>74430</v>
      </c>
      <c r="J67" s="55" t="n">
        <f aca="false">SUMIFS(데이터_품목별!$H$3:$H$2984,데이터_품목별!$E$3:$E$2984,"62",데이터_품목별!$A$3:$A$2984,"2024.08")</f>
        <v>62571</v>
      </c>
      <c r="K67" s="55" t="n">
        <f aca="false">SUMIFS(데이터_품목별!$H$3:$H$2984,데이터_품목별!$E$3:$E$2984,"62",데이터_품목별!$A$3:$A$2984,"2024.09")</f>
        <v>68365</v>
      </c>
      <c r="L67" s="55" t="n">
        <f aca="false">SUMIFS(데이터_품목별!$H$3:$H$2984,데이터_품목별!$E$3:$E$2984,"62",데이터_품목별!$A$3:$A$2984,"2024.10")</f>
        <v>84853</v>
      </c>
      <c r="M67" s="55" t="n">
        <f aca="false">SUMIFS(데이터_품목별!$H$3:$H$2984,데이터_품목별!$E$3:$E$2984,"62",데이터_품목별!$A$3:$A$2984,"2024.11")</f>
        <v>103493</v>
      </c>
      <c r="N67" s="55" t="n">
        <f aca="false">SUMIFS(데이터_품목별!$H$3:$H$2984,데이터_품목별!$E$3:$E$2984,"62",데이터_품목별!$A$3:$A$2984,"2024.12")</f>
        <v>90817</v>
      </c>
      <c r="O67" s="55" t="n">
        <f aca="false">SUMIFS(데이터_품목별!$H$3:$H$2984,데이터_품목별!$E$3:$E$2984,"62",데이터_품목별!$A$3:$A$2984,"2025.01")</f>
        <v>59089</v>
      </c>
      <c r="P67" s="55" t="n">
        <f aca="false">SUMIFS(데이터_품목별!$H$3:$H$2984,데이터_품목별!$E$3:$E$2984,"62",데이터_품목별!$A$3:$A$2984,"2025.02")</f>
        <v>63688</v>
      </c>
      <c r="Q67" s="55" t="n">
        <f aca="false">SUMIFS(데이터_품목별!$H$3:$H$2984,데이터_품목별!$E$3:$E$2984,"62",데이터_품목별!$A$3:$A$2984,"2025.03")</f>
        <v>67429</v>
      </c>
      <c r="R67" s="55" t="n">
        <f aca="false">SUMIFS(데이터_품목별!$H$3:$H$2984,데이터_품목별!$E$3:$E$2984,"62",데이터_품목별!$A$3:$A$2984,"2025.04")</f>
        <v>82495</v>
      </c>
      <c r="S67" s="55" t="n">
        <f aca="false">SUMIFS(데이터_품목별!$H$3:$H$2984,데이터_품목별!$E$3:$E$2984,"62",데이터_품목별!$A$3:$A$2984,"2025.05")</f>
        <v>82230</v>
      </c>
      <c r="T67" s="55" t="n">
        <f aca="false">SUMIFS(데이터_품목별!$H$3:$H$2984,데이터_품목별!$E$3:$E$2984,"62",데이터_품목별!$A$3:$A$2984,"2025.06")</f>
        <v>71992</v>
      </c>
      <c r="U67" s="55" t="n">
        <f aca="false">SUMIFS(데이터_품목별!$H$3:$H$2984,데이터_품목별!$E$3:$E$2984,"62",데이터_품목별!$A$3:$A$2984,"2025.07")</f>
        <v>65402</v>
      </c>
      <c r="V67" s="55" t="n">
        <f aca="false">SUMIFS(데이터_품목별!$H$3:$H$2984,데이터_품목별!$E$3:$E$2984,"62",데이터_품목별!$A$3:$A$2984,"2025.08")</f>
        <v>58766</v>
      </c>
      <c r="W67" s="55" t="n">
        <f aca="false">SUMIFS(데이터_품목별!$H$3:$H$2984,데이터_품목별!$E$3:$E$2984,"62",데이터_품목별!$A$3:$A$2984,"2025.09")</f>
        <v>80441</v>
      </c>
      <c r="X67" s="55" t="n">
        <f aca="false">SUMIFS(데이터_품목별!$H$3:$H$2984,데이터_품목별!$E$3:$E$2984,"62",데이터_품목별!$A$3:$A$2984,"2025.10")</f>
        <v>76117</v>
      </c>
      <c r="Y67" s="55" t="n">
        <f aca="false">SUMIFS(데이터_품목별!$H$3:$H$2984,데이터_품목별!$E$3:$E$2984,"62",데이터_품목별!$A$3:$A$2984,"2025.11")</f>
        <v>108877</v>
      </c>
      <c r="Z67" s="55" t="n">
        <f aca="false">SUMIFS(데이터_품목별!$H$3:$H$2984,데이터_품목별!$E$3:$E$2984,"62",데이터_품목별!$A$3:$A$2984,"2025.12")</f>
        <v>93509</v>
      </c>
      <c r="AA67" s="55" t="n">
        <f aca="false">SUMIFS(데이터_품목별!$H$3:$H$2984,데이터_품목별!$E$3:$E$2984,"62",데이터_품목별!$A$3:$A$2984,"2026.01")</f>
        <v>70280</v>
      </c>
      <c r="AB67" s="55" t="n">
        <f aca="false">SUMIFS(데이터_품목별!$H$3:$H$2984,데이터_품목별!$E$3:$E$2984,"62",데이터_품목별!$A$3:$A$2984,"2026.02")</f>
        <v>56809</v>
      </c>
      <c r="AC67" s="55" t="n">
        <f aca="false">SUMIFS(데이터_품목별!$H$3:$H$2984,데이터_품목별!$E$3:$E$2984,"62",데이터_품목별!$A$3:$A$2984,"2026.03")</f>
        <v>85445</v>
      </c>
      <c r="AD67" s="55" t="n">
        <f aca="false">SUMIFS(데이터_품목별!$H$3:$H$2984,데이터_품목별!$E$3:$E$2984,"62",데이터_품목별!$A$3:$A$2984,"2026.04")</f>
        <v>95643</v>
      </c>
      <c r="AE67" s="55" t="n">
        <f aca="false">SUMIFS(데이터_품목별!$H$3:$H$2984,데이터_품목별!$E$3:$E$2984,"62",데이터_품목별!$A$3:$A$2984,"2026.05")</f>
        <v>74158</v>
      </c>
      <c r="AF67" s="55" t="n">
        <f aca="false">SUMIFS(데이터_품목별!$H$3:$H$2984,데이터_품목별!$E$3:$E$2984,"62",데이터_품목별!$A$3:$A$2984,"2026.06")</f>
        <v>84578</v>
      </c>
      <c r="AG67" s="55" t="n">
        <f aca="false">SUMIFS(데이터_품목별!$H$3:$H$2984,데이터_품목별!$E$3:$E$2984,"62",데이터_품목별!$A$3:$A$2984,"2026.07")</f>
        <v>70420</v>
      </c>
    </row>
    <row r="68" customFormat="false" ht="15" hidden="false" customHeight="true" outlineLevel="0" collapsed="false">
      <c r="A68" s="53" t="s">
        <v>779</v>
      </c>
      <c r="B68" s="54" t="s">
        <v>780</v>
      </c>
      <c r="C68" s="55" t="n">
        <f aca="false">SUMIFS(데이터_품목별!$H$3:$H$2984,데이터_품목별!$E$3:$E$2984,"63",데이터_품목별!$A$3:$A$2984,"2024.01")</f>
        <v>52749</v>
      </c>
      <c r="D68" s="55" t="n">
        <f aca="false">SUMIFS(데이터_품목별!$H$3:$H$2984,데이터_품목별!$E$3:$E$2984,"63",데이터_품목별!$A$3:$A$2984,"2024.02")</f>
        <v>52819</v>
      </c>
      <c r="E68" s="55" t="n">
        <f aca="false">SUMIFS(데이터_품목별!$H$3:$H$2984,데이터_품목별!$E$3:$E$2984,"63",데이터_품목별!$A$3:$A$2984,"2024.03")</f>
        <v>52568</v>
      </c>
      <c r="F68" s="55" t="n">
        <f aca="false">SUMIFS(데이터_품목별!$H$3:$H$2984,데이터_품목별!$E$3:$E$2984,"63",데이터_품목별!$A$3:$A$2984,"2024.04")</f>
        <v>60091</v>
      </c>
      <c r="G68" s="55" t="n">
        <f aca="false">SUMIFS(데이터_품목별!$H$3:$H$2984,데이터_품목별!$E$3:$E$2984,"63",데이터_품목별!$A$3:$A$2984,"2024.05")</f>
        <v>59666</v>
      </c>
      <c r="H68" s="55" t="n">
        <f aca="false">SUMIFS(데이터_품목별!$H$3:$H$2984,데이터_품목별!$E$3:$E$2984,"63",데이터_품목별!$A$3:$A$2984,"2024.06")</f>
        <v>55232</v>
      </c>
      <c r="I68" s="55" t="n">
        <f aca="false">SUMIFS(데이터_품목별!$H$3:$H$2984,데이터_품목별!$E$3:$E$2984,"63",데이터_품목별!$A$3:$A$2984,"2024.07")</f>
        <v>49809</v>
      </c>
      <c r="J68" s="55" t="n">
        <f aca="false">SUMIFS(데이터_품목별!$H$3:$H$2984,데이터_품목별!$E$3:$E$2984,"63",데이터_품목별!$A$3:$A$2984,"2024.08")</f>
        <v>47863</v>
      </c>
      <c r="K68" s="55" t="n">
        <f aca="false">SUMIFS(데이터_품목별!$H$3:$H$2984,데이터_품목별!$E$3:$E$2984,"63",데이터_품목별!$A$3:$A$2984,"2024.09")</f>
        <v>53100</v>
      </c>
      <c r="L68" s="55" t="n">
        <f aca="false">SUMIFS(데이터_품목별!$H$3:$H$2984,데이터_품목별!$E$3:$E$2984,"63",데이터_품목별!$A$3:$A$2984,"2024.10")</f>
        <v>57274</v>
      </c>
      <c r="M68" s="55" t="n">
        <f aca="false">SUMIFS(데이터_품목별!$H$3:$H$2984,데이터_품목별!$E$3:$E$2984,"63",데이터_품목별!$A$3:$A$2984,"2024.11")</f>
        <v>51744</v>
      </c>
      <c r="N68" s="55" t="n">
        <f aca="false">SUMIFS(데이터_품목별!$H$3:$H$2984,데이터_품목별!$E$3:$E$2984,"63",데이터_품목별!$A$3:$A$2984,"2024.12")</f>
        <v>51292</v>
      </c>
      <c r="O68" s="55" t="n">
        <f aca="false">SUMIFS(데이터_품목별!$H$3:$H$2984,데이터_품목별!$E$3:$E$2984,"63",데이터_품목별!$A$3:$A$2984,"2025.01")</f>
        <v>45391</v>
      </c>
      <c r="P68" s="55" t="n">
        <f aca="false">SUMIFS(데이터_품목별!$H$3:$H$2984,데이터_품목별!$E$3:$E$2984,"63",데이터_품목별!$A$3:$A$2984,"2025.02")</f>
        <v>53901</v>
      </c>
      <c r="Q68" s="55" t="n">
        <f aca="false">SUMIFS(데이터_품목별!$H$3:$H$2984,데이터_품목별!$E$3:$E$2984,"63",데이터_품목별!$A$3:$A$2984,"2025.03")</f>
        <v>57488</v>
      </c>
      <c r="R68" s="55" t="n">
        <f aca="false">SUMIFS(데이터_품목별!$H$3:$H$2984,데이터_품목별!$E$3:$E$2984,"63",데이터_품목별!$A$3:$A$2984,"2025.04")</f>
        <v>59961</v>
      </c>
      <c r="S68" s="55" t="n">
        <f aca="false">SUMIFS(데이터_품목별!$H$3:$H$2984,데이터_품목별!$E$3:$E$2984,"63",데이터_품목별!$A$3:$A$2984,"2025.05")</f>
        <v>56186</v>
      </c>
      <c r="T68" s="55" t="n">
        <f aca="false">SUMIFS(데이터_품목별!$H$3:$H$2984,데이터_품목별!$E$3:$E$2984,"63",데이터_품목별!$A$3:$A$2984,"2025.06")</f>
        <v>48398</v>
      </c>
      <c r="U68" s="55" t="n">
        <f aca="false">SUMIFS(데이터_품목별!$H$3:$H$2984,데이터_품목별!$E$3:$E$2984,"63",데이터_품목별!$A$3:$A$2984,"2025.07")</f>
        <v>57568</v>
      </c>
      <c r="V68" s="55" t="n">
        <f aca="false">SUMIFS(데이터_품목별!$H$3:$H$2984,데이터_품목별!$E$3:$E$2984,"63",데이터_품목별!$A$3:$A$2984,"2025.08")</f>
        <v>43540</v>
      </c>
      <c r="W68" s="55" t="n">
        <f aca="false">SUMIFS(데이터_품목별!$H$3:$H$2984,데이터_품목별!$E$3:$E$2984,"63",데이터_품목별!$A$3:$A$2984,"2025.09")</f>
        <v>51848</v>
      </c>
      <c r="X68" s="55" t="n">
        <f aca="false">SUMIFS(데이터_품목별!$H$3:$H$2984,데이터_품목별!$E$3:$E$2984,"63",데이터_품목별!$A$3:$A$2984,"2025.10")</f>
        <v>40735</v>
      </c>
      <c r="Y68" s="55" t="n">
        <f aca="false">SUMIFS(데이터_품목별!$H$3:$H$2984,데이터_품목별!$E$3:$E$2984,"63",데이터_품목별!$A$3:$A$2984,"2025.11")</f>
        <v>43988</v>
      </c>
      <c r="Z68" s="55" t="n">
        <f aca="false">SUMIFS(데이터_품목별!$H$3:$H$2984,데이터_품목별!$E$3:$E$2984,"63",데이터_품목별!$A$3:$A$2984,"2025.12")</f>
        <v>47566</v>
      </c>
      <c r="AA68" s="55" t="n">
        <f aca="false">SUMIFS(데이터_품목별!$H$3:$H$2984,데이터_품목별!$E$3:$E$2984,"63",데이터_품목별!$A$3:$A$2984,"2026.01")</f>
        <v>46121</v>
      </c>
      <c r="AB68" s="55" t="n">
        <f aca="false">SUMIFS(데이터_품목별!$H$3:$H$2984,데이터_품목별!$E$3:$E$2984,"63",데이터_품목별!$A$3:$A$2984,"2026.02")</f>
        <v>39850</v>
      </c>
      <c r="AC68" s="55" t="n">
        <f aca="false">SUMIFS(데이터_품목별!$H$3:$H$2984,데이터_품목별!$E$3:$E$2984,"63",데이터_품목별!$A$3:$A$2984,"2026.03")</f>
        <v>48525</v>
      </c>
      <c r="AD68" s="55" t="n">
        <f aca="false">SUMIFS(데이터_품목별!$H$3:$H$2984,데이터_품목별!$E$3:$E$2984,"63",데이터_품목별!$A$3:$A$2984,"2026.04")</f>
        <v>56202</v>
      </c>
      <c r="AE68" s="55" t="n">
        <f aca="false">SUMIFS(데이터_품목별!$H$3:$H$2984,데이터_품목별!$E$3:$E$2984,"63",데이터_품목별!$A$3:$A$2984,"2026.05")</f>
        <v>46196</v>
      </c>
      <c r="AF68" s="55" t="n">
        <f aca="false">SUMIFS(데이터_품목별!$H$3:$H$2984,데이터_품목별!$E$3:$E$2984,"63",데이터_품목별!$A$3:$A$2984,"2026.06")</f>
        <v>50459</v>
      </c>
      <c r="AG68" s="55" t="n">
        <f aca="false">SUMIFS(데이터_품목별!$H$3:$H$2984,데이터_품목별!$E$3:$E$2984,"63",데이터_품목별!$A$3:$A$2984,"2026.07")</f>
        <v>46246</v>
      </c>
    </row>
    <row r="69" customFormat="false" ht="15" hidden="false" customHeight="true" outlineLevel="0" collapsed="false">
      <c r="A69" s="53" t="s">
        <v>786</v>
      </c>
      <c r="B69" s="54" t="s">
        <v>787</v>
      </c>
      <c r="C69" s="55" t="n">
        <f aca="false">SUMIFS(데이터_품목별!$H$3:$H$2984,데이터_품목별!$E$3:$E$2984,"64",데이터_품목별!$A$3:$A$2984,"2024.01")</f>
        <v>33687</v>
      </c>
      <c r="D69" s="55" t="n">
        <f aca="false">SUMIFS(데이터_품목별!$H$3:$H$2984,데이터_품목별!$E$3:$E$2984,"64",데이터_품목별!$A$3:$A$2984,"2024.02")</f>
        <v>31891</v>
      </c>
      <c r="E69" s="55" t="n">
        <f aca="false">SUMIFS(데이터_품목별!$H$3:$H$2984,데이터_품목별!$E$3:$E$2984,"64",데이터_품목별!$A$3:$A$2984,"2024.03")</f>
        <v>27529</v>
      </c>
      <c r="F69" s="55" t="n">
        <f aca="false">SUMIFS(데이터_품목별!$H$3:$H$2984,데이터_품목별!$E$3:$E$2984,"64",데이터_품목별!$A$3:$A$2984,"2024.04")</f>
        <v>27921</v>
      </c>
      <c r="G69" s="55" t="n">
        <f aca="false">SUMIFS(데이터_품목별!$H$3:$H$2984,데이터_품목별!$E$3:$E$2984,"64",데이터_품목별!$A$3:$A$2984,"2024.05")</f>
        <v>31906</v>
      </c>
      <c r="H69" s="55" t="n">
        <f aca="false">SUMIFS(데이터_품목별!$H$3:$H$2984,데이터_품목별!$E$3:$E$2984,"64",데이터_품목별!$A$3:$A$2984,"2024.06")</f>
        <v>35241</v>
      </c>
      <c r="I69" s="55" t="n">
        <f aca="false">SUMIFS(데이터_품목별!$H$3:$H$2984,데이터_품목별!$E$3:$E$2984,"64",데이터_품목별!$A$3:$A$2984,"2024.07")</f>
        <v>31838</v>
      </c>
      <c r="J69" s="55" t="n">
        <f aca="false">SUMIFS(데이터_품목별!$H$3:$H$2984,데이터_품목별!$E$3:$E$2984,"64",데이터_품목별!$A$3:$A$2984,"2024.08")</f>
        <v>26129</v>
      </c>
      <c r="K69" s="55" t="n">
        <f aca="false">SUMIFS(데이터_품목별!$H$3:$H$2984,데이터_품목별!$E$3:$E$2984,"64",데이터_품목별!$A$3:$A$2984,"2024.09")</f>
        <v>25886</v>
      </c>
      <c r="L69" s="55" t="n">
        <f aca="false">SUMIFS(데이터_품목별!$H$3:$H$2984,데이터_품목별!$E$3:$E$2984,"64",데이터_품목별!$A$3:$A$2984,"2024.10")</f>
        <v>27552</v>
      </c>
      <c r="M69" s="55" t="n">
        <f aca="false">SUMIFS(데이터_품목별!$H$3:$H$2984,데이터_품목별!$E$3:$E$2984,"64",데이터_품목별!$A$3:$A$2984,"2024.11")</f>
        <v>30910</v>
      </c>
      <c r="N69" s="55" t="n">
        <f aca="false">SUMIFS(데이터_품목별!$H$3:$H$2984,데이터_품목별!$E$3:$E$2984,"64",데이터_품목별!$A$3:$A$2984,"2024.12")</f>
        <v>34175</v>
      </c>
      <c r="O69" s="55" t="n">
        <f aca="false">SUMIFS(데이터_품목별!$H$3:$H$2984,데이터_품목별!$E$3:$E$2984,"64",데이터_품목별!$A$3:$A$2984,"2025.01")</f>
        <v>26876</v>
      </c>
      <c r="P69" s="55" t="n">
        <f aca="false">SUMIFS(데이터_품목별!$H$3:$H$2984,데이터_품목별!$E$3:$E$2984,"64",데이터_품목별!$A$3:$A$2984,"2025.02")</f>
        <v>31464</v>
      </c>
      <c r="Q69" s="55" t="n">
        <f aca="false">SUMIFS(데이터_품목별!$H$3:$H$2984,데이터_품목별!$E$3:$E$2984,"64",데이터_품목별!$A$3:$A$2984,"2025.03")</f>
        <v>29414</v>
      </c>
      <c r="R69" s="55" t="n">
        <f aca="false">SUMIFS(데이터_품목별!$H$3:$H$2984,데이터_품목별!$E$3:$E$2984,"64",데이터_품목별!$A$3:$A$2984,"2025.04")</f>
        <v>37039</v>
      </c>
      <c r="S69" s="55" t="n">
        <f aca="false">SUMIFS(데이터_품목별!$H$3:$H$2984,데이터_품목별!$E$3:$E$2984,"64",데이터_품목별!$A$3:$A$2984,"2025.05")</f>
        <v>29619</v>
      </c>
      <c r="T69" s="55" t="n">
        <f aca="false">SUMIFS(데이터_품목별!$H$3:$H$2984,데이터_품목별!$E$3:$E$2984,"64",데이터_품목별!$A$3:$A$2984,"2025.06")</f>
        <v>32434</v>
      </c>
      <c r="U69" s="55" t="n">
        <f aca="false">SUMIFS(데이터_품목별!$H$3:$H$2984,데이터_품목별!$E$3:$E$2984,"64",데이터_품목별!$A$3:$A$2984,"2025.07")</f>
        <v>29703</v>
      </c>
      <c r="V69" s="55" t="n">
        <f aca="false">SUMIFS(데이터_품목별!$H$3:$H$2984,데이터_품목별!$E$3:$E$2984,"64",데이터_품목별!$A$3:$A$2984,"2025.08")</f>
        <v>23322</v>
      </c>
      <c r="W69" s="55" t="n">
        <f aca="false">SUMIFS(데이터_품목별!$H$3:$H$2984,데이터_품목별!$E$3:$E$2984,"64",데이터_품목별!$A$3:$A$2984,"2025.09")</f>
        <v>33714</v>
      </c>
      <c r="X69" s="55" t="n">
        <f aca="false">SUMIFS(데이터_품목별!$H$3:$H$2984,데이터_품목별!$E$3:$E$2984,"64",데이터_품목별!$A$3:$A$2984,"2025.10")</f>
        <v>27385</v>
      </c>
      <c r="Y69" s="55" t="n">
        <f aca="false">SUMIFS(데이터_품목별!$H$3:$H$2984,데이터_품목별!$E$3:$E$2984,"64",데이터_품목별!$A$3:$A$2984,"2025.11")</f>
        <v>27306</v>
      </c>
      <c r="Z69" s="55" t="n">
        <f aca="false">SUMIFS(데이터_품목별!$H$3:$H$2984,데이터_품목별!$E$3:$E$2984,"64",데이터_품목별!$A$3:$A$2984,"2025.12")</f>
        <v>37175</v>
      </c>
      <c r="AA69" s="55" t="n">
        <f aca="false">SUMIFS(데이터_품목별!$H$3:$H$2984,데이터_품목별!$E$3:$E$2984,"64",데이터_품목별!$A$3:$A$2984,"2026.01")</f>
        <v>29027</v>
      </c>
      <c r="AB69" s="55" t="n">
        <f aca="false">SUMIFS(데이터_품목별!$H$3:$H$2984,데이터_품목별!$E$3:$E$2984,"64",데이터_품목별!$A$3:$A$2984,"2026.02")</f>
        <v>27014</v>
      </c>
      <c r="AC69" s="55" t="n">
        <f aca="false">SUMIFS(데이터_품목별!$H$3:$H$2984,데이터_품목별!$E$3:$E$2984,"64",데이터_품목별!$A$3:$A$2984,"2026.03")</f>
        <v>38534</v>
      </c>
      <c r="AD69" s="55" t="n">
        <f aca="false">SUMIFS(데이터_품목별!$H$3:$H$2984,데이터_품목별!$E$3:$E$2984,"64",데이터_품목별!$A$3:$A$2984,"2026.04")</f>
        <v>42783</v>
      </c>
      <c r="AE69" s="55" t="n">
        <f aca="false">SUMIFS(데이터_품목별!$H$3:$H$2984,데이터_품목별!$E$3:$E$2984,"64",데이터_품목별!$A$3:$A$2984,"2026.05")</f>
        <v>37447</v>
      </c>
      <c r="AF69" s="55" t="n">
        <f aca="false">SUMIFS(데이터_품목별!$H$3:$H$2984,데이터_품목별!$E$3:$E$2984,"64",데이터_품목별!$A$3:$A$2984,"2026.06")</f>
        <v>41046</v>
      </c>
      <c r="AG69" s="55" t="n">
        <f aca="false">SUMIFS(데이터_품목별!$H$3:$H$2984,데이터_품목별!$E$3:$E$2984,"64",데이터_품목별!$A$3:$A$2984,"2026.07")</f>
        <v>34889</v>
      </c>
    </row>
    <row r="70" customFormat="false" ht="15" hidden="false" customHeight="true" outlineLevel="0" collapsed="false">
      <c r="A70" s="53" t="s">
        <v>793</v>
      </c>
      <c r="B70" s="54" t="s">
        <v>794</v>
      </c>
      <c r="C70" s="55" t="n">
        <f aca="false">SUMIFS(데이터_품목별!$H$3:$H$2984,데이터_품목별!$E$3:$E$2984,"65",데이터_품목별!$A$3:$A$2984,"2024.01")</f>
        <v>7020</v>
      </c>
      <c r="D70" s="55" t="n">
        <f aca="false">SUMIFS(데이터_품목별!$H$3:$H$2984,데이터_품목별!$E$3:$E$2984,"65",데이터_품목별!$A$3:$A$2984,"2024.02")</f>
        <v>6837</v>
      </c>
      <c r="E70" s="55" t="n">
        <f aca="false">SUMIFS(데이터_품목별!$H$3:$H$2984,데이터_품목별!$E$3:$E$2984,"65",데이터_품목별!$A$3:$A$2984,"2024.03")</f>
        <v>7364</v>
      </c>
      <c r="F70" s="55" t="n">
        <f aca="false">SUMIFS(데이터_품목별!$H$3:$H$2984,데이터_품목별!$E$3:$E$2984,"65",데이터_품목별!$A$3:$A$2984,"2024.04")</f>
        <v>7918</v>
      </c>
      <c r="G70" s="55" t="n">
        <f aca="false">SUMIFS(데이터_품목별!$H$3:$H$2984,데이터_품목별!$E$3:$E$2984,"65",데이터_품목별!$A$3:$A$2984,"2024.05")</f>
        <v>8463</v>
      </c>
      <c r="H70" s="55" t="n">
        <f aca="false">SUMIFS(데이터_품목별!$H$3:$H$2984,데이터_품목별!$E$3:$E$2984,"65",데이터_품목별!$A$3:$A$2984,"2024.06")</f>
        <v>9168</v>
      </c>
      <c r="I70" s="55" t="n">
        <f aca="false">SUMIFS(데이터_품목별!$H$3:$H$2984,데이터_품목별!$E$3:$E$2984,"65",데이터_품목별!$A$3:$A$2984,"2024.07")</f>
        <v>10310</v>
      </c>
      <c r="J70" s="55" t="n">
        <f aca="false">SUMIFS(데이터_품목별!$H$3:$H$2984,데이터_품목별!$E$3:$E$2984,"65",데이터_품목별!$A$3:$A$2984,"2024.08")</f>
        <v>9101</v>
      </c>
      <c r="K70" s="55" t="n">
        <f aca="false">SUMIFS(데이터_품목별!$H$3:$H$2984,데이터_품목별!$E$3:$E$2984,"65",데이터_품목별!$A$3:$A$2984,"2024.09")</f>
        <v>11972</v>
      </c>
      <c r="L70" s="55" t="n">
        <f aca="false">SUMIFS(데이터_품목별!$H$3:$H$2984,데이터_품목별!$E$3:$E$2984,"65",데이터_품목별!$A$3:$A$2984,"2024.10")</f>
        <v>10809</v>
      </c>
      <c r="M70" s="55" t="n">
        <f aca="false">SUMIFS(데이터_품목별!$H$3:$H$2984,데이터_품목별!$E$3:$E$2984,"65",데이터_품목별!$A$3:$A$2984,"2024.11")</f>
        <v>9097</v>
      </c>
      <c r="N70" s="55" t="n">
        <f aca="false">SUMIFS(데이터_품목별!$H$3:$H$2984,데이터_품목별!$E$3:$E$2984,"65",데이터_품목별!$A$3:$A$2984,"2024.12")</f>
        <v>8118</v>
      </c>
      <c r="O70" s="55" t="n">
        <f aca="false">SUMIFS(데이터_품목별!$H$3:$H$2984,데이터_품목별!$E$3:$E$2984,"65",데이터_품목별!$A$3:$A$2984,"2025.01")</f>
        <v>6988</v>
      </c>
      <c r="P70" s="55" t="n">
        <f aca="false">SUMIFS(데이터_품목별!$H$3:$H$2984,데이터_품목별!$E$3:$E$2984,"65",데이터_품목별!$A$3:$A$2984,"2025.02")</f>
        <v>7543</v>
      </c>
      <c r="Q70" s="55" t="n">
        <f aca="false">SUMIFS(데이터_품목별!$H$3:$H$2984,데이터_품목별!$E$3:$E$2984,"65",데이터_품목별!$A$3:$A$2984,"2025.03")</f>
        <v>9571</v>
      </c>
      <c r="R70" s="55" t="n">
        <f aca="false">SUMIFS(데이터_품목별!$H$3:$H$2984,데이터_품목별!$E$3:$E$2984,"65",데이터_품목별!$A$3:$A$2984,"2025.04")</f>
        <v>10454</v>
      </c>
      <c r="S70" s="55" t="n">
        <f aca="false">SUMIFS(데이터_품목별!$H$3:$H$2984,데이터_품목별!$E$3:$E$2984,"65",데이터_품목별!$A$3:$A$2984,"2025.05")</f>
        <v>10051</v>
      </c>
      <c r="T70" s="55" t="n">
        <f aca="false">SUMIFS(데이터_품목별!$H$3:$H$2984,데이터_품목별!$E$3:$E$2984,"65",데이터_품목별!$A$3:$A$2984,"2025.06")</f>
        <v>10250</v>
      </c>
      <c r="U70" s="55" t="n">
        <f aca="false">SUMIFS(데이터_품목별!$H$3:$H$2984,데이터_품목별!$E$3:$E$2984,"65",데이터_품목별!$A$3:$A$2984,"2025.07")</f>
        <v>10452</v>
      </c>
      <c r="V70" s="55" t="n">
        <f aca="false">SUMIFS(데이터_품목별!$H$3:$H$2984,데이터_품목별!$E$3:$E$2984,"65",데이터_품목별!$A$3:$A$2984,"2025.08")</f>
        <v>8957</v>
      </c>
      <c r="W70" s="55" t="n">
        <f aca="false">SUMIFS(데이터_품목별!$H$3:$H$2984,데이터_품목별!$E$3:$E$2984,"65",데이터_품목별!$A$3:$A$2984,"2025.09")</f>
        <v>10991</v>
      </c>
      <c r="X70" s="55" t="n">
        <f aca="false">SUMIFS(데이터_품목별!$H$3:$H$2984,데이터_품목별!$E$3:$E$2984,"65",데이터_품목별!$A$3:$A$2984,"2025.10")</f>
        <v>9074</v>
      </c>
      <c r="Y70" s="55" t="n">
        <f aca="false">SUMIFS(데이터_품목별!$H$3:$H$2984,데이터_품목별!$E$3:$E$2984,"65",데이터_품목별!$A$3:$A$2984,"2025.11")</f>
        <v>9368</v>
      </c>
      <c r="Z70" s="55" t="n">
        <f aca="false">SUMIFS(데이터_품목별!$H$3:$H$2984,데이터_품목별!$E$3:$E$2984,"65",데이터_품목별!$A$3:$A$2984,"2025.12")</f>
        <v>11215</v>
      </c>
      <c r="AA70" s="55" t="n">
        <f aca="false">SUMIFS(데이터_품목별!$H$3:$H$2984,데이터_품목별!$E$3:$E$2984,"65",데이터_품목별!$A$3:$A$2984,"2026.01")</f>
        <v>9609</v>
      </c>
      <c r="AB70" s="55" t="n">
        <f aca="false">SUMIFS(데이터_품목별!$H$3:$H$2984,데이터_품목별!$E$3:$E$2984,"65",데이터_품목별!$A$3:$A$2984,"2026.02")</f>
        <v>8864</v>
      </c>
      <c r="AC70" s="55" t="n">
        <f aca="false">SUMIFS(데이터_품목별!$H$3:$H$2984,데이터_품목별!$E$3:$E$2984,"65",데이터_품목별!$A$3:$A$2984,"2026.03")</f>
        <v>10193</v>
      </c>
      <c r="AD70" s="55" t="n">
        <f aca="false">SUMIFS(데이터_품목별!$H$3:$H$2984,데이터_품목별!$E$3:$E$2984,"65",데이터_품목별!$A$3:$A$2984,"2026.04")</f>
        <v>12375</v>
      </c>
      <c r="AE70" s="55" t="n">
        <f aca="false">SUMIFS(데이터_품목별!$H$3:$H$2984,데이터_품목별!$E$3:$E$2984,"65",데이터_품목별!$A$3:$A$2984,"2026.05")</f>
        <v>11955</v>
      </c>
      <c r="AF70" s="55" t="n">
        <f aca="false">SUMIFS(데이터_품목별!$H$3:$H$2984,데이터_품목별!$E$3:$E$2984,"65",데이터_품목별!$A$3:$A$2984,"2026.06")</f>
        <v>11611</v>
      </c>
      <c r="AG70" s="55" t="n">
        <f aca="false">SUMIFS(데이터_품목별!$H$3:$H$2984,데이터_품목별!$E$3:$E$2984,"65",데이터_품목별!$A$3:$A$2984,"2026.07")</f>
        <v>12728</v>
      </c>
    </row>
    <row r="71" customFormat="false" ht="15" hidden="false" customHeight="true" outlineLevel="0" collapsed="false">
      <c r="A71" s="53" t="s">
        <v>800</v>
      </c>
      <c r="B71" s="54" t="s">
        <v>801</v>
      </c>
      <c r="C71" s="55" t="n">
        <f aca="false">SUMIFS(데이터_품목별!$H$3:$H$2984,데이터_품목별!$E$3:$E$2984,"66",데이터_품목별!$A$3:$A$2984,"2024.01")</f>
        <v>111</v>
      </c>
      <c r="D71" s="55" t="n">
        <f aca="false">SUMIFS(데이터_품목별!$H$3:$H$2984,데이터_품목별!$E$3:$E$2984,"66",데이터_품목별!$A$3:$A$2984,"2024.02")</f>
        <v>98</v>
      </c>
      <c r="E71" s="55" t="n">
        <f aca="false">SUMIFS(데이터_품목별!$H$3:$H$2984,데이터_품목별!$E$3:$E$2984,"66",데이터_품목별!$A$3:$A$2984,"2024.03")</f>
        <v>677</v>
      </c>
      <c r="F71" s="55" t="n">
        <f aca="false">SUMIFS(데이터_품목별!$H$3:$H$2984,데이터_품목별!$E$3:$E$2984,"66",데이터_품목별!$A$3:$A$2984,"2024.04")</f>
        <v>521</v>
      </c>
      <c r="G71" s="55" t="n">
        <f aca="false">SUMIFS(데이터_품목별!$H$3:$H$2984,데이터_품목별!$E$3:$E$2984,"66",데이터_품목별!$A$3:$A$2984,"2024.05")</f>
        <v>239</v>
      </c>
      <c r="H71" s="55" t="n">
        <f aca="false">SUMIFS(데이터_품목별!$H$3:$H$2984,데이터_품목별!$E$3:$E$2984,"66",데이터_품목별!$A$3:$A$2984,"2024.06")</f>
        <v>207</v>
      </c>
      <c r="I71" s="55" t="n">
        <f aca="false">SUMIFS(데이터_품목별!$H$3:$H$2984,데이터_품목별!$E$3:$E$2984,"66",데이터_품목별!$A$3:$A$2984,"2024.07")</f>
        <v>329</v>
      </c>
      <c r="J71" s="55" t="n">
        <f aca="false">SUMIFS(데이터_품목별!$H$3:$H$2984,데이터_품목별!$E$3:$E$2984,"66",데이터_품목별!$A$3:$A$2984,"2024.08")</f>
        <v>156</v>
      </c>
      <c r="K71" s="55" t="n">
        <f aca="false">SUMIFS(데이터_품목별!$H$3:$H$2984,데이터_품목별!$E$3:$E$2984,"66",데이터_품목별!$A$3:$A$2984,"2024.09")</f>
        <v>105</v>
      </c>
      <c r="L71" s="55" t="n">
        <f aca="false">SUMIFS(데이터_품목별!$H$3:$H$2984,데이터_품목별!$E$3:$E$2984,"66",데이터_품목별!$A$3:$A$2984,"2024.10")</f>
        <v>106</v>
      </c>
      <c r="M71" s="55" t="n">
        <f aca="false">SUMIFS(데이터_품목별!$H$3:$H$2984,데이터_품목별!$E$3:$E$2984,"66",데이터_품목별!$A$3:$A$2984,"2024.11")</f>
        <v>199</v>
      </c>
      <c r="N71" s="55" t="n">
        <f aca="false">SUMIFS(데이터_품목별!$H$3:$H$2984,데이터_품목별!$E$3:$E$2984,"66",데이터_품목별!$A$3:$A$2984,"2024.12")</f>
        <v>527</v>
      </c>
      <c r="O71" s="55" t="n">
        <f aca="false">SUMIFS(데이터_품목별!$H$3:$H$2984,데이터_품목별!$E$3:$E$2984,"66",데이터_품목별!$A$3:$A$2984,"2025.01")</f>
        <v>50</v>
      </c>
      <c r="P71" s="55" t="n">
        <f aca="false">SUMIFS(데이터_품목별!$H$3:$H$2984,데이터_품목별!$E$3:$E$2984,"66",데이터_품목별!$A$3:$A$2984,"2025.02")</f>
        <v>216</v>
      </c>
      <c r="Q71" s="55" t="n">
        <f aca="false">SUMIFS(데이터_품목별!$H$3:$H$2984,데이터_품목별!$E$3:$E$2984,"66",데이터_품목별!$A$3:$A$2984,"2025.03")</f>
        <v>65</v>
      </c>
      <c r="R71" s="55" t="n">
        <f aca="false">SUMIFS(데이터_품목별!$H$3:$H$2984,데이터_품목별!$E$3:$E$2984,"66",데이터_품목별!$A$3:$A$2984,"2025.04")</f>
        <v>249</v>
      </c>
      <c r="S71" s="55" t="n">
        <f aca="false">SUMIFS(데이터_품목별!$H$3:$H$2984,데이터_품목별!$E$3:$E$2984,"66",데이터_품목별!$A$3:$A$2984,"2025.05")</f>
        <v>210</v>
      </c>
      <c r="T71" s="55" t="n">
        <f aca="false">SUMIFS(데이터_품목별!$H$3:$H$2984,데이터_품목별!$E$3:$E$2984,"66",데이터_품목별!$A$3:$A$2984,"2025.06")</f>
        <v>318</v>
      </c>
      <c r="U71" s="55" t="n">
        <f aca="false">SUMIFS(데이터_품목별!$H$3:$H$2984,데이터_품목별!$E$3:$E$2984,"66",데이터_품목별!$A$3:$A$2984,"2025.07")</f>
        <v>358</v>
      </c>
      <c r="V71" s="55" t="n">
        <f aca="false">SUMIFS(데이터_품목별!$H$3:$H$2984,데이터_품목별!$E$3:$E$2984,"66",데이터_품목별!$A$3:$A$2984,"2025.08")</f>
        <v>509</v>
      </c>
      <c r="W71" s="55" t="n">
        <f aca="false">SUMIFS(데이터_품목별!$H$3:$H$2984,데이터_품목별!$E$3:$E$2984,"66",데이터_품목별!$A$3:$A$2984,"2025.09")</f>
        <v>276</v>
      </c>
      <c r="X71" s="55" t="n">
        <f aca="false">SUMIFS(데이터_품목별!$H$3:$H$2984,데이터_품목별!$E$3:$E$2984,"66",데이터_품목별!$A$3:$A$2984,"2025.10")</f>
        <v>141</v>
      </c>
      <c r="Y71" s="55" t="n">
        <f aca="false">SUMIFS(데이터_품목별!$H$3:$H$2984,데이터_품목별!$E$3:$E$2984,"66",데이터_품목별!$A$3:$A$2984,"2025.11")</f>
        <v>151</v>
      </c>
      <c r="Z71" s="55" t="n">
        <f aca="false">SUMIFS(데이터_품목별!$H$3:$H$2984,데이터_품목별!$E$3:$E$2984,"66",데이터_품목별!$A$3:$A$2984,"2025.12")</f>
        <v>504</v>
      </c>
      <c r="AA71" s="55" t="n">
        <f aca="false">SUMIFS(데이터_품목별!$H$3:$H$2984,데이터_품목별!$E$3:$E$2984,"66",데이터_품목별!$A$3:$A$2984,"2026.01")</f>
        <v>136</v>
      </c>
      <c r="AB71" s="55" t="n">
        <f aca="false">SUMIFS(데이터_품목별!$H$3:$H$2984,데이터_품목별!$E$3:$E$2984,"66",데이터_품목별!$A$3:$A$2984,"2026.02")</f>
        <v>197</v>
      </c>
      <c r="AC71" s="55" t="n">
        <f aca="false">SUMIFS(데이터_품목별!$H$3:$H$2984,데이터_품목별!$E$3:$E$2984,"66",데이터_품목별!$A$3:$A$2984,"2026.03")</f>
        <v>307</v>
      </c>
      <c r="AD71" s="55" t="n">
        <f aca="false">SUMIFS(데이터_품목별!$H$3:$H$2984,데이터_품목별!$E$3:$E$2984,"66",데이터_품목별!$A$3:$A$2984,"2026.04")</f>
        <v>125</v>
      </c>
      <c r="AE71" s="55" t="n">
        <f aca="false">SUMIFS(데이터_품목별!$H$3:$H$2984,데이터_품목별!$E$3:$E$2984,"66",데이터_품목별!$A$3:$A$2984,"2026.05")</f>
        <v>351</v>
      </c>
      <c r="AF71" s="55" t="n">
        <f aca="false">SUMIFS(데이터_품목별!$H$3:$H$2984,데이터_품목별!$E$3:$E$2984,"66",데이터_품목별!$A$3:$A$2984,"2026.06")</f>
        <v>339</v>
      </c>
      <c r="AG71" s="55" t="n">
        <f aca="false">SUMIFS(데이터_품목별!$H$3:$H$2984,데이터_품목별!$E$3:$E$2984,"66",데이터_품목별!$A$3:$A$2984,"2026.07")</f>
        <v>1027</v>
      </c>
    </row>
    <row r="72" customFormat="false" ht="15" hidden="false" customHeight="true" outlineLevel="0" collapsed="false">
      <c r="A72" s="53" t="s">
        <v>806</v>
      </c>
      <c r="B72" s="54" t="s">
        <v>807</v>
      </c>
      <c r="C72" s="55" t="n">
        <f aca="false">SUMIFS(데이터_품목별!$H$3:$H$2984,데이터_품목별!$E$3:$E$2984,"67",데이터_품목별!$A$3:$A$2984,"2024.01")</f>
        <v>1958</v>
      </c>
      <c r="D72" s="55" t="n">
        <f aca="false">SUMIFS(데이터_품목별!$H$3:$H$2984,데이터_품목별!$E$3:$E$2984,"67",데이터_품목별!$A$3:$A$2984,"2024.02")</f>
        <v>1429</v>
      </c>
      <c r="E72" s="55" t="n">
        <f aca="false">SUMIFS(데이터_품목별!$H$3:$H$2984,데이터_품목별!$E$3:$E$2984,"67",데이터_품목별!$A$3:$A$2984,"2024.03")</f>
        <v>1560</v>
      </c>
      <c r="F72" s="55" t="n">
        <f aca="false">SUMIFS(데이터_품목별!$H$3:$H$2984,데이터_품목별!$E$3:$E$2984,"67",데이터_품목별!$A$3:$A$2984,"2024.04")</f>
        <v>1801</v>
      </c>
      <c r="G72" s="55" t="n">
        <f aca="false">SUMIFS(데이터_품목별!$H$3:$H$2984,데이터_품목별!$E$3:$E$2984,"67",데이터_품목별!$A$3:$A$2984,"2024.05")</f>
        <v>2240</v>
      </c>
      <c r="H72" s="55" t="n">
        <f aca="false">SUMIFS(데이터_품목별!$H$3:$H$2984,데이터_품목별!$E$3:$E$2984,"67",데이터_품목별!$A$3:$A$2984,"2024.06")</f>
        <v>1727</v>
      </c>
      <c r="I72" s="55" t="n">
        <f aca="false">SUMIFS(데이터_품목별!$H$3:$H$2984,데이터_품목별!$E$3:$E$2984,"67",데이터_품목별!$A$3:$A$2984,"2024.07")</f>
        <v>1864</v>
      </c>
      <c r="J72" s="55" t="n">
        <f aca="false">SUMIFS(데이터_품목별!$H$3:$H$2984,데이터_품목별!$E$3:$E$2984,"67",데이터_품목별!$A$3:$A$2984,"2024.08")</f>
        <v>1417</v>
      </c>
      <c r="K72" s="55" t="n">
        <f aca="false">SUMIFS(데이터_품목별!$H$3:$H$2984,데이터_품목별!$E$3:$E$2984,"67",데이터_품목별!$A$3:$A$2984,"2024.09")</f>
        <v>1768</v>
      </c>
      <c r="L72" s="55" t="n">
        <f aca="false">SUMIFS(데이터_품목별!$H$3:$H$2984,데이터_품목별!$E$3:$E$2984,"67",데이터_품목별!$A$3:$A$2984,"2024.10")</f>
        <v>1659</v>
      </c>
      <c r="M72" s="55" t="n">
        <f aca="false">SUMIFS(데이터_품목별!$H$3:$H$2984,데이터_품목별!$E$3:$E$2984,"67",데이터_품목별!$A$3:$A$2984,"2024.11")</f>
        <v>1814</v>
      </c>
      <c r="N72" s="55" t="n">
        <f aca="false">SUMIFS(데이터_품목별!$H$3:$H$2984,데이터_품목별!$E$3:$E$2984,"67",데이터_품목별!$A$3:$A$2984,"2024.12")</f>
        <v>1484</v>
      </c>
      <c r="O72" s="55" t="n">
        <f aca="false">SUMIFS(데이터_품목별!$H$3:$H$2984,데이터_품목별!$E$3:$E$2984,"67",데이터_품목별!$A$3:$A$2984,"2025.01")</f>
        <v>1389</v>
      </c>
      <c r="P72" s="55" t="n">
        <f aca="false">SUMIFS(데이터_품목별!$H$3:$H$2984,데이터_품목별!$E$3:$E$2984,"67",데이터_품목별!$A$3:$A$2984,"2025.02")</f>
        <v>1653</v>
      </c>
      <c r="Q72" s="55" t="n">
        <f aca="false">SUMIFS(데이터_품목별!$H$3:$H$2984,데이터_품목별!$E$3:$E$2984,"67",데이터_품목별!$A$3:$A$2984,"2025.03")</f>
        <v>1825</v>
      </c>
      <c r="R72" s="55" t="n">
        <f aca="false">SUMIFS(데이터_품목별!$H$3:$H$2984,데이터_품목별!$E$3:$E$2984,"67",데이터_품목별!$A$3:$A$2984,"2025.04")</f>
        <v>1566</v>
      </c>
      <c r="S72" s="55" t="n">
        <f aca="false">SUMIFS(데이터_품목별!$H$3:$H$2984,데이터_품목별!$E$3:$E$2984,"67",데이터_품목별!$A$3:$A$2984,"2025.05")</f>
        <v>1847</v>
      </c>
      <c r="T72" s="55" t="n">
        <f aca="false">SUMIFS(데이터_품목별!$H$3:$H$2984,데이터_품목별!$E$3:$E$2984,"67",데이터_품목별!$A$3:$A$2984,"2025.06")</f>
        <v>1748</v>
      </c>
      <c r="U72" s="55" t="n">
        <f aca="false">SUMIFS(데이터_품목별!$H$3:$H$2984,데이터_품목별!$E$3:$E$2984,"67",데이터_품목별!$A$3:$A$2984,"2025.07")</f>
        <v>1670</v>
      </c>
      <c r="V72" s="55" t="n">
        <f aca="false">SUMIFS(데이터_품목별!$H$3:$H$2984,데이터_품목별!$E$3:$E$2984,"67",데이터_품목별!$A$3:$A$2984,"2025.08")</f>
        <v>1283</v>
      </c>
      <c r="W72" s="55" t="n">
        <f aca="false">SUMIFS(데이터_품목별!$H$3:$H$2984,데이터_품목별!$E$3:$E$2984,"67",데이터_품목별!$A$3:$A$2984,"2025.09")</f>
        <v>1487</v>
      </c>
      <c r="X72" s="55" t="n">
        <f aca="false">SUMIFS(데이터_품목별!$H$3:$H$2984,데이터_품목별!$E$3:$E$2984,"67",데이터_품목별!$A$3:$A$2984,"2025.10")</f>
        <v>1590</v>
      </c>
      <c r="Y72" s="55" t="n">
        <f aca="false">SUMIFS(데이터_품목별!$H$3:$H$2984,데이터_품목별!$E$3:$E$2984,"67",데이터_품목별!$A$3:$A$2984,"2025.11")</f>
        <v>1729</v>
      </c>
      <c r="Z72" s="55" t="n">
        <f aca="false">SUMIFS(데이터_품목별!$H$3:$H$2984,데이터_품목별!$E$3:$E$2984,"67",데이터_품목별!$A$3:$A$2984,"2025.12")</f>
        <v>1532</v>
      </c>
      <c r="AA72" s="55" t="n">
        <f aca="false">SUMIFS(데이터_품목별!$H$3:$H$2984,데이터_품목별!$E$3:$E$2984,"67",데이터_품목별!$A$3:$A$2984,"2026.01")</f>
        <v>1443</v>
      </c>
      <c r="AB72" s="55" t="n">
        <f aca="false">SUMIFS(데이터_품목별!$H$3:$H$2984,데이터_품목별!$E$3:$E$2984,"67",데이터_품목별!$A$3:$A$2984,"2026.02")</f>
        <v>1472</v>
      </c>
      <c r="AC72" s="55" t="n">
        <f aca="false">SUMIFS(데이터_품목별!$H$3:$H$2984,데이터_품목별!$E$3:$E$2984,"67",데이터_품목별!$A$3:$A$2984,"2026.03")</f>
        <v>1795</v>
      </c>
      <c r="AD72" s="55" t="n">
        <f aca="false">SUMIFS(데이터_품목별!$H$3:$H$2984,데이터_품목별!$E$3:$E$2984,"67",데이터_품목별!$A$3:$A$2984,"2026.04")</f>
        <v>1551</v>
      </c>
      <c r="AE72" s="55" t="n">
        <f aca="false">SUMIFS(데이터_품목별!$H$3:$H$2984,데이터_품목별!$E$3:$E$2984,"67",데이터_품목별!$A$3:$A$2984,"2026.05")</f>
        <v>1524</v>
      </c>
      <c r="AF72" s="55" t="n">
        <f aca="false">SUMIFS(데이터_품목별!$H$3:$H$2984,데이터_품목별!$E$3:$E$2984,"67",데이터_품목별!$A$3:$A$2984,"2026.06")</f>
        <v>1835</v>
      </c>
      <c r="AG72" s="55" t="n">
        <f aca="false">SUMIFS(데이터_품목별!$H$3:$H$2984,데이터_품목별!$E$3:$E$2984,"67",데이터_품목별!$A$3:$A$2984,"2026.07")</f>
        <v>1988</v>
      </c>
    </row>
    <row r="73" customFormat="false" ht="15" hidden="false" customHeight="true" outlineLevel="0" collapsed="false">
      <c r="A73" s="53" t="s">
        <v>813</v>
      </c>
      <c r="B73" s="54" t="s">
        <v>814</v>
      </c>
      <c r="C73" s="55" t="n">
        <f aca="false">SUMIFS(데이터_품목별!$H$3:$H$2984,데이터_품목별!$E$3:$E$2984,"68",데이터_품목별!$A$3:$A$2984,"2024.01")</f>
        <v>81447</v>
      </c>
      <c r="D73" s="55" t="n">
        <f aca="false">SUMIFS(데이터_품목별!$H$3:$H$2984,데이터_품목별!$E$3:$E$2984,"68",데이터_품목별!$A$3:$A$2984,"2024.02")</f>
        <v>73422</v>
      </c>
      <c r="E73" s="55" t="n">
        <f aca="false">SUMIFS(데이터_품목별!$H$3:$H$2984,데이터_품목별!$E$3:$E$2984,"68",데이터_품목별!$A$3:$A$2984,"2024.03")</f>
        <v>85398</v>
      </c>
      <c r="F73" s="55" t="n">
        <f aca="false">SUMIFS(데이터_품목별!$H$3:$H$2984,데이터_품목별!$E$3:$E$2984,"68",데이터_품목별!$A$3:$A$2984,"2024.04")</f>
        <v>85103</v>
      </c>
      <c r="G73" s="55" t="n">
        <f aca="false">SUMIFS(데이터_품목별!$H$3:$H$2984,데이터_품목별!$E$3:$E$2984,"68",데이터_품목별!$A$3:$A$2984,"2024.05")</f>
        <v>85016</v>
      </c>
      <c r="H73" s="55" t="n">
        <f aca="false">SUMIFS(데이터_품목별!$H$3:$H$2984,데이터_품목별!$E$3:$E$2984,"68",데이터_품목별!$A$3:$A$2984,"2024.06")</f>
        <v>87558</v>
      </c>
      <c r="I73" s="55" t="n">
        <f aca="false">SUMIFS(데이터_품목별!$H$3:$H$2984,데이터_품목별!$E$3:$E$2984,"68",데이터_품목별!$A$3:$A$2984,"2024.07")</f>
        <v>86112</v>
      </c>
      <c r="J73" s="55" t="n">
        <f aca="false">SUMIFS(데이터_품목별!$H$3:$H$2984,데이터_품목별!$E$3:$E$2984,"68",데이터_품목별!$A$3:$A$2984,"2024.08")</f>
        <v>76042</v>
      </c>
      <c r="K73" s="55" t="n">
        <f aca="false">SUMIFS(데이터_품목별!$H$3:$H$2984,데이터_품목별!$E$3:$E$2984,"68",데이터_품목별!$A$3:$A$2984,"2024.09")</f>
        <v>73088</v>
      </c>
      <c r="L73" s="55" t="n">
        <f aca="false">SUMIFS(데이터_품목별!$H$3:$H$2984,데이터_품목별!$E$3:$E$2984,"68",데이터_품목별!$A$3:$A$2984,"2024.10")</f>
        <v>78491</v>
      </c>
      <c r="M73" s="55" t="n">
        <f aca="false">SUMIFS(데이터_품목별!$H$3:$H$2984,데이터_품목별!$E$3:$E$2984,"68",데이터_품목별!$A$3:$A$2984,"2024.11")</f>
        <v>76275</v>
      </c>
      <c r="N73" s="55" t="n">
        <f aca="false">SUMIFS(데이터_품목별!$H$3:$H$2984,데이터_품목별!$E$3:$E$2984,"68",데이터_품목별!$A$3:$A$2984,"2024.12")</f>
        <v>78810</v>
      </c>
      <c r="O73" s="55" t="n">
        <f aca="false">SUMIFS(데이터_품목별!$H$3:$H$2984,데이터_품목별!$E$3:$E$2984,"68",데이터_품목별!$A$3:$A$2984,"2025.01")</f>
        <v>69005</v>
      </c>
      <c r="P73" s="55" t="n">
        <f aca="false">SUMIFS(데이터_품목별!$H$3:$H$2984,데이터_품목별!$E$3:$E$2984,"68",데이터_품목별!$A$3:$A$2984,"2025.02")</f>
        <v>69284</v>
      </c>
      <c r="Q73" s="55" t="n">
        <f aca="false">SUMIFS(데이터_품목별!$H$3:$H$2984,데이터_품목별!$E$3:$E$2984,"68",데이터_품목별!$A$3:$A$2984,"2025.03")</f>
        <v>76207</v>
      </c>
      <c r="R73" s="55" t="n">
        <f aca="false">SUMIFS(데이터_품목별!$H$3:$H$2984,데이터_품목별!$E$3:$E$2984,"68",데이터_품목별!$A$3:$A$2984,"2025.04")</f>
        <v>86640</v>
      </c>
      <c r="S73" s="55" t="n">
        <f aca="false">SUMIFS(데이터_품목별!$H$3:$H$2984,데이터_품목별!$E$3:$E$2984,"68",데이터_품목별!$A$3:$A$2984,"2025.05")</f>
        <v>74339</v>
      </c>
      <c r="T73" s="55" t="n">
        <f aca="false">SUMIFS(데이터_품목별!$H$3:$H$2984,데이터_품목별!$E$3:$E$2984,"68",데이터_품목별!$A$3:$A$2984,"2025.06")</f>
        <v>76468</v>
      </c>
      <c r="U73" s="55" t="n">
        <f aca="false">SUMIFS(데이터_품목별!$H$3:$H$2984,데이터_품목별!$E$3:$E$2984,"68",데이터_품목별!$A$3:$A$2984,"2025.07")</f>
        <v>76083</v>
      </c>
      <c r="V73" s="55" t="n">
        <f aca="false">SUMIFS(데이터_품목별!$H$3:$H$2984,데이터_품목별!$E$3:$E$2984,"68",데이터_품목별!$A$3:$A$2984,"2025.08")</f>
        <v>67136</v>
      </c>
      <c r="W73" s="55" t="n">
        <f aca="false">SUMIFS(데이터_품목별!$H$3:$H$2984,데이터_품목별!$E$3:$E$2984,"68",데이터_품목별!$A$3:$A$2984,"2025.09")</f>
        <v>83194</v>
      </c>
      <c r="X73" s="55" t="n">
        <f aca="false">SUMIFS(데이터_품목별!$H$3:$H$2984,데이터_품목별!$E$3:$E$2984,"68",데이터_품목별!$A$3:$A$2984,"2025.10")</f>
        <v>65318</v>
      </c>
      <c r="Y73" s="55" t="n">
        <f aca="false">SUMIFS(데이터_품목별!$H$3:$H$2984,데이터_품목별!$E$3:$E$2984,"68",데이터_품목별!$A$3:$A$2984,"2025.11")</f>
        <v>77557</v>
      </c>
      <c r="Z73" s="55" t="n">
        <f aca="false">SUMIFS(데이터_품목별!$H$3:$H$2984,데이터_품목별!$E$3:$E$2984,"68",데이터_품목별!$A$3:$A$2984,"2025.12")</f>
        <v>78218</v>
      </c>
      <c r="AA73" s="55" t="n">
        <f aca="false">SUMIFS(데이터_품목별!$H$3:$H$2984,데이터_품목별!$E$3:$E$2984,"68",데이터_품목별!$A$3:$A$2984,"2026.01")</f>
        <v>79280</v>
      </c>
      <c r="AB73" s="55" t="n">
        <f aca="false">SUMIFS(데이터_품목별!$H$3:$H$2984,데이터_품목별!$E$3:$E$2984,"68",데이터_품목별!$A$3:$A$2984,"2026.02")</f>
        <v>73265</v>
      </c>
      <c r="AC73" s="55" t="n">
        <f aca="false">SUMIFS(데이터_품목별!$H$3:$H$2984,데이터_품목별!$E$3:$E$2984,"68",데이터_품목별!$A$3:$A$2984,"2026.03")</f>
        <v>85164</v>
      </c>
      <c r="AD73" s="55" t="n">
        <f aca="false">SUMIFS(데이터_품목별!$H$3:$H$2984,데이터_품목별!$E$3:$E$2984,"68",데이터_품목별!$A$3:$A$2984,"2026.04")</f>
        <v>98163</v>
      </c>
      <c r="AE73" s="55" t="n">
        <f aca="false">SUMIFS(데이터_품목별!$H$3:$H$2984,데이터_품목별!$E$3:$E$2984,"68",데이터_품목별!$A$3:$A$2984,"2026.05")</f>
        <v>88360</v>
      </c>
      <c r="AF73" s="55" t="n">
        <f aca="false">SUMIFS(데이터_품목별!$H$3:$H$2984,데이터_품목별!$E$3:$E$2984,"68",데이터_품목별!$A$3:$A$2984,"2026.06")</f>
        <v>97060</v>
      </c>
      <c r="AG73" s="55" t="n">
        <f aca="false">SUMIFS(데이터_품목별!$H$3:$H$2984,데이터_품목별!$E$3:$E$2984,"68",데이터_품목별!$A$3:$A$2984,"2026.07")</f>
        <v>99365</v>
      </c>
    </row>
    <row r="74" customFormat="false" ht="15" hidden="false" customHeight="true" outlineLevel="0" collapsed="false">
      <c r="A74" s="53" t="s">
        <v>820</v>
      </c>
      <c r="B74" s="54" t="s">
        <v>821</v>
      </c>
      <c r="C74" s="55" t="n">
        <f aca="false">SUMIFS(데이터_품목별!$H$3:$H$2984,데이터_품목별!$E$3:$E$2984,"69",데이터_품목별!$A$3:$A$2984,"2024.01")</f>
        <v>35590</v>
      </c>
      <c r="D74" s="55" t="n">
        <f aca="false">SUMIFS(데이터_품목별!$H$3:$H$2984,데이터_품목별!$E$3:$E$2984,"69",데이터_품목별!$A$3:$A$2984,"2024.02")</f>
        <v>27853</v>
      </c>
      <c r="E74" s="55" t="n">
        <f aca="false">SUMIFS(데이터_품목별!$H$3:$H$2984,데이터_품목별!$E$3:$E$2984,"69",데이터_품목별!$A$3:$A$2984,"2024.03")</f>
        <v>29301</v>
      </c>
      <c r="F74" s="55" t="n">
        <f aca="false">SUMIFS(데이터_품목별!$H$3:$H$2984,데이터_품목별!$E$3:$E$2984,"69",데이터_품목별!$A$3:$A$2984,"2024.04")</f>
        <v>31780</v>
      </c>
      <c r="G74" s="55" t="n">
        <f aca="false">SUMIFS(데이터_품목별!$H$3:$H$2984,데이터_품목별!$E$3:$E$2984,"69",데이터_품목별!$A$3:$A$2984,"2024.05")</f>
        <v>31899</v>
      </c>
      <c r="H74" s="55" t="n">
        <f aca="false">SUMIFS(데이터_품목별!$H$3:$H$2984,데이터_품목별!$E$3:$E$2984,"69",데이터_품목별!$A$3:$A$2984,"2024.06")</f>
        <v>33461</v>
      </c>
      <c r="I74" s="55" t="n">
        <f aca="false">SUMIFS(데이터_품목별!$H$3:$H$2984,데이터_품목별!$E$3:$E$2984,"69",데이터_품목별!$A$3:$A$2984,"2024.07")</f>
        <v>32561</v>
      </c>
      <c r="J74" s="55" t="n">
        <f aca="false">SUMIFS(데이터_품목별!$H$3:$H$2984,데이터_품목별!$E$3:$E$2984,"69",데이터_품목별!$A$3:$A$2984,"2024.08")</f>
        <v>30646</v>
      </c>
      <c r="K74" s="55" t="n">
        <f aca="false">SUMIFS(데이터_품목별!$H$3:$H$2984,데이터_품목별!$E$3:$E$2984,"69",데이터_품목별!$A$3:$A$2984,"2024.09")</f>
        <v>29720</v>
      </c>
      <c r="L74" s="55" t="n">
        <f aca="false">SUMIFS(데이터_품목별!$H$3:$H$2984,데이터_품목별!$E$3:$E$2984,"69",데이터_품목별!$A$3:$A$2984,"2024.10")</f>
        <v>32456</v>
      </c>
      <c r="M74" s="55" t="n">
        <f aca="false">SUMIFS(데이터_품목별!$H$3:$H$2984,데이터_품목별!$E$3:$E$2984,"69",데이터_품목별!$A$3:$A$2984,"2024.11")</f>
        <v>29628</v>
      </c>
      <c r="N74" s="55" t="n">
        <f aca="false">SUMIFS(데이터_품목별!$H$3:$H$2984,데이터_품목별!$E$3:$E$2984,"69",데이터_품목별!$A$3:$A$2984,"2024.12")</f>
        <v>27516</v>
      </c>
      <c r="O74" s="55" t="n">
        <f aca="false">SUMIFS(데이터_품목별!$H$3:$H$2984,데이터_품목별!$E$3:$E$2984,"69",데이터_품목별!$A$3:$A$2984,"2025.01")</f>
        <v>25796</v>
      </c>
      <c r="P74" s="55" t="n">
        <f aca="false">SUMIFS(데이터_품목별!$H$3:$H$2984,데이터_품목별!$E$3:$E$2984,"69",데이터_품목별!$A$3:$A$2984,"2025.02")</f>
        <v>25414</v>
      </c>
      <c r="Q74" s="55" t="n">
        <f aca="false">SUMIFS(데이터_품목별!$H$3:$H$2984,데이터_품목별!$E$3:$E$2984,"69",데이터_품목별!$A$3:$A$2984,"2025.03")</f>
        <v>31928</v>
      </c>
      <c r="R74" s="55" t="n">
        <f aca="false">SUMIFS(데이터_품목별!$H$3:$H$2984,데이터_품목별!$E$3:$E$2984,"69",데이터_품목별!$A$3:$A$2984,"2025.04")</f>
        <v>36029</v>
      </c>
      <c r="S74" s="55" t="n">
        <f aca="false">SUMIFS(데이터_품목별!$H$3:$H$2984,데이터_품목별!$E$3:$E$2984,"69",데이터_품목별!$A$3:$A$2984,"2025.05")</f>
        <v>29043</v>
      </c>
      <c r="T74" s="55" t="n">
        <f aca="false">SUMIFS(데이터_품목별!$H$3:$H$2984,데이터_품목별!$E$3:$E$2984,"69",데이터_품목별!$A$3:$A$2984,"2025.06")</f>
        <v>29414</v>
      </c>
      <c r="U74" s="55" t="n">
        <f aca="false">SUMIFS(데이터_품목별!$H$3:$H$2984,데이터_품목별!$E$3:$E$2984,"69",데이터_품목별!$A$3:$A$2984,"2025.07")</f>
        <v>33421</v>
      </c>
      <c r="V74" s="55" t="n">
        <f aca="false">SUMIFS(데이터_품목별!$H$3:$H$2984,데이터_품목별!$E$3:$E$2984,"69",데이터_품목별!$A$3:$A$2984,"2025.08")</f>
        <v>27463</v>
      </c>
      <c r="W74" s="55" t="n">
        <f aca="false">SUMIFS(데이터_품목별!$H$3:$H$2984,데이터_품목별!$E$3:$E$2984,"69",데이터_품목별!$A$3:$A$2984,"2025.09")</f>
        <v>31758</v>
      </c>
      <c r="X74" s="55" t="n">
        <f aca="false">SUMIFS(데이터_품목별!$H$3:$H$2984,데이터_품목별!$E$3:$E$2984,"69",데이터_품목별!$A$3:$A$2984,"2025.10")</f>
        <v>29549</v>
      </c>
      <c r="Y74" s="55" t="n">
        <f aca="false">SUMIFS(데이터_품목별!$H$3:$H$2984,데이터_품목별!$E$3:$E$2984,"69",데이터_품목별!$A$3:$A$2984,"2025.11")</f>
        <v>34029</v>
      </c>
      <c r="Z74" s="55" t="n">
        <f aca="false">SUMIFS(데이터_품목별!$H$3:$H$2984,데이터_품목별!$E$3:$E$2984,"69",데이터_품목별!$A$3:$A$2984,"2025.12")</f>
        <v>38841</v>
      </c>
      <c r="AA74" s="55" t="n">
        <f aca="false">SUMIFS(데이터_품목별!$H$3:$H$2984,데이터_품목별!$E$3:$E$2984,"69",데이터_품목별!$A$3:$A$2984,"2026.01")</f>
        <v>34588</v>
      </c>
      <c r="AB74" s="55" t="n">
        <f aca="false">SUMIFS(데이터_품목별!$H$3:$H$2984,데이터_품목별!$E$3:$E$2984,"69",데이터_품목별!$A$3:$A$2984,"2026.02")</f>
        <v>25424</v>
      </c>
      <c r="AC74" s="55" t="n">
        <f aca="false">SUMIFS(데이터_품목별!$H$3:$H$2984,데이터_품목별!$E$3:$E$2984,"69",데이터_품목별!$A$3:$A$2984,"2026.03")</f>
        <v>34527</v>
      </c>
      <c r="AD74" s="55" t="n">
        <f aca="false">SUMIFS(데이터_품목별!$H$3:$H$2984,데이터_품목별!$E$3:$E$2984,"69",데이터_품목별!$A$3:$A$2984,"2026.04")</f>
        <v>31938</v>
      </c>
      <c r="AE74" s="55" t="n">
        <f aca="false">SUMIFS(데이터_품목별!$H$3:$H$2984,데이터_품목별!$E$3:$E$2984,"69",데이터_품목별!$A$3:$A$2984,"2026.05")</f>
        <v>34580</v>
      </c>
      <c r="AF74" s="55" t="n">
        <f aca="false">SUMIFS(데이터_품목별!$H$3:$H$2984,데이터_품목별!$E$3:$E$2984,"69",데이터_품목별!$A$3:$A$2984,"2026.06")</f>
        <v>38503</v>
      </c>
      <c r="AG74" s="55" t="n">
        <f aca="false">SUMIFS(데이터_품목별!$H$3:$H$2984,데이터_품목별!$E$3:$E$2984,"69",데이터_품목별!$A$3:$A$2984,"2026.07")</f>
        <v>31437</v>
      </c>
    </row>
    <row r="75" customFormat="false" ht="15" hidden="false" customHeight="true" outlineLevel="0" collapsed="false">
      <c r="A75" s="53" t="s">
        <v>827</v>
      </c>
      <c r="B75" s="54" t="s">
        <v>828</v>
      </c>
      <c r="C75" s="55" t="n">
        <f aca="false">SUMIFS(데이터_품목별!$H$3:$H$2984,데이터_품목별!$E$3:$E$2984,"70",데이터_품목별!$A$3:$A$2984,"2024.01")</f>
        <v>180016</v>
      </c>
      <c r="D75" s="55" t="n">
        <f aca="false">SUMIFS(데이터_품목별!$H$3:$H$2984,데이터_품목별!$E$3:$E$2984,"70",데이터_품목별!$A$3:$A$2984,"2024.02")</f>
        <v>148010</v>
      </c>
      <c r="E75" s="55" t="n">
        <f aca="false">SUMIFS(데이터_품목별!$H$3:$H$2984,데이터_품목별!$E$3:$E$2984,"70",데이터_품목별!$A$3:$A$2984,"2024.03")</f>
        <v>166248</v>
      </c>
      <c r="F75" s="55" t="n">
        <f aca="false">SUMIFS(데이터_품목별!$H$3:$H$2984,데이터_품목별!$E$3:$E$2984,"70",데이터_품목별!$A$3:$A$2984,"2024.04")</f>
        <v>175091</v>
      </c>
      <c r="G75" s="55" t="n">
        <f aca="false">SUMIFS(데이터_품목별!$H$3:$H$2984,데이터_품목별!$E$3:$E$2984,"70",데이터_품목별!$A$3:$A$2984,"2024.05")</f>
        <v>178984</v>
      </c>
      <c r="H75" s="55" t="n">
        <f aca="false">SUMIFS(데이터_품목별!$H$3:$H$2984,데이터_품목별!$E$3:$E$2984,"70",데이터_품목별!$A$3:$A$2984,"2024.06")</f>
        <v>171715</v>
      </c>
      <c r="I75" s="55" t="n">
        <f aca="false">SUMIFS(데이터_품목별!$H$3:$H$2984,데이터_품목별!$E$3:$E$2984,"70",데이터_품목별!$A$3:$A$2984,"2024.07")</f>
        <v>182020</v>
      </c>
      <c r="J75" s="55" t="n">
        <f aca="false">SUMIFS(데이터_품목별!$H$3:$H$2984,데이터_품목별!$E$3:$E$2984,"70",데이터_품목별!$A$3:$A$2984,"2024.08")</f>
        <v>173274</v>
      </c>
      <c r="K75" s="55" t="n">
        <f aca="false">SUMIFS(데이터_품목별!$H$3:$H$2984,데이터_품목별!$E$3:$E$2984,"70",데이터_품목별!$A$3:$A$2984,"2024.09")</f>
        <v>160867</v>
      </c>
      <c r="L75" s="55" t="n">
        <f aca="false">SUMIFS(데이터_품목별!$H$3:$H$2984,데이터_품목별!$E$3:$E$2984,"70",데이터_품목별!$A$3:$A$2984,"2024.10")</f>
        <v>171972</v>
      </c>
      <c r="M75" s="55" t="n">
        <f aca="false">SUMIFS(데이터_품목별!$H$3:$H$2984,데이터_품목별!$E$3:$E$2984,"70",데이터_품목별!$A$3:$A$2984,"2024.11")</f>
        <v>163804</v>
      </c>
      <c r="N75" s="55" t="n">
        <f aca="false">SUMIFS(데이터_품목별!$H$3:$H$2984,데이터_품목별!$E$3:$E$2984,"70",데이터_품목별!$A$3:$A$2984,"2024.12")</f>
        <v>175753</v>
      </c>
      <c r="O75" s="55" t="n">
        <f aca="false">SUMIFS(데이터_품목별!$H$3:$H$2984,데이터_품목별!$E$3:$E$2984,"70",데이터_품목별!$A$3:$A$2984,"2025.01")</f>
        <v>160348</v>
      </c>
      <c r="P75" s="55" t="n">
        <f aca="false">SUMIFS(데이터_품목별!$H$3:$H$2984,데이터_품목별!$E$3:$E$2984,"70",데이터_품목별!$A$3:$A$2984,"2025.02")</f>
        <v>167145</v>
      </c>
      <c r="Q75" s="55" t="n">
        <f aca="false">SUMIFS(데이터_품목별!$H$3:$H$2984,데이터_품목별!$E$3:$E$2984,"70",데이터_품목별!$A$3:$A$2984,"2025.03")</f>
        <v>155103</v>
      </c>
      <c r="R75" s="55" t="n">
        <f aca="false">SUMIFS(데이터_품목별!$H$3:$H$2984,데이터_품목별!$E$3:$E$2984,"70",데이터_품목별!$A$3:$A$2984,"2025.04")</f>
        <v>174853</v>
      </c>
      <c r="S75" s="55" t="n">
        <f aca="false">SUMIFS(데이터_품목별!$H$3:$H$2984,데이터_품목별!$E$3:$E$2984,"70",데이터_품목별!$A$3:$A$2984,"2025.05")</f>
        <v>165451</v>
      </c>
      <c r="T75" s="55" t="n">
        <f aca="false">SUMIFS(데이터_품목별!$H$3:$H$2984,데이터_품목별!$E$3:$E$2984,"70",데이터_품목별!$A$3:$A$2984,"2025.06")</f>
        <v>166472</v>
      </c>
      <c r="U75" s="55" t="n">
        <f aca="false">SUMIFS(데이터_품목별!$H$3:$H$2984,데이터_품목별!$E$3:$E$2984,"70",데이터_품목별!$A$3:$A$2984,"2025.07")</f>
        <v>176588</v>
      </c>
      <c r="V75" s="55" t="n">
        <f aca="false">SUMIFS(데이터_품목별!$H$3:$H$2984,데이터_품목별!$E$3:$E$2984,"70",데이터_품목별!$A$3:$A$2984,"2025.08")</f>
        <v>160070</v>
      </c>
      <c r="W75" s="55" t="n">
        <f aca="false">SUMIFS(데이터_품목별!$H$3:$H$2984,데이터_품목별!$E$3:$E$2984,"70",데이터_품목별!$A$3:$A$2984,"2025.09")</f>
        <v>174736</v>
      </c>
      <c r="X75" s="55" t="n">
        <f aca="false">SUMIFS(데이터_품목별!$H$3:$H$2984,데이터_품목별!$E$3:$E$2984,"70",데이터_품목별!$A$3:$A$2984,"2025.10")</f>
        <v>158788</v>
      </c>
      <c r="Y75" s="55" t="n">
        <f aca="false">SUMIFS(데이터_품목별!$H$3:$H$2984,데이터_품목별!$E$3:$E$2984,"70",데이터_품목별!$A$3:$A$2984,"2025.11")</f>
        <v>151193</v>
      </c>
      <c r="Z75" s="55" t="n">
        <f aca="false">SUMIFS(데이터_품목별!$H$3:$H$2984,데이터_품목별!$E$3:$E$2984,"70",데이터_품목별!$A$3:$A$2984,"2025.12")</f>
        <v>163070</v>
      </c>
      <c r="AA75" s="55" t="n">
        <f aca="false">SUMIFS(데이터_품목별!$H$3:$H$2984,데이터_품목별!$E$3:$E$2984,"70",데이터_품목별!$A$3:$A$2984,"2026.01")</f>
        <v>141250</v>
      </c>
      <c r="AB75" s="55" t="n">
        <f aca="false">SUMIFS(데이터_품목별!$H$3:$H$2984,데이터_품목별!$E$3:$E$2984,"70",데이터_품목별!$A$3:$A$2984,"2026.02")</f>
        <v>127290</v>
      </c>
      <c r="AC75" s="55" t="n">
        <f aca="false">SUMIFS(데이터_품목별!$H$3:$H$2984,데이터_품목별!$E$3:$E$2984,"70",데이터_품목별!$A$3:$A$2984,"2026.03")</f>
        <v>146264</v>
      </c>
      <c r="AD75" s="55" t="n">
        <f aca="false">SUMIFS(데이터_품목별!$H$3:$H$2984,데이터_품목별!$E$3:$E$2984,"70",데이터_품목별!$A$3:$A$2984,"2026.04")</f>
        <v>152309</v>
      </c>
      <c r="AE75" s="55" t="n">
        <f aca="false">SUMIFS(데이터_품목별!$H$3:$H$2984,데이터_품목별!$E$3:$E$2984,"70",데이터_품목별!$A$3:$A$2984,"2026.05")</f>
        <v>143102</v>
      </c>
      <c r="AF75" s="55" t="n">
        <f aca="false">SUMIFS(데이터_품목별!$H$3:$H$2984,데이터_품목별!$E$3:$E$2984,"70",데이터_품목별!$A$3:$A$2984,"2026.06")</f>
        <v>161054</v>
      </c>
      <c r="AG75" s="55" t="n">
        <f aca="false">SUMIFS(데이터_품목별!$H$3:$H$2984,데이터_품목별!$E$3:$E$2984,"70",데이터_품목별!$A$3:$A$2984,"2026.07")</f>
        <v>159437</v>
      </c>
    </row>
    <row r="76" customFormat="false" ht="15" hidden="false" customHeight="true" outlineLevel="0" collapsed="false">
      <c r="A76" s="53" t="s">
        <v>834</v>
      </c>
      <c r="B76" s="54" t="s">
        <v>835</v>
      </c>
      <c r="C76" s="55" t="n">
        <f aca="false">SUMIFS(데이터_품목별!$H$3:$H$2984,데이터_품목별!$E$3:$E$2984,"71",데이터_품목별!$A$3:$A$2984,"2024.01")</f>
        <v>332272</v>
      </c>
      <c r="D76" s="55" t="n">
        <f aca="false">SUMIFS(데이터_품목별!$H$3:$H$2984,데이터_품목별!$E$3:$E$2984,"71",데이터_품목별!$A$3:$A$2984,"2024.02")</f>
        <v>347542</v>
      </c>
      <c r="E76" s="55" t="n">
        <f aca="false">SUMIFS(데이터_품목별!$H$3:$H$2984,데이터_품목별!$E$3:$E$2984,"71",데이터_품목별!$A$3:$A$2984,"2024.03")</f>
        <v>448657</v>
      </c>
      <c r="F76" s="55" t="n">
        <f aca="false">SUMIFS(데이터_품목별!$H$3:$H$2984,데이터_품목별!$E$3:$E$2984,"71",데이터_품목별!$A$3:$A$2984,"2024.04")</f>
        <v>579512</v>
      </c>
      <c r="G76" s="55" t="n">
        <f aca="false">SUMIFS(데이터_품목별!$H$3:$H$2984,데이터_품목별!$E$3:$E$2984,"71",데이터_품목별!$A$3:$A$2984,"2024.05")</f>
        <v>536353</v>
      </c>
      <c r="H76" s="55" t="n">
        <f aca="false">SUMIFS(데이터_품목별!$H$3:$H$2984,데이터_품목별!$E$3:$E$2984,"71",데이터_품목별!$A$3:$A$2984,"2024.06")</f>
        <v>408069</v>
      </c>
      <c r="I76" s="55" t="n">
        <f aca="false">SUMIFS(데이터_품목별!$H$3:$H$2984,데이터_품목별!$E$3:$E$2984,"71",데이터_품목별!$A$3:$A$2984,"2024.07")</f>
        <v>519508</v>
      </c>
      <c r="J76" s="55" t="n">
        <f aca="false">SUMIFS(데이터_품목별!$H$3:$H$2984,데이터_품목별!$E$3:$E$2984,"71",데이터_품목별!$A$3:$A$2984,"2024.08")</f>
        <v>632635</v>
      </c>
      <c r="K76" s="55" t="n">
        <f aca="false">SUMIFS(데이터_품목별!$H$3:$H$2984,데이터_품목별!$E$3:$E$2984,"71",데이터_품목별!$A$3:$A$2984,"2024.09")</f>
        <v>481941</v>
      </c>
      <c r="L76" s="55" t="n">
        <f aca="false">SUMIFS(데이터_품목별!$H$3:$H$2984,데이터_품목별!$E$3:$E$2984,"71",데이터_품목별!$A$3:$A$2984,"2024.10")</f>
        <v>343764</v>
      </c>
      <c r="M76" s="55" t="n">
        <f aca="false">SUMIFS(데이터_품목별!$H$3:$H$2984,데이터_품목별!$E$3:$E$2984,"71",데이터_품목별!$A$3:$A$2984,"2024.11")</f>
        <v>404168</v>
      </c>
      <c r="N76" s="55" t="n">
        <f aca="false">SUMIFS(데이터_품목별!$H$3:$H$2984,데이터_품목별!$E$3:$E$2984,"71",데이터_품목별!$A$3:$A$2984,"2024.12")</f>
        <v>407576</v>
      </c>
      <c r="O76" s="55" t="n">
        <f aca="false">SUMIFS(데이터_품목별!$H$3:$H$2984,데이터_품목별!$E$3:$E$2984,"71",데이터_품목별!$A$3:$A$2984,"2025.01")</f>
        <v>367564</v>
      </c>
      <c r="P76" s="55" t="n">
        <f aca="false">SUMIFS(데이터_품목별!$H$3:$H$2984,데이터_품목별!$E$3:$E$2984,"71",데이터_품목별!$A$3:$A$2984,"2025.02")</f>
        <v>523284</v>
      </c>
      <c r="Q76" s="55" t="n">
        <f aca="false">SUMIFS(데이터_품목별!$H$3:$H$2984,데이터_품목별!$E$3:$E$2984,"71",데이터_품목별!$A$3:$A$2984,"2025.03")</f>
        <v>443632</v>
      </c>
      <c r="R76" s="55" t="n">
        <f aca="false">SUMIFS(데이터_품목별!$H$3:$H$2984,데이터_품목별!$E$3:$E$2984,"71",데이터_품목별!$A$3:$A$2984,"2025.04")</f>
        <v>571993</v>
      </c>
      <c r="S76" s="55" t="n">
        <f aca="false">SUMIFS(데이터_품목별!$H$3:$H$2984,데이터_품목별!$E$3:$E$2984,"71",데이터_품목별!$A$3:$A$2984,"2025.05")</f>
        <v>627794</v>
      </c>
      <c r="T76" s="55" t="n">
        <f aca="false">SUMIFS(데이터_품목별!$H$3:$H$2984,데이터_품목별!$E$3:$E$2984,"71",데이터_품목별!$A$3:$A$2984,"2025.06")</f>
        <v>721336</v>
      </c>
      <c r="U76" s="55" t="n">
        <f aca="false">SUMIFS(데이터_품목별!$H$3:$H$2984,데이터_품목별!$E$3:$E$2984,"71",데이터_품목별!$A$3:$A$2984,"2025.07")</f>
        <v>649964</v>
      </c>
      <c r="V76" s="55" t="n">
        <f aca="false">SUMIFS(데이터_품목별!$H$3:$H$2984,데이터_품목별!$E$3:$E$2984,"71",데이터_품목별!$A$3:$A$2984,"2025.08")</f>
        <v>670346</v>
      </c>
      <c r="W76" s="55" t="n">
        <f aca="false">SUMIFS(데이터_품목별!$H$3:$H$2984,데이터_품목별!$E$3:$E$2984,"71",데이터_품목별!$A$3:$A$2984,"2025.09")</f>
        <v>557555</v>
      </c>
      <c r="X76" s="55" t="n">
        <f aca="false">SUMIFS(데이터_품목별!$H$3:$H$2984,데이터_품목별!$E$3:$E$2984,"71",데이터_품목별!$A$3:$A$2984,"2025.10")</f>
        <v>954140</v>
      </c>
      <c r="Y76" s="55" t="n">
        <f aca="false">SUMIFS(데이터_품목별!$H$3:$H$2984,데이터_품목별!$E$3:$E$2984,"71",데이터_품목별!$A$3:$A$2984,"2025.11")</f>
        <v>1043507</v>
      </c>
      <c r="Z76" s="55" t="n">
        <f aca="false">SUMIFS(데이터_품목별!$H$3:$H$2984,데이터_품목별!$E$3:$E$2984,"71",데이터_품목별!$A$3:$A$2984,"2025.12")</f>
        <v>814015</v>
      </c>
      <c r="AA76" s="55" t="n">
        <f aca="false">SUMIFS(데이터_품목별!$H$3:$H$2984,데이터_품목별!$E$3:$E$2984,"71",데이터_품목별!$A$3:$A$2984,"2026.01")</f>
        <v>902526</v>
      </c>
      <c r="AB76" s="55" t="n">
        <f aca="false">SUMIFS(데이터_품목별!$H$3:$H$2984,데이터_품목별!$E$3:$E$2984,"71",데이터_품목별!$A$3:$A$2984,"2026.02")</f>
        <v>1241165</v>
      </c>
      <c r="AC76" s="55" t="n">
        <f aca="false">SUMIFS(데이터_품목별!$H$3:$H$2984,데이터_품목별!$E$3:$E$2984,"71",데이터_품목별!$A$3:$A$2984,"2026.03")</f>
        <v>1856347</v>
      </c>
      <c r="AD76" s="55" t="n">
        <f aca="false">SUMIFS(데이터_품목별!$H$3:$H$2984,데이터_품목별!$E$3:$E$2984,"71",데이터_품목별!$A$3:$A$2984,"2026.04")</f>
        <v>1442449</v>
      </c>
      <c r="AE76" s="55" t="n">
        <f aca="false">SUMIFS(데이터_품목별!$H$3:$H$2984,데이터_품목별!$E$3:$E$2984,"71",데이터_품목별!$A$3:$A$2984,"2026.05")</f>
        <v>1711971</v>
      </c>
      <c r="AF76" s="55" t="n">
        <f aca="false">SUMIFS(데이터_품목별!$H$3:$H$2984,데이터_품목별!$E$3:$E$2984,"71",데이터_품목별!$A$3:$A$2984,"2026.06")</f>
        <v>1571823</v>
      </c>
      <c r="AG76" s="55" t="n">
        <f aca="false">SUMIFS(데이터_품목별!$H$3:$H$2984,데이터_품목별!$E$3:$E$2984,"71",데이터_품목별!$A$3:$A$2984,"2026.07")</f>
        <v>1228775</v>
      </c>
    </row>
    <row r="77" customFormat="false" ht="15" hidden="false" customHeight="true" outlineLevel="0" collapsed="false">
      <c r="A77" s="53" t="s">
        <v>841</v>
      </c>
      <c r="B77" s="54" t="s">
        <v>842</v>
      </c>
      <c r="C77" s="55" t="n">
        <f aca="false">SUMIFS(데이터_품목별!$H$3:$H$2984,데이터_품목별!$E$3:$E$2984,"72",데이터_품목별!$A$3:$A$2984,"2024.01")</f>
        <v>2065468</v>
      </c>
      <c r="D77" s="55" t="n">
        <f aca="false">SUMIFS(데이터_품목별!$H$3:$H$2984,데이터_품목별!$E$3:$E$2984,"72",데이터_품목별!$A$3:$A$2984,"2024.02")</f>
        <v>2037922</v>
      </c>
      <c r="E77" s="55" t="n">
        <f aca="false">SUMIFS(데이터_품목별!$H$3:$H$2984,데이터_품목별!$E$3:$E$2984,"72",데이터_품목별!$A$3:$A$2984,"2024.03")</f>
        <v>2150885</v>
      </c>
      <c r="F77" s="55" t="n">
        <f aca="false">SUMIFS(데이터_품목별!$H$3:$H$2984,데이터_품목별!$E$3:$E$2984,"72",데이터_품목별!$A$3:$A$2984,"2024.04")</f>
        <v>2042103</v>
      </c>
      <c r="G77" s="55" t="n">
        <f aca="false">SUMIFS(데이터_품목별!$H$3:$H$2984,데이터_품목별!$E$3:$E$2984,"72",데이터_품목별!$A$3:$A$2984,"2024.05")</f>
        <v>2137844</v>
      </c>
      <c r="H77" s="55" t="n">
        <f aca="false">SUMIFS(데이터_품목별!$H$3:$H$2984,데이터_품목별!$E$3:$E$2984,"72",데이터_품목별!$A$3:$A$2984,"2024.06")</f>
        <v>1856670</v>
      </c>
      <c r="I77" s="55" t="n">
        <f aca="false">SUMIFS(데이터_품목별!$H$3:$H$2984,데이터_품목별!$E$3:$E$2984,"72",데이터_품목별!$A$3:$A$2984,"2024.07")</f>
        <v>2135449</v>
      </c>
      <c r="J77" s="55" t="n">
        <f aca="false">SUMIFS(데이터_품목별!$H$3:$H$2984,데이터_품목별!$E$3:$E$2984,"72",데이터_품목별!$A$3:$A$2984,"2024.08")</f>
        <v>2150115</v>
      </c>
      <c r="K77" s="55" t="n">
        <f aca="false">SUMIFS(데이터_품목별!$H$3:$H$2984,데이터_품목별!$E$3:$E$2984,"72",데이터_품목별!$A$3:$A$2984,"2024.09")</f>
        <v>2075109</v>
      </c>
      <c r="L77" s="55" t="n">
        <f aca="false">SUMIFS(데이터_품목별!$H$3:$H$2984,데이터_품목별!$E$3:$E$2984,"72",데이터_품목별!$A$3:$A$2984,"2024.10")</f>
        <v>2117478</v>
      </c>
      <c r="M77" s="55" t="n">
        <f aca="false">SUMIFS(데이터_품목별!$H$3:$H$2984,데이터_품목별!$E$3:$E$2984,"72",데이터_품목별!$A$3:$A$2984,"2024.11")</f>
        <v>1962108</v>
      </c>
      <c r="N77" s="55" t="n">
        <f aca="false">SUMIFS(데이터_품목별!$H$3:$H$2984,데이터_품목별!$E$3:$E$2984,"72",데이터_품목별!$A$3:$A$2984,"2024.12")</f>
        <v>2069818</v>
      </c>
      <c r="O77" s="55" t="n">
        <f aca="false">SUMIFS(데이터_품목별!$H$3:$H$2984,데이터_품목별!$E$3:$E$2984,"72",데이터_품목별!$A$3:$A$2984,"2025.01")</f>
        <v>1929700</v>
      </c>
      <c r="P77" s="55" t="n">
        <f aca="false">SUMIFS(데이터_품목별!$H$3:$H$2984,데이터_품목별!$E$3:$E$2984,"72",데이터_품목별!$A$3:$A$2984,"2025.02")</f>
        <v>1929526</v>
      </c>
      <c r="Q77" s="55" t="n">
        <f aca="false">SUMIFS(데이터_품목별!$H$3:$H$2984,데이터_품목별!$E$3:$E$2984,"72",데이터_품목별!$A$3:$A$2984,"2025.03")</f>
        <v>1844526</v>
      </c>
      <c r="R77" s="55" t="n">
        <f aca="false">SUMIFS(데이터_품목별!$H$3:$H$2984,데이터_품목별!$E$3:$E$2984,"72",데이터_품목별!$A$3:$A$2984,"2025.04")</f>
        <v>2164233</v>
      </c>
      <c r="S77" s="55" t="n">
        <f aca="false">SUMIFS(데이터_품목별!$H$3:$H$2984,데이터_품목별!$E$3:$E$2984,"72",데이터_품목별!$A$3:$A$2984,"2025.05")</f>
        <v>1927363</v>
      </c>
      <c r="T77" s="55" t="n">
        <f aca="false">SUMIFS(데이터_품목별!$H$3:$H$2984,데이터_품목별!$E$3:$E$2984,"72",데이터_품목별!$A$3:$A$2984,"2025.06")</f>
        <v>1757624</v>
      </c>
      <c r="U77" s="55" t="n">
        <f aca="false">SUMIFS(데이터_품목별!$H$3:$H$2984,데이터_품목별!$E$3:$E$2984,"72",데이터_품목별!$A$3:$A$2984,"2025.07")</f>
        <v>2076452</v>
      </c>
      <c r="V77" s="55" t="n">
        <f aca="false">SUMIFS(데이터_품목별!$H$3:$H$2984,데이터_품목별!$E$3:$E$2984,"72",데이터_품목별!$A$3:$A$2984,"2025.08")</f>
        <v>1840464</v>
      </c>
      <c r="W77" s="55" t="n">
        <f aca="false">SUMIFS(데이터_품목별!$H$3:$H$2984,데이터_품목별!$E$3:$E$2984,"72",데이터_품목별!$A$3:$A$2984,"2025.09")</f>
        <v>2014850</v>
      </c>
      <c r="X77" s="55" t="n">
        <f aca="false">SUMIFS(데이터_품목별!$H$3:$H$2984,데이터_품목별!$E$3:$E$2984,"72",데이터_품목별!$A$3:$A$2984,"2025.10")</f>
        <v>1772436</v>
      </c>
      <c r="Y77" s="55" t="n">
        <f aca="false">SUMIFS(데이터_품목별!$H$3:$H$2984,데이터_품목별!$E$3:$E$2984,"72",데이터_품목별!$A$3:$A$2984,"2025.11")</f>
        <v>1670397</v>
      </c>
      <c r="Z77" s="55" t="n">
        <f aca="false">SUMIFS(데이터_품목별!$H$3:$H$2984,데이터_품목별!$E$3:$E$2984,"72",데이터_품목별!$A$3:$A$2984,"2025.12")</f>
        <v>1863783</v>
      </c>
      <c r="AA77" s="55" t="n">
        <f aca="false">SUMIFS(데이터_품목별!$H$3:$H$2984,데이터_품목별!$E$3:$E$2984,"72",데이터_품목별!$A$3:$A$2984,"2026.01")</f>
        <v>1924678</v>
      </c>
      <c r="AB77" s="55" t="n">
        <f aca="false">SUMIFS(데이터_품목별!$H$3:$H$2984,데이터_품목별!$E$3:$E$2984,"72",데이터_품목별!$A$3:$A$2984,"2026.02")</f>
        <v>1877958</v>
      </c>
      <c r="AC77" s="55" t="n">
        <f aca="false">SUMIFS(데이터_품목별!$H$3:$H$2984,데이터_품목별!$E$3:$E$2984,"72",데이터_품목별!$A$3:$A$2984,"2026.03")</f>
        <v>1922047</v>
      </c>
      <c r="AD77" s="55" t="n">
        <f aca="false">SUMIFS(데이터_품목별!$H$3:$H$2984,데이터_품목별!$E$3:$E$2984,"72",데이터_품목별!$A$3:$A$2984,"2026.04")</f>
        <v>1939452</v>
      </c>
      <c r="AE77" s="55" t="n">
        <f aca="false">SUMIFS(데이터_품목별!$H$3:$H$2984,데이터_품목별!$E$3:$E$2984,"72",데이터_품목별!$A$3:$A$2984,"2026.05")</f>
        <v>1869834</v>
      </c>
      <c r="AF77" s="55" t="n">
        <f aca="false">SUMIFS(데이터_품목별!$H$3:$H$2984,데이터_품목별!$E$3:$E$2984,"72",데이터_품목별!$A$3:$A$2984,"2026.06")</f>
        <v>1973742</v>
      </c>
      <c r="AG77" s="55" t="n">
        <f aca="false">SUMIFS(데이터_품목별!$H$3:$H$2984,데이터_품목별!$E$3:$E$2984,"72",데이터_품목별!$A$3:$A$2984,"2026.07")</f>
        <v>2098527</v>
      </c>
    </row>
    <row r="78" customFormat="false" ht="15" hidden="false" customHeight="true" outlineLevel="0" collapsed="false">
      <c r="A78" s="53" t="s">
        <v>848</v>
      </c>
      <c r="B78" s="54" t="s">
        <v>849</v>
      </c>
      <c r="C78" s="55" t="n">
        <f aca="false">SUMIFS(데이터_품목별!$H$3:$H$2984,데이터_품목별!$E$3:$E$2984,"73",데이터_품목별!$A$3:$A$2984,"2024.01")</f>
        <v>807996</v>
      </c>
      <c r="D78" s="55" t="n">
        <f aca="false">SUMIFS(데이터_품목별!$H$3:$H$2984,데이터_품목별!$E$3:$E$2984,"73",데이터_품목별!$A$3:$A$2984,"2024.02")</f>
        <v>750069</v>
      </c>
      <c r="E78" s="55" t="n">
        <f aca="false">SUMIFS(데이터_품목별!$H$3:$H$2984,데이터_품목별!$E$3:$E$2984,"73",데이터_품목별!$A$3:$A$2984,"2024.03")</f>
        <v>847761</v>
      </c>
      <c r="F78" s="55" t="n">
        <f aca="false">SUMIFS(데이터_품목별!$H$3:$H$2984,데이터_품목별!$E$3:$E$2984,"73",데이터_품목별!$A$3:$A$2984,"2024.04")</f>
        <v>897481</v>
      </c>
      <c r="G78" s="55" t="n">
        <f aca="false">SUMIFS(데이터_품목별!$H$3:$H$2984,데이터_품목별!$E$3:$E$2984,"73",데이터_품목별!$A$3:$A$2984,"2024.05")</f>
        <v>898803</v>
      </c>
      <c r="H78" s="55" t="n">
        <f aca="false">SUMIFS(데이터_품목별!$H$3:$H$2984,데이터_품목별!$E$3:$E$2984,"73",데이터_품목별!$A$3:$A$2984,"2024.06")</f>
        <v>814872</v>
      </c>
      <c r="I78" s="55" t="n">
        <f aca="false">SUMIFS(데이터_품목별!$H$3:$H$2984,데이터_품목별!$E$3:$E$2984,"73",데이터_품목별!$A$3:$A$2984,"2024.07")</f>
        <v>800615</v>
      </c>
      <c r="J78" s="55" t="n">
        <f aca="false">SUMIFS(데이터_품목별!$H$3:$H$2984,데이터_품목별!$E$3:$E$2984,"73",데이터_품목별!$A$3:$A$2984,"2024.08")</f>
        <v>770391</v>
      </c>
      <c r="K78" s="55" t="n">
        <f aca="false">SUMIFS(데이터_품목별!$H$3:$H$2984,데이터_품목별!$E$3:$E$2984,"73",데이터_품목별!$A$3:$A$2984,"2024.09")</f>
        <v>789818</v>
      </c>
      <c r="L78" s="55" t="n">
        <f aca="false">SUMIFS(데이터_품목별!$H$3:$H$2984,데이터_품목별!$E$3:$E$2984,"73",데이터_품목별!$A$3:$A$2984,"2024.10")</f>
        <v>877033</v>
      </c>
      <c r="M78" s="55" t="n">
        <f aca="false">SUMIFS(데이터_품목별!$H$3:$H$2984,데이터_품목별!$E$3:$E$2984,"73",데이터_품목별!$A$3:$A$2984,"2024.11")</f>
        <v>829367</v>
      </c>
      <c r="N78" s="55" t="n">
        <f aca="false">SUMIFS(데이터_품목별!$H$3:$H$2984,데이터_품목별!$E$3:$E$2984,"73",데이터_품목별!$A$3:$A$2984,"2024.12")</f>
        <v>823416</v>
      </c>
      <c r="O78" s="55" t="n">
        <f aca="false">SUMIFS(데이터_품목별!$H$3:$H$2984,데이터_품목별!$E$3:$E$2984,"73",데이터_품목별!$A$3:$A$2984,"2025.01")</f>
        <v>799882</v>
      </c>
      <c r="P78" s="55" t="n">
        <f aca="false">SUMIFS(데이터_품목별!$H$3:$H$2984,데이터_품목별!$E$3:$E$2984,"73",데이터_품목별!$A$3:$A$2984,"2025.02")</f>
        <v>743727</v>
      </c>
      <c r="Q78" s="55" t="n">
        <f aca="false">SUMIFS(데이터_품목별!$H$3:$H$2984,데이터_품목별!$E$3:$E$2984,"73",데이터_품목별!$A$3:$A$2984,"2025.03")</f>
        <v>831450</v>
      </c>
      <c r="R78" s="55" t="n">
        <f aca="false">SUMIFS(데이터_품목별!$H$3:$H$2984,데이터_품목별!$E$3:$E$2984,"73",데이터_품목별!$A$3:$A$2984,"2025.04")</f>
        <v>914515</v>
      </c>
      <c r="S78" s="55" t="n">
        <f aca="false">SUMIFS(데이터_품목별!$H$3:$H$2984,데이터_품목별!$E$3:$E$2984,"73",데이터_품목별!$A$3:$A$2984,"2025.05")</f>
        <v>738713</v>
      </c>
      <c r="T78" s="55" t="n">
        <f aca="false">SUMIFS(데이터_품목별!$H$3:$H$2984,데이터_품목별!$E$3:$E$2984,"73",데이터_품목별!$A$3:$A$2984,"2025.06")</f>
        <v>696345</v>
      </c>
      <c r="U78" s="55" t="n">
        <f aca="false">SUMIFS(데이터_품목별!$H$3:$H$2984,데이터_품목별!$E$3:$E$2984,"73",데이터_품목별!$A$3:$A$2984,"2025.07")</f>
        <v>771359</v>
      </c>
      <c r="V78" s="55" t="n">
        <f aca="false">SUMIFS(데이터_품목별!$H$3:$H$2984,데이터_품목별!$E$3:$E$2984,"73",데이터_품목별!$A$3:$A$2984,"2025.08")</f>
        <v>634885</v>
      </c>
      <c r="W78" s="55" t="n">
        <f aca="false">SUMIFS(데이터_품목별!$H$3:$H$2984,데이터_품목별!$E$3:$E$2984,"73",데이터_품목별!$A$3:$A$2984,"2025.09")</f>
        <v>736487</v>
      </c>
      <c r="X78" s="55" t="n">
        <f aca="false">SUMIFS(데이터_품목별!$H$3:$H$2984,데이터_품목별!$E$3:$E$2984,"73",데이터_품목별!$A$3:$A$2984,"2025.10")</f>
        <v>563270</v>
      </c>
      <c r="Y78" s="55" t="n">
        <f aca="false">SUMIFS(데이터_품목별!$H$3:$H$2984,데이터_품목별!$E$3:$E$2984,"73",데이터_품목별!$A$3:$A$2984,"2025.11")</f>
        <v>672462</v>
      </c>
      <c r="Z78" s="55" t="n">
        <f aca="false">SUMIFS(데이터_품목별!$H$3:$H$2984,데이터_품목별!$E$3:$E$2984,"73",데이터_품목별!$A$3:$A$2984,"2025.12")</f>
        <v>718328</v>
      </c>
      <c r="AA78" s="55" t="n">
        <f aca="false">SUMIFS(데이터_품목별!$H$3:$H$2984,데이터_품목별!$E$3:$E$2984,"73",데이터_품목별!$A$3:$A$2984,"2026.01")</f>
        <v>793885</v>
      </c>
      <c r="AB78" s="55" t="n">
        <f aca="false">SUMIFS(데이터_품목별!$H$3:$H$2984,데이터_품목별!$E$3:$E$2984,"73",데이터_품목별!$A$3:$A$2984,"2026.02")</f>
        <v>568669</v>
      </c>
      <c r="AC78" s="55" t="n">
        <f aca="false">SUMIFS(데이터_품목별!$H$3:$H$2984,데이터_품목별!$E$3:$E$2984,"73",데이터_품목별!$A$3:$A$2984,"2026.03")</f>
        <v>690605</v>
      </c>
      <c r="AD78" s="55" t="n">
        <f aca="false">SUMIFS(데이터_품목별!$H$3:$H$2984,데이터_품목별!$E$3:$E$2984,"73",데이터_품목별!$A$3:$A$2984,"2026.04")</f>
        <v>760286</v>
      </c>
      <c r="AE78" s="55" t="n">
        <f aca="false">SUMIFS(데이터_품목별!$H$3:$H$2984,데이터_품목별!$E$3:$E$2984,"73",데이터_품목별!$A$3:$A$2984,"2026.05")</f>
        <v>711347</v>
      </c>
      <c r="AF78" s="55" t="n">
        <f aca="false">SUMIFS(데이터_품목별!$H$3:$H$2984,데이터_품목별!$E$3:$E$2984,"73",데이터_품목별!$A$3:$A$2984,"2026.06")</f>
        <v>806687</v>
      </c>
      <c r="AG78" s="55" t="n">
        <f aca="false">SUMIFS(데이터_품목별!$H$3:$H$2984,데이터_품목별!$E$3:$E$2984,"73",데이터_품목별!$A$3:$A$2984,"2026.07")</f>
        <v>934992</v>
      </c>
    </row>
    <row r="79" customFormat="false" ht="15" hidden="false" customHeight="true" outlineLevel="0" collapsed="false">
      <c r="A79" s="53" t="s">
        <v>855</v>
      </c>
      <c r="B79" s="54" t="s">
        <v>856</v>
      </c>
      <c r="C79" s="55" t="n">
        <f aca="false">SUMIFS(데이터_품목별!$H$3:$H$2984,데이터_품목별!$E$3:$E$2984,"74",데이터_품목별!$A$3:$A$2984,"2024.01")</f>
        <v>422578</v>
      </c>
      <c r="D79" s="55" t="n">
        <f aca="false">SUMIFS(데이터_품목별!$H$3:$H$2984,데이터_품목별!$E$3:$E$2984,"74",데이터_품목별!$A$3:$A$2984,"2024.02")</f>
        <v>362502</v>
      </c>
      <c r="E79" s="55" t="n">
        <f aca="false">SUMIFS(데이터_품목별!$H$3:$H$2984,데이터_품목별!$E$3:$E$2984,"74",데이터_품목별!$A$3:$A$2984,"2024.03")</f>
        <v>343699</v>
      </c>
      <c r="F79" s="55" t="n">
        <f aca="false">SUMIFS(데이터_품목별!$H$3:$H$2984,데이터_품목별!$E$3:$E$2984,"74",데이터_품목별!$A$3:$A$2984,"2024.04")</f>
        <v>375869</v>
      </c>
      <c r="G79" s="55" t="n">
        <f aca="false">SUMIFS(데이터_품목별!$H$3:$H$2984,데이터_품목별!$E$3:$E$2984,"74",데이터_품목별!$A$3:$A$2984,"2024.05")</f>
        <v>535906</v>
      </c>
      <c r="H79" s="55" t="n">
        <f aca="false">SUMIFS(데이터_품목별!$H$3:$H$2984,데이터_품목별!$E$3:$E$2984,"74",데이터_품목별!$A$3:$A$2984,"2024.06")</f>
        <v>560287</v>
      </c>
      <c r="I79" s="55" t="n">
        <f aca="false">SUMIFS(데이터_품목별!$H$3:$H$2984,데이터_품목별!$E$3:$E$2984,"74",데이터_품목별!$A$3:$A$2984,"2024.07")</f>
        <v>605990</v>
      </c>
      <c r="J79" s="55" t="n">
        <f aca="false">SUMIFS(데이터_품목별!$H$3:$H$2984,데이터_품목별!$E$3:$E$2984,"74",데이터_품목별!$A$3:$A$2984,"2024.08")</f>
        <v>534600</v>
      </c>
      <c r="K79" s="55" t="n">
        <f aca="false">SUMIFS(데이터_품목별!$H$3:$H$2984,데이터_품목별!$E$3:$E$2984,"74",데이터_품목별!$A$3:$A$2984,"2024.09")</f>
        <v>496913</v>
      </c>
      <c r="L79" s="55" t="n">
        <f aca="false">SUMIFS(데이터_품목별!$H$3:$H$2984,데이터_품목별!$E$3:$E$2984,"74",데이터_품목별!$A$3:$A$2984,"2024.10")</f>
        <v>504949</v>
      </c>
      <c r="M79" s="55" t="n">
        <f aca="false">SUMIFS(데이터_품목별!$H$3:$H$2984,데이터_품목별!$E$3:$E$2984,"74",데이터_품목별!$A$3:$A$2984,"2024.11")</f>
        <v>455328</v>
      </c>
      <c r="N79" s="55" t="n">
        <f aca="false">SUMIFS(데이터_품목별!$H$3:$H$2984,데이터_품목별!$E$3:$E$2984,"74",데이터_품목별!$A$3:$A$2984,"2024.12")</f>
        <v>565743</v>
      </c>
      <c r="O79" s="55" t="n">
        <f aca="false">SUMIFS(데이터_품목별!$H$3:$H$2984,데이터_품목별!$E$3:$E$2984,"74",데이터_품목별!$A$3:$A$2984,"2025.01")</f>
        <v>422977</v>
      </c>
      <c r="P79" s="55" t="n">
        <f aca="false">SUMIFS(데이터_품목별!$H$3:$H$2984,데이터_품목별!$E$3:$E$2984,"74",데이터_품목별!$A$3:$A$2984,"2025.02")</f>
        <v>401769</v>
      </c>
      <c r="Q79" s="55" t="n">
        <f aca="false">SUMIFS(데이터_품목별!$H$3:$H$2984,데이터_품목별!$E$3:$E$2984,"74",데이터_품목별!$A$3:$A$2984,"2025.03")</f>
        <v>440642</v>
      </c>
      <c r="R79" s="55" t="n">
        <f aca="false">SUMIFS(데이터_품목별!$H$3:$H$2984,데이터_품목별!$E$3:$E$2984,"74",데이터_품목별!$A$3:$A$2984,"2025.04")</f>
        <v>522537</v>
      </c>
      <c r="S79" s="55" t="n">
        <f aca="false">SUMIFS(데이터_품목별!$H$3:$H$2984,데이터_품목별!$E$3:$E$2984,"74",데이터_품목별!$A$3:$A$2984,"2025.05")</f>
        <v>574017</v>
      </c>
      <c r="T79" s="55" t="n">
        <f aca="false">SUMIFS(데이터_품목별!$H$3:$H$2984,데이터_품목별!$E$3:$E$2984,"74",데이터_품목별!$A$3:$A$2984,"2025.06")</f>
        <v>571897</v>
      </c>
      <c r="U79" s="55" t="n">
        <f aca="false">SUMIFS(데이터_품목별!$H$3:$H$2984,데이터_품목별!$E$3:$E$2984,"74",데이터_품목별!$A$3:$A$2984,"2025.07")</f>
        <v>656623</v>
      </c>
      <c r="V79" s="55" t="n">
        <f aca="false">SUMIFS(데이터_품목별!$H$3:$H$2984,데이터_품목별!$E$3:$E$2984,"74",데이터_품목별!$A$3:$A$2984,"2025.08")</f>
        <v>559197</v>
      </c>
      <c r="W79" s="55" t="n">
        <f aca="false">SUMIFS(데이터_품목별!$H$3:$H$2984,데이터_품목별!$E$3:$E$2984,"74",데이터_품목별!$A$3:$A$2984,"2025.09")</f>
        <v>601978</v>
      </c>
      <c r="X79" s="55" t="n">
        <f aca="false">SUMIFS(데이터_품목별!$H$3:$H$2984,데이터_품목별!$E$3:$E$2984,"74",데이터_품목별!$A$3:$A$2984,"2025.10")</f>
        <v>570357</v>
      </c>
      <c r="Y79" s="55" t="n">
        <f aca="false">SUMIFS(데이터_품목별!$H$3:$H$2984,데이터_품목별!$E$3:$E$2984,"74",데이터_품목별!$A$3:$A$2984,"2025.11")</f>
        <v>633637</v>
      </c>
      <c r="Z79" s="55" t="n">
        <f aca="false">SUMIFS(데이터_품목별!$H$3:$H$2984,데이터_품목별!$E$3:$E$2984,"74",데이터_품목별!$A$3:$A$2984,"2025.12")</f>
        <v>697401</v>
      </c>
      <c r="AA79" s="55" t="n">
        <f aca="false">SUMIFS(데이터_품목별!$H$3:$H$2984,데이터_품목별!$E$3:$E$2984,"74",데이터_품목별!$A$3:$A$2984,"2026.01")</f>
        <v>622179</v>
      </c>
      <c r="AB79" s="55" t="n">
        <f aca="false">SUMIFS(데이터_품목별!$H$3:$H$2984,데이터_품목별!$E$3:$E$2984,"74",데이터_품목별!$A$3:$A$2984,"2026.02")</f>
        <v>517990</v>
      </c>
      <c r="AC79" s="55" t="n">
        <f aca="false">SUMIFS(데이터_품목별!$H$3:$H$2984,데이터_품목별!$E$3:$E$2984,"74",데이터_품목별!$A$3:$A$2984,"2026.03")</f>
        <v>604564</v>
      </c>
      <c r="AD79" s="55" t="n">
        <f aca="false">SUMIFS(데이터_품목별!$H$3:$H$2984,데이터_품목별!$E$3:$E$2984,"74",데이터_품목별!$A$3:$A$2984,"2026.04")</f>
        <v>901904</v>
      </c>
      <c r="AE79" s="55" t="n">
        <f aca="false">SUMIFS(데이터_품목별!$H$3:$H$2984,데이터_품목별!$E$3:$E$2984,"74",데이터_품목별!$A$3:$A$2984,"2026.05")</f>
        <v>861455</v>
      </c>
      <c r="AF79" s="55" t="n">
        <f aca="false">SUMIFS(데이터_품목별!$H$3:$H$2984,데이터_품목별!$E$3:$E$2984,"74",데이터_품목별!$A$3:$A$2984,"2026.06")</f>
        <v>866859</v>
      </c>
      <c r="AG79" s="55" t="n">
        <f aca="false">SUMIFS(데이터_품목별!$H$3:$H$2984,데이터_품목별!$E$3:$E$2984,"74",데이터_품목별!$A$3:$A$2984,"2026.07")</f>
        <v>800081</v>
      </c>
    </row>
    <row r="80" customFormat="false" ht="15" hidden="false" customHeight="true" outlineLevel="0" collapsed="false">
      <c r="A80" s="53" t="s">
        <v>862</v>
      </c>
      <c r="B80" s="54" t="s">
        <v>863</v>
      </c>
      <c r="C80" s="55" t="n">
        <f aca="false">SUMIFS(데이터_품목별!$H$3:$H$2984,데이터_품목별!$E$3:$E$2984,"75",데이터_품목별!$A$3:$A$2984,"2024.01")</f>
        <v>24406</v>
      </c>
      <c r="D80" s="55" t="n">
        <f aca="false">SUMIFS(데이터_품목별!$H$3:$H$2984,데이터_품목별!$E$3:$E$2984,"75",데이터_품목별!$A$3:$A$2984,"2024.02")</f>
        <v>15797</v>
      </c>
      <c r="E80" s="55" t="n">
        <f aca="false">SUMIFS(데이터_품목별!$H$3:$H$2984,데이터_품목별!$E$3:$E$2984,"75",데이터_품목별!$A$3:$A$2984,"2024.03")</f>
        <v>33073</v>
      </c>
      <c r="F80" s="55" t="n">
        <f aca="false">SUMIFS(데이터_품목별!$H$3:$H$2984,데이터_품목별!$E$3:$E$2984,"75",데이터_품목별!$A$3:$A$2984,"2024.04")</f>
        <v>17717</v>
      </c>
      <c r="G80" s="55" t="n">
        <f aca="false">SUMIFS(데이터_품목별!$H$3:$H$2984,데이터_품목별!$E$3:$E$2984,"75",데이터_품목별!$A$3:$A$2984,"2024.05")</f>
        <v>34698</v>
      </c>
      <c r="H80" s="55" t="n">
        <f aca="false">SUMIFS(데이터_품목별!$H$3:$H$2984,데이터_품목별!$E$3:$E$2984,"75",데이터_품목별!$A$3:$A$2984,"2024.06")</f>
        <v>14364</v>
      </c>
      <c r="I80" s="55" t="n">
        <f aca="false">SUMIFS(데이터_품목별!$H$3:$H$2984,데이터_품목별!$E$3:$E$2984,"75",데이터_품목별!$A$3:$A$2984,"2024.07")</f>
        <v>17132</v>
      </c>
      <c r="J80" s="55" t="n">
        <f aca="false">SUMIFS(데이터_품목별!$H$3:$H$2984,데이터_품목별!$E$3:$E$2984,"75",데이터_품목별!$A$3:$A$2984,"2024.08")</f>
        <v>12616</v>
      </c>
      <c r="K80" s="55" t="n">
        <f aca="false">SUMIFS(데이터_품목별!$H$3:$H$2984,데이터_품목별!$E$3:$E$2984,"75",데이터_품목별!$A$3:$A$2984,"2024.09")</f>
        <v>23031</v>
      </c>
      <c r="L80" s="55" t="n">
        <f aca="false">SUMIFS(데이터_품목별!$H$3:$H$2984,데이터_품목별!$E$3:$E$2984,"75",데이터_품목별!$A$3:$A$2984,"2024.10")</f>
        <v>13537</v>
      </c>
      <c r="M80" s="55" t="n">
        <f aca="false">SUMIFS(데이터_품목별!$H$3:$H$2984,데이터_품목별!$E$3:$E$2984,"75",데이터_품목별!$A$3:$A$2984,"2024.11")</f>
        <v>15585</v>
      </c>
      <c r="N80" s="55" t="n">
        <f aca="false">SUMIFS(데이터_품목별!$H$3:$H$2984,데이터_품목별!$E$3:$E$2984,"75",데이터_품목별!$A$3:$A$2984,"2024.12")</f>
        <v>16242</v>
      </c>
      <c r="O80" s="55" t="n">
        <f aca="false">SUMIFS(데이터_품목별!$H$3:$H$2984,데이터_품목별!$E$3:$E$2984,"75",데이터_품목별!$A$3:$A$2984,"2025.01")</f>
        <v>13897</v>
      </c>
      <c r="P80" s="55" t="n">
        <f aca="false">SUMIFS(데이터_품목별!$H$3:$H$2984,데이터_품목별!$E$3:$E$2984,"75",데이터_품목별!$A$3:$A$2984,"2025.02")</f>
        <v>21670</v>
      </c>
      <c r="Q80" s="55" t="n">
        <f aca="false">SUMIFS(데이터_품목별!$H$3:$H$2984,데이터_품목별!$E$3:$E$2984,"75",데이터_품목별!$A$3:$A$2984,"2025.03")</f>
        <v>16683</v>
      </c>
      <c r="R80" s="55" t="n">
        <f aca="false">SUMIFS(데이터_품목별!$H$3:$H$2984,데이터_품목별!$E$3:$E$2984,"75",데이터_품목별!$A$3:$A$2984,"2025.04")</f>
        <v>21733</v>
      </c>
      <c r="S80" s="55" t="n">
        <f aca="false">SUMIFS(데이터_품목별!$H$3:$H$2984,데이터_품목별!$E$3:$E$2984,"75",데이터_품목별!$A$3:$A$2984,"2025.05")</f>
        <v>19365</v>
      </c>
      <c r="T80" s="55" t="n">
        <f aca="false">SUMIFS(데이터_품목별!$H$3:$H$2984,데이터_품목별!$E$3:$E$2984,"75",데이터_품목별!$A$3:$A$2984,"2025.06")</f>
        <v>13594</v>
      </c>
      <c r="U80" s="55" t="n">
        <f aca="false">SUMIFS(데이터_품목별!$H$3:$H$2984,데이터_품목별!$E$3:$E$2984,"75",데이터_품목별!$A$3:$A$2984,"2025.07")</f>
        <v>20973</v>
      </c>
      <c r="V80" s="55" t="n">
        <f aca="false">SUMIFS(데이터_품목별!$H$3:$H$2984,데이터_품목별!$E$3:$E$2984,"75",데이터_품목별!$A$3:$A$2984,"2025.08")</f>
        <v>18111</v>
      </c>
      <c r="W80" s="55" t="n">
        <f aca="false">SUMIFS(데이터_품목별!$H$3:$H$2984,데이터_품목별!$E$3:$E$2984,"75",데이터_품목별!$A$3:$A$2984,"2025.09")</f>
        <v>18789</v>
      </c>
      <c r="X80" s="55" t="n">
        <f aca="false">SUMIFS(데이터_품목별!$H$3:$H$2984,데이터_품목별!$E$3:$E$2984,"75",데이터_품목별!$A$3:$A$2984,"2025.10")</f>
        <v>17879</v>
      </c>
      <c r="Y80" s="55" t="n">
        <f aca="false">SUMIFS(데이터_품목별!$H$3:$H$2984,데이터_품목별!$E$3:$E$2984,"75",데이터_품목별!$A$3:$A$2984,"2025.11")</f>
        <v>18506</v>
      </c>
      <c r="Z80" s="55" t="n">
        <f aca="false">SUMIFS(데이터_품목별!$H$3:$H$2984,데이터_품목별!$E$3:$E$2984,"75",데이터_품목별!$A$3:$A$2984,"2025.12")</f>
        <v>18762</v>
      </c>
      <c r="AA80" s="55" t="n">
        <f aca="false">SUMIFS(데이터_품목별!$H$3:$H$2984,데이터_품목별!$E$3:$E$2984,"75",데이터_품목별!$A$3:$A$2984,"2026.01")</f>
        <v>20954</v>
      </c>
      <c r="AB80" s="55" t="n">
        <f aca="false">SUMIFS(데이터_품목별!$H$3:$H$2984,데이터_품목별!$E$3:$E$2984,"75",데이터_품목별!$A$3:$A$2984,"2026.02")</f>
        <v>22240</v>
      </c>
      <c r="AC80" s="55" t="n">
        <f aca="false">SUMIFS(데이터_품목별!$H$3:$H$2984,데이터_품목별!$E$3:$E$2984,"75",데이터_품목별!$A$3:$A$2984,"2026.03")</f>
        <v>20881</v>
      </c>
      <c r="AD80" s="55" t="n">
        <f aca="false">SUMIFS(데이터_품목별!$H$3:$H$2984,데이터_품목별!$E$3:$E$2984,"75",데이터_품목별!$A$3:$A$2984,"2026.04")</f>
        <v>31929</v>
      </c>
      <c r="AE80" s="55" t="n">
        <f aca="false">SUMIFS(데이터_품목별!$H$3:$H$2984,데이터_품목별!$E$3:$E$2984,"75",데이터_품목별!$A$3:$A$2984,"2026.05")</f>
        <v>20286</v>
      </c>
      <c r="AF80" s="55" t="n">
        <f aca="false">SUMIFS(데이터_품목별!$H$3:$H$2984,데이터_품목별!$E$3:$E$2984,"75",데이터_품목별!$A$3:$A$2984,"2026.06")</f>
        <v>30073</v>
      </c>
      <c r="AG80" s="55" t="n">
        <f aca="false">SUMIFS(데이터_품목별!$H$3:$H$2984,데이터_품목별!$E$3:$E$2984,"75",데이터_품목별!$A$3:$A$2984,"2026.07")</f>
        <v>33480</v>
      </c>
    </row>
    <row r="81" customFormat="false" ht="15" hidden="false" customHeight="true" outlineLevel="0" collapsed="false">
      <c r="A81" s="53" t="s">
        <v>869</v>
      </c>
      <c r="B81" s="54" t="s">
        <v>870</v>
      </c>
      <c r="C81" s="55" t="n">
        <f aca="false">SUMIFS(데이터_품목별!$H$3:$H$2984,데이터_품목별!$E$3:$E$2984,"76",데이터_품목별!$A$3:$A$2984,"2024.01")</f>
        <v>420911</v>
      </c>
      <c r="D81" s="55" t="n">
        <f aca="false">SUMIFS(데이터_품목별!$H$3:$H$2984,데이터_품목별!$E$3:$E$2984,"76",데이터_품목별!$A$3:$A$2984,"2024.02")</f>
        <v>361081</v>
      </c>
      <c r="E81" s="55" t="n">
        <f aca="false">SUMIFS(데이터_품목별!$H$3:$H$2984,데이터_품목별!$E$3:$E$2984,"76",데이터_품목별!$A$3:$A$2984,"2024.03")</f>
        <v>383121</v>
      </c>
      <c r="F81" s="55" t="n">
        <f aca="false">SUMIFS(데이터_품목별!$H$3:$H$2984,데이터_품목별!$E$3:$E$2984,"76",데이터_품목별!$A$3:$A$2984,"2024.04")</f>
        <v>427343</v>
      </c>
      <c r="G81" s="55" t="n">
        <f aca="false">SUMIFS(데이터_품목별!$H$3:$H$2984,데이터_품목별!$E$3:$E$2984,"76",데이터_품목별!$A$3:$A$2984,"2024.05")</f>
        <v>422382</v>
      </c>
      <c r="H81" s="55" t="n">
        <f aca="false">SUMIFS(데이터_품목별!$H$3:$H$2984,데이터_품목별!$E$3:$E$2984,"76",데이터_품목별!$A$3:$A$2984,"2024.06")</f>
        <v>435455</v>
      </c>
      <c r="I81" s="55" t="n">
        <f aca="false">SUMIFS(데이터_품목별!$H$3:$H$2984,데이터_품목별!$E$3:$E$2984,"76",데이터_품목별!$A$3:$A$2984,"2024.07")</f>
        <v>438295</v>
      </c>
      <c r="J81" s="55" t="n">
        <f aca="false">SUMIFS(데이터_품목별!$H$3:$H$2984,데이터_품목별!$E$3:$E$2984,"76",데이터_품목별!$A$3:$A$2984,"2024.08")</f>
        <v>413342</v>
      </c>
      <c r="K81" s="55" t="n">
        <f aca="false">SUMIFS(데이터_품목별!$H$3:$H$2984,데이터_품목별!$E$3:$E$2984,"76",데이터_품목별!$A$3:$A$2984,"2024.09")</f>
        <v>394595</v>
      </c>
      <c r="L81" s="55" t="n">
        <f aca="false">SUMIFS(데이터_품목별!$H$3:$H$2984,데이터_품목별!$E$3:$E$2984,"76",데이터_품목별!$A$3:$A$2984,"2024.10")</f>
        <v>417644</v>
      </c>
      <c r="M81" s="55" t="n">
        <f aca="false">SUMIFS(데이터_품목별!$H$3:$H$2984,데이터_품목별!$E$3:$E$2984,"76",데이터_품목별!$A$3:$A$2984,"2024.11")</f>
        <v>430599</v>
      </c>
      <c r="N81" s="55" t="n">
        <f aca="false">SUMIFS(데이터_품목별!$H$3:$H$2984,데이터_품목별!$E$3:$E$2984,"76",데이터_품목별!$A$3:$A$2984,"2024.12")</f>
        <v>481104</v>
      </c>
      <c r="O81" s="55" t="n">
        <f aca="false">SUMIFS(데이터_품목별!$H$3:$H$2984,데이터_품목별!$E$3:$E$2984,"76",데이터_품목별!$A$3:$A$2984,"2025.01")</f>
        <v>392994</v>
      </c>
      <c r="P81" s="55" t="n">
        <f aca="false">SUMIFS(데이터_품목별!$H$3:$H$2984,데이터_품목별!$E$3:$E$2984,"76",데이터_품목별!$A$3:$A$2984,"2025.02")</f>
        <v>443184</v>
      </c>
      <c r="Q81" s="55" t="n">
        <f aca="false">SUMIFS(데이터_품목별!$H$3:$H$2984,데이터_품목별!$E$3:$E$2984,"76",데이터_품목별!$A$3:$A$2984,"2025.03")</f>
        <v>457809</v>
      </c>
      <c r="R81" s="55" t="n">
        <f aca="false">SUMIFS(데이터_품목별!$H$3:$H$2984,데이터_품목별!$E$3:$E$2984,"76",데이터_품목별!$A$3:$A$2984,"2025.04")</f>
        <v>504295</v>
      </c>
      <c r="S81" s="55" t="n">
        <f aca="false">SUMIFS(데이터_품목별!$H$3:$H$2984,데이터_품목별!$E$3:$E$2984,"76",데이터_품목별!$A$3:$A$2984,"2025.05")</f>
        <v>420446</v>
      </c>
      <c r="T81" s="55" t="n">
        <f aca="false">SUMIFS(데이터_품목별!$H$3:$H$2984,데이터_품목별!$E$3:$E$2984,"76",데이터_품목별!$A$3:$A$2984,"2025.06")</f>
        <v>435321</v>
      </c>
      <c r="U81" s="55" t="n">
        <f aca="false">SUMIFS(데이터_품목별!$H$3:$H$2984,데이터_품목별!$E$3:$E$2984,"76",데이터_품목별!$A$3:$A$2984,"2025.07")</f>
        <v>473777</v>
      </c>
      <c r="V81" s="55" t="n">
        <f aca="false">SUMIFS(데이터_품목별!$H$3:$H$2984,데이터_품목별!$E$3:$E$2984,"76",데이터_품목별!$A$3:$A$2984,"2025.08")</f>
        <v>422397</v>
      </c>
      <c r="W81" s="55" t="n">
        <f aca="false">SUMIFS(데이터_품목별!$H$3:$H$2984,데이터_품목별!$E$3:$E$2984,"76",데이터_품목별!$A$3:$A$2984,"2025.09")</f>
        <v>477281</v>
      </c>
      <c r="X81" s="55" t="n">
        <f aca="false">SUMIFS(데이터_품목별!$H$3:$H$2984,데이터_품목별!$E$3:$E$2984,"76",데이터_품목별!$A$3:$A$2984,"2025.10")</f>
        <v>395447</v>
      </c>
      <c r="Y81" s="55" t="n">
        <f aca="false">SUMIFS(데이터_품목별!$H$3:$H$2984,데이터_품목별!$E$3:$E$2984,"76",데이터_품목별!$A$3:$A$2984,"2025.11")</f>
        <v>392581</v>
      </c>
      <c r="Z81" s="55" t="n">
        <f aca="false">SUMIFS(데이터_품목별!$H$3:$H$2984,데이터_품목별!$E$3:$E$2984,"76",데이터_품목별!$A$3:$A$2984,"2025.12")</f>
        <v>490487</v>
      </c>
      <c r="AA81" s="55" t="n">
        <f aca="false">SUMIFS(데이터_품목별!$H$3:$H$2984,데이터_품목별!$E$3:$E$2984,"76",데이터_품목별!$A$3:$A$2984,"2026.01")</f>
        <v>505182</v>
      </c>
      <c r="AB81" s="55" t="n">
        <f aca="false">SUMIFS(데이터_품목별!$H$3:$H$2984,데이터_품목별!$E$3:$E$2984,"76",데이터_품목별!$A$3:$A$2984,"2026.02")</f>
        <v>446510</v>
      </c>
      <c r="AC81" s="55" t="n">
        <f aca="false">SUMIFS(데이터_품목별!$H$3:$H$2984,데이터_품목별!$E$3:$E$2984,"76",데이터_품목별!$A$3:$A$2984,"2026.03")</f>
        <v>559081</v>
      </c>
      <c r="AD81" s="55" t="n">
        <f aca="false">SUMIFS(데이터_품목별!$H$3:$H$2984,데이터_품목별!$E$3:$E$2984,"76",데이터_품목별!$A$3:$A$2984,"2026.04")</f>
        <v>608741</v>
      </c>
      <c r="AE81" s="55" t="n">
        <f aca="false">SUMIFS(데이터_품목별!$H$3:$H$2984,데이터_품목별!$E$3:$E$2984,"76",데이터_품목별!$A$3:$A$2984,"2026.05")</f>
        <v>593495</v>
      </c>
      <c r="AF81" s="55" t="n">
        <f aca="false">SUMIFS(데이터_품목별!$H$3:$H$2984,데이터_품목별!$E$3:$E$2984,"76",데이터_품목별!$A$3:$A$2984,"2026.06")</f>
        <v>672554</v>
      </c>
      <c r="AG81" s="55" t="n">
        <f aca="false">SUMIFS(데이터_품목별!$H$3:$H$2984,데이터_품목별!$E$3:$E$2984,"76",데이터_품목별!$A$3:$A$2984,"2026.07")</f>
        <v>628463</v>
      </c>
    </row>
    <row r="82" customFormat="false" ht="15" hidden="false" customHeight="true" outlineLevel="0" collapsed="false">
      <c r="A82" s="53" t="s">
        <v>876</v>
      </c>
      <c r="B82" s="54" t="s">
        <v>877</v>
      </c>
      <c r="C82" s="55" t="n">
        <f aca="false">SUMIFS(데이터_품목별!$H$3:$H$2984,데이터_품목별!$E$3:$E$2984,"78",데이터_품목별!$A$3:$A$2984,"2024.01")</f>
        <v>61062</v>
      </c>
      <c r="D82" s="55" t="n">
        <f aca="false">SUMIFS(데이터_품목별!$H$3:$H$2984,데이터_품목별!$E$3:$E$2984,"78",데이터_품목별!$A$3:$A$2984,"2024.02")</f>
        <v>70023</v>
      </c>
      <c r="E82" s="55" t="n">
        <f aca="false">SUMIFS(데이터_품목별!$H$3:$H$2984,데이터_품목별!$E$3:$E$2984,"78",데이터_품목별!$A$3:$A$2984,"2024.03")</f>
        <v>55323</v>
      </c>
      <c r="F82" s="55" t="n">
        <f aca="false">SUMIFS(데이터_품목별!$H$3:$H$2984,데이터_품목별!$E$3:$E$2984,"78",데이터_품목별!$A$3:$A$2984,"2024.04")</f>
        <v>58726</v>
      </c>
      <c r="G82" s="55" t="n">
        <f aca="false">SUMIFS(데이터_품목별!$H$3:$H$2984,데이터_품목별!$E$3:$E$2984,"78",데이터_품목별!$A$3:$A$2984,"2024.05")</f>
        <v>78396</v>
      </c>
      <c r="H82" s="55" t="n">
        <f aca="false">SUMIFS(데이터_품목별!$H$3:$H$2984,데이터_품목별!$E$3:$E$2984,"78",데이터_품목별!$A$3:$A$2984,"2024.06")</f>
        <v>38552</v>
      </c>
      <c r="I82" s="55" t="n">
        <f aca="false">SUMIFS(데이터_품목별!$H$3:$H$2984,데이터_품목별!$E$3:$E$2984,"78",데이터_품목별!$A$3:$A$2984,"2024.07")</f>
        <v>53989</v>
      </c>
      <c r="J82" s="55" t="n">
        <f aca="false">SUMIFS(데이터_품목별!$H$3:$H$2984,데이터_품목별!$E$3:$E$2984,"78",데이터_품목별!$A$3:$A$2984,"2024.08")</f>
        <v>72561</v>
      </c>
      <c r="K82" s="55" t="n">
        <f aca="false">SUMIFS(데이터_품목별!$H$3:$H$2984,데이터_품목별!$E$3:$E$2984,"78",데이터_품목별!$A$3:$A$2984,"2024.09")</f>
        <v>59688</v>
      </c>
      <c r="L82" s="55" t="n">
        <f aca="false">SUMIFS(데이터_품목별!$H$3:$H$2984,데이터_품목별!$E$3:$E$2984,"78",데이터_품목별!$A$3:$A$2984,"2024.10")</f>
        <v>61125</v>
      </c>
      <c r="M82" s="55" t="n">
        <f aca="false">SUMIFS(데이터_품목별!$H$3:$H$2984,데이터_품목별!$E$3:$E$2984,"78",데이터_품목별!$A$3:$A$2984,"2024.11")</f>
        <v>47977</v>
      </c>
      <c r="N82" s="55" t="n">
        <f aca="false">SUMIFS(데이터_품목별!$H$3:$H$2984,데이터_품목별!$E$3:$E$2984,"78",데이터_품목별!$A$3:$A$2984,"2024.12")</f>
        <v>72731</v>
      </c>
      <c r="O82" s="55" t="n">
        <f aca="false">SUMIFS(데이터_품목별!$H$3:$H$2984,데이터_품목별!$E$3:$E$2984,"78",데이터_품목별!$A$3:$A$2984,"2025.01")</f>
        <v>52286</v>
      </c>
      <c r="P82" s="55" t="n">
        <f aca="false">SUMIFS(데이터_품목별!$H$3:$H$2984,데이터_품목별!$E$3:$E$2984,"78",데이터_품목별!$A$3:$A$2984,"2025.02")</f>
        <v>48512</v>
      </c>
      <c r="Q82" s="55" t="n">
        <f aca="false">SUMIFS(데이터_품목별!$H$3:$H$2984,데이터_품목별!$E$3:$E$2984,"78",데이터_품목별!$A$3:$A$2984,"2025.03")</f>
        <v>94284</v>
      </c>
      <c r="R82" s="55" t="n">
        <f aca="false">SUMIFS(데이터_품목별!$H$3:$H$2984,데이터_품목별!$E$3:$E$2984,"78",데이터_품목별!$A$3:$A$2984,"2025.04")</f>
        <v>43568</v>
      </c>
      <c r="S82" s="55" t="n">
        <f aca="false">SUMIFS(데이터_품목별!$H$3:$H$2984,데이터_품목별!$E$3:$E$2984,"78",데이터_품목별!$A$3:$A$2984,"2025.05")</f>
        <v>46441</v>
      </c>
      <c r="T82" s="55" t="n">
        <f aca="false">SUMIFS(데이터_품목별!$H$3:$H$2984,데이터_품목별!$E$3:$E$2984,"78",데이터_품목별!$A$3:$A$2984,"2025.06")</f>
        <v>58745</v>
      </c>
      <c r="U82" s="55" t="n">
        <f aca="false">SUMIFS(데이터_품목별!$H$3:$H$2984,데이터_품목별!$E$3:$E$2984,"78",데이터_품목별!$A$3:$A$2984,"2025.07")</f>
        <v>63075</v>
      </c>
      <c r="V82" s="55" t="n">
        <f aca="false">SUMIFS(데이터_품목별!$H$3:$H$2984,데이터_품목별!$E$3:$E$2984,"78",데이터_품목별!$A$3:$A$2984,"2025.08")</f>
        <v>45682</v>
      </c>
      <c r="W82" s="55" t="n">
        <f aca="false">SUMIFS(데이터_품목별!$H$3:$H$2984,데이터_품목별!$E$3:$E$2984,"78",데이터_품목별!$A$3:$A$2984,"2025.09")</f>
        <v>63388</v>
      </c>
      <c r="X82" s="55" t="n">
        <f aca="false">SUMIFS(데이터_품목별!$H$3:$H$2984,데이터_품목별!$E$3:$E$2984,"78",데이터_품목별!$A$3:$A$2984,"2025.10")</f>
        <v>58766</v>
      </c>
      <c r="Y82" s="55" t="n">
        <f aca="false">SUMIFS(데이터_품목별!$H$3:$H$2984,데이터_품목별!$E$3:$E$2984,"78",데이터_품목별!$A$3:$A$2984,"2025.11")</f>
        <v>46204</v>
      </c>
      <c r="Z82" s="55" t="n">
        <f aca="false">SUMIFS(데이터_품목별!$H$3:$H$2984,데이터_품목별!$E$3:$E$2984,"78",데이터_품목별!$A$3:$A$2984,"2025.12")</f>
        <v>69496</v>
      </c>
      <c r="AA82" s="55" t="n">
        <f aca="false">SUMIFS(데이터_품목별!$H$3:$H$2984,데이터_품목별!$E$3:$E$2984,"78",데이터_품목별!$A$3:$A$2984,"2026.01")</f>
        <v>62706</v>
      </c>
      <c r="AB82" s="55" t="n">
        <f aca="false">SUMIFS(데이터_품목별!$H$3:$H$2984,데이터_품목별!$E$3:$E$2984,"78",데이터_품목별!$A$3:$A$2984,"2026.02")</f>
        <v>64432</v>
      </c>
      <c r="AC82" s="55" t="n">
        <f aca="false">SUMIFS(데이터_품목별!$H$3:$H$2984,데이터_품목별!$E$3:$E$2984,"78",데이터_품목별!$A$3:$A$2984,"2026.03")</f>
        <v>84944</v>
      </c>
      <c r="AD82" s="55" t="n">
        <f aca="false">SUMIFS(데이터_품목별!$H$3:$H$2984,데이터_품목별!$E$3:$E$2984,"78",데이터_품목별!$A$3:$A$2984,"2026.04")</f>
        <v>84579</v>
      </c>
      <c r="AE82" s="55" t="n">
        <f aca="false">SUMIFS(데이터_품목별!$H$3:$H$2984,데이터_품목별!$E$3:$E$2984,"78",데이터_품목별!$A$3:$A$2984,"2026.05")</f>
        <v>53683</v>
      </c>
      <c r="AF82" s="55" t="n">
        <f aca="false">SUMIFS(데이터_품목별!$H$3:$H$2984,데이터_품목별!$E$3:$E$2984,"78",데이터_품목별!$A$3:$A$2984,"2026.06")</f>
        <v>76604</v>
      </c>
      <c r="AG82" s="55" t="n">
        <f aca="false">SUMIFS(데이터_품목별!$H$3:$H$2984,데이터_품목별!$E$3:$E$2984,"78",데이터_품목별!$A$3:$A$2984,"2026.07")</f>
        <v>72623</v>
      </c>
    </row>
    <row r="83" customFormat="false" ht="15" hidden="false" customHeight="true" outlineLevel="0" collapsed="false">
      <c r="A83" s="53" t="s">
        <v>883</v>
      </c>
      <c r="B83" s="54" t="s">
        <v>884</v>
      </c>
      <c r="C83" s="55" t="n">
        <f aca="false">SUMIFS(데이터_품목별!$H$3:$H$2984,데이터_품목별!$E$3:$E$2984,"79",데이터_품목별!$A$3:$A$2984,"2024.01")</f>
        <v>133018</v>
      </c>
      <c r="D83" s="55" t="n">
        <f aca="false">SUMIFS(데이터_품목별!$H$3:$H$2984,데이터_품목별!$E$3:$E$2984,"79",데이터_품목별!$A$3:$A$2984,"2024.02")</f>
        <v>120303</v>
      </c>
      <c r="E83" s="55" t="n">
        <f aca="false">SUMIFS(데이터_품목별!$H$3:$H$2984,데이터_품목별!$E$3:$E$2984,"79",데이터_품목별!$A$3:$A$2984,"2024.03")</f>
        <v>115418</v>
      </c>
      <c r="F83" s="55" t="n">
        <f aca="false">SUMIFS(데이터_품목별!$H$3:$H$2984,데이터_품목별!$E$3:$E$2984,"79",데이터_품목별!$A$3:$A$2984,"2024.04")</f>
        <v>111423</v>
      </c>
      <c r="G83" s="55" t="n">
        <f aca="false">SUMIFS(데이터_품목별!$H$3:$H$2984,데이터_품목별!$E$3:$E$2984,"79",데이터_품목별!$A$3:$A$2984,"2024.05")</f>
        <v>119773</v>
      </c>
      <c r="H83" s="55" t="n">
        <f aca="false">SUMIFS(데이터_품목별!$H$3:$H$2984,데이터_품목별!$E$3:$E$2984,"79",데이터_품목별!$A$3:$A$2984,"2024.06")</f>
        <v>98370</v>
      </c>
      <c r="I83" s="55" t="n">
        <f aca="false">SUMIFS(데이터_품목별!$H$3:$H$2984,데이터_품목별!$E$3:$E$2984,"79",데이터_품목별!$A$3:$A$2984,"2024.07")</f>
        <v>111999</v>
      </c>
      <c r="J83" s="55" t="n">
        <f aca="false">SUMIFS(데이터_품목별!$H$3:$H$2984,데이터_품목별!$E$3:$E$2984,"79",데이터_품목별!$A$3:$A$2984,"2024.08")</f>
        <v>92310</v>
      </c>
      <c r="K83" s="55" t="n">
        <f aca="false">SUMIFS(데이터_품목별!$H$3:$H$2984,데이터_품목별!$E$3:$E$2984,"79",데이터_품목별!$A$3:$A$2984,"2024.09")</f>
        <v>109507</v>
      </c>
      <c r="L83" s="55" t="n">
        <f aca="false">SUMIFS(데이터_품목별!$H$3:$H$2984,데이터_품목별!$E$3:$E$2984,"79",데이터_품목별!$A$3:$A$2984,"2024.10")</f>
        <v>116800</v>
      </c>
      <c r="M83" s="55" t="n">
        <f aca="false">SUMIFS(데이터_품목별!$H$3:$H$2984,데이터_품목별!$E$3:$E$2984,"79",데이터_품목별!$A$3:$A$2984,"2024.11")</f>
        <v>117486</v>
      </c>
      <c r="N83" s="55" t="n">
        <f aca="false">SUMIFS(데이터_품목별!$H$3:$H$2984,데이터_품목별!$E$3:$E$2984,"79",데이터_품목별!$A$3:$A$2984,"2024.12")</f>
        <v>135900</v>
      </c>
      <c r="O83" s="55" t="n">
        <f aca="false">SUMIFS(데이터_품목별!$H$3:$H$2984,데이터_품목별!$E$3:$E$2984,"79",데이터_품목별!$A$3:$A$2984,"2025.01")</f>
        <v>90076</v>
      </c>
      <c r="P83" s="55" t="n">
        <f aca="false">SUMIFS(데이터_품목별!$H$3:$H$2984,데이터_품목별!$E$3:$E$2984,"79",데이터_품목별!$A$3:$A$2984,"2025.02")</f>
        <v>90535</v>
      </c>
      <c r="Q83" s="55" t="n">
        <f aca="false">SUMIFS(데이터_품목별!$H$3:$H$2984,데이터_품목별!$E$3:$E$2984,"79",데이터_품목별!$A$3:$A$2984,"2025.03")</f>
        <v>90205</v>
      </c>
      <c r="R83" s="55" t="n">
        <f aca="false">SUMIFS(데이터_품목별!$H$3:$H$2984,데이터_품목별!$E$3:$E$2984,"79",데이터_품목별!$A$3:$A$2984,"2025.04")</f>
        <v>101886</v>
      </c>
      <c r="S83" s="55" t="n">
        <f aca="false">SUMIFS(데이터_품목별!$H$3:$H$2984,데이터_품목별!$E$3:$E$2984,"79",데이터_품목별!$A$3:$A$2984,"2025.05")</f>
        <v>74307</v>
      </c>
      <c r="T83" s="55" t="n">
        <f aca="false">SUMIFS(데이터_품목별!$H$3:$H$2984,데이터_품목별!$E$3:$E$2984,"79",데이터_품목별!$A$3:$A$2984,"2025.06")</f>
        <v>113767</v>
      </c>
      <c r="U83" s="55" t="n">
        <f aca="false">SUMIFS(데이터_품목별!$H$3:$H$2984,데이터_품목별!$E$3:$E$2984,"79",데이터_품목별!$A$3:$A$2984,"2025.07")</f>
        <v>136441</v>
      </c>
      <c r="V83" s="55" t="n">
        <f aca="false">SUMIFS(데이터_품목별!$H$3:$H$2984,데이터_품목별!$E$3:$E$2984,"79",데이터_품목별!$A$3:$A$2984,"2025.08")</f>
        <v>110185</v>
      </c>
      <c r="W83" s="55" t="n">
        <f aca="false">SUMIFS(데이터_품목별!$H$3:$H$2984,데이터_품목별!$E$3:$E$2984,"79",데이터_품목별!$A$3:$A$2984,"2025.09")</f>
        <v>100540</v>
      </c>
      <c r="X83" s="55" t="n">
        <f aca="false">SUMIFS(데이터_품목별!$H$3:$H$2984,데이터_품목별!$E$3:$E$2984,"79",데이터_품목별!$A$3:$A$2984,"2025.10")</f>
        <v>142832</v>
      </c>
      <c r="Y83" s="55" t="n">
        <f aca="false">SUMIFS(데이터_품목별!$H$3:$H$2984,데이터_품목별!$E$3:$E$2984,"79",데이터_품목별!$A$3:$A$2984,"2025.11")</f>
        <v>126404</v>
      </c>
      <c r="Z83" s="55" t="n">
        <f aca="false">SUMIFS(데이터_품목별!$H$3:$H$2984,데이터_품목별!$E$3:$E$2984,"79",데이터_품목별!$A$3:$A$2984,"2025.12")</f>
        <v>178798</v>
      </c>
      <c r="AA83" s="55" t="n">
        <f aca="false">SUMIFS(데이터_품목별!$H$3:$H$2984,데이터_품목별!$E$3:$E$2984,"79",데이터_품목별!$A$3:$A$2984,"2026.01")</f>
        <v>148782</v>
      </c>
      <c r="AB83" s="55" t="n">
        <f aca="false">SUMIFS(데이터_품목별!$H$3:$H$2984,데이터_품목별!$E$3:$E$2984,"79",데이터_품목별!$A$3:$A$2984,"2026.02")</f>
        <v>135003</v>
      </c>
      <c r="AC83" s="55" t="n">
        <f aca="false">SUMIFS(데이터_품목별!$H$3:$H$2984,데이터_품목별!$E$3:$E$2984,"79",데이터_품목별!$A$3:$A$2984,"2026.03")</f>
        <v>151809</v>
      </c>
      <c r="AD83" s="55" t="n">
        <f aca="false">SUMIFS(데이터_품목별!$H$3:$H$2984,데이터_품목별!$E$3:$E$2984,"79",데이터_품목별!$A$3:$A$2984,"2026.04")</f>
        <v>161427</v>
      </c>
      <c r="AE83" s="55" t="n">
        <f aca="false">SUMIFS(데이터_품목별!$H$3:$H$2984,데이터_품목별!$E$3:$E$2984,"79",데이터_품목별!$A$3:$A$2984,"2026.05")</f>
        <v>94046</v>
      </c>
      <c r="AF83" s="55" t="n">
        <f aca="false">SUMIFS(데이터_품목별!$H$3:$H$2984,데이터_품목별!$E$3:$E$2984,"79",데이터_품목별!$A$3:$A$2984,"2026.06")</f>
        <v>111131</v>
      </c>
      <c r="AG83" s="55" t="n">
        <f aca="false">SUMIFS(데이터_품목별!$H$3:$H$2984,데이터_품목별!$E$3:$E$2984,"79",데이터_품목별!$A$3:$A$2984,"2026.07")</f>
        <v>111921</v>
      </c>
    </row>
    <row r="84" customFormat="false" ht="15" hidden="false" customHeight="true" outlineLevel="0" collapsed="false">
      <c r="A84" s="53" t="s">
        <v>890</v>
      </c>
      <c r="B84" s="54" t="s">
        <v>891</v>
      </c>
      <c r="C84" s="55" t="n">
        <f aca="false">SUMIFS(데이터_품목별!$H$3:$H$2984,데이터_품목별!$E$3:$E$2984,"80",데이터_품목별!$A$3:$A$2984,"2024.01")</f>
        <v>5695</v>
      </c>
      <c r="D84" s="55" t="n">
        <f aca="false">SUMIFS(데이터_품목별!$H$3:$H$2984,데이터_품목별!$E$3:$E$2984,"80",데이터_품목별!$A$3:$A$2984,"2024.02")</f>
        <v>5277</v>
      </c>
      <c r="E84" s="55" t="n">
        <f aca="false">SUMIFS(데이터_품목별!$H$3:$H$2984,데이터_품목별!$E$3:$E$2984,"80",데이터_품목별!$A$3:$A$2984,"2024.03")</f>
        <v>5921</v>
      </c>
      <c r="F84" s="55" t="n">
        <f aca="false">SUMIFS(데이터_품목별!$H$3:$H$2984,데이터_품목별!$E$3:$E$2984,"80",데이터_품목별!$A$3:$A$2984,"2024.04")</f>
        <v>5660</v>
      </c>
      <c r="G84" s="55" t="n">
        <f aca="false">SUMIFS(데이터_품목별!$H$3:$H$2984,데이터_품목별!$E$3:$E$2984,"80",데이터_품목별!$A$3:$A$2984,"2024.05")</f>
        <v>4991</v>
      </c>
      <c r="H84" s="55" t="n">
        <f aca="false">SUMIFS(데이터_품목별!$H$3:$H$2984,데이터_품목별!$E$3:$E$2984,"80",데이터_품목별!$A$3:$A$2984,"2024.06")</f>
        <v>10610</v>
      </c>
      <c r="I84" s="55" t="n">
        <f aca="false">SUMIFS(데이터_품목별!$H$3:$H$2984,데이터_품목별!$E$3:$E$2984,"80",데이터_품목별!$A$3:$A$2984,"2024.07")</f>
        <v>7368</v>
      </c>
      <c r="J84" s="55" t="n">
        <f aca="false">SUMIFS(데이터_품목별!$H$3:$H$2984,데이터_품목별!$E$3:$E$2984,"80",데이터_품목별!$A$3:$A$2984,"2024.08")</f>
        <v>8540</v>
      </c>
      <c r="K84" s="55" t="n">
        <f aca="false">SUMIFS(데이터_품목별!$H$3:$H$2984,데이터_품목별!$E$3:$E$2984,"80",데이터_품목별!$A$3:$A$2984,"2024.09")</f>
        <v>5233</v>
      </c>
      <c r="L84" s="55" t="n">
        <f aca="false">SUMIFS(데이터_품목별!$H$3:$H$2984,데이터_품목별!$E$3:$E$2984,"80",데이터_품목별!$A$3:$A$2984,"2024.10")</f>
        <v>8189</v>
      </c>
      <c r="M84" s="55" t="n">
        <f aca="false">SUMIFS(데이터_품목별!$H$3:$H$2984,데이터_품목별!$E$3:$E$2984,"80",데이터_품목별!$A$3:$A$2984,"2024.11")</f>
        <v>5631</v>
      </c>
      <c r="N84" s="55" t="n">
        <f aca="false">SUMIFS(데이터_품목별!$H$3:$H$2984,데이터_품목별!$E$3:$E$2984,"80",데이터_품목별!$A$3:$A$2984,"2024.12")</f>
        <v>5161</v>
      </c>
      <c r="O84" s="55" t="n">
        <f aca="false">SUMIFS(데이터_품목별!$H$3:$H$2984,데이터_품목별!$E$3:$E$2984,"80",데이터_품목별!$A$3:$A$2984,"2025.01")</f>
        <v>5592</v>
      </c>
      <c r="P84" s="55" t="n">
        <f aca="false">SUMIFS(데이터_품목별!$H$3:$H$2984,데이터_품목별!$E$3:$E$2984,"80",데이터_품목별!$A$3:$A$2984,"2025.02")</f>
        <v>7304</v>
      </c>
      <c r="Q84" s="55" t="n">
        <f aca="false">SUMIFS(데이터_품목별!$H$3:$H$2984,데이터_품목별!$E$3:$E$2984,"80",데이터_품목별!$A$3:$A$2984,"2025.03")</f>
        <v>6913</v>
      </c>
      <c r="R84" s="55" t="n">
        <f aca="false">SUMIFS(데이터_품목별!$H$3:$H$2984,데이터_품목별!$E$3:$E$2984,"80",데이터_품목별!$A$3:$A$2984,"2025.04")</f>
        <v>6422</v>
      </c>
      <c r="S84" s="55" t="n">
        <f aca="false">SUMIFS(데이터_품목별!$H$3:$H$2984,데이터_품목별!$E$3:$E$2984,"80",데이터_품목별!$A$3:$A$2984,"2025.05")</f>
        <v>7511</v>
      </c>
      <c r="T84" s="55" t="n">
        <f aca="false">SUMIFS(데이터_품목별!$H$3:$H$2984,데이터_품목별!$E$3:$E$2984,"80",데이터_품목별!$A$3:$A$2984,"2025.06")</f>
        <v>7631</v>
      </c>
      <c r="U84" s="55" t="n">
        <f aca="false">SUMIFS(데이터_품목별!$H$3:$H$2984,데이터_품목별!$E$3:$E$2984,"80",데이터_품목별!$A$3:$A$2984,"2025.07")</f>
        <v>9374</v>
      </c>
      <c r="V84" s="55" t="n">
        <f aca="false">SUMIFS(데이터_품목별!$H$3:$H$2984,데이터_품목별!$E$3:$E$2984,"80",데이터_품목별!$A$3:$A$2984,"2025.08")</f>
        <v>11237</v>
      </c>
      <c r="W84" s="55" t="n">
        <f aca="false">SUMIFS(데이터_품목별!$H$3:$H$2984,데이터_품목별!$E$3:$E$2984,"80",데이터_품목별!$A$3:$A$2984,"2025.09")</f>
        <v>7141</v>
      </c>
      <c r="X84" s="55" t="n">
        <f aca="false">SUMIFS(데이터_품목별!$H$3:$H$2984,데이터_품목별!$E$3:$E$2984,"80",데이터_품목별!$A$3:$A$2984,"2025.10")</f>
        <v>4994</v>
      </c>
      <c r="Y84" s="55" t="n">
        <f aca="false">SUMIFS(데이터_품목별!$H$3:$H$2984,데이터_품목별!$E$3:$E$2984,"80",데이터_품목별!$A$3:$A$2984,"2025.11")</f>
        <v>5441</v>
      </c>
      <c r="Z84" s="55" t="n">
        <f aca="false">SUMIFS(데이터_품목별!$H$3:$H$2984,데이터_품목별!$E$3:$E$2984,"80",데이터_품목별!$A$3:$A$2984,"2025.12")</f>
        <v>10912</v>
      </c>
      <c r="AA84" s="55" t="n">
        <f aca="false">SUMIFS(데이터_품목별!$H$3:$H$2984,데이터_품목별!$E$3:$E$2984,"80",데이터_품목별!$A$3:$A$2984,"2026.01")</f>
        <v>8441</v>
      </c>
      <c r="AB84" s="55" t="n">
        <f aca="false">SUMIFS(데이터_품목별!$H$3:$H$2984,데이터_품목별!$E$3:$E$2984,"80",데이터_품목별!$A$3:$A$2984,"2026.02")</f>
        <v>6607</v>
      </c>
      <c r="AC84" s="55" t="n">
        <f aca="false">SUMIFS(데이터_품목별!$H$3:$H$2984,데이터_품목별!$E$3:$E$2984,"80",데이터_품목별!$A$3:$A$2984,"2026.03")</f>
        <v>8640</v>
      </c>
      <c r="AD84" s="55" t="n">
        <f aca="false">SUMIFS(데이터_품목별!$H$3:$H$2984,데이터_품목별!$E$3:$E$2984,"80",데이터_품목별!$A$3:$A$2984,"2026.04")</f>
        <v>13453</v>
      </c>
      <c r="AE84" s="55" t="n">
        <f aca="false">SUMIFS(데이터_품목별!$H$3:$H$2984,데이터_품목별!$E$3:$E$2984,"80",데이터_품목별!$A$3:$A$2984,"2026.05")</f>
        <v>10287</v>
      </c>
      <c r="AF84" s="55" t="n">
        <f aca="false">SUMIFS(데이터_품목별!$H$3:$H$2984,데이터_품목별!$E$3:$E$2984,"80",데이터_품목별!$A$3:$A$2984,"2026.06")</f>
        <v>11668</v>
      </c>
      <c r="AG84" s="55" t="n">
        <f aca="false">SUMIFS(데이터_품목별!$H$3:$H$2984,데이터_품목별!$E$3:$E$2984,"80",데이터_품목별!$A$3:$A$2984,"2026.07")</f>
        <v>8423</v>
      </c>
    </row>
    <row r="85" customFormat="false" ht="15" hidden="false" customHeight="true" outlineLevel="0" collapsed="false">
      <c r="A85" s="53" t="s">
        <v>897</v>
      </c>
      <c r="B85" s="54" t="s">
        <v>898</v>
      </c>
      <c r="C85" s="55" t="n">
        <f aca="false">SUMIFS(데이터_품목별!$H$3:$H$2984,데이터_품목별!$E$3:$E$2984,"81",데이터_품목별!$A$3:$A$2984,"2024.01")</f>
        <v>23743</v>
      </c>
      <c r="D85" s="55" t="n">
        <f aca="false">SUMIFS(데이터_품목별!$H$3:$H$2984,데이터_품목별!$E$3:$E$2984,"81",데이터_품목별!$A$3:$A$2984,"2024.02")</f>
        <v>24995</v>
      </c>
      <c r="E85" s="55" t="n">
        <f aca="false">SUMIFS(데이터_품목별!$H$3:$H$2984,데이터_품목별!$E$3:$E$2984,"81",데이터_품목별!$A$3:$A$2984,"2024.03")</f>
        <v>27402</v>
      </c>
      <c r="F85" s="55" t="n">
        <f aca="false">SUMIFS(데이터_품목별!$H$3:$H$2984,데이터_품목별!$E$3:$E$2984,"81",데이터_품목별!$A$3:$A$2984,"2024.04")</f>
        <v>27999</v>
      </c>
      <c r="G85" s="55" t="n">
        <f aca="false">SUMIFS(데이터_품목별!$H$3:$H$2984,데이터_품목별!$E$3:$E$2984,"81",데이터_품목별!$A$3:$A$2984,"2024.05")</f>
        <v>30374</v>
      </c>
      <c r="H85" s="55" t="n">
        <f aca="false">SUMIFS(데이터_품목별!$H$3:$H$2984,데이터_품목별!$E$3:$E$2984,"81",데이터_품목별!$A$3:$A$2984,"2024.06")</f>
        <v>35516</v>
      </c>
      <c r="I85" s="55" t="n">
        <f aca="false">SUMIFS(데이터_품목별!$H$3:$H$2984,데이터_품목별!$E$3:$E$2984,"81",데이터_품목별!$A$3:$A$2984,"2024.07")</f>
        <v>37355</v>
      </c>
      <c r="J85" s="55" t="n">
        <f aca="false">SUMIFS(데이터_품목별!$H$3:$H$2984,데이터_품목별!$E$3:$E$2984,"81",데이터_품목별!$A$3:$A$2984,"2024.08")</f>
        <v>42483</v>
      </c>
      <c r="K85" s="55" t="n">
        <f aca="false">SUMIFS(데이터_품목별!$H$3:$H$2984,데이터_품목별!$E$3:$E$2984,"81",데이터_품목별!$A$3:$A$2984,"2024.09")</f>
        <v>32928</v>
      </c>
      <c r="L85" s="55" t="n">
        <f aca="false">SUMIFS(데이터_품목별!$H$3:$H$2984,데이터_품목별!$E$3:$E$2984,"81",데이터_품목별!$A$3:$A$2984,"2024.10")</f>
        <v>28929</v>
      </c>
      <c r="M85" s="55" t="n">
        <f aca="false">SUMIFS(데이터_품목별!$H$3:$H$2984,데이터_품목별!$E$3:$E$2984,"81",데이터_품목별!$A$3:$A$2984,"2024.11")</f>
        <v>35896</v>
      </c>
      <c r="N85" s="55" t="n">
        <f aca="false">SUMIFS(데이터_품목별!$H$3:$H$2984,데이터_품목별!$E$3:$E$2984,"81",데이터_품목별!$A$3:$A$2984,"2024.12")</f>
        <v>39032</v>
      </c>
      <c r="O85" s="55" t="n">
        <f aca="false">SUMIFS(데이터_품목별!$H$3:$H$2984,데이터_품목별!$E$3:$E$2984,"81",데이터_품목별!$A$3:$A$2984,"2025.01")</f>
        <v>31993</v>
      </c>
      <c r="P85" s="55" t="n">
        <f aca="false">SUMIFS(데이터_품목별!$H$3:$H$2984,데이터_품목별!$E$3:$E$2984,"81",데이터_품목별!$A$3:$A$2984,"2025.02")</f>
        <v>37362</v>
      </c>
      <c r="Q85" s="55" t="n">
        <f aca="false">SUMIFS(데이터_품목별!$H$3:$H$2984,데이터_품목별!$E$3:$E$2984,"81",데이터_품목별!$A$3:$A$2984,"2025.03")</f>
        <v>38917</v>
      </c>
      <c r="R85" s="55" t="n">
        <f aca="false">SUMIFS(데이터_품목별!$H$3:$H$2984,데이터_품목별!$E$3:$E$2984,"81",데이터_품목별!$A$3:$A$2984,"2025.04")</f>
        <v>48173</v>
      </c>
      <c r="S85" s="55" t="n">
        <f aca="false">SUMIFS(데이터_품목별!$H$3:$H$2984,데이터_품목별!$E$3:$E$2984,"81",데이터_품목별!$A$3:$A$2984,"2025.05")</f>
        <v>43598</v>
      </c>
      <c r="T85" s="55" t="n">
        <f aca="false">SUMIFS(데이터_품목별!$H$3:$H$2984,데이터_품목별!$E$3:$E$2984,"81",데이터_품목별!$A$3:$A$2984,"2025.06")</f>
        <v>53318</v>
      </c>
      <c r="U85" s="55" t="n">
        <f aca="false">SUMIFS(데이터_품목별!$H$3:$H$2984,데이터_품목별!$E$3:$E$2984,"81",데이터_품목별!$A$3:$A$2984,"2025.07")</f>
        <v>42910</v>
      </c>
      <c r="V85" s="55" t="n">
        <f aca="false">SUMIFS(데이터_품목별!$H$3:$H$2984,데이터_품목별!$E$3:$E$2984,"81",데이터_품목별!$A$3:$A$2984,"2025.08")</f>
        <v>35280</v>
      </c>
      <c r="W85" s="55" t="n">
        <f aca="false">SUMIFS(데이터_품목별!$H$3:$H$2984,데이터_품목별!$E$3:$E$2984,"81",데이터_품목별!$A$3:$A$2984,"2025.09")</f>
        <v>41523</v>
      </c>
      <c r="X85" s="55" t="n">
        <f aca="false">SUMIFS(데이터_품목별!$H$3:$H$2984,데이터_품목별!$E$3:$E$2984,"81",데이터_품목별!$A$3:$A$2984,"2025.10")</f>
        <v>32423</v>
      </c>
      <c r="Y85" s="55" t="n">
        <f aca="false">SUMIFS(데이터_품목별!$H$3:$H$2984,데이터_품목별!$E$3:$E$2984,"81",데이터_품목별!$A$3:$A$2984,"2025.11")</f>
        <v>44326</v>
      </c>
      <c r="Z85" s="55" t="n">
        <f aca="false">SUMIFS(데이터_품목별!$H$3:$H$2984,데이터_품목별!$E$3:$E$2984,"81",데이터_품목별!$A$3:$A$2984,"2025.12")</f>
        <v>54706</v>
      </c>
      <c r="AA85" s="55" t="n">
        <f aca="false">SUMIFS(데이터_품목별!$H$3:$H$2984,데이터_품목별!$E$3:$E$2984,"81",데이터_품목별!$A$3:$A$2984,"2026.01")</f>
        <v>47013</v>
      </c>
      <c r="AB85" s="55" t="n">
        <f aca="false">SUMIFS(데이터_품목별!$H$3:$H$2984,데이터_품목별!$E$3:$E$2984,"81",데이터_품목별!$A$3:$A$2984,"2026.02")</f>
        <v>34513</v>
      </c>
      <c r="AC85" s="55" t="n">
        <f aca="false">SUMIFS(데이터_품목별!$H$3:$H$2984,데이터_품목별!$E$3:$E$2984,"81",데이터_품목별!$A$3:$A$2984,"2026.03")</f>
        <v>54961</v>
      </c>
      <c r="AD85" s="55" t="n">
        <f aca="false">SUMIFS(데이터_품목별!$H$3:$H$2984,데이터_품목별!$E$3:$E$2984,"81",데이터_품목별!$A$3:$A$2984,"2026.04")</f>
        <v>58448</v>
      </c>
      <c r="AE85" s="55" t="n">
        <f aca="false">SUMIFS(데이터_품목별!$H$3:$H$2984,데이터_품목별!$E$3:$E$2984,"81",데이터_품목별!$A$3:$A$2984,"2026.05")</f>
        <v>53665</v>
      </c>
      <c r="AF85" s="55" t="n">
        <f aca="false">SUMIFS(데이터_품목별!$H$3:$H$2984,데이터_품목별!$E$3:$E$2984,"81",데이터_품목별!$A$3:$A$2984,"2026.06")</f>
        <v>70942</v>
      </c>
      <c r="AG85" s="55" t="n">
        <f aca="false">SUMIFS(데이터_품목별!$H$3:$H$2984,데이터_품목별!$E$3:$E$2984,"81",데이터_품목별!$A$3:$A$2984,"2026.07")</f>
        <v>84705</v>
      </c>
    </row>
    <row r="86" customFormat="false" ht="15" hidden="false" customHeight="true" outlineLevel="0" collapsed="false">
      <c r="A86" s="53" t="s">
        <v>904</v>
      </c>
      <c r="B86" s="54" t="s">
        <v>905</v>
      </c>
      <c r="C86" s="55" t="n">
        <f aca="false">SUMIFS(데이터_품목별!$H$3:$H$2984,데이터_품목별!$E$3:$E$2984,"82",데이터_품목별!$A$3:$A$2984,"2024.01")</f>
        <v>164504</v>
      </c>
      <c r="D86" s="55" t="n">
        <f aca="false">SUMIFS(데이터_품목별!$H$3:$H$2984,데이터_품목별!$E$3:$E$2984,"82",데이터_품목별!$A$3:$A$2984,"2024.02")</f>
        <v>170223</v>
      </c>
      <c r="E86" s="55" t="n">
        <f aca="false">SUMIFS(데이터_품목별!$H$3:$H$2984,데이터_품목별!$E$3:$E$2984,"82",데이터_품목별!$A$3:$A$2984,"2024.03")</f>
        <v>171323</v>
      </c>
      <c r="F86" s="55" t="n">
        <f aca="false">SUMIFS(데이터_품목별!$H$3:$H$2984,데이터_품목별!$E$3:$E$2984,"82",데이터_품목별!$A$3:$A$2984,"2024.04")</f>
        <v>158891</v>
      </c>
      <c r="G86" s="55" t="n">
        <f aca="false">SUMIFS(데이터_품목별!$H$3:$H$2984,데이터_품목별!$E$3:$E$2984,"82",데이터_품목별!$A$3:$A$2984,"2024.05")</f>
        <v>154756</v>
      </c>
      <c r="H86" s="55" t="n">
        <f aca="false">SUMIFS(데이터_품목별!$H$3:$H$2984,데이터_품목별!$E$3:$E$2984,"82",데이터_품목별!$A$3:$A$2984,"2024.06")</f>
        <v>176518</v>
      </c>
      <c r="I86" s="55" t="n">
        <f aca="false">SUMIFS(데이터_품목별!$H$3:$H$2984,데이터_품목별!$E$3:$E$2984,"82",데이터_품목별!$A$3:$A$2984,"2024.07")</f>
        <v>208008</v>
      </c>
      <c r="J86" s="55" t="n">
        <f aca="false">SUMIFS(데이터_품목별!$H$3:$H$2984,데이터_품목별!$E$3:$E$2984,"82",데이터_품목별!$A$3:$A$2984,"2024.08")</f>
        <v>161672</v>
      </c>
      <c r="K86" s="55" t="n">
        <f aca="false">SUMIFS(데이터_품목별!$H$3:$H$2984,데이터_품목별!$E$3:$E$2984,"82",데이터_품목별!$A$3:$A$2984,"2024.09")</f>
        <v>142077</v>
      </c>
      <c r="L86" s="55" t="n">
        <f aca="false">SUMIFS(데이터_품목별!$H$3:$H$2984,데이터_품목별!$E$3:$E$2984,"82",데이터_품목별!$A$3:$A$2984,"2024.10")</f>
        <v>158204</v>
      </c>
      <c r="M86" s="55" t="n">
        <f aca="false">SUMIFS(데이터_품목별!$H$3:$H$2984,데이터_품목별!$E$3:$E$2984,"82",데이터_품목별!$A$3:$A$2984,"2024.11")</f>
        <v>143225</v>
      </c>
      <c r="N86" s="55" t="n">
        <f aca="false">SUMIFS(데이터_품목별!$H$3:$H$2984,데이터_품목별!$E$3:$E$2984,"82",데이터_품목별!$A$3:$A$2984,"2024.12")</f>
        <v>137173</v>
      </c>
      <c r="O86" s="55" t="n">
        <f aca="false">SUMIFS(데이터_품목별!$H$3:$H$2984,데이터_품목별!$E$3:$E$2984,"82",데이터_품목별!$A$3:$A$2984,"2025.01")</f>
        <v>132347</v>
      </c>
      <c r="P86" s="55" t="n">
        <f aca="false">SUMIFS(데이터_품목별!$H$3:$H$2984,데이터_품목별!$E$3:$E$2984,"82",데이터_품목별!$A$3:$A$2984,"2025.02")</f>
        <v>149438</v>
      </c>
      <c r="Q86" s="55" t="n">
        <f aca="false">SUMIFS(데이터_품목별!$H$3:$H$2984,데이터_품목별!$E$3:$E$2984,"82",데이터_품목별!$A$3:$A$2984,"2025.03")</f>
        <v>149719</v>
      </c>
      <c r="R86" s="55" t="n">
        <f aca="false">SUMIFS(데이터_품목별!$H$3:$H$2984,데이터_품목별!$E$3:$E$2984,"82",데이터_품목별!$A$3:$A$2984,"2025.04")</f>
        <v>184275</v>
      </c>
      <c r="S86" s="55" t="n">
        <f aca="false">SUMIFS(데이터_품목별!$H$3:$H$2984,데이터_품목별!$E$3:$E$2984,"82",데이터_품목별!$A$3:$A$2984,"2025.05")</f>
        <v>132859</v>
      </c>
      <c r="T86" s="55" t="n">
        <f aca="false">SUMIFS(데이터_품목별!$H$3:$H$2984,데이터_품목별!$E$3:$E$2984,"82",데이터_품목별!$A$3:$A$2984,"2025.06")</f>
        <v>165613</v>
      </c>
      <c r="U86" s="55" t="n">
        <f aca="false">SUMIFS(데이터_품목별!$H$3:$H$2984,데이터_품목별!$E$3:$E$2984,"82",데이터_품목별!$A$3:$A$2984,"2025.07")</f>
        <v>195870</v>
      </c>
      <c r="V86" s="55" t="n">
        <f aca="false">SUMIFS(데이터_품목별!$H$3:$H$2984,데이터_품목별!$E$3:$E$2984,"82",데이터_품목별!$A$3:$A$2984,"2025.08")</f>
        <v>127143</v>
      </c>
      <c r="W86" s="55" t="n">
        <f aca="false">SUMIFS(데이터_품목별!$H$3:$H$2984,데이터_품목별!$E$3:$E$2984,"82",데이터_품목별!$A$3:$A$2984,"2025.09")</f>
        <v>144874</v>
      </c>
      <c r="X86" s="55" t="n">
        <f aca="false">SUMIFS(데이터_품목별!$H$3:$H$2984,데이터_품목별!$E$3:$E$2984,"82",데이터_품목별!$A$3:$A$2984,"2025.10")</f>
        <v>154389</v>
      </c>
      <c r="Y86" s="55" t="n">
        <f aca="false">SUMIFS(데이터_품목별!$H$3:$H$2984,데이터_품목별!$E$3:$E$2984,"82",데이터_품목별!$A$3:$A$2984,"2025.11")</f>
        <v>156007</v>
      </c>
      <c r="Z86" s="55" t="n">
        <f aca="false">SUMIFS(데이터_품목별!$H$3:$H$2984,데이터_품목별!$E$3:$E$2984,"82",데이터_품목별!$A$3:$A$2984,"2025.12")</f>
        <v>202543</v>
      </c>
      <c r="AA86" s="55" t="n">
        <f aca="false">SUMIFS(데이터_품목별!$H$3:$H$2984,데이터_품목별!$E$3:$E$2984,"82",데이터_품목별!$A$3:$A$2984,"2026.01")</f>
        <v>154821</v>
      </c>
      <c r="AB86" s="55" t="n">
        <f aca="false">SUMIFS(데이터_품목별!$H$3:$H$2984,데이터_품목별!$E$3:$E$2984,"82",데이터_품목별!$A$3:$A$2984,"2026.02")</f>
        <v>158308</v>
      </c>
      <c r="AC86" s="55" t="n">
        <f aca="false">SUMIFS(데이터_품목별!$H$3:$H$2984,데이터_품목별!$E$3:$E$2984,"82",데이터_품목별!$A$3:$A$2984,"2026.03")</f>
        <v>185029</v>
      </c>
      <c r="AD86" s="55" t="n">
        <f aca="false">SUMIFS(데이터_품목별!$H$3:$H$2984,데이터_품목별!$E$3:$E$2984,"82",데이터_품목별!$A$3:$A$2984,"2026.04")</f>
        <v>206740</v>
      </c>
      <c r="AE86" s="55" t="n">
        <f aca="false">SUMIFS(데이터_품목별!$H$3:$H$2984,데이터_품목별!$E$3:$E$2984,"82",데이터_품목별!$A$3:$A$2984,"2026.05")</f>
        <v>207831</v>
      </c>
      <c r="AF86" s="55" t="n">
        <f aca="false">SUMIFS(데이터_품목별!$H$3:$H$2984,데이터_품목별!$E$3:$E$2984,"82",데이터_품목별!$A$3:$A$2984,"2026.06")</f>
        <v>185355</v>
      </c>
      <c r="AG86" s="55" t="n">
        <f aca="false">SUMIFS(데이터_품목별!$H$3:$H$2984,데이터_품목별!$E$3:$E$2984,"82",데이터_품목별!$A$3:$A$2984,"2026.07")</f>
        <v>246151</v>
      </c>
    </row>
    <row r="87" customFormat="false" ht="15" hidden="false" customHeight="true" outlineLevel="0" collapsed="false">
      <c r="A87" s="53" t="s">
        <v>911</v>
      </c>
      <c r="B87" s="54" t="s">
        <v>912</v>
      </c>
      <c r="C87" s="55" t="n">
        <f aca="false">SUMIFS(데이터_품목별!$H$3:$H$2984,데이터_품목별!$E$3:$E$2984,"83",데이터_품목별!$A$3:$A$2984,"2024.01")</f>
        <v>143057</v>
      </c>
      <c r="D87" s="55" t="n">
        <f aca="false">SUMIFS(데이터_품목별!$H$3:$H$2984,데이터_품목별!$E$3:$E$2984,"83",데이터_품목별!$A$3:$A$2984,"2024.02")</f>
        <v>139278</v>
      </c>
      <c r="E87" s="55" t="n">
        <f aca="false">SUMIFS(데이터_품목별!$H$3:$H$2984,데이터_품목별!$E$3:$E$2984,"83",데이터_품목별!$A$3:$A$2984,"2024.03")</f>
        <v>142135</v>
      </c>
      <c r="F87" s="55" t="n">
        <f aca="false">SUMIFS(데이터_품목별!$H$3:$H$2984,데이터_품목별!$E$3:$E$2984,"83",데이터_품목별!$A$3:$A$2984,"2024.04")</f>
        <v>146142</v>
      </c>
      <c r="G87" s="55" t="n">
        <f aca="false">SUMIFS(데이터_품목별!$H$3:$H$2984,데이터_품목별!$E$3:$E$2984,"83",데이터_품목별!$A$3:$A$2984,"2024.05")</f>
        <v>142832</v>
      </c>
      <c r="H87" s="55" t="n">
        <f aca="false">SUMIFS(데이터_품목별!$H$3:$H$2984,데이터_품목별!$E$3:$E$2984,"83",데이터_품목별!$A$3:$A$2984,"2024.06")</f>
        <v>131441</v>
      </c>
      <c r="I87" s="55" t="n">
        <f aca="false">SUMIFS(데이터_품목별!$H$3:$H$2984,데이터_품목별!$E$3:$E$2984,"83",데이터_품목별!$A$3:$A$2984,"2024.07")</f>
        <v>160361</v>
      </c>
      <c r="J87" s="55" t="n">
        <f aca="false">SUMIFS(데이터_품목별!$H$3:$H$2984,데이터_품목별!$E$3:$E$2984,"83",데이터_품목별!$A$3:$A$2984,"2024.08")</f>
        <v>144266</v>
      </c>
      <c r="K87" s="55" t="n">
        <f aca="false">SUMIFS(데이터_품목별!$H$3:$H$2984,데이터_품목별!$E$3:$E$2984,"83",데이터_품목별!$A$3:$A$2984,"2024.09")</f>
        <v>139298</v>
      </c>
      <c r="L87" s="55" t="n">
        <f aca="false">SUMIFS(데이터_품목별!$H$3:$H$2984,데이터_품목별!$E$3:$E$2984,"83",데이터_품목별!$A$3:$A$2984,"2024.10")</f>
        <v>147947</v>
      </c>
      <c r="M87" s="55" t="n">
        <f aca="false">SUMIFS(데이터_품목별!$H$3:$H$2984,데이터_품목별!$E$3:$E$2984,"83",데이터_품목별!$A$3:$A$2984,"2024.11")</f>
        <v>133836</v>
      </c>
      <c r="N87" s="55" t="n">
        <f aca="false">SUMIFS(데이터_품목별!$H$3:$H$2984,데이터_품목별!$E$3:$E$2984,"83",데이터_품목별!$A$3:$A$2984,"2024.12")</f>
        <v>144909</v>
      </c>
      <c r="O87" s="55" t="n">
        <f aca="false">SUMIFS(데이터_품목별!$H$3:$H$2984,데이터_품목별!$E$3:$E$2984,"83",데이터_품목별!$A$3:$A$2984,"2025.01")</f>
        <v>121902</v>
      </c>
      <c r="P87" s="55" t="n">
        <f aca="false">SUMIFS(데이터_품목별!$H$3:$H$2984,데이터_품목별!$E$3:$E$2984,"83",데이터_품목별!$A$3:$A$2984,"2025.02")</f>
        <v>143447</v>
      </c>
      <c r="Q87" s="55" t="n">
        <f aca="false">SUMIFS(데이터_품목별!$H$3:$H$2984,데이터_품목별!$E$3:$E$2984,"83",데이터_품목별!$A$3:$A$2984,"2025.03")</f>
        <v>141104</v>
      </c>
      <c r="R87" s="55" t="n">
        <f aca="false">SUMIFS(데이터_품목별!$H$3:$H$2984,데이터_품목별!$E$3:$E$2984,"83",데이터_품목별!$A$3:$A$2984,"2025.04")</f>
        <v>149694</v>
      </c>
      <c r="S87" s="55" t="n">
        <f aca="false">SUMIFS(데이터_품목별!$H$3:$H$2984,데이터_품목별!$E$3:$E$2984,"83",데이터_품목별!$A$3:$A$2984,"2025.05")</f>
        <v>135520</v>
      </c>
      <c r="T87" s="55" t="n">
        <f aca="false">SUMIFS(데이터_품목별!$H$3:$H$2984,데이터_품목별!$E$3:$E$2984,"83",데이터_품목별!$A$3:$A$2984,"2025.06")</f>
        <v>137469</v>
      </c>
      <c r="U87" s="55" t="n">
        <f aca="false">SUMIFS(데이터_품목별!$H$3:$H$2984,데이터_품목별!$E$3:$E$2984,"83",데이터_품목별!$A$3:$A$2984,"2025.07")</f>
        <v>156457</v>
      </c>
      <c r="V87" s="55" t="n">
        <f aca="false">SUMIFS(데이터_품목별!$H$3:$H$2984,데이터_품목별!$E$3:$E$2984,"83",데이터_품목별!$A$3:$A$2984,"2025.08")</f>
        <v>129924</v>
      </c>
      <c r="W87" s="55" t="n">
        <f aca="false">SUMIFS(데이터_품목별!$H$3:$H$2984,데이터_품목별!$E$3:$E$2984,"83",데이터_품목별!$A$3:$A$2984,"2025.09")</f>
        <v>150192</v>
      </c>
      <c r="X87" s="55" t="n">
        <f aca="false">SUMIFS(데이터_품목별!$H$3:$H$2984,데이터_품목별!$E$3:$E$2984,"83",데이터_품목별!$A$3:$A$2984,"2025.10")</f>
        <v>112775</v>
      </c>
      <c r="Y87" s="55" t="n">
        <f aca="false">SUMIFS(데이터_품목별!$H$3:$H$2984,데이터_품목별!$E$3:$E$2984,"83",데이터_품목별!$A$3:$A$2984,"2025.11")</f>
        <v>120175</v>
      </c>
      <c r="Z87" s="55" t="n">
        <f aca="false">SUMIFS(데이터_품목별!$H$3:$H$2984,데이터_품목별!$E$3:$E$2984,"83",데이터_품목별!$A$3:$A$2984,"2025.12")</f>
        <v>143847</v>
      </c>
      <c r="AA87" s="55" t="n">
        <f aca="false">SUMIFS(데이터_품목별!$H$3:$H$2984,데이터_품목별!$E$3:$E$2984,"83",데이터_품목별!$A$3:$A$2984,"2026.01")</f>
        <v>133177</v>
      </c>
      <c r="AB87" s="55" t="n">
        <f aca="false">SUMIFS(데이터_품목별!$H$3:$H$2984,데이터_품목별!$E$3:$E$2984,"83",데이터_품목별!$A$3:$A$2984,"2026.02")</f>
        <v>114339</v>
      </c>
      <c r="AC87" s="55" t="n">
        <f aca="false">SUMIFS(데이터_품목별!$H$3:$H$2984,데이터_품목별!$E$3:$E$2984,"83",데이터_품목별!$A$3:$A$2984,"2026.03")</f>
        <v>141321</v>
      </c>
      <c r="AD87" s="55" t="n">
        <f aca="false">SUMIFS(데이터_품목별!$H$3:$H$2984,데이터_품목별!$E$3:$E$2984,"83",데이터_품목별!$A$3:$A$2984,"2026.04")</f>
        <v>151810</v>
      </c>
      <c r="AE87" s="55" t="n">
        <f aca="false">SUMIFS(데이터_품목별!$H$3:$H$2984,데이터_품목별!$E$3:$E$2984,"83",데이터_품목별!$A$3:$A$2984,"2026.05")</f>
        <v>126918</v>
      </c>
      <c r="AF87" s="55" t="n">
        <f aca="false">SUMIFS(데이터_품목별!$H$3:$H$2984,데이터_품목별!$E$3:$E$2984,"83",데이터_품목별!$A$3:$A$2984,"2026.06")</f>
        <v>141209</v>
      </c>
      <c r="AG87" s="55" t="n">
        <f aca="false">SUMIFS(데이터_품목별!$H$3:$H$2984,데이터_품목별!$E$3:$E$2984,"83",데이터_품목별!$A$3:$A$2984,"2026.07")</f>
        <v>152751</v>
      </c>
    </row>
    <row r="88" customFormat="false" ht="15" hidden="false" customHeight="true" outlineLevel="0" collapsed="false">
      <c r="A88" s="53" t="s">
        <v>918</v>
      </c>
      <c r="B88" s="54" t="s">
        <v>919</v>
      </c>
      <c r="C88" s="55" t="n">
        <f aca="false">SUMIFS(데이터_품목별!$H$3:$H$2984,데이터_품목별!$E$3:$E$2984,"84",데이터_품목별!$A$3:$A$2984,"2024.01")</f>
        <v>5981471</v>
      </c>
      <c r="D88" s="55" t="n">
        <f aca="false">SUMIFS(데이터_품목별!$H$3:$H$2984,데이터_품목별!$E$3:$E$2984,"84",데이터_품목별!$A$3:$A$2984,"2024.02")</f>
        <v>6139483</v>
      </c>
      <c r="E88" s="55" t="n">
        <f aca="false">SUMIFS(데이터_품목별!$H$3:$H$2984,데이터_품목별!$E$3:$E$2984,"84",데이터_품목별!$A$3:$A$2984,"2024.03")</f>
        <v>7019144</v>
      </c>
      <c r="F88" s="55" t="n">
        <f aca="false">SUMIFS(데이터_품목별!$H$3:$H$2984,데이터_품목별!$E$3:$E$2984,"84",데이터_품목별!$A$3:$A$2984,"2024.04")</f>
        <v>6609237</v>
      </c>
      <c r="G88" s="55" t="n">
        <f aca="false">SUMIFS(데이터_품목별!$H$3:$H$2984,데이터_품목별!$E$3:$E$2984,"84",데이터_품목별!$A$3:$A$2984,"2024.05")</f>
        <v>6647432</v>
      </c>
      <c r="H88" s="55" t="n">
        <f aca="false">SUMIFS(데이터_품목별!$H$3:$H$2984,데이터_품목별!$E$3:$E$2984,"84",데이터_품목별!$A$3:$A$2984,"2024.06")</f>
        <v>7171890</v>
      </c>
      <c r="I88" s="55" t="n">
        <f aca="false">SUMIFS(데이터_품목별!$H$3:$H$2984,데이터_품목별!$E$3:$E$2984,"84",데이터_품목별!$A$3:$A$2984,"2024.07")</f>
        <v>7310070</v>
      </c>
      <c r="J88" s="55" t="n">
        <f aca="false">SUMIFS(데이터_품목별!$H$3:$H$2984,데이터_품목별!$E$3:$E$2984,"84",데이터_품목별!$A$3:$A$2984,"2024.08")</f>
        <v>6295152</v>
      </c>
      <c r="K88" s="55" t="n">
        <f aca="false">SUMIFS(데이터_품목별!$H$3:$H$2984,데이터_품목별!$E$3:$E$2984,"84",데이터_품목별!$A$3:$A$2984,"2024.09")</f>
        <v>6623701</v>
      </c>
      <c r="L88" s="55" t="n">
        <f aca="false">SUMIFS(데이터_품목별!$H$3:$H$2984,데이터_품목별!$E$3:$E$2984,"84",데이터_품목별!$A$3:$A$2984,"2024.10")</f>
        <v>6223215</v>
      </c>
      <c r="M88" s="55" t="n">
        <f aca="false">SUMIFS(데이터_품목별!$H$3:$H$2984,데이터_품목별!$E$3:$E$2984,"84",데이터_품목별!$A$3:$A$2984,"2024.11")</f>
        <v>6654815</v>
      </c>
      <c r="N88" s="55" t="n">
        <f aca="false">SUMIFS(데이터_품목별!$H$3:$H$2984,데이터_품목별!$E$3:$E$2984,"84",데이터_품목별!$A$3:$A$2984,"2024.12")</f>
        <v>7773055</v>
      </c>
      <c r="O88" s="55" t="n">
        <f aca="false">SUMIFS(데이터_품목별!$H$3:$H$2984,데이터_품목별!$E$3:$E$2984,"84",데이터_품목별!$A$3:$A$2984,"2025.01")</f>
        <v>5702602</v>
      </c>
      <c r="P88" s="55" t="n">
        <f aca="false">SUMIFS(데이터_품목별!$H$3:$H$2984,데이터_품목별!$E$3:$E$2984,"84",데이터_품목별!$A$3:$A$2984,"2025.02")</f>
        <v>6017125</v>
      </c>
      <c r="Q88" s="55" t="n">
        <f aca="false">SUMIFS(데이터_품목별!$H$3:$H$2984,데이터_품목별!$E$3:$E$2984,"84",데이터_품목별!$A$3:$A$2984,"2025.03")</f>
        <v>7421429</v>
      </c>
      <c r="R88" s="55" t="n">
        <f aca="false">SUMIFS(데이터_품목별!$H$3:$H$2984,데이터_품목별!$E$3:$E$2984,"84",데이터_품목별!$A$3:$A$2984,"2025.04")</f>
        <v>7038785</v>
      </c>
      <c r="S88" s="55" t="n">
        <f aca="false">SUMIFS(데이터_품목별!$H$3:$H$2984,데이터_품목별!$E$3:$E$2984,"84",데이터_품목별!$A$3:$A$2984,"2025.05")</f>
        <v>6838785</v>
      </c>
      <c r="T88" s="55" t="n">
        <f aca="false">SUMIFS(데이터_품목별!$H$3:$H$2984,데이터_품목별!$E$3:$E$2984,"84",데이터_품목별!$A$3:$A$2984,"2025.06")</f>
        <v>7429562</v>
      </c>
      <c r="U88" s="55" t="n">
        <f aca="false">SUMIFS(데이터_품목별!$H$3:$H$2984,데이터_품목별!$E$3:$E$2984,"84",데이터_품목별!$A$3:$A$2984,"2025.07")</f>
        <v>7485072</v>
      </c>
      <c r="V88" s="55" t="n">
        <f aca="false">SUMIFS(데이터_품목별!$H$3:$H$2984,데이터_품목별!$E$3:$E$2984,"84",데이터_품목별!$A$3:$A$2984,"2025.08")</f>
        <v>6462986</v>
      </c>
      <c r="W88" s="55" t="n">
        <f aca="false">SUMIFS(데이터_품목별!$H$3:$H$2984,데이터_품목별!$E$3:$E$2984,"84",데이터_품목별!$A$3:$A$2984,"2025.09")</f>
        <v>7805028</v>
      </c>
      <c r="X88" s="55" t="n">
        <f aca="false">SUMIFS(데이터_품목별!$H$3:$H$2984,데이터_품목별!$E$3:$E$2984,"84",데이터_품목별!$A$3:$A$2984,"2025.10")</f>
        <v>6307730</v>
      </c>
      <c r="Y88" s="55" t="n">
        <f aca="false">SUMIFS(데이터_품목별!$H$3:$H$2984,데이터_품목별!$E$3:$E$2984,"84",데이터_품목별!$A$3:$A$2984,"2025.11")</f>
        <v>7692368</v>
      </c>
      <c r="Z88" s="55" t="n">
        <f aca="false">SUMIFS(데이터_품목별!$H$3:$H$2984,데이터_품목별!$E$3:$E$2984,"84",데이터_품목별!$A$3:$A$2984,"2025.12")</f>
        <v>8929338</v>
      </c>
      <c r="AA88" s="55" t="n">
        <f aca="false">SUMIFS(데이터_품목별!$H$3:$H$2984,데이터_품목별!$E$3:$E$2984,"84",데이터_품목별!$A$3:$A$2984,"2026.01")</f>
        <v>8277088</v>
      </c>
      <c r="AB88" s="55" t="n">
        <f aca="false">SUMIFS(데이터_품목별!$H$3:$H$2984,데이터_품목별!$E$3:$E$2984,"84",데이터_품목별!$A$3:$A$2984,"2026.02")</f>
        <v>9458905</v>
      </c>
      <c r="AC88" s="55" t="n">
        <f aca="false">SUMIFS(데이터_품목별!$H$3:$H$2984,데이터_품목별!$E$3:$E$2984,"84",데이터_품목별!$A$3:$A$2984,"2026.03")</f>
        <v>12701168</v>
      </c>
      <c r="AD88" s="55" t="n">
        <f aca="false">SUMIFS(데이터_품목별!$H$3:$H$2984,데이터_품목별!$E$3:$E$2984,"84",데이터_품목별!$A$3:$A$2984,"2026.04")</f>
        <v>11623503</v>
      </c>
      <c r="AE88" s="55" t="n">
        <f aca="false">SUMIFS(데이터_품목별!$H$3:$H$2984,데이터_품목별!$E$3:$E$2984,"84",데이터_품목별!$A$3:$A$2984,"2026.05")</f>
        <v>12074910</v>
      </c>
      <c r="AF88" s="55" t="n">
        <f aca="false">SUMIFS(데이터_품목별!$H$3:$H$2984,데이터_품목별!$E$3:$E$2984,"84",데이터_품목별!$A$3:$A$2984,"2026.06")</f>
        <v>16352067</v>
      </c>
      <c r="AG88" s="55" t="n">
        <f aca="false">SUMIFS(데이터_품목별!$H$3:$H$2984,데이터_품목별!$E$3:$E$2984,"84",데이터_품목별!$A$3:$A$2984,"2026.07")</f>
        <v>13644786</v>
      </c>
    </row>
    <row r="89" customFormat="false" ht="15" hidden="false" customHeight="true" outlineLevel="0" collapsed="false">
      <c r="A89" s="53" t="s">
        <v>925</v>
      </c>
      <c r="B89" s="54" t="s">
        <v>926</v>
      </c>
      <c r="C89" s="55" t="n">
        <f aca="false">SUMIFS(데이터_품목별!$H$3:$H$2984,데이터_품목별!$E$3:$E$2984,"85",데이터_품목별!$A$3:$A$2984,"2024.01")</f>
        <v>15092049</v>
      </c>
      <c r="D89" s="55" t="n">
        <f aca="false">SUMIFS(데이터_품목별!$H$3:$H$2984,데이터_품목별!$E$3:$E$2984,"85",데이터_품목별!$A$3:$A$2984,"2024.02")</f>
        <v>15252575</v>
      </c>
      <c r="E89" s="55" t="n">
        <f aca="false">SUMIFS(데이터_품목별!$H$3:$H$2984,데이터_품목별!$E$3:$E$2984,"85",데이터_품목별!$A$3:$A$2984,"2024.03")</f>
        <v>16651262</v>
      </c>
      <c r="F89" s="55" t="n">
        <f aca="false">SUMIFS(데이터_품목별!$H$3:$H$2984,데이터_품목별!$E$3:$E$2984,"85",데이터_품목별!$A$3:$A$2984,"2024.04")</f>
        <v>15588503</v>
      </c>
      <c r="G89" s="55" t="n">
        <f aca="false">SUMIFS(데이터_품목별!$H$3:$H$2984,데이터_품목별!$E$3:$E$2984,"85",데이터_품목별!$A$3:$A$2984,"2024.05")</f>
        <v>17412613</v>
      </c>
      <c r="H89" s="55" t="n">
        <f aca="false">SUMIFS(데이터_품목별!$H$3:$H$2984,데이터_품목별!$E$3:$E$2984,"85",데이터_품목별!$A$3:$A$2984,"2024.06")</f>
        <v>18947322</v>
      </c>
      <c r="I89" s="55" t="n">
        <f aca="false">SUMIFS(데이터_품목별!$H$3:$H$2984,데이터_품목별!$E$3:$E$2984,"85",데이터_품목별!$A$3:$A$2984,"2024.07")</f>
        <v>17884638</v>
      </c>
      <c r="J89" s="55" t="n">
        <f aca="false">SUMIFS(데이터_품목별!$H$3:$H$2984,데이터_품목별!$E$3:$E$2984,"85",데이터_품목별!$A$3:$A$2984,"2024.08")</f>
        <v>18743622</v>
      </c>
      <c r="K89" s="55" t="n">
        <f aca="false">SUMIFS(데이터_품목별!$H$3:$H$2984,데이터_품목별!$E$3:$E$2984,"85",데이터_품목별!$A$3:$A$2984,"2024.09")</f>
        <v>20007957</v>
      </c>
      <c r="L89" s="55" t="n">
        <f aca="false">SUMIFS(데이터_품목별!$H$3:$H$2984,데이터_품목별!$E$3:$E$2984,"85",데이터_품목별!$A$3:$A$2984,"2024.10")</f>
        <v>19050286</v>
      </c>
      <c r="M89" s="55" t="n">
        <f aca="false">SUMIFS(데이터_품목별!$H$3:$H$2984,데이터_품목별!$E$3:$E$2984,"85",데이터_품목별!$A$3:$A$2984,"2024.11")</f>
        <v>18411009</v>
      </c>
      <c r="N89" s="55" t="n">
        <f aca="false">SUMIFS(데이터_품목별!$H$3:$H$2984,데이터_품목별!$E$3:$E$2984,"85",데이터_품목별!$A$3:$A$2984,"2024.12")</f>
        <v>19866706</v>
      </c>
      <c r="O89" s="55" t="n">
        <f aca="false">SUMIFS(데이터_품목별!$H$3:$H$2984,데이터_품목별!$E$3:$E$2984,"85",데이터_품목별!$A$3:$A$2984,"2025.01")</f>
        <v>14503290</v>
      </c>
      <c r="P89" s="55" t="n">
        <f aca="false">SUMIFS(데이터_품목별!$H$3:$H$2984,데이터_품목별!$E$3:$E$2984,"85",데이터_품목별!$A$3:$A$2984,"2025.02")</f>
        <v>15082652</v>
      </c>
      <c r="Q89" s="55" t="n">
        <f aca="false">SUMIFS(데이터_품목별!$H$3:$H$2984,데이터_품목별!$E$3:$E$2984,"85",데이터_품목별!$A$3:$A$2984,"2025.03")</f>
        <v>18113797</v>
      </c>
      <c r="R89" s="55" t="n">
        <f aca="false">SUMIFS(데이터_품목별!$H$3:$H$2984,데이터_품목별!$E$3:$E$2984,"85",데이터_품목별!$A$3:$A$2984,"2025.04")</f>
        <v>17098985</v>
      </c>
      <c r="S89" s="55" t="n">
        <f aca="false">SUMIFS(데이터_품목별!$H$3:$H$2984,데이터_품목별!$E$3:$E$2984,"85",데이터_품목별!$A$3:$A$2984,"2025.05")</f>
        <v>18809466</v>
      </c>
      <c r="T89" s="55" t="n">
        <f aca="false">SUMIFS(데이터_품목별!$H$3:$H$2984,데이터_품목별!$E$3:$E$2984,"85",데이터_품목별!$A$3:$A$2984,"2025.06")</f>
        <v>19535265</v>
      </c>
      <c r="U89" s="55" t="n">
        <f aca="false">SUMIFS(데이터_품목별!$H$3:$H$2984,데이터_품목별!$E$3:$E$2984,"85",데이터_품목별!$A$3:$A$2984,"2025.07")</f>
        <v>19989877</v>
      </c>
      <c r="V89" s="55" t="n">
        <f aca="false">SUMIFS(데이터_품목별!$H$3:$H$2984,데이터_품목별!$E$3:$E$2984,"85",데이터_품목별!$A$3:$A$2984,"2025.08")</f>
        <v>20463780</v>
      </c>
      <c r="W89" s="55" t="n">
        <f aca="false">SUMIFS(데이터_품목별!$H$3:$H$2984,데이터_품목별!$E$3:$E$2984,"85",데이터_품목별!$A$3:$A$2984,"2025.09")</f>
        <v>22344339</v>
      </c>
      <c r="X89" s="55" t="n">
        <f aca="false">SUMIFS(데이터_품목별!$H$3:$H$2984,데이터_품목별!$E$3:$E$2984,"85",데이터_품목별!$A$3:$A$2984,"2025.10")</f>
        <v>20790549</v>
      </c>
      <c r="Y89" s="55" t="n">
        <f aca="false">SUMIFS(데이터_품목별!$H$3:$H$2984,데이터_품목별!$E$3:$E$2984,"85",데이터_품목별!$A$3:$A$2984,"2025.11")</f>
        <v>22241662</v>
      </c>
      <c r="Z89" s="55" t="n">
        <f aca="false">SUMIFS(데이터_품목별!$H$3:$H$2984,데이터_품목별!$E$3:$E$2984,"85",데이터_품목별!$A$3:$A$2984,"2025.12")</f>
        <v>25992347</v>
      </c>
      <c r="AA89" s="55" t="n">
        <f aca="false">SUMIFS(데이터_품목별!$H$3:$H$2984,데이터_품목별!$E$3:$E$2984,"85",데이터_품목별!$A$3:$A$2984,"2026.01")</f>
        <v>25047980</v>
      </c>
      <c r="AB89" s="55" t="n">
        <f aca="false">SUMIFS(데이터_품목별!$H$3:$H$2984,데이터_품목별!$E$3:$E$2984,"85",데이터_품목별!$A$3:$A$2984,"2026.02")</f>
        <v>28041015</v>
      </c>
      <c r="AC89" s="55" t="n">
        <f aca="false">SUMIFS(데이터_품목별!$H$3:$H$2984,데이터_품목별!$E$3:$E$2984,"85",데이터_품목별!$A$3:$A$2984,"2026.03")</f>
        <v>35645727</v>
      </c>
      <c r="AD89" s="55" t="n">
        <f aca="false">SUMIFS(데이터_품목별!$H$3:$H$2984,데이터_품목별!$E$3:$E$2984,"85",데이터_품목별!$A$3:$A$2984,"2026.04")</f>
        <v>36211589</v>
      </c>
      <c r="AE89" s="55" t="n">
        <f aca="false">SUMIFS(데이터_품목별!$H$3:$H$2984,데이터_품목별!$E$3:$E$2984,"85",데이터_품목별!$A$3:$A$2984,"2026.05")</f>
        <v>40230637</v>
      </c>
      <c r="AF89" s="55" t="n">
        <f aca="false">SUMIFS(데이터_품목별!$H$3:$H$2984,데이터_품목별!$E$3:$E$2984,"85",데이터_품목별!$A$3:$A$2984,"2026.06")</f>
        <v>46280277</v>
      </c>
      <c r="AG89" s="55" t="n">
        <f aca="false">SUMIFS(데이터_품목별!$H$3:$H$2984,데이터_품목별!$E$3:$E$2984,"85",데이터_품목별!$A$3:$A$2984,"2026.07")</f>
        <v>45417101</v>
      </c>
    </row>
    <row r="90" customFormat="false" ht="15" hidden="false" customHeight="true" outlineLevel="0" collapsed="false">
      <c r="A90" s="53" t="s">
        <v>932</v>
      </c>
      <c r="B90" s="54" t="s">
        <v>933</v>
      </c>
      <c r="C90" s="55" t="n">
        <f aca="false">SUMIFS(데이터_품목별!$H$3:$H$2984,데이터_품목별!$E$3:$E$2984,"86",데이터_품목별!$A$3:$A$2984,"2024.01")</f>
        <v>63764</v>
      </c>
      <c r="D90" s="55" t="n">
        <f aca="false">SUMIFS(데이터_품목별!$H$3:$H$2984,데이터_품목별!$E$3:$E$2984,"86",데이터_품목별!$A$3:$A$2984,"2024.02")</f>
        <v>103098</v>
      </c>
      <c r="E90" s="55" t="n">
        <f aca="false">SUMIFS(데이터_품목별!$H$3:$H$2984,데이터_품목별!$E$3:$E$2984,"86",데이터_품목별!$A$3:$A$2984,"2024.03")</f>
        <v>47887</v>
      </c>
      <c r="F90" s="55" t="n">
        <f aca="false">SUMIFS(데이터_품목별!$H$3:$H$2984,데이터_품목별!$E$3:$E$2984,"86",데이터_품목별!$A$3:$A$2984,"2024.04")</f>
        <v>42926</v>
      </c>
      <c r="G90" s="55" t="n">
        <f aca="false">SUMIFS(데이터_품목별!$H$3:$H$2984,데이터_품목별!$E$3:$E$2984,"86",데이터_품목별!$A$3:$A$2984,"2024.05")</f>
        <v>110033</v>
      </c>
      <c r="H90" s="55" t="n">
        <f aca="false">SUMIFS(데이터_품목별!$H$3:$H$2984,데이터_품목별!$E$3:$E$2984,"86",데이터_품목별!$A$3:$A$2984,"2024.06")</f>
        <v>28637</v>
      </c>
      <c r="I90" s="55" t="n">
        <f aca="false">SUMIFS(데이터_품목별!$H$3:$H$2984,데이터_품목별!$E$3:$E$2984,"86",데이터_품목별!$A$3:$A$2984,"2024.07")</f>
        <v>85824</v>
      </c>
      <c r="J90" s="55" t="n">
        <f aca="false">SUMIFS(데이터_품목별!$H$3:$H$2984,데이터_품목별!$E$3:$E$2984,"86",데이터_품목별!$A$3:$A$2984,"2024.08")</f>
        <v>44059</v>
      </c>
      <c r="K90" s="55" t="n">
        <f aca="false">SUMIFS(데이터_품목별!$H$3:$H$2984,데이터_품목별!$E$3:$E$2984,"86",데이터_품목별!$A$3:$A$2984,"2024.09")</f>
        <v>79072</v>
      </c>
      <c r="L90" s="55" t="n">
        <f aca="false">SUMIFS(데이터_품목별!$H$3:$H$2984,데이터_품목별!$E$3:$E$2984,"86",데이터_품목별!$A$3:$A$2984,"2024.10")</f>
        <v>133918</v>
      </c>
      <c r="M90" s="55" t="n">
        <f aca="false">SUMIFS(데이터_품목별!$H$3:$H$2984,데이터_품목별!$E$3:$E$2984,"86",데이터_품목별!$A$3:$A$2984,"2024.11")</f>
        <v>55659</v>
      </c>
      <c r="N90" s="55" t="n">
        <f aca="false">SUMIFS(데이터_품목별!$H$3:$H$2984,데이터_품목별!$E$3:$E$2984,"86",데이터_품목별!$A$3:$A$2984,"2024.12")</f>
        <v>102466</v>
      </c>
      <c r="O90" s="55" t="n">
        <f aca="false">SUMIFS(데이터_품목별!$H$3:$H$2984,데이터_품목별!$E$3:$E$2984,"86",데이터_품목별!$A$3:$A$2984,"2025.01")</f>
        <v>41332</v>
      </c>
      <c r="P90" s="55" t="n">
        <f aca="false">SUMIFS(데이터_품목별!$H$3:$H$2984,데이터_품목별!$E$3:$E$2984,"86",데이터_품목별!$A$3:$A$2984,"2025.02")</f>
        <v>37579</v>
      </c>
      <c r="Q90" s="55" t="n">
        <f aca="false">SUMIFS(데이터_품목별!$H$3:$H$2984,데이터_품목별!$E$3:$E$2984,"86",데이터_품목별!$A$3:$A$2984,"2025.03")</f>
        <v>23944</v>
      </c>
      <c r="R90" s="55" t="n">
        <f aca="false">SUMIFS(데이터_품목별!$H$3:$H$2984,데이터_품목별!$E$3:$E$2984,"86",데이터_품목별!$A$3:$A$2984,"2025.04")</f>
        <v>38635</v>
      </c>
      <c r="S90" s="55" t="n">
        <f aca="false">SUMIFS(데이터_품목별!$H$3:$H$2984,데이터_품목별!$E$3:$E$2984,"86",데이터_품목별!$A$3:$A$2984,"2025.05")</f>
        <v>33215</v>
      </c>
      <c r="T90" s="55" t="n">
        <f aca="false">SUMIFS(데이터_품목별!$H$3:$H$2984,데이터_품목별!$E$3:$E$2984,"86",데이터_품목별!$A$3:$A$2984,"2025.06")</f>
        <v>35191</v>
      </c>
      <c r="U90" s="55" t="n">
        <f aca="false">SUMIFS(데이터_품목별!$H$3:$H$2984,데이터_품목별!$E$3:$E$2984,"86",데이터_품목별!$A$3:$A$2984,"2025.07")</f>
        <v>21632</v>
      </c>
      <c r="V90" s="55" t="n">
        <f aca="false">SUMIFS(데이터_품목별!$H$3:$H$2984,데이터_품목별!$E$3:$E$2984,"86",데이터_품목별!$A$3:$A$2984,"2025.08")</f>
        <v>41011</v>
      </c>
      <c r="W90" s="55" t="n">
        <f aca="false">SUMIFS(데이터_품목별!$H$3:$H$2984,데이터_품목별!$E$3:$E$2984,"86",데이터_품목별!$A$3:$A$2984,"2025.09")</f>
        <v>65194</v>
      </c>
      <c r="X90" s="55" t="n">
        <f aca="false">SUMIFS(데이터_품목별!$H$3:$H$2984,데이터_품목별!$E$3:$E$2984,"86",데이터_품목별!$A$3:$A$2984,"2025.10")</f>
        <v>42389</v>
      </c>
      <c r="Y90" s="55" t="n">
        <f aca="false">SUMIFS(데이터_품목별!$H$3:$H$2984,데이터_품목별!$E$3:$E$2984,"86",데이터_품목별!$A$3:$A$2984,"2025.11")</f>
        <v>73832</v>
      </c>
      <c r="Z90" s="55" t="n">
        <f aca="false">SUMIFS(데이터_품목별!$H$3:$H$2984,데이터_품목별!$E$3:$E$2984,"86",데이터_품목별!$A$3:$A$2984,"2025.12")</f>
        <v>49430</v>
      </c>
      <c r="AA90" s="55" t="n">
        <f aca="false">SUMIFS(데이터_품목별!$H$3:$H$2984,데이터_품목별!$E$3:$E$2984,"86",데이터_품목별!$A$3:$A$2984,"2026.01")</f>
        <v>68608</v>
      </c>
      <c r="AB90" s="55" t="n">
        <f aca="false">SUMIFS(데이터_품목별!$H$3:$H$2984,데이터_품목별!$E$3:$E$2984,"86",데이터_품목별!$A$3:$A$2984,"2026.02")</f>
        <v>69020</v>
      </c>
      <c r="AC90" s="55" t="n">
        <f aca="false">SUMIFS(데이터_품목별!$H$3:$H$2984,데이터_품목별!$E$3:$E$2984,"86",데이터_품목별!$A$3:$A$2984,"2026.03")</f>
        <v>51766</v>
      </c>
      <c r="AD90" s="55" t="n">
        <f aca="false">SUMIFS(데이터_품목별!$H$3:$H$2984,데이터_품목별!$E$3:$E$2984,"86",데이터_품목별!$A$3:$A$2984,"2026.04")</f>
        <v>73726</v>
      </c>
      <c r="AE90" s="55" t="n">
        <f aca="false">SUMIFS(데이터_품목별!$H$3:$H$2984,데이터_품목별!$E$3:$E$2984,"86",데이터_품목별!$A$3:$A$2984,"2026.05")</f>
        <v>90169</v>
      </c>
      <c r="AF90" s="55" t="n">
        <f aca="false">SUMIFS(데이터_품목별!$H$3:$H$2984,데이터_품목별!$E$3:$E$2984,"86",데이터_품목별!$A$3:$A$2984,"2026.06")</f>
        <v>47336</v>
      </c>
      <c r="AG90" s="55" t="n">
        <f aca="false">SUMIFS(데이터_품목별!$H$3:$H$2984,데이터_품목별!$E$3:$E$2984,"86",데이터_품목별!$A$3:$A$2984,"2026.07")</f>
        <v>74952</v>
      </c>
    </row>
    <row r="91" customFormat="false" ht="15" hidden="false" customHeight="true" outlineLevel="0" collapsed="false">
      <c r="A91" s="53" t="s">
        <v>939</v>
      </c>
      <c r="B91" s="54" t="s">
        <v>940</v>
      </c>
      <c r="C91" s="55" t="n">
        <f aca="false">SUMIFS(데이터_품목별!$H$3:$H$2984,데이터_품목별!$E$3:$E$2984,"87",데이터_품목별!$A$3:$A$2984,"2024.01")</f>
        <v>8118538</v>
      </c>
      <c r="D91" s="55" t="n">
        <f aca="false">SUMIFS(데이터_품목별!$H$3:$H$2984,데이터_품목별!$E$3:$E$2984,"87",데이터_품목별!$A$3:$A$2984,"2024.02")</f>
        <v>6910254</v>
      </c>
      <c r="E91" s="55" t="n">
        <f aca="false">SUMIFS(데이터_품목별!$H$3:$H$2984,데이터_품목별!$E$3:$E$2984,"87",데이터_품목별!$A$3:$A$2984,"2024.03")</f>
        <v>7885263</v>
      </c>
      <c r="F91" s="55" t="n">
        <f aca="false">SUMIFS(데이터_품목별!$H$3:$H$2984,데이터_품목별!$E$3:$E$2984,"87",데이터_품목별!$A$3:$A$2984,"2024.04")</f>
        <v>8537047</v>
      </c>
      <c r="G91" s="55" t="n">
        <f aca="false">SUMIFS(데이터_품목별!$H$3:$H$2984,데이터_품목별!$E$3:$E$2984,"87",데이터_품목별!$A$3:$A$2984,"2024.05")</f>
        <v>8086139</v>
      </c>
      <c r="H91" s="55" t="n">
        <f aca="false">SUMIFS(데이터_품목별!$H$3:$H$2984,데이터_품목별!$E$3:$E$2984,"87",데이터_품목별!$A$3:$A$2984,"2024.06")</f>
        <v>7771785</v>
      </c>
      <c r="I91" s="55" t="n">
        <f aca="false">SUMIFS(데이터_품목별!$H$3:$H$2984,데이터_품목별!$E$3:$E$2984,"87",데이터_품목별!$A$3:$A$2984,"2024.07")</f>
        <v>7399270</v>
      </c>
      <c r="J91" s="55" t="n">
        <f aca="false">SUMIFS(데이터_품목별!$H$3:$H$2984,데이터_품목별!$E$3:$E$2984,"87",데이터_품목별!$A$3:$A$2984,"2024.08")</f>
        <v>6715246</v>
      </c>
      <c r="K91" s="55" t="n">
        <f aca="false">SUMIFS(데이터_품목별!$H$3:$H$2984,데이터_품목별!$E$3:$E$2984,"87",데이터_품목별!$A$3:$A$2984,"2024.09")</f>
        <v>7342939</v>
      </c>
      <c r="L91" s="55" t="n">
        <f aca="false">SUMIFS(데이터_품목별!$H$3:$H$2984,데이터_품목별!$E$3:$E$2984,"87",데이터_품목별!$A$3:$A$2984,"2024.10")</f>
        <v>7933147</v>
      </c>
      <c r="M91" s="55" t="n">
        <f aca="false">SUMIFS(데이터_품목별!$H$3:$H$2984,데이터_품목별!$E$3:$E$2984,"87",데이터_품목별!$A$3:$A$2984,"2024.11")</f>
        <v>7197545</v>
      </c>
      <c r="N91" s="55" t="n">
        <f aca="false">SUMIFS(데이터_품목별!$H$3:$H$2984,데이터_품목별!$E$3:$E$2984,"87",데이터_품목별!$A$3:$A$2984,"2024.12")</f>
        <v>7972166</v>
      </c>
      <c r="O91" s="55" t="n">
        <f aca="false">SUMIFS(데이터_품목별!$H$3:$H$2984,데이터_품목별!$E$3:$E$2984,"87",데이터_품목별!$A$3:$A$2984,"2025.01")</f>
        <v>6545132</v>
      </c>
      <c r="P91" s="55" t="n">
        <f aca="false">SUMIFS(데이터_품목별!$H$3:$H$2984,데이터_품목별!$E$3:$E$2984,"87",데이터_품목별!$A$3:$A$2984,"2025.02")</f>
        <v>7721370</v>
      </c>
      <c r="Q91" s="55" t="n">
        <f aca="false">SUMIFS(데이터_품목별!$H$3:$H$2984,데이터_품목별!$E$3:$E$2984,"87",데이터_품목별!$A$3:$A$2984,"2025.03")</f>
        <v>8087252</v>
      </c>
      <c r="R91" s="55" t="n">
        <f aca="false">SUMIFS(데이터_품목별!$H$3:$H$2984,데이터_품목별!$E$3:$E$2984,"87",데이터_품목별!$A$3:$A$2984,"2025.04")</f>
        <v>8497645</v>
      </c>
      <c r="S91" s="55" t="n">
        <f aca="false">SUMIFS(데이터_품목별!$H$3:$H$2984,데이터_품목별!$E$3:$E$2984,"87",데이터_품목별!$A$3:$A$2984,"2025.05")</f>
        <v>7679192</v>
      </c>
      <c r="T91" s="55" t="n">
        <f aca="false">SUMIFS(데이터_품목별!$H$3:$H$2984,데이터_품목별!$E$3:$E$2984,"87",데이터_품목별!$A$3:$A$2984,"2025.06")</f>
        <v>8230226</v>
      </c>
      <c r="U91" s="55" t="n">
        <f aca="false">SUMIFS(데이터_품목별!$H$3:$H$2984,데이터_품목별!$E$3:$E$2984,"87",데이터_품목별!$A$3:$A$2984,"2025.07")</f>
        <v>7697863</v>
      </c>
      <c r="V91" s="55" t="n">
        <f aca="false">SUMIFS(데이터_품목별!$H$3:$H$2984,데이터_품목별!$E$3:$E$2984,"87",데이터_품목별!$A$3:$A$2984,"2025.08")</f>
        <v>7000138</v>
      </c>
      <c r="W91" s="55" t="n">
        <f aca="false">SUMIFS(데이터_품목별!$H$3:$H$2984,데이터_품목별!$E$3:$E$2984,"87",데이터_품목별!$A$3:$A$2984,"2025.09")</f>
        <v>8461889</v>
      </c>
      <c r="X91" s="55" t="n">
        <f aca="false">SUMIFS(데이터_품목별!$H$3:$H$2984,데이터_품목별!$E$3:$E$2984,"87",데이터_품목별!$A$3:$A$2984,"2025.10")</f>
        <v>6909678</v>
      </c>
      <c r="Y91" s="55" t="n">
        <f aca="false">SUMIFS(데이터_품목별!$H$3:$H$2984,데이터_품목별!$E$3:$E$2984,"87",데이터_품목별!$A$3:$A$2984,"2025.11")</f>
        <v>7861930</v>
      </c>
      <c r="Z91" s="55" t="n">
        <f aca="false">SUMIFS(데이터_품목별!$H$3:$H$2984,데이터_품목별!$E$3:$E$2984,"87",데이터_품목별!$A$3:$A$2984,"2025.12")</f>
        <v>7644009</v>
      </c>
      <c r="AA91" s="55" t="n">
        <f aca="false">SUMIFS(데이터_품목별!$H$3:$H$2984,데이터_품목별!$E$3:$E$2984,"87",데이터_품목별!$A$3:$A$2984,"2026.01")</f>
        <v>7562422</v>
      </c>
      <c r="AB91" s="55" t="n">
        <f aca="false">SUMIFS(데이터_품목별!$H$3:$H$2984,데이터_품목별!$E$3:$E$2984,"87",데이터_품목별!$A$3:$A$2984,"2026.02")</f>
        <v>6152886</v>
      </c>
      <c r="AC91" s="55" t="n">
        <f aca="false">SUMIFS(데이터_품목별!$H$3:$H$2984,데이터_품목별!$E$3:$E$2984,"87",데이터_품목별!$A$3:$A$2984,"2026.03")</f>
        <v>8020422</v>
      </c>
      <c r="AD91" s="55" t="n">
        <f aca="false">SUMIFS(데이터_품목별!$H$3:$H$2984,데이터_품목별!$E$3:$E$2984,"87",데이터_품목별!$A$3:$A$2984,"2026.04")</f>
        <v>7859533</v>
      </c>
      <c r="AE91" s="55" t="n">
        <f aca="false">SUMIFS(데이터_품목별!$H$3:$H$2984,데이터_품목별!$E$3:$E$2984,"87",데이터_품목별!$A$3:$A$2984,"2026.05")</f>
        <v>7227360</v>
      </c>
      <c r="AF91" s="55" t="n">
        <f aca="false">SUMIFS(데이터_품목별!$H$3:$H$2984,데이터_품목별!$E$3:$E$2984,"87",데이터_품목별!$A$3:$A$2984,"2026.06")</f>
        <v>8746465</v>
      </c>
      <c r="AG91" s="55" t="n">
        <f aca="false">SUMIFS(데이터_품목별!$H$3:$H$2984,데이터_품목별!$E$3:$E$2984,"87",데이터_품목별!$A$3:$A$2984,"2026.07")</f>
        <v>8335789</v>
      </c>
    </row>
    <row r="92" customFormat="false" ht="15" hidden="false" customHeight="true" outlineLevel="0" collapsed="false">
      <c r="A92" s="53" t="s">
        <v>946</v>
      </c>
      <c r="B92" s="54" t="s">
        <v>947</v>
      </c>
      <c r="C92" s="55" t="n">
        <f aca="false">SUMIFS(데이터_품목별!$H$3:$H$2984,데이터_품목별!$E$3:$E$2984,"88",데이터_품목별!$A$3:$A$2984,"2024.01")</f>
        <v>125804</v>
      </c>
      <c r="D92" s="55" t="n">
        <f aca="false">SUMIFS(데이터_품목별!$H$3:$H$2984,데이터_품목별!$E$3:$E$2984,"88",데이터_품목별!$A$3:$A$2984,"2024.02")</f>
        <v>201780</v>
      </c>
      <c r="E92" s="55" t="n">
        <f aca="false">SUMIFS(데이터_품목별!$H$3:$H$2984,데이터_품목별!$E$3:$E$2984,"88",데이터_품목별!$A$3:$A$2984,"2024.03")</f>
        <v>148948</v>
      </c>
      <c r="F92" s="55" t="n">
        <f aca="false">SUMIFS(데이터_품목별!$H$3:$H$2984,데이터_품목별!$E$3:$E$2984,"88",데이터_품목별!$A$3:$A$2984,"2024.04")</f>
        <v>115245</v>
      </c>
      <c r="G92" s="55" t="n">
        <f aca="false">SUMIFS(데이터_품목별!$H$3:$H$2984,데이터_품목별!$E$3:$E$2984,"88",데이터_품목별!$A$3:$A$2984,"2024.05")</f>
        <v>124142</v>
      </c>
      <c r="H92" s="55" t="n">
        <f aca="false">SUMIFS(데이터_품목별!$H$3:$H$2984,데이터_품목별!$E$3:$E$2984,"88",데이터_품목별!$A$3:$A$2984,"2024.06")</f>
        <v>265274</v>
      </c>
      <c r="I92" s="55" t="n">
        <f aca="false">SUMIFS(데이터_품목별!$H$3:$H$2984,데이터_품목별!$E$3:$E$2984,"88",데이터_품목별!$A$3:$A$2984,"2024.07")</f>
        <v>188739</v>
      </c>
      <c r="J92" s="55" t="n">
        <f aca="false">SUMIFS(데이터_품목별!$H$3:$H$2984,데이터_품목별!$E$3:$E$2984,"88",데이터_품목별!$A$3:$A$2984,"2024.08")</f>
        <v>109148</v>
      </c>
      <c r="K92" s="55" t="n">
        <f aca="false">SUMIFS(데이터_품목별!$H$3:$H$2984,데이터_품목별!$E$3:$E$2984,"88",데이터_품목별!$A$3:$A$2984,"2024.09")</f>
        <v>103875</v>
      </c>
      <c r="L92" s="55" t="n">
        <f aca="false">SUMIFS(데이터_품목별!$H$3:$H$2984,데이터_품목별!$E$3:$E$2984,"88",데이터_품목별!$A$3:$A$2984,"2024.10")</f>
        <v>325086</v>
      </c>
      <c r="M92" s="55" t="n">
        <f aca="false">SUMIFS(데이터_품목별!$H$3:$H$2984,데이터_품목별!$E$3:$E$2984,"88",데이터_품목별!$A$3:$A$2984,"2024.11")</f>
        <v>106761</v>
      </c>
      <c r="N92" s="55" t="n">
        <f aca="false">SUMIFS(데이터_품목별!$H$3:$H$2984,데이터_품목별!$E$3:$E$2984,"88",데이터_품목별!$A$3:$A$2984,"2024.12")</f>
        <v>119762</v>
      </c>
      <c r="O92" s="55" t="n">
        <f aca="false">SUMIFS(데이터_품목별!$H$3:$H$2984,데이터_품목별!$E$3:$E$2984,"88",데이터_품목별!$A$3:$A$2984,"2025.01")</f>
        <v>321057</v>
      </c>
      <c r="P92" s="55" t="n">
        <f aca="false">SUMIFS(데이터_품목별!$H$3:$H$2984,데이터_품목별!$E$3:$E$2984,"88",데이터_품목별!$A$3:$A$2984,"2025.02")</f>
        <v>121420</v>
      </c>
      <c r="Q92" s="55" t="n">
        <f aca="false">SUMIFS(데이터_품목별!$H$3:$H$2984,데이터_품목별!$E$3:$E$2984,"88",데이터_품목별!$A$3:$A$2984,"2025.03")</f>
        <v>215441</v>
      </c>
      <c r="R92" s="55" t="n">
        <f aca="false">SUMIFS(데이터_품목별!$H$3:$H$2984,데이터_품목별!$E$3:$E$2984,"88",데이터_품목별!$A$3:$A$2984,"2025.04")</f>
        <v>264332</v>
      </c>
      <c r="S92" s="55" t="n">
        <f aca="false">SUMIFS(데이터_품목별!$H$3:$H$2984,데이터_품목별!$E$3:$E$2984,"88",데이터_품목별!$A$3:$A$2984,"2025.05")</f>
        <v>316673</v>
      </c>
      <c r="T92" s="55" t="n">
        <f aca="false">SUMIFS(데이터_품목별!$H$3:$H$2984,데이터_품목별!$E$3:$E$2984,"88",데이터_품목별!$A$3:$A$2984,"2025.06")</f>
        <v>203592</v>
      </c>
      <c r="U92" s="55" t="n">
        <f aca="false">SUMIFS(데이터_품목별!$H$3:$H$2984,데이터_품목별!$E$3:$E$2984,"88",데이터_품목별!$A$3:$A$2984,"2025.07")</f>
        <v>205007</v>
      </c>
      <c r="V92" s="55" t="n">
        <f aca="false">SUMIFS(데이터_품목별!$H$3:$H$2984,데이터_품목별!$E$3:$E$2984,"88",데이터_품목별!$A$3:$A$2984,"2025.08")</f>
        <v>230879</v>
      </c>
      <c r="W92" s="55" t="n">
        <f aca="false">SUMIFS(데이터_품목별!$H$3:$H$2984,데이터_품목별!$E$3:$E$2984,"88",데이터_품목별!$A$3:$A$2984,"2025.09")</f>
        <v>270248</v>
      </c>
      <c r="X92" s="55" t="n">
        <f aca="false">SUMIFS(데이터_품목별!$H$3:$H$2984,데이터_품목별!$E$3:$E$2984,"88",데이터_품목별!$A$3:$A$2984,"2025.10")</f>
        <v>284003</v>
      </c>
      <c r="Y92" s="55" t="n">
        <f aca="false">SUMIFS(데이터_품목별!$H$3:$H$2984,데이터_품목별!$E$3:$E$2984,"88",데이터_품목별!$A$3:$A$2984,"2025.11")</f>
        <v>203591</v>
      </c>
      <c r="Z92" s="55" t="n">
        <f aca="false">SUMIFS(데이터_품목별!$H$3:$H$2984,데이터_품목별!$E$3:$E$2984,"88",데이터_품목별!$A$3:$A$2984,"2025.12")</f>
        <v>364882</v>
      </c>
      <c r="AA92" s="55" t="n">
        <f aca="false">SUMIFS(데이터_품목별!$H$3:$H$2984,데이터_품목별!$E$3:$E$2984,"88",데이터_품목별!$A$3:$A$2984,"2026.01")</f>
        <v>242084</v>
      </c>
      <c r="AB92" s="55" t="n">
        <f aca="false">SUMIFS(데이터_품목별!$H$3:$H$2984,데이터_품목별!$E$3:$E$2984,"88",데이터_품목별!$A$3:$A$2984,"2026.02")</f>
        <v>155861</v>
      </c>
      <c r="AC92" s="55" t="n">
        <f aca="false">SUMIFS(데이터_품목별!$H$3:$H$2984,데이터_품목별!$E$3:$E$2984,"88",데이터_품목별!$A$3:$A$2984,"2026.03")</f>
        <v>155860</v>
      </c>
      <c r="AD92" s="55" t="n">
        <f aca="false">SUMIFS(데이터_품목별!$H$3:$H$2984,데이터_품목별!$E$3:$E$2984,"88",데이터_품목별!$A$3:$A$2984,"2026.04")</f>
        <v>311729</v>
      </c>
      <c r="AE92" s="55" t="n">
        <f aca="false">SUMIFS(데이터_품목별!$H$3:$H$2984,데이터_품목별!$E$3:$E$2984,"88",데이터_품목별!$A$3:$A$2984,"2026.05")</f>
        <v>139951</v>
      </c>
      <c r="AF92" s="55" t="n">
        <f aca="false">SUMIFS(데이터_품목별!$H$3:$H$2984,데이터_품목별!$E$3:$E$2984,"88",데이터_품목별!$A$3:$A$2984,"2026.06")</f>
        <v>276872</v>
      </c>
      <c r="AG92" s="55" t="n">
        <f aca="false">SUMIFS(데이터_품목별!$H$3:$H$2984,데이터_품목별!$E$3:$E$2984,"88",데이터_품목별!$A$3:$A$2984,"2026.07")</f>
        <v>307987</v>
      </c>
    </row>
    <row r="93" customFormat="false" ht="15" hidden="false" customHeight="true" outlineLevel="0" collapsed="false">
      <c r="A93" s="53" t="s">
        <v>953</v>
      </c>
      <c r="B93" s="54" t="s">
        <v>954</v>
      </c>
      <c r="C93" s="55" t="n">
        <f aca="false">SUMIFS(데이터_품목별!$H$3:$H$2984,데이터_품목별!$E$3:$E$2984,"89",데이터_품목별!$A$3:$A$2984,"2024.01")</f>
        <v>2407768</v>
      </c>
      <c r="D93" s="55" t="n">
        <f aca="false">SUMIFS(데이터_품목별!$H$3:$H$2984,데이터_품목별!$E$3:$E$2984,"89",데이터_품목별!$A$3:$A$2984,"2024.02")</f>
        <v>1610777</v>
      </c>
      <c r="E93" s="55" t="n">
        <f aca="false">SUMIFS(데이터_품목별!$H$3:$H$2984,데이터_품목별!$E$3:$E$2984,"89",데이터_품목별!$A$3:$A$2984,"2024.03")</f>
        <v>1962701</v>
      </c>
      <c r="F93" s="55" t="n">
        <f aca="false">SUMIFS(데이터_품목별!$H$3:$H$2984,데이터_품목별!$E$3:$E$2984,"89",데이터_품목별!$A$3:$A$2984,"2024.04")</f>
        <v>1558389</v>
      </c>
      <c r="G93" s="55" t="n">
        <f aca="false">SUMIFS(데이터_품목별!$H$3:$H$2984,데이터_품목별!$E$3:$E$2984,"89",데이터_품목별!$A$3:$A$2984,"2024.05")</f>
        <v>2005371</v>
      </c>
      <c r="H93" s="55" t="n">
        <f aca="false">SUMIFS(데이터_품목별!$H$3:$H$2984,데이터_품목별!$E$3:$E$2984,"89",데이터_품목별!$A$3:$A$2984,"2024.06")</f>
        <v>1379609</v>
      </c>
      <c r="I93" s="55" t="n">
        <f aca="false">SUMIFS(데이터_품목별!$H$3:$H$2984,데이터_품목별!$E$3:$E$2984,"89",데이터_품목별!$A$3:$A$2984,"2024.07")</f>
        <v>947649</v>
      </c>
      <c r="J93" s="55" t="n">
        <f aca="false">SUMIFS(데이터_품목별!$H$3:$H$2984,데이터_품목별!$E$3:$E$2984,"89",데이터_품목별!$A$3:$A$2984,"2024.08")</f>
        <v>2697894</v>
      </c>
      <c r="K93" s="55" t="n">
        <f aca="false">SUMIFS(데이터_품목별!$H$3:$H$2984,데이터_품목별!$E$3:$E$2984,"89",데이터_품목별!$A$3:$A$2984,"2024.09")</f>
        <v>2201612</v>
      </c>
      <c r="L93" s="55" t="n">
        <f aca="false">SUMIFS(데이터_품목별!$H$3:$H$2984,데이터_품목별!$E$3:$E$2984,"89",데이터_품목별!$A$3:$A$2984,"2024.10")</f>
        <v>1917169</v>
      </c>
      <c r="M93" s="55" t="n">
        <f aca="false">SUMIFS(데이터_품목별!$H$3:$H$2984,데이터_품목별!$E$3:$E$2984,"89",데이터_품목별!$A$3:$A$2984,"2024.11")</f>
        <v>2397600</v>
      </c>
      <c r="N93" s="55" t="n">
        <f aca="false">SUMIFS(데이터_품목별!$H$3:$H$2984,데이터_품목별!$E$3:$E$2984,"89",데이터_품목별!$A$3:$A$2984,"2024.12")</f>
        <v>2942884</v>
      </c>
      <c r="O93" s="55" t="n">
        <f aca="false">SUMIFS(데이터_품목별!$H$3:$H$2984,데이터_품목별!$E$3:$E$2984,"89",데이터_품목별!$A$3:$A$2984,"2025.01")</f>
        <v>2356716</v>
      </c>
      <c r="P93" s="55" t="n">
        <f aca="false">SUMIFS(데이터_품목별!$H$3:$H$2984,데이터_품목별!$E$3:$E$2984,"89",데이터_품목별!$A$3:$A$2984,"2025.02")</f>
        <v>1435746</v>
      </c>
      <c r="Q93" s="55" t="n">
        <f aca="false">SUMIFS(데이터_품목별!$H$3:$H$2984,데이터_품목별!$E$3:$E$2984,"89",데이터_품목별!$A$3:$A$2984,"2025.03")</f>
        <v>3020110</v>
      </c>
      <c r="R93" s="55" t="n">
        <f aca="false">SUMIFS(데이터_품목별!$H$3:$H$2984,데이터_품목별!$E$3:$E$2984,"89",데이터_품목별!$A$3:$A$2984,"2025.04")</f>
        <v>1806786</v>
      </c>
      <c r="S93" s="55" t="n">
        <f aca="false">SUMIFS(데이터_품목별!$H$3:$H$2984,데이터_품목별!$E$3:$E$2984,"89",데이터_품목별!$A$3:$A$2984,"2025.05")</f>
        <v>2123018</v>
      </c>
      <c r="T93" s="55" t="n">
        <f aca="false">SUMIFS(데이터_품목별!$H$3:$H$2984,데이터_품목별!$E$3:$E$2984,"89",데이터_품목별!$A$3:$A$2984,"2025.06")</f>
        <v>2293326</v>
      </c>
      <c r="U93" s="55" t="n">
        <f aca="false">SUMIFS(데이터_품목별!$H$3:$H$2984,데이터_품목별!$E$3:$E$2984,"89",데이터_품목별!$A$3:$A$2984,"2025.07")</f>
        <v>2062824</v>
      </c>
      <c r="V93" s="55" t="n">
        <f aca="false">SUMIFS(데이터_품목별!$H$3:$H$2984,데이터_품목별!$E$3:$E$2984,"89",데이터_품목별!$A$3:$A$2984,"2025.08")</f>
        <v>2941546</v>
      </c>
      <c r="W93" s="55" t="n">
        <f aca="false">SUMIFS(데이터_품목별!$H$3:$H$2984,데이터_품목별!$E$3:$E$2984,"89",데이터_품목별!$A$3:$A$2984,"2025.09")</f>
        <v>2724561</v>
      </c>
      <c r="X93" s="55" t="n">
        <f aca="false">SUMIFS(데이터_품목별!$H$3:$H$2984,데이터_품목별!$E$3:$E$2984,"89",데이터_품목별!$A$3:$A$2984,"2025.10")</f>
        <v>4582113</v>
      </c>
      <c r="Y93" s="55" t="n">
        <f aca="false">SUMIFS(데이터_품목별!$H$3:$H$2984,데이터_품목별!$E$3:$E$2984,"89",데이터_품목별!$A$3:$A$2984,"2025.11")</f>
        <v>1682410</v>
      </c>
      <c r="Z93" s="55" t="n">
        <f aca="false">SUMIFS(데이터_품목별!$H$3:$H$2984,데이터_품목별!$E$3:$E$2984,"89",데이터_품목별!$A$3:$A$2984,"2025.12")</f>
        <v>2838894</v>
      </c>
      <c r="AA93" s="55" t="n">
        <f aca="false">SUMIFS(데이터_품목별!$H$3:$H$2984,데이터_품목별!$E$3:$E$2984,"89",데이터_품목별!$A$3:$A$2984,"2026.01")</f>
        <v>2314307</v>
      </c>
      <c r="AB93" s="55" t="n">
        <f aca="false">SUMIFS(데이터_품목별!$H$3:$H$2984,데이터_품목별!$E$3:$E$2984,"89",데이터_품목별!$A$3:$A$2984,"2026.02")</f>
        <v>2104220</v>
      </c>
      <c r="AC93" s="55" t="n">
        <f aca="false">SUMIFS(데이터_품목별!$H$3:$H$2984,데이터_품목별!$E$3:$E$2984,"89",데이터_품목별!$A$3:$A$2984,"2026.03")</f>
        <v>3353562</v>
      </c>
      <c r="AD93" s="55" t="n">
        <f aca="false">SUMIFS(데이터_품목별!$H$3:$H$2984,데이터_품목별!$E$3:$E$2984,"89",데이터_품목별!$A$3:$A$2984,"2026.04")</f>
        <v>2723853</v>
      </c>
      <c r="AE93" s="55" t="n">
        <f aca="false">SUMIFS(데이터_품목별!$H$3:$H$2984,데이터_품목별!$E$3:$E$2984,"89",데이터_품목별!$A$3:$A$2984,"2026.05")</f>
        <v>2457847</v>
      </c>
      <c r="AF93" s="55" t="n">
        <f aca="false">SUMIFS(데이터_품목별!$H$3:$H$2984,데이터_품목별!$E$3:$E$2984,"89",데이터_품목별!$A$3:$A$2984,"2026.06")</f>
        <v>2662952</v>
      </c>
      <c r="AG93" s="55" t="n">
        <f aca="false">SUMIFS(데이터_품목별!$H$3:$H$2984,데이터_품목별!$E$3:$E$2984,"89",데이터_품목별!$A$3:$A$2984,"2026.07")</f>
        <v>3066991</v>
      </c>
    </row>
    <row r="94" customFormat="false" ht="15" hidden="false" customHeight="true" outlineLevel="0" collapsed="false">
      <c r="A94" s="53" t="s">
        <v>960</v>
      </c>
      <c r="B94" s="54" t="s">
        <v>961</v>
      </c>
      <c r="C94" s="55" t="n">
        <f aca="false">SUMIFS(데이터_품목별!$H$3:$H$2984,데이터_품목별!$E$3:$E$2984,"90",데이터_품목별!$A$3:$A$2984,"2024.01")</f>
        <v>1391089</v>
      </c>
      <c r="D94" s="55" t="n">
        <f aca="false">SUMIFS(데이터_품목별!$H$3:$H$2984,데이터_품목별!$E$3:$E$2984,"90",데이터_품목별!$A$3:$A$2984,"2024.02")</f>
        <v>1352831</v>
      </c>
      <c r="E94" s="55" t="n">
        <f aca="false">SUMIFS(데이터_품목별!$H$3:$H$2984,데이터_품목별!$E$3:$E$2984,"90",데이터_품목별!$A$3:$A$2984,"2024.03")</f>
        <v>1426551</v>
      </c>
      <c r="F94" s="55" t="n">
        <f aca="false">SUMIFS(데이터_품목별!$H$3:$H$2984,데이터_품목별!$E$3:$E$2984,"90",데이터_품목별!$A$3:$A$2984,"2024.04")</f>
        <v>1422212</v>
      </c>
      <c r="G94" s="55" t="n">
        <f aca="false">SUMIFS(데이터_품목별!$H$3:$H$2984,데이터_품목별!$E$3:$E$2984,"90",데이터_품목별!$A$3:$A$2984,"2024.05")</f>
        <v>1451675</v>
      </c>
      <c r="H94" s="55" t="n">
        <f aca="false">SUMIFS(데이터_품목별!$H$3:$H$2984,데이터_품목별!$E$3:$E$2984,"90",데이터_품목별!$A$3:$A$2984,"2024.06")</f>
        <v>1321890</v>
      </c>
      <c r="I94" s="55" t="n">
        <f aca="false">SUMIFS(데이터_품목별!$H$3:$H$2984,데이터_품목별!$E$3:$E$2984,"90",데이터_품목별!$A$3:$A$2984,"2024.07")</f>
        <v>1380638</v>
      </c>
      <c r="J94" s="55" t="n">
        <f aca="false">SUMIFS(데이터_품목별!$H$3:$H$2984,데이터_품목별!$E$3:$E$2984,"90",데이터_품목별!$A$3:$A$2984,"2024.08")</f>
        <v>1374772</v>
      </c>
      <c r="K94" s="55" t="n">
        <f aca="false">SUMIFS(데이터_품목별!$H$3:$H$2984,데이터_품목별!$E$3:$E$2984,"90",데이터_품목별!$A$3:$A$2984,"2024.09")</f>
        <v>1467936</v>
      </c>
      <c r="L94" s="55" t="n">
        <f aca="false">SUMIFS(데이터_품목별!$H$3:$H$2984,데이터_품목별!$E$3:$E$2984,"90",데이터_품목별!$A$3:$A$2984,"2024.10")</f>
        <v>1462224</v>
      </c>
      <c r="M94" s="55" t="n">
        <f aca="false">SUMIFS(데이터_품목별!$H$3:$H$2984,데이터_품목별!$E$3:$E$2984,"90",데이터_품목별!$A$3:$A$2984,"2024.11")</f>
        <v>1410786</v>
      </c>
      <c r="N94" s="55" t="n">
        <f aca="false">SUMIFS(데이터_품목별!$H$3:$H$2984,데이터_품목별!$E$3:$E$2984,"90",데이터_품목별!$A$3:$A$2984,"2024.12")</f>
        <v>1483211</v>
      </c>
      <c r="O94" s="55" t="n">
        <f aca="false">SUMIFS(데이터_품목별!$H$3:$H$2984,데이터_품목별!$E$3:$E$2984,"90",데이터_품목별!$A$3:$A$2984,"2025.01")</f>
        <v>1133879</v>
      </c>
      <c r="P94" s="55" t="n">
        <f aca="false">SUMIFS(데이터_품목별!$H$3:$H$2984,데이터_품목별!$E$3:$E$2984,"90",데이터_품목별!$A$3:$A$2984,"2025.02")</f>
        <v>1402880</v>
      </c>
      <c r="Q94" s="55" t="n">
        <f aca="false">SUMIFS(데이터_품목별!$H$3:$H$2984,데이터_품목별!$E$3:$E$2984,"90",데이터_품목별!$A$3:$A$2984,"2025.03")</f>
        <v>1370949</v>
      </c>
      <c r="R94" s="55" t="n">
        <f aca="false">SUMIFS(데이터_품목별!$H$3:$H$2984,데이터_품목별!$E$3:$E$2984,"90",데이터_품목별!$A$3:$A$2984,"2025.04")</f>
        <v>1496708</v>
      </c>
      <c r="S94" s="55" t="n">
        <f aca="false">SUMIFS(데이터_품목별!$H$3:$H$2984,데이터_품목별!$E$3:$E$2984,"90",데이터_품목별!$A$3:$A$2984,"2025.05")</f>
        <v>1327302</v>
      </c>
      <c r="T94" s="55" t="n">
        <f aca="false">SUMIFS(데이터_품목별!$H$3:$H$2984,데이터_품목별!$E$3:$E$2984,"90",데이터_품목별!$A$3:$A$2984,"2025.06")</f>
        <v>1419577</v>
      </c>
      <c r="U94" s="55" t="n">
        <f aca="false">SUMIFS(데이터_품목별!$H$3:$H$2984,데이터_품목별!$E$3:$E$2984,"90",데이터_품목별!$A$3:$A$2984,"2025.07")</f>
        <v>1466284</v>
      </c>
      <c r="V94" s="55" t="n">
        <f aca="false">SUMIFS(데이터_품목별!$H$3:$H$2984,데이터_품목별!$E$3:$E$2984,"90",데이터_품목별!$A$3:$A$2984,"2025.08")</f>
        <v>1326909</v>
      </c>
      <c r="W94" s="55" t="n">
        <f aca="false">SUMIFS(데이터_품목별!$H$3:$H$2984,데이터_품목별!$E$3:$E$2984,"90",데이터_품목별!$A$3:$A$2984,"2025.09")</f>
        <v>1600350</v>
      </c>
      <c r="X94" s="55" t="n">
        <f aca="false">SUMIFS(데이터_품목별!$H$3:$H$2984,데이터_품목별!$E$3:$E$2984,"90",데이터_품목별!$A$3:$A$2984,"2025.10")</f>
        <v>1269606</v>
      </c>
      <c r="Y94" s="55" t="n">
        <f aca="false">SUMIFS(데이터_품목별!$H$3:$H$2984,데이터_품목별!$E$3:$E$2984,"90",데이터_품목별!$A$3:$A$2984,"2025.11")</f>
        <v>1368222</v>
      </c>
      <c r="Z94" s="55" t="n">
        <f aca="false">SUMIFS(데이터_품목별!$H$3:$H$2984,데이터_품목별!$E$3:$E$2984,"90",데이터_품목별!$A$3:$A$2984,"2025.12")</f>
        <v>1688416</v>
      </c>
      <c r="AA94" s="55" t="n">
        <f aca="false">SUMIFS(데이터_품목별!$H$3:$H$2984,데이터_품목별!$E$3:$E$2984,"90",데이터_품목별!$A$3:$A$2984,"2026.01")</f>
        <v>1351643</v>
      </c>
      <c r="AB94" s="55" t="n">
        <f aca="false">SUMIFS(데이터_품목별!$H$3:$H$2984,데이터_품목별!$E$3:$E$2984,"90",데이터_품목별!$A$3:$A$2984,"2026.02")</f>
        <v>1183434</v>
      </c>
      <c r="AC94" s="55" t="n">
        <f aca="false">SUMIFS(데이터_품목별!$H$3:$H$2984,데이터_품목별!$E$3:$E$2984,"90",데이터_품목별!$A$3:$A$2984,"2026.03")</f>
        <v>1506813</v>
      </c>
      <c r="AD94" s="55" t="n">
        <f aca="false">SUMIFS(데이터_품목별!$H$3:$H$2984,데이터_품목별!$E$3:$E$2984,"90",데이터_품목별!$A$3:$A$2984,"2026.04")</f>
        <v>1504353</v>
      </c>
      <c r="AE94" s="55" t="n">
        <f aca="false">SUMIFS(데이터_품목별!$H$3:$H$2984,데이터_품목별!$E$3:$E$2984,"90",데이터_품목별!$A$3:$A$2984,"2026.05")</f>
        <v>1336510</v>
      </c>
      <c r="AF94" s="55" t="n">
        <f aca="false">SUMIFS(데이터_품목별!$H$3:$H$2984,데이터_품목별!$E$3:$E$2984,"90",데이터_품목별!$A$3:$A$2984,"2026.06")</f>
        <v>1621177</v>
      </c>
      <c r="AG94" s="55" t="n">
        <f aca="false">SUMIFS(데이터_품목별!$H$3:$H$2984,데이터_품목별!$E$3:$E$2984,"90",데이터_품목별!$A$3:$A$2984,"2026.07")</f>
        <v>1656453</v>
      </c>
    </row>
    <row r="95" customFormat="false" ht="15" hidden="false" customHeight="true" outlineLevel="0" collapsed="false">
      <c r="A95" s="53" t="s">
        <v>967</v>
      </c>
      <c r="B95" s="54" t="s">
        <v>968</v>
      </c>
      <c r="C95" s="55" t="n">
        <f aca="false">SUMIFS(데이터_품목별!$H$3:$H$2984,데이터_품목별!$E$3:$E$2984,"91",데이터_품목별!$A$3:$A$2984,"2024.01")</f>
        <v>13173</v>
      </c>
      <c r="D95" s="55" t="n">
        <f aca="false">SUMIFS(데이터_품목별!$H$3:$H$2984,데이터_품목별!$E$3:$E$2984,"91",데이터_품목별!$A$3:$A$2984,"2024.02")</f>
        <v>13993</v>
      </c>
      <c r="E95" s="55" t="n">
        <f aca="false">SUMIFS(데이터_품목별!$H$3:$H$2984,데이터_품목별!$E$3:$E$2984,"91",데이터_품목별!$A$3:$A$2984,"2024.03")</f>
        <v>14511</v>
      </c>
      <c r="F95" s="55" t="n">
        <f aca="false">SUMIFS(데이터_품목별!$H$3:$H$2984,데이터_품목별!$E$3:$E$2984,"91",데이터_품목별!$A$3:$A$2984,"2024.04")</f>
        <v>12950</v>
      </c>
      <c r="G95" s="55" t="n">
        <f aca="false">SUMIFS(데이터_품목별!$H$3:$H$2984,데이터_품목별!$E$3:$E$2984,"91",데이터_품목별!$A$3:$A$2984,"2024.05")</f>
        <v>11363</v>
      </c>
      <c r="H95" s="55" t="n">
        <f aca="false">SUMIFS(데이터_품목별!$H$3:$H$2984,데이터_품목별!$E$3:$E$2984,"91",데이터_품목별!$A$3:$A$2984,"2024.06")</f>
        <v>12170</v>
      </c>
      <c r="I95" s="55" t="n">
        <f aca="false">SUMIFS(데이터_품목별!$H$3:$H$2984,데이터_품목별!$E$3:$E$2984,"91",데이터_품목별!$A$3:$A$2984,"2024.07")</f>
        <v>10846</v>
      </c>
      <c r="J95" s="55" t="n">
        <f aca="false">SUMIFS(데이터_품목별!$H$3:$H$2984,데이터_품목별!$E$3:$E$2984,"91",데이터_품목별!$A$3:$A$2984,"2024.08")</f>
        <v>10395</v>
      </c>
      <c r="K95" s="55" t="n">
        <f aca="false">SUMIFS(데이터_품목별!$H$3:$H$2984,데이터_품목별!$E$3:$E$2984,"91",데이터_품목별!$A$3:$A$2984,"2024.09")</f>
        <v>10389</v>
      </c>
      <c r="L95" s="55" t="n">
        <f aca="false">SUMIFS(데이터_품목별!$H$3:$H$2984,데이터_품목별!$E$3:$E$2984,"91",데이터_품목별!$A$3:$A$2984,"2024.10")</f>
        <v>13822</v>
      </c>
      <c r="M95" s="55" t="n">
        <f aca="false">SUMIFS(데이터_품목별!$H$3:$H$2984,데이터_품목별!$E$3:$E$2984,"91",데이터_품목별!$A$3:$A$2984,"2024.11")</f>
        <v>15508</v>
      </c>
      <c r="N95" s="55" t="n">
        <f aca="false">SUMIFS(데이터_품목별!$H$3:$H$2984,데이터_품목별!$E$3:$E$2984,"91",데이터_품목별!$A$3:$A$2984,"2024.12")</f>
        <v>13824</v>
      </c>
      <c r="O95" s="55" t="n">
        <f aca="false">SUMIFS(데이터_품목별!$H$3:$H$2984,데이터_품목별!$E$3:$E$2984,"91",데이터_품목별!$A$3:$A$2984,"2025.01")</f>
        <v>14422</v>
      </c>
      <c r="P95" s="55" t="n">
        <f aca="false">SUMIFS(데이터_품목별!$H$3:$H$2984,데이터_품목별!$E$3:$E$2984,"91",데이터_품목별!$A$3:$A$2984,"2025.02")</f>
        <v>17790</v>
      </c>
      <c r="Q95" s="55" t="n">
        <f aca="false">SUMIFS(데이터_품목별!$H$3:$H$2984,데이터_품목별!$E$3:$E$2984,"91",데이터_품목별!$A$3:$A$2984,"2025.03")</f>
        <v>21558</v>
      </c>
      <c r="R95" s="55" t="n">
        <f aca="false">SUMIFS(데이터_품목별!$H$3:$H$2984,데이터_품목별!$E$3:$E$2984,"91",데이터_품목별!$A$3:$A$2984,"2025.04")</f>
        <v>20035</v>
      </c>
      <c r="S95" s="55" t="n">
        <f aca="false">SUMIFS(데이터_품목별!$H$3:$H$2984,데이터_품목별!$E$3:$E$2984,"91",데이터_품목별!$A$3:$A$2984,"2025.05")</f>
        <v>18605</v>
      </c>
      <c r="T95" s="55" t="n">
        <f aca="false">SUMIFS(데이터_품목별!$H$3:$H$2984,데이터_품목별!$E$3:$E$2984,"91",데이터_품목별!$A$3:$A$2984,"2025.06")</f>
        <v>103555</v>
      </c>
      <c r="U95" s="55" t="n">
        <f aca="false">SUMIFS(데이터_품목별!$H$3:$H$2984,데이터_품목별!$E$3:$E$2984,"91",데이터_품목별!$A$3:$A$2984,"2025.07")</f>
        <v>20399</v>
      </c>
      <c r="V95" s="55" t="n">
        <f aca="false">SUMIFS(데이터_품목별!$H$3:$H$2984,데이터_품목별!$E$3:$E$2984,"91",데이터_품목별!$A$3:$A$2984,"2025.08")</f>
        <v>20403</v>
      </c>
      <c r="W95" s="55" t="n">
        <f aca="false">SUMIFS(데이터_품목별!$H$3:$H$2984,데이터_품목별!$E$3:$E$2984,"91",데이터_품목별!$A$3:$A$2984,"2025.09")</f>
        <v>25801</v>
      </c>
      <c r="X95" s="55" t="n">
        <f aca="false">SUMIFS(데이터_품목별!$H$3:$H$2984,데이터_품목별!$E$3:$E$2984,"91",데이터_품목별!$A$3:$A$2984,"2025.10")</f>
        <v>20734</v>
      </c>
      <c r="Y95" s="55" t="n">
        <f aca="false">SUMIFS(데이터_품목별!$H$3:$H$2984,데이터_품목별!$E$3:$E$2984,"91",데이터_품목별!$A$3:$A$2984,"2025.11")</f>
        <v>23712</v>
      </c>
      <c r="Z95" s="55" t="n">
        <f aca="false">SUMIFS(데이터_품목별!$H$3:$H$2984,데이터_품목별!$E$3:$E$2984,"91",데이터_품목별!$A$3:$A$2984,"2025.12")</f>
        <v>27052</v>
      </c>
      <c r="AA95" s="55" t="n">
        <f aca="false">SUMIFS(데이터_품목별!$H$3:$H$2984,데이터_품목별!$E$3:$E$2984,"91",데이터_품목별!$A$3:$A$2984,"2026.01")</f>
        <v>19372</v>
      </c>
      <c r="AB95" s="55" t="n">
        <f aca="false">SUMIFS(데이터_품목별!$H$3:$H$2984,데이터_품목별!$E$3:$E$2984,"91",데이터_품목별!$A$3:$A$2984,"2026.02")</f>
        <v>17770</v>
      </c>
      <c r="AC95" s="55" t="n">
        <f aca="false">SUMIFS(데이터_품목별!$H$3:$H$2984,데이터_품목별!$E$3:$E$2984,"91",데이터_품목별!$A$3:$A$2984,"2026.03")</f>
        <v>18854</v>
      </c>
      <c r="AD95" s="55" t="n">
        <f aca="false">SUMIFS(데이터_품목별!$H$3:$H$2984,데이터_품목별!$E$3:$E$2984,"91",데이터_품목별!$A$3:$A$2984,"2026.04")</f>
        <v>18559</v>
      </c>
      <c r="AE95" s="55" t="n">
        <f aca="false">SUMIFS(데이터_품목별!$H$3:$H$2984,데이터_품목별!$E$3:$E$2984,"91",데이터_품목별!$A$3:$A$2984,"2026.05")</f>
        <v>15041</v>
      </c>
      <c r="AF95" s="55" t="n">
        <f aca="false">SUMIFS(데이터_품목별!$H$3:$H$2984,데이터_품목별!$E$3:$E$2984,"91",데이터_품목별!$A$3:$A$2984,"2026.06")</f>
        <v>18351</v>
      </c>
      <c r="AG95" s="55" t="n">
        <f aca="false">SUMIFS(데이터_품목별!$H$3:$H$2984,데이터_품목별!$E$3:$E$2984,"91",데이터_품목별!$A$3:$A$2984,"2026.07")</f>
        <v>18077</v>
      </c>
    </row>
    <row r="96" customFormat="false" ht="15" hidden="false" customHeight="true" outlineLevel="0" collapsed="false">
      <c r="A96" s="53" t="s">
        <v>974</v>
      </c>
      <c r="B96" s="54" t="s">
        <v>975</v>
      </c>
      <c r="C96" s="55" t="n">
        <f aca="false">SUMIFS(데이터_품목별!$H$3:$H$2984,데이터_품목별!$E$3:$E$2984,"92",데이터_품목별!$A$3:$A$2984,"2024.01")</f>
        <v>9869</v>
      </c>
      <c r="D96" s="55" t="n">
        <f aca="false">SUMIFS(데이터_품목별!$H$3:$H$2984,데이터_품목별!$E$3:$E$2984,"92",데이터_품목별!$A$3:$A$2984,"2024.02")</f>
        <v>8157</v>
      </c>
      <c r="E96" s="55" t="n">
        <f aca="false">SUMIFS(데이터_품목별!$H$3:$H$2984,데이터_품목별!$E$3:$E$2984,"92",데이터_품목별!$A$3:$A$2984,"2024.03")</f>
        <v>9668</v>
      </c>
      <c r="F96" s="55" t="n">
        <f aca="false">SUMIFS(데이터_품목별!$H$3:$H$2984,데이터_품목별!$E$3:$E$2984,"92",데이터_품목별!$A$3:$A$2984,"2024.04")</f>
        <v>9806</v>
      </c>
      <c r="G96" s="55" t="n">
        <f aca="false">SUMIFS(데이터_품목별!$H$3:$H$2984,데이터_품목별!$E$3:$E$2984,"92",데이터_품목별!$A$3:$A$2984,"2024.05")</f>
        <v>9911</v>
      </c>
      <c r="H96" s="55" t="n">
        <f aca="false">SUMIFS(데이터_품목별!$H$3:$H$2984,데이터_품목별!$E$3:$E$2984,"92",데이터_품목별!$A$3:$A$2984,"2024.06")</f>
        <v>9756</v>
      </c>
      <c r="I96" s="55" t="n">
        <f aca="false">SUMIFS(데이터_품목별!$H$3:$H$2984,데이터_품목별!$E$3:$E$2984,"92",데이터_품목별!$A$3:$A$2984,"2024.07")</f>
        <v>10762</v>
      </c>
      <c r="J96" s="55" t="n">
        <f aca="false">SUMIFS(데이터_품목별!$H$3:$H$2984,데이터_품목별!$E$3:$E$2984,"92",데이터_품목별!$A$3:$A$2984,"2024.08")</f>
        <v>8502</v>
      </c>
      <c r="K96" s="55" t="n">
        <f aca="false">SUMIFS(데이터_품목별!$H$3:$H$2984,데이터_품목별!$E$3:$E$2984,"92",데이터_품목별!$A$3:$A$2984,"2024.09")</f>
        <v>9356</v>
      </c>
      <c r="L96" s="55" t="n">
        <f aca="false">SUMIFS(데이터_품목별!$H$3:$H$2984,데이터_품목별!$E$3:$E$2984,"92",데이터_품목별!$A$3:$A$2984,"2024.10")</f>
        <v>8627</v>
      </c>
      <c r="M96" s="55" t="n">
        <f aca="false">SUMIFS(데이터_품목별!$H$3:$H$2984,데이터_품목별!$E$3:$E$2984,"92",데이터_품목별!$A$3:$A$2984,"2024.11")</f>
        <v>8438</v>
      </c>
      <c r="N96" s="55" t="n">
        <f aca="false">SUMIFS(데이터_품목별!$H$3:$H$2984,데이터_품목별!$E$3:$E$2984,"92",데이터_품목별!$A$3:$A$2984,"2024.12")</f>
        <v>9808</v>
      </c>
      <c r="O96" s="55" t="n">
        <f aca="false">SUMIFS(데이터_품목별!$H$3:$H$2984,데이터_품목별!$E$3:$E$2984,"92",데이터_품목별!$A$3:$A$2984,"2025.01")</f>
        <v>7712</v>
      </c>
      <c r="P96" s="55" t="n">
        <f aca="false">SUMIFS(데이터_품목별!$H$3:$H$2984,데이터_품목별!$E$3:$E$2984,"92",데이터_품목별!$A$3:$A$2984,"2025.02")</f>
        <v>8586</v>
      </c>
      <c r="Q96" s="55" t="n">
        <f aca="false">SUMIFS(데이터_품목별!$H$3:$H$2984,데이터_품목별!$E$3:$E$2984,"92",데이터_품목별!$A$3:$A$2984,"2025.03")</f>
        <v>9381</v>
      </c>
      <c r="R96" s="55" t="n">
        <f aca="false">SUMIFS(데이터_품목별!$H$3:$H$2984,데이터_품목별!$E$3:$E$2984,"92",데이터_품목별!$A$3:$A$2984,"2025.04")</f>
        <v>8950</v>
      </c>
      <c r="S96" s="55" t="n">
        <f aca="false">SUMIFS(데이터_품목별!$H$3:$H$2984,데이터_품목별!$E$3:$E$2984,"92",데이터_품목별!$A$3:$A$2984,"2025.05")</f>
        <v>10243</v>
      </c>
      <c r="T96" s="55" t="n">
        <f aca="false">SUMIFS(데이터_품목별!$H$3:$H$2984,데이터_품목별!$E$3:$E$2984,"92",데이터_품목별!$A$3:$A$2984,"2025.06")</f>
        <v>9742</v>
      </c>
      <c r="U96" s="55" t="n">
        <f aca="false">SUMIFS(데이터_품목별!$H$3:$H$2984,데이터_품목별!$E$3:$E$2984,"92",데이터_품목별!$A$3:$A$2984,"2025.07")</f>
        <v>10207</v>
      </c>
      <c r="V96" s="55" t="n">
        <f aca="false">SUMIFS(데이터_품목별!$H$3:$H$2984,데이터_품목별!$E$3:$E$2984,"92",데이터_품목별!$A$3:$A$2984,"2025.08")</f>
        <v>8245</v>
      </c>
      <c r="W96" s="55" t="n">
        <f aca="false">SUMIFS(데이터_품목별!$H$3:$H$2984,데이터_품목별!$E$3:$E$2984,"92",데이터_품목별!$A$3:$A$2984,"2025.09")</f>
        <v>9381</v>
      </c>
      <c r="X96" s="55" t="n">
        <f aca="false">SUMIFS(데이터_품목별!$H$3:$H$2984,데이터_품목별!$E$3:$E$2984,"92",데이터_품목별!$A$3:$A$2984,"2025.10")</f>
        <v>5637</v>
      </c>
      <c r="Y96" s="55" t="n">
        <f aca="false">SUMIFS(데이터_품목별!$H$3:$H$2984,데이터_품목별!$E$3:$E$2984,"92",데이터_품목별!$A$3:$A$2984,"2025.11")</f>
        <v>7915</v>
      </c>
      <c r="Z96" s="55" t="n">
        <f aca="false">SUMIFS(데이터_품목별!$H$3:$H$2984,데이터_품목별!$E$3:$E$2984,"92",데이터_품목별!$A$3:$A$2984,"2025.12")</f>
        <v>8966</v>
      </c>
      <c r="AA96" s="55" t="n">
        <f aca="false">SUMIFS(데이터_품목별!$H$3:$H$2984,데이터_품목별!$E$3:$E$2984,"92",데이터_품목별!$A$3:$A$2984,"2026.01")</f>
        <v>7952</v>
      </c>
      <c r="AB96" s="55" t="n">
        <f aca="false">SUMIFS(데이터_품목별!$H$3:$H$2984,데이터_품목별!$E$3:$E$2984,"92",데이터_품목별!$A$3:$A$2984,"2026.02")</f>
        <v>5487</v>
      </c>
      <c r="AC96" s="55" t="n">
        <f aca="false">SUMIFS(데이터_품목별!$H$3:$H$2984,데이터_품목별!$E$3:$E$2984,"92",데이터_품목별!$A$3:$A$2984,"2026.03")</f>
        <v>8657</v>
      </c>
      <c r="AD96" s="55" t="n">
        <f aca="false">SUMIFS(데이터_품목별!$H$3:$H$2984,데이터_품목별!$E$3:$E$2984,"92",데이터_품목별!$A$3:$A$2984,"2026.04")</f>
        <v>9315</v>
      </c>
      <c r="AE96" s="55" t="n">
        <f aca="false">SUMIFS(데이터_품목별!$H$3:$H$2984,데이터_품목별!$E$3:$E$2984,"92",데이터_품목별!$A$3:$A$2984,"2026.05")</f>
        <v>8654</v>
      </c>
      <c r="AF96" s="55" t="n">
        <f aca="false">SUMIFS(데이터_품목별!$H$3:$H$2984,데이터_품목별!$E$3:$E$2984,"92",데이터_품목별!$A$3:$A$2984,"2026.06")</f>
        <v>8818</v>
      </c>
      <c r="AG96" s="55" t="n">
        <f aca="false">SUMIFS(데이터_품목별!$H$3:$H$2984,데이터_품목별!$E$3:$E$2984,"92",데이터_품목별!$A$3:$A$2984,"2026.07")</f>
        <v>9505</v>
      </c>
    </row>
    <row r="97" customFormat="false" ht="15" hidden="false" customHeight="true" outlineLevel="0" collapsed="false">
      <c r="A97" s="53" t="s">
        <v>981</v>
      </c>
      <c r="B97" s="54" t="s">
        <v>982</v>
      </c>
      <c r="C97" s="55" t="n">
        <f aca="false">SUMIFS(데이터_품목별!$H$3:$H$2984,데이터_품목별!$E$3:$E$2984,"93",데이터_품목별!$A$3:$A$2984,"2024.01")</f>
        <v>153027</v>
      </c>
      <c r="D97" s="55" t="n">
        <f aca="false">SUMIFS(데이터_품목별!$H$3:$H$2984,데이터_품목별!$E$3:$E$2984,"93",데이터_품목별!$A$3:$A$2984,"2024.02")</f>
        <v>75697</v>
      </c>
      <c r="E97" s="55" t="n">
        <f aca="false">SUMIFS(데이터_품목별!$H$3:$H$2984,데이터_품목별!$E$3:$E$2984,"93",데이터_품목별!$A$3:$A$2984,"2024.03")</f>
        <v>23570</v>
      </c>
      <c r="F97" s="55" t="n">
        <f aca="false">SUMIFS(데이터_품목별!$H$3:$H$2984,데이터_품목별!$E$3:$E$2984,"93",데이터_품목별!$A$3:$A$2984,"2024.04")</f>
        <v>279485</v>
      </c>
      <c r="G97" s="55" t="n">
        <f aca="false">SUMIFS(데이터_품목별!$H$3:$H$2984,데이터_품목별!$E$3:$E$2984,"93",데이터_품목별!$A$3:$A$2984,"2024.05")</f>
        <v>75139</v>
      </c>
      <c r="H97" s="55" t="n">
        <f aca="false">SUMIFS(데이터_품목별!$H$3:$H$2984,데이터_품목별!$E$3:$E$2984,"93",데이터_품목별!$A$3:$A$2984,"2024.06")</f>
        <v>368308</v>
      </c>
      <c r="I97" s="55" t="n">
        <f aca="false">SUMIFS(데이터_품목별!$H$3:$H$2984,데이터_품목별!$E$3:$E$2984,"93",데이터_품목별!$A$3:$A$2984,"2024.07")</f>
        <v>244886</v>
      </c>
      <c r="J97" s="55" t="n">
        <f aca="false">SUMIFS(데이터_품목별!$H$3:$H$2984,데이터_품목별!$E$3:$E$2984,"93",데이터_품목별!$A$3:$A$2984,"2024.08")</f>
        <v>318518</v>
      </c>
      <c r="K97" s="55" t="n">
        <f aca="false">SUMIFS(데이터_품목별!$H$3:$H$2984,데이터_품목별!$E$3:$E$2984,"93",데이터_품목별!$A$3:$A$2984,"2024.09")</f>
        <v>458496</v>
      </c>
      <c r="L97" s="55" t="n">
        <f aca="false">SUMIFS(데이터_품목별!$H$3:$H$2984,데이터_품목별!$E$3:$E$2984,"93",데이터_품목별!$A$3:$A$2984,"2024.10")</f>
        <v>188701</v>
      </c>
      <c r="M97" s="55" t="n">
        <f aca="false">SUMIFS(데이터_품목별!$H$3:$H$2984,데이터_품목별!$E$3:$E$2984,"93",데이터_품목별!$A$3:$A$2984,"2024.11")</f>
        <v>218257</v>
      </c>
      <c r="N97" s="55" t="n">
        <f aca="false">SUMIFS(데이터_품목별!$H$3:$H$2984,데이터_품목별!$E$3:$E$2984,"93",데이터_품목별!$A$3:$A$2984,"2024.12")</f>
        <v>282517</v>
      </c>
      <c r="O97" s="55" t="n">
        <f aca="false">SUMIFS(데이터_품목별!$H$3:$H$2984,데이터_품목별!$E$3:$E$2984,"93",데이터_품목별!$A$3:$A$2984,"2025.01")</f>
        <v>131749</v>
      </c>
      <c r="P97" s="55" t="n">
        <f aca="false">SUMIFS(데이터_품목별!$H$3:$H$2984,데이터_품목별!$E$3:$E$2984,"93",데이터_품목별!$A$3:$A$2984,"2025.02")</f>
        <v>285090</v>
      </c>
      <c r="Q97" s="55" t="n">
        <f aca="false">SUMIFS(데이터_품목별!$H$3:$H$2984,데이터_품목별!$E$3:$E$2984,"93",데이터_품목별!$A$3:$A$2984,"2025.03")</f>
        <v>140060</v>
      </c>
      <c r="R97" s="55" t="n">
        <f aca="false">SUMIFS(데이터_품목별!$H$3:$H$2984,데이터_품목별!$E$3:$E$2984,"93",데이터_품목별!$A$3:$A$2984,"2025.04")</f>
        <v>328186</v>
      </c>
      <c r="S97" s="55" t="n">
        <f aca="false">SUMIFS(데이터_품목별!$H$3:$H$2984,데이터_품목별!$E$3:$E$2984,"93",데이터_품목별!$A$3:$A$2984,"2025.05")</f>
        <v>279281</v>
      </c>
      <c r="T97" s="55" t="n">
        <f aca="false">SUMIFS(데이터_품목별!$H$3:$H$2984,데이터_품목별!$E$3:$E$2984,"93",데이터_품목별!$A$3:$A$2984,"2025.06")</f>
        <v>400342</v>
      </c>
      <c r="U97" s="55" t="n">
        <f aca="false">SUMIFS(데이터_품목별!$H$3:$H$2984,데이터_품목별!$E$3:$E$2984,"93",데이터_품목별!$A$3:$A$2984,"2025.07")</f>
        <v>226702</v>
      </c>
      <c r="V97" s="55" t="n">
        <f aca="false">SUMIFS(데이터_품목별!$H$3:$H$2984,데이터_품목별!$E$3:$E$2984,"93",데이터_품목별!$A$3:$A$2984,"2025.08")</f>
        <v>116196</v>
      </c>
      <c r="W97" s="55" t="n">
        <f aca="false">SUMIFS(데이터_품목별!$H$3:$H$2984,데이터_품목별!$E$3:$E$2984,"93",데이터_품목별!$A$3:$A$2984,"2025.09")</f>
        <v>624944</v>
      </c>
      <c r="X97" s="55" t="n">
        <f aca="false">SUMIFS(데이터_품목별!$H$3:$H$2984,데이터_품목별!$E$3:$E$2984,"93",데이터_품목별!$A$3:$A$2984,"2025.10")</f>
        <v>170669</v>
      </c>
      <c r="Y97" s="55" t="n">
        <f aca="false">SUMIFS(데이터_품목별!$H$3:$H$2984,데이터_품목별!$E$3:$E$2984,"93",데이터_품목별!$A$3:$A$2984,"2025.11")</f>
        <v>344118</v>
      </c>
      <c r="Z97" s="55" t="n">
        <f aca="false">SUMIFS(데이터_품목별!$H$3:$H$2984,데이터_품목별!$E$3:$E$2984,"93",데이터_품목별!$A$3:$A$2984,"2025.12")</f>
        <v>282967</v>
      </c>
      <c r="AA97" s="55" t="n">
        <f aca="false">SUMIFS(데이터_품목별!$H$3:$H$2984,데이터_품목별!$E$3:$E$2984,"93",데이터_품목별!$A$3:$A$2984,"2026.01")</f>
        <v>203744</v>
      </c>
      <c r="AB97" s="55" t="n">
        <f aca="false">SUMIFS(데이터_품목별!$H$3:$H$2984,데이터_품목별!$E$3:$E$2984,"93",데이터_품목별!$A$3:$A$2984,"2026.02")</f>
        <v>357141</v>
      </c>
      <c r="AC97" s="55" t="n">
        <f aca="false">SUMIFS(데이터_품목별!$H$3:$H$2984,데이터_품목별!$E$3:$E$2984,"93",데이터_품목별!$A$3:$A$2984,"2026.03")</f>
        <v>332188</v>
      </c>
      <c r="AD97" s="55" t="n">
        <f aca="false">SUMIFS(데이터_품목별!$H$3:$H$2984,데이터_품목별!$E$3:$E$2984,"93",데이터_품목별!$A$3:$A$2984,"2026.04")</f>
        <v>285361</v>
      </c>
      <c r="AE97" s="55" t="n">
        <f aca="false">SUMIFS(데이터_품목별!$H$3:$H$2984,데이터_품목별!$E$3:$E$2984,"93",데이터_품목별!$A$3:$A$2984,"2026.05")</f>
        <v>124558</v>
      </c>
      <c r="AF97" s="55" t="n">
        <f aca="false">SUMIFS(데이터_품목별!$H$3:$H$2984,데이터_품목별!$E$3:$E$2984,"93",데이터_품목별!$A$3:$A$2984,"2026.06")</f>
        <v>229028</v>
      </c>
      <c r="AG97" s="55" t="n">
        <f aca="false">SUMIFS(데이터_품목별!$H$3:$H$2984,데이터_품목별!$E$3:$E$2984,"93",데이터_품목별!$A$3:$A$2984,"2026.07")</f>
        <v>325608</v>
      </c>
    </row>
    <row r="98" customFormat="false" ht="15" hidden="false" customHeight="true" outlineLevel="0" collapsed="false">
      <c r="A98" s="53" t="s">
        <v>988</v>
      </c>
      <c r="B98" s="54" t="s">
        <v>989</v>
      </c>
      <c r="C98" s="55" t="n">
        <f aca="false">SUMIFS(데이터_품목별!$H$3:$H$2984,데이터_품목별!$E$3:$E$2984,"94",데이터_품목별!$A$3:$A$2984,"2024.01")</f>
        <v>113358</v>
      </c>
      <c r="D98" s="55" t="n">
        <f aca="false">SUMIFS(데이터_품목별!$H$3:$H$2984,데이터_품목별!$E$3:$E$2984,"94",데이터_품목별!$A$3:$A$2984,"2024.02")</f>
        <v>101831</v>
      </c>
      <c r="E98" s="55" t="n">
        <f aca="false">SUMIFS(데이터_품목별!$H$3:$H$2984,데이터_품목별!$E$3:$E$2984,"94",데이터_품목별!$A$3:$A$2984,"2024.03")</f>
        <v>109804</v>
      </c>
      <c r="F98" s="55" t="n">
        <f aca="false">SUMIFS(데이터_품목별!$H$3:$H$2984,데이터_품목별!$E$3:$E$2984,"94",데이터_품목별!$A$3:$A$2984,"2024.04")</f>
        <v>112188</v>
      </c>
      <c r="G98" s="55" t="n">
        <f aca="false">SUMIFS(데이터_품목별!$H$3:$H$2984,데이터_품목별!$E$3:$E$2984,"94",데이터_품목별!$A$3:$A$2984,"2024.05")</f>
        <v>117835</v>
      </c>
      <c r="H98" s="55" t="n">
        <f aca="false">SUMIFS(데이터_품목별!$H$3:$H$2984,데이터_품목별!$E$3:$E$2984,"94",데이터_품목별!$A$3:$A$2984,"2024.06")</f>
        <v>104061</v>
      </c>
      <c r="I98" s="55" t="n">
        <f aca="false">SUMIFS(데이터_품목별!$H$3:$H$2984,데이터_품목별!$E$3:$E$2984,"94",데이터_품목별!$A$3:$A$2984,"2024.07")</f>
        <v>121251</v>
      </c>
      <c r="J98" s="55" t="n">
        <f aca="false">SUMIFS(데이터_품목별!$H$3:$H$2984,데이터_품목별!$E$3:$E$2984,"94",데이터_품목별!$A$3:$A$2984,"2024.08")</f>
        <v>114566</v>
      </c>
      <c r="K98" s="55" t="n">
        <f aca="false">SUMIFS(데이터_품목별!$H$3:$H$2984,데이터_품목별!$E$3:$E$2984,"94",데이터_품목별!$A$3:$A$2984,"2024.09")</f>
        <v>109138</v>
      </c>
      <c r="L98" s="55" t="n">
        <f aca="false">SUMIFS(데이터_품목별!$H$3:$H$2984,데이터_품목별!$E$3:$E$2984,"94",데이터_품목별!$A$3:$A$2984,"2024.10")</f>
        <v>124005</v>
      </c>
      <c r="M98" s="55" t="n">
        <f aca="false">SUMIFS(데이터_품목별!$H$3:$H$2984,데이터_품목별!$E$3:$E$2984,"94",데이터_품목별!$A$3:$A$2984,"2024.11")</f>
        <v>125918</v>
      </c>
      <c r="N98" s="55" t="n">
        <f aca="false">SUMIFS(데이터_품목별!$H$3:$H$2984,데이터_품목별!$E$3:$E$2984,"94",데이터_품목별!$A$3:$A$2984,"2024.12")</f>
        <v>116556</v>
      </c>
      <c r="O98" s="55" t="n">
        <f aca="false">SUMIFS(데이터_품목별!$H$3:$H$2984,데이터_품목별!$E$3:$E$2984,"94",데이터_품목별!$A$3:$A$2984,"2025.01")</f>
        <v>94556</v>
      </c>
      <c r="P98" s="55" t="n">
        <f aca="false">SUMIFS(데이터_품목별!$H$3:$H$2984,데이터_품목별!$E$3:$E$2984,"94",데이터_품목별!$A$3:$A$2984,"2025.02")</f>
        <v>116709</v>
      </c>
      <c r="Q98" s="55" t="n">
        <f aca="false">SUMIFS(데이터_품목별!$H$3:$H$2984,데이터_품목별!$E$3:$E$2984,"94",데이터_품목별!$A$3:$A$2984,"2025.03")</f>
        <v>116963</v>
      </c>
      <c r="R98" s="55" t="n">
        <f aca="false">SUMIFS(데이터_품목별!$H$3:$H$2984,데이터_품목별!$E$3:$E$2984,"94",데이터_품목별!$A$3:$A$2984,"2025.04")</f>
        <v>119598</v>
      </c>
      <c r="S98" s="55" t="n">
        <f aca="false">SUMIFS(데이터_품목별!$H$3:$H$2984,데이터_품목별!$E$3:$E$2984,"94",데이터_품목별!$A$3:$A$2984,"2025.05")</f>
        <v>113605</v>
      </c>
      <c r="T98" s="55" t="n">
        <f aca="false">SUMIFS(데이터_품목별!$H$3:$H$2984,데이터_품목별!$E$3:$E$2984,"94",데이터_품목별!$A$3:$A$2984,"2025.06")</f>
        <v>105943</v>
      </c>
      <c r="U98" s="55" t="n">
        <f aca="false">SUMIFS(데이터_품목별!$H$3:$H$2984,데이터_품목별!$E$3:$E$2984,"94",데이터_품목별!$A$3:$A$2984,"2025.07")</f>
        <v>122496</v>
      </c>
      <c r="V98" s="55" t="n">
        <f aca="false">SUMIFS(데이터_품목별!$H$3:$H$2984,데이터_품목별!$E$3:$E$2984,"94",데이터_품목별!$A$3:$A$2984,"2025.08")</f>
        <v>108180</v>
      </c>
      <c r="W98" s="55" t="n">
        <f aca="false">SUMIFS(데이터_품목별!$H$3:$H$2984,데이터_품목별!$E$3:$E$2984,"94",데이터_품목별!$A$3:$A$2984,"2025.09")</f>
        <v>122072</v>
      </c>
      <c r="X98" s="55" t="n">
        <f aca="false">SUMIFS(데이터_품목별!$H$3:$H$2984,데이터_품목별!$E$3:$E$2984,"94",데이터_품목별!$A$3:$A$2984,"2025.10")</f>
        <v>98626</v>
      </c>
      <c r="Y98" s="55" t="n">
        <f aca="false">SUMIFS(데이터_품목별!$H$3:$H$2984,데이터_품목별!$E$3:$E$2984,"94",데이터_품목별!$A$3:$A$2984,"2025.11")</f>
        <v>108427</v>
      </c>
      <c r="Z98" s="55" t="n">
        <f aca="false">SUMIFS(데이터_품목별!$H$3:$H$2984,데이터_품목별!$E$3:$E$2984,"94",데이터_품목별!$A$3:$A$2984,"2025.12")</f>
        <v>122830</v>
      </c>
      <c r="AA98" s="55" t="n">
        <f aca="false">SUMIFS(데이터_품목별!$H$3:$H$2984,데이터_품목별!$E$3:$E$2984,"94",데이터_품목별!$A$3:$A$2984,"2026.01")</f>
        <v>105353</v>
      </c>
      <c r="AB98" s="55" t="n">
        <f aca="false">SUMIFS(데이터_품목별!$H$3:$H$2984,데이터_품목별!$E$3:$E$2984,"94",데이터_품목별!$A$3:$A$2984,"2026.02")</f>
        <v>90190</v>
      </c>
      <c r="AC98" s="55" t="n">
        <f aca="false">SUMIFS(데이터_품목별!$H$3:$H$2984,데이터_품목별!$E$3:$E$2984,"94",데이터_품목별!$A$3:$A$2984,"2026.03")</f>
        <v>109957</v>
      </c>
      <c r="AD98" s="55" t="n">
        <f aca="false">SUMIFS(데이터_품목별!$H$3:$H$2984,데이터_품목별!$E$3:$E$2984,"94",데이터_품목별!$A$3:$A$2984,"2026.04")</f>
        <v>118515</v>
      </c>
      <c r="AE98" s="55" t="n">
        <f aca="false">SUMIFS(데이터_품목별!$H$3:$H$2984,데이터_품목별!$E$3:$E$2984,"94",데이터_품목별!$A$3:$A$2984,"2026.05")</f>
        <v>97909</v>
      </c>
      <c r="AF98" s="55" t="n">
        <f aca="false">SUMIFS(데이터_품목별!$H$3:$H$2984,데이터_품목별!$E$3:$E$2984,"94",데이터_품목별!$A$3:$A$2984,"2026.06")</f>
        <v>104469</v>
      </c>
      <c r="AG98" s="55" t="n">
        <f aca="false">SUMIFS(데이터_품목별!$H$3:$H$2984,데이터_품목별!$E$3:$E$2984,"94",데이터_품목별!$A$3:$A$2984,"2026.07")</f>
        <v>121196</v>
      </c>
    </row>
    <row r="99" customFormat="false" ht="15" hidden="false" customHeight="true" outlineLevel="0" collapsed="false">
      <c r="A99" s="53" t="s">
        <v>995</v>
      </c>
      <c r="B99" s="54" t="s">
        <v>996</v>
      </c>
      <c r="C99" s="55" t="n">
        <f aca="false">SUMIFS(데이터_품목별!$H$3:$H$2984,데이터_품목별!$E$3:$E$2984,"95",데이터_품목별!$A$3:$A$2984,"2024.01")</f>
        <v>42834</v>
      </c>
      <c r="D99" s="55" t="n">
        <f aca="false">SUMIFS(데이터_품목별!$H$3:$H$2984,데이터_품목별!$E$3:$E$2984,"95",데이터_품목별!$A$3:$A$2984,"2024.02")</f>
        <v>39875</v>
      </c>
      <c r="E99" s="55" t="n">
        <f aca="false">SUMIFS(데이터_품목별!$H$3:$H$2984,데이터_품목별!$E$3:$E$2984,"95",데이터_품목별!$A$3:$A$2984,"2024.03")</f>
        <v>46640</v>
      </c>
      <c r="F99" s="55" t="n">
        <f aca="false">SUMIFS(데이터_품목별!$H$3:$H$2984,데이터_품목별!$E$3:$E$2984,"95",데이터_품목별!$A$3:$A$2984,"2024.04")</f>
        <v>44524</v>
      </c>
      <c r="G99" s="55" t="n">
        <f aca="false">SUMIFS(데이터_품목별!$H$3:$H$2984,데이터_품목별!$E$3:$E$2984,"95",데이터_품목별!$A$3:$A$2984,"2024.05")</f>
        <v>44213</v>
      </c>
      <c r="H99" s="55" t="n">
        <f aca="false">SUMIFS(데이터_품목별!$H$3:$H$2984,데이터_품목별!$E$3:$E$2984,"95",데이터_품목별!$A$3:$A$2984,"2024.06")</f>
        <v>47684</v>
      </c>
      <c r="I99" s="55" t="n">
        <f aca="false">SUMIFS(데이터_품목별!$H$3:$H$2984,데이터_품목별!$E$3:$E$2984,"95",데이터_품목별!$A$3:$A$2984,"2024.07")</f>
        <v>49334</v>
      </c>
      <c r="J99" s="55" t="n">
        <f aca="false">SUMIFS(데이터_품목별!$H$3:$H$2984,데이터_품목별!$E$3:$E$2984,"95",데이터_품목별!$A$3:$A$2984,"2024.08")</f>
        <v>42643</v>
      </c>
      <c r="K99" s="55" t="n">
        <f aca="false">SUMIFS(데이터_품목별!$H$3:$H$2984,데이터_품목별!$E$3:$E$2984,"95",데이터_품목별!$A$3:$A$2984,"2024.09")</f>
        <v>42896</v>
      </c>
      <c r="L99" s="55" t="n">
        <f aca="false">SUMIFS(데이터_품목별!$H$3:$H$2984,데이터_품목별!$E$3:$E$2984,"95",데이터_품목별!$A$3:$A$2984,"2024.10")</f>
        <v>51730</v>
      </c>
      <c r="M99" s="55" t="n">
        <f aca="false">SUMIFS(데이터_품목별!$H$3:$H$2984,데이터_품목별!$E$3:$E$2984,"95",데이터_품목별!$A$3:$A$2984,"2024.11")</f>
        <v>48032</v>
      </c>
      <c r="N99" s="55" t="n">
        <f aca="false">SUMIFS(데이터_품목별!$H$3:$H$2984,데이터_품목별!$E$3:$E$2984,"95",데이터_품목별!$A$3:$A$2984,"2024.12")</f>
        <v>58339</v>
      </c>
      <c r="O99" s="55" t="n">
        <f aca="false">SUMIFS(데이터_품목별!$H$3:$H$2984,데이터_품목별!$E$3:$E$2984,"95",데이터_품목별!$A$3:$A$2984,"2025.01")</f>
        <v>42783</v>
      </c>
      <c r="P99" s="55" t="n">
        <f aca="false">SUMIFS(데이터_품목별!$H$3:$H$2984,데이터_품목별!$E$3:$E$2984,"95",데이터_품목별!$A$3:$A$2984,"2025.02")</f>
        <v>47672</v>
      </c>
      <c r="Q99" s="55" t="n">
        <f aca="false">SUMIFS(데이터_품목별!$H$3:$H$2984,데이터_품목별!$E$3:$E$2984,"95",데이터_품목별!$A$3:$A$2984,"2025.03")</f>
        <v>46792</v>
      </c>
      <c r="R99" s="55" t="n">
        <f aca="false">SUMIFS(데이터_품목별!$H$3:$H$2984,데이터_품목별!$E$3:$E$2984,"95",데이터_품목별!$A$3:$A$2984,"2025.04")</f>
        <v>51502</v>
      </c>
      <c r="S99" s="55" t="n">
        <f aca="false">SUMIFS(데이터_품목별!$H$3:$H$2984,데이터_품목별!$E$3:$E$2984,"95",데이터_품목별!$A$3:$A$2984,"2025.05")</f>
        <v>47558</v>
      </c>
      <c r="T99" s="55" t="n">
        <f aca="false">SUMIFS(데이터_품목별!$H$3:$H$2984,데이터_품목별!$E$3:$E$2984,"95",데이터_품목별!$A$3:$A$2984,"2025.06")</f>
        <v>54169</v>
      </c>
      <c r="U99" s="55" t="n">
        <f aca="false">SUMIFS(데이터_품목별!$H$3:$H$2984,데이터_품목별!$E$3:$E$2984,"95",데이터_품목별!$A$3:$A$2984,"2025.07")</f>
        <v>56166</v>
      </c>
      <c r="V99" s="55" t="n">
        <f aca="false">SUMIFS(데이터_품목별!$H$3:$H$2984,데이터_품목별!$E$3:$E$2984,"95",데이터_품목별!$A$3:$A$2984,"2025.08")</f>
        <v>46656</v>
      </c>
      <c r="W99" s="55" t="n">
        <f aca="false">SUMIFS(데이터_품목별!$H$3:$H$2984,데이터_품목별!$E$3:$E$2984,"95",데이터_품목별!$A$3:$A$2984,"2025.09")</f>
        <v>67583</v>
      </c>
      <c r="X99" s="55" t="n">
        <f aca="false">SUMIFS(데이터_품목별!$H$3:$H$2984,데이터_품목별!$E$3:$E$2984,"95",데이터_품목별!$A$3:$A$2984,"2025.10")</f>
        <v>49342</v>
      </c>
      <c r="Y99" s="55" t="n">
        <f aca="false">SUMIFS(데이터_품목별!$H$3:$H$2984,데이터_품목별!$E$3:$E$2984,"95",데이터_품목별!$A$3:$A$2984,"2025.11")</f>
        <v>58095</v>
      </c>
      <c r="Z99" s="55" t="n">
        <f aca="false">SUMIFS(데이터_품목별!$H$3:$H$2984,데이터_품목별!$E$3:$E$2984,"95",데이터_품목별!$A$3:$A$2984,"2025.12")</f>
        <v>63378</v>
      </c>
      <c r="AA99" s="55" t="n">
        <f aca="false">SUMIFS(데이터_품목별!$H$3:$H$2984,데이터_품목별!$E$3:$E$2984,"95",데이터_품목별!$A$3:$A$2984,"2026.01")</f>
        <v>54001</v>
      </c>
      <c r="AB99" s="55" t="n">
        <f aca="false">SUMIFS(데이터_품목별!$H$3:$H$2984,데이터_품목별!$E$3:$E$2984,"95",데이터_품목별!$A$3:$A$2984,"2026.02")</f>
        <v>59169</v>
      </c>
      <c r="AC99" s="55" t="n">
        <f aca="false">SUMIFS(데이터_품목별!$H$3:$H$2984,데이터_품목별!$E$3:$E$2984,"95",데이터_품목별!$A$3:$A$2984,"2026.03")</f>
        <v>66804</v>
      </c>
      <c r="AD99" s="55" t="n">
        <f aca="false">SUMIFS(데이터_품목별!$H$3:$H$2984,데이터_품목별!$E$3:$E$2984,"95",데이터_품목별!$A$3:$A$2984,"2026.04")</f>
        <v>63444</v>
      </c>
      <c r="AE99" s="55" t="n">
        <f aca="false">SUMIFS(데이터_품목별!$H$3:$H$2984,데이터_품목별!$E$3:$E$2984,"95",데이터_품목별!$A$3:$A$2984,"2026.05")</f>
        <v>61825</v>
      </c>
      <c r="AF99" s="55" t="n">
        <f aca="false">SUMIFS(데이터_품목별!$H$3:$H$2984,데이터_품목별!$E$3:$E$2984,"95",데이터_품목별!$A$3:$A$2984,"2026.06")</f>
        <v>70166</v>
      </c>
      <c r="AG99" s="55" t="n">
        <f aca="false">SUMIFS(데이터_품목별!$H$3:$H$2984,데이터_품목별!$E$3:$E$2984,"95",데이터_품목별!$A$3:$A$2984,"2026.07")</f>
        <v>69133</v>
      </c>
    </row>
    <row r="100" customFormat="false" ht="15" hidden="false" customHeight="true" outlineLevel="0" collapsed="false">
      <c r="A100" s="53" t="s">
        <v>1002</v>
      </c>
      <c r="B100" s="54" t="s">
        <v>1003</v>
      </c>
      <c r="C100" s="55" t="n">
        <f aca="false">SUMIFS(데이터_품목별!$H$3:$H$2984,데이터_품목별!$E$3:$E$2984,"96",데이터_품목별!$A$3:$A$2984,"2024.01")</f>
        <v>35997</v>
      </c>
      <c r="D100" s="55" t="n">
        <f aca="false">SUMIFS(데이터_품목별!$H$3:$H$2984,데이터_품목별!$E$3:$E$2984,"96",데이터_품목별!$A$3:$A$2984,"2024.02")</f>
        <v>34777</v>
      </c>
      <c r="E100" s="55" t="n">
        <f aca="false">SUMIFS(데이터_품목별!$H$3:$H$2984,데이터_품목별!$E$3:$E$2984,"96",데이터_품목별!$A$3:$A$2984,"2024.03")</f>
        <v>37646</v>
      </c>
      <c r="F100" s="55" t="n">
        <f aca="false">SUMIFS(데이터_품목별!$H$3:$H$2984,데이터_품목별!$E$3:$E$2984,"96",데이터_품목별!$A$3:$A$2984,"2024.04")</f>
        <v>45218</v>
      </c>
      <c r="G100" s="55" t="n">
        <f aca="false">SUMIFS(데이터_품목별!$H$3:$H$2984,데이터_품목별!$E$3:$E$2984,"96",데이터_품목별!$A$3:$A$2984,"2024.05")</f>
        <v>46518</v>
      </c>
      <c r="H100" s="55" t="n">
        <f aca="false">SUMIFS(데이터_품목별!$H$3:$H$2984,데이터_품목별!$E$3:$E$2984,"96",데이터_품목별!$A$3:$A$2984,"2024.06")</f>
        <v>39801</v>
      </c>
      <c r="I100" s="55" t="n">
        <f aca="false">SUMIFS(데이터_품목별!$H$3:$H$2984,데이터_품목별!$E$3:$E$2984,"96",데이터_품목별!$A$3:$A$2984,"2024.07")</f>
        <v>40936</v>
      </c>
      <c r="J100" s="55" t="n">
        <f aca="false">SUMIFS(데이터_품목별!$H$3:$H$2984,데이터_품목별!$E$3:$E$2984,"96",데이터_품목별!$A$3:$A$2984,"2024.08")</f>
        <v>34177</v>
      </c>
      <c r="K100" s="55" t="n">
        <f aca="false">SUMIFS(데이터_품목별!$H$3:$H$2984,데이터_품목별!$E$3:$E$2984,"96",데이터_품목별!$A$3:$A$2984,"2024.09")</f>
        <v>35951</v>
      </c>
      <c r="L100" s="55" t="n">
        <f aca="false">SUMIFS(데이터_품목별!$H$3:$H$2984,데이터_품목별!$E$3:$E$2984,"96",데이터_품목별!$A$3:$A$2984,"2024.10")</f>
        <v>41675</v>
      </c>
      <c r="M100" s="55" t="n">
        <f aca="false">SUMIFS(데이터_품목별!$H$3:$H$2984,데이터_품목별!$E$3:$E$2984,"96",데이터_품목별!$A$3:$A$2984,"2024.11")</f>
        <v>39394</v>
      </c>
      <c r="N100" s="55" t="n">
        <f aca="false">SUMIFS(데이터_품목별!$H$3:$H$2984,데이터_품목별!$E$3:$E$2984,"96",데이터_품목별!$A$3:$A$2984,"2024.12")</f>
        <v>37626</v>
      </c>
      <c r="O100" s="55" t="n">
        <f aca="false">SUMIFS(데이터_품목별!$H$3:$H$2984,데이터_품목별!$E$3:$E$2984,"96",데이터_품목별!$A$3:$A$2984,"2025.01")</f>
        <v>31615</v>
      </c>
      <c r="P100" s="55" t="n">
        <f aca="false">SUMIFS(데이터_품목별!$H$3:$H$2984,데이터_품목별!$E$3:$E$2984,"96",데이터_품목별!$A$3:$A$2984,"2025.02")</f>
        <v>35898</v>
      </c>
      <c r="Q100" s="55" t="n">
        <f aca="false">SUMIFS(데이터_품목별!$H$3:$H$2984,데이터_품목별!$E$3:$E$2984,"96",데이터_품목별!$A$3:$A$2984,"2025.03")</f>
        <v>37900</v>
      </c>
      <c r="R100" s="55" t="n">
        <f aca="false">SUMIFS(데이터_품목별!$H$3:$H$2984,데이터_품목별!$E$3:$E$2984,"96",데이터_품목별!$A$3:$A$2984,"2025.04")</f>
        <v>44344</v>
      </c>
      <c r="S100" s="55" t="n">
        <f aca="false">SUMIFS(데이터_품목별!$H$3:$H$2984,데이터_품목별!$E$3:$E$2984,"96",데이터_품목별!$A$3:$A$2984,"2025.05")</f>
        <v>39476</v>
      </c>
      <c r="T100" s="55" t="n">
        <f aca="false">SUMIFS(데이터_품목별!$H$3:$H$2984,데이터_품목별!$E$3:$E$2984,"96",데이터_품목별!$A$3:$A$2984,"2025.06")</f>
        <v>36953</v>
      </c>
      <c r="U100" s="55" t="n">
        <f aca="false">SUMIFS(데이터_품목별!$H$3:$H$2984,데이터_품목별!$E$3:$E$2984,"96",데이터_품목별!$A$3:$A$2984,"2025.07")</f>
        <v>42220</v>
      </c>
      <c r="V100" s="55" t="n">
        <f aca="false">SUMIFS(데이터_품목별!$H$3:$H$2984,데이터_품목별!$E$3:$E$2984,"96",데이터_품목별!$A$3:$A$2984,"2025.08")</f>
        <v>31005</v>
      </c>
      <c r="W100" s="55" t="n">
        <f aca="false">SUMIFS(데이터_품목별!$H$3:$H$2984,데이터_품목별!$E$3:$E$2984,"96",데이터_품목별!$A$3:$A$2984,"2025.09")</f>
        <v>42514</v>
      </c>
      <c r="X100" s="55" t="n">
        <f aca="false">SUMIFS(데이터_품목별!$H$3:$H$2984,데이터_품목별!$E$3:$E$2984,"96",데이터_품목별!$A$3:$A$2984,"2025.10")</f>
        <v>37300</v>
      </c>
      <c r="Y100" s="55" t="n">
        <f aca="false">SUMIFS(데이터_품목별!$H$3:$H$2984,데이터_품목별!$E$3:$E$2984,"96",데이터_품목별!$A$3:$A$2984,"2025.11")</f>
        <v>37757</v>
      </c>
      <c r="Z100" s="55" t="n">
        <f aca="false">SUMIFS(데이터_품목별!$H$3:$H$2984,데이터_품목별!$E$3:$E$2984,"96",데이터_품목별!$A$3:$A$2984,"2025.12")</f>
        <v>37218</v>
      </c>
      <c r="AA100" s="55" t="n">
        <f aca="false">SUMIFS(데이터_품목별!$H$3:$H$2984,데이터_품목별!$E$3:$E$2984,"96",데이터_품목별!$A$3:$A$2984,"2026.01")</f>
        <v>36846</v>
      </c>
      <c r="AB100" s="55" t="n">
        <f aca="false">SUMIFS(데이터_품목별!$H$3:$H$2984,데이터_품목별!$E$3:$E$2984,"96",데이터_품목별!$A$3:$A$2984,"2026.02")</f>
        <v>31253</v>
      </c>
      <c r="AC100" s="55" t="n">
        <f aca="false">SUMIFS(데이터_품목별!$H$3:$H$2984,데이터_품목별!$E$3:$E$2984,"96",데이터_품목별!$A$3:$A$2984,"2026.03")</f>
        <v>38684</v>
      </c>
      <c r="AD100" s="55" t="n">
        <f aca="false">SUMIFS(데이터_품목별!$H$3:$H$2984,데이터_품목별!$E$3:$E$2984,"96",데이터_품목별!$A$3:$A$2984,"2026.04")</f>
        <v>43001</v>
      </c>
      <c r="AE100" s="55" t="n">
        <f aca="false">SUMIFS(데이터_품목별!$H$3:$H$2984,데이터_품목별!$E$3:$E$2984,"96",데이터_품목별!$A$3:$A$2984,"2026.05")</f>
        <v>38671</v>
      </c>
      <c r="AF100" s="55" t="n">
        <f aca="false">SUMIFS(데이터_품목별!$H$3:$H$2984,데이터_품목별!$E$3:$E$2984,"96",데이터_품목별!$A$3:$A$2984,"2026.06")</f>
        <v>42189</v>
      </c>
      <c r="AG100" s="55" t="n">
        <f aca="false">SUMIFS(데이터_품목별!$H$3:$H$2984,데이터_품목별!$E$3:$E$2984,"96",데이터_품목별!$A$3:$A$2984,"2026.07")</f>
        <v>44110</v>
      </c>
    </row>
    <row r="101" customFormat="false" ht="15" hidden="false" customHeight="true" outlineLevel="0" collapsed="false">
      <c r="A101" s="53" t="s">
        <v>1009</v>
      </c>
      <c r="B101" s="54" t="s">
        <v>1010</v>
      </c>
      <c r="C101" s="55" t="n">
        <f aca="false">SUMIFS(데이터_품목별!$H$3:$H$2984,데이터_품목별!$E$3:$E$2984,"97",데이터_품목별!$A$3:$A$2984,"2024.01")</f>
        <v>30149</v>
      </c>
      <c r="D101" s="55" t="n">
        <f aca="false">SUMIFS(데이터_품목별!$H$3:$H$2984,데이터_품목별!$E$3:$E$2984,"97",데이터_품목별!$A$3:$A$2984,"2024.02")</f>
        <v>38501</v>
      </c>
      <c r="E101" s="55" t="n">
        <f aca="false">SUMIFS(데이터_품목별!$H$3:$H$2984,데이터_품목별!$E$3:$E$2984,"97",데이터_품목별!$A$3:$A$2984,"2024.03")</f>
        <v>20572</v>
      </c>
      <c r="F101" s="55" t="n">
        <f aca="false">SUMIFS(데이터_품목별!$H$3:$H$2984,데이터_품목별!$E$3:$E$2984,"97",데이터_품목별!$A$3:$A$2984,"2024.04")</f>
        <v>45739</v>
      </c>
      <c r="G101" s="55" t="n">
        <f aca="false">SUMIFS(데이터_품목별!$H$3:$H$2984,데이터_품목별!$E$3:$E$2984,"97",데이터_품목별!$A$3:$A$2984,"2024.05")</f>
        <v>17073</v>
      </c>
      <c r="H101" s="55" t="n">
        <f aca="false">SUMIFS(데이터_품목별!$H$3:$H$2984,데이터_품목별!$E$3:$E$2984,"97",데이터_품목별!$A$3:$A$2984,"2024.06")</f>
        <v>13778</v>
      </c>
      <c r="I101" s="55" t="n">
        <f aca="false">SUMIFS(데이터_품목별!$H$3:$H$2984,데이터_품목별!$E$3:$E$2984,"97",데이터_품목별!$A$3:$A$2984,"2024.07")</f>
        <v>6695</v>
      </c>
      <c r="J101" s="55" t="n">
        <f aca="false">SUMIFS(데이터_품목별!$H$3:$H$2984,데이터_품목별!$E$3:$E$2984,"97",데이터_품목별!$A$3:$A$2984,"2024.08")</f>
        <v>14718</v>
      </c>
      <c r="K101" s="55" t="n">
        <f aca="false">SUMIFS(데이터_품목별!$H$3:$H$2984,데이터_품목별!$E$3:$E$2984,"97",데이터_품목별!$A$3:$A$2984,"2024.09")</f>
        <v>47307</v>
      </c>
      <c r="L101" s="55" t="n">
        <f aca="false">SUMIFS(데이터_품목별!$H$3:$H$2984,데이터_품목별!$E$3:$E$2984,"97",데이터_품목별!$A$3:$A$2984,"2024.10")</f>
        <v>59511</v>
      </c>
      <c r="M101" s="55" t="n">
        <f aca="false">SUMIFS(데이터_품목별!$H$3:$H$2984,데이터_품목별!$E$3:$E$2984,"97",데이터_품목별!$A$3:$A$2984,"2024.11")</f>
        <v>13667</v>
      </c>
      <c r="N101" s="55" t="n">
        <f aca="false">SUMIFS(데이터_품목별!$H$3:$H$2984,데이터_품목별!$E$3:$E$2984,"97",데이터_품목별!$A$3:$A$2984,"2024.12")</f>
        <v>16463</v>
      </c>
      <c r="O101" s="55" t="n">
        <f aca="false">SUMIFS(데이터_품목별!$H$3:$H$2984,데이터_품목별!$E$3:$E$2984,"97",데이터_품목별!$A$3:$A$2984,"2025.01")</f>
        <v>19833</v>
      </c>
      <c r="P101" s="55" t="n">
        <f aca="false">SUMIFS(데이터_품목별!$H$3:$H$2984,데이터_품목별!$E$3:$E$2984,"97",데이터_품목별!$A$3:$A$2984,"2025.02")</f>
        <v>24943</v>
      </c>
      <c r="Q101" s="55" t="n">
        <f aca="false">SUMIFS(데이터_품목별!$H$3:$H$2984,데이터_품목별!$E$3:$E$2984,"97",데이터_품목별!$A$3:$A$2984,"2025.03")</f>
        <v>17557</v>
      </c>
      <c r="R101" s="55" t="n">
        <f aca="false">SUMIFS(데이터_품목별!$H$3:$H$2984,데이터_품목별!$E$3:$E$2984,"97",데이터_품목별!$A$3:$A$2984,"2025.04")</f>
        <v>44654</v>
      </c>
      <c r="S101" s="55" t="n">
        <f aca="false">SUMIFS(데이터_품목별!$H$3:$H$2984,데이터_품목별!$E$3:$E$2984,"97",데이터_품목별!$A$3:$A$2984,"2025.05")</f>
        <v>27479</v>
      </c>
      <c r="T101" s="55" t="n">
        <f aca="false">SUMIFS(데이터_품목별!$H$3:$H$2984,데이터_품목별!$E$3:$E$2984,"97",데이터_품목별!$A$3:$A$2984,"2025.06")</f>
        <v>8750</v>
      </c>
      <c r="U101" s="55" t="n">
        <f aca="false">SUMIFS(데이터_품목별!$H$3:$H$2984,데이터_품목별!$E$3:$E$2984,"97",데이터_품목별!$A$3:$A$2984,"2025.07")</f>
        <v>36161</v>
      </c>
      <c r="V101" s="55" t="n">
        <f aca="false">SUMIFS(데이터_품목별!$H$3:$H$2984,데이터_품목별!$E$3:$E$2984,"97",데이터_품목별!$A$3:$A$2984,"2025.08")</f>
        <v>14438</v>
      </c>
      <c r="W101" s="55" t="n">
        <f aca="false">SUMIFS(데이터_품목별!$H$3:$H$2984,데이터_품목별!$E$3:$E$2984,"97",데이터_품목별!$A$3:$A$2984,"2025.09")</f>
        <v>95394</v>
      </c>
      <c r="X101" s="55" t="n">
        <f aca="false">SUMIFS(데이터_품목별!$H$3:$H$2984,데이터_품목별!$E$3:$E$2984,"97",데이터_품목별!$A$3:$A$2984,"2025.10")</f>
        <v>33834</v>
      </c>
      <c r="Y101" s="55" t="n">
        <f aca="false">SUMIFS(데이터_품목별!$H$3:$H$2984,데이터_품목별!$E$3:$E$2984,"97",데이터_품목별!$A$3:$A$2984,"2025.11")</f>
        <v>14417</v>
      </c>
      <c r="Z101" s="55" t="n">
        <f aca="false">SUMIFS(데이터_품목별!$H$3:$H$2984,데이터_품목별!$E$3:$E$2984,"97",데이터_품목별!$A$3:$A$2984,"2025.12")</f>
        <v>22587</v>
      </c>
      <c r="AA101" s="55" t="n">
        <f aca="false">SUMIFS(데이터_품목별!$H$3:$H$2984,데이터_품목별!$E$3:$E$2984,"97",데이터_품목별!$A$3:$A$2984,"2026.01")</f>
        <v>21931</v>
      </c>
      <c r="AB101" s="55" t="n">
        <f aca="false">SUMIFS(데이터_품목별!$H$3:$H$2984,데이터_품목별!$E$3:$E$2984,"97",데이터_품목별!$A$3:$A$2984,"2026.02")</f>
        <v>16783</v>
      </c>
      <c r="AC101" s="55" t="n">
        <f aca="false">SUMIFS(데이터_품목별!$H$3:$H$2984,데이터_품목별!$E$3:$E$2984,"97",데이터_품목별!$A$3:$A$2984,"2026.03")</f>
        <v>35026</v>
      </c>
      <c r="AD101" s="55" t="n">
        <f aca="false">SUMIFS(데이터_품목별!$H$3:$H$2984,데이터_품목별!$E$3:$E$2984,"97",데이터_품목별!$A$3:$A$2984,"2026.04")</f>
        <v>13734</v>
      </c>
      <c r="AE101" s="55" t="n">
        <f aca="false">SUMIFS(데이터_품목별!$H$3:$H$2984,데이터_품목별!$E$3:$E$2984,"97",데이터_품목별!$A$3:$A$2984,"2026.05")</f>
        <v>16884</v>
      </c>
      <c r="AF101" s="55" t="n">
        <f aca="false">SUMIFS(데이터_품목별!$H$3:$H$2984,데이터_품목별!$E$3:$E$2984,"97",데이터_품목별!$A$3:$A$2984,"2026.06")</f>
        <v>11400</v>
      </c>
      <c r="AG101" s="55" t="n">
        <f aca="false">SUMIFS(데이터_품목별!$H$3:$H$2984,데이터_품목별!$E$3:$E$2984,"97",데이터_품목별!$A$3:$A$2984,"2026.07")</f>
        <v>15110</v>
      </c>
    </row>
    <row r="102" customFormat="false" ht="15" hidden="false" customHeight="true" outlineLevel="0" collapsed="false">
      <c r="A102" s="53" t="s">
        <v>1016</v>
      </c>
      <c r="B102" s="54" t="s">
        <v>1017</v>
      </c>
      <c r="C102" s="55" t="n">
        <f aca="false">SUMIFS(데이터_품목별!$H$3:$H$2984,데이터_품목별!$E$3:$E$2984,"99",데이터_품목별!$A$3:$A$2984,"2024.01")</f>
        <v>0</v>
      </c>
      <c r="D102" s="55" t="n">
        <f aca="false">SUMIFS(데이터_품목별!$H$3:$H$2984,데이터_품목별!$E$3:$E$2984,"99",데이터_품목별!$A$3:$A$2984,"2024.02")</f>
        <v>0</v>
      </c>
      <c r="E102" s="55" t="n">
        <f aca="false">SUMIFS(데이터_품목별!$H$3:$H$2984,데이터_품목별!$E$3:$E$2984,"99",데이터_품목별!$A$3:$A$2984,"2024.03")</f>
        <v>0</v>
      </c>
      <c r="F102" s="55" t="n">
        <f aca="false">SUMIFS(데이터_품목별!$H$3:$H$2984,데이터_품목별!$E$3:$E$2984,"99",데이터_품목별!$A$3:$A$2984,"2024.04")</f>
        <v>0</v>
      </c>
      <c r="G102" s="55" t="n">
        <f aca="false">SUMIFS(데이터_품목별!$H$3:$H$2984,데이터_품목별!$E$3:$E$2984,"99",데이터_품목별!$A$3:$A$2984,"2024.05")</f>
        <v>0</v>
      </c>
      <c r="H102" s="55" t="n">
        <f aca="false">SUMIFS(데이터_품목별!$H$3:$H$2984,데이터_품목별!$E$3:$E$2984,"99",데이터_품목별!$A$3:$A$2984,"2024.06")</f>
        <v>0</v>
      </c>
      <c r="I102" s="55" t="n">
        <f aca="false">SUMIFS(데이터_품목별!$H$3:$H$2984,데이터_품목별!$E$3:$E$2984,"99",데이터_품목별!$A$3:$A$2984,"2024.07")</f>
        <v>0</v>
      </c>
      <c r="J102" s="55" t="n">
        <f aca="false">SUMIFS(데이터_품목별!$H$3:$H$2984,데이터_품목별!$E$3:$E$2984,"99",데이터_품목별!$A$3:$A$2984,"2024.08")</f>
        <v>0</v>
      </c>
      <c r="K102" s="55" t="n">
        <f aca="false">SUMIFS(데이터_품목별!$H$3:$H$2984,데이터_품목별!$E$3:$E$2984,"99",데이터_품목별!$A$3:$A$2984,"2024.09")</f>
        <v>0</v>
      </c>
      <c r="L102" s="55" t="n">
        <f aca="false">SUMIFS(데이터_품목별!$H$3:$H$2984,데이터_품목별!$E$3:$E$2984,"99",데이터_품목별!$A$3:$A$2984,"2024.10")</f>
        <v>0</v>
      </c>
      <c r="M102" s="55" t="n">
        <f aca="false">SUMIFS(데이터_품목별!$H$3:$H$2984,데이터_품목별!$E$3:$E$2984,"99",데이터_품목별!$A$3:$A$2984,"2024.11")</f>
        <v>0</v>
      </c>
      <c r="N102" s="55" t="n">
        <f aca="false">SUMIFS(데이터_품목별!$H$3:$H$2984,데이터_품목별!$E$3:$E$2984,"99",데이터_품목별!$A$3:$A$2984,"2024.12")</f>
        <v>0</v>
      </c>
      <c r="O102" s="55" t="n">
        <f aca="false">SUMIFS(데이터_품목별!$H$3:$H$2984,데이터_품목별!$E$3:$E$2984,"99",데이터_품목별!$A$3:$A$2984,"2025.01")</f>
        <v>0</v>
      </c>
      <c r="P102" s="55" t="n">
        <f aca="false">SUMIFS(데이터_품목별!$H$3:$H$2984,데이터_품목별!$E$3:$E$2984,"99",데이터_품목별!$A$3:$A$2984,"2025.02")</f>
        <v>0</v>
      </c>
      <c r="Q102" s="55" t="n">
        <f aca="false">SUMIFS(데이터_품목별!$H$3:$H$2984,데이터_품목별!$E$3:$E$2984,"99",데이터_품목별!$A$3:$A$2984,"2025.03")</f>
        <v>0</v>
      </c>
      <c r="R102" s="55" t="n">
        <f aca="false">SUMIFS(데이터_품목별!$H$3:$H$2984,데이터_품목별!$E$3:$E$2984,"99",데이터_품목별!$A$3:$A$2984,"2025.04")</f>
        <v>0</v>
      </c>
      <c r="S102" s="55" t="n">
        <f aca="false">SUMIFS(데이터_품목별!$H$3:$H$2984,데이터_품목별!$E$3:$E$2984,"99",데이터_품목별!$A$3:$A$2984,"2025.05")</f>
        <v>0</v>
      </c>
      <c r="T102" s="55" t="n">
        <f aca="false">SUMIFS(데이터_품목별!$H$3:$H$2984,데이터_품목별!$E$3:$E$2984,"99",데이터_품목별!$A$3:$A$2984,"2025.06")</f>
        <v>0</v>
      </c>
      <c r="U102" s="55" t="n">
        <f aca="false">SUMIFS(데이터_품목별!$H$3:$H$2984,데이터_품목별!$E$3:$E$2984,"99",데이터_품목별!$A$3:$A$2984,"2025.07")</f>
        <v>0</v>
      </c>
      <c r="V102" s="55" t="n">
        <f aca="false">SUMIFS(데이터_품목별!$H$3:$H$2984,데이터_품목별!$E$3:$E$2984,"99",데이터_품목별!$A$3:$A$2984,"2025.08")</f>
        <v>0</v>
      </c>
      <c r="W102" s="55" t="n">
        <f aca="false">SUMIFS(데이터_품목별!$H$3:$H$2984,데이터_품목별!$E$3:$E$2984,"99",데이터_품목별!$A$3:$A$2984,"2025.09")</f>
        <v>0</v>
      </c>
      <c r="X102" s="55" t="n">
        <f aca="false">SUMIFS(데이터_품목별!$H$3:$H$2984,데이터_품목별!$E$3:$E$2984,"99",데이터_품목별!$A$3:$A$2984,"2025.10")</f>
        <v>0</v>
      </c>
      <c r="Y102" s="55" t="n">
        <f aca="false">SUMIFS(데이터_품목별!$H$3:$H$2984,데이터_품목별!$E$3:$E$2984,"99",데이터_품목별!$A$3:$A$2984,"2025.11")</f>
        <v>0</v>
      </c>
      <c r="Z102" s="55" t="n">
        <f aca="false">SUMIFS(데이터_품목별!$H$3:$H$2984,데이터_품목별!$E$3:$E$2984,"99",데이터_품목별!$A$3:$A$2984,"2025.12")</f>
        <v>0</v>
      </c>
      <c r="AA102" s="55" t="n">
        <f aca="false">SUMIFS(데이터_품목별!$H$3:$H$2984,데이터_품목별!$E$3:$E$2984,"99",데이터_품목별!$A$3:$A$2984,"2026.01")</f>
        <v>0</v>
      </c>
      <c r="AB102" s="55" t="n">
        <f aca="false">SUMIFS(데이터_품목별!$H$3:$H$2984,데이터_품목별!$E$3:$E$2984,"99",데이터_품목별!$A$3:$A$2984,"2026.02")</f>
        <v>0</v>
      </c>
      <c r="AC102" s="55" t="n">
        <f aca="false">SUMIFS(데이터_품목별!$H$3:$H$2984,데이터_품목별!$E$3:$E$2984,"99",데이터_품목별!$A$3:$A$2984,"2026.03")</f>
        <v>0</v>
      </c>
      <c r="AD102" s="55" t="n">
        <f aca="false">SUMIFS(데이터_품목별!$H$3:$H$2984,데이터_품목별!$E$3:$E$2984,"99",데이터_품목별!$A$3:$A$2984,"2026.04")</f>
        <v>0</v>
      </c>
      <c r="AE102" s="55" t="n">
        <f aca="false">SUMIFS(데이터_품목별!$H$3:$H$2984,데이터_품목별!$E$3:$E$2984,"99",데이터_품목별!$A$3:$A$2984,"2026.05")</f>
        <v>0</v>
      </c>
      <c r="AF102" s="55" t="n">
        <f aca="false">SUMIFS(데이터_품목별!$H$3:$H$2984,데이터_품목별!$E$3:$E$2984,"99",데이터_품목별!$A$3:$A$2984,"2026.06")</f>
        <v>0</v>
      </c>
      <c r="AG102" s="55" t="n">
        <f aca="false">SUMIFS(데이터_품목별!$H$3:$H$2984,데이터_품목별!$E$3:$E$2984,"99",데이터_품목별!$A$3:$A$2984,"2026.07")</f>
        <v>0</v>
      </c>
    </row>
    <row r="104" customFormat="false" ht="14.25" hidden="false" customHeight="true" outlineLevel="0" collapsed="false">
      <c r="A104" s="23" t="s">
        <v>19798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customFormat="false" ht="15" hidden="false" customHeight="true" outlineLevel="0" collapsed="false">
      <c r="A105" s="5" t="s">
        <v>19797</v>
      </c>
      <c r="B105" s="5" t="s">
        <v>19663</v>
      </c>
      <c r="C105" s="44" t="s">
        <v>74</v>
      </c>
      <c r="D105" s="44" t="s">
        <v>83</v>
      </c>
      <c r="E105" s="44" t="s">
        <v>92</v>
      </c>
      <c r="F105" s="44" t="s">
        <v>101</v>
      </c>
      <c r="G105" s="44" t="s">
        <v>110</v>
      </c>
      <c r="H105" s="44" t="s">
        <v>119</v>
      </c>
      <c r="I105" s="44" t="s">
        <v>128</v>
      </c>
      <c r="J105" s="44" t="s">
        <v>137</v>
      </c>
      <c r="K105" s="44" t="s">
        <v>146</v>
      </c>
      <c r="L105" s="44" t="s">
        <v>155</v>
      </c>
      <c r="M105" s="44" t="s">
        <v>163</v>
      </c>
      <c r="N105" s="44" t="s">
        <v>171</v>
      </c>
      <c r="O105" s="44" t="s">
        <v>179</v>
      </c>
      <c r="P105" s="44" t="s">
        <v>187</v>
      </c>
      <c r="Q105" s="44" t="s">
        <v>195</v>
      </c>
      <c r="R105" s="44" t="s">
        <v>203</v>
      </c>
      <c r="S105" s="44" t="s">
        <v>211</v>
      </c>
      <c r="T105" s="44" t="s">
        <v>219</v>
      </c>
      <c r="U105" s="44" t="s">
        <v>228</v>
      </c>
      <c r="V105" s="44" t="s">
        <v>236</v>
      </c>
      <c r="W105" s="44" t="s">
        <v>244</v>
      </c>
      <c r="X105" s="44" t="s">
        <v>252</v>
      </c>
      <c r="Y105" s="44" t="s">
        <v>260</v>
      </c>
      <c r="Z105" s="44" t="s">
        <v>268</v>
      </c>
      <c r="AA105" s="44" t="s">
        <v>276</v>
      </c>
      <c r="AB105" s="44" t="s">
        <v>284</v>
      </c>
      <c r="AC105" s="44" t="s">
        <v>293</v>
      </c>
      <c r="AD105" s="44" t="s">
        <v>301</v>
      </c>
      <c r="AE105" s="44" t="s">
        <v>309</v>
      </c>
      <c r="AF105" s="44" t="s">
        <v>317</v>
      </c>
      <c r="AG105" s="44" t="s">
        <v>325</v>
      </c>
    </row>
    <row r="106" customFormat="false" ht="15" hidden="false" customHeight="true" outlineLevel="0" collapsed="false">
      <c r="A106" s="53" t="s">
        <v>345</v>
      </c>
      <c r="B106" s="54" t="s">
        <v>346</v>
      </c>
      <c r="C106" s="55" t="n">
        <f aca="false">SUMIFS(데이터_품목별!$J$3:$J$2984,데이터_품목별!$E$3:$E$2984,"01",데이터_품목별!$A$3:$A$2984,"2024.01")</f>
        <v>5631</v>
      </c>
      <c r="D106" s="55" t="n">
        <f aca="false">SUMIFS(데이터_품목별!$J$3:$J$2984,데이터_품목별!$E$3:$E$2984,"01",데이터_품목별!$A$3:$A$2984,"2024.02")</f>
        <v>4050</v>
      </c>
      <c r="E106" s="55" t="n">
        <f aca="false">SUMIFS(데이터_품목별!$J$3:$J$2984,데이터_품목별!$E$3:$E$2984,"01",데이터_품목별!$A$3:$A$2984,"2024.03")</f>
        <v>4386</v>
      </c>
      <c r="F106" s="55" t="n">
        <f aca="false">SUMIFS(데이터_품목별!$J$3:$J$2984,데이터_품목별!$E$3:$E$2984,"01",데이터_품목별!$A$3:$A$2984,"2024.04")</f>
        <v>7161</v>
      </c>
      <c r="G106" s="55" t="n">
        <f aca="false">SUMIFS(데이터_품목별!$J$3:$J$2984,데이터_품목별!$E$3:$E$2984,"01",데이터_품목별!$A$3:$A$2984,"2024.05")</f>
        <v>9747</v>
      </c>
      <c r="H106" s="55" t="n">
        <f aca="false">SUMIFS(데이터_품목별!$J$3:$J$2984,데이터_품목별!$E$3:$E$2984,"01",데이터_품목별!$A$3:$A$2984,"2024.06")</f>
        <v>6103</v>
      </c>
      <c r="I106" s="55" t="n">
        <f aca="false">SUMIFS(데이터_품목별!$J$3:$J$2984,데이터_품목별!$E$3:$E$2984,"01",데이터_품목별!$A$3:$A$2984,"2024.07")</f>
        <v>7023</v>
      </c>
      <c r="J106" s="55" t="n">
        <f aca="false">SUMIFS(데이터_품목별!$J$3:$J$2984,데이터_품목별!$E$3:$E$2984,"01",데이터_품목별!$A$3:$A$2984,"2024.08")</f>
        <v>5244</v>
      </c>
      <c r="K106" s="55" t="n">
        <f aca="false">SUMIFS(데이터_품목별!$J$3:$J$2984,데이터_품목별!$E$3:$E$2984,"01",데이터_품목별!$A$3:$A$2984,"2024.09")</f>
        <v>12678</v>
      </c>
      <c r="L106" s="55" t="n">
        <f aca="false">SUMIFS(데이터_품목별!$J$3:$J$2984,데이터_품목별!$E$3:$E$2984,"01",데이터_품목별!$A$3:$A$2984,"2024.10")</f>
        <v>4915</v>
      </c>
      <c r="M106" s="55" t="n">
        <f aca="false">SUMIFS(데이터_품목별!$J$3:$J$2984,데이터_품목별!$E$3:$E$2984,"01",데이터_품목별!$A$3:$A$2984,"2024.11")</f>
        <v>7559</v>
      </c>
      <c r="N106" s="55" t="n">
        <f aca="false">SUMIFS(데이터_품목별!$J$3:$J$2984,데이터_품목별!$E$3:$E$2984,"01",데이터_품목별!$A$3:$A$2984,"2024.12")</f>
        <v>5666</v>
      </c>
      <c r="O106" s="55" t="n">
        <f aca="false">SUMIFS(데이터_품목별!$J$3:$J$2984,데이터_품목별!$E$3:$E$2984,"01",데이터_품목별!$A$3:$A$2984,"2025.01")</f>
        <v>4460</v>
      </c>
      <c r="P106" s="55" t="n">
        <f aca="false">SUMIFS(데이터_품목별!$J$3:$J$2984,데이터_품목별!$E$3:$E$2984,"01",데이터_품목별!$A$3:$A$2984,"2025.02")</f>
        <v>4043</v>
      </c>
      <c r="Q106" s="55" t="n">
        <f aca="false">SUMIFS(데이터_품목별!$J$3:$J$2984,데이터_품목별!$E$3:$E$2984,"01",데이터_품목별!$A$3:$A$2984,"2025.03")</f>
        <v>7722</v>
      </c>
      <c r="R106" s="55" t="n">
        <f aca="false">SUMIFS(데이터_품목별!$J$3:$J$2984,데이터_품목별!$E$3:$E$2984,"01",데이터_품목별!$A$3:$A$2984,"2025.04")</f>
        <v>3434</v>
      </c>
      <c r="S106" s="55" t="n">
        <f aca="false">SUMIFS(데이터_품목별!$J$3:$J$2984,데이터_품목별!$E$3:$E$2984,"01",데이터_품목별!$A$3:$A$2984,"2025.05")</f>
        <v>4672</v>
      </c>
      <c r="T106" s="55" t="n">
        <f aca="false">SUMIFS(데이터_품목별!$J$3:$J$2984,데이터_품목별!$E$3:$E$2984,"01",데이터_품목별!$A$3:$A$2984,"2025.06")</f>
        <v>4854</v>
      </c>
      <c r="U106" s="55" t="n">
        <f aca="false">SUMIFS(데이터_품목별!$J$3:$J$2984,데이터_품목별!$E$3:$E$2984,"01",데이터_품목별!$A$3:$A$2984,"2025.07")</f>
        <v>8406</v>
      </c>
      <c r="V106" s="55" t="n">
        <f aca="false">SUMIFS(데이터_품목별!$J$3:$J$2984,데이터_품목별!$E$3:$E$2984,"01",데이터_품목별!$A$3:$A$2984,"2025.08")</f>
        <v>5954</v>
      </c>
      <c r="W106" s="55" t="n">
        <f aca="false">SUMIFS(데이터_품목별!$J$3:$J$2984,데이터_품목별!$E$3:$E$2984,"01",데이터_품목별!$A$3:$A$2984,"2025.09")</f>
        <v>5245</v>
      </c>
      <c r="X106" s="55" t="n">
        <f aca="false">SUMIFS(데이터_품목별!$J$3:$J$2984,데이터_품목별!$E$3:$E$2984,"01",데이터_품목별!$A$3:$A$2984,"2025.10")</f>
        <v>5990</v>
      </c>
      <c r="Y106" s="55" t="n">
        <f aca="false">SUMIFS(데이터_품목별!$J$3:$J$2984,데이터_품목별!$E$3:$E$2984,"01",데이터_품목별!$A$3:$A$2984,"2025.11")</f>
        <v>7946</v>
      </c>
      <c r="Z106" s="55" t="n">
        <f aca="false">SUMIFS(데이터_품목별!$J$3:$J$2984,데이터_품목별!$E$3:$E$2984,"01",데이터_품목별!$A$3:$A$2984,"2025.12")</f>
        <v>7127</v>
      </c>
      <c r="AA106" s="55" t="n">
        <f aca="false">SUMIFS(데이터_품목별!$J$3:$J$2984,데이터_품목별!$E$3:$E$2984,"01",데이터_품목별!$A$3:$A$2984,"2026.01")</f>
        <v>9604</v>
      </c>
      <c r="AB106" s="55" t="n">
        <f aca="false">SUMIFS(데이터_품목별!$J$3:$J$2984,데이터_품목별!$E$3:$E$2984,"01",데이터_품목별!$A$3:$A$2984,"2026.02")</f>
        <v>3042</v>
      </c>
      <c r="AC106" s="55" t="n">
        <f aca="false">SUMIFS(데이터_품목별!$J$3:$J$2984,데이터_품목별!$E$3:$E$2984,"01",데이터_품목별!$A$3:$A$2984,"2026.03")</f>
        <v>8718</v>
      </c>
      <c r="AD106" s="55" t="n">
        <f aca="false">SUMIFS(데이터_품목별!$J$3:$J$2984,데이터_품목별!$E$3:$E$2984,"01",데이터_품목별!$A$3:$A$2984,"2026.04")</f>
        <v>6448</v>
      </c>
      <c r="AE106" s="55" t="n">
        <f aca="false">SUMIFS(데이터_품목별!$J$3:$J$2984,데이터_품목별!$E$3:$E$2984,"01",데이터_품목별!$A$3:$A$2984,"2026.05")</f>
        <v>4476</v>
      </c>
      <c r="AF106" s="55" t="n">
        <f aca="false">SUMIFS(데이터_품목별!$J$3:$J$2984,데이터_품목별!$E$3:$E$2984,"01",데이터_품목별!$A$3:$A$2984,"2026.06")</f>
        <v>4974</v>
      </c>
      <c r="AG106" s="55" t="n">
        <f aca="false">SUMIFS(데이터_품목별!$J$3:$J$2984,데이터_품목별!$E$3:$E$2984,"01",데이터_품목별!$A$3:$A$2984,"2026.07")</f>
        <v>10824</v>
      </c>
    </row>
    <row r="107" customFormat="false" ht="15" hidden="false" customHeight="true" outlineLevel="0" collapsed="false">
      <c r="A107" s="53" t="s">
        <v>352</v>
      </c>
      <c r="B107" s="54" t="s">
        <v>353</v>
      </c>
      <c r="C107" s="55" t="n">
        <f aca="false">SUMIFS(데이터_품목별!$J$3:$J$2984,데이터_품목별!$E$3:$E$2984,"02",데이터_품목별!$A$3:$A$2984,"2024.01")</f>
        <v>823919</v>
      </c>
      <c r="D107" s="55" t="n">
        <f aca="false">SUMIFS(데이터_품목별!$J$3:$J$2984,데이터_품목별!$E$3:$E$2984,"02",데이터_품목별!$A$3:$A$2984,"2024.02")</f>
        <v>466316</v>
      </c>
      <c r="E107" s="55" t="n">
        <f aca="false">SUMIFS(데이터_품목별!$J$3:$J$2984,데이터_품목별!$E$3:$E$2984,"02",데이터_품목별!$A$3:$A$2984,"2024.03")</f>
        <v>598604</v>
      </c>
      <c r="F107" s="55" t="n">
        <f aca="false">SUMIFS(데이터_품목별!$J$3:$J$2984,데이터_품목별!$E$3:$E$2984,"02",데이터_품목별!$A$3:$A$2984,"2024.04")</f>
        <v>593805</v>
      </c>
      <c r="G107" s="55" t="n">
        <f aca="false">SUMIFS(데이터_품목별!$J$3:$J$2984,데이터_품목별!$E$3:$E$2984,"02",데이터_품목별!$A$3:$A$2984,"2024.05")</f>
        <v>594069</v>
      </c>
      <c r="H107" s="55" t="n">
        <f aca="false">SUMIFS(데이터_품목별!$J$3:$J$2984,데이터_품목별!$E$3:$E$2984,"02",데이터_품목별!$A$3:$A$2984,"2024.06")</f>
        <v>532554</v>
      </c>
      <c r="I107" s="55" t="n">
        <f aca="false">SUMIFS(데이터_품목별!$J$3:$J$2984,데이터_품목별!$E$3:$E$2984,"02",데이터_품목별!$A$3:$A$2984,"2024.07")</f>
        <v>606597</v>
      </c>
      <c r="J107" s="55" t="n">
        <f aca="false">SUMIFS(데이터_품목별!$J$3:$J$2984,데이터_품목별!$E$3:$E$2984,"02",데이터_품목별!$A$3:$A$2984,"2024.08")</f>
        <v>559902</v>
      </c>
      <c r="K107" s="55" t="n">
        <f aca="false">SUMIFS(데이터_품목별!$J$3:$J$2984,데이터_품목별!$E$3:$E$2984,"02",데이터_품목별!$A$3:$A$2984,"2024.09")</f>
        <v>519136</v>
      </c>
      <c r="L107" s="55" t="n">
        <f aca="false">SUMIFS(데이터_품목별!$J$3:$J$2984,데이터_품목별!$E$3:$E$2984,"02",데이터_품목별!$A$3:$A$2984,"2024.10")</f>
        <v>632370</v>
      </c>
      <c r="M107" s="55" t="n">
        <f aca="false">SUMIFS(데이터_품목별!$J$3:$J$2984,데이터_품목별!$E$3:$E$2984,"02",데이터_품목별!$A$3:$A$2984,"2024.11")</f>
        <v>471663</v>
      </c>
      <c r="N107" s="55" t="n">
        <f aca="false">SUMIFS(데이터_품목별!$J$3:$J$2984,데이터_품목별!$E$3:$E$2984,"02",데이터_품목별!$A$3:$A$2984,"2024.12")</f>
        <v>371229</v>
      </c>
      <c r="O107" s="55" t="n">
        <f aca="false">SUMIFS(데이터_품목별!$J$3:$J$2984,데이터_품목별!$E$3:$E$2984,"02",데이터_품목별!$A$3:$A$2984,"2025.01")</f>
        <v>728984</v>
      </c>
      <c r="P107" s="55" t="n">
        <f aca="false">SUMIFS(데이터_품목별!$J$3:$J$2984,데이터_품목별!$E$3:$E$2984,"02",데이터_품목별!$A$3:$A$2984,"2025.02")</f>
        <v>548202</v>
      </c>
      <c r="Q107" s="55" t="n">
        <f aca="false">SUMIFS(데이터_품목별!$J$3:$J$2984,데이터_품목별!$E$3:$E$2984,"02",데이터_품목별!$A$3:$A$2984,"2025.03")</f>
        <v>564842</v>
      </c>
      <c r="R107" s="55" t="n">
        <f aca="false">SUMIFS(데이터_품목별!$J$3:$J$2984,데이터_품목별!$E$3:$E$2984,"02",데이터_품목별!$A$3:$A$2984,"2025.04")</f>
        <v>584291</v>
      </c>
      <c r="S107" s="55" t="n">
        <f aca="false">SUMIFS(데이터_품목별!$J$3:$J$2984,데이터_품목별!$E$3:$E$2984,"02",데이터_품목별!$A$3:$A$2984,"2025.05")</f>
        <v>621611</v>
      </c>
      <c r="T107" s="55" t="n">
        <f aca="false">SUMIFS(데이터_품목별!$J$3:$J$2984,데이터_품목별!$E$3:$E$2984,"02",데이터_품목별!$A$3:$A$2984,"2025.06")</f>
        <v>593995</v>
      </c>
      <c r="U107" s="55" t="n">
        <f aca="false">SUMIFS(데이터_품목별!$J$3:$J$2984,데이터_품목별!$E$3:$E$2984,"02",데이터_품목별!$A$3:$A$2984,"2025.07")</f>
        <v>611387</v>
      </c>
      <c r="V107" s="55" t="n">
        <f aca="false">SUMIFS(데이터_품목별!$J$3:$J$2984,데이터_품목별!$E$3:$E$2984,"02",데이터_품목별!$A$3:$A$2984,"2025.08")</f>
        <v>625686</v>
      </c>
      <c r="W107" s="55" t="n">
        <f aca="false">SUMIFS(데이터_품목별!$J$3:$J$2984,데이터_품목별!$E$3:$E$2984,"02",데이터_품목별!$A$3:$A$2984,"2025.09")</f>
        <v>617386</v>
      </c>
      <c r="X107" s="55" t="n">
        <f aca="false">SUMIFS(데이터_품목별!$J$3:$J$2984,데이터_품목별!$E$3:$E$2984,"02",데이터_품목별!$A$3:$A$2984,"2025.10")</f>
        <v>512679</v>
      </c>
      <c r="Y107" s="55" t="n">
        <f aca="false">SUMIFS(데이터_품목별!$J$3:$J$2984,데이터_품목별!$E$3:$E$2984,"02",데이터_품목별!$A$3:$A$2984,"2025.11")</f>
        <v>476406</v>
      </c>
      <c r="Z107" s="55" t="n">
        <f aca="false">SUMIFS(데이터_품목별!$J$3:$J$2984,데이터_품목별!$E$3:$E$2984,"02",데이터_품목별!$A$3:$A$2984,"2025.12")</f>
        <v>454120</v>
      </c>
      <c r="AA107" s="55" t="n">
        <f aca="false">SUMIFS(데이터_품목별!$J$3:$J$2984,데이터_품목별!$E$3:$E$2984,"02",데이터_품목별!$A$3:$A$2984,"2026.01")</f>
        <v>1058452</v>
      </c>
      <c r="AB107" s="55" t="n">
        <f aca="false">SUMIFS(데이터_품목별!$J$3:$J$2984,데이터_품목별!$E$3:$E$2984,"02",데이터_품목별!$A$3:$A$2984,"2026.02")</f>
        <v>534967</v>
      </c>
      <c r="AC107" s="55" t="n">
        <f aca="false">SUMIFS(데이터_품목별!$J$3:$J$2984,데이터_품목별!$E$3:$E$2984,"02",데이터_품목별!$A$3:$A$2984,"2026.03")</f>
        <v>725085</v>
      </c>
      <c r="AD107" s="55" t="n">
        <f aca="false">SUMIFS(데이터_품목별!$J$3:$J$2984,데이터_품목별!$E$3:$E$2984,"02",데이터_품목별!$A$3:$A$2984,"2026.04")</f>
        <v>663455</v>
      </c>
      <c r="AE107" s="55" t="n">
        <f aca="false">SUMIFS(데이터_품목별!$J$3:$J$2984,데이터_품목별!$E$3:$E$2984,"02",데이터_품목별!$A$3:$A$2984,"2026.05")</f>
        <v>630354</v>
      </c>
      <c r="AF107" s="55" t="n">
        <f aca="false">SUMIFS(데이터_품목별!$J$3:$J$2984,데이터_품목별!$E$3:$E$2984,"02",데이터_품목별!$A$3:$A$2984,"2026.06")</f>
        <v>688942</v>
      </c>
      <c r="AG107" s="55" t="n">
        <f aca="false">SUMIFS(데이터_품목별!$J$3:$J$2984,데이터_품목별!$E$3:$E$2984,"02",데이터_품목별!$A$3:$A$2984,"2026.07")</f>
        <v>708349</v>
      </c>
    </row>
    <row r="108" customFormat="false" ht="15" hidden="false" customHeight="true" outlineLevel="0" collapsed="false">
      <c r="A108" s="53" t="s">
        <v>359</v>
      </c>
      <c r="B108" s="54" t="s">
        <v>360</v>
      </c>
      <c r="C108" s="55" t="n">
        <f aca="false">SUMIFS(데이터_품목별!$J$3:$J$2984,데이터_품목별!$E$3:$E$2984,"03",데이터_품목별!$A$3:$A$2984,"2024.01")</f>
        <v>424949</v>
      </c>
      <c r="D108" s="55" t="n">
        <f aca="false">SUMIFS(데이터_품목별!$J$3:$J$2984,데이터_품목별!$E$3:$E$2984,"03",데이터_품목별!$A$3:$A$2984,"2024.02")</f>
        <v>385892</v>
      </c>
      <c r="E108" s="55" t="n">
        <f aca="false">SUMIFS(데이터_품목별!$J$3:$J$2984,데이터_품목별!$E$3:$E$2984,"03",데이터_품목별!$A$3:$A$2984,"2024.03")</f>
        <v>397030</v>
      </c>
      <c r="F108" s="55" t="n">
        <f aca="false">SUMIFS(데이터_품목별!$J$3:$J$2984,데이터_품목별!$E$3:$E$2984,"03",데이터_품목별!$A$3:$A$2984,"2024.04")</f>
        <v>393118</v>
      </c>
      <c r="G108" s="55" t="n">
        <f aca="false">SUMIFS(데이터_품목별!$J$3:$J$2984,데이터_품목별!$E$3:$E$2984,"03",데이터_품목별!$A$3:$A$2984,"2024.05")</f>
        <v>378286</v>
      </c>
      <c r="H108" s="55" t="n">
        <f aca="false">SUMIFS(데이터_품목별!$J$3:$J$2984,데이터_품목별!$E$3:$E$2984,"03",데이터_품목별!$A$3:$A$2984,"2024.06")</f>
        <v>332565</v>
      </c>
      <c r="I108" s="55" t="n">
        <f aca="false">SUMIFS(데이터_품목별!$J$3:$J$2984,데이터_품목별!$E$3:$E$2984,"03",데이터_품목별!$A$3:$A$2984,"2024.07")</f>
        <v>347056</v>
      </c>
      <c r="J108" s="55" t="n">
        <f aca="false">SUMIFS(데이터_품목별!$J$3:$J$2984,데이터_품목별!$E$3:$E$2984,"03",데이터_품목별!$A$3:$A$2984,"2024.08")</f>
        <v>369453</v>
      </c>
      <c r="K108" s="55" t="n">
        <f aca="false">SUMIFS(데이터_품목별!$J$3:$J$2984,데이터_품목별!$E$3:$E$2984,"03",데이터_품목별!$A$3:$A$2984,"2024.09")</f>
        <v>381032</v>
      </c>
      <c r="L108" s="55" t="n">
        <f aca="false">SUMIFS(데이터_품목별!$J$3:$J$2984,데이터_품목별!$E$3:$E$2984,"03",데이터_품목별!$A$3:$A$2984,"2024.10")</f>
        <v>419466</v>
      </c>
      <c r="M108" s="55" t="n">
        <f aca="false">SUMIFS(데이터_품목별!$J$3:$J$2984,데이터_품목별!$E$3:$E$2984,"03",데이터_품목별!$A$3:$A$2984,"2024.11")</f>
        <v>418700</v>
      </c>
      <c r="N108" s="55" t="n">
        <f aca="false">SUMIFS(데이터_품목별!$J$3:$J$2984,데이터_품목별!$E$3:$E$2984,"03",데이터_품목별!$A$3:$A$2984,"2024.12")</f>
        <v>507303</v>
      </c>
      <c r="O108" s="55" t="n">
        <f aca="false">SUMIFS(데이터_품목별!$J$3:$J$2984,데이터_품목별!$E$3:$E$2984,"03",데이터_품목별!$A$3:$A$2984,"2025.01")</f>
        <v>406964</v>
      </c>
      <c r="P108" s="55" t="n">
        <f aca="false">SUMIFS(데이터_품목별!$J$3:$J$2984,데이터_품목별!$E$3:$E$2984,"03",데이터_품목별!$A$3:$A$2984,"2025.02")</f>
        <v>427360</v>
      </c>
      <c r="Q108" s="55" t="n">
        <f aca="false">SUMIFS(데이터_품목별!$J$3:$J$2984,데이터_품목별!$E$3:$E$2984,"03",데이터_품목별!$A$3:$A$2984,"2025.03")</f>
        <v>420426</v>
      </c>
      <c r="R108" s="55" t="n">
        <f aca="false">SUMIFS(데이터_품목별!$J$3:$J$2984,데이터_품목별!$E$3:$E$2984,"03",데이터_품목별!$A$3:$A$2984,"2025.04")</f>
        <v>432939</v>
      </c>
      <c r="S108" s="55" t="n">
        <f aca="false">SUMIFS(데이터_품목별!$J$3:$J$2984,데이터_품목별!$E$3:$E$2984,"03",데이터_품목별!$A$3:$A$2984,"2025.05")</f>
        <v>392011</v>
      </c>
      <c r="T108" s="55" t="n">
        <f aca="false">SUMIFS(데이터_품목별!$J$3:$J$2984,데이터_품목별!$E$3:$E$2984,"03",데이터_품목별!$A$3:$A$2984,"2025.06")</f>
        <v>403815</v>
      </c>
      <c r="U108" s="55" t="n">
        <f aca="false">SUMIFS(데이터_품목별!$J$3:$J$2984,데이터_품목별!$E$3:$E$2984,"03",데이터_품목별!$A$3:$A$2984,"2025.07")</f>
        <v>426131</v>
      </c>
      <c r="V108" s="55" t="n">
        <f aca="false">SUMIFS(데이터_품목별!$J$3:$J$2984,데이터_품목별!$E$3:$E$2984,"03",데이터_품목별!$A$3:$A$2984,"2025.08")</f>
        <v>375269</v>
      </c>
      <c r="W108" s="55" t="n">
        <f aca="false">SUMIFS(데이터_품목별!$J$3:$J$2984,데이터_품목별!$E$3:$E$2984,"03",데이터_품목별!$A$3:$A$2984,"2025.09")</f>
        <v>479689</v>
      </c>
      <c r="X108" s="55" t="n">
        <f aca="false">SUMIFS(데이터_품목별!$J$3:$J$2984,데이터_품목별!$E$3:$E$2984,"03",데이터_품목별!$A$3:$A$2984,"2025.10")</f>
        <v>407802</v>
      </c>
      <c r="Y108" s="55" t="n">
        <f aca="false">SUMIFS(데이터_품목별!$J$3:$J$2984,데이터_품목별!$E$3:$E$2984,"03",데이터_품목별!$A$3:$A$2984,"2025.11")</f>
        <v>438588</v>
      </c>
      <c r="Z108" s="55" t="n">
        <f aca="false">SUMIFS(데이터_품목별!$J$3:$J$2984,데이터_품목별!$E$3:$E$2984,"03",데이터_품목별!$A$3:$A$2984,"2025.12")</f>
        <v>551878</v>
      </c>
      <c r="AA108" s="55" t="n">
        <f aca="false">SUMIFS(데이터_품목별!$J$3:$J$2984,데이터_품목별!$E$3:$E$2984,"03",데이터_품목별!$A$3:$A$2984,"2026.01")</f>
        <v>446128</v>
      </c>
      <c r="AB108" s="55" t="n">
        <f aca="false">SUMIFS(데이터_품목별!$J$3:$J$2984,데이터_품목별!$E$3:$E$2984,"03",데이터_품목별!$A$3:$A$2984,"2026.02")</f>
        <v>380469</v>
      </c>
      <c r="AC108" s="55" t="n">
        <f aca="false">SUMIFS(데이터_품목별!$J$3:$J$2984,데이터_품목별!$E$3:$E$2984,"03",데이터_품목별!$A$3:$A$2984,"2026.03")</f>
        <v>443351</v>
      </c>
      <c r="AD108" s="55" t="n">
        <f aca="false">SUMIFS(데이터_품목별!$J$3:$J$2984,데이터_품목별!$E$3:$E$2984,"03",데이터_품목별!$A$3:$A$2984,"2026.04")</f>
        <v>463010</v>
      </c>
      <c r="AE108" s="55" t="n">
        <f aca="false">SUMIFS(데이터_품목별!$J$3:$J$2984,데이터_품목별!$E$3:$E$2984,"03",데이터_품목별!$A$3:$A$2984,"2026.05")</f>
        <v>430053</v>
      </c>
      <c r="AF108" s="55" t="n">
        <f aca="false">SUMIFS(데이터_품목별!$J$3:$J$2984,데이터_품목별!$E$3:$E$2984,"03",데이터_품목별!$A$3:$A$2984,"2026.06")</f>
        <v>418972</v>
      </c>
      <c r="AG108" s="55" t="n">
        <f aca="false">SUMIFS(데이터_품목별!$J$3:$J$2984,데이터_품목별!$E$3:$E$2984,"03",데이터_품목별!$A$3:$A$2984,"2026.07")</f>
        <v>390267</v>
      </c>
    </row>
    <row r="109" customFormat="false" ht="15" hidden="false" customHeight="true" outlineLevel="0" collapsed="false">
      <c r="A109" s="53" t="s">
        <v>366</v>
      </c>
      <c r="B109" s="54" t="s">
        <v>367</v>
      </c>
      <c r="C109" s="55" t="n">
        <f aca="false">SUMIFS(데이터_품목별!$J$3:$J$2984,데이터_품목별!$E$3:$E$2984,"04",데이터_품목별!$A$3:$A$2984,"2024.01")</f>
        <v>93645</v>
      </c>
      <c r="D109" s="55" t="n">
        <f aca="false">SUMIFS(데이터_품목별!$J$3:$J$2984,데이터_품목별!$E$3:$E$2984,"04",데이터_품목별!$A$3:$A$2984,"2024.02")</f>
        <v>81413</v>
      </c>
      <c r="E109" s="55" t="n">
        <f aca="false">SUMIFS(데이터_품목별!$J$3:$J$2984,데이터_품목별!$E$3:$E$2984,"04",데이터_품목별!$A$3:$A$2984,"2024.03")</f>
        <v>112453</v>
      </c>
      <c r="F109" s="55" t="n">
        <f aca="false">SUMIFS(데이터_품목별!$J$3:$J$2984,데이터_품목별!$E$3:$E$2984,"04",데이터_품목별!$A$3:$A$2984,"2024.04")</f>
        <v>116985</v>
      </c>
      <c r="G109" s="55" t="n">
        <f aca="false">SUMIFS(데이터_품목별!$J$3:$J$2984,데이터_품목별!$E$3:$E$2984,"04",데이터_품목별!$A$3:$A$2984,"2024.05")</f>
        <v>117723</v>
      </c>
      <c r="H109" s="55" t="n">
        <f aca="false">SUMIFS(데이터_품목별!$J$3:$J$2984,데이터_품목별!$E$3:$E$2984,"04",데이터_품목별!$A$3:$A$2984,"2024.06")</f>
        <v>106915</v>
      </c>
      <c r="I109" s="55" t="n">
        <f aca="false">SUMIFS(데이터_품목별!$J$3:$J$2984,데이터_품목별!$E$3:$E$2984,"04",데이터_품목별!$A$3:$A$2984,"2024.07")</f>
        <v>141897</v>
      </c>
      <c r="J109" s="55" t="n">
        <f aca="false">SUMIFS(데이터_품목별!$J$3:$J$2984,데이터_품목별!$E$3:$E$2984,"04",데이터_품목별!$A$3:$A$2984,"2024.08")</f>
        <v>116389</v>
      </c>
      <c r="K109" s="55" t="n">
        <f aca="false">SUMIFS(데이터_품목별!$J$3:$J$2984,데이터_품목별!$E$3:$E$2984,"04",데이터_품목별!$A$3:$A$2984,"2024.09")</f>
        <v>116769</v>
      </c>
      <c r="L109" s="55" t="n">
        <f aca="false">SUMIFS(데이터_품목별!$J$3:$J$2984,데이터_품목별!$E$3:$E$2984,"04",데이터_품목별!$A$3:$A$2984,"2024.10")</f>
        <v>128279</v>
      </c>
      <c r="M109" s="55" t="n">
        <f aca="false">SUMIFS(데이터_품목별!$J$3:$J$2984,데이터_품목별!$E$3:$E$2984,"04",데이터_품목별!$A$3:$A$2984,"2024.11")</f>
        <v>105637</v>
      </c>
      <c r="N109" s="55" t="n">
        <f aca="false">SUMIFS(데이터_품목별!$J$3:$J$2984,데이터_품목별!$E$3:$E$2984,"04",데이터_품목별!$A$3:$A$2984,"2024.12")</f>
        <v>118240</v>
      </c>
      <c r="O109" s="55" t="n">
        <f aca="false">SUMIFS(데이터_품목별!$J$3:$J$2984,데이터_품목별!$E$3:$E$2984,"04",데이터_품목별!$A$3:$A$2984,"2025.01")</f>
        <v>110511</v>
      </c>
      <c r="P109" s="55" t="n">
        <f aca="false">SUMIFS(데이터_품목별!$J$3:$J$2984,데이터_품목별!$E$3:$E$2984,"04",데이터_품목별!$A$3:$A$2984,"2025.02")</f>
        <v>131211</v>
      </c>
      <c r="Q109" s="55" t="n">
        <f aca="false">SUMIFS(데이터_품목별!$J$3:$J$2984,데이터_품목별!$E$3:$E$2984,"04",데이터_품목별!$A$3:$A$2984,"2025.03")</f>
        <v>137645</v>
      </c>
      <c r="R109" s="55" t="n">
        <f aca="false">SUMIFS(데이터_품목별!$J$3:$J$2984,데이터_품목별!$E$3:$E$2984,"04",데이터_품목별!$A$3:$A$2984,"2025.04")</f>
        <v>146884</v>
      </c>
      <c r="S109" s="55" t="n">
        <f aca="false">SUMIFS(데이터_품목별!$J$3:$J$2984,데이터_품목별!$E$3:$E$2984,"04",데이터_품목별!$A$3:$A$2984,"2025.05")</f>
        <v>139880</v>
      </c>
      <c r="T109" s="55" t="n">
        <f aca="false">SUMIFS(데이터_품목별!$J$3:$J$2984,데이터_품목별!$E$3:$E$2984,"04",데이터_품목별!$A$3:$A$2984,"2025.06")</f>
        <v>133473</v>
      </c>
      <c r="U109" s="55" t="n">
        <f aca="false">SUMIFS(데이터_품목별!$J$3:$J$2984,데이터_품목별!$E$3:$E$2984,"04",데이터_품목별!$A$3:$A$2984,"2025.07")</f>
        <v>177681</v>
      </c>
      <c r="V109" s="55" t="n">
        <f aca="false">SUMIFS(데이터_품목별!$J$3:$J$2984,데이터_품목별!$E$3:$E$2984,"04",데이터_품목별!$A$3:$A$2984,"2025.08")</f>
        <v>153760</v>
      </c>
      <c r="W109" s="55" t="n">
        <f aca="false">SUMIFS(데이터_품목별!$J$3:$J$2984,데이터_품목별!$E$3:$E$2984,"04",데이터_품목별!$A$3:$A$2984,"2025.09")</f>
        <v>171734</v>
      </c>
      <c r="X109" s="55" t="n">
        <f aca="false">SUMIFS(데이터_품목별!$J$3:$J$2984,데이터_품목별!$E$3:$E$2984,"04",데이터_품목별!$A$3:$A$2984,"2025.10")</f>
        <v>129786</v>
      </c>
      <c r="Y109" s="55" t="n">
        <f aca="false">SUMIFS(데이터_품목별!$J$3:$J$2984,데이터_품목별!$E$3:$E$2984,"04",데이터_품목별!$A$3:$A$2984,"2025.11")</f>
        <v>124131</v>
      </c>
      <c r="Z109" s="55" t="n">
        <f aca="false">SUMIFS(데이터_품목별!$J$3:$J$2984,데이터_품목별!$E$3:$E$2984,"04",데이터_품목별!$A$3:$A$2984,"2025.12")</f>
        <v>143192</v>
      </c>
      <c r="AA109" s="55" t="n">
        <f aca="false">SUMIFS(데이터_품목별!$J$3:$J$2984,데이터_품목별!$E$3:$E$2984,"04",데이터_품목별!$A$3:$A$2984,"2026.01")</f>
        <v>172090</v>
      </c>
      <c r="AB109" s="55" t="n">
        <f aca="false">SUMIFS(데이터_품목별!$J$3:$J$2984,데이터_품목별!$E$3:$E$2984,"04",데이터_품목별!$A$3:$A$2984,"2026.02")</f>
        <v>124895</v>
      </c>
      <c r="AC109" s="55" t="n">
        <f aca="false">SUMIFS(데이터_품목별!$J$3:$J$2984,데이터_품목별!$E$3:$E$2984,"04",데이터_품목별!$A$3:$A$2984,"2026.03")</f>
        <v>147420</v>
      </c>
      <c r="AD109" s="55" t="n">
        <f aca="false">SUMIFS(데이터_품목별!$J$3:$J$2984,데이터_품목별!$E$3:$E$2984,"04",데이터_품목별!$A$3:$A$2984,"2026.04")</f>
        <v>157580</v>
      </c>
      <c r="AE109" s="55" t="n">
        <f aca="false">SUMIFS(데이터_품목별!$J$3:$J$2984,데이터_품목별!$E$3:$E$2984,"04",데이터_품목별!$A$3:$A$2984,"2026.05")</f>
        <v>133278</v>
      </c>
      <c r="AF109" s="55" t="n">
        <f aca="false">SUMIFS(데이터_품목별!$J$3:$J$2984,데이터_품목별!$E$3:$E$2984,"04",데이터_품목별!$A$3:$A$2984,"2026.06")</f>
        <v>146611</v>
      </c>
      <c r="AG109" s="55" t="n">
        <f aca="false">SUMIFS(데이터_품목별!$J$3:$J$2984,데이터_품목별!$E$3:$E$2984,"04",데이터_품목별!$A$3:$A$2984,"2026.07")</f>
        <v>170842</v>
      </c>
    </row>
    <row r="110" customFormat="false" ht="15" hidden="false" customHeight="true" outlineLevel="0" collapsed="false">
      <c r="A110" s="53" t="s">
        <v>373</v>
      </c>
      <c r="B110" s="54" t="s">
        <v>374</v>
      </c>
      <c r="C110" s="55" t="n">
        <f aca="false">SUMIFS(데이터_품목별!$J$3:$J$2984,데이터_품목별!$E$3:$E$2984,"05",데이터_품목별!$A$3:$A$2984,"2024.01")</f>
        <v>28749</v>
      </c>
      <c r="D110" s="55" t="n">
        <f aca="false">SUMIFS(데이터_품목별!$J$3:$J$2984,데이터_품목별!$E$3:$E$2984,"05",데이터_품목별!$A$3:$A$2984,"2024.02")</f>
        <v>21617</v>
      </c>
      <c r="E110" s="55" t="n">
        <f aca="false">SUMIFS(데이터_품목별!$J$3:$J$2984,데이터_품목별!$E$3:$E$2984,"05",데이터_품목별!$A$3:$A$2984,"2024.03")</f>
        <v>22946</v>
      </c>
      <c r="F110" s="55" t="n">
        <f aca="false">SUMIFS(데이터_품목별!$J$3:$J$2984,데이터_품목별!$E$3:$E$2984,"05",데이터_품목별!$A$3:$A$2984,"2024.04")</f>
        <v>27827</v>
      </c>
      <c r="G110" s="55" t="n">
        <f aca="false">SUMIFS(데이터_품목별!$J$3:$J$2984,데이터_품목별!$E$3:$E$2984,"05",데이터_품목별!$A$3:$A$2984,"2024.05")</f>
        <v>24801</v>
      </c>
      <c r="H110" s="55" t="n">
        <f aca="false">SUMIFS(데이터_품목별!$J$3:$J$2984,데이터_품목별!$E$3:$E$2984,"05",데이터_품목별!$A$3:$A$2984,"2024.06")</f>
        <v>24953</v>
      </c>
      <c r="I110" s="55" t="n">
        <f aca="false">SUMIFS(데이터_품목별!$J$3:$J$2984,데이터_품목별!$E$3:$E$2984,"05",데이터_품목별!$A$3:$A$2984,"2024.07")</f>
        <v>26985</v>
      </c>
      <c r="J110" s="55" t="n">
        <f aca="false">SUMIFS(데이터_품목별!$J$3:$J$2984,데이터_품목별!$E$3:$E$2984,"05",데이터_품목별!$A$3:$A$2984,"2024.08")</f>
        <v>25030</v>
      </c>
      <c r="K110" s="55" t="n">
        <f aca="false">SUMIFS(데이터_품목별!$J$3:$J$2984,데이터_품목별!$E$3:$E$2984,"05",데이터_품목별!$A$3:$A$2984,"2024.09")</f>
        <v>21819</v>
      </c>
      <c r="L110" s="55" t="n">
        <f aca="false">SUMIFS(데이터_품목별!$J$3:$J$2984,데이터_품목별!$E$3:$E$2984,"05",데이터_품목별!$A$3:$A$2984,"2024.10")</f>
        <v>26491</v>
      </c>
      <c r="M110" s="55" t="n">
        <f aca="false">SUMIFS(데이터_품목별!$J$3:$J$2984,데이터_품목별!$E$3:$E$2984,"05",데이터_품목별!$A$3:$A$2984,"2024.11")</f>
        <v>21052</v>
      </c>
      <c r="N110" s="55" t="n">
        <f aca="false">SUMIFS(데이터_품목별!$J$3:$J$2984,데이터_품목별!$E$3:$E$2984,"05",데이터_품목별!$A$3:$A$2984,"2024.12")</f>
        <v>15733</v>
      </c>
      <c r="O110" s="55" t="n">
        <f aca="false">SUMIFS(데이터_품목별!$J$3:$J$2984,데이터_품목별!$E$3:$E$2984,"05",데이터_품목별!$A$3:$A$2984,"2025.01")</f>
        <v>20120</v>
      </c>
      <c r="P110" s="55" t="n">
        <f aca="false">SUMIFS(데이터_품목별!$J$3:$J$2984,데이터_품목별!$E$3:$E$2984,"05",데이터_품목별!$A$3:$A$2984,"2025.02")</f>
        <v>23264</v>
      </c>
      <c r="Q110" s="55" t="n">
        <f aca="false">SUMIFS(데이터_품목별!$J$3:$J$2984,데이터_품목별!$E$3:$E$2984,"05",데이터_품목별!$A$3:$A$2984,"2025.03")</f>
        <v>21351</v>
      </c>
      <c r="R110" s="55" t="n">
        <f aca="false">SUMIFS(데이터_품목별!$J$3:$J$2984,데이터_품목별!$E$3:$E$2984,"05",데이터_품목별!$A$3:$A$2984,"2025.04")</f>
        <v>20700</v>
      </c>
      <c r="S110" s="55" t="n">
        <f aca="false">SUMIFS(데이터_품목별!$J$3:$J$2984,데이터_품목별!$E$3:$E$2984,"05",데이터_품목별!$A$3:$A$2984,"2025.05")</f>
        <v>19528</v>
      </c>
      <c r="T110" s="55" t="n">
        <f aca="false">SUMIFS(데이터_품목별!$J$3:$J$2984,데이터_품목별!$E$3:$E$2984,"05",데이터_품목별!$A$3:$A$2984,"2025.06")</f>
        <v>14557</v>
      </c>
      <c r="U110" s="55" t="n">
        <f aca="false">SUMIFS(데이터_품목별!$J$3:$J$2984,데이터_품목별!$E$3:$E$2984,"05",데이터_품목별!$A$3:$A$2984,"2025.07")</f>
        <v>20621</v>
      </c>
      <c r="V110" s="55" t="n">
        <f aca="false">SUMIFS(데이터_품목별!$J$3:$J$2984,데이터_품목별!$E$3:$E$2984,"05",데이터_품목별!$A$3:$A$2984,"2025.08")</f>
        <v>17734</v>
      </c>
      <c r="W110" s="55" t="n">
        <f aca="false">SUMIFS(데이터_품목별!$J$3:$J$2984,데이터_품목별!$E$3:$E$2984,"05",데이터_품목별!$A$3:$A$2984,"2025.09")</f>
        <v>19788</v>
      </c>
      <c r="X110" s="55" t="n">
        <f aca="false">SUMIFS(데이터_품목별!$J$3:$J$2984,데이터_품목별!$E$3:$E$2984,"05",데이터_품목별!$A$3:$A$2984,"2025.10")</f>
        <v>14455</v>
      </c>
      <c r="Y110" s="55" t="n">
        <f aca="false">SUMIFS(데이터_품목별!$J$3:$J$2984,데이터_품목별!$E$3:$E$2984,"05",데이터_품목별!$A$3:$A$2984,"2025.11")</f>
        <v>16274</v>
      </c>
      <c r="Z110" s="55" t="n">
        <f aca="false">SUMIFS(데이터_품목별!$J$3:$J$2984,데이터_품목별!$E$3:$E$2984,"05",데이터_품목별!$A$3:$A$2984,"2025.12")</f>
        <v>20489</v>
      </c>
      <c r="AA110" s="55" t="n">
        <f aca="false">SUMIFS(데이터_품목별!$J$3:$J$2984,데이터_품목별!$E$3:$E$2984,"05",데이터_품목별!$A$3:$A$2984,"2026.01")</f>
        <v>24969</v>
      </c>
      <c r="AB110" s="55" t="n">
        <f aca="false">SUMIFS(데이터_품목별!$J$3:$J$2984,데이터_품목별!$E$3:$E$2984,"05",데이터_품목별!$A$3:$A$2984,"2026.02")</f>
        <v>15156</v>
      </c>
      <c r="AC110" s="55" t="n">
        <f aca="false">SUMIFS(데이터_품목별!$J$3:$J$2984,데이터_품목별!$E$3:$E$2984,"05",데이터_품목별!$A$3:$A$2984,"2026.03")</f>
        <v>18160</v>
      </c>
      <c r="AD110" s="55" t="n">
        <f aca="false">SUMIFS(데이터_품목별!$J$3:$J$2984,데이터_품목별!$E$3:$E$2984,"05",데이터_품목별!$A$3:$A$2984,"2026.04")</f>
        <v>22754</v>
      </c>
      <c r="AE110" s="55" t="n">
        <f aca="false">SUMIFS(데이터_품목별!$J$3:$J$2984,데이터_품목별!$E$3:$E$2984,"05",데이터_품목별!$A$3:$A$2984,"2026.05")</f>
        <v>15553</v>
      </c>
      <c r="AF110" s="55" t="n">
        <f aca="false">SUMIFS(데이터_품목별!$J$3:$J$2984,데이터_품목별!$E$3:$E$2984,"05",데이터_품목별!$A$3:$A$2984,"2026.06")</f>
        <v>17819</v>
      </c>
      <c r="AG110" s="55" t="n">
        <f aca="false">SUMIFS(데이터_품목별!$J$3:$J$2984,데이터_품목별!$E$3:$E$2984,"05",데이터_품목별!$A$3:$A$2984,"2026.07")</f>
        <v>17211</v>
      </c>
    </row>
    <row r="111" customFormat="false" ht="15" hidden="false" customHeight="true" outlineLevel="0" collapsed="false">
      <c r="A111" s="53" t="s">
        <v>380</v>
      </c>
      <c r="B111" s="54" t="s">
        <v>381</v>
      </c>
      <c r="C111" s="55" t="n">
        <f aca="false">SUMIFS(데이터_품목별!$J$3:$J$2984,데이터_품목별!$E$3:$E$2984,"06",데이터_품목별!$A$3:$A$2984,"2024.01")</f>
        <v>15350</v>
      </c>
      <c r="D111" s="55" t="n">
        <f aca="false">SUMIFS(데이터_품목별!$J$3:$J$2984,데이터_품목별!$E$3:$E$2984,"06",데이터_품목별!$A$3:$A$2984,"2024.02")</f>
        <v>14195</v>
      </c>
      <c r="E111" s="55" t="n">
        <f aca="false">SUMIFS(데이터_품목별!$J$3:$J$2984,데이터_품목별!$E$3:$E$2984,"06",데이터_품목별!$A$3:$A$2984,"2024.03")</f>
        <v>17822</v>
      </c>
      <c r="F111" s="55" t="n">
        <f aca="false">SUMIFS(데이터_품목별!$J$3:$J$2984,데이터_품목별!$E$3:$E$2984,"06",데이터_품목별!$A$3:$A$2984,"2024.04")</f>
        <v>19396</v>
      </c>
      <c r="G111" s="55" t="n">
        <f aca="false">SUMIFS(데이터_품목별!$J$3:$J$2984,데이터_품목별!$E$3:$E$2984,"06",데이터_품목별!$A$3:$A$2984,"2024.05")</f>
        <v>12711</v>
      </c>
      <c r="H111" s="55" t="n">
        <f aca="false">SUMIFS(데이터_품목별!$J$3:$J$2984,데이터_품목별!$E$3:$E$2984,"06",데이터_품목별!$A$3:$A$2984,"2024.06")</f>
        <v>9310</v>
      </c>
      <c r="I111" s="55" t="n">
        <f aca="false">SUMIFS(데이터_품목별!$J$3:$J$2984,데이터_품목별!$E$3:$E$2984,"06",데이터_품목별!$A$3:$A$2984,"2024.07")</f>
        <v>7592</v>
      </c>
      <c r="J111" s="55" t="n">
        <f aca="false">SUMIFS(데이터_품목별!$J$3:$J$2984,데이터_품목별!$E$3:$E$2984,"06",데이터_품목별!$A$3:$A$2984,"2024.08")</f>
        <v>12508</v>
      </c>
      <c r="K111" s="55" t="n">
        <f aca="false">SUMIFS(데이터_품목별!$J$3:$J$2984,데이터_품목별!$E$3:$E$2984,"06",데이터_품목별!$A$3:$A$2984,"2024.09")</f>
        <v>12190</v>
      </c>
      <c r="L111" s="55" t="n">
        <f aca="false">SUMIFS(데이터_품목별!$J$3:$J$2984,데이터_품목별!$E$3:$E$2984,"06",데이터_품목별!$A$3:$A$2984,"2024.10")</f>
        <v>16615</v>
      </c>
      <c r="M111" s="55" t="n">
        <f aca="false">SUMIFS(데이터_품목별!$J$3:$J$2984,데이터_품목별!$E$3:$E$2984,"06",데이터_품목별!$A$3:$A$2984,"2024.11")</f>
        <v>18309</v>
      </c>
      <c r="N111" s="55" t="n">
        <f aca="false">SUMIFS(데이터_품목별!$J$3:$J$2984,데이터_품목별!$E$3:$E$2984,"06",데이터_품목별!$A$3:$A$2984,"2024.12")</f>
        <v>17837</v>
      </c>
      <c r="O111" s="55" t="n">
        <f aca="false">SUMIFS(데이터_품목별!$J$3:$J$2984,데이터_품목별!$E$3:$E$2984,"06",데이터_품목별!$A$3:$A$2984,"2025.01")</f>
        <v>13617</v>
      </c>
      <c r="P111" s="55" t="n">
        <f aca="false">SUMIFS(데이터_품목별!$J$3:$J$2984,데이터_품목별!$E$3:$E$2984,"06",데이터_품목별!$A$3:$A$2984,"2025.02")</f>
        <v>16111</v>
      </c>
      <c r="Q111" s="55" t="n">
        <f aca="false">SUMIFS(데이터_품목별!$J$3:$J$2984,데이터_품목별!$E$3:$E$2984,"06",데이터_품목별!$A$3:$A$2984,"2025.03")</f>
        <v>15107</v>
      </c>
      <c r="R111" s="55" t="n">
        <f aca="false">SUMIFS(데이터_품목별!$J$3:$J$2984,데이터_품목별!$E$3:$E$2984,"06",데이터_품목별!$A$3:$A$2984,"2025.04")</f>
        <v>19065</v>
      </c>
      <c r="S111" s="55" t="n">
        <f aca="false">SUMIFS(데이터_품목별!$J$3:$J$2984,데이터_품목별!$E$3:$E$2984,"06",데이터_품목별!$A$3:$A$2984,"2025.05")</f>
        <v>12528</v>
      </c>
      <c r="T111" s="55" t="n">
        <f aca="false">SUMIFS(데이터_품목별!$J$3:$J$2984,데이터_품목별!$E$3:$E$2984,"06",데이터_품목별!$A$3:$A$2984,"2025.06")</f>
        <v>9904</v>
      </c>
      <c r="U111" s="55" t="n">
        <f aca="false">SUMIFS(데이터_품목별!$J$3:$J$2984,데이터_품목별!$E$3:$E$2984,"06",데이터_품목별!$A$3:$A$2984,"2025.07")</f>
        <v>9073</v>
      </c>
      <c r="V111" s="55" t="n">
        <f aca="false">SUMIFS(데이터_품목별!$J$3:$J$2984,데이터_품목별!$E$3:$E$2984,"06",데이터_품목별!$A$3:$A$2984,"2025.08")</f>
        <v>10395</v>
      </c>
      <c r="W111" s="55" t="n">
        <f aca="false">SUMIFS(데이터_품목별!$J$3:$J$2984,데이터_품목별!$E$3:$E$2984,"06",데이터_품목별!$A$3:$A$2984,"2025.09")</f>
        <v>15944</v>
      </c>
      <c r="X111" s="55" t="n">
        <f aca="false">SUMIFS(데이터_품목별!$J$3:$J$2984,데이터_품목별!$E$3:$E$2984,"06",데이터_품목별!$A$3:$A$2984,"2025.10")</f>
        <v>15732</v>
      </c>
      <c r="Y111" s="55" t="n">
        <f aca="false">SUMIFS(데이터_품목별!$J$3:$J$2984,데이터_품목별!$E$3:$E$2984,"06",데이터_품목별!$A$3:$A$2984,"2025.11")</f>
        <v>18510</v>
      </c>
      <c r="Z111" s="55" t="n">
        <f aca="false">SUMIFS(데이터_품목별!$J$3:$J$2984,데이터_품목별!$E$3:$E$2984,"06",데이터_품목별!$A$3:$A$2984,"2025.12")</f>
        <v>19085</v>
      </c>
      <c r="AA111" s="55" t="n">
        <f aca="false">SUMIFS(데이터_품목별!$J$3:$J$2984,데이터_품목별!$E$3:$E$2984,"06",데이터_품목별!$A$3:$A$2984,"2026.01")</f>
        <v>15735</v>
      </c>
      <c r="AB111" s="55" t="n">
        <f aca="false">SUMIFS(데이터_품목별!$J$3:$J$2984,데이터_품목별!$E$3:$E$2984,"06",데이터_품목별!$A$3:$A$2984,"2026.02")</f>
        <v>13476</v>
      </c>
      <c r="AC111" s="55" t="n">
        <f aca="false">SUMIFS(데이터_품목별!$J$3:$J$2984,데이터_품목별!$E$3:$E$2984,"06",데이터_품목별!$A$3:$A$2984,"2026.03")</f>
        <v>16121</v>
      </c>
      <c r="AD111" s="55" t="n">
        <f aca="false">SUMIFS(데이터_품목별!$J$3:$J$2984,데이터_품목별!$E$3:$E$2984,"06",데이터_품목별!$A$3:$A$2984,"2026.04")</f>
        <v>20456</v>
      </c>
      <c r="AE111" s="55" t="n">
        <f aca="false">SUMIFS(데이터_품목별!$J$3:$J$2984,데이터_품목별!$E$3:$E$2984,"06",데이터_품목별!$A$3:$A$2984,"2026.05")</f>
        <v>12172</v>
      </c>
      <c r="AF111" s="55" t="n">
        <f aca="false">SUMIFS(데이터_품목별!$J$3:$J$2984,데이터_품목별!$E$3:$E$2984,"06",데이터_품목별!$A$3:$A$2984,"2026.06")</f>
        <v>11423</v>
      </c>
      <c r="AG111" s="55" t="n">
        <f aca="false">SUMIFS(데이터_품목별!$J$3:$J$2984,데이터_품목별!$E$3:$E$2984,"06",데이터_품목별!$A$3:$A$2984,"2026.07")</f>
        <v>9065</v>
      </c>
    </row>
    <row r="112" customFormat="false" ht="15" hidden="false" customHeight="true" outlineLevel="0" collapsed="false">
      <c r="A112" s="53" t="s">
        <v>387</v>
      </c>
      <c r="B112" s="54" t="s">
        <v>388</v>
      </c>
      <c r="C112" s="55" t="n">
        <f aca="false">SUMIFS(데이터_품목별!$J$3:$J$2984,데이터_품목별!$E$3:$E$2984,"07",데이터_품목별!$A$3:$A$2984,"2024.01")</f>
        <v>86850</v>
      </c>
      <c r="D112" s="55" t="n">
        <f aca="false">SUMIFS(데이터_품목별!$J$3:$J$2984,데이터_품목별!$E$3:$E$2984,"07",데이터_품목별!$A$3:$A$2984,"2024.02")</f>
        <v>57438</v>
      </c>
      <c r="E112" s="55" t="n">
        <f aca="false">SUMIFS(데이터_품목별!$J$3:$J$2984,데이터_품목별!$E$3:$E$2984,"07",데이터_품목별!$A$3:$A$2984,"2024.03")</f>
        <v>72551</v>
      </c>
      <c r="F112" s="55" t="n">
        <f aca="false">SUMIFS(데이터_품목별!$J$3:$J$2984,데이터_품목별!$E$3:$E$2984,"07",데이터_품목별!$A$3:$A$2984,"2024.04")</f>
        <v>78941</v>
      </c>
      <c r="G112" s="55" t="n">
        <f aca="false">SUMIFS(데이터_품목별!$J$3:$J$2984,데이터_품목별!$E$3:$E$2984,"07",데이터_품목별!$A$3:$A$2984,"2024.05")</f>
        <v>72023</v>
      </c>
      <c r="H112" s="55" t="n">
        <f aca="false">SUMIFS(데이터_품목별!$J$3:$J$2984,데이터_품목별!$E$3:$E$2984,"07",데이터_품목별!$A$3:$A$2984,"2024.06")</f>
        <v>69536</v>
      </c>
      <c r="I112" s="55" t="n">
        <f aca="false">SUMIFS(데이터_품목별!$J$3:$J$2984,데이터_품목별!$E$3:$E$2984,"07",데이터_품목별!$A$3:$A$2984,"2024.07")</f>
        <v>64554</v>
      </c>
      <c r="J112" s="55" t="n">
        <f aca="false">SUMIFS(데이터_품목별!$J$3:$J$2984,데이터_품목별!$E$3:$E$2984,"07",데이터_품목별!$A$3:$A$2984,"2024.08")</f>
        <v>58450</v>
      </c>
      <c r="K112" s="55" t="n">
        <f aca="false">SUMIFS(데이터_품목별!$J$3:$J$2984,데이터_품목별!$E$3:$E$2984,"07",데이터_품목별!$A$3:$A$2984,"2024.09")</f>
        <v>65707</v>
      </c>
      <c r="L112" s="55" t="n">
        <f aca="false">SUMIFS(데이터_품목별!$J$3:$J$2984,데이터_품목별!$E$3:$E$2984,"07",데이터_품목별!$A$3:$A$2984,"2024.10")</f>
        <v>72006</v>
      </c>
      <c r="M112" s="55" t="n">
        <f aca="false">SUMIFS(데이터_품목별!$J$3:$J$2984,데이터_품목별!$E$3:$E$2984,"07",데이터_품목별!$A$3:$A$2984,"2024.11")</f>
        <v>68938</v>
      </c>
      <c r="N112" s="55" t="n">
        <f aca="false">SUMIFS(데이터_품목별!$J$3:$J$2984,데이터_품목별!$E$3:$E$2984,"07",데이터_품목별!$A$3:$A$2984,"2024.12")</f>
        <v>86828</v>
      </c>
      <c r="O112" s="55" t="n">
        <f aca="false">SUMIFS(데이터_품목별!$J$3:$J$2984,데이터_품목별!$E$3:$E$2984,"07",데이터_품목별!$A$3:$A$2984,"2025.01")</f>
        <v>75650</v>
      </c>
      <c r="P112" s="55" t="n">
        <f aca="false">SUMIFS(데이터_품목별!$J$3:$J$2984,데이터_품목별!$E$3:$E$2984,"07",데이터_품목별!$A$3:$A$2984,"2025.02")</f>
        <v>68479</v>
      </c>
      <c r="Q112" s="55" t="n">
        <f aca="false">SUMIFS(데이터_품목별!$J$3:$J$2984,데이터_품목별!$E$3:$E$2984,"07",데이터_품목별!$A$3:$A$2984,"2025.03")</f>
        <v>75233</v>
      </c>
      <c r="R112" s="55" t="n">
        <f aca="false">SUMIFS(데이터_품목별!$J$3:$J$2984,데이터_품목별!$E$3:$E$2984,"07",데이터_품목별!$A$3:$A$2984,"2025.04")</f>
        <v>82659</v>
      </c>
      <c r="S112" s="55" t="n">
        <f aca="false">SUMIFS(데이터_품목별!$J$3:$J$2984,데이터_품목별!$E$3:$E$2984,"07",데이터_품목별!$A$3:$A$2984,"2025.05")</f>
        <v>59626</v>
      </c>
      <c r="T112" s="55" t="n">
        <f aca="false">SUMIFS(데이터_품목별!$J$3:$J$2984,데이터_품목별!$E$3:$E$2984,"07",데이터_품목별!$A$3:$A$2984,"2025.06")</f>
        <v>54708</v>
      </c>
      <c r="U112" s="55" t="n">
        <f aca="false">SUMIFS(데이터_품목별!$J$3:$J$2984,데이터_품목별!$E$3:$E$2984,"07",데이터_품목별!$A$3:$A$2984,"2025.07")</f>
        <v>71878</v>
      </c>
      <c r="V112" s="55" t="n">
        <f aca="false">SUMIFS(데이터_품목별!$J$3:$J$2984,데이터_품목별!$E$3:$E$2984,"07",데이터_품목별!$A$3:$A$2984,"2025.08")</f>
        <v>59768</v>
      </c>
      <c r="W112" s="55" t="n">
        <f aca="false">SUMIFS(데이터_품목별!$J$3:$J$2984,데이터_품목별!$E$3:$E$2984,"07",데이터_품목별!$A$3:$A$2984,"2025.09")</f>
        <v>80782</v>
      </c>
      <c r="X112" s="55" t="n">
        <f aca="false">SUMIFS(데이터_품목별!$J$3:$J$2984,데이터_품목별!$E$3:$E$2984,"07",데이터_품목별!$A$3:$A$2984,"2025.10")</f>
        <v>65984</v>
      </c>
      <c r="Y112" s="55" t="n">
        <f aca="false">SUMIFS(데이터_품목별!$J$3:$J$2984,데이터_품목별!$E$3:$E$2984,"07",데이터_품목별!$A$3:$A$2984,"2025.11")</f>
        <v>68332</v>
      </c>
      <c r="Z112" s="55" t="n">
        <f aca="false">SUMIFS(데이터_품목별!$J$3:$J$2984,데이터_품목별!$E$3:$E$2984,"07",데이터_품목별!$A$3:$A$2984,"2025.12")</f>
        <v>78714</v>
      </c>
      <c r="AA112" s="55" t="n">
        <f aca="false">SUMIFS(데이터_품목별!$J$3:$J$2984,데이터_품목별!$E$3:$E$2984,"07",데이터_품목별!$A$3:$A$2984,"2026.01")</f>
        <v>61735</v>
      </c>
      <c r="AB112" s="55" t="n">
        <f aca="false">SUMIFS(데이터_품목별!$J$3:$J$2984,데이터_품목별!$E$3:$E$2984,"07",데이터_품목별!$A$3:$A$2984,"2026.02")</f>
        <v>58137</v>
      </c>
      <c r="AC112" s="55" t="n">
        <f aca="false">SUMIFS(데이터_품목별!$J$3:$J$2984,데이터_품목별!$E$3:$E$2984,"07",데이터_품목별!$A$3:$A$2984,"2026.03")</f>
        <v>70772</v>
      </c>
      <c r="AD112" s="55" t="n">
        <f aca="false">SUMIFS(데이터_품목별!$J$3:$J$2984,데이터_품목별!$E$3:$E$2984,"07",데이터_품목별!$A$3:$A$2984,"2026.04")</f>
        <v>65724</v>
      </c>
      <c r="AE112" s="55" t="n">
        <f aca="false">SUMIFS(데이터_품목별!$J$3:$J$2984,데이터_품목별!$E$3:$E$2984,"07",데이터_품목별!$A$3:$A$2984,"2026.05")</f>
        <v>52018</v>
      </c>
      <c r="AF112" s="55" t="n">
        <f aca="false">SUMIFS(데이터_품목별!$J$3:$J$2984,데이터_품목별!$E$3:$E$2984,"07",데이터_품목별!$A$3:$A$2984,"2026.06")</f>
        <v>55515</v>
      </c>
      <c r="AG112" s="55" t="n">
        <f aca="false">SUMIFS(데이터_품목별!$J$3:$J$2984,데이터_품목별!$E$3:$E$2984,"07",데이터_품목별!$A$3:$A$2984,"2026.07")</f>
        <v>48073</v>
      </c>
    </row>
    <row r="113" customFormat="false" ht="15" hidden="false" customHeight="true" outlineLevel="0" collapsed="false">
      <c r="A113" s="53" t="s">
        <v>394</v>
      </c>
      <c r="B113" s="54" t="s">
        <v>395</v>
      </c>
      <c r="C113" s="55" t="n">
        <f aca="false">SUMIFS(데이터_품목별!$J$3:$J$2984,데이터_품목별!$E$3:$E$2984,"08",데이터_품목별!$A$3:$A$2984,"2024.01")</f>
        <v>159724</v>
      </c>
      <c r="D113" s="55" t="n">
        <f aca="false">SUMIFS(데이터_품목별!$J$3:$J$2984,데이터_품목별!$E$3:$E$2984,"08",데이터_품목별!$A$3:$A$2984,"2024.02")</f>
        <v>149910</v>
      </c>
      <c r="E113" s="55" t="n">
        <f aca="false">SUMIFS(데이터_품목별!$J$3:$J$2984,데이터_품목별!$E$3:$E$2984,"08",데이터_품목별!$A$3:$A$2984,"2024.03")</f>
        <v>263723</v>
      </c>
      <c r="F113" s="55" t="n">
        <f aca="false">SUMIFS(데이터_품목별!$J$3:$J$2984,데이터_품목별!$E$3:$E$2984,"08",데이터_품목별!$A$3:$A$2984,"2024.04")</f>
        <v>277352</v>
      </c>
      <c r="G113" s="55" t="n">
        <f aca="false">SUMIFS(데이터_품목별!$J$3:$J$2984,데이터_품목별!$E$3:$E$2984,"08",데이터_품목별!$A$3:$A$2984,"2024.05")</f>
        <v>243291</v>
      </c>
      <c r="H113" s="55" t="n">
        <f aca="false">SUMIFS(데이터_품목별!$J$3:$J$2984,데이터_품목별!$E$3:$E$2984,"08",데이터_품목별!$A$3:$A$2984,"2024.06")</f>
        <v>194215</v>
      </c>
      <c r="I113" s="55" t="n">
        <f aca="false">SUMIFS(데이터_품목별!$J$3:$J$2984,데이터_품목별!$E$3:$E$2984,"08",데이터_품목별!$A$3:$A$2984,"2024.07")</f>
        <v>155367</v>
      </c>
      <c r="J113" s="55" t="n">
        <f aca="false">SUMIFS(데이터_품목별!$J$3:$J$2984,데이터_품목별!$E$3:$E$2984,"08",데이터_품목별!$A$3:$A$2984,"2024.08")</f>
        <v>134609</v>
      </c>
      <c r="K113" s="55" t="n">
        <f aca="false">SUMIFS(데이터_품목별!$J$3:$J$2984,데이터_품목별!$E$3:$E$2984,"08",데이터_품목별!$A$3:$A$2984,"2024.09")</f>
        <v>111239</v>
      </c>
      <c r="L113" s="55" t="n">
        <f aca="false">SUMIFS(데이터_품목별!$J$3:$J$2984,데이터_품목별!$E$3:$E$2984,"08",데이터_품목별!$A$3:$A$2984,"2024.10")</f>
        <v>141478</v>
      </c>
      <c r="M113" s="55" t="n">
        <f aca="false">SUMIFS(데이터_품목별!$J$3:$J$2984,데이터_품목별!$E$3:$E$2984,"08",데이터_품목별!$A$3:$A$2984,"2024.11")</f>
        <v>123341</v>
      </c>
      <c r="N113" s="55" t="n">
        <f aca="false">SUMIFS(데이터_품목별!$J$3:$J$2984,데이터_품목별!$E$3:$E$2984,"08",데이터_품목별!$A$3:$A$2984,"2024.12")</f>
        <v>130791</v>
      </c>
      <c r="O113" s="55" t="n">
        <f aca="false">SUMIFS(데이터_품목별!$J$3:$J$2984,데이터_품목별!$E$3:$E$2984,"08",데이터_품목별!$A$3:$A$2984,"2025.01")</f>
        <v>144994</v>
      </c>
      <c r="P113" s="55" t="n">
        <f aca="false">SUMIFS(데이터_품목별!$J$3:$J$2984,데이터_품목별!$E$3:$E$2984,"08",데이터_품목별!$A$3:$A$2984,"2025.02")</f>
        <v>162167</v>
      </c>
      <c r="Q113" s="55" t="n">
        <f aca="false">SUMIFS(데이터_품목별!$J$3:$J$2984,데이터_품목별!$E$3:$E$2984,"08",데이터_품목별!$A$3:$A$2984,"2025.03")</f>
        <v>251608</v>
      </c>
      <c r="R113" s="55" t="n">
        <f aca="false">SUMIFS(데이터_품목별!$J$3:$J$2984,데이터_품목별!$E$3:$E$2984,"08",데이터_품목별!$A$3:$A$2984,"2025.04")</f>
        <v>259564</v>
      </c>
      <c r="S113" s="55" t="n">
        <f aca="false">SUMIFS(데이터_품목별!$J$3:$J$2984,데이터_품목별!$E$3:$E$2984,"08",데이터_품목별!$A$3:$A$2984,"2025.05")</f>
        <v>216094</v>
      </c>
      <c r="T113" s="55" t="n">
        <f aca="false">SUMIFS(데이터_품목별!$J$3:$J$2984,데이터_품목별!$E$3:$E$2984,"08",데이터_품목별!$A$3:$A$2984,"2025.06")</f>
        <v>189791</v>
      </c>
      <c r="U113" s="55" t="n">
        <f aca="false">SUMIFS(데이터_품목별!$J$3:$J$2984,데이터_품목별!$E$3:$E$2984,"08",데이터_품목별!$A$3:$A$2984,"2025.07")</f>
        <v>182282</v>
      </c>
      <c r="V113" s="55" t="n">
        <f aca="false">SUMIFS(데이터_품목별!$J$3:$J$2984,데이터_품목별!$E$3:$E$2984,"08",데이터_품목별!$A$3:$A$2984,"2025.08")</f>
        <v>133391</v>
      </c>
      <c r="W113" s="55" t="n">
        <f aca="false">SUMIFS(데이터_품목별!$J$3:$J$2984,데이터_품목별!$E$3:$E$2984,"08",데이터_품목별!$A$3:$A$2984,"2025.09")</f>
        <v>141382</v>
      </c>
      <c r="X113" s="55" t="n">
        <f aca="false">SUMIFS(데이터_품목별!$J$3:$J$2984,데이터_품목별!$E$3:$E$2984,"08",데이터_품목별!$A$3:$A$2984,"2025.10")</f>
        <v>109319</v>
      </c>
      <c r="Y113" s="55" t="n">
        <f aca="false">SUMIFS(데이터_품목별!$J$3:$J$2984,데이터_품목별!$E$3:$E$2984,"08",데이터_품목별!$A$3:$A$2984,"2025.11")</f>
        <v>108175</v>
      </c>
      <c r="Z113" s="55" t="n">
        <f aca="false">SUMIFS(데이터_품목별!$J$3:$J$2984,데이터_품목별!$E$3:$E$2984,"08",데이터_품목별!$A$3:$A$2984,"2025.12")</f>
        <v>144864</v>
      </c>
      <c r="AA113" s="55" t="n">
        <f aca="false">SUMIFS(데이터_품목별!$J$3:$J$2984,데이터_품목별!$E$3:$E$2984,"08",데이터_품목별!$A$3:$A$2984,"2026.01")</f>
        <v>163341</v>
      </c>
      <c r="AB113" s="55" t="n">
        <f aca="false">SUMIFS(데이터_품목별!$J$3:$J$2984,데이터_품목별!$E$3:$E$2984,"08",데이터_품목별!$A$3:$A$2984,"2026.02")</f>
        <v>143173</v>
      </c>
      <c r="AC113" s="55" t="n">
        <f aca="false">SUMIFS(데이터_품목별!$J$3:$J$2984,데이터_품목별!$E$3:$E$2984,"08",데이터_품목별!$A$3:$A$2984,"2026.03")</f>
        <v>219895</v>
      </c>
      <c r="AD113" s="55" t="n">
        <f aca="false">SUMIFS(데이터_품목별!$J$3:$J$2984,데이터_품목별!$E$3:$E$2984,"08",데이터_품목별!$A$3:$A$2984,"2026.04")</f>
        <v>230723</v>
      </c>
      <c r="AE113" s="55" t="n">
        <f aca="false">SUMIFS(데이터_품목별!$J$3:$J$2984,데이터_품목별!$E$3:$E$2984,"08",데이터_품목별!$A$3:$A$2984,"2026.05")</f>
        <v>180524</v>
      </c>
      <c r="AF113" s="55" t="n">
        <f aca="false">SUMIFS(데이터_품목별!$J$3:$J$2984,데이터_품목별!$E$3:$E$2984,"08",데이터_품목별!$A$3:$A$2984,"2026.06")</f>
        <v>184433</v>
      </c>
      <c r="AG113" s="55" t="n">
        <f aca="false">SUMIFS(데이터_품목별!$J$3:$J$2984,데이터_품목별!$E$3:$E$2984,"08",데이터_품목별!$A$3:$A$2984,"2026.07")</f>
        <v>163377</v>
      </c>
    </row>
    <row r="114" customFormat="false" ht="15" hidden="false" customHeight="true" outlineLevel="0" collapsed="false">
      <c r="A114" s="53" t="s">
        <v>401</v>
      </c>
      <c r="B114" s="54" t="s">
        <v>402</v>
      </c>
      <c r="C114" s="55" t="n">
        <f aca="false">SUMIFS(데이터_품목별!$J$3:$J$2984,데이터_품목별!$E$3:$E$2984,"09",데이터_품목별!$A$3:$A$2984,"2024.01")</f>
        <v>103751</v>
      </c>
      <c r="D114" s="55" t="n">
        <f aca="false">SUMIFS(데이터_품목별!$J$3:$J$2984,데이터_품목별!$E$3:$E$2984,"09",데이터_품목별!$A$3:$A$2984,"2024.02")</f>
        <v>83805</v>
      </c>
      <c r="E114" s="55" t="n">
        <f aca="false">SUMIFS(데이터_품목별!$J$3:$J$2984,데이터_품목별!$E$3:$E$2984,"09",데이터_품목별!$A$3:$A$2984,"2024.03")</f>
        <v>93834</v>
      </c>
      <c r="F114" s="55" t="n">
        <f aca="false">SUMIFS(데이터_품목별!$J$3:$J$2984,데이터_품목별!$E$3:$E$2984,"09",데이터_품목별!$A$3:$A$2984,"2024.04")</f>
        <v>124731</v>
      </c>
      <c r="G114" s="55" t="n">
        <f aca="false">SUMIFS(데이터_품목별!$J$3:$J$2984,데이터_품목별!$E$3:$E$2984,"09",데이터_품목별!$A$3:$A$2984,"2024.05")</f>
        <v>107827</v>
      </c>
      <c r="H114" s="55" t="n">
        <f aca="false">SUMIFS(데이터_품목별!$J$3:$J$2984,데이터_품목별!$E$3:$E$2984,"09",데이터_품목별!$A$3:$A$2984,"2024.06")</f>
        <v>109996</v>
      </c>
      <c r="I114" s="55" t="n">
        <f aca="false">SUMIFS(데이터_품목별!$J$3:$J$2984,데이터_품목별!$E$3:$E$2984,"09",데이터_품목별!$A$3:$A$2984,"2024.07")</f>
        <v>133807</v>
      </c>
      <c r="J114" s="55" t="n">
        <f aca="false">SUMIFS(데이터_품목별!$J$3:$J$2984,데이터_품목별!$E$3:$E$2984,"09",데이터_품목별!$A$3:$A$2984,"2024.08")</f>
        <v>137368</v>
      </c>
      <c r="K114" s="55" t="n">
        <f aca="false">SUMIFS(데이터_품목별!$J$3:$J$2984,데이터_품목별!$E$3:$E$2984,"09",데이터_품목별!$A$3:$A$2984,"2024.09")</f>
        <v>110489</v>
      </c>
      <c r="L114" s="55" t="n">
        <f aca="false">SUMIFS(데이터_품목별!$J$3:$J$2984,데이터_품목별!$E$3:$E$2984,"09",데이터_품목별!$A$3:$A$2984,"2024.10")</f>
        <v>147683</v>
      </c>
      <c r="M114" s="55" t="n">
        <f aca="false">SUMIFS(데이터_품목별!$J$3:$J$2984,데이터_품목별!$E$3:$E$2984,"09",데이터_품목별!$A$3:$A$2984,"2024.11")</f>
        <v>108304</v>
      </c>
      <c r="N114" s="55" t="n">
        <f aca="false">SUMIFS(데이터_품목별!$J$3:$J$2984,데이터_품목별!$E$3:$E$2984,"09",데이터_품목별!$A$3:$A$2984,"2024.12")</f>
        <v>112476</v>
      </c>
      <c r="O114" s="55" t="n">
        <f aca="false">SUMIFS(데이터_품목별!$J$3:$J$2984,데이터_품목별!$E$3:$E$2984,"09",데이터_품목별!$A$3:$A$2984,"2025.01")</f>
        <v>109715</v>
      </c>
      <c r="P114" s="55" t="n">
        <f aca="false">SUMIFS(데이터_품목별!$J$3:$J$2984,데이터_품목별!$E$3:$E$2984,"09",데이터_품목별!$A$3:$A$2984,"2025.02")</f>
        <v>139655</v>
      </c>
      <c r="Q114" s="55" t="n">
        <f aca="false">SUMIFS(데이터_품목별!$J$3:$J$2984,데이터_품목별!$E$3:$E$2984,"09",데이터_품목별!$A$3:$A$2984,"2025.03")</f>
        <v>147755</v>
      </c>
      <c r="R114" s="55" t="n">
        <f aca="false">SUMIFS(데이터_품목별!$J$3:$J$2984,데이터_품목별!$E$3:$E$2984,"09",데이터_품목별!$A$3:$A$2984,"2025.04")</f>
        <v>186127</v>
      </c>
      <c r="S114" s="55" t="n">
        <f aca="false">SUMIFS(데이터_품목별!$J$3:$J$2984,데이터_품목별!$E$3:$E$2984,"09",데이터_품목별!$A$3:$A$2984,"2025.05")</f>
        <v>176319</v>
      </c>
      <c r="T114" s="55" t="n">
        <f aca="false">SUMIFS(데이터_품목별!$J$3:$J$2984,데이터_품목별!$E$3:$E$2984,"09",데이터_품목별!$A$3:$A$2984,"2025.06")</f>
        <v>175426</v>
      </c>
      <c r="U114" s="55" t="n">
        <f aca="false">SUMIFS(데이터_품목별!$J$3:$J$2984,데이터_품목별!$E$3:$E$2984,"09",데이터_품목별!$A$3:$A$2984,"2025.07")</f>
        <v>175496</v>
      </c>
      <c r="V114" s="55" t="n">
        <f aca="false">SUMIFS(데이터_품목별!$J$3:$J$2984,데이터_품목별!$E$3:$E$2984,"09",데이터_품목별!$A$3:$A$2984,"2025.08")</f>
        <v>155534</v>
      </c>
      <c r="W114" s="55" t="n">
        <f aca="false">SUMIFS(데이터_품목별!$J$3:$J$2984,데이터_품목별!$E$3:$E$2984,"09",데이터_품목별!$A$3:$A$2984,"2025.09")</f>
        <v>162839</v>
      </c>
      <c r="X114" s="55" t="n">
        <f aca="false">SUMIFS(데이터_품목별!$J$3:$J$2984,데이터_품목별!$E$3:$E$2984,"09",데이터_품목별!$A$3:$A$2984,"2025.10")</f>
        <v>140004</v>
      </c>
      <c r="Y114" s="55" t="n">
        <f aca="false">SUMIFS(데이터_품목별!$J$3:$J$2984,데이터_품목별!$E$3:$E$2984,"09",데이터_품목별!$A$3:$A$2984,"2025.11")</f>
        <v>133356</v>
      </c>
      <c r="Z114" s="55" t="n">
        <f aca="false">SUMIFS(데이터_품목별!$J$3:$J$2984,데이터_품목별!$E$3:$E$2984,"09",데이터_품목별!$A$3:$A$2984,"2025.12")</f>
        <v>133584</v>
      </c>
      <c r="AA114" s="55" t="n">
        <f aca="false">SUMIFS(데이터_품목별!$J$3:$J$2984,데이터_품목별!$E$3:$E$2984,"09",데이터_품목별!$A$3:$A$2984,"2026.01")</f>
        <v>132254</v>
      </c>
      <c r="AB114" s="55" t="n">
        <f aca="false">SUMIFS(데이터_품목별!$J$3:$J$2984,데이터_품목별!$E$3:$E$2984,"09",데이터_품목별!$A$3:$A$2984,"2026.02")</f>
        <v>128398</v>
      </c>
      <c r="AC114" s="55" t="n">
        <f aca="false">SUMIFS(데이터_품목별!$J$3:$J$2984,데이터_품목별!$E$3:$E$2984,"09",데이터_품목별!$A$3:$A$2984,"2026.03")</f>
        <v>147883</v>
      </c>
      <c r="AD114" s="55" t="n">
        <f aca="false">SUMIFS(데이터_품목별!$J$3:$J$2984,데이터_품목별!$E$3:$E$2984,"09",데이터_품목별!$A$3:$A$2984,"2026.04")</f>
        <v>153166</v>
      </c>
      <c r="AE114" s="55" t="n">
        <f aca="false">SUMIFS(데이터_품목별!$J$3:$J$2984,데이터_품목별!$E$3:$E$2984,"09",데이터_품목별!$A$3:$A$2984,"2026.05")</f>
        <v>133838</v>
      </c>
      <c r="AF114" s="55" t="n">
        <f aca="false">SUMIFS(데이터_품목별!$J$3:$J$2984,데이터_품목별!$E$3:$E$2984,"09",데이터_품목별!$A$3:$A$2984,"2026.06")</f>
        <v>149122</v>
      </c>
      <c r="AG114" s="55" t="n">
        <f aca="false">SUMIFS(데이터_품목별!$J$3:$J$2984,데이터_품목별!$E$3:$E$2984,"09",데이터_품목별!$A$3:$A$2984,"2026.07")</f>
        <v>141539</v>
      </c>
    </row>
    <row r="115" customFormat="false" ht="15" hidden="false" customHeight="true" outlineLevel="0" collapsed="false">
      <c r="A115" s="53" t="s">
        <v>408</v>
      </c>
      <c r="B115" s="54" t="s">
        <v>409</v>
      </c>
      <c r="C115" s="55" t="n">
        <f aca="false">SUMIFS(데이터_품목별!$J$3:$J$2984,데이터_품목별!$E$3:$E$2984,"10",데이터_품목별!$A$3:$A$2984,"2024.01")</f>
        <v>450755</v>
      </c>
      <c r="D115" s="55" t="n">
        <f aca="false">SUMIFS(데이터_품목별!$J$3:$J$2984,데이터_품목별!$E$3:$E$2984,"10",데이터_품목별!$A$3:$A$2984,"2024.02")</f>
        <v>383110</v>
      </c>
      <c r="E115" s="55" t="n">
        <f aca="false">SUMIFS(데이터_품목별!$J$3:$J$2984,데이터_품목별!$E$3:$E$2984,"10",데이터_품목별!$A$3:$A$2984,"2024.03")</f>
        <v>408615</v>
      </c>
      <c r="F115" s="55" t="n">
        <f aca="false">SUMIFS(데이터_품목별!$J$3:$J$2984,데이터_품목별!$E$3:$E$2984,"10",데이터_품목별!$A$3:$A$2984,"2024.04")</f>
        <v>449635</v>
      </c>
      <c r="G115" s="55" t="n">
        <f aca="false">SUMIFS(데이터_품목별!$J$3:$J$2984,데이터_품목별!$E$3:$E$2984,"10",데이터_품목별!$A$3:$A$2984,"2024.05")</f>
        <v>353032</v>
      </c>
      <c r="H115" s="55" t="n">
        <f aca="false">SUMIFS(데이터_품목별!$J$3:$J$2984,데이터_품목별!$E$3:$E$2984,"10",데이터_품목별!$A$3:$A$2984,"2024.06")</f>
        <v>370702</v>
      </c>
      <c r="I115" s="55" t="n">
        <f aca="false">SUMIFS(데이터_품목별!$J$3:$J$2984,데이터_품목별!$E$3:$E$2984,"10",데이터_품목별!$A$3:$A$2984,"2024.07")</f>
        <v>415877</v>
      </c>
      <c r="J115" s="55" t="n">
        <f aca="false">SUMIFS(데이터_품목별!$J$3:$J$2984,데이터_품목별!$E$3:$E$2984,"10",데이터_품목별!$A$3:$A$2984,"2024.08")</f>
        <v>370898</v>
      </c>
      <c r="K115" s="55" t="n">
        <f aca="false">SUMIFS(데이터_품목별!$J$3:$J$2984,데이터_품목별!$E$3:$E$2984,"10",데이터_품목별!$A$3:$A$2984,"2024.09")</f>
        <v>342078</v>
      </c>
      <c r="L115" s="55" t="n">
        <f aca="false">SUMIFS(데이터_품목별!$J$3:$J$2984,데이터_품목별!$E$3:$E$2984,"10",데이터_품목별!$A$3:$A$2984,"2024.10")</f>
        <v>428773</v>
      </c>
      <c r="M115" s="55" t="n">
        <f aca="false">SUMIFS(데이터_품목별!$J$3:$J$2984,데이터_품목별!$E$3:$E$2984,"10",데이터_품목별!$A$3:$A$2984,"2024.11")</f>
        <v>402680</v>
      </c>
      <c r="N115" s="55" t="n">
        <f aca="false">SUMIFS(데이터_품목별!$J$3:$J$2984,데이터_품목별!$E$3:$E$2984,"10",데이터_품목별!$A$3:$A$2984,"2024.12")</f>
        <v>388990</v>
      </c>
      <c r="O115" s="55" t="n">
        <f aca="false">SUMIFS(데이터_품목별!$J$3:$J$2984,데이터_품목별!$E$3:$E$2984,"10",데이터_품목별!$A$3:$A$2984,"2025.01")</f>
        <v>363115</v>
      </c>
      <c r="P115" s="55" t="n">
        <f aca="false">SUMIFS(데이터_품목별!$J$3:$J$2984,데이터_품목별!$E$3:$E$2984,"10",데이터_품목별!$A$3:$A$2984,"2025.02")</f>
        <v>391628</v>
      </c>
      <c r="Q115" s="55" t="n">
        <f aca="false">SUMIFS(데이터_품목별!$J$3:$J$2984,데이터_품목별!$E$3:$E$2984,"10",데이터_품목별!$A$3:$A$2984,"2025.03")</f>
        <v>320739</v>
      </c>
      <c r="R115" s="55" t="n">
        <f aca="false">SUMIFS(데이터_품목별!$J$3:$J$2984,데이터_품목별!$E$3:$E$2984,"10",데이터_품목별!$A$3:$A$2984,"2025.04")</f>
        <v>385743</v>
      </c>
      <c r="S115" s="55" t="n">
        <f aca="false">SUMIFS(데이터_품목별!$J$3:$J$2984,데이터_품목별!$E$3:$E$2984,"10",데이터_품목별!$A$3:$A$2984,"2025.05")</f>
        <v>376294</v>
      </c>
      <c r="T115" s="55" t="n">
        <f aca="false">SUMIFS(데이터_품목별!$J$3:$J$2984,데이터_품목별!$E$3:$E$2984,"10",데이터_품목별!$A$3:$A$2984,"2025.06")</f>
        <v>393516</v>
      </c>
      <c r="U115" s="55" t="n">
        <f aca="false">SUMIFS(데이터_품목별!$J$3:$J$2984,데이터_품목별!$E$3:$E$2984,"10",데이터_품목별!$A$3:$A$2984,"2025.07")</f>
        <v>336908</v>
      </c>
      <c r="V115" s="55" t="n">
        <f aca="false">SUMIFS(데이터_품목별!$J$3:$J$2984,데이터_품목별!$E$3:$E$2984,"10",데이터_품목별!$A$3:$A$2984,"2025.08")</f>
        <v>346291</v>
      </c>
      <c r="W115" s="55" t="n">
        <f aca="false">SUMIFS(데이터_품목별!$J$3:$J$2984,데이터_품목별!$E$3:$E$2984,"10",데이터_품목별!$A$3:$A$2984,"2025.09")</f>
        <v>383425</v>
      </c>
      <c r="X115" s="55" t="n">
        <f aca="false">SUMIFS(데이터_품목별!$J$3:$J$2984,데이터_품목별!$E$3:$E$2984,"10",데이터_품목별!$A$3:$A$2984,"2025.10")</f>
        <v>370914</v>
      </c>
      <c r="Y115" s="55" t="n">
        <f aca="false">SUMIFS(데이터_품목별!$J$3:$J$2984,데이터_품목별!$E$3:$E$2984,"10",데이터_품목별!$A$3:$A$2984,"2025.11")</f>
        <v>364532</v>
      </c>
      <c r="Z115" s="55" t="n">
        <f aca="false">SUMIFS(데이터_품목별!$J$3:$J$2984,데이터_품목별!$E$3:$E$2984,"10",데이터_품목별!$A$3:$A$2984,"2025.12")</f>
        <v>410763</v>
      </c>
      <c r="AA115" s="55" t="n">
        <f aca="false">SUMIFS(데이터_품목별!$J$3:$J$2984,데이터_품목별!$E$3:$E$2984,"10",데이터_품목별!$A$3:$A$2984,"2026.01")</f>
        <v>371701</v>
      </c>
      <c r="AB115" s="55" t="n">
        <f aca="false">SUMIFS(데이터_품목별!$J$3:$J$2984,데이터_품목별!$E$3:$E$2984,"10",데이터_품목별!$A$3:$A$2984,"2026.02")</f>
        <v>325447</v>
      </c>
      <c r="AC115" s="55" t="n">
        <f aca="false">SUMIFS(데이터_품목별!$J$3:$J$2984,데이터_품목별!$E$3:$E$2984,"10",데이터_품목별!$A$3:$A$2984,"2026.03")</f>
        <v>363563</v>
      </c>
      <c r="AD115" s="55" t="n">
        <f aca="false">SUMIFS(데이터_품목별!$J$3:$J$2984,데이터_품목별!$E$3:$E$2984,"10",데이터_품목별!$A$3:$A$2984,"2026.04")</f>
        <v>388686</v>
      </c>
      <c r="AE115" s="55" t="n">
        <f aca="false">SUMIFS(데이터_품목별!$J$3:$J$2984,데이터_품목별!$E$3:$E$2984,"10",데이터_품목별!$A$3:$A$2984,"2026.05")</f>
        <v>362838</v>
      </c>
      <c r="AF115" s="55" t="n">
        <f aca="false">SUMIFS(데이터_품목별!$J$3:$J$2984,데이터_품목별!$E$3:$E$2984,"10",데이터_품목별!$A$3:$A$2984,"2026.06")</f>
        <v>358038</v>
      </c>
      <c r="AG115" s="55" t="n">
        <f aca="false">SUMIFS(데이터_품목별!$J$3:$J$2984,데이터_품목별!$E$3:$E$2984,"10",데이터_품목별!$A$3:$A$2984,"2026.07")</f>
        <v>444446</v>
      </c>
    </row>
    <row r="116" customFormat="false" ht="15" hidden="false" customHeight="true" outlineLevel="0" collapsed="false">
      <c r="A116" s="53" t="s">
        <v>415</v>
      </c>
      <c r="B116" s="54" t="s">
        <v>416</v>
      </c>
      <c r="C116" s="55" t="n">
        <f aca="false">SUMIFS(데이터_품목별!$J$3:$J$2984,데이터_품목별!$E$3:$E$2984,"11",데이터_품목별!$A$3:$A$2984,"2024.01")</f>
        <v>28615</v>
      </c>
      <c r="D116" s="55" t="n">
        <f aca="false">SUMIFS(데이터_품목별!$J$3:$J$2984,데이터_품목별!$E$3:$E$2984,"11",데이터_품목별!$A$3:$A$2984,"2024.02")</f>
        <v>21934</v>
      </c>
      <c r="E116" s="55" t="n">
        <f aca="false">SUMIFS(데이터_품목별!$J$3:$J$2984,데이터_품목별!$E$3:$E$2984,"11",데이터_품목별!$A$3:$A$2984,"2024.03")</f>
        <v>28601</v>
      </c>
      <c r="F116" s="55" t="n">
        <f aca="false">SUMIFS(데이터_품목별!$J$3:$J$2984,데이터_품목별!$E$3:$E$2984,"11",데이터_품목별!$A$3:$A$2984,"2024.04")</f>
        <v>35530</v>
      </c>
      <c r="G116" s="55" t="n">
        <f aca="false">SUMIFS(데이터_품목별!$J$3:$J$2984,데이터_품목별!$E$3:$E$2984,"11",데이터_품목별!$A$3:$A$2984,"2024.05")</f>
        <v>32972</v>
      </c>
      <c r="H116" s="55" t="n">
        <f aca="false">SUMIFS(데이터_품목별!$J$3:$J$2984,데이터_품목별!$E$3:$E$2984,"11",데이터_품목별!$A$3:$A$2984,"2024.06")</f>
        <v>30947</v>
      </c>
      <c r="I116" s="55" t="n">
        <f aca="false">SUMIFS(데이터_품목별!$J$3:$J$2984,데이터_품목별!$E$3:$E$2984,"11",데이터_품목별!$A$3:$A$2984,"2024.07")</f>
        <v>28571</v>
      </c>
      <c r="J116" s="55" t="n">
        <f aca="false">SUMIFS(데이터_품목별!$J$3:$J$2984,데이터_품목별!$E$3:$E$2984,"11",데이터_품목별!$A$3:$A$2984,"2024.08")</f>
        <v>31410</v>
      </c>
      <c r="K116" s="55" t="n">
        <f aca="false">SUMIFS(데이터_품목별!$J$3:$J$2984,데이터_품목별!$E$3:$E$2984,"11",데이터_품목별!$A$3:$A$2984,"2024.09")</f>
        <v>28603</v>
      </c>
      <c r="L116" s="55" t="n">
        <f aca="false">SUMIFS(데이터_품목별!$J$3:$J$2984,데이터_품목별!$E$3:$E$2984,"11",데이터_품목별!$A$3:$A$2984,"2024.10")</f>
        <v>24413</v>
      </c>
      <c r="M116" s="55" t="n">
        <f aca="false">SUMIFS(데이터_품목별!$J$3:$J$2984,데이터_품목별!$E$3:$E$2984,"11",데이터_품목별!$A$3:$A$2984,"2024.11")</f>
        <v>28192</v>
      </c>
      <c r="N116" s="55" t="n">
        <f aca="false">SUMIFS(데이터_품목별!$J$3:$J$2984,데이터_품목별!$E$3:$E$2984,"11",데이터_품목별!$A$3:$A$2984,"2024.12")</f>
        <v>30652</v>
      </c>
      <c r="O116" s="55" t="n">
        <f aca="false">SUMIFS(데이터_품목별!$J$3:$J$2984,데이터_품목별!$E$3:$E$2984,"11",데이터_품목별!$A$3:$A$2984,"2025.01")</f>
        <v>23263</v>
      </c>
      <c r="P116" s="55" t="n">
        <f aca="false">SUMIFS(데이터_품목별!$J$3:$J$2984,데이터_품목별!$E$3:$E$2984,"11",데이터_품목별!$A$3:$A$2984,"2025.02")</f>
        <v>26043</v>
      </c>
      <c r="Q116" s="55" t="n">
        <f aca="false">SUMIFS(데이터_품목별!$J$3:$J$2984,데이터_품목별!$E$3:$E$2984,"11",데이터_품목별!$A$3:$A$2984,"2025.03")</f>
        <v>26199</v>
      </c>
      <c r="R116" s="55" t="n">
        <f aca="false">SUMIFS(데이터_품목별!$J$3:$J$2984,데이터_품목별!$E$3:$E$2984,"11",데이터_품목별!$A$3:$A$2984,"2025.04")</f>
        <v>33148</v>
      </c>
      <c r="S116" s="55" t="n">
        <f aca="false">SUMIFS(데이터_품목별!$J$3:$J$2984,데이터_품목별!$E$3:$E$2984,"11",데이터_품목별!$A$3:$A$2984,"2025.05")</f>
        <v>30269</v>
      </c>
      <c r="T116" s="55" t="n">
        <f aca="false">SUMIFS(데이터_품목별!$J$3:$J$2984,데이터_품목별!$E$3:$E$2984,"11",데이터_품목별!$A$3:$A$2984,"2025.06")</f>
        <v>29037</v>
      </c>
      <c r="U116" s="55" t="n">
        <f aca="false">SUMIFS(데이터_품목별!$J$3:$J$2984,데이터_품목별!$E$3:$E$2984,"11",데이터_품목별!$A$3:$A$2984,"2025.07")</f>
        <v>35693</v>
      </c>
      <c r="V116" s="55" t="n">
        <f aca="false">SUMIFS(데이터_품목별!$J$3:$J$2984,데이터_품목별!$E$3:$E$2984,"11",데이터_품목별!$A$3:$A$2984,"2025.08")</f>
        <v>26843</v>
      </c>
      <c r="W116" s="55" t="n">
        <f aca="false">SUMIFS(데이터_품목별!$J$3:$J$2984,데이터_품목별!$E$3:$E$2984,"11",데이터_품목별!$A$3:$A$2984,"2025.09")</f>
        <v>32839</v>
      </c>
      <c r="X116" s="55" t="n">
        <f aca="false">SUMIFS(데이터_품목별!$J$3:$J$2984,데이터_품목별!$E$3:$E$2984,"11",데이터_품목별!$A$3:$A$2984,"2025.10")</f>
        <v>26760</v>
      </c>
      <c r="Y116" s="55" t="n">
        <f aca="false">SUMIFS(데이터_품목별!$J$3:$J$2984,데이터_품목별!$E$3:$E$2984,"11",데이터_품목별!$A$3:$A$2984,"2025.11")</f>
        <v>22273</v>
      </c>
      <c r="Z116" s="55" t="n">
        <f aca="false">SUMIFS(데이터_품목별!$J$3:$J$2984,데이터_품목별!$E$3:$E$2984,"11",데이터_품목별!$A$3:$A$2984,"2025.12")</f>
        <v>34872</v>
      </c>
      <c r="AA116" s="55" t="n">
        <f aca="false">SUMIFS(데이터_품목별!$J$3:$J$2984,데이터_품목별!$E$3:$E$2984,"11",데이터_품목별!$A$3:$A$2984,"2026.01")</f>
        <v>22982</v>
      </c>
      <c r="AB116" s="55" t="n">
        <f aca="false">SUMIFS(데이터_품목별!$J$3:$J$2984,데이터_품목별!$E$3:$E$2984,"11",데이터_품목별!$A$3:$A$2984,"2026.02")</f>
        <v>23957</v>
      </c>
      <c r="AC116" s="55" t="n">
        <f aca="false">SUMIFS(데이터_품목별!$J$3:$J$2984,데이터_품목별!$E$3:$E$2984,"11",데이터_품목별!$A$3:$A$2984,"2026.03")</f>
        <v>25979</v>
      </c>
      <c r="AD116" s="55" t="n">
        <f aca="false">SUMIFS(데이터_품목별!$J$3:$J$2984,데이터_품목별!$E$3:$E$2984,"11",데이터_품목별!$A$3:$A$2984,"2026.04")</f>
        <v>27885</v>
      </c>
      <c r="AE116" s="55" t="n">
        <f aca="false">SUMIFS(데이터_품목별!$J$3:$J$2984,데이터_품목별!$E$3:$E$2984,"11",데이터_품목별!$A$3:$A$2984,"2026.05")</f>
        <v>22176</v>
      </c>
      <c r="AF116" s="55" t="n">
        <f aca="false">SUMIFS(데이터_품목별!$J$3:$J$2984,데이터_품목별!$E$3:$E$2984,"11",데이터_품목별!$A$3:$A$2984,"2026.06")</f>
        <v>27094</v>
      </c>
      <c r="AG116" s="55" t="n">
        <f aca="false">SUMIFS(데이터_품목별!$J$3:$J$2984,데이터_품목별!$E$3:$E$2984,"11",데이터_품목별!$A$3:$A$2984,"2026.07")</f>
        <v>27757</v>
      </c>
    </row>
    <row r="117" customFormat="false" ht="15" hidden="false" customHeight="true" outlineLevel="0" collapsed="false">
      <c r="A117" s="53" t="s">
        <v>422</v>
      </c>
      <c r="B117" s="54" t="s">
        <v>423</v>
      </c>
      <c r="C117" s="55" t="n">
        <f aca="false">SUMIFS(데이터_품목별!$J$3:$J$2984,데이터_품목별!$E$3:$E$2984,"12",데이터_품목별!$A$3:$A$2984,"2024.01")</f>
        <v>164119</v>
      </c>
      <c r="D117" s="55" t="n">
        <f aca="false">SUMIFS(데이터_품목별!$J$3:$J$2984,데이터_품목별!$E$3:$E$2984,"12",데이터_품목별!$A$3:$A$2984,"2024.02")</f>
        <v>119309</v>
      </c>
      <c r="E117" s="55" t="n">
        <f aca="false">SUMIFS(데이터_품목별!$J$3:$J$2984,데이터_품목별!$E$3:$E$2984,"12",데이터_품목별!$A$3:$A$2984,"2024.03")</f>
        <v>148167</v>
      </c>
      <c r="F117" s="55" t="n">
        <f aca="false">SUMIFS(데이터_품목별!$J$3:$J$2984,데이터_품목별!$E$3:$E$2984,"12",데이터_품목별!$A$3:$A$2984,"2024.04")</f>
        <v>157215</v>
      </c>
      <c r="G117" s="55" t="n">
        <f aca="false">SUMIFS(데이터_품목별!$J$3:$J$2984,데이터_품목별!$E$3:$E$2984,"12",데이터_품목별!$A$3:$A$2984,"2024.05")</f>
        <v>220248</v>
      </c>
      <c r="H117" s="55" t="n">
        <f aca="false">SUMIFS(데이터_품목별!$J$3:$J$2984,데이터_품목별!$E$3:$E$2984,"12",데이터_품목별!$A$3:$A$2984,"2024.06")</f>
        <v>158981</v>
      </c>
      <c r="I117" s="55" t="n">
        <f aca="false">SUMIFS(데이터_품목별!$J$3:$J$2984,데이터_품목별!$E$3:$E$2984,"12",데이터_품목별!$A$3:$A$2984,"2024.07")</f>
        <v>133168</v>
      </c>
      <c r="J117" s="55" t="n">
        <f aca="false">SUMIFS(데이터_품목별!$J$3:$J$2984,데이터_품목별!$E$3:$E$2984,"12",데이터_품목별!$A$3:$A$2984,"2024.08")</f>
        <v>159623</v>
      </c>
      <c r="K117" s="55" t="n">
        <f aca="false">SUMIFS(데이터_품목별!$J$3:$J$2984,데이터_품목별!$E$3:$E$2984,"12",데이터_품목별!$A$3:$A$2984,"2024.09")</f>
        <v>138625</v>
      </c>
      <c r="L117" s="55" t="n">
        <f aca="false">SUMIFS(데이터_품목별!$J$3:$J$2984,데이터_품목별!$E$3:$E$2984,"12",데이터_품목별!$A$3:$A$2984,"2024.10")</f>
        <v>157022</v>
      </c>
      <c r="M117" s="55" t="n">
        <f aca="false">SUMIFS(데이터_품목별!$J$3:$J$2984,데이터_품목별!$E$3:$E$2984,"12",데이터_품목별!$A$3:$A$2984,"2024.11")</f>
        <v>157134</v>
      </c>
      <c r="N117" s="55" t="n">
        <f aca="false">SUMIFS(데이터_품목별!$J$3:$J$2984,데이터_품목별!$E$3:$E$2984,"12",데이터_품목별!$A$3:$A$2984,"2024.12")</f>
        <v>132826</v>
      </c>
      <c r="O117" s="55" t="n">
        <f aca="false">SUMIFS(데이터_품목별!$J$3:$J$2984,데이터_품목별!$E$3:$E$2984,"12",데이터_품목별!$A$3:$A$2984,"2025.01")</f>
        <v>141767</v>
      </c>
      <c r="P117" s="55" t="n">
        <f aca="false">SUMIFS(데이터_품목별!$J$3:$J$2984,데이터_품목별!$E$3:$E$2984,"12",데이터_품목별!$A$3:$A$2984,"2025.02")</f>
        <v>178559</v>
      </c>
      <c r="Q117" s="55" t="n">
        <f aca="false">SUMIFS(데이터_품목별!$J$3:$J$2984,데이터_품목별!$E$3:$E$2984,"12",데이터_품목별!$A$3:$A$2984,"2025.03")</f>
        <v>140298</v>
      </c>
      <c r="R117" s="55" t="n">
        <f aca="false">SUMIFS(데이터_품목별!$J$3:$J$2984,데이터_품목별!$E$3:$E$2984,"12",데이터_품목별!$A$3:$A$2984,"2025.04")</f>
        <v>151738</v>
      </c>
      <c r="S117" s="55" t="n">
        <f aca="false">SUMIFS(데이터_품목별!$J$3:$J$2984,데이터_품목별!$E$3:$E$2984,"12",데이터_품목별!$A$3:$A$2984,"2025.05")</f>
        <v>142376</v>
      </c>
      <c r="T117" s="55" t="n">
        <f aca="false">SUMIFS(데이터_품목별!$J$3:$J$2984,데이터_품목별!$E$3:$E$2984,"12",데이터_품목별!$A$3:$A$2984,"2025.06")</f>
        <v>147623</v>
      </c>
      <c r="U117" s="55" t="n">
        <f aca="false">SUMIFS(데이터_품목별!$J$3:$J$2984,데이터_품목별!$E$3:$E$2984,"12",데이터_품목별!$A$3:$A$2984,"2025.07")</f>
        <v>145039</v>
      </c>
      <c r="V117" s="55" t="n">
        <f aca="false">SUMIFS(데이터_품목별!$J$3:$J$2984,데이터_품목별!$E$3:$E$2984,"12",데이터_품목별!$A$3:$A$2984,"2025.08")</f>
        <v>130130</v>
      </c>
      <c r="W117" s="55" t="n">
        <f aca="false">SUMIFS(데이터_품목별!$J$3:$J$2984,데이터_품목별!$E$3:$E$2984,"12",데이터_품목별!$A$3:$A$2984,"2025.09")</f>
        <v>133091</v>
      </c>
      <c r="X117" s="55" t="n">
        <f aca="false">SUMIFS(데이터_품목별!$J$3:$J$2984,데이터_품목별!$E$3:$E$2984,"12",데이터_품목별!$A$3:$A$2984,"2025.10")</f>
        <v>133591</v>
      </c>
      <c r="Y117" s="55" t="n">
        <f aca="false">SUMIFS(데이터_품목별!$J$3:$J$2984,데이터_품목별!$E$3:$E$2984,"12",데이터_품목별!$A$3:$A$2984,"2025.11")</f>
        <v>137447</v>
      </c>
      <c r="Z117" s="55" t="n">
        <f aca="false">SUMIFS(데이터_품목별!$J$3:$J$2984,데이터_품목별!$E$3:$E$2984,"12",데이터_품목별!$A$3:$A$2984,"2025.12")</f>
        <v>170430</v>
      </c>
      <c r="AA117" s="55" t="n">
        <f aca="false">SUMIFS(데이터_품목별!$J$3:$J$2984,데이터_품목별!$E$3:$E$2984,"12",데이터_품목별!$A$3:$A$2984,"2026.01")</f>
        <v>156511</v>
      </c>
      <c r="AB117" s="55" t="n">
        <f aca="false">SUMIFS(데이터_품목별!$J$3:$J$2984,데이터_품목별!$E$3:$E$2984,"12",데이터_품목별!$A$3:$A$2984,"2026.02")</f>
        <v>157105</v>
      </c>
      <c r="AC117" s="55" t="n">
        <f aca="false">SUMIFS(데이터_품목별!$J$3:$J$2984,데이터_품목별!$E$3:$E$2984,"12",데이터_품목별!$A$3:$A$2984,"2026.03")</f>
        <v>146703</v>
      </c>
      <c r="AD117" s="55" t="n">
        <f aca="false">SUMIFS(데이터_품목별!$J$3:$J$2984,데이터_품목별!$E$3:$E$2984,"12",데이터_품목별!$A$3:$A$2984,"2026.04")</f>
        <v>180091</v>
      </c>
      <c r="AE117" s="55" t="n">
        <f aca="false">SUMIFS(데이터_품목별!$J$3:$J$2984,데이터_품목별!$E$3:$E$2984,"12",데이터_품목별!$A$3:$A$2984,"2026.05")</f>
        <v>145213</v>
      </c>
      <c r="AF117" s="55" t="n">
        <f aca="false">SUMIFS(데이터_품목별!$J$3:$J$2984,데이터_품목별!$E$3:$E$2984,"12",데이터_품목별!$A$3:$A$2984,"2026.06")</f>
        <v>155056</v>
      </c>
      <c r="AG117" s="55" t="n">
        <f aca="false">SUMIFS(데이터_품목별!$J$3:$J$2984,데이터_품목별!$E$3:$E$2984,"12",데이터_품목별!$A$3:$A$2984,"2026.07")</f>
        <v>127060</v>
      </c>
    </row>
    <row r="118" customFormat="false" ht="15" hidden="false" customHeight="true" outlineLevel="0" collapsed="false">
      <c r="A118" s="53" t="s">
        <v>429</v>
      </c>
      <c r="B118" s="54" t="s">
        <v>430</v>
      </c>
      <c r="C118" s="55" t="n">
        <f aca="false">SUMIFS(데이터_품목별!$J$3:$J$2984,데이터_품목별!$E$3:$E$2984,"13",데이터_품목별!$A$3:$A$2984,"2024.01")</f>
        <v>24882</v>
      </c>
      <c r="D118" s="55" t="n">
        <f aca="false">SUMIFS(데이터_품목별!$J$3:$J$2984,데이터_품목별!$E$3:$E$2984,"13",데이터_품목별!$A$3:$A$2984,"2024.02")</f>
        <v>25635</v>
      </c>
      <c r="E118" s="55" t="n">
        <f aca="false">SUMIFS(데이터_품목별!$J$3:$J$2984,데이터_품목별!$E$3:$E$2984,"13",데이터_품목별!$A$3:$A$2984,"2024.03")</f>
        <v>23792</v>
      </c>
      <c r="F118" s="55" t="n">
        <f aca="false">SUMIFS(데이터_품목별!$J$3:$J$2984,데이터_품목별!$E$3:$E$2984,"13",데이터_품목별!$A$3:$A$2984,"2024.04")</f>
        <v>30866</v>
      </c>
      <c r="G118" s="55" t="n">
        <f aca="false">SUMIFS(데이터_품목별!$J$3:$J$2984,데이터_품목별!$E$3:$E$2984,"13",데이터_품목별!$A$3:$A$2984,"2024.05")</f>
        <v>30229</v>
      </c>
      <c r="H118" s="55" t="n">
        <f aca="false">SUMIFS(데이터_품목별!$J$3:$J$2984,데이터_품목별!$E$3:$E$2984,"13",데이터_품목별!$A$3:$A$2984,"2024.06")</f>
        <v>22385</v>
      </c>
      <c r="I118" s="55" t="n">
        <f aca="false">SUMIFS(데이터_품목별!$J$3:$J$2984,데이터_품목별!$E$3:$E$2984,"13",데이터_품목별!$A$3:$A$2984,"2024.07")</f>
        <v>32439</v>
      </c>
      <c r="J118" s="55" t="n">
        <f aca="false">SUMIFS(데이터_품목별!$J$3:$J$2984,데이터_품목별!$E$3:$E$2984,"13",데이터_품목별!$A$3:$A$2984,"2024.08")</f>
        <v>20059</v>
      </c>
      <c r="K118" s="55" t="n">
        <f aca="false">SUMIFS(데이터_품목별!$J$3:$J$2984,데이터_품목별!$E$3:$E$2984,"13",데이터_품목별!$A$3:$A$2984,"2024.09")</f>
        <v>21695</v>
      </c>
      <c r="L118" s="55" t="n">
        <f aca="false">SUMIFS(데이터_품목별!$J$3:$J$2984,데이터_품목별!$E$3:$E$2984,"13",데이터_품목별!$A$3:$A$2984,"2024.10")</f>
        <v>25989</v>
      </c>
      <c r="M118" s="55" t="n">
        <f aca="false">SUMIFS(데이터_품목별!$J$3:$J$2984,데이터_품목별!$E$3:$E$2984,"13",데이터_품목별!$A$3:$A$2984,"2024.11")</f>
        <v>26601</v>
      </c>
      <c r="N118" s="55" t="n">
        <f aca="false">SUMIFS(데이터_품목별!$J$3:$J$2984,데이터_품목별!$E$3:$E$2984,"13",데이터_품목별!$A$3:$A$2984,"2024.12")</f>
        <v>26185</v>
      </c>
      <c r="O118" s="55" t="n">
        <f aca="false">SUMIFS(데이터_품목별!$J$3:$J$2984,데이터_품목별!$E$3:$E$2984,"13",데이터_품목별!$A$3:$A$2984,"2025.01")</f>
        <v>25611</v>
      </c>
      <c r="P118" s="55" t="n">
        <f aca="false">SUMIFS(데이터_품목별!$J$3:$J$2984,데이터_품목별!$E$3:$E$2984,"13",데이터_품목별!$A$3:$A$2984,"2025.02")</f>
        <v>27221</v>
      </c>
      <c r="Q118" s="55" t="n">
        <f aca="false">SUMIFS(데이터_품목별!$J$3:$J$2984,데이터_품목별!$E$3:$E$2984,"13",데이터_품목별!$A$3:$A$2984,"2025.03")</f>
        <v>25612</v>
      </c>
      <c r="R118" s="55" t="n">
        <f aca="false">SUMIFS(데이터_품목별!$J$3:$J$2984,데이터_품목별!$E$3:$E$2984,"13",데이터_품목별!$A$3:$A$2984,"2025.04")</f>
        <v>31809</v>
      </c>
      <c r="S118" s="55" t="n">
        <f aca="false">SUMIFS(데이터_품목별!$J$3:$J$2984,데이터_품목별!$E$3:$E$2984,"13",데이터_품목별!$A$3:$A$2984,"2025.05")</f>
        <v>24772</v>
      </c>
      <c r="T118" s="55" t="n">
        <f aca="false">SUMIFS(데이터_품목별!$J$3:$J$2984,데이터_품목별!$E$3:$E$2984,"13",데이터_품목별!$A$3:$A$2984,"2025.06")</f>
        <v>25671</v>
      </c>
      <c r="U118" s="55" t="n">
        <f aca="false">SUMIFS(데이터_품목별!$J$3:$J$2984,데이터_품목별!$E$3:$E$2984,"13",데이터_품목별!$A$3:$A$2984,"2025.07")</f>
        <v>33978</v>
      </c>
      <c r="V118" s="55" t="n">
        <f aca="false">SUMIFS(데이터_품목별!$J$3:$J$2984,데이터_품목별!$E$3:$E$2984,"13",데이터_품목별!$A$3:$A$2984,"2025.08")</f>
        <v>28690</v>
      </c>
      <c r="W118" s="55" t="n">
        <f aca="false">SUMIFS(데이터_품목별!$J$3:$J$2984,데이터_품목별!$E$3:$E$2984,"13",데이터_품목별!$A$3:$A$2984,"2025.09")</f>
        <v>22998</v>
      </c>
      <c r="X118" s="55" t="n">
        <f aca="false">SUMIFS(데이터_품목별!$J$3:$J$2984,데이터_품목별!$E$3:$E$2984,"13",데이터_품목별!$A$3:$A$2984,"2025.10")</f>
        <v>24626</v>
      </c>
      <c r="Y118" s="55" t="n">
        <f aca="false">SUMIFS(데이터_품목별!$J$3:$J$2984,데이터_품목별!$E$3:$E$2984,"13",데이터_품목별!$A$3:$A$2984,"2025.11")</f>
        <v>24368</v>
      </c>
      <c r="Z118" s="55" t="n">
        <f aca="false">SUMIFS(데이터_품목별!$J$3:$J$2984,데이터_품목별!$E$3:$E$2984,"13",데이터_품목별!$A$3:$A$2984,"2025.12")</f>
        <v>30499</v>
      </c>
      <c r="AA118" s="55" t="n">
        <f aca="false">SUMIFS(데이터_품목별!$J$3:$J$2984,데이터_품목별!$E$3:$E$2984,"13",데이터_품목별!$A$3:$A$2984,"2026.01")</f>
        <v>32939</v>
      </c>
      <c r="AB118" s="55" t="n">
        <f aca="false">SUMIFS(데이터_품목별!$J$3:$J$2984,데이터_품목별!$E$3:$E$2984,"13",데이터_품목별!$A$3:$A$2984,"2026.02")</f>
        <v>25386</v>
      </c>
      <c r="AC118" s="55" t="n">
        <f aca="false">SUMIFS(데이터_품목별!$J$3:$J$2984,데이터_품목별!$E$3:$E$2984,"13",데이터_품목별!$A$3:$A$2984,"2026.03")</f>
        <v>24690</v>
      </c>
      <c r="AD118" s="55" t="n">
        <f aca="false">SUMIFS(데이터_품목별!$J$3:$J$2984,데이터_품목별!$E$3:$E$2984,"13",데이터_품목별!$A$3:$A$2984,"2026.04")</f>
        <v>28150</v>
      </c>
      <c r="AE118" s="55" t="n">
        <f aca="false">SUMIFS(데이터_품목별!$J$3:$J$2984,데이터_품목별!$E$3:$E$2984,"13",데이터_품목별!$A$3:$A$2984,"2026.05")</f>
        <v>32280</v>
      </c>
      <c r="AF118" s="55" t="n">
        <f aca="false">SUMIFS(데이터_품목별!$J$3:$J$2984,데이터_품목별!$E$3:$E$2984,"13",데이터_품목별!$A$3:$A$2984,"2026.06")</f>
        <v>35155</v>
      </c>
      <c r="AG118" s="55" t="n">
        <f aca="false">SUMIFS(데이터_품목별!$J$3:$J$2984,데이터_품목별!$E$3:$E$2984,"13",데이터_품목별!$A$3:$A$2984,"2026.07")</f>
        <v>32996</v>
      </c>
    </row>
    <row r="119" customFormat="false" ht="15" hidden="false" customHeight="true" outlineLevel="0" collapsed="false">
      <c r="A119" s="53" t="s">
        <v>436</v>
      </c>
      <c r="B119" s="54" t="s">
        <v>437</v>
      </c>
      <c r="C119" s="55" t="n">
        <f aca="false">SUMIFS(데이터_품목별!$J$3:$J$2984,데이터_품목별!$E$3:$E$2984,"14",데이터_품목별!$A$3:$A$2984,"2024.01")</f>
        <v>4128</v>
      </c>
      <c r="D119" s="55" t="n">
        <f aca="false">SUMIFS(데이터_품목별!$J$3:$J$2984,데이터_품목별!$E$3:$E$2984,"14",데이터_품목별!$A$3:$A$2984,"2024.02")</f>
        <v>3120</v>
      </c>
      <c r="E119" s="55" t="n">
        <f aca="false">SUMIFS(데이터_품목별!$J$3:$J$2984,데이터_품목별!$E$3:$E$2984,"14",데이터_품목별!$A$3:$A$2984,"2024.03")</f>
        <v>4522</v>
      </c>
      <c r="F119" s="55" t="n">
        <f aca="false">SUMIFS(데이터_품목별!$J$3:$J$2984,데이터_품목별!$E$3:$E$2984,"14",데이터_품목별!$A$3:$A$2984,"2024.04")</f>
        <v>4584</v>
      </c>
      <c r="G119" s="55" t="n">
        <f aca="false">SUMIFS(데이터_품목별!$J$3:$J$2984,데이터_품목별!$E$3:$E$2984,"14",데이터_품목별!$A$3:$A$2984,"2024.05")</f>
        <v>4576</v>
      </c>
      <c r="H119" s="55" t="n">
        <f aca="false">SUMIFS(데이터_품목별!$J$3:$J$2984,데이터_품목별!$E$3:$E$2984,"14",데이터_품목별!$A$3:$A$2984,"2024.06")</f>
        <v>4877</v>
      </c>
      <c r="I119" s="55" t="n">
        <f aca="false">SUMIFS(데이터_품목별!$J$3:$J$2984,데이터_품목별!$E$3:$E$2984,"14",데이터_품목별!$A$3:$A$2984,"2024.07")</f>
        <v>3720</v>
      </c>
      <c r="J119" s="55" t="n">
        <f aca="false">SUMIFS(데이터_품목별!$J$3:$J$2984,데이터_품목별!$E$3:$E$2984,"14",데이터_품목별!$A$3:$A$2984,"2024.08")</f>
        <v>3815</v>
      </c>
      <c r="K119" s="55" t="n">
        <f aca="false">SUMIFS(데이터_품목별!$J$3:$J$2984,데이터_품목별!$E$3:$E$2984,"14",데이터_품목별!$A$3:$A$2984,"2024.09")</f>
        <v>3229</v>
      </c>
      <c r="L119" s="55" t="n">
        <f aca="false">SUMIFS(데이터_품목별!$J$3:$J$2984,데이터_품목별!$E$3:$E$2984,"14",데이터_품목별!$A$3:$A$2984,"2024.10")</f>
        <v>3889</v>
      </c>
      <c r="M119" s="55" t="n">
        <f aca="false">SUMIFS(데이터_품목별!$J$3:$J$2984,데이터_품목별!$E$3:$E$2984,"14",데이터_품목별!$A$3:$A$2984,"2024.11")</f>
        <v>3794</v>
      </c>
      <c r="N119" s="55" t="n">
        <f aca="false">SUMIFS(데이터_품목별!$J$3:$J$2984,데이터_품목별!$E$3:$E$2984,"14",데이터_품목별!$A$3:$A$2984,"2024.12")</f>
        <v>2866</v>
      </c>
      <c r="O119" s="55" t="n">
        <f aca="false">SUMIFS(데이터_품목별!$J$3:$J$2984,데이터_품목별!$E$3:$E$2984,"14",데이터_품목별!$A$3:$A$2984,"2025.01")</f>
        <v>3244</v>
      </c>
      <c r="P119" s="55" t="n">
        <f aca="false">SUMIFS(데이터_품목별!$J$3:$J$2984,데이터_품목별!$E$3:$E$2984,"14",데이터_품목별!$A$3:$A$2984,"2025.02")</f>
        <v>4521</v>
      </c>
      <c r="Q119" s="55" t="n">
        <f aca="false">SUMIFS(데이터_품목별!$J$3:$J$2984,데이터_품목별!$E$3:$E$2984,"14",데이터_품목별!$A$3:$A$2984,"2025.03")</f>
        <v>6285</v>
      </c>
      <c r="R119" s="55" t="n">
        <f aca="false">SUMIFS(데이터_품목별!$J$3:$J$2984,데이터_품목별!$E$3:$E$2984,"14",데이터_품목별!$A$3:$A$2984,"2025.04")</f>
        <v>8047</v>
      </c>
      <c r="S119" s="55" t="n">
        <f aca="false">SUMIFS(데이터_품목별!$J$3:$J$2984,데이터_품목별!$E$3:$E$2984,"14",데이터_품목별!$A$3:$A$2984,"2025.05")</f>
        <v>5781</v>
      </c>
      <c r="T119" s="55" t="n">
        <f aca="false">SUMIFS(데이터_품목별!$J$3:$J$2984,데이터_품목별!$E$3:$E$2984,"14",데이터_품목별!$A$3:$A$2984,"2025.06")</f>
        <v>4932</v>
      </c>
      <c r="U119" s="55" t="n">
        <f aca="false">SUMIFS(데이터_품목별!$J$3:$J$2984,데이터_품목별!$E$3:$E$2984,"14",데이터_품목별!$A$3:$A$2984,"2025.07")</f>
        <v>6103</v>
      </c>
      <c r="V119" s="55" t="n">
        <f aca="false">SUMIFS(데이터_품목별!$J$3:$J$2984,데이터_품목별!$E$3:$E$2984,"14",데이터_품목별!$A$3:$A$2984,"2025.08")</f>
        <v>5579</v>
      </c>
      <c r="W119" s="55" t="n">
        <f aca="false">SUMIFS(데이터_품목별!$J$3:$J$2984,데이터_품목별!$E$3:$E$2984,"14",데이터_품목별!$A$3:$A$2984,"2025.09")</f>
        <v>5653</v>
      </c>
      <c r="X119" s="55" t="n">
        <f aca="false">SUMIFS(데이터_품목별!$J$3:$J$2984,데이터_품목별!$E$3:$E$2984,"14",데이터_품목별!$A$3:$A$2984,"2025.10")</f>
        <v>5479</v>
      </c>
      <c r="Y119" s="55" t="n">
        <f aca="false">SUMIFS(데이터_품목별!$J$3:$J$2984,데이터_품목별!$E$3:$E$2984,"14",데이터_품목별!$A$3:$A$2984,"2025.11")</f>
        <v>6369</v>
      </c>
      <c r="Z119" s="55" t="n">
        <f aca="false">SUMIFS(데이터_품목별!$J$3:$J$2984,데이터_품목별!$E$3:$E$2984,"14",데이터_품목별!$A$3:$A$2984,"2025.12")</f>
        <v>9329</v>
      </c>
      <c r="AA119" s="55" t="n">
        <f aca="false">SUMIFS(데이터_품목별!$J$3:$J$2984,데이터_품목별!$E$3:$E$2984,"14",데이터_품목별!$A$3:$A$2984,"2026.01")</f>
        <v>8996</v>
      </c>
      <c r="AB119" s="55" t="n">
        <f aca="false">SUMIFS(데이터_품목별!$J$3:$J$2984,데이터_품목별!$E$3:$E$2984,"14",데이터_품목별!$A$3:$A$2984,"2026.02")</f>
        <v>9891</v>
      </c>
      <c r="AC119" s="55" t="n">
        <f aca="false">SUMIFS(데이터_품목별!$J$3:$J$2984,데이터_품목별!$E$3:$E$2984,"14",데이터_품목별!$A$3:$A$2984,"2026.03")</f>
        <v>8981</v>
      </c>
      <c r="AD119" s="55" t="n">
        <f aca="false">SUMIFS(데이터_품목별!$J$3:$J$2984,데이터_품목별!$E$3:$E$2984,"14",데이터_품목별!$A$3:$A$2984,"2026.04")</f>
        <v>11088</v>
      </c>
      <c r="AE119" s="55" t="n">
        <f aca="false">SUMIFS(데이터_품목별!$J$3:$J$2984,데이터_품목별!$E$3:$E$2984,"14",데이터_품목별!$A$3:$A$2984,"2026.05")</f>
        <v>5865</v>
      </c>
      <c r="AF119" s="55" t="n">
        <f aca="false">SUMIFS(데이터_품목별!$J$3:$J$2984,데이터_품목별!$E$3:$E$2984,"14",데이터_품목별!$A$3:$A$2984,"2026.06")</f>
        <v>9704</v>
      </c>
      <c r="AG119" s="55" t="n">
        <f aca="false">SUMIFS(데이터_품목별!$J$3:$J$2984,데이터_품목별!$E$3:$E$2984,"14",데이터_품목별!$A$3:$A$2984,"2026.07")</f>
        <v>12105</v>
      </c>
    </row>
    <row r="120" customFormat="false" ht="15" hidden="false" customHeight="true" outlineLevel="0" collapsed="false">
      <c r="A120" s="53" t="s">
        <v>443</v>
      </c>
      <c r="B120" s="54" t="s">
        <v>444</v>
      </c>
      <c r="C120" s="55" t="n">
        <f aca="false">SUMIFS(데이터_품목별!$J$3:$J$2984,데이터_품목별!$E$3:$E$2984,"15",데이터_품목별!$A$3:$A$2984,"2024.01")</f>
        <v>132488</v>
      </c>
      <c r="D120" s="55" t="n">
        <f aca="false">SUMIFS(데이터_품목별!$J$3:$J$2984,데이터_품목별!$E$3:$E$2984,"15",데이터_품목별!$A$3:$A$2984,"2024.02")</f>
        <v>150487</v>
      </c>
      <c r="E120" s="55" t="n">
        <f aca="false">SUMIFS(데이터_품목별!$J$3:$J$2984,데이터_품목별!$E$3:$E$2984,"15",데이터_품목별!$A$3:$A$2984,"2024.03")</f>
        <v>169904</v>
      </c>
      <c r="F120" s="55" t="n">
        <f aca="false">SUMIFS(데이터_품목별!$J$3:$J$2984,데이터_품목별!$E$3:$E$2984,"15",데이터_품목별!$A$3:$A$2984,"2024.04")</f>
        <v>189042</v>
      </c>
      <c r="G120" s="55" t="n">
        <f aca="false">SUMIFS(데이터_품목별!$J$3:$J$2984,데이터_품목별!$E$3:$E$2984,"15",데이터_품목별!$A$3:$A$2984,"2024.05")</f>
        <v>174417</v>
      </c>
      <c r="H120" s="55" t="n">
        <f aca="false">SUMIFS(데이터_품목별!$J$3:$J$2984,데이터_품목별!$E$3:$E$2984,"15",데이터_품목별!$A$3:$A$2984,"2024.06")</f>
        <v>163578</v>
      </c>
      <c r="I120" s="55" t="n">
        <f aca="false">SUMIFS(데이터_품목별!$J$3:$J$2984,데이터_품목별!$E$3:$E$2984,"15",데이터_품목별!$A$3:$A$2984,"2024.07")</f>
        <v>168834</v>
      </c>
      <c r="J120" s="55" t="n">
        <f aca="false">SUMIFS(데이터_품목별!$J$3:$J$2984,데이터_품목별!$E$3:$E$2984,"15",데이터_품목별!$A$3:$A$2984,"2024.08")</f>
        <v>181911</v>
      </c>
      <c r="K120" s="55" t="n">
        <f aca="false">SUMIFS(데이터_품목별!$J$3:$J$2984,데이터_품목별!$E$3:$E$2984,"15",데이터_품목별!$A$3:$A$2984,"2024.09")</f>
        <v>152445</v>
      </c>
      <c r="L120" s="55" t="n">
        <f aca="false">SUMIFS(데이터_품목별!$J$3:$J$2984,데이터_품목별!$E$3:$E$2984,"15",데이터_품목별!$A$3:$A$2984,"2024.10")</f>
        <v>183689</v>
      </c>
      <c r="M120" s="55" t="n">
        <f aca="false">SUMIFS(데이터_품목별!$J$3:$J$2984,데이터_품목별!$E$3:$E$2984,"15",데이터_품목별!$A$3:$A$2984,"2024.11")</f>
        <v>134836</v>
      </c>
      <c r="N120" s="55" t="n">
        <f aca="false">SUMIFS(데이터_품목별!$J$3:$J$2984,데이터_품목별!$E$3:$E$2984,"15",데이터_품목별!$A$3:$A$2984,"2024.12")</f>
        <v>178094</v>
      </c>
      <c r="O120" s="55" t="n">
        <f aca="false">SUMIFS(데이터_품목별!$J$3:$J$2984,데이터_품목별!$E$3:$E$2984,"15",데이터_품목별!$A$3:$A$2984,"2025.01")</f>
        <v>179198</v>
      </c>
      <c r="P120" s="55" t="n">
        <f aca="false">SUMIFS(데이터_품목별!$J$3:$J$2984,데이터_품목별!$E$3:$E$2984,"15",데이터_품목별!$A$3:$A$2984,"2025.02")</f>
        <v>188031</v>
      </c>
      <c r="Q120" s="55" t="n">
        <f aca="false">SUMIFS(데이터_품목별!$J$3:$J$2984,데이터_품목별!$E$3:$E$2984,"15",데이터_품목별!$A$3:$A$2984,"2025.03")</f>
        <v>208146</v>
      </c>
      <c r="R120" s="55" t="n">
        <f aca="false">SUMIFS(데이터_품목별!$J$3:$J$2984,데이터_품목별!$E$3:$E$2984,"15",데이터_품목별!$A$3:$A$2984,"2025.04")</f>
        <v>257718</v>
      </c>
      <c r="S120" s="55" t="n">
        <f aca="false">SUMIFS(데이터_품목별!$J$3:$J$2984,데이터_품목별!$E$3:$E$2984,"15",데이터_품목별!$A$3:$A$2984,"2025.05")</f>
        <v>230860</v>
      </c>
      <c r="T120" s="55" t="n">
        <f aca="false">SUMIFS(데이터_품목별!$J$3:$J$2984,데이터_품목별!$E$3:$E$2984,"15",데이터_품목별!$A$3:$A$2984,"2025.06")</f>
        <v>232337</v>
      </c>
      <c r="U120" s="55" t="n">
        <f aca="false">SUMIFS(데이터_품목별!$J$3:$J$2984,데이터_품목별!$E$3:$E$2984,"15",데이터_품목별!$A$3:$A$2984,"2025.07")</f>
        <v>210552</v>
      </c>
      <c r="V120" s="55" t="n">
        <f aca="false">SUMIFS(데이터_품목별!$J$3:$J$2984,데이터_품목별!$E$3:$E$2984,"15",데이터_품목별!$A$3:$A$2984,"2025.08")</f>
        <v>234391</v>
      </c>
      <c r="W120" s="55" t="n">
        <f aca="false">SUMIFS(데이터_품목별!$J$3:$J$2984,데이터_품목별!$E$3:$E$2984,"15",데이터_품목별!$A$3:$A$2984,"2025.09")</f>
        <v>213787</v>
      </c>
      <c r="X120" s="55" t="n">
        <f aca="false">SUMIFS(데이터_품목별!$J$3:$J$2984,데이터_품목별!$E$3:$E$2984,"15",데이터_품목별!$A$3:$A$2984,"2025.10")</f>
        <v>202464</v>
      </c>
      <c r="Y120" s="55" t="n">
        <f aca="false">SUMIFS(데이터_품목별!$J$3:$J$2984,데이터_품목별!$E$3:$E$2984,"15",데이터_품목별!$A$3:$A$2984,"2025.11")</f>
        <v>228708</v>
      </c>
      <c r="Z120" s="55" t="n">
        <f aca="false">SUMIFS(데이터_품목별!$J$3:$J$2984,데이터_품목별!$E$3:$E$2984,"15",데이터_품목별!$A$3:$A$2984,"2025.12")</f>
        <v>235961</v>
      </c>
      <c r="AA120" s="55" t="n">
        <f aca="false">SUMIFS(데이터_품목별!$J$3:$J$2984,데이터_품목별!$E$3:$E$2984,"15",데이터_품목별!$A$3:$A$2984,"2026.01")</f>
        <v>233313</v>
      </c>
      <c r="AB120" s="55" t="n">
        <f aca="false">SUMIFS(데이터_품목별!$J$3:$J$2984,데이터_품목별!$E$3:$E$2984,"15",데이터_품목별!$A$3:$A$2984,"2026.02")</f>
        <v>174055</v>
      </c>
      <c r="AC120" s="55" t="n">
        <f aca="false">SUMIFS(데이터_품목별!$J$3:$J$2984,데이터_품목별!$E$3:$E$2984,"15",데이터_품목별!$A$3:$A$2984,"2026.03")</f>
        <v>252109</v>
      </c>
      <c r="AD120" s="55" t="n">
        <f aca="false">SUMIFS(데이터_품목별!$J$3:$J$2984,데이터_품목별!$E$3:$E$2984,"15",데이터_품목별!$A$3:$A$2984,"2026.04")</f>
        <v>266246</v>
      </c>
      <c r="AE120" s="55" t="n">
        <f aca="false">SUMIFS(데이터_품목별!$J$3:$J$2984,데이터_품목별!$E$3:$E$2984,"15",데이터_품목별!$A$3:$A$2984,"2026.05")</f>
        <v>221312</v>
      </c>
      <c r="AF120" s="55" t="n">
        <f aca="false">SUMIFS(데이터_품목별!$J$3:$J$2984,데이터_품목별!$E$3:$E$2984,"15",데이터_품목별!$A$3:$A$2984,"2026.06")</f>
        <v>302964</v>
      </c>
      <c r="AG120" s="55" t="n">
        <f aca="false">SUMIFS(데이터_품목별!$J$3:$J$2984,데이터_품목별!$E$3:$E$2984,"15",데이터_품목별!$A$3:$A$2984,"2026.07")</f>
        <v>316844</v>
      </c>
    </row>
    <row r="121" customFormat="false" ht="15" hidden="false" customHeight="true" outlineLevel="0" collapsed="false">
      <c r="A121" s="53" t="s">
        <v>450</v>
      </c>
      <c r="B121" s="54" t="s">
        <v>451</v>
      </c>
      <c r="C121" s="55" t="n">
        <f aca="false">SUMIFS(데이터_품목별!$J$3:$J$2984,데이터_품목별!$E$3:$E$2984,"16",데이터_품목별!$A$3:$A$2984,"2024.01")</f>
        <v>101141</v>
      </c>
      <c r="D121" s="55" t="n">
        <f aca="false">SUMIFS(데이터_품목별!$J$3:$J$2984,데이터_품목별!$E$3:$E$2984,"16",데이터_품목별!$A$3:$A$2984,"2024.02")</f>
        <v>67357</v>
      </c>
      <c r="E121" s="55" t="n">
        <f aca="false">SUMIFS(데이터_품목별!$J$3:$J$2984,데이터_품목별!$E$3:$E$2984,"16",데이터_품목별!$A$3:$A$2984,"2024.03")</f>
        <v>80354</v>
      </c>
      <c r="F121" s="55" t="n">
        <f aca="false">SUMIFS(데이터_품목별!$J$3:$J$2984,데이터_품목별!$E$3:$E$2984,"16",데이터_품목별!$A$3:$A$2984,"2024.04")</f>
        <v>90560</v>
      </c>
      <c r="G121" s="55" t="n">
        <f aca="false">SUMIFS(데이터_품목별!$J$3:$J$2984,데이터_품목별!$E$3:$E$2984,"16",데이터_품목별!$A$3:$A$2984,"2024.05")</f>
        <v>88593</v>
      </c>
      <c r="H121" s="55" t="n">
        <f aca="false">SUMIFS(데이터_품목별!$J$3:$J$2984,데이터_품목별!$E$3:$E$2984,"16",데이터_품목별!$A$3:$A$2984,"2024.06")</f>
        <v>85232</v>
      </c>
      <c r="I121" s="55" t="n">
        <f aca="false">SUMIFS(데이터_품목별!$J$3:$J$2984,데이터_품목별!$E$3:$E$2984,"16",데이터_품목별!$A$3:$A$2984,"2024.07")</f>
        <v>94676</v>
      </c>
      <c r="J121" s="55" t="n">
        <f aca="false">SUMIFS(데이터_품목별!$J$3:$J$2984,데이터_품목별!$E$3:$E$2984,"16",데이터_품목별!$A$3:$A$2984,"2024.08")</f>
        <v>92339</v>
      </c>
      <c r="K121" s="55" t="n">
        <f aca="false">SUMIFS(데이터_품목별!$J$3:$J$2984,데이터_품목별!$E$3:$E$2984,"16",데이터_품목별!$A$3:$A$2984,"2024.09")</f>
        <v>88780</v>
      </c>
      <c r="L121" s="55" t="n">
        <f aca="false">SUMIFS(데이터_품목별!$J$3:$J$2984,데이터_품목별!$E$3:$E$2984,"16",데이터_품목별!$A$3:$A$2984,"2024.10")</f>
        <v>102282</v>
      </c>
      <c r="M121" s="55" t="n">
        <f aca="false">SUMIFS(데이터_품목별!$J$3:$J$2984,데이터_품목별!$E$3:$E$2984,"16",데이터_품목별!$A$3:$A$2984,"2024.11")</f>
        <v>86496</v>
      </c>
      <c r="N121" s="55" t="n">
        <f aca="false">SUMIFS(데이터_품목별!$J$3:$J$2984,데이터_품목별!$E$3:$E$2984,"16",데이터_품목별!$A$3:$A$2984,"2024.12")</f>
        <v>87918</v>
      </c>
      <c r="O121" s="55" t="n">
        <f aca="false">SUMIFS(데이터_품목별!$J$3:$J$2984,데이터_품목별!$E$3:$E$2984,"16",데이터_품목별!$A$3:$A$2984,"2025.01")</f>
        <v>72361</v>
      </c>
      <c r="P121" s="55" t="n">
        <f aca="false">SUMIFS(데이터_품목별!$J$3:$J$2984,데이터_품목별!$E$3:$E$2984,"16",데이터_품목별!$A$3:$A$2984,"2025.02")</f>
        <v>75910</v>
      </c>
      <c r="Q121" s="55" t="n">
        <f aca="false">SUMIFS(데이터_품목별!$J$3:$J$2984,데이터_품목별!$E$3:$E$2984,"16",데이터_품목별!$A$3:$A$2984,"2025.03")</f>
        <v>82796</v>
      </c>
      <c r="R121" s="55" t="n">
        <f aca="false">SUMIFS(데이터_품목별!$J$3:$J$2984,데이터_품목별!$E$3:$E$2984,"16",데이터_품목별!$A$3:$A$2984,"2025.04")</f>
        <v>97105</v>
      </c>
      <c r="S121" s="55" t="n">
        <f aca="false">SUMIFS(데이터_품목별!$J$3:$J$2984,데이터_품목별!$E$3:$E$2984,"16",데이터_품목별!$A$3:$A$2984,"2025.05")</f>
        <v>96667</v>
      </c>
      <c r="T121" s="55" t="n">
        <f aca="false">SUMIFS(데이터_품목별!$J$3:$J$2984,데이터_품목별!$E$3:$E$2984,"16",데이터_품목별!$A$3:$A$2984,"2025.06")</f>
        <v>103444</v>
      </c>
      <c r="U121" s="55" t="n">
        <f aca="false">SUMIFS(데이터_품목별!$J$3:$J$2984,데이터_품목별!$E$3:$E$2984,"16",데이터_품목별!$A$3:$A$2984,"2025.07")</f>
        <v>104017</v>
      </c>
      <c r="V121" s="55" t="n">
        <f aca="false">SUMIFS(데이터_품목별!$J$3:$J$2984,데이터_품목별!$E$3:$E$2984,"16",데이터_품목별!$A$3:$A$2984,"2025.08")</f>
        <v>91097</v>
      </c>
      <c r="W121" s="55" t="n">
        <f aca="false">SUMIFS(데이터_품목별!$J$3:$J$2984,데이터_품목별!$E$3:$E$2984,"16",데이터_품목별!$A$3:$A$2984,"2025.09")</f>
        <v>104847</v>
      </c>
      <c r="X121" s="55" t="n">
        <f aca="false">SUMIFS(데이터_품목별!$J$3:$J$2984,데이터_품목별!$E$3:$E$2984,"16",데이터_품목별!$A$3:$A$2984,"2025.10")</f>
        <v>83154</v>
      </c>
      <c r="Y121" s="55" t="n">
        <f aca="false">SUMIFS(데이터_품목별!$J$3:$J$2984,데이터_품목별!$E$3:$E$2984,"16",데이터_품목별!$A$3:$A$2984,"2025.11")</f>
        <v>93292</v>
      </c>
      <c r="Z121" s="55" t="n">
        <f aca="false">SUMIFS(데이터_품목별!$J$3:$J$2984,데이터_품목별!$E$3:$E$2984,"16",데이터_품목별!$A$3:$A$2984,"2025.12")</f>
        <v>83939</v>
      </c>
      <c r="AA121" s="55" t="n">
        <f aca="false">SUMIFS(데이터_품목별!$J$3:$J$2984,데이터_품목별!$E$3:$E$2984,"16",데이터_품목별!$A$3:$A$2984,"2026.01")</f>
        <v>91791</v>
      </c>
      <c r="AB121" s="55" t="n">
        <f aca="false">SUMIFS(데이터_품목별!$J$3:$J$2984,데이터_품목별!$E$3:$E$2984,"16",데이터_품목별!$A$3:$A$2984,"2026.02")</f>
        <v>73497</v>
      </c>
      <c r="AC121" s="55" t="n">
        <f aca="false">SUMIFS(데이터_품목별!$J$3:$J$2984,데이터_품목별!$E$3:$E$2984,"16",데이터_품목별!$A$3:$A$2984,"2026.03")</f>
        <v>85302</v>
      </c>
      <c r="AD121" s="55" t="n">
        <f aca="false">SUMIFS(데이터_품목별!$J$3:$J$2984,데이터_품목별!$E$3:$E$2984,"16",데이터_품목별!$A$3:$A$2984,"2026.04")</f>
        <v>92223</v>
      </c>
      <c r="AE121" s="55" t="n">
        <f aca="false">SUMIFS(데이터_품목별!$J$3:$J$2984,데이터_품목별!$E$3:$E$2984,"16",데이터_품목별!$A$3:$A$2984,"2026.05")</f>
        <v>78928</v>
      </c>
      <c r="AF121" s="55" t="n">
        <f aca="false">SUMIFS(데이터_품목별!$J$3:$J$2984,데이터_품목별!$E$3:$E$2984,"16",데이터_품목별!$A$3:$A$2984,"2026.06")</f>
        <v>87889</v>
      </c>
      <c r="AG121" s="55" t="n">
        <f aca="false">SUMIFS(데이터_품목별!$J$3:$J$2984,데이터_품목별!$E$3:$E$2984,"16",데이터_품목별!$A$3:$A$2984,"2026.07")</f>
        <v>83358</v>
      </c>
    </row>
    <row r="122" customFormat="false" ht="15" hidden="false" customHeight="true" outlineLevel="0" collapsed="false">
      <c r="A122" s="53" t="s">
        <v>457</v>
      </c>
      <c r="B122" s="54" t="s">
        <v>458</v>
      </c>
      <c r="C122" s="55" t="n">
        <f aca="false">SUMIFS(데이터_품목별!$J$3:$J$2984,데이터_품목별!$E$3:$E$2984,"17",데이터_품목별!$A$3:$A$2984,"2024.01")</f>
        <v>150608</v>
      </c>
      <c r="D122" s="55" t="n">
        <f aca="false">SUMIFS(데이터_품목별!$J$3:$J$2984,데이터_품목별!$E$3:$E$2984,"17",데이터_품목별!$A$3:$A$2984,"2024.02")</f>
        <v>136443</v>
      </c>
      <c r="E122" s="55" t="n">
        <f aca="false">SUMIFS(데이터_품목별!$J$3:$J$2984,데이터_품목별!$E$3:$E$2984,"17",데이터_품목별!$A$3:$A$2984,"2024.03")</f>
        <v>106969</v>
      </c>
      <c r="F122" s="55" t="n">
        <f aca="false">SUMIFS(데이터_품목별!$J$3:$J$2984,데이터_품목별!$E$3:$E$2984,"17",데이터_품목별!$A$3:$A$2984,"2024.04")</f>
        <v>175507</v>
      </c>
      <c r="G122" s="55" t="n">
        <f aca="false">SUMIFS(데이터_품목별!$J$3:$J$2984,데이터_품목별!$E$3:$E$2984,"17",데이터_품목별!$A$3:$A$2984,"2024.05")</f>
        <v>127859</v>
      </c>
      <c r="H122" s="55" t="n">
        <f aca="false">SUMIFS(데이터_품목별!$J$3:$J$2984,데이터_품목별!$E$3:$E$2984,"17",데이터_품목별!$A$3:$A$2984,"2024.06")</f>
        <v>139664</v>
      </c>
      <c r="I122" s="55" t="n">
        <f aca="false">SUMIFS(데이터_품목별!$J$3:$J$2984,데이터_품목별!$E$3:$E$2984,"17",데이터_품목별!$A$3:$A$2984,"2024.07")</f>
        <v>109689</v>
      </c>
      <c r="J122" s="55" t="n">
        <f aca="false">SUMIFS(데이터_품목별!$J$3:$J$2984,데이터_품목별!$E$3:$E$2984,"17",데이터_품목별!$A$3:$A$2984,"2024.08")</f>
        <v>145551</v>
      </c>
      <c r="K122" s="55" t="n">
        <f aca="false">SUMIFS(데이터_품목별!$J$3:$J$2984,데이터_품목별!$E$3:$E$2984,"17",데이터_품목별!$A$3:$A$2984,"2024.09")</f>
        <v>110056</v>
      </c>
      <c r="L122" s="55" t="n">
        <f aca="false">SUMIFS(데이터_품목별!$J$3:$J$2984,데이터_품목별!$E$3:$E$2984,"17",데이터_품목별!$A$3:$A$2984,"2024.10")</f>
        <v>123066</v>
      </c>
      <c r="M122" s="55" t="n">
        <f aca="false">SUMIFS(데이터_품목별!$J$3:$J$2984,데이터_품목별!$E$3:$E$2984,"17",데이터_품목별!$A$3:$A$2984,"2024.11")</f>
        <v>124859</v>
      </c>
      <c r="N122" s="55" t="n">
        <f aca="false">SUMIFS(데이터_품목별!$J$3:$J$2984,데이터_품목별!$E$3:$E$2984,"17",데이터_품목별!$A$3:$A$2984,"2024.12")</f>
        <v>163564</v>
      </c>
      <c r="O122" s="55" t="n">
        <f aca="false">SUMIFS(데이터_품목별!$J$3:$J$2984,데이터_품목별!$E$3:$E$2984,"17",데이터_품목별!$A$3:$A$2984,"2025.01")</f>
        <v>114976</v>
      </c>
      <c r="P122" s="55" t="n">
        <f aca="false">SUMIFS(데이터_품목별!$J$3:$J$2984,데이터_품목별!$E$3:$E$2984,"17",데이터_품목별!$A$3:$A$2984,"2025.02")</f>
        <v>104388</v>
      </c>
      <c r="Q122" s="55" t="n">
        <f aca="false">SUMIFS(데이터_품목별!$J$3:$J$2984,데이터_품목별!$E$3:$E$2984,"17",데이터_품목별!$A$3:$A$2984,"2025.03")</f>
        <v>128431</v>
      </c>
      <c r="R122" s="55" t="n">
        <f aca="false">SUMIFS(데이터_품목별!$J$3:$J$2984,데이터_품목별!$E$3:$E$2984,"17",데이터_품목별!$A$3:$A$2984,"2025.04")</f>
        <v>127801</v>
      </c>
      <c r="S122" s="55" t="n">
        <f aca="false">SUMIFS(데이터_품목별!$J$3:$J$2984,데이터_품목별!$E$3:$E$2984,"17",데이터_품목별!$A$3:$A$2984,"2025.05")</f>
        <v>121643</v>
      </c>
      <c r="T122" s="55" t="n">
        <f aca="false">SUMIFS(데이터_품목별!$J$3:$J$2984,데이터_품목별!$E$3:$E$2984,"17",데이터_품목별!$A$3:$A$2984,"2025.06")</f>
        <v>117415</v>
      </c>
      <c r="U122" s="55" t="n">
        <f aca="false">SUMIFS(데이터_품목별!$J$3:$J$2984,데이터_품목별!$E$3:$E$2984,"17",데이터_품목별!$A$3:$A$2984,"2025.07")</f>
        <v>130580</v>
      </c>
      <c r="V122" s="55" t="n">
        <f aca="false">SUMIFS(데이터_품목별!$J$3:$J$2984,데이터_품목별!$E$3:$E$2984,"17",데이터_품목별!$A$3:$A$2984,"2025.08")</f>
        <v>123300</v>
      </c>
      <c r="W122" s="55" t="n">
        <f aca="false">SUMIFS(데이터_품목별!$J$3:$J$2984,데이터_품목별!$E$3:$E$2984,"17",데이터_품목별!$A$3:$A$2984,"2025.09")</f>
        <v>106778</v>
      </c>
      <c r="X122" s="55" t="n">
        <f aca="false">SUMIFS(데이터_품목별!$J$3:$J$2984,데이터_품목별!$E$3:$E$2984,"17",데이터_품목별!$A$3:$A$2984,"2025.10")</f>
        <v>103018</v>
      </c>
      <c r="Y122" s="55" t="n">
        <f aca="false">SUMIFS(데이터_품목별!$J$3:$J$2984,데이터_품목별!$E$3:$E$2984,"17",데이터_품목별!$A$3:$A$2984,"2025.11")</f>
        <v>99953</v>
      </c>
      <c r="Z122" s="55" t="n">
        <f aca="false">SUMIFS(데이터_품목별!$J$3:$J$2984,데이터_품목별!$E$3:$E$2984,"17",데이터_품목별!$A$3:$A$2984,"2025.12")</f>
        <v>116123</v>
      </c>
      <c r="AA122" s="55" t="n">
        <f aca="false">SUMIFS(데이터_품목별!$J$3:$J$2984,데이터_품목별!$E$3:$E$2984,"17",데이터_품목별!$A$3:$A$2984,"2026.01")</f>
        <v>114892</v>
      </c>
      <c r="AB122" s="55" t="n">
        <f aca="false">SUMIFS(데이터_품목별!$J$3:$J$2984,데이터_품목별!$E$3:$E$2984,"17",데이터_품목별!$A$3:$A$2984,"2026.02")</f>
        <v>100031</v>
      </c>
      <c r="AC122" s="55" t="n">
        <f aca="false">SUMIFS(데이터_품목별!$J$3:$J$2984,데이터_품목별!$E$3:$E$2984,"17",데이터_품목별!$A$3:$A$2984,"2026.03")</f>
        <v>91121</v>
      </c>
      <c r="AD122" s="55" t="n">
        <f aca="false">SUMIFS(데이터_품목별!$J$3:$J$2984,데이터_품목별!$E$3:$E$2984,"17",데이터_품목별!$A$3:$A$2984,"2026.04")</f>
        <v>107064</v>
      </c>
      <c r="AE122" s="55" t="n">
        <f aca="false">SUMIFS(데이터_품목별!$J$3:$J$2984,데이터_품목별!$E$3:$E$2984,"17",데이터_품목별!$A$3:$A$2984,"2026.05")</f>
        <v>94057</v>
      </c>
      <c r="AF122" s="55" t="n">
        <f aca="false">SUMIFS(데이터_품목별!$J$3:$J$2984,데이터_품목별!$E$3:$E$2984,"17",데이터_품목별!$A$3:$A$2984,"2026.06")</f>
        <v>136284</v>
      </c>
      <c r="AG122" s="55" t="n">
        <f aca="false">SUMIFS(데이터_품목별!$J$3:$J$2984,데이터_품목별!$E$3:$E$2984,"17",데이터_품목별!$A$3:$A$2984,"2026.07")</f>
        <v>96513</v>
      </c>
    </row>
    <row r="123" customFormat="false" ht="15" hidden="false" customHeight="true" outlineLevel="0" collapsed="false">
      <c r="A123" s="53" t="s">
        <v>464</v>
      </c>
      <c r="B123" s="54" t="s">
        <v>465</v>
      </c>
      <c r="C123" s="55" t="n">
        <f aca="false">SUMIFS(데이터_품목별!$J$3:$J$2984,데이터_품목별!$E$3:$E$2984,"18",데이터_품목별!$A$3:$A$2984,"2024.01")</f>
        <v>43737</v>
      </c>
      <c r="D123" s="55" t="n">
        <f aca="false">SUMIFS(데이터_품목별!$J$3:$J$2984,데이터_품목별!$E$3:$E$2984,"18",데이터_품목별!$A$3:$A$2984,"2024.02")</f>
        <v>34961</v>
      </c>
      <c r="E123" s="55" t="n">
        <f aca="false">SUMIFS(데이터_품목별!$J$3:$J$2984,데이터_품목별!$E$3:$E$2984,"18",데이터_품목별!$A$3:$A$2984,"2024.03")</f>
        <v>34829</v>
      </c>
      <c r="F123" s="55" t="n">
        <f aca="false">SUMIFS(데이터_품목별!$J$3:$J$2984,데이터_품목별!$E$3:$E$2984,"18",데이터_품목별!$A$3:$A$2984,"2024.04")</f>
        <v>33888</v>
      </c>
      <c r="G123" s="55" t="n">
        <f aca="false">SUMIFS(데이터_품목별!$J$3:$J$2984,데이터_품목별!$E$3:$E$2984,"18",데이터_품목별!$A$3:$A$2984,"2024.05")</f>
        <v>32361</v>
      </c>
      <c r="H123" s="55" t="n">
        <f aca="false">SUMIFS(데이터_품목별!$J$3:$J$2984,데이터_품목별!$E$3:$E$2984,"18",데이터_품목별!$A$3:$A$2984,"2024.06")</f>
        <v>39761</v>
      </c>
      <c r="I123" s="55" t="n">
        <f aca="false">SUMIFS(데이터_품목별!$J$3:$J$2984,데이터_품목별!$E$3:$E$2984,"18",데이터_품목별!$A$3:$A$2984,"2024.07")</f>
        <v>45247</v>
      </c>
      <c r="J123" s="55" t="n">
        <f aca="false">SUMIFS(데이터_품목별!$J$3:$J$2984,데이터_품목별!$E$3:$E$2984,"18",데이터_품목별!$A$3:$A$2984,"2024.08")</f>
        <v>53759</v>
      </c>
      <c r="K123" s="55" t="n">
        <f aca="false">SUMIFS(데이터_품목별!$J$3:$J$2984,데이터_품목별!$E$3:$E$2984,"18",데이터_품목별!$A$3:$A$2984,"2024.09")</f>
        <v>53849</v>
      </c>
      <c r="L123" s="55" t="n">
        <f aca="false">SUMIFS(데이터_품목별!$J$3:$J$2984,데이터_품목별!$E$3:$E$2984,"18",데이터_품목별!$A$3:$A$2984,"2024.10")</f>
        <v>62005</v>
      </c>
      <c r="M123" s="55" t="n">
        <f aca="false">SUMIFS(데이터_품목별!$J$3:$J$2984,데이터_품목별!$E$3:$E$2984,"18",데이터_품목별!$A$3:$A$2984,"2024.11")</f>
        <v>49773</v>
      </c>
      <c r="N123" s="55" t="n">
        <f aca="false">SUMIFS(데이터_품목별!$J$3:$J$2984,데이터_품목별!$E$3:$E$2984,"18",데이터_품목별!$A$3:$A$2984,"2024.12")</f>
        <v>57415</v>
      </c>
      <c r="O123" s="55" t="n">
        <f aca="false">SUMIFS(데이터_품목별!$J$3:$J$2984,데이터_품목별!$E$3:$E$2984,"18",데이터_품목별!$A$3:$A$2984,"2025.01")</f>
        <v>55733</v>
      </c>
      <c r="P123" s="55" t="n">
        <f aca="false">SUMIFS(데이터_품목별!$J$3:$J$2984,데이터_품목별!$E$3:$E$2984,"18",데이터_품목별!$A$3:$A$2984,"2025.02")</f>
        <v>54697</v>
      </c>
      <c r="Q123" s="55" t="n">
        <f aca="false">SUMIFS(데이터_품목별!$J$3:$J$2984,데이터_품목별!$E$3:$E$2984,"18",데이터_품목별!$A$3:$A$2984,"2025.03")</f>
        <v>47315</v>
      </c>
      <c r="R123" s="55" t="n">
        <f aca="false">SUMIFS(데이터_품목별!$J$3:$J$2984,데이터_품목별!$E$3:$E$2984,"18",데이터_품목별!$A$3:$A$2984,"2025.04")</f>
        <v>56936</v>
      </c>
      <c r="S123" s="55" t="n">
        <f aca="false">SUMIFS(데이터_품목별!$J$3:$J$2984,데이터_품목별!$E$3:$E$2984,"18",데이터_품목별!$A$3:$A$2984,"2025.05")</f>
        <v>46202</v>
      </c>
      <c r="T123" s="55" t="n">
        <f aca="false">SUMIFS(데이터_품목별!$J$3:$J$2984,데이터_품목별!$E$3:$E$2984,"18",데이터_품목별!$A$3:$A$2984,"2025.06")</f>
        <v>50709</v>
      </c>
      <c r="U123" s="55" t="n">
        <f aca="false">SUMIFS(데이터_품목별!$J$3:$J$2984,데이터_품목별!$E$3:$E$2984,"18",데이터_품목별!$A$3:$A$2984,"2025.07")</f>
        <v>46928</v>
      </c>
      <c r="V123" s="55" t="n">
        <f aca="false">SUMIFS(데이터_품목별!$J$3:$J$2984,데이터_품목별!$E$3:$E$2984,"18",데이터_품목별!$A$3:$A$2984,"2025.08")</f>
        <v>48844</v>
      </c>
      <c r="W123" s="55" t="n">
        <f aca="false">SUMIFS(데이터_품목별!$J$3:$J$2984,데이터_품목별!$E$3:$E$2984,"18",데이터_품목별!$A$3:$A$2984,"2025.09")</f>
        <v>58436</v>
      </c>
      <c r="X123" s="55" t="n">
        <f aca="false">SUMIFS(데이터_품목별!$J$3:$J$2984,데이터_품목별!$E$3:$E$2984,"18",데이터_품목별!$A$3:$A$2984,"2025.10")</f>
        <v>52161</v>
      </c>
      <c r="Y123" s="55" t="n">
        <f aca="false">SUMIFS(데이터_품목별!$J$3:$J$2984,데이터_품목별!$E$3:$E$2984,"18",데이터_품목별!$A$3:$A$2984,"2025.11")</f>
        <v>48137</v>
      </c>
      <c r="Z123" s="55" t="n">
        <f aca="false">SUMIFS(데이터_품목별!$J$3:$J$2984,데이터_품목별!$E$3:$E$2984,"18",데이터_품목별!$A$3:$A$2984,"2025.12")</f>
        <v>57345</v>
      </c>
      <c r="AA123" s="55" t="n">
        <f aca="false">SUMIFS(데이터_품목별!$J$3:$J$2984,데이터_품목별!$E$3:$E$2984,"18",데이터_품목별!$A$3:$A$2984,"2026.01")</f>
        <v>57016</v>
      </c>
      <c r="AB123" s="55" t="n">
        <f aca="false">SUMIFS(데이터_품목별!$J$3:$J$2984,데이터_품목별!$E$3:$E$2984,"18",데이터_품목별!$A$3:$A$2984,"2026.02")</f>
        <v>48302</v>
      </c>
      <c r="AC123" s="55" t="n">
        <f aca="false">SUMIFS(데이터_품목별!$J$3:$J$2984,데이터_품목별!$E$3:$E$2984,"18",데이터_품목별!$A$3:$A$2984,"2026.03")</f>
        <v>50433</v>
      </c>
      <c r="AD123" s="55" t="n">
        <f aca="false">SUMIFS(데이터_품목별!$J$3:$J$2984,데이터_품목별!$E$3:$E$2984,"18",데이터_품목별!$A$3:$A$2984,"2026.04")</f>
        <v>35645</v>
      </c>
      <c r="AE123" s="55" t="n">
        <f aca="false">SUMIFS(데이터_품목별!$J$3:$J$2984,데이터_품목별!$E$3:$E$2984,"18",데이터_품목별!$A$3:$A$2984,"2026.05")</f>
        <v>45780</v>
      </c>
      <c r="AF123" s="55" t="n">
        <f aca="false">SUMIFS(데이터_품목별!$J$3:$J$2984,데이터_품목별!$E$3:$E$2984,"18",데이터_품목별!$A$3:$A$2984,"2026.06")</f>
        <v>39940</v>
      </c>
      <c r="AG123" s="55" t="n">
        <f aca="false">SUMIFS(데이터_품목별!$J$3:$J$2984,데이터_품목별!$E$3:$E$2984,"18",데이터_품목별!$A$3:$A$2984,"2026.07")</f>
        <v>36091</v>
      </c>
    </row>
    <row r="124" customFormat="false" ht="15" hidden="false" customHeight="true" outlineLevel="0" collapsed="false">
      <c r="A124" s="53" t="s">
        <v>471</v>
      </c>
      <c r="B124" s="54" t="s">
        <v>472</v>
      </c>
      <c r="C124" s="55" t="n">
        <f aca="false">SUMIFS(데이터_품목별!$J$3:$J$2984,데이터_품목별!$E$3:$E$2984,"19",데이터_품목별!$A$3:$A$2984,"2024.01")</f>
        <v>97746</v>
      </c>
      <c r="D124" s="55" t="n">
        <f aca="false">SUMIFS(데이터_품목별!$J$3:$J$2984,데이터_품목별!$E$3:$E$2984,"19",데이터_품목별!$A$3:$A$2984,"2024.02")</f>
        <v>77015</v>
      </c>
      <c r="E124" s="55" t="n">
        <f aca="false">SUMIFS(데이터_품목별!$J$3:$J$2984,데이터_품목별!$E$3:$E$2984,"19",데이터_품목별!$A$3:$A$2984,"2024.03")</f>
        <v>89936</v>
      </c>
      <c r="F124" s="55" t="n">
        <f aca="false">SUMIFS(데이터_품목별!$J$3:$J$2984,데이터_품목별!$E$3:$E$2984,"19",데이터_품목별!$A$3:$A$2984,"2024.04")</f>
        <v>96866</v>
      </c>
      <c r="G124" s="55" t="n">
        <f aca="false">SUMIFS(데이터_품목별!$J$3:$J$2984,데이터_품목별!$E$3:$E$2984,"19",데이터_품목별!$A$3:$A$2984,"2024.05")</f>
        <v>96845</v>
      </c>
      <c r="H124" s="55" t="n">
        <f aca="false">SUMIFS(데이터_품목별!$J$3:$J$2984,데이터_품목별!$E$3:$E$2984,"19",데이터_품목별!$A$3:$A$2984,"2024.06")</f>
        <v>91557</v>
      </c>
      <c r="I124" s="55" t="n">
        <f aca="false">SUMIFS(데이터_품목별!$J$3:$J$2984,데이터_품목별!$E$3:$E$2984,"19",데이터_품목별!$A$3:$A$2984,"2024.07")</f>
        <v>104677</v>
      </c>
      <c r="J124" s="55" t="n">
        <f aca="false">SUMIFS(데이터_품목별!$J$3:$J$2984,데이터_품목별!$E$3:$E$2984,"19",데이터_품목별!$A$3:$A$2984,"2024.08")</f>
        <v>94607</v>
      </c>
      <c r="K124" s="55" t="n">
        <f aca="false">SUMIFS(데이터_품목별!$J$3:$J$2984,데이터_품목별!$E$3:$E$2984,"19",데이터_품목별!$A$3:$A$2984,"2024.09")</f>
        <v>85284</v>
      </c>
      <c r="L124" s="55" t="n">
        <f aca="false">SUMIFS(데이터_품목별!$J$3:$J$2984,데이터_품목별!$E$3:$E$2984,"19",데이터_품목별!$A$3:$A$2984,"2024.10")</f>
        <v>99926</v>
      </c>
      <c r="M124" s="55" t="n">
        <f aca="false">SUMIFS(데이터_품목별!$J$3:$J$2984,데이터_품목별!$E$3:$E$2984,"19",데이터_품목별!$A$3:$A$2984,"2024.11")</f>
        <v>89038</v>
      </c>
      <c r="N124" s="55" t="n">
        <f aca="false">SUMIFS(데이터_품목별!$J$3:$J$2984,데이터_품목별!$E$3:$E$2984,"19",데이터_품목별!$A$3:$A$2984,"2024.12")</f>
        <v>94831</v>
      </c>
      <c r="O124" s="55" t="n">
        <f aca="false">SUMIFS(데이터_품목별!$J$3:$J$2984,데이터_품목별!$E$3:$E$2984,"19",데이터_품목별!$A$3:$A$2984,"2025.01")</f>
        <v>87188</v>
      </c>
      <c r="P124" s="55" t="n">
        <f aca="false">SUMIFS(데이터_품목별!$J$3:$J$2984,데이터_품목별!$E$3:$E$2984,"19",데이터_품목별!$A$3:$A$2984,"2025.02")</f>
        <v>87391</v>
      </c>
      <c r="Q124" s="55" t="n">
        <f aca="false">SUMIFS(데이터_품목별!$J$3:$J$2984,데이터_품목별!$E$3:$E$2984,"19",데이터_품목별!$A$3:$A$2984,"2025.03")</f>
        <v>85105</v>
      </c>
      <c r="R124" s="55" t="n">
        <f aca="false">SUMIFS(데이터_품목별!$J$3:$J$2984,데이터_품목별!$E$3:$E$2984,"19",데이터_품목별!$A$3:$A$2984,"2025.04")</f>
        <v>92867</v>
      </c>
      <c r="S124" s="55" t="n">
        <f aca="false">SUMIFS(데이터_품목별!$J$3:$J$2984,데이터_품목별!$E$3:$E$2984,"19",데이터_품목별!$A$3:$A$2984,"2025.05")</f>
        <v>89516</v>
      </c>
      <c r="T124" s="55" t="n">
        <f aca="false">SUMIFS(데이터_품목별!$J$3:$J$2984,데이터_품목별!$E$3:$E$2984,"19",데이터_품목별!$A$3:$A$2984,"2025.06")</f>
        <v>91607</v>
      </c>
      <c r="U124" s="55" t="n">
        <f aca="false">SUMIFS(데이터_품목별!$J$3:$J$2984,데이터_품목별!$E$3:$E$2984,"19",데이터_품목별!$A$3:$A$2984,"2025.07")</f>
        <v>101798</v>
      </c>
      <c r="V124" s="55" t="n">
        <f aca="false">SUMIFS(데이터_품목별!$J$3:$J$2984,데이터_품목별!$E$3:$E$2984,"19",데이터_품목별!$A$3:$A$2984,"2025.08")</f>
        <v>93468</v>
      </c>
      <c r="W124" s="55" t="n">
        <f aca="false">SUMIFS(데이터_품목별!$J$3:$J$2984,데이터_품목별!$E$3:$E$2984,"19",데이터_품목별!$A$3:$A$2984,"2025.09")</f>
        <v>113643</v>
      </c>
      <c r="X124" s="55" t="n">
        <f aca="false">SUMIFS(데이터_품목별!$J$3:$J$2984,데이터_품목별!$E$3:$E$2984,"19",데이터_품목별!$A$3:$A$2984,"2025.10")</f>
        <v>94436</v>
      </c>
      <c r="Y124" s="55" t="n">
        <f aca="false">SUMIFS(데이터_품목별!$J$3:$J$2984,데이터_품목별!$E$3:$E$2984,"19",데이터_품목별!$A$3:$A$2984,"2025.11")</f>
        <v>91358</v>
      </c>
      <c r="Z124" s="55" t="n">
        <f aca="false">SUMIFS(데이터_품목별!$J$3:$J$2984,데이터_품목별!$E$3:$E$2984,"19",데이터_품목별!$A$3:$A$2984,"2025.12")</f>
        <v>113648</v>
      </c>
      <c r="AA124" s="55" t="n">
        <f aca="false">SUMIFS(데이터_품목별!$J$3:$J$2984,데이터_품목별!$E$3:$E$2984,"19",데이터_품목별!$A$3:$A$2984,"2026.01")</f>
        <v>112043</v>
      </c>
      <c r="AB124" s="55" t="n">
        <f aca="false">SUMIFS(데이터_품목별!$J$3:$J$2984,데이터_품목별!$E$3:$E$2984,"19",데이터_품목별!$A$3:$A$2984,"2026.02")</f>
        <v>98542</v>
      </c>
      <c r="AC124" s="55" t="n">
        <f aca="false">SUMIFS(데이터_품목별!$J$3:$J$2984,데이터_품목별!$E$3:$E$2984,"19",데이터_품목별!$A$3:$A$2984,"2026.03")</f>
        <v>101175</v>
      </c>
      <c r="AD124" s="55" t="n">
        <f aca="false">SUMIFS(데이터_품목별!$J$3:$J$2984,데이터_품목별!$E$3:$E$2984,"19",데이터_품목별!$A$3:$A$2984,"2026.04")</f>
        <v>98222</v>
      </c>
      <c r="AE124" s="55" t="n">
        <f aca="false">SUMIFS(데이터_품목별!$J$3:$J$2984,데이터_품목별!$E$3:$E$2984,"19",데이터_품목별!$A$3:$A$2984,"2026.05")</f>
        <v>88180</v>
      </c>
      <c r="AF124" s="55" t="n">
        <f aca="false">SUMIFS(데이터_품목별!$J$3:$J$2984,데이터_품목별!$E$3:$E$2984,"19",데이터_품목별!$A$3:$A$2984,"2026.06")</f>
        <v>106192</v>
      </c>
      <c r="AG124" s="55" t="n">
        <f aca="false">SUMIFS(데이터_품목별!$J$3:$J$2984,데이터_품목별!$E$3:$E$2984,"19",데이터_품목별!$A$3:$A$2984,"2026.07")</f>
        <v>98007</v>
      </c>
    </row>
    <row r="125" customFormat="false" ht="15" hidden="false" customHeight="true" outlineLevel="0" collapsed="false">
      <c r="A125" s="53" t="s">
        <v>478</v>
      </c>
      <c r="B125" s="54" t="s">
        <v>479</v>
      </c>
      <c r="C125" s="55" t="n">
        <f aca="false">SUMIFS(데이터_품목별!$J$3:$J$2984,데이터_품목별!$E$3:$E$2984,"20",데이터_품목별!$A$3:$A$2984,"2024.01")</f>
        <v>141997</v>
      </c>
      <c r="D125" s="55" t="n">
        <f aca="false">SUMIFS(데이터_품목별!$J$3:$J$2984,데이터_품목별!$E$3:$E$2984,"20",데이터_품목별!$A$3:$A$2984,"2024.02")</f>
        <v>109161</v>
      </c>
      <c r="E125" s="55" t="n">
        <f aca="false">SUMIFS(데이터_품목별!$J$3:$J$2984,데이터_품목별!$E$3:$E$2984,"20",데이터_품목별!$A$3:$A$2984,"2024.03")</f>
        <v>135401</v>
      </c>
      <c r="F125" s="55" t="n">
        <f aca="false">SUMIFS(데이터_품목별!$J$3:$J$2984,데이터_품목별!$E$3:$E$2984,"20",데이터_품목별!$A$3:$A$2984,"2024.04")</f>
        <v>141046</v>
      </c>
      <c r="G125" s="55" t="n">
        <f aca="false">SUMIFS(데이터_품목별!$J$3:$J$2984,데이터_품목별!$E$3:$E$2984,"20",데이터_품목별!$A$3:$A$2984,"2024.05")</f>
        <v>147492</v>
      </c>
      <c r="H125" s="55" t="n">
        <f aca="false">SUMIFS(데이터_품목별!$J$3:$J$2984,데이터_품목별!$E$3:$E$2984,"20",데이터_품목별!$A$3:$A$2984,"2024.06")</f>
        <v>140563</v>
      </c>
      <c r="I125" s="55" t="n">
        <f aca="false">SUMIFS(데이터_품목별!$J$3:$J$2984,데이터_품목별!$E$3:$E$2984,"20",데이터_품목별!$A$3:$A$2984,"2024.07")</f>
        <v>155113</v>
      </c>
      <c r="J125" s="55" t="n">
        <f aca="false">SUMIFS(데이터_품목별!$J$3:$J$2984,데이터_품목별!$E$3:$E$2984,"20",데이터_품목별!$A$3:$A$2984,"2024.08")</f>
        <v>129849</v>
      </c>
      <c r="K125" s="55" t="n">
        <f aca="false">SUMIFS(데이터_품목별!$J$3:$J$2984,데이터_품목별!$E$3:$E$2984,"20",데이터_품목별!$A$3:$A$2984,"2024.09")</f>
        <v>139267</v>
      </c>
      <c r="L125" s="55" t="n">
        <f aca="false">SUMIFS(데이터_품목별!$J$3:$J$2984,데이터_품목별!$E$3:$E$2984,"20",데이터_품목별!$A$3:$A$2984,"2024.10")</f>
        <v>152305</v>
      </c>
      <c r="M125" s="55" t="n">
        <f aca="false">SUMIFS(데이터_품목별!$J$3:$J$2984,데이터_품목별!$E$3:$E$2984,"20",데이터_품목별!$A$3:$A$2984,"2024.11")</f>
        <v>148071</v>
      </c>
      <c r="N125" s="55" t="n">
        <f aca="false">SUMIFS(데이터_품목별!$J$3:$J$2984,데이터_품목별!$E$3:$E$2984,"20",데이터_품목별!$A$3:$A$2984,"2024.12")</f>
        <v>157477</v>
      </c>
      <c r="O125" s="55" t="n">
        <f aca="false">SUMIFS(데이터_품목별!$J$3:$J$2984,데이터_품목별!$E$3:$E$2984,"20",데이터_품목별!$A$3:$A$2984,"2025.01")</f>
        <v>130294</v>
      </c>
      <c r="P125" s="55" t="n">
        <f aca="false">SUMIFS(데이터_품목별!$J$3:$J$2984,데이터_품목별!$E$3:$E$2984,"20",데이터_품목별!$A$3:$A$2984,"2025.02")</f>
        <v>128617</v>
      </c>
      <c r="Q125" s="55" t="n">
        <f aca="false">SUMIFS(데이터_품목별!$J$3:$J$2984,데이터_품목별!$E$3:$E$2984,"20",데이터_품목별!$A$3:$A$2984,"2025.03")</f>
        <v>134910</v>
      </c>
      <c r="R125" s="55" t="n">
        <f aca="false">SUMIFS(데이터_품목별!$J$3:$J$2984,데이터_품목별!$E$3:$E$2984,"20",데이터_품목별!$A$3:$A$2984,"2025.04")</f>
        <v>148012</v>
      </c>
      <c r="S125" s="55" t="n">
        <f aca="false">SUMIFS(데이터_품목별!$J$3:$J$2984,데이터_품목별!$E$3:$E$2984,"20",데이터_품목별!$A$3:$A$2984,"2025.05")</f>
        <v>136521</v>
      </c>
      <c r="T125" s="55" t="n">
        <f aca="false">SUMIFS(데이터_품목별!$J$3:$J$2984,데이터_품목별!$E$3:$E$2984,"20",데이터_품목별!$A$3:$A$2984,"2025.06")</f>
        <v>145846</v>
      </c>
      <c r="U125" s="55" t="n">
        <f aca="false">SUMIFS(데이터_품목별!$J$3:$J$2984,데이터_품목별!$E$3:$E$2984,"20",데이터_품목별!$A$3:$A$2984,"2025.07")</f>
        <v>152692</v>
      </c>
      <c r="V125" s="55" t="n">
        <f aca="false">SUMIFS(데이터_품목별!$J$3:$J$2984,데이터_품목별!$E$3:$E$2984,"20",데이터_품목별!$A$3:$A$2984,"2025.08")</f>
        <v>133000</v>
      </c>
      <c r="W125" s="55" t="n">
        <f aca="false">SUMIFS(데이터_품목별!$J$3:$J$2984,데이터_품목별!$E$3:$E$2984,"20",데이터_품목별!$A$3:$A$2984,"2025.09")</f>
        <v>149348</v>
      </c>
      <c r="X125" s="55" t="n">
        <f aca="false">SUMIFS(데이터_품목별!$J$3:$J$2984,데이터_품목별!$E$3:$E$2984,"20",데이터_품목별!$A$3:$A$2984,"2025.10")</f>
        <v>132441</v>
      </c>
      <c r="Y125" s="55" t="n">
        <f aca="false">SUMIFS(데이터_품목별!$J$3:$J$2984,데이터_품목별!$E$3:$E$2984,"20",데이터_품목별!$A$3:$A$2984,"2025.11")</f>
        <v>126788</v>
      </c>
      <c r="Z125" s="55" t="n">
        <f aca="false">SUMIFS(데이터_품목별!$J$3:$J$2984,데이터_품목별!$E$3:$E$2984,"20",데이터_품목별!$A$3:$A$2984,"2025.12")</f>
        <v>147100</v>
      </c>
      <c r="AA125" s="55" t="n">
        <f aca="false">SUMIFS(데이터_품목별!$J$3:$J$2984,데이터_품목별!$E$3:$E$2984,"20",데이터_품목별!$A$3:$A$2984,"2026.01")</f>
        <v>149722</v>
      </c>
      <c r="AB125" s="55" t="n">
        <f aca="false">SUMIFS(데이터_품목별!$J$3:$J$2984,데이터_품목별!$E$3:$E$2984,"20",데이터_품목별!$A$3:$A$2984,"2026.02")</f>
        <v>138998</v>
      </c>
      <c r="AC125" s="55" t="n">
        <f aca="false">SUMIFS(데이터_품목별!$J$3:$J$2984,데이터_품목별!$E$3:$E$2984,"20",데이터_품목별!$A$3:$A$2984,"2026.03")</f>
        <v>148077</v>
      </c>
      <c r="AD125" s="55" t="n">
        <f aca="false">SUMIFS(데이터_품목별!$J$3:$J$2984,데이터_품목별!$E$3:$E$2984,"20",데이터_품목별!$A$3:$A$2984,"2026.04")</f>
        <v>139046</v>
      </c>
      <c r="AE125" s="55" t="n">
        <f aca="false">SUMIFS(데이터_품목별!$J$3:$J$2984,데이터_품목별!$E$3:$E$2984,"20",데이터_품목별!$A$3:$A$2984,"2026.05")</f>
        <v>133462</v>
      </c>
      <c r="AF125" s="55" t="n">
        <f aca="false">SUMIFS(데이터_품목별!$J$3:$J$2984,데이터_품목별!$E$3:$E$2984,"20",데이터_품목별!$A$3:$A$2984,"2026.06")</f>
        <v>148049</v>
      </c>
      <c r="AG125" s="55" t="n">
        <f aca="false">SUMIFS(데이터_품목별!$J$3:$J$2984,데이터_품목별!$E$3:$E$2984,"20",데이터_품목별!$A$3:$A$2984,"2026.07")</f>
        <v>140512</v>
      </c>
    </row>
    <row r="126" customFormat="false" ht="15" hidden="false" customHeight="true" outlineLevel="0" collapsed="false">
      <c r="A126" s="53" t="s">
        <v>485</v>
      </c>
      <c r="B126" s="54" t="s">
        <v>486</v>
      </c>
      <c r="C126" s="55" t="n">
        <f aca="false">SUMIFS(데이터_품목별!$J$3:$J$2984,데이터_품목별!$E$3:$E$2984,"21",데이터_품목별!$A$3:$A$2984,"2024.01")</f>
        <v>227146</v>
      </c>
      <c r="D126" s="55" t="n">
        <f aca="false">SUMIFS(데이터_품목별!$J$3:$J$2984,데이터_품목별!$E$3:$E$2984,"21",데이터_품목별!$A$3:$A$2984,"2024.02")</f>
        <v>221782</v>
      </c>
      <c r="E126" s="55" t="n">
        <f aca="false">SUMIFS(데이터_품목별!$J$3:$J$2984,데이터_품목별!$E$3:$E$2984,"21",데이터_품목별!$A$3:$A$2984,"2024.03")</f>
        <v>246806</v>
      </c>
      <c r="F126" s="55" t="n">
        <f aca="false">SUMIFS(데이터_품목별!$J$3:$J$2984,데이터_품목별!$E$3:$E$2984,"21",데이터_품목별!$A$3:$A$2984,"2024.04")</f>
        <v>252875</v>
      </c>
      <c r="G126" s="55" t="n">
        <f aca="false">SUMIFS(데이터_품목별!$J$3:$J$2984,데이터_품목별!$E$3:$E$2984,"21",데이터_품목별!$A$3:$A$2984,"2024.05")</f>
        <v>253692</v>
      </c>
      <c r="H126" s="55" t="n">
        <f aca="false">SUMIFS(데이터_품목별!$J$3:$J$2984,데이터_품목별!$E$3:$E$2984,"21",데이터_품목별!$A$3:$A$2984,"2024.06")</f>
        <v>229071</v>
      </c>
      <c r="I126" s="55" t="n">
        <f aca="false">SUMIFS(데이터_품목별!$J$3:$J$2984,데이터_품목별!$E$3:$E$2984,"21",데이터_품목별!$A$3:$A$2984,"2024.07")</f>
        <v>256480</v>
      </c>
      <c r="J126" s="55" t="n">
        <f aca="false">SUMIFS(데이터_품목별!$J$3:$J$2984,데이터_품목별!$E$3:$E$2984,"21",데이터_품목별!$A$3:$A$2984,"2024.08")</f>
        <v>240434</v>
      </c>
      <c r="K126" s="55" t="n">
        <f aca="false">SUMIFS(데이터_품목별!$J$3:$J$2984,데이터_품목별!$E$3:$E$2984,"21",데이터_품목별!$A$3:$A$2984,"2024.09")</f>
        <v>223122</v>
      </c>
      <c r="L126" s="55" t="n">
        <f aca="false">SUMIFS(데이터_품목별!$J$3:$J$2984,데이터_품목별!$E$3:$E$2984,"21",데이터_품목별!$A$3:$A$2984,"2024.10")</f>
        <v>248993</v>
      </c>
      <c r="M126" s="55" t="n">
        <f aca="false">SUMIFS(데이터_품목별!$J$3:$J$2984,데이터_품목별!$E$3:$E$2984,"21",데이터_품목별!$A$3:$A$2984,"2024.11")</f>
        <v>216032</v>
      </c>
      <c r="N126" s="55" t="n">
        <f aca="false">SUMIFS(데이터_품목별!$J$3:$J$2984,데이터_품목별!$E$3:$E$2984,"21",데이터_품목별!$A$3:$A$2984,"2024.12")</f>
        <v>219621</v>
      </c>
      <c r="O126" s="55" t="n">
        <f aca="false">SUMIFS(데이터_품목별!$J$3:$J$2984,데이터_품목별!$E$3:$E$2984,"21",데이터_품목별!$A$3:$A$2984,"2025.01")</f>
        <v>209252</v>
      </c>
      <c r="P126" s="55" t="n">
        <f aca="false">SUMIFS(데이터_품목별!$J$3:$J$2984,데이터_품목별!$E$3:$E$2984,"21",데이터_품목별!$A$3:$A$2984,"2025.02")</f>
        <v>219240</v>
      </c>
      <c r="Q126" s="55" t="n">
        <f aca="false">SUMIFS(데이터_품목별!$J$3:$J$2984,데이터_품목별!$E$3:$E$2984,"21",데이터_품목별!$A$3:$A$2984,"2025.03")</f>
        <v>241800</v>
      </c>
      <c r="R126" s="55" t="n">
        <f aca="false">SUMIFS(데이터_품목별!$J$3:$J$2984,데이터_품목별!$E$3:$E$2984,"21",데이터_품목별!$A$3:$A$2984,"2025.04")</f>
        <v>238549</v>
      </c>
      <c r="S126" s="55" t="n">
        <f aca="false">SUMIFS(데이터_품목별!$J$3:$J$2984,데이터_품목별!$E$3:$E$2984,"21",데이터_품목별!$A$3:$A$2984,"2025.05")</f>
        <v>245695</v>
      </c>
      <c r="T126" s="55" t="n">
        <f aca="false">SUMIFS(데이터_품목별!$J$3:$J$2984,데이터_품목별!$E$3:$E$2984,"21",데이터_품목별!$A$3:$A$2984,"2025.06")</f>
        <v>237844</v>
      </c>
      <c r="U126" s="55" t="n">
        <f aca="false">SUMIFS(데이터_품목별!$J$3:$J$2984,데이터_품목별!$E$3:$E$2984,"21",데이터_품목별!$A$3:$A$2984,"2025.07")</f>
        <v>264325</v>
      </c>
      <c r="V126" s="55" t="n">
        <f aca="false">SUMIFS(데이터_품목별!$J$3:$J$2984,데이터_품목별!$E$3:$E$2984,"21",데이터_품목별!$A$3:$A$2984,"2025.08")</f>
        <v>246682</v>
      </c>
      <c r="W126" s="55" t="n">
        <f aca="false">SUMIFS(데이터_품목별!$J$3:$J$2984,데이터_품목별!$E$3:$E$2984,"21",데이터_품목별!$A$3:$A$2984,"2025.09")</f>
        <v>256823</v>
      </c>
      <c r="X126" s="55" t="n">
        <f aca="false">SUMIFS(데이터_품목별!$J$3:$J$2984,데이터_품목별!$E$3:$E$2984,"21",데이터_품목별!$A$3:$A$2984,"2025.10")</f>
        <v>223287</v>
      </c>
      <c r="Y126" s="55" t="n">
        <f aca="false">SUMIFS(데이터_품목별!$J$3:$J$2984,데이터_품목별!$E$3:$E$2984,"21",데이터_품목별!$A$3:$A$2984,"2025.11")</f>
        <v>226219</v>
      </c>
      <c r="Z126" s="55" t="n">
        <f aca="false">SUMIFS(데이터_품목별!$J$3:$J$2984,데이터_품목별!$E$3:$E$2984,"21",데이터_품목별!$A$3:$A$2984,"2025.12")</f>
        <v>258948</v>
      </c>
      <c r="AA126" s="55" t="n">
        <f aca="false">SUMIFS(데이터_품목별!$J$3:$J$2984,데이터_품목별!$E$3:$E$2984,"21",데이터_품목별!$A$3:$A$2984,"2026.01")</f>
        <v>227219</v>
      </c>
      <c r="AB126" s="55" t="n">
        <f aca="false">SUMIFS(데이터_품목별!$J$3:$J$2984,데이터_품목별!$E$3:$E$2984,"21",데이터_품목별!$A$3:$A$2984,"2026.02")</f>
        <v>211010</v>
      </c>
      <c r="AC126" s="55" t="n">
        <f aca="false">SUMIFS(데이터_품목별!$J$3:$J$2984,데이터_품목별!$E$3:$E$2984,"21",데이터_품목별!$A$3:$A$2984,"2026.03")</f>
        <v>250699</v>
      </c>
      <c r="AD126" s="55" t="n">
        <f aca="false">SUMIFS(데이터_품목별!$J$3:$J$2984,데이터_품목별!$E$3:$E$2984,"21",데이터_품목별!$A$3:$A$2984,"2026.04")</f>
        <v>247345</v>
      </c>
      <c r="AE126" s="55" t="n">
        <f aca="false">SUMIFS(데이터_품목별!$J$3:$J$2984,데이터_품목별!$E$3:$E$2984,"21",데이터_품목별!$A$3:$A$2984,"2026.05")</f>
        <v>246196</v>
      </c>
      <c r="AF126" s="55" t="n">
        <f aca="false">SUMIFS(데이터_품목별!$J$3:$J$2984,데이터_품목별!$E$3:$E$2984,"21",데이터_품목별!$A$3:$A$2984,"2026.06")</f>
        <v>233947</v>
      </c>
      <c r="AG126" s="55" t="n">
        <f aca="false">SUMIFS(데이터_품목별!$J$3:$J$2984,데이터_품목별!$E$3:$E$2984,"21",데이터_품목별!$A$3:$A$2984,"2026.07")</f>
        <v>238940</v>
      </c>
    </row>
    <row r="127" customFormat="false" ht="15" hidden="false" customHeight="true" outlineLevel="0" collapsed="false">
      <c r="A127" s="53" t="s">
        <v>492</v>
      </c>
      <c r="B127" s="54" t="s">
        <v>493</v>
      </c>
      <c r="C127" s="55" t="n">
        <f aca="false">SUMIFS(데이터_품목별!$J$3:$J$2984,데이터_품목별!$E$3:$E$2984,"22",데이터_품목별!$A$3:$A$2984,"2024.01")</f>
        <v>130106</v>
      </c>
      <c r="D127" s="55" t="n">
        <f aca="false">SUMIFS(데이터_품목별!$J$3:$J$2984,데이터_품목별!$E$3:$E$2984,"22",데이터_품목별!$A$3:$A$2984,"2024.02")</f>
        <v>110688</v>
      </c>
      <c r="E127" s="55" t="n">
        <f aca="false">SUMIFS(데이터_품목별!$J$3:$J$2984,데이터_품목별!$E$3:$E$2984,"22",데이터_품목별!$A$3:$A$2984,"2024.03")</f>
        <v>126390</v>
      </c>
      <c r="F127" s="55" t="n">
        <f aca="false">SUMIFS(데이터_품목별!$J$3:$J$2984,데이터_품목별!$E$3:$E$2984,"22",데이터_품목별!$A$3:$A$2984,"2024.04")</f>
        <v>140971</v>
      </c>
      <c r="G127" s="55" t="n">
        <f aca="false">SUMIFS(데이터_품목별!$J$3:$J$2984,데이터_품목별!$E$3:$E$2984,"22",데이터_품목별!$A$3:$A$2984,"2024.05")</f>
        <v>143365</v>
      </c>
      <c r="H127" s="55" t="n">
        <f aca="false">SUMIFS(데이터_품목별!$J$3:$J$2984,데이터_품목별!$E$3:$E$2984,"22",데이터_품목별!$A$3:$A$2984,"2024.06")</f>
        <v>131657</v>
      </c>
      <c r="I127" s="55" t="n">
        <f aca="false">SUMIFS(데이터_품목별!$J$3:$J$2984,데이터_품목별!$E$3:$E$2984,"22",데이터_품목별!$A$3:$A$2984,"2024.07")</f>
        <v>141943</v>
      </c>
      <c r="J127" s="55" t="n">
        <f aca="false">SUMIFS(데이터_품목별!$J$3:$J$2984,데이터_품목별!$E$3:$E$2984,"22",데이터_품목별!$A$3:$A$2984,"2024.08")</f>
        <v>132753</v>
      </c>
      <c r="K127" s="55" t="n">
        <f aca="false">SUMIFS(데이터_품목별!$J$3:$J$2984,데이터_품목별!$E$3:$E$2984,"22",데이터_품목별!$A$3:$A$2984,"2024.09")</f>
        <v>130328</v>
      </c>
      <c r="L127" s="55" t="n">
        <f aca="false">SUMIFS(데이터_품목별!$J$3:$J$2984,데이터_품목별!$E$3:$E$2984,"22",데이터_품목별!$A$3:$A$2984,"2024.10")</f>
        <v>140321</v>
      </c>
      <c r="M127" s="55" t="n">
        <f aca="false">SUMIFS(데이터_품목별!$J$3:$J$2984,데이터_품목별!$E$3:$E$2984,"22",데이터_품목별!$A$3:$A$2984,"2024.11")</f>
        <v>130320</v>
      </c>
      <c r="N127" s="55" t="n">
        <f aca="false">SUMIFS(데이터_품목별!$J$3:$J$2984,데이터_품목별!$E$3:$E$2984,"22",데이터_품목별!$A$3:$A$2984,"2024.12")</f>
        <v>131406</v>
      </c>
      <c r="O127" s="55" t="n">
        <f aca="false">SUMIFS(데이터_품목별!$J$3:$J$2984,데이터_품목별!$E$3:$E$2984,"22",데이터_품목별!$A$3:$A$2984,"2025.01")</f>
        <v>117458</v>
      </c>
      <c r="P127" s="55" t="n">
        <f aca="false">SUMIFS(데이터_품목별!$J$3:$J$2984,데이터_품목별!$E$3:$E$2984,"22",데이터_품목별!$A$3:$A$2984,"2025.02")</f>
        <v>103801</v>
      </c>
      <c r="Q127" s="55" t="n">
        <f aca="false">SUMIFS(데이터_품목별!$J$3:$J$2984,데이터_품목별!$E$3:$E$2984,"22",데이터_품목별!$A$3:$A$2984,"2025.03")</f>
        <v>118325</v>
      </c>
      <c r="R127" s="55" t="n">
        <f aca="false">SUMIFS(데이터_품목별!$J$3:$J$2984,데이터_품목별!$E$3:$E$2984,"22",데이터_품목별!$A$3:$A$2984,"2025.04")</f>
        <v>121257</v>
      </c>
      <c r="S127" s="55" t="n">
        <f aca="false">SUMIFS(데이터_품목별!$J$3:$J$2984,데이터_품목별!$E$3:$E$2984,"22",데이터_품목별!$A$3:$A$2984,"2025.05")</f>
        <v>129693</v>
      </c>
      <c r="T127" s="55" t="n">
        <f aca="false">SUMIFS(데이터_품목별!$J$3:$J$2984,데이터_품목별!$E$3:$E$2984,"22",데이터_품목별!$A$3:$A$2984,"2025.06")</f>
        <v>132019</v>
      </c>
      <c r="U127" s="55" t="n">
        <f aca="false">SUMIFS(데이터_품목별!$J$3:$J$2984,데이터_품목별!$E$3:$E$2984,"22",데이터_품목별!$A$3:$A$2984,"2025.07")</f>
        <v>142154</v>
      </c>
      <c r="V127" s="55" t="n">
        <f aca="false">SUMIFS(데이터_품목별!$J$3:$J$2984,데이터_품목별!$E$3:$E$2984,"22",데이터_품목별!$A$3:$A$2984,"2025.08")</f>
        <v>122246</v>
      </c>
      <c r="W127" s="55" t="n">
        <f aca="false">SUMIFS(데이터_품목별!$J$3:$J$2984,데이터_품목별!$E$3:$E$2984,"22",데이터_품목별!$A$3:$A$2984,"2025.09")</f>
        <v>132714</v>
      </c>
      <c r="X127" s="55" t="n">
        <f aca="false">SUMIFS(데이터_품목별!$J$3:$J$2984,데이터_품목별!$E$3:$E$2984,"22",데이터_품목별!$A$3:$A$2984,"2025.10")</f>
        <v>126349</v>
      </c>
      <c r="Y127" s="55" t="n">
        <f aca="false">SUMIFS(데이터_품목별!$J$3:$J$2984,데이터_품목별!$E$3:$E$2984,"22",데이터_품목별!$A$3:$A$2984,"2025.11")</f>
        <v>116799</v>
      </c>
      <c r="Z127" s="55" t="n">
        <f aca="false">SUMIFS(데이터_품목별!$J$3:$J$2984,데이터_품목별!$E$3:$E$2984,"22",데이터_품목별!$A$3:$A$2984,"2025.12")</f>
        <v>142415</v>
      </c>
      <c r="AA127" s="55" t="n">
        <f aca="false">SUMIFS(데이터_품목별!$J$3:$J$2984,데이터_품목별!$E$3:$E$2984,"22",데이터_품목별!$A$3:$A$2984,"2026.01")</f>
        <v>134137</v>
      </c>
      <c r="AB127" s="55" t="n">
        <f aca="false">SUMIFS(데이터_품목별!$J$3:$J$2984,데이터_품목별!$E$3:$E$2984,"22",데이터_품목별!$A$3:$A$2984,"2026.02")</f>
        <v>98227</v>
      </c>
      <c r="AC127" s="55" t="n">
        <f aca="false">SUMIFS(데이터_품목별!$J$3:$J$2984,데이터_품목별!$E$3:$E$2984,"22",데이터_품목별!$A$3:$A$2984,"2026.03")</f>
        <v>130444</v>
      </c>
      <c r="AD127" s="55" t="n">
        <f aca="false">SUMIFS(데이터_품목별!$J$3:$J$2984,데이터_품목별!$E$3:$E$2984,"22",데이터_품목별!$A$3:$A$2984,"2026.04")</f>
        <v>127147</v>
      </c>
      <c r="AE127" s="55" t="n">
        <f aca="false">SUMIFS(데이터_품목별!$J$3:$J$2984,데이터_품목별!$E$3:$E$2984,"22",데이터_품목별!$A$3:$A$2984,"2026.05")</f>
        <v>112353</v>
      </c>
      <c r="AF127" s="55" t="n">
        <f aca="false">SUMIFS(데이터_품목별!$J$3:$J$2984,데이터_품목별!$E$3:$E$2984,"22",데이터_품목별!$A$3:$A$2984,"2026.06")</f>
        <v>129525</v>
      </c>
      <c r="AG127" s="55" t="n">
        <f aca="false">SUMIFS(데이터_품목별!$J$3:$J$2984,데이터_품목별!$E$3:$E$2984,"22",데이터_품목별!$A$3:$A$2984,"2026.07")</f>
        <v>136104</v>
      </c>
    </row>
    <row r="128" customFormat="false" ht="15" hidden="false" customHeight="true" outlineLevel="0" collapsed="false">
      <c r="A128" s="53" t="s">
        <v>499</v>
      </c>
      <c r="B128" s="54" t="s">
        <v>500</v>
      </c>
      <c r="C128" s="55" t="n">
        <f aca="false">SUMIFS(데이터_품목별!$J$3:$J$2984,데이터_품목별!$E$3:$E$2984,"23",데이터_품목별!$A$3:$A$2984,"2024.01")</f>
        <v>272316</v>
      </c>
      <c r="D128" s="55" t="n">
        <f aca="false">SUMIFS(데이터_품목별!$J$3:$J$2984,데이터_품목별!$E$3:$E$2984,"23",데이터_품목별!$A$3:$A$2984,"2024.02")</f>
        <v>213072</v>
      </c>
      <c r="E128" s="55" t="n">
        <f aca="false">SUMIFS(데이터_품목별!$J$3:$J$2984,데이터_품목별!$E$3:$E$2984,"23",데이터_품목별!$A$3:$A$2984,"2024.03")</f>
        <v>212106</v>
      </c>
      <c r="F128" s="55" t="n">
        <f aca="false">SUMIFS(데이터_품목별!$J$3:$J$2984,데이터_품목별!$E$3:$E$2984,"23",데이터_품목별!$A$3:$A$2984,"2024.04")</f>
        <v>222855</v>
      </c>
      <c r="G128" s="55" t="n">
        <f aca="false">SUMIFS(데이터_품목별!$J$3:$J$2984,데이터_품목별!$E$3:$E$2984,"23",데이터_품목별!$A$3:$A$2984,"2024.05")</f>
        <v>265277</v>
      </c>
      <c r="H128" s="55" t="n">
        <f aca="false">SUMIFS(데이터_품목별!$J$3:$J$2984,데이터_품목별!$E$3:$E$2984,"23",데이터_품목별!$A$3:$A$2984,"2024.06")</f>
        <v>203915</v>
      </c>
      <c r="I128" s="55" t="n">
        <f aca="false">SUMIFS(데이터_품목별!$J$3:$J$2984,데이터_품목별!$E$3:$E$2984,"23",데이터_품목별!$A$3:$A$2984,"2024.07")</f>
        <v>231028</v>
      </c>
      <c r="J128" s="55" t="n">
        <f aca="false">SUMIFS(데이터_품목별!$J$3:$J$2984,데이터_품목별!$E$3:$E$2984,"23",데이터_품목별!$A$3:$A$2984,"2024.08")</f>
        <v>215957</v>
      </c>
      <c r="K128" s="55" t="n">
        <f aca="false">SUMIFS(데이터_품목별!$J$3:$J$2984,데이터_품목별!$E$3:$E$2984,"23",데이터_품목별!$A$3:$A$2984,"2024.09")</f>
        <v>190488</v>
      </c>
      <c r="L128" s="55" t="n">
        <f aca="false">SUMIFS(데이터_품목별!$J$3:$J$2984,데이터_품목별!$E$3:$E$2984,"23",데이터_품목별!$A$3:$A$2984,"2024.10")</f>
        <v>240720</v>
      </c>
      <c r="M128" s="55" t="n">
        <f aca="false">SUMIFS(데이터_품목별!$J$3:$J$2984,데이터_품목별!$E$3:$E$2984,"23",데이터_품목별!$A$3:$A$2984,"2024.11")</f>
        <v>195081</v>
      </c>
      <c r="N128" s="55" t="n">
        <f aca="false">SUMIFS(데이터_품목별!$J$3:$J$2984,데이터_품목별!$E$3:$E$2984,"23",데이터_품목별!$A$3:$A$2984,"2024.12")</f>
        <v>186635</v>
      </c>
      <c r="O128" s="55" t="n">
        <f aca="false">SUMIFS(데이터_품목별!$J$3:$J$2984,데이터_품목별!$E$3:$E$2984,"23",데이터_품목별!$A$3:$A$2984,"2025.01")</f>
        <v>186195</v>
      </c>
      <c r="P128" s="55" t="n">
        <f aca="false">SUMIFS(데이터_품목별!$J$3:$J$2984,데이터_품목별!$E$3:$E$2984,"23",데이터_품목별!$A$3:$A$2984,"2025.02")</f>
        <v>177064</v>
      </c>
      <c r="Q128" s="55" t="n">
        <f aca="false">SUMIFS(데이터_품목별!$J$3:$J$2984,데이터_품목별!$E$3:$E$2984,"23",데이터_품목별!$A$3:$A$2984,"2025.03")</f>
        <v>178139</v>
      </c>
      <c r="R128" s="55" t="n">
        <f aca="false">SUMIFS(데이터_품목별!$J$3:$J$2984,데이터_품목별!$E$3:$E$2984,"23",데이터_품목별!$A$3:$A$2984,"2025.04")</f>
        <v>186215</v>
      </c>
      <c r="S128" s="55" t="n">
        <f aca="false">SUMIFS(데이터_품목별!$J$3:$J$2984,데이터_품목별!$E$3:$E$2984,"23",데이터_품목별!$A$3:$A$2984,"2025.05")</f>
        <v>193389</v>
      </c>
      <c r="T128" s="55" t="n">
        <f aca="false">SUMIFS(데이터_품목별!$J$3:$J$2984,데이터_품목별!$E$3:$E$2984,"23",데이터_품목별!$A$3:$A$2984,"2025.06")</f>
        <v>189850</v>
      </c>
      <c r="U128" s="55" t="n">
        <f aca="false">SUMIFS(데이터_품목별!$J$3:$J$2984,데이터_품목별!$E$3:$E$2984,"23",데이터_품목별!$A$3:$A$2984,"2025.07")</f>
        <v>177479</v>
      </c>
      <c r="V128" s="55" t="n">
        <f aca="false">SUMIFS(데이터_품목별!$J$3:$J$2984,데이터_품목별!$E$3:$E$2984,"23",데이터_품목별!$A$3:$A$2984,"2025.08")</f>
        <v>195749</v>
      </c>
      <c r="W128" s="55" t="n">
        <f aca="false">SUMIFS(데이터_품목별!$J$3:$J$2984,데이터_품목별!$E$3:$E$2984,"23",데이터_품목별!$A$3:$A$2984,"2025.09")</f>
        <v>206476</v>
      </c>
      <c r="X128" s="55" t="n">
        <f aca="false">SUMIFS(데이터_품목별!$J$3:$J$2984,데이터_품목별!$E$3:$E$2984,"23",데이터_품목별!$A$3:$A$2984,"2025.10")</f>
        <v>188970</v>
      </c>
      <c r="Y128" s="55" t="n">
        <f aca="false">SUMIFS(데이터_품목별!$J$3:$J$2984,데이터_품목별!$E$3:$E$2984,"23",데이터_품목별!$A$3:$A$2984,"2025.11")</f>
        <v>164791</v>
      </c>
      <c r="Z128" s="55" t="n">
        <f aca="false">SUMIFS(데이터_품목별!$J$3:$J$2984,데이터_품목별!$E$3:$E$2984,"23",데이터_품목별!$A$3:$A$2984,"2025.12")</f>
        <v>202832</v>
      </c>
      <c r="AA128" s="55" t="n">
        <f aca="false">SUMIFS(데이터_품목별!$J$3:$J$2984,데이터_품목별!$E$3:$E$2984,"23",데이터_품목별!$A$3:$A$2984,"2026.01")</f>
        <v>186099</v>
      </c>
      <c r="AB128" s="55" t="n">
        <f aca="false">SUMIFS(데이터_품목별!$J$3:$J$2984,데이터_품목별!$E$3:$E$2984,"23",데이터_품목별!$A$3:$A$2984,"2026.02")</f>
        <v>168180</v>
      </c>
      <c r="AC128" s="55" t="n">
        <f aca="false">SUMIFS(데이터_품목별!$J$3:$J$2984,데이터_품목별!$E$3:$E$2984,"23",데이터_품목별!$A$3:$A$2984,"2026.03")</f>
        <v>207399</v>
      </c>
      <c r="AD128" s="55" t="n">
        <f aca="false">SUMIFS(데이터_품목별!$J$3:$J$2984,데이터_품목별!$E$3:$E$2984,"23",데이터_품목별!$A$3:$A$2984,"2026.04")</f>
        <v>190173</v>
      </c>
      <c r="AE128" s="55" t="n">
        <f aca="false">SUMIFS(데이터_품목별!$J$3:$J$2984,데이터_품목별!$E$3:$E$2984,"23",데이터_품목별!$A$3:$A$2984,"2026.05")</f>
        <v>160485</v>
      </c>
      <c r="AF128" s="55" t="n">
        <f aca="false">SUMIFS(데이터_품목별!$J$3:$J$2984,데이터_품목별!$E$3:$E$2984,"23",데이터_품목별!$A$3:$A$2984,"2026.06")</f>
        <v>199255</v>
      </c>
      <c r="AG128" s="55" t="n">
        <f aca="false">SUMIFS(데이터_품목별!$J$3:$J$2984,데이터_품목별!$E$3:$E$2984,"23",데이터_품목별!$A$3:$A$2984,"2026.07")</f>
        <v>223609</v>
      </c>
    </row>
    <row r="129" customFormat="false" ht="15" hidden="false" customHeight="true" outlineLevel="0" collapsed="false">
      <c r="A129" s="53" t="s">
        <v>506</v>
      </c>
      <c r="B129" s="54" t="s">
        <v>507</v>
      </c>
      <c r="C129" s="55" t="n">
        <f aca="false">SUMIFS(데이터_품목별!$J$3:$J$2984,데이터_품목별!$E$3:$E$2984,"24",데이터_품목별!$A$3:$A$2984,"2024.01")</f>
        <v>61695</v>
      </c>
      <c r="D129" s="55" t="n">
        <f aca="false">SUMIFS(데이터_품목별!$J$3:$J$2984,데이터_품목별!$E$3:$E$2984,"24",데이터_품목별!$A$3:$A$2984,"2024.02")</f>
        <v>72199</v>
      </c>
      <c r="E129" s="55" t="n">
        <f aca="false">SUMIFS(데이터_품목별!$J$3:$J$2984,데이터_품목별!$E$3:$E$2984,"24",데이터_품목별!$A$3:$A$2984,"2024.03")</f>
        <v>53765</v>
      </c>
      <c r="F129" s="55" t="n">
        <f aca="false">SUMIFS(데이터_품목별!$J$3:$J$2984,데이터_품목별!$E$3:$E$2984,"24",데이터_품목별!$A$3:$A$2984,"2024.04")</f>
        <v>54141</v>
      </c>
      <c r="G129" s="55" t="n">
        <f aca="false">SUMIFS(데이터_품목별!$J$3:$J$2984,데이터_품목별!$E$3:$E$2984,"24",데이터_품목별!$A$3:$A$2984,"2024.05")</f>
        <v>47461</v>
      </c>
      <c r="H129" s="55" t="n">
        <f aca="false">SUMIFS(데이터_품목별!$J$3:$J$2984,데이터_품목별!$E$3:$E$2984,"24",데이터_품목별!$A$3:$A$2984,"2024.06")</f>
        <v>36207</v>
      </c>
      <c r="I129" s="55" t="n">
        <f aca="false">SUMIFS(데이터_품목별!$J$3:$J$2984,데이터_품목별!$E$3:$E$2984,"24",데이터_품목별!$A$3:$A$2984,"2024.07")</f>
        <v>40509</v>
      </c>
      <c r="J129" s="55" t="n">
        <f aca="false">SUMIFS(데이터_품목별!$J$3:$J$2984,데이터_품목별!$E$3:$E$2984,"24",데이터_품목별!$A$3:$A$2984,"2024.08")</f>
        <v>34517</v>
      </c>
      <c r="K129" s="55" t="n">
        <f aca="false">SUMIFS(데이터_품목별!$J$3:$J$2984,데이터_품목별!$E$3:$E$2984,"24",데이터_품목별!$A$3:$A$2984,"2024.09")</f>
        <v>44856</v>
      </c>
      <c r="L129" s="55" t="n">
        <f aca="false">SUMIFS(데이터_품목별!$J$3:$J$2984,데이터_품목별!$E$3:$E$2984,"24",데이터_품목별!$A$3:$A$2984,"2024.10")</f>
        <v>43886</v>
      </c>
      <c r="M129" s="55" t="n">
        <f aca="false">SUMIFS(데이터_품목별!$J$3:$J$2984,데이터_품목별!$E$3:$E$2984,"24",데이터_품목별!$A$3:$A$2984,"2024.11")</f>
        <v>43185</v>
      </c>
      <c r="N129" s="55" t="n">
        <f aca="false">SUMIFS(데이터_품목별!$J$3:$J$2984,데이터_품목별!$E$3:$E$2984,"24",데이터_품목별!$A$3:$A$2984,"2024.12")</f>
        <v>53078</v>
      </c>
      <c r="O129" s="55" t="n">
        <f aca="false">SUMIFS(데이터_품목별!$J$3:$J$2984,데이터_품목별!$E$3:$E$2984,"24",데이터_품목별!$A$3:$A$2984,"2025.01")</f>
        <v>37590</v>
      </c>
      <c r="P129" s="55" t="n">
        <f aca="false">SUMIFS(데이터_품목별!$J$3:$J$2984,데이터_품목별!$E$3:$E$2984,"24",데이터_품목별!$A$3:$A$2984,"2025.02")</f>
        <v>52166</v>
      </c>
      <c r="Q129" s="55" t="n">
        <f aca="false">SUMIFS(데이터_품목별!$J$3:$J$2984,데이터_품목별!$E$3:$E$2984,"24",데이터_품목별!$A$3:$A$2984,"2025.03")</f>
        <v>57446</v>
      </c>
      <c r="R129" s="55" t="n">
        <f aca="false">SUMIFS(데이터_품목별!$J$3:$J$2984,데이터_품목별!$E$3:$E$2984,"24",데이터_품목별!$A$3:$A$2984,"2025.04")</f>
        <v>61151</v>
      </c>
      <c r="S129" s="55" t="n">
        <f aca="false">SUMIFS(데이터_품목별!$J$3:$J$2984,데이터_품목별!$E$3:$E$2984,"24",데이터_품목별!$A$3:$A$2984,"2025.05")</f>
        <v>43849</v>
      </c>
      <c r="T129" s="55" t="n">
        <f aca="false">SUMIFS(데이터_품목별!$J$3:$J$2984,데이터_품목별!$E$3:$E$2984,"24",데이터_품목별!$A$3:$A$2984,"2025.06")</f>
        <v>41935</v>
      </c>
      <c r="U129" s="55" t="n">
        <f aca="false">SUMIFS(데이터_품목별!$J$3:$J$2984,데이터_품목별!$E$3:$E$2984,"24",데이터_품목별!$A$3:$A$2984,"2025.07")</f>
        <v>49237</v>
      </c>
      <c r="V129" s="55" t="n">
        <f aca="false">SUMIFS(데이터_품목별!$J$3:$J$2984,데이터_품목별!$E$3:$E$2984,"24",데이터_품목별!$A$3:$A$2984,"2025.08")</f>
        <v>39858</v>
      </c>
      <c r="W129" s="55" t="n">
        <f aca="false">SUMIFS(데이터_품목별!$J$3:$J$2984,데이터_품목별!$E$3:$E$2984,"24",데이터_품목별!$A$3:$A$2984,"2025.09")</f>
        <v>60324</v>
      </c>
      <c r="X129" s="55" t="n">
        <f aca="false">SUMIFS(데이터_품목별!$J$3:$J$2984,데이터_품목별!$E$3:$E$2984,"24",데이터_품목별!$A$3:$A$2984,"2025.10")</f>
        <v>58873</v>
      </c>
      <c r="Y129" s="55" t="n">
        <f aca="false">SUMIFS(데이터_품목별!$J$3:$J$2984,데이터_품목별!$E$3:$E$2984,"24",데이터_품목별!$A$3:$A$2984,"2025.11")</f>
        <v>56491</v>
      </c>
      <c r="Z129" s="55" t="n">
        <f aca="false">SUMIFS(데이터_품목별!$J$3:$J$2984,데이터_품목별!$E$3:$E$2984,"24",데이터_품목별!$A$3:$A$2984,"2025.12")</f>
        <v>72695</v>
      </c>
      <c r="AA129" s="55" t="n">
        <f aca="false">SUMIFS(데이터_품목별!$J$3:$J$2984,데이터_품목별!$E$3:$E$2984,"24",데이터_품목별!$A$3:$A$2984,"2026.01")</f>
        <v>73489</v>
      </c>
      <c r="AB129" s="55" t="n">
        <f aca="false">SUMIFS(데이터_품목별!$J$3:$J$2984,데이터_품목별!$E$3:$E$2984,"24",데이터_품목별!$A$3:$A$2984,"2026.02")</f>
        <v>62721</v>
      </c>
      <c r="AC129" s="55" t="n">
        <f aca="false">SUMIFS(데이터_품목별!$J$3:$J$2984,데이터_품목별!$E$3:$E$2984,"24",데이터_품목별!$A$3:$A$2984,"2026.03")</f>
        <v>71375</v>
      </c>
      <c r="AD129" s="55" t="n">
        <f aca="false">SUMIFS(데이터_품목별!$J$3:$J$2984,데이터_품목별!$E$3:$E$2984,"24",데이터_품목별!$A$3:$A$2984,"2026.04")</f>
        <v>50629</v>
      </c>
      <c r="AE129" s="55" t="n">
        <f aca="false">SUMIFS(데이터_품목별!$J$3:$J$2984,데이터_품목별!$E$3:$E$2984,"24",데이터_품목별!$A$3:$A$2984,"2026.05")</f>
        <v>36162</v>
      </c>
      <c r="AF129" s="55" t="n">
        <f aca="false">SUMIFS(데이터_품목별!$J$3:$J$2984,데이터_품목별!$E$3:$E$2984,"24",데이터_품목별!$A$3:$A$2984,"2026.06")</f>
        <v>40123</v>
      </c>
      <c r="AG129" s="55" t="n">
        <f aca="false">SUMIFS(데이터_품목별!$J$3:$J$2984,데이터_품목별!$E$3:$E$2984,"24",데이터_품목별!$A$3:$A$2984,"2026.07")</f>
        <v>48688</v>
      </c>
    </row>
    <row r="130" customFormat="false" ht="15" hidden="false" customHeight="true" outlineLevel="0" collapsed="false">
      <c r="A130" s="53" t="s">
        <v>513</v>
      </c>
      <c r="B130" s="54" t="s">
        <v>514</v>
      </c>
      <c r="C130" s="55" t="n">
        <f aca="false">SUMIFS(데이터_품목별!$J$3:$J$2984,데이터_품목별!$E$3:$E$2984,"25",데이터_품목별!$A$3:$A$2984,"2024.01")</f>
        <v>68468</v>
      </c>
      <c r="D130" s="55" t="n">
        <f aca="false">SUMIFS(데이터_품목별!$J$3:$J$2984,데이터_품목별!$E$3:$E$2984,"25",데이터_품목별!$A$3:$A$2984,"2024.02")</f>
        <v>76307</v>
      </c>
      <c r="E130" s="55" t="n">
        <f aca="false">SUMIFS(데이터_품목별!$J$3:$J$2984,데이터_품목별!$E$3:$E$2984,"25",데이터_품목별!$A$3:$A$2984,"2024.03")</f>
        <v>76507</v>
      </c>
      <c r="F130" s="55" t="n">
        <f aca="false">SUMIFS(데이터_품목별!$J$3:$J$2984,데이터_품목별!$E$3:$E$2984,"25",데이터_품목별!$A$3:$A$2984,"2024.04")</f>
        <v>89940</v>
      </c>
      <c r="G130" s="55" t="n">
        <f aca="false">SUMIFS(데이터_품목별!$J$3:$J$2984,데이터_품목별!$E$3:$E$2984,"25",데이터_품목별!$A$3:$A$2984,"2024.05")</f>
        <v>89068</v>
      </c>
      <c r="H130" s="55" t="n">
        <f aca="false">SUMIFS(데이터_품목별!$J$3:$J$2984,데이터_품목별!$E$3:$E$2984,"25",데이터_품목별!$A$3:$A$2984,"2024.06")</f>
        <v>78015</v>
      </c>
      <c r="I130" s="55" t="n">
        <f aca="false">SUMIFS(데이터_품목별!$J$3:$J$2984,데이터_품목별!$E$3:$E$2984,"25",데이터_품목별!$A$3:$A$2984,"2024.07")</f>
        <v>86656</v>
      </c>
      <c r="J130" s="55" t="n">
        <f aca="false">SUMIFS(데이터_품목별!$J$3:$J$2984,데이터_품목별!$E$3:$E$2984,"25",데이터_품목별!$A$3:$A$2984,"2024.08")</f>
        <v>72871</v>
      </c>
      <c r="K130" s="55" t="n">
        <f aca="false">SUMIFS(데이터_품목별!$J$3:$J$2984,데이터_품목별!$E$3:$E$2984,"25",데이터_품목별!$A$3:$A$2984,"2024.09")</f>
        <v>88626</v>
      </c>
      <c r="L130" s="55" t="n">
        <f aca="false">SUMIFS(데이터_품목별!$J$3:$J$2984,데이터_품목별!$E$3:$E$2984,"25",데이터_품목별!$A$3:$A$2984,"2024.10")</f>
        <v>90002</v>
      </c>
      <c r="M130" s="55" t="n">
        <f aca="false">SUMIFS(데이터_품목별!$J$3:$J$2984,데이터_품목별!$E$3:$E$2984,"25",데이터_품목별!$A$3:$A$2984,"2024.11")</f>
        <v>73496</v>
      </c>
      <c r="N130" s="55" t="n">
        <f aca="false">SUMIFS(데이터_품목별!$J$3:$J$2984,데이터_품목별!$E$3:$E$2984,"25",데이터_품목별!$A$3:$A$2984,"2024.12")</f>
        <v>93648</v>
      </c>
      <c r="O130" s="55" t="n">
        <f aca="false">SUMIFS(데이터_품목별!$J$3:$J$2984,데이터_품목별!$E$3:$E$2984,"25",데이터_품목별!$A$3:$A$2984,"2025.01")</f>
        <v>82092</v>
      </c>
      <c r="P130" s="55" t="n">
        <f aca="false">SUMIFS(데이터_품목별!$J$3:$J$2984,데이터_품목별!$E$3:$E$2984,"25",데이터_품목별!$A$3:$A$2984,"2025.02")</f>
        <v>66016</v>
      </c>
      <c r="Q130" s="55" t="n">
        <f aca="false">SUMIFS(데이터_품목별!$J$3:$J$2984,데이터_품목별!$E$3:$E$2984,"25",데이터_품목별!$A$3:$A$2984,"2025.03")</f>
        <v>78595</v>
      </c>
      <c r="R130" s="55" t="n">
        <f aca="false">SUMIFS(데이터_품목별!$J$3:$J$2984,데이터_품목별!$E$3:$E$2984,"25",데이터_품목별!$A$3:$A$2984,"2025.04")</f>
        <v>97809</v>
      </c>
      <c r="S130" s="55" t="n">
        <f aca="false">SUMIFS(데이터_품목별!$J$3:$J$2984,데이터_품목별!$E$3:$E$2984,"25",데이터_품목별!$A$3:$A$2984,"2025.05")</f>
        <v>84353</v>
      </c>
      <c r="T130" s="55" t="n">
        <f aca="false">SUMIFS(데이터_품목별!$J$3:$J$2984,데이터_품목별!$E$3:$E$2984,"25",데이터_품목별!$A$3:$A$2984,"2025.06")</f>
        <v>79317</v>
      </c>
      <c r="U130" s="55" t="n">
        <f aca="false">SUMIFS(데이터_품목별!$J$3:$J$2984,데이터_품목별!$E$3:$E$2984,"25",데이터_품목별!$A$3:$A$2984,"2025.07")</f>
        <v>75177</v>
      </c>
      <c r="V130" s="55" t="n">
        <f aca="false">SUMIFS(데이터_품목별!$J$3:$J$2984,데이터_품목별!$E$3:$E$2984,"25",데이터_품목별!$A$3:$A$2984,"2025.08")</f>
        <v>79321</v>
      </c>
      <c r="W130" s="55" t="n">
        <f aca="false">SUMIFS(데이터_품목별!$J$3:$J$2984,데이터_품목별!$E$3:$E$2984,"25",데이터_품목별!$A$3:$A$2984,"2025.09")</f>
        <v>85661</v>
      </c>
      <c r="X130" s="55" t="n">
        <f aca="false">SUMIFS(데이터_품목별!$J$3:$J$2984,데이터_품목별!$E$3:$E$2984,"25",데이터_품목별!$A$3:$A$2984,"2025.10")</f>
        <v>66077</v>
      </c>
      <c r="Y130" s="55" t="n">
        <f aca="false">SUMIFS(데이터_품목별!$J$3:$J$2984,데이터_품목별!$E$3:$E$2984,"25",데이터_품목별!$A$3:$A$2984,"2025.11")</f>
        <v>66072</v>
      </c>
      <c r="Z130" s="55" t="n">
        <f aca="false">SUMIFS(데이터_품목별!$J$3:$J$2984,데이터_품목별!$E$3:$E$2984,"25",데이터_품목별!$A$3:$A$2984,"2025.12")</f>
        <v>75735</v>
      </c>
      <c r="AA130" s="55" t="n">
        <f aca="false">SUMIFS(데이터_품목별!$J$3:$J$2984,데이터_품목별!$E$3:$E$2984,"25",데이터_품목별!$A$3:$A$2984,"2026.01")</f>
        <v>64626</v>
      </c>
      <c r="AB130" s="55" t="n">
        <f aca="false">SUMIFS(데이터_품목별!$J$3:$J$2984,데이터_품목별!$E$3:$E$2984,"25",데이터_품목별!$A$3:$A$2984,"2026.02")</f>
        <v>59659</v>
      </c>
      <c r="AC130" s="55" t="n">
        <f aca="false">SUMIFS(데이터_품목별!$J$3:$J$2984,데이터_품목별!$E$3:$E$2984,"25",데이터_품목별!$A$3:$A$2984,"2026.03")</f>
        <v>66438</v>
      </c>
      <c r="AD130" s="55" t="n">
        <f aca="false">SUMIFS(데이터_품목별!$J$3:$J$2984,데이터_품목별!$E$3:$E$2984,"25",데이터_품목별!$A$3:$A$2984,"2026.04")</f>
        <v>67319</v>
      </c>
      <c r="AE130" s="55" t="n">
        <f aca="false">SUMIFS(데이터_품목별!$J$3:$J$2984,데이터_품목별!$E$3:$E$2984,"25",데이터_품목별!$A$3:$A$2984,"2026.05")</f>
        <v>65896</v>
      </c>
      <c r="AF130" s="55" t="n">
        <f aca="false">SUMIFS(데이터_품목별!$J$3:$J$2984,데이터_품목별!$E$3:$E$2984,"25",데이터_품목별!$A$3:$A$2984,"2026.06")</f>
        <v>158533</v>
      </c>
      <c r="AG130" s="55" t="n">
        <f aca="false">SUMIFS(데이터_품목별!$J$3:$J$2984,데이터_품목별!$E$3:$E$2984,"25",데이터_품목별!$A$3:$A$2984,"2026.07")</f>
        <v>67308</v>
      </c>
    </row>
    <row r="131" customFormat="false" ht="15" hidden="false" customHeight="true" outlineLevel="0" collapsed="false">
      <c r="A131" s="53" t="s">
        <v>520</v>
      </c>
      <c r="B131" s="54" t="s">
        <v>521</v>
      </c>
      <c r="C131" s="55" t="n">
        <f aca="false">SUMIFS(데이터_품목별!$J$3:$J$2984,데이터_품목별!$E$3:$E$2984,"26",데이터_품목별!$A$3:$A$2984,"2024.01")</f>
        <v>1773555</v>
      </c>
      <c r="D131" s="55" t="n">
        <f aca="false">SUMIFS(데이터_품목별!$J$3:$J$2984,데이터_품목별!$E$3:$E$2984,"26",데이터_품목별!$A$3:$A$2984,"2024.02")</f>
        <v>1487991</v>
      </c>
      <c r="E131" s="55" t="n">
        <f aca="false">SUMIFS(데이터_품목별!$J$3:$J$2984,데이터_품목별!$E$3:$E$2984,"26",데이터_품목별!$A$3:$A$2984,"2024.03")</f>
        <v>1326111</v>
      </c>
      <c r="F131" s="55" t="n">
        <f aca="false">SUMIFS(데이터_품목별!$J$3:$J$2984,데이터_품목별!$E$3:$E$2984,"26",데이터_품목별!$A$3:$A$2984,"2024.04")</f>
        <v>1711251</v>
      </c>
      <c r="G131" s="55" t="n">
        <f aca="false">SUMIFS(데이터_품목별!$J$3:$J$2984,데이터_품목별!$E$3:$E$2984,"26",데이터_품목별!$A$3:$A$2984,"2024.05")</f>
        <v>1791021</v>
      </c>
      <c r="H131" s="55" t="n">
        <f aca="false">SUMIFS(데이터_품목별!$J$3:$J$2984,데이터_품목별!$E$3:$E$2984,"26",데이터_품목별!$A$3:$A$2984,"2024.06")</f>
        <v>1578509</v>
      </c>
      <c r="I131" s="55" t="n">
        <f aca="false">SUMIFS(데이터_품목별!$J$3:$J$2984,데이터_품목별!$E$3:$E$2984,"26",데이터_품목별!$A$3:$A$2984,"2024.07")</f>
        <v>1784561</v>
      </c>
      <c r="J131" s="55" t="n">
        <f aca="false">SUMIFS(데이터_품목별!$J$3:$J$2984,데이터_품목별!$E$3:$E$2984,"26",데이터_품목별!$A$3:$A$2984,"2024.08")</f>
        <v>1472160</v>
      </c>
      <c r="K131" s="55" t="n">
        <f aca="false">SUMIFS(데이터_품목별!$J$3:$J$2984,데이터_품목별!$E$3:$E$2984,"26",데이터_품목별!$A$3:$A$2984,"2024.09")</f>
        <v>1769085</v>
      </c>
      <c r="L131" s="55" t="n">
        <f aca="false">SUMIFS(데이터_품목별!$J$3:$J$2984,데이터_품목별!$E$3:$E$2984,"26",데이터_품목별!$A$3:$A$2984,"2024.10")</f>
        <v>1588418</v>
      </c>
      <c r="M131" s="55" t="n">
        <f aca="false">SUMIFS(데이터_품목별!$J$3:$J$2984,데이터_품목별!$E$3:$E$2984,"26",데이터_품목별!$A$3:$A$2984,"2024.11")</f>
        <v>1364370</v>
      </c>
      <c r="N131" s="55" t="n">
        <f aca="false">SUMIFS(데이터_품목별!$J$3:$J$2984,데이터_품목별!$E$3:$E$2984,"26",데이터_품목별!$A$3:$A$2984,"2024.12")</f>
        <v>1552457</v>
      </c>
      <c r="O131" s="55" t="n">
        <f aca="false">SUMIFS(데이터_품목별!$J$3:$J$2984,데이터_품목별!$E$3:$E$2984,"26",데이터_품목별!$A$3:$A$2984,"2025.01")</f>
        <v>1930784</v>
      </c>
      <c r="P131" s="55" t="n">
        <f aca="false">SUMIFS(데이터_품목별!$J$3:$J$2984,데이터_품목별!$E$3:$E$2984,"26",데이터_품목별!$A$3:$A$2984,"2025.02")</f>
        <v>1318056</v>
      </c>
      <c r="Q131" s="55" t="n">
        <f aca="false">SUMIFS(데이터_품목별!$J$3:$J$2984,데이터_품목별!$E$3:$E$2984,"26",데이터_품목별!$A$3:$A$2984,"2025.03")</f>
        <v>1610001</v>
      </c>
      <c r="R131" s="55" t="n">
        <f aca="false">SUMIFS(데이터_품목별!$J$3:$J$2984,데이터_품목별!$E$3:$E$2984,"26",데이터_품목별!$A$3:$A$2984,"2025.04")</f>
        <v>1796334</v>
      </c>
      <c r="S131" s="55" t="n">
        <f aca="false">SUMIFS(데이터_품목별!$J$3:$J$2984,데이터_품목별!$E$3:$E$2984,"26",데이터_품목별!$A$3:$A$2984,"2025.05")</f>
        <v>1448295</v>
      </c>
      <c r="T131" s="55" t="n">
        <f aca="false">SUMIFS(데이터_품목별!$J$3:$J$2984,데이터_품목별!$E$3:$E$2984,"26",데이터_품목별!$A$3:$A$2984,"2025.06")</f>
        <v>2043230</v>
      </c>
      <c r="U131" s="55" t="n">
        <f aca="false">SUMIFS(데이터_품목별!$J$3:$J$2984,데이터_품목별!$E$3:$E$2984,"26",데이터_품목별!$A$3:$A$2984,"2025.07")</f>
        <v>1745268</v>
      </c>
      <c r="V131" s="55" t="n">
        <f aca="false">SUMIFS(데이터_품목별!$J$3:$J$2984,데이터_품목별!$E$3:$E$2984,"26",데이터_품목별!$A$3:$A$2984,"2025.08")</f>
        <v>1592594</v>
      </c>
      <c r="W131" s="55" t="n">
        <f aca="false">SUMIFS(데이터_품목별!$J$3:$J$2984,데이터_품목별!$E$3:$E$2984,"26",데이터_품목별!$A$3:$A$2984,"2025.09")</f>
        <v>1881240</v>
      </c>
      <c r="X131" s="55" t="n">
        <f aca="false">SUMIFS(데이터_품목별!$J$3:$J$2984,데이터_품목별!$E$3:$E$2984,"26",데이터_품목별!$A$3:$A$2984,"2025.10")</f>
        <v>1936338</v>
      </c>
      <c r="Y131" s="55" t="n">
        <f aca="false">SUMIFS(데이터_품목별!$J$3:$J$2984,데이터_품목별!$E$3:$E$2984,"26",데이터_품목별!$A$3:$A$2984,"2025.11")</f>
        <v>1690152</v>
      </c>
      <c r="Z131" s="55" t="n">
        <f aca="false">SUMIFS(데이터_품목별!$J$3:$J$2984,데이터_품목별!$E$3:$E$2984,"26",데이터_품목별!$A$3:$A$2984,"2025.12")</f>
        <v>1849101</v>
      </c>
      <c r="AA131" s="55" t="n">
        <f aca="false">SUMIFS(데이터_품목별!$J$3:$J$2984,데이터_품목별!$E$3:$E$2984,"26",데이터_품목별!$A$3:$A$2984,"2026.01")</f>
        <v>2555647</v>
      </c>
      <c r="AB131" s="55" t="n">
        <f aca="false">SUMIFS(데이터_품목별!$J$3:$J$2984,데이터_품목별!$E$3:$E$2984,"26",데이터_품목별!$A$3:$A$2984,"2026.02")</f>
        <v>1685614</v>
      </c>
      <c r="AC131" s="55" t="n">
        <f aca="false">SUMIFS(데이터_품목별!$J$3:$J$2984,데이터_품목별!$E$3:$E$2984,"26",데이터_품목별!$A$3:$A$2984,"2026.03")</f>
        <v>2202575</v>
      </c>
      <c r="AD131" s="55" t="n">
        <f aca="false">SUMIFS(데이터_품목별!$J$3:$J$2984,데이터_품목별!$E$3:$E$2984,"26",데이터_품목별!$A$3:$A$2984,"2026.04")</f>
        <v>2356634</v>
      </c>
      <c r="AE131" s="55" t="n">
        <f aca="false">SUMIFS(데이터_품목별!$J$3:$J$2984,데이터_품목별!$E$3:$E$2984,"26",데이터_품목별!$A$3:$A$2984,"2026.05")</f>
        <v>1984804</v>
      </c>
      <c r="AF131" s="55" t="n">
        <f aca="false">SUMIFS(데이터_품목별!$J$3:$J$2984,데이터_품목별!$E$3:$E$2984,"26",데이터_품목별!$A$3:$A$2984,"2026.06")</f>
        <v>1828295</v>
      </c>
      <c r="AG131" s="55" t="n">
        <f aca="false">SUMIFS(데이터_품목별!$J$3:$J$2984,데이터_품목별!$E$3:$E$2984,"26",데이터_품목별!$A$3:$A$2984,"2026.07")</f>
        <v>2537004</v>
      </c>
    </row>
    <row r="132" customFormat="false" ht="15" hidden="false" customHeight="true" outlineLevel="0" collapsed="false">
      <c r="A132" s="53" t="s">
        <v>527</v>
      </c>
      <c r="B132" s="54" t="s">
        <v>528</v>
      </c>
      <c r="C132" s="55" t="n">
        <f aca="false">SUMIFS(데이터_품목별!$J$3:$J$2984,데이터_품목별!$E$3:$E$2984,"27",데이터_품목별!$A$3:$A$2984,"2024.01")</f>
        <v>15700071</v>
      </c>
      <c r="D132" s="55" t="n">
        <f aca="false">SUMIFS(데이터_품목별!$J$3:$J$2984,데이터_품목별!$E$3:$E$2984,"27",데이터_품목별!$A$3:$A$2984,"2024.02")</f>
        <v>13927770</v>
      </c>
      <c r="E132" s="55" t="n">
        <f aca="false">SUMIFS(데이터_품목별!$J$3:$J$2984,데이터_품목별!$E$3:$E$2984,"27",데이터_품목별!$A$3:$A$2984,"2024.03")</f>
        <v>13239450</v>
      </c>
      <c r="F132" s="55" t="n">
        <f aca="false">SUMIFS(데이터_품목별!$J$3:$J$2984,데이터_품목별!$E$3:$E$2984,"27",데이터_품목별!$A$3:$A$2984,"2024.04")</f>
        <v>14434720</v>
      </c>
      <c r="G132" s="55" t="n">
        <f aca="false">SUMIFS(데이터_품목별!$J$3:$J$2984,데이터_품목별!$E$3:$E$2984,"27",데이터_품목별!$A$3:$A$2984,"2024.05")</f>
        <v>13844143</v>
      </c>
      <c r="H132" s="55" t="n">
        <f aca="false">SUMIFS(데이터_품목별!$J$3:$J$2984,데이터_품목별!$E$3:$E$2984,"27",데이터_품목별!$A$3:$A$2984,"2024.06")</f>
        <v>12258921</v>
      </c>
      <c r="I132" s="55" t="n">
        <f aca="false">SUMIFS(데이터_품목별!$J$3:$J$2984,데이터_품목별!$E$3:$E$2984,"27",데이터_품목별!$A$3:$A$2984,"2024.07")</f>
        <v>13037849</v>
      </c>
      <c r="J132" s="55" t="n">
        <f aca="false">SUMIFS(데이터_품목별!$J$3:$J$2984,데이터_품목별!$E$3:$E$2984,"27",데이터_품목별!$A$3:$A$2984,"2024.08")</f>
        <v>14808544</v>
      </c>
      <c r="K132" s="55" t="n">
        <f aca="false">SUMIFS(데이터_품목별!$J$3:$J$2984,데이터_품목별!$E$3:$E$2984,"27",데이터_품목별!$A$3:$A$2984,"2024.09")</f>
        <v>12428862</v>
      </c>
      <c r="L132" s="55" t="n">
        <f aca="false">SUMIFS(데이터_품목별!$J$3:$J$2984,데이터_품목별!$E$3:$E$2984,"27",데이터_품목별!$A$3:$A$2984,"2024.10")</f>
        <v>13132304</v>
      </c>
      <c r="M132" s="55" t="n">
        <f aca="false">SUMIFS(데이터_품목별!$J$3:$J$2984,데이터_품목별!$E$3:$E$2984,"27",데이터_품목별!$A$3:$A$2984,"2024.11")</f>
        <v>12526422</v>
      </c>
      <c r="N132" s="55" t="n">
        <f aca="false">SUMIFS(데이터_품목별!$J$3:$J$2984,데이터_품목별!$E$3:$E$2984,"27",데이터_품목별!$A$3:$A$2984,"2024.12")</f>
        <v>12757191</v>
      </c>
      <c r="O132" s="55" t="n">
        <f aca="false">SUMIFS(데이터_품목별!$J$3:$J$2984,데이터_품목별!$E$3:$E$2984,"27",데이터_품목별!$A$3:$A$2984,"2025.01")</f>
        <v>13854140</v>
      </c>
      <c r="P132" s="55" t="n">
        <f aca="false">SUMIFS(데이터_품목별!$J$3:$J$2984,데이터_품목별!$E$3:$E$2984,"27",데이터_품목별!$A$3:$A$2984,"2025.02")</f>
        <v>11387996</v>
      </c>
      <c r="Q132" s="55" t="n">
        <f aca="false">SUMIFS(데이터_품목별!$J$3:$J$2984,데이터_품목별!$E$3:$E$2984,"27",데이터_품목별!$A$3:$A$2984,"2025.03")</f>
        <v>12047322</v>
      </c>
      <c r="R132" s="55" t="n">
        <f aca="false">SUMIFS(데이터_품목별!$J$3:$J$2984,데이터_품목별!$E$3:$E$2984,"27",데이터_품목별!$A$3:$A$2984,"2025.04")</f>
        <v>11849093</v>
      </c>
      <c r="S132" s="55" t="n">
        <f aca="false">SUMIFS(데이터_품목별!$J$3:$J$2984,데이터_품목별!$E$3:$E$2984,"27",데이터_품목별!$A$3:$A$2984,"2025.05")</f>
        <v>11684063</v>
      </c>
      <c r="T132" s="55" t="n">
        <f aca="false">SUMIFS(데이터_품목별!$J$3:$J$2984,데이터_품목별!$E$3:$E$2984,"27",데이터_품목별!$A$3:$A$2984,"2025.06")</f>
        <v>10139369</v>
      </c>
      <c r="U132" s="55" t="n">
        <f aca="false">SUMIFS(데이터_품목별!$J$3:$J$2984,데이터_품목별!$E$3:$E$2984,"27",데이터_품목별!$A$3:$A$2984,"2025.07")</f>
        <v>11667589</v>
      </c>
      <c r="V132" s="55" t="n">
        <f aca="false">SUMIFS(데이터_품목별!$J$3:$J$2984,데이터_품목별!$E$3:$E$2984,"27",데이터_품목별!$A$3:$A$2984,"2025.08")</f>
        <v>12791214</v>
      </c>
      <c r="W132" s="55" t="n">
        <f aca="false">SUMIFS(데이터_품목별!$J$3:$J$2984,데이터_품목별!$E$3:$E$2984,"27",데이터_품목별!$A$3:$A$2984,"2025.09")</f>
        <v>11304137</v>
      </c>
      <c r="X132" s="55" t="n">
        <f aca="false">SUMIFS(데이터_품목별!$J$3:$J$2984,데이터_품목별!$E$3:$E$2984,"27",데이터_품목별!$A$3:$A$2984,"2025.10")</f>
        <v>11864276</v>
      </c>
      <c r="Y132" s="55" t="n">
        <f aca="false">SUMIFS(데이터_품목별!$J$3:$J$2984,데이터_품목별!$E$3:$E$2984,"27",데이터_품목별!$A$3:$A$2984,"2025.11")</f>
        <v>10256127</v>
      </c>
      <c r="Z132" s="55" t="n">
        <f aca="false">SUMIFS(데이터_품목별!$J$3:$J$2984,데이터_품목별!$E$3:$E$2984,"27",데이터_품목별!$A$3:$A$2984,"2025.12")</f>
        <v>11246980</v>
      </c>
      <c r="AA132" s="55" t="n">
        <f aca="false">SUMIFS(데이터_품목별!$J$3:$J$2984,데이터_품목별!$E$3:$E$2984,"27",데이터_품목별!$A$3:$A$2984,"2026.01")</f>
        <v>12031973</v>
      </c>
      <c r="AB132" s="55" t="n">
        <f aca="false">SUMIFS(데이터_품목별!$J$3:$J$2984,데이터_품목별!$E$3:$E$2984,"27",데이터_품목별!$A$3:$A$2984,"2026.02")</f>
        <v>10921257</v>
      </c>
      <c r="AC132" s="55" t="n">
        <f aca="false">SUMIFS(데이터_품목별!$J$3:$J$2984,데이터_품목별!$E$3:$E$2984,"27",데이터_품목별!$A$3:$A$2984,"2026.03")</f>
        <v>11633305</v>
      </c>
      <c r="AD132" s="55" t="n">
        <f aca="false">SUMIFS(데이터_품목별!$J$3:$J$2984,데이터_품목별!$E$3:$E$2984,"27",데이터_품목별!$A$3:$A$2984,"2026.04")</f>
        <v>12604506</v>
      </c>
      <c r="AE132" s="55" t="n">
        <f aca="false">SUMIFS(데이터_품목별!$J$3:$J$2984,데이터_품목별!$E$3:$E$2984,"27",데이터_품목별!$A$3:$A$2984,"2026.05")</f>
        <v>14334002</v>
      </c>
      <c r="AF132" s="55" t="n">
        <f aca="false">SUMIFS(데이터_품목별!$J$3:$J$2984,데이터_품목별!$E$3:$E$2984,"27",데이터_품목별!$A$3:$A$2984,"2026.06")</f>
        <v>14302450</v>
      </c>
      <c r="AG132" s="55" t="n">
        <f aca="false">SUMIFS(데이터_품목별!$J$3:$J$2984,데이터_품목별!$E$3:$E$2984,"27",데이터_품목별!$A$3:$A$2984,"2026.07")</f>
        <v>16251655</v>
      </c>
    </row>
    <row r="133" customFormat="false" ht="15" hidden="false" customHeight="true" outlineLevel="0" collapsed="false">
      <c r="A133" s="53" t="s">
        <v>534</v>
      </c>
      <c r="B133" s="54" t="s">
        <v>535</v>
      </c>
      <c r="C133" s="55" t="n">
        <f aca="false">SUMIFS(데이터_품목별!$J$3:$J$2984,데이터_품목별!$E$3:$E$2984,"28",데이터_품목별!$A$3:$A$2984,"2024.01")</f>
        <v>1156717</v>
      </c>
      <c r="D133" s="55" t="n">
        <f aca="false">SUMIFS(데이터_품목별!$J$3:$J$2984,데이터_품목별!$E$3:$E$2984,"28",데이터_품목별!$A$3:$A$2984,"2024.02")</f>
        <v>887329</v>
      </c>
      <c r="E133" s="55" t="n">
        <f aca="false">SUMIFS(데이터_품목별!$J$3:$J$2984,데이터_품목별!$E$3:$E$2984,"28",데이터_품목별!$A$3:$A$2984,"2024.03")</f>
        <v>1308655</v>
      </c>
      <c r="F133" s="55" t="n">
        <f aca="false">SUMIFS(데이터_품목별!$J$3:$J$2984,데이터_품목별!$E$3:$E$2984,"28",데이터_품목별!$A$3:$A$2984,"2024.04")</f>
        <v>969341</v>
      </c>
      <c r="G133" s="55" t="n">
        <f aca="false">SUMIFS(데이터_품목별!$J$3:$J$2984,데이터_품목별!$E$3:$E$2984,"28",데이터_품목별!$A$3:$A$2984,"2024.05")</f>
        <v>1345655</v>
      </c>
      <c r="H133" s="55" t="n">
        <f aca="false">SUMIFS(데이터_품목별!$J$3:$J$2984,데이터_품목별!$E$3:$E$2984,"28",데이터_품목별!$A$3:$A$2984,"2024.06")</f>
        <v>1002900</v>
      </c>
      <c r="I133" s="55" t="n">
        <f aca="false">SUMIFS(데이터_품목별!$J$3:$J$2984,데이터_품목별!$E$3:$E$2984,"28",데이터_품목별!$A$3:$A$2984,"2024.07")</f>
        <v>981888</v>
      </c>
      <c r="J133" s="55" t="n">
        <f aca="false">SUMIFS(데이터_품목별!$J$3:$J$2984,데이터_품목별!$E$3:$E$2984,"28",데이터_품목별!$A$3:$A$2984,"2024.08")</f>
        <v>1136171</v>
      </c>
      <c r="K133" s="55" t="n">
        <f aca="false">SUMIFS(데이터_품목별!$J$3:$J$2984,데이터_품목별!$E$3:$E$2984,"28",데이터_품목별!$A$3:$A$2984,"2024.09")</f>
        <v>878204</v>
      </c>
      <c r="L133" s="55" t="n">
        <f aca="false">SUMIFS(데이터_품목별!$J$3:$J$2984,데이터_품목별!$E$3:$E$2984,"28",데이터_품목별!$A$3:$A$2984,"2024.10")</f>
        <v>812417</v>
      </c>
      <c r="M133" s="55" t="n">
        <f aca="false">SUMIFS(데이터_품목별!$J$3:$J$2984,데이터_품목별!$E$3:$E$2984,"28",데이터_품목별!$A$3:$A$2984,"2024.11")</f>
        <v>783060</v>
      </c>
      <c r="N133" s="55" t="n">
        <f aca="false">SUMIFS(데이터_품목별!$J$3:$J$2984,데이터_품목별!$E$3:$E$2984,"28",데이터_품목별!$A$3:$A$2984,"2024.12")</f>
        <v>842996</v>
      </c>
      <c r="O133" s="55" t="n">
        <f aca="false">SUMIFS(데이터_품목별!$J$3:$J$2984,데이터_품목별!$E$3:$E$2984,"28",데이터_품목별!$A$3:$A$2984,"2025.01")</f>
        <v>807069</v>
      </c>
      <c r="P133" s="55" t="n">
        <f aca="false">SUMIFS(데이터_품목별!$J$3:$J$2984,데이터_품목별!$E$3:$E$2984,"28",데이터_품목별!$A$3:$A$2984,"2025.02")</f>
        <v>935074</v>
      </c>
      <c r="Q133" s="55" t="n">
        <f aca="false">SUMIFS(데이터_품목별!$J$3:$J$2984,데이터_품목별!$E$3:$E$2984,"28",데이터_품목별!$A$3:$A$2984,"2025.03")</f>
        <v>733934</v>
      </c>
      <c r="R133" s="55" t="n">
        <f aca="false">SUMIFS(데이터_품목별!$J$3:$J$2984,데이터_품목별!$E$3:$E$2984,"28",데이터_품목별!$A$3:$A$2984,"2025.04")</f>
        <v>931268</v>
      </c>
      <c r="S133" s="55" t="n">
        <f aca="false">SUMIFS(데이터_품목별!$J$3:$J$2984,데이터_품목별!$E$3:$E$2984,"28",데이터_품목별!$A$3:$A$2984,"2025.05")</f>
        <v>782537</v>
      </c>
      <c r="T133" s="55" t="n">
        <f aca="false">SUMIFS(데이터_품목별!$J$3:$J$2984,데이터_품목별!$E$3:$E$2984,"28",데이터_품목별!$A$3:$A$2984,"2025.06")</f>
        <v>873310</v>
      </c>
      <c r="U133" s="55" t="n">
        <f aca="false">SUMIFS(데이터_품목별!$J$3:$J$2984,데이터_품목별!$E$3:$E$2984,"28",데이터_품목별!$A$3:$A$2984,"2025.07")</f>
        <v>916311</v>
      </c>
      <c r="V133" s="55" t="n">
        <f aca="false">SUMIFS(데이터_품목별!$J$3:$J$2984,데이터_품목별!$E$3:$E$2984,"28",데이터_품목별!$A$3:$A$2984,"2025.08")</f>
        <v>764003</v>
      </c>
      <c r="W133" s="55" t="n">
        <f aca="false">SUMIFS(데이터_품목별!$J$3:$J$2984,데이터_품목별!$E$3:$E$2984,"28",데이터_품목별!$A$3:$A$2984,"2025.09")</f>
        <v>860386</v>
      </c>
      <c r="X133" s="55" t="n">
        <f aca="false">SUMIFS(데이터_품목별!$J$3:$J$2984,데이터_품목별!$E$3:$E$2984,"28",데이터_품목별!$A$3:$A$2984,"2025.10")</f>
        <v>896049</v>
      </c>
      <c r="Y133" s="55" t="n">
        <f aca="false">SUMIFS(데이터_품목별!$J$3:$J$2984,데이터_품목별!$E$3:$E$2984,"28",데이터_품목별!$A$3:$A$2984,"2025.11")</f>
        <v>900337</v>
      </c>
      <c r="Z133" s="55" t="n">
        <f aca="false">SUMIFS(데이터_품목별!$J$3:$J$2984,데이터_품목별!$E$3:$E$2984,"28",데이터_품목별!$A$3:$A$2984,"2025.12")</f>
        <v>913452</v>
      </c>
      <c r="AA133" s="55" t="n">
        <f aca="false">SUMIFS(데이터_품목별!$J$3:$J$2984,데이터_품목별!$E$3:$E$2984,"28",데이터_품목별!$A$3:$A$2984,"2026.01")</f>
        <v>913901</v>
      </c>
      <c r="AB133" s="55" t="n">
        <f aca="false">SUMIFS(데이터_품목별!$J$3:$J$2984,데이터_품목별!$E$3:$E$2984,"28",데이터_품목별!$A$3:$A$2984,"2026.02")</f>
        <v>715446</v>
      </c>
      <c r="AC133" s="55" t="n">
        <f aca="false">SUMIFS(데이터_품목별!$J$3:$J$2984,데이터_품목별!$E$3:$E$2984,"28",데이터_품목별!$A$3:$A$2984,"2026.03")</f>
        <v>1352974</v>
      </c>
      <c r="AD133" s="55" t="n">
        <f aca="false">SUMIFS(데이터_품목별!$J$3:$J$2984,데이터_품목별!$E$3:$E$2984,"28",데이터_품목별!$A$3:$A$2984,"2026.04")</f>
        <v>1140899</v>
      </c>
      <c r="AE133" s="55" t="n">
        <f aca="false">SUMIFS(데이터_품목별!$J$3:$J$2984,데이터_품목별!$E$3:$E$2984,"28",데이터_품목별!$A$3:$A$2984,"2026.05")</f>
        <v>913647</v>
      </c>
      <c r="AF133" s="55" t="n">
        <f aca="false">SUMIFS(데이터_품목별!$J$3:$J$2984,데이터_품목별!$E$3:$E$2984,"28",데이터_품목별!$A$3:$A$2984,"2026.06")</f>
        <v>1152874</v>
      </c>
      <c r="AG133" s="55" t="n">
        <f aca="false">SUMIFS(데이터_품목별!$J$3:$J$2984,데이터_품목별!$E$3:$E$2984,"28",데이터_품목별!$A$3:$A$2984,"2026.07")</f>
        <v>1226749</v>
      </c>
    </row>
    <row r="134" customFormat="false" ht="15" hidden="false" customHeight="true" outlineLevel="0" collapsed="false">
      <c r="A134" s="53" t="s">
        <v>541</v>
      </c>
      <c r="B134" s="54" t="s">
        <v>542</v>
      </c>
      <c r="C134" s="55" t="n">
        <f aca="false">SUMIFS(데이터_품목별!$J$3:$J$2984,데이터_품목별!$E$3:$E$2984,"29",데이터_품목별!$A$3:$A$2984,"2024.01")</f>
        <v>1158761</v>
      </c>
      <c r="D134" s="55" t="n">
        <f aca="false">SUMIFS(데이터_품목별!$J$3:$J$2984,데이터_품목별!$E$3:$E$2984,"29",데이터_품목별!$A$3:$A$2984,"2024.02")</f>
        <v>1059789</v>
      </c>
      <c r="E134" s="55" t="n">
        <f aca="false">SUMIFS(데이터_품목별!$J$3:$J$2984,데이터_품목별!$E$3:$E$2984,"29",데이터_품목별!$A$3:$A$2984,"2024.03")</f>
        <v>1285093</v>
      </c>
      <c r="F134" s="55" t="n">
        <f aca="false">SUMIFS(데이터_품목별!$J$3:$J$2984,데이터_품목별!$E$3:$E$2984,"29",데이터_품목별!$A$3:$A$2984,"2024.04")</f>
        <v>1259254</v>
      </c>
      <c r="G134" s="55" t="n">
        <f aca="false">SUMIFS(데이터_품목별!$J$3:$J$2984,데이터_품목별!$E$3:$E$2984,"29",데이터_품목별!$A$3:$A$2984,"2024.05")</f>
        <v>1262850</v>
      </c>
      <c r="H134" s="55" t="n">
        <f aca="false">SUMIFS(데이터_품목별!$J$3:$J$2984,데이터_품목별!$E$3:$E$2984,"29",데이터_품목별!$A$3:$A$2984,"2024.06")</f>
        <v>1091461</v>
      </c>
      <c r="I134" s="55" t="n">
        <f aca="false">SUMIFS(데이터_품목별!$J$3:$J$2984,데이터_품목별!$E$3:$E$2984,"29",데이터_품목별!$A$3:$A$2984,"2024.07")</f>
        <v>1314718</v>
      </c>
      <c r="J134" s="55" t="n">
        <f aca="false">SUMIFS(데이터_품목별!$J$3:$J$2984,데이터_품목별!$E$3:$E$2984,"29",데이터_품목별!$A$3:$A$2984,"2024.08")</f>
        <v>1172946</v>
      </c>
      <c r="K134" s="55" t="n">
        <f aca="false">SUMIFS(데이터_품목별!$J$3:$J$2984,데이터_품목별!$E$3:$E$2984,"29",데이터_품목별!$A$3:$A$2984,"2024.09")</f>
        <v>1146781</v>
      </c>
      <c r="L134" s="55" t="n">
        <f aca="false">SUMIFS(데이터_품목별!$J$3:$J$2984,데이터_품목별!$E$3:$E$2984,"29",데이터_품목별!$A$3:$A$2984,"2024.10")</f>
        <v>1172649</v>
      </c>
      <c r="M134" s="55" t="n">
        <f aca="false">SUMIFS(데이터_품목별!$J$3:$J$2984,데이터_품목별!$E$3:$E$2984,"29",데이터_품목별!$A$3:$A$2984,"2024.11")</f>
        <v>1063999</v>
      </c>
      <c r="N134" s="55" t="n">
        <f aca="false">SUMIFS(데이터_품목별!$J$3:$J$2984,데이터_품목별!$E$3:$E$2984,"29",데이터_품목별!$A$3:$A$2984,"2024.12")</f>
        <v>1134399</v>
      </c>
      <c r="O134" s="55" t="n">
        <f aca="false">SUMIFS(데이터_품목별!$J$3:$J$2984,데이터_품목별!$E$3:$E$2984,"29",데이터_품목별!$A$3:$A$2984,"2025.01")</f>
        <v>1160904</v>
      </c>
      <c r="P134" s="55" t="n">
        <f aca="false">SUMIFS(데이터_품목별!$J$3:$J$2984,데이터_품목별!$E$3:$E$2984,"29",데이터_품목별!$A$3:$A$2984,"2025.02")</f>
        <v>1246525</v>
      </c>
      <c r="Q134" s="55" t="n">
        <f aca="false">SUMIFS(데이터_품목별!$J$3:$J$2984,데이터_품목별!$E$3:$E$2984,"29",데이터_품목별!$A$3:$A$2984,"2025.03")</f>
        <v>1138042</v>
      </c>
      <c r="R134" s="55" t="n">
        <f aca="false">SUMIFS(데이터_품목별!$J$3:$J$2984,데이터_품목별!$E$3:$E$2984,"29",데이터_품목별!$A$3:$A$2984,"2025.04")</f>
        <v>1241713</v>
      </c>
      <c r="S134" s="55" t="n">
        <f aca="false">SUMIFS(데이터_품목별!$J$3:$J$2984,데이터_품목별!$E$3:$E$2984,"29",데이터_품목별!$A$3:$A$2984,"2025.05")</f>
        <v>1106904</v>
      </c>
      <c r="T134" s="55" t="n">
        <f aca="false">SUMIFS(데이터_품목별!$J$3:$J$2984,데이터_품목별!$E$3:$E$2984,"29",데이터_품목별!$A$3:$A$2984,"2025.06")</f>
        <v>1096541</v>
      </c>
      <c r="U134" s="55" t="n">
        <f aca="false">SUMIFS(데이터_품목별!$J$3:$J$2984,데이터_품목별!$E$3:$E$2984,"29",데이터_품목별!$A$3:$A$2984,"2025.07")</f>
        <v>1163324</v>
      </c>
      <c r="V134" s="55" t="n">
        <f aca="false">SUMIFS(데이터_품목별!$J$3:$J$2984,데이터_품목별!$E$3:$E$2984,"29",데이터_품목별!$A$3:$A$2984,"2025.08")</f>
        <v>1040155</v>
      </c>
      <c r="W134" s="55" t="n">
        <f aca="false">SUMIFS(데이터_품목별!$J$3:$J$2984,데이터_품목별!$E$3:$E$2984,"29",데이터_품목별!$A$3:$A$2984,"2025.09")</f>
        <v>1206489</v>
      </c>
      <c r="X134" s="55" t="n">
        <f aca="false">SUMIFS(데이터_품목별!$J$3:$J$2984,데이터_품목별!$E$3:$E$2984,"29",데이터_품목별!$A$3:$A$2984,"2025.10")</f>
        <v>978532</v>
      </c>
      <c r="Y134" s="55" t="n">
        <f aca="false">SUMIFS(데이터_품목별!$J$3:$J$2984,데이터_품목별!$E$3:$E$2984,"29",데이터_품목별!$A$3:$A$2984,"2025.11")</f>
        <v>997049</v>
      </c>
      <c r="Z134" s="55" t="n">
        <f aca="false">SUMIFS(데이터_품목별!$J$3:$J$2984,데이터_품목별!$E$3:$E$2984,"29",데이터_품목별!$A$3:$A$2984,"2025.12")</f>
        <v>1239745</v>
      </c>
      <c r="AA134" s="55" t="n">
        <f aca="false">SUMIFS(데이터_품목별!$J$3:$J$2984,데이터_품목별!$E$3:$E$2984,"29",데이터_품목별!$A$3:$A$2984,"2026.01")</f>
        <v>1148795</v>
      </c>
      <c r="AB134" s="55" t="n">
        <f aca="false">SUMIFS(데이터_품목별!$J$3:$J$2984,데이터_품목별!$E$3:$E$2984,"29",데이터_품목별!$A$3:$A$2984,"2026.02")</f>
        <v>1029013</v>
      </c>
      <c r="AC134" s="55" t="n">
        <f aca="false">SUMIFS(데이터_품목별!$J$3:$J$2984,데이터_품목별!$E$3:$E$2984,"29",데이터_품목별!$A$3:$A$2984,"2026.03")</f>
        <v>1295222</v>
      </c>
      <c r="AD134" s="55" t="n">
        <f aca="false">SUMIFS(데이터_품목별!$J$3:$J$2984,데이터_품목별!$E$3:$E$2984,"29",데이터_품목별!$A$3:$A$2984,"2026.04")</f>
        <v>1555054</v>
      </c>
      <c r="AE134" s="55" t="n">
        <f aca="false">SUMIFS(데이터_품목별!$J$3:$J$2984,데이터_품목별!$E$3:$E$2984,"29",데이터_품목별!$A$3:$A$2984,"2026.05")</f>
        <v>1624656</v>
      </c>
      <c r="AF134" s="55" t="n">
        <f aca="false">SUMIFS(데이터_품목별!$J$3:$J$2984,데이터_품목별!$E$3:$E$2984,"29",데이터_품목별!$A$3:$A$2984,"2026.06")</f>
        <v>1425093</v>
      </c>
      <c r="AG134" s="55" t="n">
        <f aca="false">SUMIFS(데이터_품목별!$J$3:$J$2984,데이터_품목별!$E$3:$E$2984,"29",데이터_품목별!$A$3:$A$2984,"2026.07")</f>
        <v>1259025</v>
      </c>
    </row>
    <row r="135" customFormat="false" ht="15" hidden="false" customHeight="true" outlineLevel="0" collapsed="false">
      <c r="A135" s="53" t="s">
        <v>548</v>
      </c>
      <c r="B135" s="54" t="s">
        <v>549</v>
      </c>
      <c r="C135" s="55" t="n">
        <f aca="false">SUMIFS(데이터_품목별!$J$3:$J$2984,데이터_품목별!$E$3:$E$2984,"30",데이터_품목별!$A$3:$A$2984,"2024.01")</f>
        <v>810342</v>
      </c>
      <c r="D135" s="55" t="n">
        <f aca="false">SUMIFS(데이터_품목별!$J$3:$J$2984,데이터_품목별!$E$3:$E$2984,"30",데이터_품목별!$A$3:$A$2984,"2024.02")</f>
        <v>720409</v>
      </c>
      <c r="E135" s="55" t="n">
        <f aca="false">SUMIFS(데이터_품목별!$J$3:$J$2984,데이터_품목별!$E$3:$E$2984,"30",데이터_품목별!$A$3:$A$2984,"2024.03")</f>
        <v>856588</v>
      </c>
      <c r="F135" s="55" t="n">
        <f aca="false">SUMIFS(데이터_품목별!$J$3:$J$2984,데이터_품목별!$E$3:$E$2984,"30",데이터_품목별!$A$3:$A$2984,"2024.04")</f>
        <v>811751</v>
      </c>
      <c r="G135" s="55" t="n">
        <f aca="false">SUMIFS(데이터_품목별!$J$3:$J$2984,데이터_품목별!$E$3:$E$2984,"30",데이터_품목별!$A$3:$A$2984,"2024.05")</f>
        <v>778622</v>
      </c>
      <c r="H135" s="55" t="n">
        <f aca="false">SUMIFS(데이터_품목별!$J$3:$J$2984,데이터_품목별!$E$3:$E$2984,"30",데이터_품목별!$A$3:$A$2984,"2024.06")</f>
        <v>723973</v>
      </c>
      <c r="I135" s="55" t="n">
        <f aca="false">SUMIFS(데이터_품목별!$J$3:$J$2984,데이터_품목별!$E$3:$E$2984,"30",데이터_품목별!$A$3:$A$2984,"2024.07")</f>
        <v>781223</v>
      </c>
      <c r="J135" s="55" t="n">
        <f aca="false">SUMIFS(데이터_품목별!$J$3:$J$2984,데이터_품목별!$E$3:$E$2984,"30",데이터_품목별!$A$3:$A$2984,"2024.08")</f>
        <v>898147</v>
      </c>
      <c r="K135" s="55" t="n">
        <f aca="false">SUMIFS(데이터_품목별!$J$3:$J$2984,데이터_품목별!$E$3:$E$2984,"30",데이터_품목별!$A$3:$A$2984,"2024.09")</f>
        <v>916907</v>
      </c>
      <c r="L135" s="55" t="n">
        <f aca="false">SUMIFS(데이터_품목별!$J$3:$J$2984,데이터_품목별!$E$3:$E$2984,"30",데이터_품목별!$A$3:$A$2984,"2024.10")</f>
        <v>783657</v>
      </c>
      <c r="M135" s="55" t="n">
        <f aca="false">SUMIFS(데이터_품목별!$J$3:$J$2984,데이터_품목별!$E$3:$E$2984,"30",데이터_품목별!$A$3:$A$2984,"2024.11")</f>
        <v>684230</v>
      </c>
      <c r="N135" s="55" t="n">
        <f aca="false">SUMIFS(데이터_품목별!$J$3:$J$2984,데이터_품목별!$E$3:$E$2984,"30",데이터_품목별!$A$3:$A$2984,"2024.12")</f>
        <v>706141</v>
      </c>
      <c r="O135" s="55" t="n">
        <f aca="false">SUMIFS(데이터_품목별!$J$3:$J$2984,데이터_품목별!$E$3:$E$2984,"30",데이터_품목별!$A$3:$A$2984,"2025.01")</f>
        <v>659667</v>
      </c>
      <c r="P135" s="55" t="n">
        <f aca="false">SUMIFS(데이터_품목별!$J$3:$J$2984,데이터_품목별!$E$3:$E$2984,"30",데이터_품목별!$A$3:$A$2984,"2025.02")</f>
        <v>712049</v>
      </c>
      <c r="Q135" s="55" t="n">
        <f aca="false">SUMIFS(데이터_품목별!$J$3:$J$2984,데이터_품목별!$E$3:$E$2984,"30",데이터_품목별!$A$3:$A$2984,"2025.03")</f>
        <v>787884</v>
      </c>
      <c r="R135" s="55" t="n">
        <f aca="false">SUMIFS(데이터_품목별!$J$3:$J$2984,데이터_품목별!$E$3:$E$2984,"30",데이터_품목별!$A$3:$A$2984,"2025.04")</f>
        <v>778419</v>
      </c>
      <c r="S135" s="55" t="n">
        <f aca="false">SUMIFS(데이터_품목별!$J$3:$J$2984,데이터_품목별!$E$3:$E$2984,"30",데이터_품목별!$A$3:$A$2984,"2025.05")</f>
        <v>722334</v>
      </c>
      <c r="T135" s="55" t="n">
        <f aca="false">SUMIFS(데이터_품목별!$J$3:$J$2984,데이터_품목별!$E$3:$E$2984,"30",데이터_품목별!$A$3:$A$2984,"2025.06")</f>
        <v>789665</v>
      </c>
      <c r="U135" s="55" t="n">
        <f aca="false">SUMIFS(데이터_품목별!$J$3:$J$2984,데이터_품목별!$E$3:$E$2984,"30",데이터_품목별!$A$3:$A$2984,"2025.07")</f>
        <v>933618</v>
      </c>
      <c r="V135" s="55" t="n">
        <f aca="false">SUMIFS(데이터_품목별!$J$3:$J$2984,데이터_품목별!$E$3:$E$2984,"30",데이터_품목별!$A$3:$A$2984,"2025.08")</f>
        <v>822447</v>
      </c>
      <c r="W135" s="55" t="n">
        <f aca="false">SUMIFS(데이터_품목별!$J$3:$J$2984,데이터_품목별!$E$3:$E$2984,"30",데이터_품목별!$A$3:$A$2984,"2025.09")</f>
        <v>1007540</v>
      </c>
      <c r="X135" s="55" t="n">
        <f aca="false">SUMIFS(데이터_품목별!$J$3:$J$2984,데이터_품목별!$E$3:$E$2984,"30",데이터_품목별!$A$3:$A$2984,"2025.10")</f>
        <v>832676</v>
      </c>
      <c r="Y135" s="55" t="n">
        <f aca="false">SUMIFS(데이터_품목별!$J$3:$J$2984,데이터_품목별!$E$3:$E$2984,"30",데이터_품목별!$A$3:$A$2984,"2025.11")</f>
        <v>829872</v>
      </c>
      <c r="Z135" s="55" t="n">
        <f aca="false">SUMIFS(데이터_품목별!$J$3:$J$2984,데이터_품목별!$E$3:$E$2984,"30",데이터_품목별!$A$3:$A$2984,"2025.12")</f>
        <v>870827</v>
      </c>
      <c r="AA135" s="55" t="n">
        <f aca="false">SUMIFS(데이터_품목별!$J$3:$J$2984,데이터_품목별!$E$3:$E$2984,"30",데이터_품목별!$A$3:$A$2984,"2026.01")</f>
        <v>810902</v>
      </c>
      <c r="AB135" s="55" t="n">
        <f aca="false">SUMIFS(데이터_품목별!$J$3:$J$2984,데이터_품목별!$E$3:$E$2984,"30",데이터_품목별!$A$3:$A$2984,"2026.02")</f>
        <v>778740</v>
      </c>
      <c r="AC135" s="55" t="n">
        <f aca="false">SUMIFS(데이터_품목별!$J$3:$J$2984,데이터_품목별!$E$3:$E$2984,"30",데이터_품목별!$A$3:$A$2984,"2026.03")</f>
        <v>992976</v>
      </c>
      <c r="AD135" s="55" t="n">
        <f aca="false">SUMIFS(데이터_품목별!$J$3:$J$2984,데이터_품목별!$E$3:$E$2984,"30",데이터_품목별!$A$3:$A$2984,"2026.04")</f>
        <v>1036433</v>
      </c>
      <c r="AE135" s="55" t="n">
        <f aca="false">SUMIFS(데이터_품목별!$J$3:$J$2984,데이터_품목별!$E$3:$E$2984,"30",데이터_품목별!$A$3:$A$2984,"2026.05")</f>
        <v>1103053</v>
      </c>
      <c r="AF135" s="55" t="n">
        <f aca="false">SUMIFS(데이터_품목별!$J$3:$J$2984,데이터_품목별!$E$3:$E$2984,"30",데이터_품목별!$A$3:$A$2984,"2026.06")</f>
        <v>1008727</v>
      </c>
      <c r="AG135" s="55" t="n">
        <f aca="false">SUMIFS(데이터_품목별!$J$3:$J$2984,데이터_품목별!$E$3:$E$2984,"30",데이터_품목별!$A$3:$A$2984,"2026.07")</f>
        <v>1123719</v>
      </c>
    </row>
    <row r="136" customFormat="false" ht="15" hidden="false" customHeight="true" outlineLevel="0" collapsed="false">
      <c r="A136" s="53" t="s">
        <v>555</v>
      </c>
      <c r="B136" s="54" t="s">
        <v>556</v>
      </c>
      <c r="C136" s="55" t="n">
        <f aca="false">SUMIFS(데이터_품목별!$J$3:$J$2984,데이터_품목별!$E$3:$E$2984,"31",데이터_품목별!$A$3:$A$2984,"2024.01")</f>
        <v>117406</v>
      </c>
      <c r="D136" s="55" t="n">
        <f aca="false">SUMIFS(데이터_품목별!$J$3:$J$2984,데이터_품목별!$E$3:$E$2984,"31",데이터_품목별!$A$3:$A$2984,"2024.02")</f>
        <v>80001</v>
      </c>
      <c r="E136" s="55" t="n">
        <f aca="false">SUMIFS(데이터_품목별!$J$3:$J$2984,데이터_품목별!$E$3:$E$2984,"31",데이터_품목별!$A$3:$A$2984,"2024.03")</f>
        <v>43655</v>
      </c>
      <c r="F136" s="55" t="n">
        <f aca="false">SUMIFS(데이터_품목별!$J$3:$J$2984,데이터_품목별!$E$3:$E$2984,"31",데이터_품목별!$A$3:$A$2984,"2024.04")</f>
        <v>82375</v>
      </c>
      <c r="G136" s="55" t="n">
        <f aca="false">SUMIFS(데이터_품목별!$J$3:$J$2984,데이터_품목별!$E$3:$E$2984,"31",데이터_품목별!$A$3:$A$2984,"2024.05")</f>
        <v>34908</v>
      </c>
      <c r="H136" s="55" t="n">
        <f aca="false">SUMIFS(데이터_품목별!$J$3:$J$2984,데이터_품목별!$E$3:$E$2984,"31",데이터_품목별!$A$3:$A$2984,"2024.06")</f>
        <v>62461</v>
      </c>
      <c r="I136" s="55" t="n">
        <f aca="false">SUMIFS(데이터_품목별!$J$3:$J$2984,데이터_품목별!$E$3:$E$2984,"31",데이터_품목별!$A$3:$A$2984,"2024.07")</f>
        <v>50132</v>
      </c>
      <c r="J136" s="55" t="n">
        <f aca="false">SUMIFS(데이터_품목별!$J$3:$J$2984,데이터_품목별!$E$3:$E$2984,"31",데이터_품목별!$A$3:$A$2984,"2024.08")</f>
        <v>43996</v>
      </c>
      <c r="K136" s="55" t="n">
        <f aca="false">SUMIFS(데이터_품목별!$J$3:$J$2984,데이터_품목별!$E$3:$E$2984,"31",데이터_품목별!$A$3:$A$2984,"2024.09")</f>
        <v>48134</v>
      </c>
      <c r="L136" s="55" t="n">
        <f aca="false">SUMIFS(데이터_품목별!$J$3:$J$2984,데이터_품목별!$E$3:$E$2984,"31",데이터_품목별!$A$3:$A$2984,"2024.10")</f>
        <v>35820</v>
      </c>
      <c r="M136" s="55" t="n">
        <f aca="false">SUMIFS(데이터_품목별!$J$3:$J$2984,데이터_품목별!$E$3:$E$2984,"31",데이터_품목별!$A$3:$A$2984,"2024.11")</f>
        <v>57486</v>
      </c>
      <c r="N136" s="55" t="n">
        <f aca="false">SUMIFS(데이터_품목별!$J$3:$J$2984,데이터_품목별!$E$3:$E$2984,"31",데이터_품목별!$A$3:$A$2984,"2024.12")</f>
        <v>68491</v>
      </c>
      <c r="O136" s="55" t="n">
        <f aca="false">SUMIFS(데이터_품목별!$J$3:$J$2984,데이터_품목별!$E$3:$E$2984,"31",데이터_품목별!$A$3:$A$2984,"2025.01")</f>
        <v>61539</v>
      </c>
      <c r="P136" s="55" t="n">
        <f aca="false">SUMIFS(데이터_품목별!$J$3:$J$2984,데이터_품목별!$E$3:$E$2984,"31",데이터_품목별!$A$3:$A$2984,"2025.02")</f>
        <v>76125</v>
      </c>
      <c r="Q136" s="55" t="n">
        <f aca="false">SUMIFS(데이터_품목별!$J$3:$J$2984,데이터_품목별!$E$3:$E$2984,"31",데이터_품목별!$A$3:$A$2984,"2025.03")</f>
        <v>51617</v>
      </c>
      <c r="R136" s="55" t="n">
        <f aca="false">SUMIFS(데이터_품목별!$J$3:$J$2984,데이터_품목별!$E$3:$E$2984,"31",데이터_품목별!$A$3:$A$2984,"2025.04")</f>
        <v>54161</v>
      </c>
      <c r="S136" s="55" t="n">
        <f aca="false">SUMIFS(데이터_품목별!$J$3:$J$2984,데이터_품목별!$E$3:$E$2984,"31",데이터_품목별!$A$3:$A$2984,"2025.05")</f>
        <v>73663</v>
      </c>
      <c r="T136" s="55" t="n">
        <f aca="false">SUMIFS(데이터_품목별!$J$3:$J$2984,데이터_품목별!$E$3:$E$2984,"31",데이터_품목별!$A$3:$A$2984,"2025.06")</f>
        <v>64087</v>
      </c>
      <c r="U136" s="55" t="n">
        <f aca="false">SUMIFS(데이터_품목별!$J$3:$J$2984,데이터_품목별!$E$3:$E$2984,"31",데이터_품목별!$A$3:$A$2984,"2025.07")</f>
        <v>65381</v>
      </c>
      <c r="V136" s="55" t="n">
        <f aca="false">SUMIFS(데이터_품목별!$J$3:$J$2984,데이터_품목별!$E$3:$E$2984,"31",데이터_품목별!$A$3:$A$2984,"2025.08")</f>
        <v>63447</v>
      </c>
      <c r="W136" s="55" t="n">
        <f aca="false">SUMIFS(데이터_품목별!$J$3:$J$2984,데이터_품목별!$E$3:$E$2984,"31",데이터_품목별!$A$3:$A$2984,"2025.09")</f>
        <v>60825</v>
      </c>
      <c r="X136" s="55" t="n">
        <f aca="false">SUMIFS(데이터_품목별!$J$3:$J$2984,데이터_품목별!$E$3:$E$2984,"31",데이터_품목별!$A$3:$A$2984,"2025.10")</f>
        <v>60038</v>
      </c>
      <c r="Y136" s="55" t="n">
        <f aca="false">SUMIFS(데이터_품목별!$J$3:$J$2984,데이터_품목별!$E$3:$E$2984,"31",데이터_품목별!$A$3:$A$2984,"2025.11")</f>
        <v>39792</v>
      </c>
      <c r="Z136" s="55" t="n">
        <f aca="false">SUMIFS(데이터_품목별!$J$3:$J$2984,데이터_품목별!$E$3:$E$2984,"31",데이터_품목별!$A$3:$A$2984,"2025.12")</f>
        <v>49990</v>
      </c>
      <c r="AA136" s="55" t="n">
        <f aca="false">SUMIFS(데이터_품목별!$J$3:$J$2984,데이터_품목별!$E$3:$E$2984,"31",데이터_품목별!$A$3:$A$2984,"2026.01")</f>
        <v>63828</v>
      </c>
      <c r="AB136" s="55" t="n">
        <f aca="false">SUMIFS(데이터_품목별!$J$3:$J$2984,데이터_품목별!$E$3:$E$2984,"31",데이터_품목별!$A$3:$A$2984,"2026.02")</f>
        <v>67063</v>
      </c>
      <c r="AC136" s="55" t="n">
        <f aca="false">SUMIFS(데이터_품목별!$J$3:$J$2984,데이터_품목별!$E$3:$E$2984,"31",데이터_품목별!$A$3:$A$2984,"2026.03")</f>
        <v>70641</v>
      </c>
      <c r="AD136" s="55" t="n">
        <f aca="false">SUMIFS(데이터_품목별!$J$3:$J$2984,데이터_품목별!$E$3:$E$2984,"31",데이터_품목별!$A$3:$A$2984,"2026.04")</f>
        <v>114050</v>
      </c>
      <c r="AE136" s="55" t="n">
        <f aca="false">SUMIFS(데이터_품목별!$J$3:$J$2984,데이터_품목별!$E$3:$E$2984,"31",데이터_품목별!$A$3:$A$2984,"2026.05")</f>
        <v>87202</v>
      </c>
      <c r="AF136" s="55" t="n">
        <f aca="false">SUMIFS(데이터_품목별!$J$3:$J$2984,데이터_품목별!$E$3:$E$2984,"31",데이터_품목별!$A$3:$A$2984,"2026.06")</f>
        <v>56069</v>
      </c>
      <c r="AG136" s="55" t="n">
        <f aca="false">SUMIFS(데이터_품목별!$J$3:$J$2984,데이터_품목별!$E$3:$E$2984,"31",데이터_품목별!$A$3:$A$2984,"2026.07")</f>
        <v>84800</v>
      </c>
    </row>
    <row r="137" customFormat="false" ht="15" hidden="false" customHeight="true" outlineLevel="0" collapsed="false">
      <c r="A137" s="53" t="s">
        <v>562</v>
      </c>
      <c r="B137" s="54" t="s">
        <v>563</v>
      </c>
      <c r="C137" s="55" t="n">
        <f aca="false">SUMIFS(데이터_품목별!$J$3:$J$2984,데이터_품목별!$E$3:$E$2984,"32",데이터_품목별!$A$3:$A$2984,"2024.01")</f>
        <v>199299</v>
      </c>
      <c r="D137" s="55" t="n">
        <f aca="false">SUMIFS(데이터_품목별!$J$3:$J$2984,데이터_품목별!$E$3:$E$2984,"32",데이터_품목별!$A$3:$A$2984,"2024.02")</f>
        <v>170224</v>
      </c>
      <c r="E137" s="55" t="n">
        <f aca="false">SUMIFS(데이터_품목별!$J$3:$J$2984,데이터_품목별!$E$3:$E$2984,"32",데이터_품목별!$A$3:$A$2984,"2024.03")</f>
        <v>209476</v>
      </c>
      <c r="F137" s="55" t="n">
        <f aca="false">SUMIFS(데이터_품목별!$J$3:$J$2984,데이터_품목별!$E$3:$E$2984,"32",데이터_품목별!$A$3:$A$2984,"2024.04")</f>
        <v>231045</v>
      </c>
      <c r="G137" s="55" t="n">
        <f aca="false">SUMIFS(데이터_품목별!$J$3:$J$2984,데이터_품목별!$E$3:$E$2984,"32",데이터_품목별!$A$3:$A$2984,"2024.05")</f>
        <v>212532</v>
      </c>
      <c r="H137" s="55" t="n">
        <f aca="false">SUMIFS(데이터_품목별!$J$3:$J$2984,데이터_품목별!$E$3:$E$2984,"32",데이터_품목별!$A$3:$A$2984,"2024.06")</f>
        <v>190569</v>
      </c>
      <c r="I137" s="55" t="n">
        <f aca="false">SUMIFS(데이터_품목별!$J$3:$J$2984,데이터_품목별!$E$3:$E$2984,"32",데이터_품목별!$A$3:$A$2984,"2024.07")</f>
        <v>238512</v>
      </c>
      <c r="J137" s="55" t="n">
        <f aca="false">SUMIFS(데이터_품목별!$J$3:$J$2984,데이터_품목별!$E$3:$E$2984,"32",데이터_품목별!$A$3:$A$2984,"2024.08")</f>
        <v>193957</v>
      </c>
      <c r="K137" s="55" t="n">
        <f aca="false">SUMIFS(데이터_품목별!$J$3:$J$2984,데이터_품목별!$E$3:$E$2984,"32",데이터_품목별!$A$3:$A$2984,"2024.09")</f>
        <v>181799</v>
      </c>
      <c r="L137" s="55" t="n">
        <f aca="false">SUMIFS(데이터_품목별!$J$3:$J$2984,데이터_품목별!$E$3:$E$2984,"32",데이터_품목별!$A$3:$A$2984,"2024.10")</f>
        <v>216413</v>
      </c>
      <c r="M137" s="55" t="n">
        <f aca="false">SUMIFS(데이터_품목별!$J$3:$J$2984,데이터_품목별!$E$3:$E$2984,"32",데이터_품목별!$A$3:$A$2984,"2024.11")</f>
        <v>164446</v>
      </c>
      <c r="N137" s="55" t="n">
        <f aca="false">SUMIFS(데이터_품목별!$J$3:$J$2984,데이터_품목별!$E$3:$E$2984,"32",데이터_품목별!$A$3:$A$2984,"2024.12")</f>
        <v>186435</v>
      </c>
      <c r="O137" s="55" t="n">
        <f aca="false">SUMIFS(데이터_품목별!$J$3:$J$2984,데이터_품목별!$E$3:$E$2984,"32",데이터_품목별!$A$3:$A$2984,"2025.01")</f>
        <v>172779</v>
      </c>
      <c r="P137" s="55" t="n">
        <f aca="false">SUMIFS(데이터_품목별!$J$3:$J$2984,데이터_품목별!$E$3:$E$2984,"32",데이터_품목별!$A$3:$A$2984,"2025.02")</f>
        <v>186774</v>
      </c>
      <c r="Q137" s="55" t="n">
        <f aca="false">SUMIFS(데이터_품목별!$J$3:$J$2984,데이터_품목별!$E$3:$E$2984,"32",데이터_품목별!$A$3:$A$2984,"2025.03")</f>
        <v>187802</v>
      </c>
      <c r="R137" s="55" t="n">
        <f aca="false">SUMIFS(데이터_품목별!$J$3:$J$2984,데이터_품목별!$E$3:$E$2984,"32",데이터_품목별!$A$3:$A$2984,"2025.04")</f>
        <v>216194</v>
      </c>
      <c r="S137" s="55" t="n">
        <f aca="false">SUMIFS(데이터_품목별!$J$3:$J$2984,데이터_품목별!$E$3:$E$2984,"32",데이터_품목별!$A$3:$A$2984,"2025.05")</f>
        <v>187636</v>
      </c>
      <c r="T137" s="55" t="n">
        <f aca="false">SUMIFS(데이터_품목별!$J$3:$J$2984,데이터_품목별!$E$3:$E$2984,"32",데이터_품목별!$A$3:$A$2984,"2025.06")</f>
        <v>190624</v>
      </c>
      <c r="U137" s="55" t="n">
        <f aca="false">SUMIFS(데이터_품목별!$J$3:$J$2984,데이터_품목별!$E$3:$E$2984,"32",데이터_품목별!$A$3:$A$2984,"2025.07")</f>
        <v>207945</v>
      </c>
      <c r="V137" s="55" t="n">
        <f aca="false">SUMIFS(데이터_품목별!$J$3:$J$2984,데이터_품목별!$E$3:$E$2984,"32",데이터_품목별!$A$3:$A$2984,"2025.08")</f>
        <v>167050</v>
      </c>
      <c r="W137" s="55" t="n">
        <f aca="false">SUMIFS(데이터_품목별!$J$3:$J$2984,데이터_품목별!$E$3:$E$2984,"32",데이터_품목별!$A$3:$A$2984,"2025.09")</f>
        <v>225143</v>
      </c>
      <c r="X137" s="55" t="n">
        <f aca="false">SUMIFS(데이터_품목별!$J$3:$J$2984,데이터_품목별!$E$3:$E$2984,"32",데이터_품목별!$A$3:$A$2984,"2025.10")</f>
        <v>182113</v>
      </c>
      <c r="Y137" s="55" t="n">
        <f aca="false">SUMIFS(데이터_품목별!$J$3:$J$2984,데이터_품목별!$E$3:$E$2984,"32",데이터_품목별!$A$3:$A$2984,"2025.11")</f>
        <v>170331</v>
      </c>
      <c r="Z137" s="55" t="n">
        <f aca="false">SUMIFS(데이터_품목별!$J$3:$J$2984,데이터_품목별!$E$3:$E$2984,"32",데이터_품목별!$A$3:$A$2984,"2025.12")</f>
        <v>194813</v>
      </c>
      <c r="AA137" s="55" t="n">
        <f aca="false">SUMIFS(데이터_품목별!$J$3:$J$2984,데이터_품목별!$E$3:$E$2984,"32",데이터_품목별!$A$3:$A$2984,"2026.01")</f>
        <v>205238</v>
      </c>
      <c r="AB137" s="55" t="n">
        <f aca="false">SUMIFS(데이터_품목별!$J$3:$J$2984,데이터_품목별!$E$3:$E$2984,"32",데이터_품목별!$A$3:$A$2984,"2026.02")</f>
        <v>171852</v>
      </c>
      <c r="AC137" s="55" t="n">
        <f aca="false">SUMIFS(데이터_품목별!$J$3:$J$2984,데이터_품목별!$E$3:$E$2984,"32",데이터_품목별!$A$3:$A$2984,"2026.03")</f>
        <v>215242</v>
      </c>
      <c r="AD137" s="55" t="n">
        <f aca="false">SUMIFS(데이터_품목별!$J$3:$J$2984,데이터_품목별!$E$3:$E$2984,"32",데이터_품목별!$A$3:$A$2984,"2026.04")</f>
        <v>233376</v>
      </c>
      <c r="AE137" s="55" t="n">
        <f aca="false">SUMIFS(데이터_품목별!$J$3:$J$2984,데이터_품목별!$E$3:$E$2984,"32",데이터_품목별!$A$3:$A$2984,"2026.05")</f>
        <v>191882</v>
      </c>
      <c r="AF137" s="55" t="n">
        <f aca="false">SUMIFS(데이터_품목별!$J$3:$J$2984,데이터_품목별!$E$3:$E$2984,"32",데이터_품목별!$A$3:$A$2984,"2026.06")</f>
        <v>226522</v>
      </c>
      <c r="AG137" s="55" t="n">
        <f aca="false">SUMIFS(데이터_품목별!$J$3:$J$2984,데이터_품목별!$E$3:$E$2984,"32",데이터_품목별!$A$3:$A$2984,"2026.07")</f>
        <v>235671</v>
      </c>
    </row>
    <row r="138" customFormat="false" ht="15" hidden="false" customHeight="true" outlineLevel="0" collapsed="false">
      <c r="A138" s="53" t="s">
        <v>569</v>
      </c>
      <c r="B138" s="54" t="s">
        <v>570</v>
      </c>
      <c r="C138" s="55" t="n">
        <f aca="false">SUMIFS(데이터_품목별!$J$3:$J$2984,데이터_품목별!$E$3:$E$2984,"33",데이터_품목별!$A$3:$A$2984,"2024.01")</f>
        <v>163137</v>
      </c>
      <c r="D138" s="55" t="n">
        <f aca="false">SUMIFS(데이터_품목별!$J$3:$J$2984,데이터_품목별!$E$3:$E$2984,"33",데이터_품목별!$A$3:$A$2984,"2024.02")</f>
        <v>155080</v>
      </c>
      <c r="E138" s="55" t="n">
        <f aca="false">SUMIFS(데이터_품목별!$J$3:$J$2984,데이터_품목별!$E$3:$E$2984,"33",데이터_품목별!$A$3:$A$2984,"2024.03")</f>
        <v>173890</v>
      </c>
      <c r="F138" s="55" t="n">
        <f aca="false">SUMIFS(데이터_품목별!$J$3:$J$2984,데이터_품목별!$E$3:$E$2984,"33",데이터_품목별!$A$3:$A$2984,"2024.04")</f>
        <v>181794</v>
      </c>
      <c r="G138" s="55" t="n">
        <f aca="false">SUMIFS(데이터_품목별!$J$3:$J$2984,데이터_품목별!$E$3:$E$2984,"33",데이터_품목별!$A$3:$A$2984,"2024.05")</f>
        <v>173555</v>
      </c>
      <c r="H138" s="55" t="n">
        <f aca="false">SUMIFS(데이터_품목별!$J$3:$J$2984,데이터_품목별!$E$3:$E$2984,"33",데이터_품목별!$A$3:$A$2984,"2024.06")</f>
        <v>159245</v>
      </c>
      <c r="I138" s="55" t="n">
        <f aca="false">SUMIFS(데이터_품목별!$J$3:$J$2984,데이터_품목별!$E$3:$E$2984,"33",데이터_품목별!$A$3:$A$2984,"2024.07")</f>
        <v>185708</v>
      </c>
      <c r="J138" s="55" t="n">
        <f aca="false">SUMIFS(데이터_품목별!$J$3:$J$2984,데이터_품목별!$E$3:$E$2984,"33",데이터_품목별!$A$3:$A$2984,"2024.08")</f>
        <v>178004</v>
      </c>
      <c r="K138" s="55" t="n">
        <f aca="false">SUMIFS(데이터_품목별!$J$3:$J$2984,데이터_품목별!$E$3:$E$2984,"33",데이터_품목별!$A$3:$A$2984,"2024.09")</f>
        <v>170488</v>
      </c>
      <c r="L138" s="55" t="n">
        <f aca="false">SUMIFS(데이터_품목별!$J$3:$J$2984,데이터_품목별!$E$3:$E$2984,"33",데이터_품목별!$A$3:$A$2984,"2024.10")</f>
        <v>177756</v>
      </c>
      <c r="M138" s="55" t="n">
        <f aca="false">SUMIFS(데이터_품목별!$J$3:$J$2984,데이터_품목별!$E$3:$E$2984,"33",데이터_품목별!$A$3:$A$2984,"2024.11")</f>
        <v>169315</v>
      </c>
      <c r="N138" s="55" t="n">
        <f aca="false">SUMIFS(데이터_품목별!$J$3:$J$2984,데이터_품목별!$E$3:$E$2984,"33",데이터_품목별!$A$3:$A$2984,"2024.12")</f>
        <v>166997</v>
      </c>
      <c r="O138" s="55" t="n">
        <f aca="false">SUMIFS(데이터_품목별!$J$3:$J$2984,데이터_품목별!$E$3:$E$2984,"33",데이터_품목별!$A$3:$A$2984,"2025.01")</f>
        <v>149071</v>
      </c>
      <c r="P138" s="55" t="n">
        <f aca="false">SUMIFS(데이터_품목별!$J$3:$J$2984,데이터_품목별!$E$3:$E$2984,"33",데이터_품목별!$A$3:$A$2984,"2025.02")</f>
        <v>169519</v>
      </c>
      <c r="Q138" s="55" t="n">
        <f aca="false">SUMIFS(데이터_품목별!$J$3:$J$2984,데이터_품목별!$E$3:$E$2984,"33",데이터_품목별!$A$3:$A$2984,"2025.03")</f>
        <v>185790</v>
      </c>
      <c r="R138" s="55" t="n">
        <f aca="false">SUMIFS(데이터_품목별!$J$3:$J$2984,데이터_품목별!$E$3:$E$2984,"33",데이터_품목별!$A$3:$A$2984,"2025.04")</f>
        <v>181211</v>
      </c>
      <c r="S138" s="55" t="n">
        <f aca="false">SUMIFS(데이터_품목별!$J$3:$J$2984,데이터_품목별!$E$3:$E$2984,"33",데이터_품목별!$A$3:$A$2984,"2025.05")</f>
        <v>170951</v>
      </c>
      <c r="T138" s="55" t="n">
        <f aca="false">SUMIFS(데이터_품목별!$J$3:$J$2984,데이터_품목별!$E$3:$E$2984,"33",데이터_품목별!$A$3:$A$2984,"2025.06")</f>
        <v>186256</v>
      </c>
      <c r="U138" s="55" t="n">
        <f aca="false">SUMIFS(데이터_품목별!$J$3:$J$2984,데이터_품목별!$E$3:$E$2984,"33",데이터_품목별!$A$3:$A$2984,"2025.07")</f>
        <v>178331</v>
      </c>
      <c r="V138" s="55" t="n">
        <f aca="false">SUMIFS(데이터_품목별!$J$3:$J$2984,데이터_품목별!$E$3:$E$2984,"33",데이터_품목별!$A$3:$A$2984,"2025.08")</f>
        <v>178189</v>
      </c>
      <c r="W138" s="55" t="n">
        <f aca="false">SUMIFS(데이터_품목별!$J$3:$J$2984,데이터_품목별!$E$3:$E$2984,"33",데이터_품목별!$A$3:$A$2984,"2025.09")</f>
        <v>198099</v>
      </c>
      <c r="X138" s="55" t="n">
        <f aca="false">SUMIFS(데이터_품목별!$J$3:$J$2984,데이터_품목별!$E$3:$E$2984,"33",데이터_품목별!$A$3:$A$2984,"2025.10")</f>
        <v>172899</v>
      </c>
      <c r="Y138" s="55" t="n">
        <f aca="false">SUMIFS(데이터_품목별!$J$3:$J$2984,데이터_품목별!$E$3:$E$2984,"33",데이터_품목별!$A$3:$A$2984,"2025.11")</f>
        <v>160706</v>
      </c>
      <c r="Z138" s="55" t="n">
        <f aca="false">SUMIFS(데이터_품목별!$J$3:$J$2984,데이터_품목별!$E$3:$E$2984,"33",데이터_품목별!$A$3:$A$2984,"2025.12")</f>
        <v>195995</v>
      </c>
      <c r="AA138" s="55" t="n">
        <f aca="false">SUMIFS(데이터_품목별!$J$3:$J$2984,데이터_품목별!$E$3:$E$2984,"33",데이터_품목별!$A$3:$A$2984,"2026.01")</f>
        <v>181871</v>
      </c>
      <c r="AB138" s="55" t="n">
        <f aca="false">SUMIFS(데이터_품목별!$J$3:$J$2984,데이터_품목별!$E$3:$E$2984,"33",데이터_품목별!$A$3:$A$2984,"2026.02")</f>
        <v>163784</v>
      </c>
      <c r="AC138" s="55" t="n">
        <f aca="false">SUMIFS(데이터_품목별!$J$3:$J$2984,데이터_품목별!$E$3:$E$2984,"33",데이터_품목별!$A$3:$A$2984,"2026.03")</f>
        <v>198719</v>
      </c>
      <c r="AD138" s="55" t="n">
        <f aca="false">SUMIFS(데이터_품목별!$J$3:$J$2984,데이터_품목별!$E$3:$E$2984,"33",데이터_품목별!$A$3:$A$2984,"2026.04")</f>
        <v>194712</v>
      </c>
      <c r="AE138" s="55" t="n">
        <f aca="false">SUMIFS(데이터_품목별!$J$3:$J$2984,데이터_품목별!$E$3:$E$2984,"33",데이터_품목별!$A$3:$A$2984,"2026.05")</f>
        <v>183106</v>
      </c>
      <c r="AF138" s="55" t="n">
        <f aca="false">SUMIFS(데이터_품목별!$J$3:$J$2984,데이터_품목별!$E$3:$E$2984,"33",데이터_품목별!$A$3:$A$2984,"2026.06")</f>
        <v>202255</v>
      </c>
      <c r="AG138" s="55" t="n">
        <f aca="false">SUMIFS(데이터_품목별!$J$3:$J$2984,데이터_품목별!$E$3:$E$2984,"33",데이터_품목별!$A$3:$A$2984,"2026.07")</f>
        <v>197744</v>
      </c>
    </row>
    <row r="139" customFormat="false" ht="15" hidden="false" customHeight="true" outlineLevel="0" collapsed="false">
      <c r="A139" s="53" t="s">
        <v>576</v>
      </c>
      <c r="B139" s="54" t="s">
        <v>577</v>
      </c>
      <c r="C139" s="55" t="n">
        <f aca="false">SUMIFS(데이터_품목별!$J$3:$J$2984,데이터_품목별!$E$3:$E$2984,"34",데이터_품목별!$A$3:$A$2984,"2024.01")</f>
        <v>86239</v>
      </c>
      <c r="D139" s="55" t="n">
        <f aca="false">SUMIFS(데이터_품목별!$J$3:$J$2984,데이터_품목별!$E$3:$E$2984,"34",데이터_품목별!$A$3:$A$2984,"2024.02")</f>
        <v>80202</v>
      </c>
      <c r="E139" s="55" t="n">
        <f aca="false">SUMIFS(데이터_품목별!$J$3:$J$2984,데이터_품목별!$E$3:$E$2984,"34",데이터_품목별!$A$3:$A$2984,"2024.03")</f>
        <v>94317</v>
      </c>
      <c r="F139" s="55" t="n">
        <f aca="false">SUMIFS(데이터_품목별!$J$3:$J$2984,데이터_품목별!$E$3:$E$2984,"34",데이터_품목별!$A$3:$A$2984,"2024.04")</f>
        <v>99268</v>
      </c>
      <c r="G139" s="55" t="n">
        <f aca="false">SUMIFS(데이터_품목별!$J$3:$J$2984,데이터_품목별!$E$3:$E$2984,"34",데이터_품목별!$A$3:$A$2984,"2024.05")</f>
        <v>99919</v>
      </c>
      <c r="H139" s="55" t="n">
        <f aca="false">SUMIFS(데이터_품목별!$J$3:$J$2984,데이터_품목별!$E$3:$E$2984,"34",데이터_품목별!$A$3:$A$2984,"2024.06")</f>
        <v>95231</v>
      </c>
      <c r="I139" s="55" t="n">
        <f aca="false">SUMIFS(데이터_품목별!$J$3:$J$2984,데이터_품목별!$E$3:$E$2984,"34",데이터_품목별!$A$3:$A$2984,"2024.07")</f>
        <v>95757</v>
      </c>
      <c r="J139" s="55" t="n">
        <f aca="false">SUMIFS(데이터_품목별!$J$3:$J$2984,데이터_품목별!$E$3:$E$2984,"34",데이터_품목별!$A$3:$A$2984,"2024.08")</f>
        <v>95570</v>
      </c>
      <c r="K139" s="55" t="n">
        <f aca="false">SUMIFS(데이터_품목별!$J$3:$J$2984,데이터_품목별!$E$3:$E$2984,"34",데이터_품목별!$A$3:$A$2984,"2024.09")</f>
        <v>95465</v>
      </c>
      <c r="L139" s="55" t="n">
        <f aca="false">SUMIFS(데이터_품목별!$J$3:$J$2984,데이터_품목별!$E$3:$E$2984,"34",데이터_품목별!$A$3:$A$2984,"2024.10")</f>
        <v>100197</v>
      </c>
      <c r="M139" s="55" t="n">
        <f aca="false">SUMIFS(데이터_품목별!$J$3:$J$2984,데이터_품목별!$E$3:$E$2984,"34",데이터_품목별!$A$3:$A$2984,"2024.11")</f>
        <v>86101</v>
      </c>
      <c r="N139" s="55" t="n">
        <f aca="false">SUMIFS(데이터_품목별!$J$3:$J$2984,데이터_품목별!$E$3:$E$2984,"34",데이터_품목별!$A$3:$A$2984,"2024.12")</f>
        <v>102076</v>
      </c>
      <c r="O139" s="55" t="n">
        <f aca="false">SUMIFS(데이터_품목별!$J$3:$J$2984,데이터_품목별!$E$3:$E$2984,"34",데이터_품목별!$A$3:$A$2984,"2025.01")</f>
        <v>86970</v>
      </c>
      <c r="P139" s="55" t="n">
        <f aca="false">SUMIFS(데이터_품목별!$J$3:$J$2984,데이터_품목별!$E$3:$E$2984,"34",데이터_품목별!$A$3:$A$2984,"2025.02")</f>
        <v>86307</v>
      </c>
      <c r="Q139" s="55" t="n">
        <f aca="false">SUMIFS(데이터_품목별!$J$3:$J$2984,데이터_품목별!$E$3:$E$2984,"34",데이터_품목별!$A$3:$A$2984,"2025.03")</f>
        <v>95835</v>
      </c>
      <c r="R139" s="55" t="n">
        <f aca="false">SUMIFS(데이터_품목별!$J$3:$J$2984,데이터_품목별!$E$3:$E$2984,"34",데이터_품목별!$A$3:$A$2984,"2025.04")</f>
        <v>97036</v>
      </c>
      <c r="S139" s="55" t="n">
        <f aca="false">SUMIFS(데이터_품목별!$J$3:$J$2984,데이터_품목별!$E$3:$E$2984,"34",데이터_품목별!$A$3:$A$2984,"2025.05")</f>
        <v>102303</v>
      </c>
      <c r="T139" s="55" t="n">
        <f aca="false">SUMIFS(데이터_품목별!$J$3:$J$2984,데이터_품목별!$E$3:$E$2984,"34",데이터_품목별!$A$3:$A$2984,"2025.06")</f>
        <v>99390</v>
      </c>
      <c r="U139" s="55" t="n">
        <f aca="false">SUMIFS(데이터_품목별!$J$3:$J$2984,데이터_품목별!$E$3:$E$2984,"34",데이터_품목별!$A$3:$A$2984,"2025.07")</f>
        <v>104678</v>
      </c>
      <c r="V139" s="55" t="n">
        <f aca="false">SUMIFS(데이터_품목별!$J$3:$J$2984,데이터_품목별!$E$3:$E$2984,"34",데이터_품목별!$A$3:$A$2984,"2025.08")</f>
        <v>91341</v>
      </c>
      <c r="W139" s="55" t="n">
        <f aca="false">SUMIFS(데이터_품목별!$J$3:$J$2984,데이터_품목별!$E$3:$E$2984,"34",데이터_품목별!$A$3:$A$2984,"2025.09")</f>
        <v>107491</v>
      </c>
      <c r="X139" s="55" t="n">
        <f aca="false">SUMIFS(데이터_품목별!$J$3:$J$2984,데이터_품목별!$E$3:$E$2984,"34",데이터_품목별!$A$3:$A$2984,"2025.10")</f>
        <v>88610</v>
      </c>
      <c r="Y139" s="55" t="n">
        <f aca="false">SUMIFS(데이터_품목별!$J$3:$J$2984,데이터_품목별!$E$3:$E$2984,"34",데이터_품목별!$A$3:$A$2984,"2025.11")</f>
        <v>86641</v>
      </c>
      <c r="Z139" s="55" t="n">
        <f aca="false">SUMIFS(데이터_품목별!$J$3:$J$2984,데이터_품목별!$E$3:$E$2984,"34",데이터_품목별!$A$3:$A$2984,"2025.12")</f>
        <v>99467</v>
      </c>
      <c r="AA139" s="55" t="n">
        <f aca="false">SUMIFS(데이터_품목별!$J$3:$J$2984,데이터_품목별!$E$3:$E$2984,"34",데이터_품목별!$A$3:$A$2984,"2026.01")</f>
        <v>88052</v>
      </c>
      <c r="AB139" s="55" t="n">
        <f aca="false">SUMIFS(데이터_품목별!$J$3:$J$2984,데이터_품목별!$E$3:$E$2984,"34",데이터_품목별!$A$3:$A$2984,"2026.02")</f>
        <v>87651</v>
      </c>
      <c r="AC139" s="55" t="n">
        <f aca="false">SUMIFS(데이터_품목별!$J$3:$J$2984,데이터_품목별!$E$3:$E$2984,"34",데이터_품목별!$A$3:$A$2984,"2026.03")</f>
        <v>97008</v>
      </c>
      <c r="AD139" s="55" t="n">
        <f aca="false">SUMIFS(데이터_품목별!$J$3:$J$2984,데이터_품목별!$E$3:$E$2984,"34",데이터_품목별!$A$3:$A$2984,"2026.04")</f>
        <v>114784</v>
      </c>
      <c r="AE139" s="55" t="n">
        <f aca="false">SUMIFS(데이터_품목별!$J$3:$J$2984,데이터_품목별!$E$3:$E$2984,"34",데이터_품목별!$A$3:$A$2984,"2026.05")</f>
        <v>103369</v>
      </c>
      <c r="AF139" s="55" t="n">
        <f aca="false">SUMIFS(데이터_품목별!$J$3:$J$2984,데이터_품목별!$E$3:$E$2984,"34",데이터_품목별!$A$3:$A$2984,"2026.06")</f>
        <v>117355</v>
      </c>
      <c r="AG139" s="55" t="n">
        <f aca="false">SUMIFS(데이터_품목별!$J$3:$J$2984,데이터_품목별!$E$3:$E$2984,"34",데이터_품목별!$A$3:$A$2984,"2026.07")</f>
        <v>109166</v>
      </c>
    </row>
    <row r="140" customFormat="false" ht="15" hidden="false" customHeight="true" outlineLevel="0" collapsed="false">
      <c r="A140" s="53" t="s">
        <v>583</v>
      </c>
      <c r="B140" s="54" t="s">
        <v>584</v>
      </c>
      <c r="C140" s="55" t="n">
        <f aca="false">SUMIFS(데이터_품목별!$J$3:$J$2984,데이터_품목별!$E$3:$E$2984,"35",데이터_품목별!$A$3:$A$2984,"2024.01")</f>
        <v>76674</v>
      </c>
      <c r="D140" s="55" t="n">
        <f aca="false">SUMIFS(데이터_품목별!$J$3:$J$2984,데이터_품목별!$E$3:$E$2984,"35",데이터_품목별!$A$3:$A$2984,"2024.02")</f>
        <v>69064</v>
      </c>
      <c r="E140" s="55" t="n">
        <f aca="false">SUMIFS(데이터_품목별!$J$3:$J$2984,데이터_품목별!$E$3:$E$2984,"35",데이터_품목별!$A$3:$A$2984,"2024.03")</f>
        <v>83842</v>
      </c>
      <c r="F140" s="55" t="n">
        <f aca="false">SUMIFS(데이터_품목별!$J$3:$J$2984,데이터_품목별!$E$3:$E$2984,"35",데이터_품목별!$A$3:$A$2984,"2024.04")</f>
        <v>85302</v>
      </c>
      <c r="G140" s="55" t="n">
        <f aca="false">SUMIFS(데이터_품목별!$J$3:$J$2984,데이터_품목별!$E$3:$E$2984,"35",데이터_품목별!$A$3:$A$2984,"2024.05")</f>
        <v>81185</v>
      </c>
      <c r="H140" s="55" t="n">
        <f aca="false">SUMIFS(데이터_품목별!$J$3:$J$2984,데이터_품목별!$E$3:$E$2984,"35",데이터_품목별!$A$3:$A$2984,"2024.06")</f>
        <v>78032</v>
      </c>
      <c r="I140" s="55" t="n">
        <f aca="false">SUMIFS(데이터_품목별!$J$3:$J$2984,데이터_품목별!$E$3:$E$2984,"35",데이터_품목별!$A$3:$A$2984,"2024.07")</f>
        <v>88878</v>
      </c>
      <c r="J140" s="55" t="n">
        <f aca="false">SUMIFS(데이터_품목별!$J$3:$J$2984,데이터_품목별!$E$3:$E$2984,"35",데이터_품목별!$A$3:$A$2984,"2024.08")</f>
        <v>95003</v>
      </c>
      <c r="K140" s="55" t="n">
        <f aca="false">SUMIFS(데이터_품목별!$J$3:$J$2984,데이터_품목별!$E$3:$E$2984,"35",데이터_품목별!$A$3:$A$2984,"2024.09")</f>
        <v>82838</v>
      </c>
      <c r="L140" s="55" t="n">
        <f aca="false">SUMIFS(데이터_품목별!$J$3:$J$2984,데이터_품목별!$E$3:$E$2984,"35",데이터_품목별!$A$3:$A$2984,"2024.10")</f>
        <v>84776</v>
      </c>
      <c r="M140" s="55" t="n">
        <f aca="false">SUMIFS(데이터_품목별!$J$3:$J$2984,데이터_품목별!$E$3:$E$2984,"35",데이터_품목별!$A$3:$A$2984,"2024.11")</f>
        <v>75703</v>
      </c>
      <c r="N140" s="55" t="n">
        <f aca="false">SUMIFS(데이터_품목별!$J$3:$J$2984,데이터_품목별!$E$3:$E$2984,"35",데이터_품목별!$A$3:$A$2984,"2024.12")</f>
        <v>83574</v>
      </c>
      <c r="O140" s="55" t="n">
        <f aca="false">SUMIFS(데이터_품목별!$J$3:$J$2984,데이터_품목별!$E$3:$E$2984,"35",데이터_품목별!$A$3:$A$2984,"2025.01")</f>
        <v>75196</v>
      </c>
      <c r="P140" s="55" t="n">
        <f aca="false">SUMIFS(데이터_품목별!$J$3:$J$2984,데이터_품목별!$E$3:$E$2984,"35",데이터_품목별!$A$3:$A$2984,"2025.02")</f>
        <v>76690</v>
      </c>
      <c r="Q140" s="55" t="n">
        <f aca="false">SUMIFS(데이터_품목별!$J$3:$J$2984,데이터_품목별!$E$3:$E$2984,"35",데이터_품목별!$A$3:$A$2984,"2025.03")</f>
        <v>84538</v>
      </c>
      <c r="R140" s="55" t="n">
        <f aca="false">SUMIFS(데이터_품목별!$J$3:$J$2984,데이터_품목별!$E$3:$E$2984,"35",데이터_품목별!$A$3:$A$2984,"2025.04")</f>
        <v>93251</v>
      </c>
      <c r="S140" s="55" t="n">
        <f aca="false">SUMIFS(데이터_품목별!$J$3:$J$2984,데이터_품목별!$E$3:$E$2984,"35",데이터_품목별!$A$3:$A$2984,"2025.05")</f>
        <v>81999</v>
      </c>
      <c r="T140" s="55" t="n">
        <f aca="false">SUMIFS(데이터_품목별!$J$3:$J$2984,데이터_품목별!$E$3:$E$2984,"35",데이터_품목별!$A$3:$A$2984,"2025.06")</f>
        <v>83886</v>
      </c>
      <c r="U140" s="55" t="n">
        <f aca="false">SUMIFS(데이터_품목별!$J$3:$J$2984,데이터_품목별!$E$3:$E$2984,"35",데이터_품목별!$A$3:$A$2984,"2025.07")</f>
        <v>103493</v>
      </c>
      <c r="V140" s="55" t="n">
        <f aca="false">SUMIFS(데이터_품목별!$J$3:$J$2984,데이터_품목별!$E$3:$E$2984,"35",데이터_품목별!$A$3:$A$2984,"2025.08")</f>
        <v>90950</v>
      </c>
      <c r="W140" s="55" t="n">
        <f aca="false">SUMIFS(데이터_품목별!$J$3:$J$2984,데이터_품목별!$E$3:$E$2984,"35",데이터_품목별!$A$3:$A$2984,"2025.09")</f>
        <v>98196</v>
      </c>
      <c r="X140" s="55" t="n">
        <f aca="false">SUMIFS(데이터_품목별!$J$3:$J$2984,데이터_품목별!$E$3:$E$2984,"35",데이터_품목별!$A$3:$A$2984,"2025.10")</f>
        <v>87113</v>
      </c>
      <c r="Y140" s="55" t="n">
        <f aca="false">SUMIFS(데이터_품목별!$J$3:$J$2984,데이터_품목별!$E$3:$E$2984,"35",데이터_품목별!$A$3:$A$2984,"2025.11")</f>
        <v>81422</v>
      </c>
      <c r="Z140" s="55" t="n">
        <f aca="false">SUMIFS(데이터_품목별!$J$3:$J$2984,데이터_품목별!$E$3:$E$2984,"35",데이터_품목별!$A$3:$A$2984,"2025.12")</f>
        <v>102380</v>
      </c>
      <c r="AA140" s="55" t="n">
        <f aca="false">SUMIFS(데이터_품목별!$J$3:$J$2984,데이터_품목별!$E$3:$E$2984,"35",데이터_품목별!$A$3:$A$2984,"2026.01")</f>
        <v>88333</v>
      </c>
      <c r="AB140" s="55" t="n">
        <f aca="false">SUMIFS(데이터_품목별!$J$3:$J$2984,데이터_품목별!$E$3:$E$2984,"35",데이터_품목별!$A$3:$A$2984,"2026.02")</f>
        <v>81608</v>
      </c>
      <c r="AC140" s="55" t="n">
        <f aca="false">SUMIFS(데이터_품목별!$J$3:$J$2984,데이터_품목별!$E$3:$E$2984,"35",데이터_품목별!$A$3:$A$2984,"2026.03")</f>
        <v>97410</v>
      </c>
      <c r="AD140" s="55" t="n">
        <f aca="false">SUMIFS(데이터_품목별!$J$3:$J$2984,데이터_품목별!$E$3:$E$2984,"35",데이터_품목별!$A$3:$A$2984,"2026.04")</f>
        <v>94187</v>
      </c>
      <c r="AE140" s="55" t="n">
        <f aca="false">SUMIFS(데이터_품목별!$J$3:$J$2984,데이터_품목별!$E$3:$E$2984,"35",데이터_품목별!$A$3:$A$2984,"2026.05")</f>
        <v>86515</v>
      </c>
      <c r="AF140" s="55" t="n">
        <f aca="false">SUMIFS(데이터_품목별!$J$3:$J$2984,데이터_품목별!$E$3:$E$2984,"35",데이터_품목별!$A$3:$A$2984,"2026.06")</f>
        <v>91535</v>
      </c>
      <c r="AG140" s="55" t="n">
        <f aca="false">SUMIFS(데이터_품목별!$J$3:$J$2984,데이터_품목별!$E$3:$E$2984,"35",데이터_품목별!$A$3:$A$2984,"2026.07")</f>
        <v>93431</v>
      </c>
    </row>
    <row r="141" customFormat="false" ht="15" hidden="false" customHeight="true" outlineLevel="0" collapsed="false">
      <c r="A141" s="53" t="s">
        <v>590</v>
      </c>
      <c r="B141" s="54" t="s">
        <v>591</v>
      </c>
      <c r="C141" s="55" t="n">
        <f aca="false">SUMIFS(데이터_품목별!$J$3:$J$2984,데이터_품목별!$E$3:$E$2984,"36",데이터_품목별!$A$3:$A$2984,"2024.01")</f>
        <v>4001</v>
      </c>
      <c r="D141" s="55" t="n">
        <f aca="false">SUMIFS(데이터_품목별!$J$3:$J$2984,데이터_품목별!$E$3:$E$2984,"36",데이터_품목별!$A$3:$A$2984,"2024.02")</f>
        <v>1238</v>
      </c>
      <c r="E141" s="55" t="n">
        <f aca="false">SUMIFS(데이터_품목별!$J$3:$J$2984,데이터_품목별!$E$3:$E$2984,"36",데이터_품목별!$A$3:$A$2984,"2024.03")</f>
        <v>1631</v>
      </c>
      <c r="F141" s="55" t="n">
        <f aca="false">SUMIFS(데이터_품목별!$J$3:$J$2984,데이터_품목별!$E$3:$E$2984,"36",데이터_품목별!$A$3:$A$2984,"2024.04")</f>
        <v>7535</v>
      </c>
      <c r="G141" s="55" t="n">
        <f aca="false">SUMIFS(데이터_품목별!$J$3:$J$2984,데이터_품목별!$E$3:$E$2984,"36",데이터_품목별!$A$3:$A$2984,"2024.05")</f>
        <v>4482</v>
      </c>
      <c r="H141" s="55" t="n">
        <f aca="false">SUMIFS(데이터_품목별!$J$3:$J$2984,데이터_품목별!$E$3:$E$2984,"36",데이터_품목별!$A$3:$A$2984,"2024.06")</f>
        <v>4424</v>
      </c>
      <c r="I141" s="55" t="n">
        <f aca="false">SUMIFS(데이터_품목별!$J$3:$J$2984,데이터_품목별!$E$3:$E$2984,"36",데이터_품목별!$A$3:$A$2984,"2024.07")</f>
        <v>4981</v>
      </c>
      <c r="J141" s="55" t="n">
        <f aca="false">SUMIFS(데이터_품목별!$J$3:$J$2984,데이터_품목별!$E$3:$E$2984,"36",데이터_품목별!$A$3:$A$2984,"2024.08")</f>
        <v>4938</v>
      </c>
      <c r="K141" s="55" t="n">
        <f aca="false">SUMIFS(데이터_품목별!$J$3:$J$2984,데이터_품목별!$E$3:$E$2984,"36",데이터_품목별!$A$3:$A$2984,"2024.09")</f>
        <v>2411</v>
      </c>
      <c r="L141" s="55" t="n">
        <f aca="false">SUMIFS(데이터_품목별!$J$3:$J$2984,데이터_품목별!$E$3:$E$2984,"36",데이터_품목별!$A$3:$A$2984,"2024.10")</f>
        <v>5265</v>
      </c>
      <c r="M141" s="55" t="n">
        <f aca="false">SUMIFS(데이터_품목별!$J$3:$J$2984,데이터_품목별!$E$3:$E$2984,"36",데이터_품목별!$A$3:$A$2984,"2024.11")</f>
        <v>9825</v>
      </c>
      <c r="N141" s="55" t="n">
        <f aca="false">SUMIFS(데이터_품목별!$J$3:$J$2984,데이터_품목별!$E$3:$E$2984,"36",데이터_품목별!$A$3:$A$2984,"2024.12")</f>
        <v>8469</v>
      </c>
      <c r="O141" s="55" t="n">
        <f aca="false">SUMIFS(데이터_품목별!$J$3:$J$2984,데이터_품목별!$E$3:$E$2984,"36",데이터_품목별!$A$3:$A$2984,"2025.01")</f>
        <v>3614</v>
      </c>
      <c r="P141" s="55" t="n">
        <f aca="false">SUMIFS(데이터_품목별!$J$3:$J$2984,데이터_품목별!$E$3:$E$2984,"36",데이터_품목별!$A$3:$A$2984,"2025.02")</f>
        <v>6811</v>
      </c>
      <c r="Q141" s="55" t="n">
        <f aca="false">SUMIFS(데이터_품목별!$J$3:$J$2984,데이터_품목별!$E$3:$E$2984,"36",데이터_품목별!$A$3:$A$2984,"2025.03")</f>
        <v>1897</v>
      </c>
      <c r="R141" s="55" t="n">
        <f aca="false">SUMIFS(데이터_품목별!$J$3:$J$2984,데이터_품목별!$E$3:$E$2984,"36",데이터_품목별!$A$3:$A$2984,"2025.04")</f>
        <v>6395</v>
      </c>
      <c r="S141" s="55" t="n">
        <f aca="false">SUMIFS(데이터_품목별!$J$3:$J$2984,데이터_품목별!$E$3:$E$2984,"36",데이터_품목별!$A$3:$A$2984,"2025.05")</f>
        <v>1570</v>
      </c>
      <c r="T141" s="55" t="n">
        <f aca="false">SUMIFS(데이터_품목별!$J$3:$J$2984,데이터_품목별!$E$3:$E$2984,"36",데이터_품목별!$A$3:$A$2984,"2025.06")</f>
        <v>8178</v>
      </c>
      <c r="U141" s="55" t="n">
        <f aca="false">SUMIFS(데이터_품목별!$J$3:$J$2984,데이터_품목별!$E$3:$E$2984,"36",데이터_품목별!$A$3:$A$2984,"2025.07")</f>
        <v>6957</v>
      </c>
      <c r="V141" s="55" t="n">
        <f aca="false">SUMIFS(데이터_품목별!$J$3:$J$2984,데이터_품목별!$E$3:$E$2984,"36",데이터_품목별!$A$3:$A$2984,"2025.08")</f>
        <v>6446</v>
      </c>
      <c r="W141" s="55" t="n">
        <f aca="false">SUMIFS(데이터_품목별!$J$3:$J$2984,데이터_품목별!$E$3:$E$2984,"36",데이터_품목별!$A$3:$A$2984,"2025.09")</f>
        <v>3896</v>
      </c>
      <c r="X141" s="55" t="n">
        <f aca="false">SUMIFS(데이터_품목별!$J$3:$J$2984,데이터_품목별!$E$3:$E$2984,"36",데이터_품목별!$A$3:$A$2984,"2025.10")</f>
        <v>7882</v>
      </c>
      <c r="Y141" s="55" t="n">
        <f aca="false">SUMIFS(데이터_품목별!$J$3:$J$2984,데이터_품목별!$E$3:$E$2984,"36",데이터_품목별!$A$3:$A$2984,"2025.11")</f>
        <v>3500</v>
      </c>
      <c r="Z141" s="55" t="n">
        <f aca="false">SUMIFS(데이터_품목별!$J$3:$J$2984,데이터_품목별!$E$3:$E$2984,"36",데이터_품목별!$A$3:$A$2984,"2025.12")</f>
        <v>13518</v>
      </c>
      <c r="AA141" s="55" t="n">
        <f aca="false">SUMIFS(데이터_품목별!$J$3:$J$2984,데이터_품목별!$E$3:$E$2984,"36",데이터_품목별!$A$3:$A$2984,"2026.01")</f>
        <v>4808</v>
      </c>
      <c r="AB141" s="55" t="n">
        <f aca="false">SUMIFS(데이터_품목별!$J$3:$J$2984,데이터_품목별!$E$3:$E$2984,"36",데이터_품목별!$A$3:$A$2984,"2026.02")</f>
        <v>7402</v>
      </c>
      <c r="AC141" s="55" t="n">
        <f aca="false">SUMIFS(데이터_품목별!$J$3:$J$2984,데이터_품목별!$E$3:$E$2984,"36",데이터_품목별!$A$3:$A$2984,"2026.03")</f>
        <v>8914</v>
      </c>
      <c r="AD141" s="55" t="n">
        <f aca="false">SUMIFS(데이터_품목별!$J$3:$J$2984,데이터_품목별!$E$3:$E$2984,"36",데이터_품목별!$A$3:$A$2984,"2026.04")</f>
        <v>8537</v>
      </c>
      <c r="AE141" s="55" t="n">
        <f aca="false">SUMIFS(데이터_품목별!$J$3:$J$2984,데이터_품목별!$E$3:$E$2984,"36",데이터_품목별!$A$3:$A$2984,"2026.05")</f>
        <v>1846</v>
      </c>
      <c r="AF141" s="55" t="n">
        <f aca="false">SUMIFS(데이터_품목별!$J$3:$J$2984,데이터_품목별!$E$3:$E$2984,"36",데이터_품목별!$A$3:$A$2984,"2026.06")</f>
        <v>6184</v>
      </c>
      <c r="AG141" s="55" t="n">
        <f aca="false">SUMIFS(데이터_품목별!$J$3:$J$2984,데이터_품목별!$E$3:$E$2984,"36",데이터_품목별!$A$3:$A$2984,"2026.07")</f>
        <v>3199</v>
      </c>
    </row>
    <row r="142" customFormat="false" ht="15" hidden="false" customHeight="true" outlineLevel="0" collapsed="false">
      <c r="A142" s="53" t="s">
        <v>597</v>
      </c>
      <c r="B142" s="54" t="s">
        <v>598</v>
      </c>
      <c r="C142" s="55" t="n">
        <f aca="false">SUMIFS(데이터_품목별!$J$3:$J$2984,데이터_품목별!$E$3:$E$2984,"37",데이터_품목별!$A$3:$A$2984,"2024.01")</f>
        <v>81640</v>
      </c>
      <c r="D142" s="55" t="n">
        <f aca="false">SUMIFS(데이터_품목별!$J$3:$J$2984,데이터_품목별!$E$3:$E$2984,"37",데이터_품목별!$A$3:$A$2984,"2024.02")</f>
        <v>86969</v>
      </c>
      <c r="E142" s="55" t="n">
        <f aca="false">SUMIFS(데이터_품목별!$J$3:$J$2984,데이터_품목별!$E$3:$E$2984,"37",데이터_품목별!$A$3:$A$2984,"2024.03")</f>
        <v>85077</v>
      </c>
      <c r="F142" s="55" t="n">
        <f aca="false">SUMIFS(데이터_품목별!$J$3:$J$2984,데이터_품목별!$E$3:$E$2984,"37",데이터_품목별!$A$3:$A$2984,"2024.04")</f>
        <v>90042</v>
      </c>
      <c r="G142" s="55" t="n">
        <f aca="false">SUMIFS(데이터_품목별!$J$3:$J$2984,데이터_품목별!$E$3:$E$2984,"37",데이터_품목별!$A$3:$A$2984,"2024.05")</f>
        <v>90120</v>
      </c>
      <c r="H142" s="55" t="n">
        <f aca="false">SUMIFS(데이터_품목별!$J$3:$J$2984,데이터_품목별!$E$3:$E$2984,"37",데이터_품목별!$A$3:$A$2984,"2024.06")</f>
        <v>80690</v>
      </c>
      <c r="I142" s="55" t="n">
        <f aca="false">SUMIFS(데이터_품목별!$J$3:$J$2984,데이터_품목별!$E$3:$E$2984,"37",데이터_품목별!$A$3:$A$2984,"2024.07")</f>
        <v>92493</v>
      </c>
      <c r="J142" s="55" t="n">
        <f aca="false">SUMIFS(데이터_품목별!$J$3:$J$2984,데이터_품목별!$E$3:$E$2984,"37",데이터_품목별!$A$3:$A$2984,"2024.08")</f>
        <v>82864</v>
      </c>
      <c r="K142" s="55" t="n">
        <f aca="false">SUMIFS(데이터_품목별!$J$3:$J$2984,데이터_품목별!$E$3:$E$2984,"37",데이터_품목별!$A$3:$A$2984,"2024.09")</f>
        <v>80628</v>
      </c>
      <c r="L142" s="55" t="n">
        <f aca="false">SUMIFS(데이터_품목별!$J$3:$J$2984,데이터_품목별!$E$3:$E$2984,"37",데이터_품목별!$A$3:$A$2984,"2024.10")</f>
        <v>93456</v>
      </c>
      <c r="M142" s="55" t="n">
        <f aca="false">SUMIFS(데이터_품목별!$J$3:$J$2984,데이터_품목별!$E$3:$E$2984,"37",데이터_품목별!$A$3:$A$2984,"2024.11")</f>
        <v>80673</v>
      </c>
      <c r="N142" s="55" t="n">
        <f aca="false">SUMIFS(데이터_품목별!$J$3:$J$2984,데이터_품목별!$E$3:$E$2984,"37",데이터_품목별!$A$3:$A$2984,"2024.12")</f>
        <v>86400</v>
      </c>
      <c r="O142" s="55" t="n">
        <f aca="false">SUMIFS(데이터_품목별!$J$3:$J$2984,데이터_품목별!$E$3:$E$2984,"37",데이터_품목별!$A$3:$A$2984,"2025.01")</f>
        <v>69926</v>
      </c>
      <c r="P142" s="55" t="n">
        <f aca="false">SUMIFS(데이터_품목별!$J$3:$J$2984,데이터_품목별!$E$3:$E$2984,"37",데이터_품목별!$A$3:$A$2984,"2025.02")</f>
        <v>92890</v>
      </c>
      <c r="Q142" s="55" t="n">
        <f aca="false">SUMIFS(데이터_품목별!$J$3:$J$2984,데이터_품목별!$E$3:$E$2984,"37",데이터_품목별!$A$3:$A$2984,"2025.03")</f>
        <v>88634</v>
      </c>
      <c r="R142" s="55" t="n">
        <f aca="false">SUMIFS(데이터_품목별!$J$3:$J$2984,데이터_품목별!$E$3:$E$2984,"37",데이터_품목별!$A$3:$A$2984,"2025.04")</f>
        <v>92549</v>
      </c>
      <c r="S142" s="55" t="n">
        <f aca="false">SUMIFS(데이터_품목별!$J$3:$J$2984,데이터_품목별!$E$3:$E$2984,"37",데이터_품목별!$A$3:$A$2984,"2025.05")</f>
        <v>91796</v>
      </c>
      <c r="T142" s="55" t="n">
        <f aca="false">SUMIFS(데이터_품목별!$J$3:$J$2984,데이터_품목별!$E$3:$E$2984,"37",데이터_품목별!$A$3:$A$2984,"2025.06")</f>
        <v>93292</v>
      </c>
      <c r="U142" s="55" t="n">
        <f aca="false">SUMIFS(데이터_품목별!$J$3:$J$2984,데이터_품목별!$E$3:$E$2984,"37",데이터_품목별!$A$3:$A$2984,"2025.07")</f>
        <v>99668</v>
      </c>
      <c r="V142" s="55" t="n">
        <f aca="false">SUMIFS(데이터_품목별!$J$3:$J$2984,데이터_품목별!$E$3:$E$2984,"37",데이터_품목별!$A$3:$A$2984,"2025.08")</f>
        <v>96477</v>
      </c>
      <c r="W142" s="55" t="n">
        <f aca="false">SUMIFS(데이터_품목별!$J$3:$J$2984,데이터_품목별!$E$3:$E$2984,"37",데이터_품목별!$A$3:$A$2984,"2025.09")</f>
        <v>102763</v>
      </c>
      <c r="X142" s="55" t="n">
        <f aca="false">SUMIFS(데이터_품목별!$J$3:$J$2984,데이터_품목별!$E$3:$E$2984,"37",데이터_품목별!$A$3:$A$2984,"2025.10")</f>
        <v>102855</v>
      </c>
      <c r="Y142" s="55" t="n">
        <f aca="false">SUMIFS(데이터_품목별!$J$3:$J$2984,데이터_품목별!$E$3:$E$2984,"37",데이터_품목별!$A$3:$A$2984,"2025.11")</f>
        <v>102066</v>
      </c>
      <c r="Z142" s="55" t="n">
        <f aca="false">SUMIFS(데이터_품목별!$J$3:$J$2984,데이터_품목별!$E$3:$E$2984,"37",데이터_품목별!$A$3:$A$2984,"2025.12")</f>
        <v>113436</v>
      </c>
      <c r="AA142" s="55" t="n">
        <f aca="false">SUMIFS(데이터_품목별!$J$3:$J$2984,데이터_품목별!$E$3:$E$2984,"37",데이터_품목별!$A$3:$A$2984,"2026.01")</f>
        <v>92074</v>
      </c>
      <c r="AB142" s="55" t="n">
        <f aca="false">SUMIFS(데이터_품목별!$J$3:$J$2984,데이터_품목별!$E$3:$E$2984,"37",데이터_품목별!$A$3:$A$2984,"2026.02")</f>
        <v>92849</v>
      </c>
      <c r="AC142" s="55" t="n">
        <f aca="false">SUMIFS(데이터_품목별!$J$3:$J$2984,데이터_품목별!$E$3:$E$2984,"37",데이터_품목별!$A$3:$A$2984,"2026.03")</f>
        <v>107803</v>
      </c>
      <c r="AD142" s="55" t="n">
        <f aca="false">SUMIFS(데이터_품목별!$J$3:$J$2984,데이터_품목별!$E$3:$E$2984,"37",데이터_품목별!$A$3:$A$2984,"2026.04")</f>
        <v>108106</v>
      </c>
      <c r="AE142" s="55" t="n">
        <f aca="false">SUMIFS(데이터_품목별!$J$3:$J$2984,데이터_품목별!$E$3:$E$2984,"37",데이터_품목별!$A$3:$A$2984,"2026.05")</f>
        <v>93611</v>
      </c>
      <c r="AF142" s="55" t="n">
        <f aca="false">SUMIFS(데이터_품목별!$J$3:$J$2984,데이터_품목별!$E$3:$E$2984,"37",데이터_품목별!$A$3:$A$2984,"2026.06")</f>
        <v>106166</v>
      </c>
      <c r="AG142" s="55" t="n">
        <f aca="false">SUMIFS(데이터_품목별!$J$3:$J$2984,데이터_품목별!$E$3:$E$2984,"37",데이터_품목별!$A$3:$A$2984,"2026.07")</f>
        <v>105365</v>
      </c>
    </row>
    <row r="143" customFormat="false" ht="15" hidden="false" customHeight="true" outlineLevel="0" collapsed="false">
      <c r="A143" s="53" t="s">
        <v>604</v>
      </c>
      <c r="B143" s="54" t="s">
        <v>605</v>
      </c>
      <c r="C143" s="55" t="n">
        <f aca="false">SUMIFS(데이터_품목별!$J$3:$J$2984,데이터_품목별!$E$3:$E$2984,"38",데이터_품목별!$A$3:$A$2984,"2024.01")</f>
        <v>615188</v>
      </c>
      <c r="D143" s="55" t="n">
        <f aca="false">SUMIFS(데이터_품목별!$J$3:$J$2984,데이터_품목별!$E$3:$E$2984,"38",데이터_품목별!$A$3:$A$2984,"2024.02")</f>
        <v>684848</v>
      </c>
      <c r="E143" s="55" t="n">
        <f aca="false">SUMIFS(데이터_품목별!$J$3:$J$2984,데이터_품목별!$E$3:$E$2984,"38",데이터_품목별!$A$3:$A$2984,"2024.03")</f>
        <v>835111</v>
      </c>
      <c r="F143" s="55" t="n">
        <f aca="false">SUMIFS(데이터_품목별!$J$3:$J$2984,데이터_품목별!$E$3:$E$2984,"38",데이터_품목별!$A$3:$A$2984,"2024.04")</f>
        <v>735664</v>
      </c>
      <c r="G143" s="55" t="n">
        <f aca="false">SUMIFS(데이터_품목별!$J$3:$J$2984,데이터_품목별!$E$3:$E$2984,"38",데이터_품목별!$A$3:$A$2984,"2024.05")</f>
        <v>660986</v>
      </c>
      <c r="H143" s="55" t="n">
        <f aca="false">SUMIFS(데이터_품목별!$J$3:$J$2984,데이터_품목별!$E$3:$E$2984,"38",데이터_품목별!$A$3:$A$2984,"2024.06")</f>
        <v>665847</v>
      </c>
      <c r="I143" s="55" t="n">
        <f aca="false">SUMIFS(데이터_품목별!$J$3:$J$2984,데이터_품목별!$E$3:$E$2984,"38",데이터_품목별!$A$3:$A$2984,"2024.07")</f>
        <v>752250</v>
      </c>
      <c r="J143" s="55" t="n">
        <f aca="false">SUMIFS(데이터_품목별!$J$3:$J$2984,데이터_품목별!$E$3:$E$2984,"38",데이터_품목별!$A$3:$A$2984,"2024.08")</f>
        <v>775362</v>
      </c>
      <c r="K143" s="55" t="n">
        <f aca="false">SUMIFS(데이터_품목별!$J$3:$J$2984,데이터_품목별!$E$3:$E$2984,"38",데이터_품목별!$A$3:$A$2984,"2024.09")</f>
        <v>764225</v>
      </c>
      <c r="L143" s="55" t="n">
        <f aca="false">SUMIFS(데이터_품목별!$J$3:$J$2984,데이터_품목별!$E$3:$E$2984,"38",데이터_품목별!$A$3:$A$2984,"2024.10")</f>
        <v>801862</v>
      </c>
      <c r="M143" s="55" t="n">
        <f aca="false">SUMIFS(데이터_품목별!$J$3:$J$2984,데이터_품목별!$E$3:$E$2984,"38",데이터_품목별!$A$3:$A$2984,"2024.11")</f>
        <v>771008</v>
      </c>
      <c r="N143" s="55" t="n">
        <f aca="false">SUMIFS(데이터_품목별!$J$3:$J$2984,데이터_품목별!$E$3:$E$2984,"38",데이터_품목별!$A$3:$A$2984,"2024.12")</f>
        <v>798507</v>
      </c>
      <c r="O143" s="55" t="n">
        <f aca="false">SUMIFS(데이터_품목별!$J$3:$J$2984,데이터_품목별!$E$3:$E$2984,"38",데이터_품목별!$A$3:$A$2984,"2025.01")</f>
        <v>749063</v>
      </c>
      <c r="P143" s="55" t="n">
        <f aca="false">SUMIFS(데이터_품목별!$J$3:$J$2984,데이터_품목별!$E$3:$E$2984,"38",데이터_품목별!$A$3:$A$2984,"2025.02")</f>
        <v>816733</v>
      </c>
      <c r="Q143" s="55" t="n">
        <f aca="false">SUMIFS(데이터_품목별!$J$3:$J$2984,데이터_품목별!$E$3:$E$2984,"38",데이터_품목별!$A$3:$A$2984,"2025.03")</f>
        <v>793402</v>
      </c>
      <c r="R143" s="55" t="n">
        <f aca="false">SUMIFS(데이터_품목별!$J$3:$J$2984,데이터_품목별!$E$3:$E$2984,"38",데이터_품목별!$A$3:$A$2984,"2025.04")</f>
        <v>841775</v>
      </c>
      <c r="S143" s="55" t="n">
        <f aca="false">SUMIFS(데이터_품목별!$J$3:$J$2984,데이터_품목별!$E$3:$E$2984,"38",데이터_품목별!$A$3:$A$2984,"2025.05")</f>
        <v>754066</v>
      </c>
      <c r="T143" s="55" t="n">
        <f aca="false">SUMIFS(데이터_품목별!$J$3:$J$2984,데이터_품목별!$E$3:$E$2984,"38",데이터_품목별!$A$3:$A$2984,"2025.06")</f>
        <v>798572</v>
      </c>
      <c r="U143" s="55" t="n">
        <f aca="false">SUMIFS(데이터_품목별!$J$3:$J$2984,데이터_품목별!$E$3:$E$2984,"38",데이터_품목별!$A$3:$A$2984,"2025.07")</f>
        <v>841837</v>
      </c>
      <c r="V143" s="55" t="n">
        <f aca="false">SUMIFS(데이터_품목별!$J$3:$J$2984,데이터_품목별!$E$3:$E$2984,"38",데이터_품목별!$A$3:$A$2984,"2025.08")</f>
        <v>783538</v>
      </c>
      <c r="W143" s="55" t="n">
        <f aca="false">SUMIFS(데이터_품목별!$J$3:$J$2984,데이터_품목별!$E$3:$E$2984,"38",데이터_품목별!$A$3:$A$2984,"2025.09")</f>
        <v>958360</v>
      </c>
      <c r="X143" s="55" t="n">
        <f aca="false">SUMIFS(데이터_품목별!$J$3:$J$2984,데이터_품목별!$E$3:$E$2984,"38",데이터_품목별!$A$3:$A$2984,"2025.10")</f>
        <v>839901</v>
      </c>
      <c r="Y143" s="55" t="n">
        <f aca="false">SUMIFS(데이터_품목별!$J$3:$J$2984,데이터_품목별!$E$3:$E$2984,"38",데이터_품목별!$A$3:$A$2984,"2025.11")</f>
        <v>829707</v>
      </c>
      <c r="Z143" s="55" t="n">
        <f aca="false">SUMIFS(데이터_품목별!$J$3:$J$2984,데이터_품목별!$E$3:$E$2984,"38",데이터_품목별!$A$3:$A$2984,"2025.12")</f>
        <v>938448</v>
      </c>
      <c r="AA143" s="55" t="n">
        <f aca="false">SUMIFS(데이터_품목별!$J$3:$J$2984,데이터_품목별!$E$3:$E$2984,"38",데이터_품목별!$A$3:$A$2984,"2026.01")</f>
        <v>802492</v>
      </c>
      <c r="AB143" s="55" t="n">
        <f aca="false">SUMIFS(데이터_품목별!$J$3:$J$2984,데이터_품목별!$E$3:$E$2984,"38",데이터_품목별!$A$3:$A$2984,"2026.02")</f>
        <v>843755</v>
      </c>
      <c r="AC143" s="55" t="n">
        <f aca="false">SUMIFS(데이터_품목별!$J$3:$J$2984,데이터_품목별!$E$3:$E$2984,"38",데이터_품목별!$A$3:$A$2984,"2026.03")</f>
        <v>968908</v>
      </c>
      <c r="AD143" s="55" t="n">
        <f aca="false">SUMIFS(데이터_품목별!$J$3:$J$2984,데이터_품목별!$E$3:$E$2984,"38",데이터_품목별!$A$3:$A$2984,"2026.04")</f>
        <v>905235</v>
      </c>
      <c r="AE143" s="55" t="n">
        <f aca="false">SUMIFS(데이터_품목별!$J$3:$J$2984,데이터_품목별!$E$3:$E$2984,"38",데이터_품목별!$A$3:$A$2984,"2026.05")</f>
        <v>815352</v>
      </c>
      <c r="AF143" s="55" t="n">
        <f aca="false">SUMIFS(데이터_품목별!$J$3:$J$2984,데이터_품목별!$E$3:$E$2984,"38",데이터_품목별!$A$3:$A$2984,"2026.06")</f>
        <v>922091</v>
      </c>
      <c r="AG143" s="55" t="n">
        <f aca="false">SUMIFS(데이터_품목별!$J$3:$J$2984,데이터_품목별!$E$3:$E$2984,"38",데이터_품목별!$A$3:$A$2984,"2026.07")</f>
        <v>937993</v>
      </c>
    </row>
    <row r="144" customFormat="false" ht="15" hidden="false" customHeight="true" outlineLevel="0" collapsed="false">
      <c r="A144" s="53" t="s">
        <v>611</v>
      </c>
      <c r="B144" s="54" t="s">
        <v>612</v>
      </c>
      <c r="C144" s="55" t="n">
        <f aca="false">SUMIFS(데이터_품목별!$J$3:$J$2984,데이터_품목별!$E$3:$E$2984,"39",데이터_품목별!$A$3:$A$2984,"2024.01")</f>
        <v>1091958</v>
      </c>
      <c r="D144" s="55" t="n">
        <f aca="false">SUMIFS(데이터_품목별!$J$3:$J$2984,데이터_품목별!$E$3:$E$2984,"39",데이터_품목별!$A$3:$A$2984,"2024.02")</f>
        <v>901010</v>
      </c>
      <c r="E144" s="55" t="n">
        <f aca="false">SUMIFS(데이터_품목별!$J$3:$J$2984,데이터_품목별!$E$3:$E$2984,"39",데이터_품목별!$A$3:$A$2984,"2024.03")</f>
        <v>1095959</v>
      </c>
      <c r="F144" s="55" t="n">
        <f aca="false">SUMIFS(데이터_품목별!$J$3:$J$2984,데이터_품목별!$E$3:$E$2984,"39",데이터_품목별!$A$3:$A$2984,"2024.04")</f>
        <v>1167751</v>
      </c>
      <c r="G144" s="55" t="n">
        <f aca="false">SUMIFS(데이터_품목별!$J$3:$J$2984,데이터_품목별!$E$3:$E$2984,"39",데이터_품목별!$A$3:$A$2984,"2024.05")</f>
        <v>1117096</v>
      </c>
      <c r="H144" s="55" t="n">
        <f aca="false">SUMIFS(데이터_품목별!$J$3:$J$2984,데이터_품목별!$E$3:$E$2984,"39",데이터_품목별!$A$3:$A$2984,"2024.06")</f>
        <v>1076731</v>
      </c>
      <c r="I144" s="55" t="n">
        <f aca="false">SUMIFS(데이터_품목별!$J$3:$J$2984,데이터_품목별!$E$3:$E$2984,"39",데이터_품목별!$A$3:$A$2984,"2024.07")</f>
        <v>1148504</v>
      </c>
      <c r="J144" s="55" t="n">
        <f aca="false">SUMIFS(데이터_품목별!$J$3:$J$2984,데이터_품목별!$E$3:$E$2984,"39",데이터_품목별!$A$3:$A$2984,"2024.08")</f>
        <v>1088709</v>
      </c>
      <c r="K144" s="55" t="n">
        <f aca="false">SUMIFS(데이터_품목별!$J$3:$J$2984,데이터_품목별!$E$3:$E$2984,"39",데이터_품목별!$A$3:$A$2984,"2024.09")</f>
        <v>1111447</v>
      </c>
      <c r="L144" s="55" t="n">
        <f aca="false">SUMIFS(데이터_품목별!$J$3:$J$2984,데이터_품목별!$E$3:$E$2984,"39",데이터_품목별!$A$3:$A$2984,"2024.10")</f>
        <v>1122544</v>
      </c>
      <c r="M144" s="55" t="n">
        <f aca="false">SUMIFS(데이터_품목별!$J$3:$J$2984,데이터_품목별!$E$3:$E$2984,"39",데이터_품목별!$A$3:$A$2984,"2024.11")</f>
        <v>1057834</v>
      </c>
      <c r="N144" s="55" t="n">
        <f aca="false">SUMIFS(데이터_품목별!$J$3:$J$2984,데이터_품목별!$E$3:$E$2984,"39",데이터_품목별!$A$3:$A$2984,"2024.12")</f>
        <v>1135449</v>
      </c>
      <c r="O144" s="55" t="n">
        <f aca="false">SUMIFS(데이터_품목별!$J$3:$J$2984,데이터_품목별!$E$3:$E$2984,"39",데이터_품목별!$A$3:$A$2984,"2025.01")</f>
        <v>1000692</v>
      </c>
      <c r="P144" s="55" t="n">
        <f aca="false">SUMIFS(데이터_품목별!$J$3:$J$2984,데이터_품목별!$E$3:$E$2984,"39",데이터_품목별!$A$3:$A$2984,"2025.02")</f>
        <v>991625</v>
      </c>
      <c r="Q144" s="55" t="n">
        <f aca="false">SUMIFS(데이터_품목별!$J$3:$J$2984,데이터_품목별!$E$3:$E$2984,"39",데이터_품목별!$A$3:$A$2984,"2025.03")</f>
        <v>1069785</v>
      </c>
      <c r="R144" s="55" t="n">
        <f aca="false">SUMIFS(데이터_품목별!$J$3:$J$2984,데이터_품목별!$E$3:$E$2984,"39",데이터_품목별!$A$3:$A$2984,"2025.04")</f>
        <v>1168167</v>
      </c>
      <c r="S144" s="55" t="n">
        <f aca="false">SUMIFS(데이터_품목별!$J$3:$J$2984,데이터_품목별!$E$3:$E$2984,"39",데이터_품목별!$A$3:$A$2984,"2025.05")</f>
        <v>1115915</v>
      </c>
      <c r="T144" s="55" t="n">
        <f aca="false">SUMIFS(데이터_품목별!$J$3:$J$2984,데이터_품목별!$E$3:$E$2984,"39",데이터_품목별!$A$3:$A$2984,"2025.06")</f>
        <v>1130373</v>
      </c>
      <c r="U144" s="55" t="n">
        <f aca="false">SUMIFS(데이터_품목별!$J$3:$J$2984,데이터_품목별!$E$3:$E$2984,"39",데이터_품목별!$A$3:$A$2984,"2025.07")</f>
        <v>1195741</v>
      </c>
      <c r="V144" s="55" t="n">
        <f aca="false">SUMIFS(데이터_품목별!$J$3:$J$2984,데이터_품목별!$E$3:$E$2984,"39",데이터_품목별!$A$3:$A$2984,"2025.08")</f>
        <v>1058085</v>
      </c>
      <c r="W144" s="55" t="n">
        <f aca="false">SUMIFS(데이터_품목별!$J$3:$J$2984,데이터_품목별!$E$3:$E$2984,"39",데이터_품목별!$A$3:$A$2984,"2025.09")</f>
        <v>1268171</v>
      </c>
      <c r="X144" s="55" t="n">
        <f aca="false">SUMIFS(데이터_품목별!$J$3:$J$2984,데이터_품목별!$E$3:$E$2984,"39",데이터_품목별!$A$3:$A$2984,"2025.10")</f>
        <v>1026395</v>
      </c>
      <c r="Y144" s="55" t="n">
        <f aca="false">SUMIFS(데이터_품목별!$J$3:$J$2984,데이터_품목별!$E$3:$E$2984,"39",데이터_품목별!$A$3:$A$2984,"2025.11")</f>
        <v>1046171</v>
      </c>
      <c r="Z144" s="55" t="n">
        <f aca="false">SUMIFS(데이터_품목별!$J$3:$J$2984,데이터_품목별!$E$3:$E$2984,"39",데이터_품목별!$A$3:$A$2984,"2025.12")</f>
        <v>1262595</v>
      </c>
      <c r="AA144" s="55" t="n">
        <f aca="false">SUMIFS(데이터_품목별!$J$3:$J$2984,데이터_품목별!$E$3:$E$2984,"39",데이터_품목별!$A$3:$A$2984,"2026.01")</f>
        <v>1080702</v>
      </c>
      <c r="AB144" s="55" t="n">
        <f aca="false">SUMIFS(데이터_품목별!$J$3:$J$2984,데이터_품목별!$E$3:$E$2984,"39",데이터_품목별!$A$3:$A$2984,"2026.02")</f>
        <v>958189</v>
      </c>
      <c r="AC144" s="55" t="n">
        <f aca="false">SUMIFS(데이터_품목별!$J$3:$J$2984,데이터_품목별!$E$3:$E$2984,"39",데이터_품목별!$A$3:$A$2984,"2026.03")</f>
        <v>1189880</v>
      </c>
      <c r="AD144" s="55" t="n">
        <f aca="false">SUMIFS(데이터_품목별!$J$3:$J$2984,데이터_품목별!$E$3:$E$2984,"39",데이터_품목별!$A$3:$A$2984,"2026.04")</f>
        <v>1321294</v>
      </c>
      <c r="AE144" s="55" t="n">
        <f aca="false">SUMIFS(데이터_품목별!$J$3:$J$2984,데이터_품목별!$E$3:$E$2984,"39",데이터_품목별!$A$3:$A$2984,"2026.05")</f>
        <v>1261384</v>
      </c>
      <c r="AF144" s="55" t="n">
        <f aca="false">SUMIFS(데이터_품목별!$J$3:$J$2984,데이터_품목별!$E$3:$E$2984,"39",데이터_품목별!$A$3:$A$2984,"2026.06")</f>
        <v>1429046</v>
      </c>
      <c r="AG144" s="55" t="n">
        <f aca="false">SUMIFS(데이터_품목별!$J$3:$J$2984,데이터_품목별!$E$3:$E$2984,"39",데이터_품목별!$A$3:$A$2984,"2026.07")</f>
        <v>1287910</v>
      </c>
    </row>
    <row r="145" customFormat="false" ht="15" hidden="false" customHeight="true" outlineLevel="0" collapsed="false">
      <c r="A145" s="53" t="s">
        <v>618</v>
      </c>
      <c r="B145" s="54" t="s">
        <v>619</v>
      </c>
      <c r="C145" s="55" t="n">
        <f aca="false">SUMIFS(데이터_품목별!$J$3:$J$2984,데이터_품목별!$E$3:$E$2984,"40",데이터_품목별!$A$3:$A$2984,"2024.01")</f>
        <v>234349</v>
      </c>
      <c r="D145" s="55" t="n">
        <f aca="false">SUMIFS(데이터_품목별!$J$3:$J$2984,데이터_품목별!$E$3:$E$2984,"40",데이터_품목별!$A$3:$A$2984,"2024.02")</f>
        <v>212351</v>
      </c>
      <c r="E145" s="55" t="n">
        <f aca="false">SUMIFS(데이터_품목별!$J$3:$J$2984,데이터_품목별!$E$3:$E$2984,"40",데이터_품목별!$A$3:$A$2984,"2024.03")</f>
        <v>241454</v>
      </c>
      <c r="F145" s="55" t="n">
        <f aca="false">SUMIFS(데이터_품목별!$J$3:$J$2984,데이터_품목별!$E$3:$E$2984,"40",데이터_품목별!$A$3:$A$2984,"2024.04")</f>
        <v>260616</v>
      </c>
      <c r="G145" s="55" t="n">
        <f aca="false">SUMIFS(데이터_품목별!$J$3:$J$2984,데이터_품목별!$E$3:$E$2984,"40",데이터_품목별!$A$3:$A$2984,"2024.05")</f>
        <v>236699</v>
      </c>
      <c r="H145" s="55" t="n">
        <f aca="false">SUMIFS(데이터_품목별!$J$3:$J$2984,데이터_품목별!$E$3:$E$2984,"40",데이터_품목별!$A$3:$A$2984,"2024.06")</f>
        <v>234846</v>
      </c>
      <c r="I145" s="55" t="n">
        <f aca="false">SUMIFS(데이터_품목별!$J$3:$J$2984,데이터_품목별!$E$3:$E$2984,"40",데이터_품목별!$A$3:$A$2984,"2024.07")</f>
        <v>271593</v>
      </c>
      <c r="J145" s="55" t="n">
        <f aca="false">SUMIFS(데이터_품목별!$J$3:$J$2984,데이터_품목별!$E$3:$E$2984,"40",데이터_품목별!$A$3:$A$2984,"2024.08")</f>
        <v>284578</v>
      </c>
      <c r="K145" s="55" t="n">
        <f aca="false">SUMIFS(데이터_품목별!$J$3:$J$2984,데이터_품목별!$E$3:$E$2984,"40",데이터_품목별!$A$3:$A$2984,"2024.09")</f>
        <v>258877</v>
      </c>
      <c r="L145" s="55" t="n">
        <f aca="false">SUMIFS(데이터_품목별!$J$3:$J$2984,데이터_품목별!$E$3:$E$2984,"40",데이터_품목별!$A$3:$A$2984,"2024.10")</f>
        <v>287810</v>
      </c>
      <c r="M145" s="55" t="n">
        <f aca="false">SUMIFS(데이터_품목별!$J$3:$J$2984,데이터_품목별!$E$3:$E$2984,"40",데이터_품목별!$A$3:$A$2984,"2024.11")</f>
        <v>268967</v>
      </c>
      <c r="N145" s="55" t="n">
        <f aca="false">SUMIFS(데이터_품목별!$J$3:$J$2984,데이터_품목별!$E$3:$E$2984,"40",데이터_품목별!$A$3:$A$2984,"2024.12")</f>
        <v>277441</v>
      </c>
      <c r="O145" s="55" t="n">
        <f aca="false">SUMIFS(데이터_품목별!$J$3:$J$2984,데이터_품목별!$E$3:$E$2984,"40",데이터_품목별!$A$3:$A$2984,"2025.01")</f>
        <v>239060</v>
      </c>
      <c r="P145" s="55" t="n">
        <f aca="false">SUMIFS(데이터_품목별!$J$3:$J$2984,데이터_품목별!$E$3:$E$2984,"40",데이터_품목별!$A$3:$A$2984,"2025.02")</f>
        <v>275544</v>
      </c>
      <c r="Q145" s="55" t="n">
        <f aca="false">SUMIFS(데이터_품목별!$J$3:$J$2984,데이터_품목별!$E$3:$E$2984,"40",데이터_품목별!$A$3:$A$2984,"2025.03")</f>
        <v>264925</v>
      </c>
      <c r="R145" s="55" t="n">
        <f aca="false">SUMIFS(데이터_품목별!$J$3:$J$2984,데이터_품목별!$E$3:$E$2984,"40",데이터_품목별!$A$3:$A$2984,"2025.04")</f>
        <v>277480</v>
      </c>
      <c r="S145" s="55" t="n">
        <f aca="false">SUMIFS(데이터_품목별!$J$3:$J$2984,데이터_품목별!$E$3:$E$2984,"40",데이터_품목별!$A$3:$A$2984,"2025.05")</f>
        <v>255880</v>
      </c>
      <c r="T145" s="55" t="n">
        <f aca="false">SUMIFS(데이터_품목별!$J$3:$J$2984,데이터_품목별!$E$3:$E$2984,"40",데이터_품목별!$A$3:$A$2984,"2025.06")</f>
        <v>272115</v>
      </c>
      <c r="U145" s="55" t="n">
        <f aca="false">SUMIFS(데이터_품목별!$J$3:$J$2984,데이터_품목별!$E$3:$E$2984,"40",데이터_품목별!$A$3:$A$2984,"2025.07")</f>
        <v>270509</v>
      </c>
      <c r="V145" s="55" t="n">
        <f aca="false">SUMIFS(데이터_품목별!$J$3:$J$2984,데이터_품목별!$E$3:$E$2984,"40",데이터_품목별!$A$3:$A$2984,"2025.08")</f>
        <v>243886</v>
      </c>
      <c r="W145" s="55" t="n">
        <f aca="false">SUMIFS(데이터_품목별!$J$3:$J$2984,데이터_품목별!$E$3:$E$2984,"40",데이터_품목별!$A$3:$A$2984,"2025.09")</f>
        <v>275955</v>
      </c>
      <c r="X145" s="55" t="n">
        <f aca="false">SUMIFS(데이터_품목별!$J$3:$J$2984,데이터_품목별!$E$3:$E$2984,"40",데이터_품목별!$A$3:$A$2984,"2025.10")</f>
        <v>242503</v>
      </c>
      <c r="Y145" s="55" t="n">
        <f aca="false">SUMIFS(데이터_품목별!$J$3:$J$2984,데이터_품목별!$E$3:$E$2984,"40",데이터_품목별!$A$3:$A$2984,"2025.11")</f>
        <v>249453</v>
      </c>
      <c r="Z145" s="55" t="n">
        <f aca="false">SUMIFS(데이터_품목별!$J$3:$J$2984,데이터_품목별!$E$3:$E$2984,"40",데이터_품목별!$A$3:$A$2984,"2025.12")</f>
        <v>293196</v>
      </c>
      <c r="AA145" s="55" t="n">
        <f aca="false">SUMIFS(데이터_품목별!$J$3:$J$2984,데이터_품목별!$E$3:$E$2984,"40",데이터_품목별!$A$3:$A$2984,"2026.01")</f>
        <v>254433</v>
      </c>
      <c r="AB145" s="55" t="n">
        <f aca="false">SUMIFS(데이터_품목별!$J$3:$J$2984,데이터_품목별!$E$3:$E$2984,"40",데이터_품목별!$A$3:$A$2984,"2026.02")</f>
        <v>225673</v>
      </c>
      <c r="AC145" s="55" t="n">
        <f aca="false">SUMIFS(데이터_품목별!$J$3:$J$2984,데이터_품목별!$E$3:$E$2984,"40",데이터_품목별!$A$3:$A$2984,"2026.03")</f>
        <v>275483</v>
      </c>
      <c r="AD145" s="55" t="n">
        <f aca="false">SUMIFS(데이터_품목별!$J$3:$J$2984,데이터_품목별!$E$3:$E$2984,"40",데이터_품목별!$A$3:$A$2984,"2026.04")</f>
        <v>290486</v>
      </c>
      <c r="AE145" s="55" t="n">
        <f aca="false">SUMIFS(데이터_품목별!$J$3:$J$2984,데이터_품목별!$E$3:$E$2984,"40",데이터_품목별!$A$3:$A$2984,"2026.05")</f>
        <v>270645</v>
      </c>
      <c r="AF145" s="55" t="n">
        <f aca="false">SUMIFS(데이터_품목별!$J$3:$J$2984,데이터_품목별!$E$3:$E$2984,"40",데이터_품목별!$A$3:$A$2984,"2026.06")</f>
        <v>299232</v>
      </c>
      <c r="AG145" s="55" t="n">
        <f aca="false">SUMIFS(데이터_품목별!$J$3:$J$2984,데이터_품목별!$E$3:$E$2984,"40",데이터_품목별!$A$3:$A$2984,"2026.07")</f>
        <v>290065</v>
      </c>
    </row>
    <row r="146" customFormat="false" ht="15" hidden="false" customHeight="true" outlineLevel="0" collapsed="false">
      <c r="A146" s="53" t="s">
        <v>625</v>
      </c>
      <c r="B146" s="54" t="s">
        <v>626</v>
      </c>
      <c r="C146" s="55" t="n">
        <f aca="false">SUMIFS(데이터_품목별!$J$3:$J$2984,데이터_품목별!$E$3:$E$2984,"41",데이터_품목별!$A$3:$A$2984,"2024.01")</f>
        <v>17645</v>
      </c>
      <c r="D146" s="55" t="n">
        <f aca="false">SUMIFS(데이터_품목별!$J$3:$J$2984,데이터_품목별!$E$3:$E$2984,"41",데이터_품목별!$A$3:$A$2984,"2024.02")</f>
        <v>19498</v>
      </c>
      <c r="E146" s="55" t="n">
        <f aca="false">SUMIFS(데이터_품목별!$J$3:$J$2984,데이터_품목별!$E$3:$E$2984,"41",데이터_품목별!$A$3:$A$2984,"2024.03")</f>
        <v>20060</v>
      </c>
      <c r="F146" s="55" t="n">
        <f aca="false">SUMIFS(데이터_품목별!$J$3:$J$2984,데이터_품목별!$E$3:$E$2984,"41",데이터_품목별!$A$3:$A$2984,"2024.04")</f>
        <v>21502</v>
      </c>
      <c r="G146" s="55" t="n">
        <f aca="false">SUMIFS(데이터_품목별!$J$3:$J$2984,데이터_품목별!$E$3:$E$2984,"41",데이터_품목별!$A$3:$A$2984,"2024.05")</f>
        <v>19593</v>
      </c>
      <c r="H146" s="55" t="n">
        <f aca="false">SUMIFS(데이터_품목별!$J$3:$J$2984,데이터_품목별!$E$3:$E$2984,"41",데이터_품목별!$A$3:$A$2984,"2024.06")</f>
        <v>22050</v>
      </c>
      <c r="I146" s="55" t="n">
        <f aca="false">SUMIFS(데이터_품목별!$J$3:$J$2984,데이터_품목별!$E$3:$E$2984,"41",데이터_품목별!$A$3:$A$2984,"2024.07")</f>
        <v>23256</v>
      </c>
      <c r="J146" s="55" t="n">
        <f aca="false">SUMIFS(데이터_품목별!$J$3:$J$2984,데이터_품목별!$E$3:$E$2984,"41",데이터_품목별!$A$3:$A$2984,"2024.08")</f>
        <v>22470</v>
      </c>
      <c r="K146" s="55" t="n">
        <f aca="false">SUMIFS(데이터_품목별!$J$3:$J$2984,데이터_품목별!$E$3:$E$2984,"41",데이터_품목별!$A$3:$A$2984,"2024.09")</f>
        <v>20043</v>
      </c>
      <c r="L146" s="55" t="n">
        <f aca="false">SUMIFS(데이터_품목별!$J$3:$J$2984,데이터_품목별!$E$3:$E$2984,"41",데이터_품목별!$A$3:$A$2984,"2024.10")</f>
        <v>22625</v>
      </c>
      <c r="M146" s="55" t="n">
        <f aca="false">SUMIFS(데이터_품목별!$J$3:$J$2984,데이터_품목별!$E$3:$E$2984,"41",데이터_품목별!$A$3:$A$2984,"2024.11")</f>
        <v>17818</v>
      </c>
      <c r="N146" s="55" t="n">
        <f aca="false">SUMIFS(데이터_품목별!$J$3:$J$2984,데이터_품목별!$E$3:$E$2984,"41",데이터_품목별!$A$3:$A$2984,"2024.12")</f>
        <v>19981</v>
      </c>
      <c r="O146" s="55" t="n">
        <f aca="false">SUMIFS(데이터_품목별!$J$3:$J$2984,데이터_품목별!$E$3:$E$2984,"41",데이터_품목별!$A$3:$A$2984,"2025.01")</f>
        <v>17194</v>
      </c>
      <c r="P146" s="55" t="n">
        <f aca="false">SUMIFS(데이터_품목별!$J$3:$J$2984,데이터_품목별!$E$3:$E$2984,"41",데이터_품목별!$A$3:$A$2984,"2025.02")</f>
        <v>17924</v>
      </c>
      <c r="Q146" s="55" t="n">
        <f aca="false">SUMIFS(데이터_품목별!$J$3:$J$2984,데이터_품목별!$E$3:$E$2984,"41",데이터_품목별!$A$3:$A$2984,"2025.03")</f>
        <v>21624</v>
      </c>
      <c r="R146" s="55" t="n">
        <f aca="false">SUMIFS(데이터_품목별!$J$3:$J$2984,데이터_품목별!$E$3:$E$2984,"41",데이터_품목별!$A$3:$A$2984,"2025.04")</f>
        <v>22809</v>
      </c>
      <c r="S146" s="55" t="n">
        <f aca="false">SUMIFS(데이터_품목별!$J$3:$J$2984,데이터_품목별!$E$3:$E$2984,"41",데이터_품목별!$A$3:$A$2984,"2025.05")</f>
        <v>19185</v>
      </c>
      <c r="T146" s="55" t="n">
        <f aca="false">SUMIFS(데이터_품목별!$J$3:$J$2984,데이터_품목별!$E$3:$E$2984,"41",데이터_품목별!$A$3:$A$2984,"2025.06")</f>
        <v>23401</v>
      </c>
      <c r="U146" s="55" t="n">
        <f aca="false">SUMIFS(데이터_품목별!$J$3:$J$2984,데이터_품목별!$E$3:$E$2984,"41",데이터_품목별!$A$3:$A$2984,"2025.07")</f>
        <v>22147</v>
      </c>
      <c r="V146" s="55" t="n">
        <f aca="false">SUMIFS(데이터_품목별!$J$3:$J$2984,데이터_품목별!$E$3:$E$2984,"41",데이터_품목별!$A$3:$A$2984,"2025.08")</f>
        <v>21015</v>
      </c>
      <c r="W146" s="55" t="n">
        <f aca="false">SUMIFS(데이터_품목별!$J$3:$J$2984,데이터_품목별!$E$3:$E$2984,"41",데이터_품목별!$A$3:$A$2984,"2025.09")</f>
        <v>22185</v>
      </c>
      <c r="X146" s="55" t="n">
        <f aca="false">SUMIFS(데이터_품목별!$J$3:$J$2984,데이터_품목별!$E$3:$E$2984,"41",데이터_품목별!$A$3:$A$2984,"2025.10")</f>
        <v>20141</v>
      </c>
      <c r="Y146" s="55" t="n">
        <f aca="false">SUMIFS(데이터_품목별!$J$3:$J$2984,데이터_품목별!$E$3:$E$2984,"41",데이터_품목별!$A$3:$A$2984,"2025.11")</f>
        <v>15810</v>
      </c>
      <c r="Z146" s="55" t="n">
        <f aca="false">SUMIFS(데이터_품목별!$J$3:$J$2984,데이터_품목별!$E$3:$E$2984,"41",데이터_품목별!$A$3:$A$2984,"2025.12")</f>
        <v>23412</v>
      </c>
      <c r="AA146" s="55" t="n">
        <f aca="false">SUMIFS(데이터_품목별!$J$3:$J$2984,데이터_품목별!$E$3:$E$2984,"41",데이터_품목별!$A$3:$A$2984,"2026.01")</f>
        <v>17690</v>
      </c>
      <c r="AB146" s="55" t="n">
        <f aca="false">SUMIFS(데이터_품목별!$J$3:$J$2984,데이터_품목별!$E$3:$E$2984,"41",데이터_품목별!$A$3:$A$2984,"2026.02")</f>
        <v>15554</v>
      </c>
      <c r="AC146" s="55" t="n">
        <f aca="false">SUMIFS(데이터_품목별!$J$3:$J$2984,데이터_품목별!$E$3:$E$2984,"41",데이터_품목별!$A$3:$A$2984,"2026.03")</f>
        <v>22295</v>
      </c>
      <c r="AD146" s="55" t="n">
        <f aca="false">SUMIFS(데이터_품목별!$J$3:$J$2984,데이터_품목별!$E$3:$E$2984,"41",데이터_품목별!$A$3:$A$2984,"2026.04")</f>
        <v>19606</v>
      </c>
      <c r="AE146" s="55" t="n">
        <f aca="false">SUMIFS(데이터_품목별!$J$3:$J$2984,데이터_품목별!$E$3:$E$2984,"41",데이터_품목별!$A$3:$A$2984,"2026.05")</f>
        <v>18423</v>
      </c>
      <c r="AF146" s="55" t="n">
        <f aca="false">SUMIFS(데이터_품목별!$J$3:$J$2984,데이터_품목별!$E$3:$E$2984,"41",데이터_품목별!$A$3:$A$2984,"2026.06")</f>
        <v>20807</v>
      </c>
      <c r="AG146" s="55" t="n">
        <f aca="false">SUMIFS(데이터_품목별!$J$3:$J$2984,데이터_품목별!$E$3:$E$2984,"41",데이터_품목별!$A$3:$A$2984,"2026.07")</f>
        <v>22779</v>
      </c>
    </row>
    <row r="147" customFormat="false" ht="15" hidden="false" customHeight="true" outlineLevel="0" collapsed="false">
      <c r="A147" s="53" t="s">
        <v>632</v>
      </c>
      <c r="B147" s="54" t="s">
        <v>633</v>
      </c>
      <c r="C147" s="55" t="n">
        <f aca="false">SUMIFS(데이터_품목별!$J$3:$J$2984,데이터_품목별!$E$3:$E$2984,"42",데이터_품목별!$A$3:$A$2984,"2024.01")</f>
        <v>369489</v>
      </c>
      <c r="D147" s="55" t="n">
        <f aca="false">SUMIFS(데이터_품목별!$J$3:$J$2984,데이터_품목별!$E$3:$E$2984,"42",데이터_품목별!$A$3:$A$2984,"2024.02")</f>
        <v>291932</v>
      </c>
      <c r="E147" s="55" t="n">
        <f aca="false">SUMIFS(데이터_품목별!$J$3:$J$2984,데이터_품목별!$E$3:$E$2984,"42",데이터_품목별!$A$3:$A$2984,"2024.03")</f>
        <v>333110</v>
      </c>
      <c r="F147" s="55" t="n">
        <f aca="false">SUMIFS(데이터_품목별!$J$3:$J$2984,데이터_품목별!$E$3:$E$2984,"42",데이터_품목별!$A$3:$A$2984,"2024.04")</f>
        <v>365537</v>
      </c>
      <c r="G147" s="55" t="n">
        <f aca="false">SUMIFS(데이터_품목별!$J$3:$J$2984,데이터_품목별!$E$3:$E$2984,"42",데이터_품목별!$A$3:$A$2984,"2024.05")</f>
        <v>331989</v>
      </c>
      <c r="H147" s="55" t="n">
        <f aca="false">SUMIFS(데이터_품목별!$J$3:$J$2984,데이터_품목별!$E$3:$E$2984,"42",데이터_품목별!$A$3:$A$2984,"2024.06")</f>
        <v>308035</v>
      </c>
      <c r="I147" s="55" t="n">
        <f aca="false">SUMIFS(데이터_품목별!$J$3:$J$2984,데이터_품목별!$E$3:$E$2984,"42",데이터_품목별!$A$3:$A$2984,"2024.07")</f>
        <v>335700</v>
      </c>
      <c r="J147" s="55" t="n">
        <f aca="false">SUMIFS(데이터_품목별!$J$3:$J$2984,데이터_품목별!$E$3:$E$2984,"42",데이터_품목별!$A$3:$A$2984,"2024.08")</f>
        <v>302091</v>
      </c>
      <c r="K147" s="55" t="n">
        <f aca="false">SUMIFS(데이터_품목별!$J$3:$J$2984,데이터_품목별!$E$3:$E$2984,"42",데이터_품목별!$A$3:$A$2984,"2024.09")</f>
        <v>272188</v>
      </c>
      <c r="L147" s="55" t="n">
        <f aca="false">SUMIFS(데이터_품목별!$J$3:$J$2984,데이터_품목별!$E$3:$E$2984,"42",데이터_품목별!$A$3:$A$2984,"2024.10")</f>
        <v>335275</v>
      </c>
      <c r="M147" s="55" t="n">
        <f aca="false">SUMIFS(데이터_품목별!$J$3:$J$2984,데이터_품목별!$E$3:$E$2984,"42",데이터_품목별!$A$3:$A$2984,"2024.11")</f>
        <v>279306</v>
      </c>
      <c r="N147" s="55" t="n">
        <f aca="false">SUMIFS(데이터_품목별!$J$3:$J$2984,데이터_품목별!$E$3:$E$2984,"42",데이터_품목별!$A$3:$A$2984,"2024.12")</f>
        <v>325771</v>
      </c>
      <c r="O147" s="55" t="n">
        <f aca="false">SUMIFS(데이터_품목별!$J$3:$J$2984,데이터_품목별!$E$3:$E$2984,"42",데이터_품목별!$A$3:$A$2984,"2025.01")</f>
        <v>278334</v>
      </c>
      <c r="P147" s="55" t="n">
        <f aca="false">SUMIFS(데이터_품목별!$J$3:$J$2984,데이터_품목별!$E$3:$E$2984,"42",데이터_품목별!$A$3:$A$2984,"2025.02")</f>
        <v>278937</v>
      </c>
      <c r="Q147" s="55" t="n">
        <f aca="false">SUMIFS(데이터_품목별!$J$3:$J$2984,데이터_품목별!$E$3:$E$2984,"42",데이터_품목별!$A$3:$A$2984,"2025.03")</f>
        <v>305509</v>
      </c>
      <c r="R147" s="55" t="n">
        <f aca="false">SUMIFS(데이터_품목별!$J$3:$J$2984,데이터_품목별!$E$3:$E$2984,"42",데이터_품목별!$A$3:$A$2984,"2025.04")</f>
        <v>300487</v>
      </c>
      <c r="S147" s="55" t="n">
        <f aca="false">SUMIFS(데이터_품목별!$J$3:$J$2984,데이터_품목별!$E$3:$E$2984,"42",데이터_품목별!$A$3:$A$2984,"2025.05")</f>
        <v>291477</v>
      </c>
      <c r="T147" s="55" t="n">
        <f aca="false">SUMIFS(데이터_품목별!$J$3:$J$2984,데이터_품목별!$E$3:$E$2984,"42",데이터_품목별!$A$3:$A$2984,"2025.06")</f>
        <v>291501</v>
      </c>
      <c r="U147" s="55" t="n">
        <f aca="false">SUMIFS(데이터_품목별!$J$3:$J$2984,데이터_품목별!$E$3:$E$2984,"42",데이터_품목별!$A$3:$A$2984,"2025.07")</f>
        <v>319505</v>
      </c>
      <c r="V147" s="55" t="n">
        <f aca="false">SUMIFS(데이터_품목별!$J$3:$J$2984,데이터_품목별!$E$3:$E$2984,"42",데이터_품목별!$A$3:$A$2984,"2025.08")</f>
        <v>276825</v>
      </c>
      <c r="W147" s="55" t="n">
        <f aca="false">SUMIFS(데이터_품목별!$J$3:$J$2984,데이터_품목별!$E$3:$E$2984,"42",데이터_품목별!$A$3:$A$2984,"2025.09")</f>
        <v>308544</v>
      </c>
      <c r="X147" s="55" t="n">
        <f aca="false">SUMIFS(데이터_품목별!$J$3:$J$2984,데이터_품목별!$E$3:$E$2984,"42",데이터_품목별!$A$3:$A$2984,"2025.10")</f>
        <v>303246</v>
      </c>
      <c r="Y147" s="55" t="n">
        <f aca="false">SUMIFS(데이터_품목별!$J$3:$J$2984,데이터_품목별!$E$3:$E$2984,"42",데이터_품목별!$A$3:$A$2984,"2025.11")</f>
        <v>287910</v>
      </c>
      <c r="Z147" s="55" t="n">
        <f aca="false">SUMIFS(데이터_품목별!$J$3:$J$2984,데이터_품목별!$E$3:$E$2984,"42",데이터_품목별!$A$3:$A$2984,"2025.12")</f>
        <v>350666</v>
      </c>
      <c r="AA147" s="55" t="n">
        <f aca="false">SUMIFS(데이터_품목별!$J$3:$J$2984,데이터_품목별!$E$3:$E$2984,"42",데이터_품목별!$A$3:$A$2984,"2026.01")</f>
        <v>339623</v>
      </c>
      <c r="AB147" s="55" t="n">
        <f aca="false">SUMIFS(데이터_품목별!$J$3:$J$2984,데이터_품목별!$E$3:$E$2984,"42",데이터_품목별!$A$3:$A$2984,"2026.02")</f>
        <v>293159</v>
      </c>
      <c r="AC147" s="55" t="n">
        <f aca="false">SUMIFS(데이터_품목별!$J$3:$J$2984,데이터_품목별!$E$3:$E$2984,"42",데이터_품목별!$A$3:$A$2984,"2026.03")</f>
        <v>307444</v>
      </c>
      <c r="AD147" s="55" t="n">
        <f aca="false">SUMIFS(데이터_품목별!$J$3:$J$2984,데이터_품목별!$E$3:$E$2984,"42",데이터_품목별!$A$3:$A$2984,"2026.04")</f>
        <v>351054</v>
      </c>
      <c r="AE147" s="55" t="n">
        <f aca="false">SUMIFS(데이터_품목별!$J$3:$J$2984,데이터_품목별!$E$3:$E$2984,"42",데이터_품목별!$A$3:$A$2984,"2026.05")</f>
        <v>323108</v>
      </c>
      <c r="AF147" s="55" t="n">
        <f aca="false">SUMIFS(데이터_품목별!$J$3:$J$2984,데이터_품목별!$E$3:$E$2984,"42",데이터_품목별!$A$3:$A$2984,"2026.06")</f>
        <v>353445</v>
      </c>
      <c r="AG147" s="55" t="n">
        <f aca="false">SUMIFS(데이터_품목별!$J$3:$J$2984,데이터_품목별!$E$3:$E$2984,"42",데이터_품목별!$A$3:$A$2984,"2026.07")</f>
        <v>313840</v>
      </c>
    </row>
    <row r="148" customFormat="false" ht="15" hidden="false" customHeight="true" outlineLevel="0" collapsed="false">
      <c r="A148" s="53" t="s">
        <v>639</v>
      </c>
      <c r="B148" s="54" t="s">
        <v>640</v>
      </c>
      <c r="C148" s="55" t="n">
        <f aca="false">SUMIFS(데이터_품목별!$J$3:$J$2984,데이터_품목별!$E$3:$E$2984,"43",데이터_품목별!$A$3:$A$2984,"2024.01")</f>
        <v>6733</v>
      </c>
      <c r="D148" s="55" t="n">
        <f aca="false">SUMIFS(데이터_품목별!$J$3:$J$2984,데이터_품목별!$E$3:$E$2984,"43",데이터_품목별!$A$3:$A$2984,"2024.02")</f>
        <v>1530</v>
      </c>
      <c r="E148" s="55" t="n">
        <f aca="false">SUMIFS(데이터_품목별!$J$3:$J$2984,데이터_품목별!$E$3:$E$2984,"43",데이터_품목별!$A$3:$A$2984,"2024.03")</f>
        <v>3358</v>
      </c>
      <c r="F148" s="55" t="n">
        <f aca="false">SUMIFS(데이터_품목별!$J$3:$J$2984,데이터_품목별!$E$3:$E$2984,"43",데이터_품목별!$A$3:$A$2984,"2024.04")</f>
        <v>9577</v>
      </c>
      <c r="G148" s="55" t="n">
        <f aca="false">SUMIFS(데이터_품목별!$J$3:$J$2984,데이터_품목별!$E$3:$E$2984,"43",데이터_품목별!$A$3:$A$2984,"2024.05")</f>
        <v>7355</v>
      </c>
      <c r="H148" s="55" t="n">
        <f aca="false">SUMIFS(데이터_품목별!$J$3:$J$2984,데이터_품목별!$E$3:$E$2984,"43",데이터_품목별!$A$3:$A$2984,"2024.06")</f>
        <v>18775</v>
      </c>
      <c r="I148" s="55" t="n">
        <f aca="false">SUMIFS(데이터_품목별!$J$3:$J$2984,데이터_품목별!$E$3:$E$2984,"43",데이터_품목별!$A$3:$A$2984,"2024.07")</f>
        <v>13540</v>
      </c>
      <c r="J148" s="55" t="n">
        <f aca="false">SUMIFS(데이터_품목별!$J$3:$J$2984,데이터_품목별!$E$3:$E$2984,"43",데이터_품목별!$A$3:$A$2984,"2024.08")</f>
        <v>14948</v>
      </c>
      <c r="K148" s="55" t="n">
        <f aca="false">SUMIFS(데이터_품목별!$J$3:$J$2984,데이터_품목별!$E$3:$E$2984,"43",데이터_품목별!$A$3:$A$2984,"2024.09")</f>
        <v>13388</v>
      </c>
      <c r="L148" s="55" t="n">
        <f aca="false">SUMIFS(데이터_품목별!$J$3:$J$2984,데이터_품목별!$E$3:$E$2984,"43",데이터_품목별!$A$3:$A$2984,"2024.10")</f>
        <v>15046</v>
      </c>
      <c r="M148" s="55" t="n">
        <f aca="false">SUMIFS(데이터_품목별!$J$3:$J$2984,데이터_품목별!$E$3:$E$2984,"43",데이터_품목별!$A$3:$A$2984,"2024.11")</f>
        <v>12714</v>
      </c>
      <c r="N148" s="55" t="n">
        <f aca="false">SUMIFS(데이터_품목별!$J$3:$J$2984,데이터_품목별!$E$3:$E$2984,"43",데이터_품목별!$A$3:$A$2984,"2024.12")</f>
        <v>8672</v>
      </c>
      <c r="O148" s="55" t="n">
        <f aca="false">SUMIFS(데이터_품목별!$J$3:$J$2984,데이터_품목별!$E$3:$E$2984,"43",데이터_품목별!$A$3:$A$2984,"2025.01")</f>
        <v>3643</v>
      </c>
      <c r="P148" s="55" t="n">
        <f aca="false">SUMIFS(데이터_품목별!$J$3:$J$2984,데이터_품목별!$E$3:$E$2984,"43",데이터_품목별!$A$3:$A$2984,"2025.02")</f>
        <v>2134</v>
      </c>
      <c r="Q148" s="55" t="n">
        <f aca="false">SUMIFS(데이터_품목별!$J$3:$J$2984,데이터_품목별!$E$3:$E$2984,"43",데이터_품목별!$A$3:$A$2984,"2025.03")</f>
        <v>3879</v>
      </c>
      <c r="R148" s="55" t="n">
        <f aca="false">SUMIFS(데이터_품목별!$J$3:$J$2984,데이터_품목별!$E$3:$E$2984,"43",데이터_품목별!$A$3:$A$2984,"2025.04")</f>
        <v>3338</v>
      </c>
      <c r="S148" s="55" t="n">
        <f aca="false">SUMIFS(데이터_품목별!$J$3:$J$2984,데이터_품목별!$E$3:$E$2984,"43",데이터_품목별!$A$3:$A$2984,"2025.05")</f>
        <v>10280</v>
      </c>
      <c r="T148" s="55" t="n">
        <f aca="false">SUMIFS(데이터_품목별!$J$3:$J$2984,데이터_품목별!$E$3:$E$2984,"43",데이터_품목별!$A$3:$A$2984,"2025.06")</f>
        <v>12131</v>
      </c>
      <c r="U148" s="55" t="n">
        <f aca="false">SUMIFS(데이터_품목별!$J$3:$J$2984,데이터_품목별!$E$3:$E$2984,"43",데이터_품목별!$A$3:$A$2984,"2025.07")</f>
        <v>15878</v>
      </c>
      <c r="V148" s="55" t="n">
        <f aca="false">SUMIFS(데이터_품목별!$J$3:$J$2984,데이터_품목별!$E$3:$E$2984,"43",데이터_품목별!$A$3:$A$2984,"2025.08")</f>
        <v>13856</v>
      </c>
      <c r="W148" s="55" t="n">
        <f aca="false">SUMIFS(데이터_품목별!$J$3:$J$2984,데이터_품목별!$E$3:$E$2984,"43",데이터_품목별!$A$3:$A$2984,"2025.09")</f>
        <v>11300</v>
      </c>
      <c r="X148" s="55" t="n">
        <f aca="false">SUMIFS(데이터_품목별!$J$3:$J$2984,데이터_품목별!$E$3:$E$2984,"43",데이터_품목별!$A$3:$A$2984,"2025.10")</f>
        <v>13220</v>
      </c>
      <c r="Y148" s="55" t="n">
        <f aca="false">SUMIFS(데이터_품목별!$J$3:$J$2984,데이터_품목별!$E$3:$E$2984,"43",데이터_품목별!$A$3:$A$2984,"2025.11")</f>
        <v>10740</v>
      </c>
      <c r="Z148" s="55" t="n">
        <f aca="false">SUMIFS(데이터_품목별!$J$3:$J$2984,데이터_품목별!$E$3:$E$2984,"43",데이터_품목별!$A$3:$A$2984,"2025.12")</f>
        <v>10017</v>
      </c>
      <c r="AA148" s="55" t="n">
        <f aca="false">SUMIFS(데이터_품목별!$J$3:$J$2984,데이터_품목별!$E$3:$E$2984,"43",데이터_품목별!$A$3:$A$2984,"2026.01")</f>
        <v>4607</v>
      </c>
      <c r="AB148" s="55" t="n">
        <f aca="false">SUMIFS(데이터_품목별!$J$3:$J$2984,데이터_품목별!$E$3:$E$2984,"43",데이터_품목별!$A$3:$A$2984,"2026.02")</f>
        <v>2713</v>
      </c>
      <c r="AC148" s="55" t="n">
        <f aca="false">SUMIFS(데이터_품목별!$J$3:$J$2984,데이터_품목별!$E$3:$E$2984,"43",데이터_품목별!$A$3:$A$2984,"2026.03")</f>
        <v>3404</v>
      </c>
      <c r="AD148" s="55" t="n">
        <f aca="false">SUMIFS(데이터_품목별!$J$3:$J$2984,데이터_품목별!$E$3:$E$2984,"43",데이터_품목별!$A$3:$A$2984,"2026.04")</f>
        <v>10183</v>
      </c>
      <c r="AE148" s="55" t="n">
        <f aca="false">SUMIFS(데이터_품목별!$J$3:$J$2984,데이터_품목별!$E$3:$E$2984,"43",데이터_품목별!$A$3:$A$2984,"2026.05")</f>
        <v>8997</v>
      </c>
      <c r="AF148" s="55" t="n">
        <f aca="false">SUMIFS(데이터_품목별!$J$3:$J$2984,데이터_품목별!$E$3:$E$2984,"43",데이터_품목별!$A$3:$A$2984,"2026.06")</f>
        <v>18813</v>
      </c>
      <c r="AG148" s="55" t="n">
        <f aca="false">SUMIFS(데이터_품목별!$J$3:$J$2984,데이터_품목별!$E$3:$E$2984,"43",데이터_품목별!$A$3:$A$2984,"2026.07")</f>
        <v>17190</v>
      </c>
    </row>
    <row r="149" customFormat="false" ht="15" hidden="false" customHeight="true" outlineLevel="0" collapsed="false">
      <c r="A149" s="53" t="s">
        <v>646</v>
      </c>
      <c r="B149" s="54" t="s">
        <v>647</v>
      </c>
      <c r="C149" s="55" t="n">
        <f aca="false">SUMIFS(데이터_품목별!$J$3:$J$2984,데이터_품목별!$E$3:$E$2984,"44",데이터_품목별!$A$3:$A$2984,"2024.01")</f>
        <v>253384</v>
      </c>
      <c r="D149" s="55" t="n">
        <f aca="false">SUMIFS(데이터_품목별!$J$3:$J$2984,데이터_품목별!$E$3:$E$2984,"44",데이터_품목별!$A$3:$A$2984,"2024.02")</f>
        <v>203530</v>
      </c>
      <c r="E149" s="55" t="n">
        <f aca="false">SUMIFS(데이터_품목별!$J$3:$J$2984,데이터_품목별!$E$3:$E$2984,"44",데이터_품목별!$A$3:$A$2984,"2024.03")</f>
        <v>230714</v>
      </c>
      <c r="F149" s="55" t="n">
        <f aca="false">SUMIFS(데이터_품목별!$J$3:$J$2984,데이터_품목별!$E$3:$E$2984,"44",데이터_품목별!$A$3:$A$2984,"2024.04")</f>
        <v>242966</v>
      </c>
      <c r="G149" s="55" t="n">
        <f aca="false">SUMIFS(데이터_품목별!$J$3:$J$2984,데이터_품목별!$E$3:$E$2984,"44",데이터_품목별!$A$3:$A$2984,"2024.05")</f>
        <v>277003</v>
      </c>
      <c r="H149" s="55" t="n">
        <f aca="false">SUMIFS(데이터_품목별!$J$3:$J$2984,데이터_품목별!$E$3:$E$2984,"44",데이터_품목별!$A$3:$A$2984,"2024.06")</f>
        <v>244057</v>
      </c>
      <c r="I149" s="55" t="n">
        <f aca="false">SUMIFS(데이터_품목별!$J$3:$J$2984,데이터_품목별!$E$3:$E$2984,"44",데이터_품목별!$A$3:$A$2984,"2024.07")</f>
        <v>257494</v>
      </c>
      <c r="J149" s="55" t="n">
        <f aca="false">SUMIFS(데이터_품목별!$J$3:$J$2984,데이터_품목별!$E$3:$E$2984,"44",데이터_품목별!$A$3:$A$2984,"2024.08")</f>
        <v>262141</v>
      </c>
      <c r="K149" s="55" t="n">
        <f aca="false">SUMIFS(데이터_품목별!$J$3:$J$2984,데이터_품목별!$E$3:$E$2984,"44",데이터_품목별!$A$3:$A$2984,"2024.09")</f>
        <v>245564</v>
      </c>
      <c r="L149" s="55" t="n">
        <f aca="false">SUMIFS(데이터_품목별!$J$3:$J$2984,데이터_품목별!$E$3:$E$2984,"44",데이터_품목별!$A$3:$A$2984,"2024.10")</f>
        <v>260631</v>
      </c>
      <c r="M149" s="55" t="n">
        <f aca="false">SUMIFS(데이터_품목별!$J$3:$J$2984,데이터_품목별!$E$3:$E$2984,"44",데이터_품목별!$A$3:$A$2984,"2024.11")</f>
        <v>232631</v>
      </c>
      <c r="N149" s="55" t="n">
        <f aca="false">SUMIFS(데이터_품목별!$J$3:$J$2984,데이터_품목별!$E$3:$E$2984,"44",데이터_품목별!$A$3:$A$2984,"2024.12")</f>
        <v>273544</v>
      </c>
      <c r="O149" s="55" t="n">
        <f aca="false">SUMIFS(데이터_품목별!$J$3:$J$2984,데이터_품목별!$E$3:$E$2984,"44",데이터_품목별!$A$3:$A$2984,"2025.01")</f>
        <v>246826</v>
      </c>
      <c r="P149" s="55" t="n">
        <f aca="false">SUMIFS(데이터_품목별!$J$3:$J$2984,데이터_품목별!$E$3:$E$2984,"44",데이터_품목별!$A$3:$A$2984,"2025.02")</f>
        <v>241256</v>
      </c>
      <c r="Q149" s="55" t="n">
        <f aca="false">SUMIFS(데이터_품목별!$J$3:$J$2984,데이터_품목별!$E$3:$E$2984,"44",데이터_품목별!$A$3:$A$2984,"2025.03")</f>
        <v>222058</v>
      </c>
      <c r="R149" s="55" t="n">
        <f aca="false">SUMIFS(데이터_품목별!$J$3:$J$2984,데이터_품목별!$E$3:$E$2984,"44",데이터_품목별!$A$3:$A$2984,"2025.04")</f>
        <v>248422</v>
      </c>
      <c r="S149" s="55" t="n">
        <f aca="false">SUMIFS(데이터_품목별!$J$3:$J$2984,데이터_품목별!$E$3:$E$2984,"44",데이터_품목별!$A$3:$A$2984,"2025.05")</f>
        <v>232044</v>
      </c>
      <c r="T149" s="55" t="n">
        <f aca="false">SUMIFS(데이터_품목별!$J$3:$J$2984,데이터_품목별!$E$3:$E$2984,"44",데이터_품목별!$A$3:$A$2984,"2025.06")</f>
        <v>242264</v>
      </c>
      <c r="U149" s="55" t="n">
        <f aca="false">SUMIFS(데이터_품목별!$J$3:$J$2984,데이터_품목별!$E$3:$E$2984,"44",데이터_품목별!$A$3:$A$2984,"2025.07")</f>
        <v>234216</v>
      </c>
      <c r="V149" s="55" t="n">
        <f aca="false">SUMIFS(데이터_품목별!$J$3:$J$2984,데이터_품목별!$E$3:$E$2984,"44",데이터_품목별!$A$3:$A$2984,"2025.08")</f>
        <v>222713</v>
      </c>
      <c r="W149" s="55" t="n">
        <f aca="false">SUMIFS(데이터_품목별!$J$3:$J$2984,데이터_품목별!$E$3:$E$2984,"44",데이터_품목별!$A$3:$A$2984,"2025.09")</f>
        <v>246309</v>
      </c>
      <c r="X149" s="55" t="n">
        <f aca="false">SUMIFS(데이터_품목별!$J$3:$J$2984,데이터_품목별!$E$3:$E$2984,"44",데이터_품목별!$A$3:$A$2984,"2025.10")</f>
        <v>210084</v>
      </c>
      <c r="Y149" s="55" t="n">
        <f aca="false">SUMIFS(데이터_품목별!$J$3:$J$2984,데이터_품목별!$E$3:$E$2984,"44",데이터_품목별!$A$3:$A$2984,"2025.11")</f>
        <v>208993</v>
      </c>
      <c r="Z149" s="55" t="n">
        <f aca="false">SUMIFS(데이터_품목별!$J$3:$J$2984,데이터_품목별!$E$3:$E$2984,"44",데이터_품목별!$A$3:$A$2984,"2025.12")</f>
        <v>243333</v>
      </c>
      <c r="AA149" s="55" t="n">
        <f aca="false">SUMIFS(데이터_품목별!$J$3:$J$2984,데이터_품목별!$E$3:$E$2984,"44",데이터_품목별!$A$3:$A$2984,"2026.01")</f>
        <v>218058</v>
      </c>
      <c r="AB149" s="55" t="n">
        <f aca="false">SUMIFS(데이터_품목별!$J$3:$J$2984,데이터_품목별!$E$3:$E$2984,"44",데이터_품목별!$A$3:$A$2984,"2026.02")</f>
        <v>183162</v>
      </c>
      <c r="AC149" s="55" t="n">
        <f aca="false">SUMIFS(데이터_품목별!$J$3:$J$2984,데이터_품목별!$E$3:$E$2984,"44",데이터_품목별!$A$3:$A$2984,"2026.03")</f>
        <v>204560</v>
      </c>
      <c r="AD149" s="55" t="n">
        <f aca="false">SUMIFS(데이터_품목별!$J$3:$J$2984,데이터_품목별!$E$3:$E$2984,"44",데이터_품목별!$A$3:$A$2984,"2026.04")</f>
        <v>224931</v>
      </c>
      <c r="AE149" s="55" t="n">
        <f aca="false">SUMIFS(데이터_품목별!$J$3:$J$2984,데이터_품목별!$E$3:$E$2984,"44",데이터_품목별!$A$3:$A$2984,"2026.05")</f>
        <v>217136</v>
      </c>
      <c r="AF149" s="55" t="n">
        <f aca="false">SUMIFS(데이터_품목별!$J$3:$J$2984,데이터_품목별!$E$3:$E$2984,"44",데이터_품목별!$A$3:$A$2984,"2026.06")</f>
        <v>246035</v>
      </c>
      <c r="AG149" s="55" t="n">
        <f aca="false">SUMIFS(데이터_품목별!$J$3:$J$2984,데이터_품목별!$E$3:$E$2984,"44",데이터_품목별!$A$3:$A$2984,"2026.07")</f>
        <v>210222</v>
      </c>
    </row>
    <row r="150" customFormat="false" ht="15" hidden="false" customHeight="true" outlineLevel="0" collapsed="false">
      <c r="A150" s="53" t="s">
        <v>653</v>
      </c>
      <c r="B150" s="54" t="s">
        <v>654</v>
      </c>
      <c r="C150" s="55" t="n">
        <f aca="false">SUMIFS(데이터_품목별!$J$3:$J$2984,데이터_품목별!$E$3:$E$2984,"45",데이터_품목별!$A$3:$A$2984,"2024.01")</f>
        <v>230</v>
      </c>
      <c r="D150" s="55" t="n">
        <f aca="false">SUMIFS(데이터_품목별!$J$3:$J$2984,데이터_품목별!$E$3:$E$2984,"45",데이터_품목별!$A$3:$A$2984,"2024.02")</f>
        <v>326</v>
      </c>
      <c r="E150" s="55" t="n">
        <f aca="false">SUMIFS(데이터_품목별!$J$3:$J$2984,데이터_품목별!$E$3:$E$2984,"45",데이터_품목별!$A$3:$A$2984,"2024.03")</f>
        <v>265</v>
      </c>
      <c r="F150" s="55" t="n">
        <f aca="false">SUMIFS(데이터_품목별!$J$3:$J$2984,데이터_품목별!$E$3:$E$2984,"45",데이터_품목별!$A$3:$A$2984,"2024.04")</f>
        <v>354</v>
      </c>
      <c r="G150" s="55" t="n">
        <f aca="false">SUMIFS(데이터_품목별!$J$3:$J$2984,데이터_품목별!$E$3:$E$2984,"45",데이터_품목별!$A$3:$A$2984,"2024.05")</f>
        <v>205</v>
      </c>
      <c r="H150" s="55" t="n">
        <f aca="false">SUMIFS(데이터_품목별!$J$3:$J$2984,데이터_품목별!$E$3:$E$2984,"45",데이터_품목별!$A$3:$A$2984,"2024.06")</f>
        <v>296</v>
      </c>
      <c r="I150" s="55" t="n">
        <f aca="false">SUMIFS(데이터_품목별!$J$3:$J$2984,데이터_품목별!$E$3:$E$2984,"45",데이터_품목별!$A$3:$A$2984,"2024.07")</f>
        <v>432</v>
      </c>
      <c r="J150" s="55" t="n">
        <f aca="false">SUMIFS(데이터_품목별!$J$3:$J$2984,데이터_품목별!$E$3:$E$2984,"45",데이터_품목별!$A$3:$A$2984,"2024.08")</f>
        <v>587</v>
      </c>
      <c r="K150" s="55" t="n">
        <f aca="false">SUMIFS(데이터_품목별!$J$3:$J$2984,데이터_품목별!$E$3:$E$2984,"45",데이터_품목별!$A$3:$A$2984,"2024.09")</f>
        <v>421</v>
      </c>
      <c r="L150" s="55" t="n">
        <f aca="false">SUMIFS(데이터_품목별!$J$3:$J$2984,데이터_품목별!$E$3:$E$2984,"45",데이터_품목별!$A$3:$A$2984,"2024.10")</f>
        <v>342</v>
      </c>
      <c r="M150" s="55" t="n">
        <f aca="false">SUMIFS(데이터_품목별!$J$3:$J$2984,데이터_품목별!$E$3:$E$2984,"45",데이터_품목별!$A$3:$A$2984,"2024.11")</f>
        <v>213</v>
      </c>
      <c r="N150" s="55" t="n">
        <f aca="false">SUMIFS(데이터_품목별!$J$3:$J$2984,데이터_품목별!$E$3:$E$2984,"45",데이터_품목별!$A$3:$A$2984,"2024.12")</f>
        <v>607</v>
      </c>
      <c r="O150" s="55" t="n">
        <f aca="false">SUMIFS(데이터_품목별!$J$3:$J$2984,데이터_품목별!$E$3:$E$2984,"45",데이터_품목별!$A$3:$A$2984,"2025.01")</f>
        <v>400</v>
      </c>
      <c r="P150" s="55" t="n">
        <f aca="false">SUMIFS(데이터_품목별!$J$3:$J$2984,데이터_품목별!$E$3:$E$2984,"45",데이터_품목별!$A$3:$A$2984,"2025.02")</f>
        <v>519</v>
      </c>
      <c r="Q150" s="55" t="n">
        <f aca="false">SUMIFS(데이터_품목별!$J$3:$J$2984,데이터_품목별!$E$3:$E$2984,"45",데이터_품목별!$A$3:$A$2984,"2025.03")</f>
        <v>196</v>
      </c>
      <c r="R150" s="55" t="n">
        <f aca="false">SUMIFS(데이터_품목별!$J$3:$J$2984,데이터_품목별!$E$3:$E$2984,"45",데이터_품목별!$A$3:$A$2984,"2025.04")</f>
        <v>320</v>
      </c>
      <c r="S150" s="55" t="n">
        <f aca="false">SUMIFS(데이터_품목별!$J$3:$J$2984,데이터_품목별!$E$3:$E$2984,"45",데이터_품목별!$A$3:$A$2984,"2025.05")</f>
        <v>377</v>
      </c>
      <c r="T150" s="55" t="n">
        <f aca="false">SUMIFS(데이터_품목별!$J$3:$J$2984,데이터_품목별!$E$3:$E$2984,"45",데이터_품목별!$A$3:$A$2984,"2025.06")</f>
        <v>373</v>
      </c>
      <c r="U150" s="55" t="n">
        <f aca="false">SUMIFS(데이터_품목별!$J$3:$J$2984,데이터_품목별!$E$3:$E$2984,"45",데이터_품목별!$A$3:$A$2984,"2025.07")</f>
        <v>573</v>
      </c>
      <c r="V150" s="55" t="n">
        <f aca="false">SUMIFS(데이터_품목별!$J$3:$J$2984,데이터_품목별!$E$3:$E$2984,"45",데이터_품목별!$A$3:$A$2984,"2025.08")</f>
        <v>496</v>
      </c>
      <c r="W150" s="55" t="n">
        <f aca="false">SUMIFS(데이터_품목별!$J$3:$J$2984,데이터_품목별!$E$3:$E$2984,"45",데이터_품목별!$A$3:$A$2984,"2025.09")</f>
        <v>348</v>
      </c>
      <c r="X150" s="55" t="n">
        <f aca="false">SUMIFS(데이터_품목별!$J$3:$J$2984,데이터_품목별!$E$3:$E$2984,"45",데이터_품목별!$A$3:$A$2984,"2025.10")</f>
        <v>447</v>
      </c>
      <c r="Y150" s="55" t="n">
        <f aca="false">SUMIFS(데이터_품목별!$J$3:$J$2984,데이터_품목별!$E$3:$E$2984,"45",데이터_품목별!$A$3:$A$2984,"2025.11")</f>
        <v>386</v>
      </c>
      <c r="Z150" s="55" t="n">
        <f aca="false">SUMIFS(데이터_품목별!$J$3:$J$2984,데이터_품목별!$E$3:$E$2984,"45",데이터_품목별!$A$3:$A$2984,"2025.12")</f>
        <v>1062</v>
      </c>
      <c r="AA150" s="55" t="n">
        <f aca="false">SUMIFS(데이터_품목별!$J$3:$J$2984,데이터_품목별!$E$3:$E$2984,"45",데이터_품목별!$A$3:$A$2984,"2026.01")</f>
        <v>227</v>
      </c>
      <c r="AB150" s="55" t="n">
        <f aca="false">SUMIFS(데이터_품목별!$J$3:$J$2984,데이터_품목별!$E$3:$E$2984,"45",데이터_품목별!$A$3:$A$2984,"2026.02")</f>
        <v>412</v>
      </c>
      <c r="AC150" s="55" t="n">
        <f aca="false">SUMIFS(데이터_품목별!$J$3:$J$2984,데이터_품목별!$E$3:$E$2984,"45",데이터_품목별!$A$3:$A$2984,"2026.03")</f>
        <v>470</v>
      </c>
      <c r="AD150" s="55" t="n">
        <f aca="false">SUMIFS(데이터_품목별!$J$3:$J$2984,데이터_품목별!$E$3:$E$2984,"45",데이터_품목별!$A$3:$A$2984,"2026.04")</f>
        <v>489</v>
      </c>
      <c r="AE150" s="55" t="n">
        <f aca="false">SUMIFS(데이터_품목별!$J$3:$J$2984,데이터_품목별!$E$3:$E$2984,"45",데이터_품목별!$A$3:$A$2984,"2026.05")</f>
        <v>450</v>
      </c>
      <c r="AF150" s="55" t="n">
        <f aca="false">SUMIFS(데이터_품목별!$J$3:$J$2984,데이터_품목별!$E$3:$E$2984,"45",데이터_품목별!$A$3:$A$2984,"2026.06")</f>
        <v>368</v>
      </c>
      <c r="AG150" s="55" t="n">
        <f aca="false">SUMIFS(데이터_품목별!$J$3:$J$2984,데이터_품목별!$E$3:$E$2984,"45",데이터_품목별!$A$3:$A$2984,"2026.07")</f>
        <v>429</v>
      </c>
    </row>
    <row r="151" customFormat="false" ht="15" hidden="false" customHeight="true" outlineLevel="0" collapsed="false">
      <c r="A151" s="53" t="s">
        <v>660</v>
      </c>
      <c r="B151" s="54" t="s">
        <v>661</v>
      </c>
      <c r="C151" s="55" t="n">
        <f aca="false">SUMIFS(데이터_품목별!$J$3:$J$2984,데이터_품목별!$E$3:$E$2984,"46",데이터_품목별!$A$3:$A$2984,"2024.01")</f>
        <v>2087</v>
      </c>
      <c r="D151" s="55" t="n">
        <f aca="false">SUMIFS(데이터_품목별!$J$3:$J$2984,데이터_품목별!$E$3:$E$2984,"46",데이터_품목별!$A$3:$A$2984,"2024.02")</f>
        <v>1397</v>
      </c>
      <c r="E151" s="55" t="n">
        <f aca="false">SUMIFS(데이터_품목별!$J$3:$J$2984,데이터_품목별!$E$3:$E$2984,"46",데이터_품목별!$A$3:$A$2984,"2024.03")</f>
        <v>2712</v>
      </c>
      <c r="F151" s="55" t="n">
        <f aca="false">SUMIFS(데이터_품목별!$J$3:$J$2984,데이터_품목별!$E$3:$E$2984,"46",데이터_품목별!$A$3:$A$2984,"2024.04")</f>
        <v>4297</v>
      </c>
      <c r="G151" s="55" t="n">
        <f aca="false">SUMIFS(데이터_품목별!$J$3:$J$2984,데이터_품목별!$E$3:$E$2984,"46",데이터_품목별!$A$3:$A$2984,"2024.05")</f>
        <v>3955</v>
      </c>
      <c r="H151" s="55" t="n">
        <f aca="false">SUMIFS(데이터_품목별!$J$3:$J$2984,데이터_품목별!$E$3:$E$2984,"46",데이터_품목별!$A$3:$A$2984,"2024.06")</f>
        <v>3083</v>
      </c>
      <c r="I151" s="55" t="n">
        <f aca="false">SUMIFS(데이터_품목별!$J$3:$J$2984,데이터_품목별!$E$3:$E$2984,"46",데이터_품목별!$A$3:$A$2984,"2024.07")</f>
        <v>2313</v>
      </c>
      <c r="J151" s="55" t="n">
        <f aca="false">SUMIFS(데이터_품목별!$J$3:$J$2984,데이터_품목별!$E$3:$E$2984,"46",데이터_품목별!$A$3:$A$2984,"2024.08")</f>
        <v>1632</v>
      </c>
      <c r="K151" s="55" t="n">
        <f aca="false">SUMIFS(데이터_품목별!$J$3:$J$2984,데이터_품목별!$E$3:$E$2984,"46",데이터_품목별!$A$3:$A$2984,"2024.09")</f>
        <v>1217</v>
      </c>
      <c r="L151" s="55" t="n">
        <f aca="false">SUMIFS(데이터_품목별!$J$3:$J$2984,데이터_품목별!$E$3:$E$2984,"46",데이터_품목별!$A$3:$A$2984,"2024.10")</f>
        <v>1090</v>
      </c>
      <c r="M151" s="55" t="n">
        <f aca="false">SUMIFS(데이터_품목별!$J$3:$J$2984,데이터_품목별!$E$3:$E$2984,"46",데이터_품목별!$A$3:$A$2984,"2024.11")</f>
        <v>1160</v>
      </c>
      <c r="N151" s="55" t="n">
        <f aca="false">SUMIFS(데이터_품목별!$J$3:$J$2984,데이터_품목별!$E$3:$E$2984,"46",데이터_품목별!$A$3:$A$2984,"2024.12")</f>
        <v>1395</v>
      </c>
      <c r="O151" s="55" t="n">
        <f aca="false">SUMIFS(데이터_품목별!$J$3:$J$2984,데이터_품목별!$E$3:$E$2984,"46",데이터_품목별!$A$3:$A$2984,"2025.01")</f>
        <v>1621</v>
      </c>
      <c r="P151" s="55" t="n">
        <f aca="false">SUMIFS(데이터_품목별!$J$3:$J$2984,데이터_품목별!$E$3:$E$2984,"46",데이터_품목별!$A$3:$A$2984,"2025.02")</f>
        <v>1487</v>
      </c>
      <c r="Q151" s="55" t="n">
        <f aca="false">SUMIFS(데이터_품목별!$J$3:$J$2984,데이터_품목별!$E$3:$E$2984,"46",데이터_품목별!$A$3:$A$2984,"2025.03")</f>
        <v>1970</v>
      </c>
      <c r="R151" s="55" t="n">
        <f aca="false">SUMIFS(데이터_품목별!$J$3:$J$2984,데이터_품목별!$E$3:$E$2984,"46",데이터_품목별!$A$3:$A$2984,"2025.04")</f>
        <v>3782</v>
      </c>
      <c r="S151" s="55" t="n">
        <f aca="false">SUMIFS(데이터_품목별!$J$3:$J$2984,데이터_품목별!$E$3:$E$2984,"46",데이터_품목별!$A$3:$A$2984,"2025.05")</f>
        <v>3224</v>
      </c>
      <c r="T151" s="55" t="n">
        <f aca="false">SUMIFS(데이터_품목별!$J$3:$J$2984,데이터_품목별!$E$3:$E$2984,"46",데이터_품목별!$A$3:$A$2984,"2025.06")</f>
        <v>2231</v>
      </c>
      <c r="U151" s="55" t="n">
        <f aca="false">SUMIFS(데이터_품목별!$J$3:$J$2984,데이터_품목별!$E$3:$E$2984,"46",데이터_품목별!$A$3:$A$2984,"2025.07")</f>
        <v>2323</v>
      </c>
      <c r="V151" s="55" t="n">
        <f aca="false">SUMIFS(데이터_품목별!$J$3:$J$2984,데이터_품목별!$E$3:$E$2984,"46",데이터_품목별!$A$3:$A$2984,"2025.08")</f>
        <v>1503</v>
      </c>
      <c r="W151" s="55" t="n">
        <f aca="false">SUMIFS(데이터_품목별!$J$3:$J$2984,데이터_품목별!$E$3:$E$2984,"46",데이터_품목별!$A$3:$A$2984,"2025.09")</f>
        <v>1152</v>
      </c>
      <c r="X151" s="55" t="n">
        <f aca="false">SUMIFS(데이터_품목별!$J$3:$J$2984,데이터_품목별!$E$3:$E$2984,"46",데이터_품목별!$A$3:$A$2984,"2025.10")</f>
        <v>1663</v>
      </c>
      <c r="Y151" s="55" t="n">
        <f aca="false">SUMIFS(데이터_품목별!$J$3:$J$2984,데이터_품목별!$E$3:$E$2984,"46",데이터_품목별!$A$3:$A$2984,"2025.11")</f>
        <v>1477</v>
      </c>
      <c r="Z151" s="55" t="n">
        <f aca="false">SUMIFS(데이터_품목별!$J$3:$J$2984,데이터_품목별!$E$3:$E$2984,"46",데이터_품목별!$A$3:$A$2984,"2025.12")</f>
        <v>1691</v>
      </c>
      <c r="AA151" s="55" t="n">
        <f aca="false">SUMIFS(데이터_품목별!$J$3:$J$2984,데이터_품목별!$E$3:$E$2984,"46",데이터_품목별!$A$3:$A$2984,"2026.01")</f>
        <v>1759</v>
      </c>
      <c r="AB151" s="55" t="n">
        <f aca="false">SUMIFS(데이터_품목별!$J$3:$J$2984,데이터_품목별!$E$3:$E$2984,"46",데이터_품목별!$A$3:$A$2984,"2026.02")</f>
        <v>1315</v>
      </c>
      <c r="AC151" s="55" t="n">
        <f aca="false">SUMIFS(데이터_품목별!$J$3:$J$2984,데이터_품목별!$E$3:$E$2984,"46",데이터_품목별!$A$3:$A$2984,"2026.03")</f>
        <v>2289</v>
      </c>
      <c r="AD151" s="55" t="n">
        <f aca="false">SUMIFS(데이터_품목별!$J$3:$J$2984,데이터_품목별!$E$3:$E$2984,"46",데이터_품목별!$A$3:$A$2984,"2026.04")</f>
        <v>3918</v>
      </c>
      <c r="AE151" s="55" t="n">
        <f aca="false">SUMIFS(데이터_품목별!$J$3:$J$2984,데이터_품목별!$E$3:$E$2984,"46",데이터_품목별!$A$3:$A$2984,"2026.05")</f>
        <v>3243</v>
      </c>
      <c r="AF151" s="55" t="n">
        <f aca="false">SUMIFS(데이터_품목별!$J$3:$J$2984,데이터_품목별!$E$3:$E$2984,"46",데이터_품목별!$A$3:$A$2984,"2026.06")</f>
        <v>2393</v>
      </c>
      <c r="AG151" s="55" t="n">
        <f aca="false">SUMIFS(데이터_품목별!$J$3:$J$2984,데이터_품목별!$E$3:$E$2984,"46",데이터_품목별!$A$3:$A$2984,"2026.07")</f>
        <v>1768</v>
      </c>
    </row>
    <row r="152" customFormat="false" ht="15" hidden="false" customHeight="true" outlineLevel="0" collapsed="false">
      <c r="A152" s="53" t="s">
        <v>667</v>
      </c>
      <c r="B152" s="54" t="s">
        <v>668</v>
      </c>
      <c r="C152" s="55" t="n">
        <f aca="false">SUMIFS(데이터_품목별!$J$3:$J$2984,데이터_품목별!$E$3:$E$2984,"47",데이터_품목별!$A$3:$A$2984,"2024.01")</f>
        <v>126114</v>
      </c>
      <c r="D152" s="55" t="n">
        <f aca="false">SUMIFS(데이터_품목별!$J$3:$J$2984,데이터_품목별!$E$3:$E$2984,"47",데이터_품목별!$A$3:$A$2984,"2024.02")</f>
        <v>135608</v>
      </c>
      <c r="E152" s="55" t="n">
        <f aca="false">SUMIFS(데이터_품목별!$J$3:$J$2984,데이터_품목별!$E$3:$E$2984,"47",데이터_품목별!$A$3:$A$2984,"2024.03")</f>
        <v>132958</v>
      </c>
      <c r="F152" s="55" t="n">
        <f aca="false">SUMIFS(데이터_품목별!$J$3:$J$2984,데이터_품목별!$E$3:$E$2984,"47",데이터_품목별!$A$3:$A$2984,"2024.04")</f>
        <v>150547</v>
      </c>
      <c r="G152" s="55" t="n">
        <f aca="false">SUMIFS(데이터_품목별!$J$3:$J$2984,데이터_품목별!$E$3:$E$2984,"47",데이터_품목별!$A$3:$A$2984,"2024.05")</f>
        <v>134286</v>
      </c>
      <c r="H152" s="55" t="n">
        <f aca="false">SUMIFS(데이터_품목별!$J$3:$J$2984,데이터_품목별!$E$3:$E$2984,"47",데이터_품목별!$A$3:$A$2984,"2024.06")</f>
        <v>137595</v>
      </c>
      <c r="I152" s="55" t="n">
        <f aca="false">SUMIFS(데이터_품목별!$J$3:$J$2984,데이터_품목별!$E$3:$E$2984,"47",데이터_품목별!$A$3:$A$2984,"2024.07")</f>
        <v>128195</v>
      </c>
      <c r="J152" s="55" t="n">
        <f aca="false">SUMIFS(데이터_품목별!$J$3:$J$2984,데이터_품목별!$E$3:$E$2984,"47",데이터_품목별!$A$3:$A$2984,"2024.08")</f>
        <v>148481</v>
      </c>
      <c r="K152" s="55" t="n">
        <f aca="false">SUMIFS(데이터_품목별!$J$3:$J$2984,데이터_품목별!$E$3:$E$2984,"47",데이터_품목별!$A$3:$A$2984,"2024.09")</f>
        <v>162915</v>
      </c>
      <c r="L152" s="55" t="n">
        <f aca="false">SUMIFS(데이터_품목별!$J$3:$J$2984,데이터_품목별!$E$3:$E$2984,"47",데이터_품목별!$A$3:$A$2984,"2024.10")</f>
        <v>131856</v>
      </c>
      <c r="M152" s="55" t="n">
        <f aca="false">SUMIFS(데이터_품목별!$J$3:$J$2984,데이터_품목별!$E$3:$E$2984,"47",데이터_품목별!$A$3:$A$2984,"2024.11")</f>
        <v>112959</v>
      </c>
      <c r="N152" s="55" t="n">
        <f aca="false">SUMIFS(데이터_품목별!$J$3:$J$2984,데이터_품목별!$E$3:$E$2984,"47",데이터_품목별!$A$3:$A$2984,"2024.12")</f>
        <v>108667</v>
      </c>
      <c r="O152" s="55" t="n">
        <f aca="false">SUMIFS(데이터_품목별!$J$3:$J$2984,데이터_품목별!$E$3:$E$2984,"47",데이터_품목별!$A$3:$A$2984,"2025.01")</f>
        <v>153235</v>
      </c>
      <c r="P152" s="55" t="n">
        <f aca="false">SUMIFS(데이터_품목별!$J$3:$J$2984,데이터_품목별!$E$3:$E$2984,"47",데이터_품목별!$A$3:$A$2984,"2025.02")</f>
        <v>109785</v>
      </c>
      <c r="Q152" s="55" t="n">
        <f aca="false">SUMIFS(데이터_품목별!$J$3:$J$2984,데이터_품목별!$E$3:$E$2984,"47",데이터_품목별!$A$3:$A$2984,"2025.03")</f>
        <v>119190</v>
      </c>
      <c r="R152" s="55" t="n">
        <f aca="false">SUMIFS(데이터_품목별!$J$3:$J$2984,데이터_품목별!$E$3:$E$2984,"47",데이터_품목별!$A$3:$A$2984,"2025.04")</f>
        <v>126059</v>
      </c>
      <c r="S152" s="55" t="n">
        <f aca="false">SUMIFS(데이터_품목별!$J$3:$J$2984,데이터_품목별!$E$3:$E$2984,"47",데이터_품목별!$A$3:$A$2984,"2025.05")</f>
        <v>119422</v>
      </c>
      <c r="T152" s="55" t="n">
        <f aca="false">SUMIFS(데이터_품목별!$J$3:$J$2984,데이터_품목별!$E$3:$E$2984,"47",데이터_품목별!$A$3:$A$2984,"2025.06")</f>
        <v>116917</v>
      </c>
      <c r="U152" s="55" t="n">
        <f aca="false">SUMIFS(데이터_품목별!$J$3:$J$2984,데이터_품목별!$E$3:$E$2984,"47",데이터_품목별!$A$3:$A$2984,"2025.07")</f>
        <v>129270</v>
      </c>
      <c r="V152" s="55" t="n">
        <f aca="false">SUMIFS(데이터_품목별!$J$3:$J$2984,데이터_품목별!$E$3:$E$2984,"47",데이터_품목별!$A$3:$A$2984,"2025.08")</f>
        <v>102620</v>
      </c>
      <c r="W152" s="55" t="n">
        <f aca="false">SUMIFS(데이터_품목별!$J$3:$J$2984,데이터_품목별!$E$3:$E$2984,"47",데이터_품목별!$A$3:$A$2984,"2025.09")</f>
        <v>101494</v>
      </c>
      <c r="X152" s="55" t="n">
        <f aca="false">SUMIFS(데이터_품목별!$J$3:$J$2984,데이터_품목별!$E$3:$E$2984,"47",데이터_품목별!$A$3:$A$2984,"2025.10")</f>
        <v>116053</v>
      </c>
      <c r="Y152" s="55" t="n">
        <f aca="false">SUMIFS(데이터_품목별!$J$3:$J$2984,데이터_품목별!$E$3:$E$2984,"47",데이터_품목별!$A$3:$A$2984,"2025.11")</f>
        <v>97252</v>
      </c>
      <c r="Z152" s="55" t="n">
        <f aca="false">SUMIFS(데이터_품목별!$J$3:$J$2984,데이터_품목별!$E$3:$E$2984,"47",데이터_품목별!$A$3:$A$2984,"2025.12")</f>
        <v>105614</v>
      </c>
      <c r="AA152" s="55" t="n">
        <f aca="false">SUMIFS(데이터_품목별!$J$3:$J$2984,데이터_품목별!$E$3:$E$2984,"47",데이터_품목별!$A$3:$A$2984,"2026.01")</f>
        <v>116111</v>
      </c>
      <c r="AB152" s="55" t="n">
        <f aca="false">SUMIFS(데이터_품목별!$J$3:$J$2984,데이터_품목별!$E$3:$E$2984,"47",데이터_품목별!$A$3:$A$2984,"2026.02")</f>
        <v>107976</v>
      </c>
      <c r="AC152" s="55" t="n">
        <f aca="false">SUMIFS(데이터_품목별!$J$3:$J$2984,데이터_품목별!$E$3:$E$2984,"47",데이터_품목별!$A$3:$A$2984,"2026.03")</f>
        <v>116905</v>
      </c>
      <c r="AD152" s="55" t="n">
        <f aca="false">SUMIFS(데이터_품목별!$J$3:$J$2984,데이터_품목별!$E$3:$E$2984,"47",데이터_품목별!$A$3:$A$2984,"2026.04")</f>
        <v>97665</v>
      </c>
      <c r="AE152" s="55" t="n">
        <f aca="false">SUMIFS(데이터_품목별!$J$3:$J$2984,데이터_품목별!$E$3:$E$2984,"47",데이터_품목별!$A$3:$A$2984,"2026.05")</f>
        <v>108317</v>
      </c>
      <c r="AF152" s="55" t="n">
        <f aca="false">SUMIFS(데이터_품목별!$J$3:$J$2984,데이터_품목별!$E$3:$E$2984,"47",데이터_품목별!$A$3:$A$2984,"2026.06")</f>
        <v>103834</v>
      </c>
      <c r="AG152" s="55" t="n">
        <f aca="false">SUMIFS(데이터_품목별!$J$3:$J$2984,데이터_품목별!$E$3:$E$2984,"47",데이터_품목별!$A$3:$A$2984,"2026.07")</f>
        <v>130938</v>
      </c>
    </row>
    <row r="153" customFormat="false" ht="15" hidden="false" customHeight="true" outlineLevel="0" collapsed="false">
      <c r="A153" s="53" t="s">
        <v>674</v>
      </c>
      <c r="B153" s="54" t="s">
        <v>675</v>
      </c>
      <c r="C153" s="55" t="n">
        <f aca="false">SUMIFS(데이터_품목별!$J$3:$J$2984,데이터_품목별!$E$3:$E$2984,"48",데이터_품목별!$A$3:$A$2984,"2024.01")</f>
        <v>198602</v>
      </c>
      <c r="D153" s="55" t="n">
        <f aca="false">SUMIFS(데이터_품목별!$J$3:$J$2984,데이터_품목별!$E$3:$E$2984,"48",데이터_품목별!$A$3:$A$2984,"2024.02")</f>
        <v>167074</v>
      </c>
      <c r="E153" s="55" t="n">
        <f aca="false">SUMIFS(데이터_품목별!$J$3:$J$2984,데이터_품목별!$E$3:$E$2984,"48",데이터_품목별!$A$3:$A$2984,"2024.03")</f>
        <v>173935</v>
      </c>
      <c r="F153" s="55" t="n">
        <f aca="false">SUMIFS(데이터_품목별!$J$3:$J$2984,데이터_품목별!$E$3:$E$2984,"48",데이터_품목별!$A$3:$A$2984,"2024.04")</f>
        <v>197361</v>
      </c>
      <c r="G153" s="55" t="n">
        <f aca="false">SUMIFS(데이터_품목별!$J$3:$J$2984,데이터_품목별!$E$3:$E$2984,"48",데이터_품목별!$A$3:$A$2984,"2024.05")</f>
        <v>191411</v>
      </c>
      <c r="H153" s="55" t="n">
        <f aca="false">SUMIFS(데이터_품목별!$J$3:$J$2984,데이터_품목별!$E$3:$E$2984,"48",데이터_품목별!$A$3:$A$2984,"2024.06")</f>
        <v>186562</v>
      </c>
      <c r="I153" s="55" t="n">
        <f aca="false">SUMIFS(데이터_품목별!$J$3:$J$2984,데이터_품목별!$E$3:$E$2984,"48",데이터_품목별!$A$3:$A$2984,"2024.07")</f>
        <v>190595</v>
      </c>
      <c r="J153" s="55" t="n">
        <f aca="false">SUMIFS(데이터_품목별!$J$3:$J$2984,데이터_품목별!$E$3:$E$2984,"48",데이터_품목별!$A$3:$A$2984,"2024.08")</f>
        <v>194120</v>
      </c>
      <c r="K153" s="55" t="n">
        <f aca="false">SUMIFS(데이터_품목별!$J$3:$J$2984,데이터_품목별!$E$3:$E$2984,"48",데이터_품목별!$A$3:$A$2984,"2024.09")</f>
        <v>183664</v>
      </c>
      <c r="L153" s="55" t="n">
        <f aca="false">SUMIFS(데이터_품목별!$J$3:$J$2984,데이터_품목별!$E$3:$E$2984,"48",데이터_품목별!$A$3:$A$2984,"2024.10")</f>
        <v>196840</v>
      </c>
      <c r="M153" s="55" t="n">
        <f aca="false">SUMIFS(데이터_품목별!$J$3:$J$2984,데이터_품목별!$E$3:$E$2984,"48",데이터_품목별!$A$3:$A$2984,"2024.11")</f>
        <v>190373</v>
      </c>
      <c r="N153" s="55" t="n">
        <f aca="false">SUMIFS(데이터_품목별!$J$3:$J$2984,데이터_품목별!$E$3:$E$2984,"48",데이터_품목별!$A$3:$A$2984,"2024.12")</f>
        <v>197456</v>
      </c>
      <c r="O153" s="55" t="n">
        <f aca="false">SUMIFS(데이터_품목별!$J$3:$J$2984,데이터_품목별!$E$3:$E$2984,"48",데이터_품목별!$A$3:$A$2984,"2025.01")</f>
        <v>182325</v>
      </c>
      <c r="P153" s="55" t="n">
        <f aca="false">SUMIFS(데이터_품목별!$J$3:$J$2984,데이터_품목별!$E$3:$E$2984,"48",데이터_품목별!$A$3:$A$2984,"2025.02")</f>
        <v>169755</v>
      </c>
      <c r="Q153" s="55" t="n">
        <f aca="false">SUMIFS(데이터_품목별!$J$3:$J$2984,데이터_품목별!$E$3:$E$2984,"48",데이터_품목별!$A$3:$A$2984,"2025.03")</f>
        <v>176024</v>
      </c>
      <c r="R153" s="55" t="n">
        <f aca="false">SUMIFS(데이터_품목별!$J$3:$J$2984,데이터_품목별!$E$3:$E$2984,"48",데이터_품목별!$A$3:$A$2984,"2025.04")</f>
        <v>186594</v>
      </c>
      <c r="S153" s="55" t="n">
        <f aca="false">SUMIFS(데이터_품목별!$J$3:$J$2984,데이터_품목별!$E$3:$E$2984,"48",데이터_품목별!$A$3:$A$2984,"2025.05")</f>
        <v>190379</v>
      </c>
      <c r="T153" s="55" t="n">
        <f aca="false">SUMIFS(데이터_품목별!$J$3:$J$2984,데이터_품목별!$E$3:$E$2984,"48",데이터_품목별!$A$3:$A$2984,"2025.06")</f>
        <v>188409</v>
      </c>
      <c r="U153" s="55" t="n">
        <f aca="false">SUMIFS(데이터_품목별!$J$3:$J$2984,데이터_품목별!$E$3:$E$2984,"48",데이터_품목별!$A$3:$A$2984,"2025.07")</f>
        <v>195507</v>
      </c>
      <c r="V153" s="55" t="n">
        <f aca="false">SUMIFS(데이터_품목별!$J$3:$J$2984,데이터_품목별!$E$3:$E$2984,"48",데이터_품목별!$A$3:$A$2984,"2025.08")</f>
        <v>178455</v>
      </c>
      <c r="W153" s="55" t="n">
        <f aca="false">SUMIFS(데이터_품목별!$J$3:$J$2984,데이터_품목별!$E$3:$E$2984,"48",데이터_품목별!$A$3:$A$2984,"2025.09")</f>
        <v>202159</v>
      </c>
      <c r="X153" s="55" t="n">
        <f aca="false">SUMIFS(데이터_품목별!$J$3:$J$2984,데이터_품목별!$E$3:$E$2984,"48",데이터_품목별!$A$3:$A$2984,"2025.10")</f>
        <v>175564</v>
      </c>
      <c r="Y153" s="55" t="n">
        <f aca="false">SUMIFS(데이터_품목별!$J$3:$J$2984,데이터_품목별!$E$3:$E$2984,"48",데이터_품목별!$A$3:$A$2984,"2025.11")</f>
        <v>178773</v>
      </c>
      <c r="Z153" s="55" t="n">
        <f aca="false">SUMIFS(데이터_품목별!$J$3:$J$2984,데이터_품목별!$E$3:$E$2984,"48",데이터_품목별!$A$3:$A$2984,"2025.12")</f>
        <v>210253</v>
      </c>
      <c r="AA153" s="55" t="n">
        <f aca="false">SUMIFS(데이터_품목별!$J$3:$J$2984,데이터_품목별!$E$3:$E$2984,"48",데이터_품목별!$A$3:$A$2984,"2026.01")</f>
        <v>196568</v>
      </c>
      <c r="AB153" s="55" t="n">
        <f aca="false">SUMIFS(데이터_품목별!$J$3:$J$2984,데이터_품목별!$E$3:$E$2984,"48",데이터_품목별!$A$3:$A$2984,"2026.02")</f>
        <v>175938</v>
      </c>
      <c r="AC153" s="55" t="n">
        <f aca="false">SUMIFS(데이터_품목별!$J$3:$J$2984,데이터_품목별!$E$3:$E$2984,"48",데이터_품목별!$A$3:$A$2984,"2026.03")</f>
        <v>190202</v>
      </c>
      <c r="AD153" s="55" t="n">
        <f aca="false">SUMIFS(데이터_품목별!$J$3:$J$2984,데이터_품목별!$E$3:$E$2984,"48",데이터_품목별!$A$3:$A$2984,"2026.04")</f>
        <v>204181</v>
      </c>
      <c r="AE153" s="55" t="n">
        <f aca="false">SUMIFS(데이터_품목별!$J$3:$J$2984,데이터_품목별!$E$3:$E$2984,"48",데이터_품목별!$A$3:$A$2984,"2026.05")</f>
        <v>198417</v>
      </c>
      <c r="AF153" s="55" t="n">
        <f aca="false">SUMIFS(데이터_품목별!$J$3:$J$2984,데이터_품목별!$E$3:$E$2984,"48",데이터_품목별!$A$3:$A$2984,"2026.06")</f>
        <v>208686</v>
      </c>
      <c r="AG153" s="55" t="n">
        <f aca="false">SUMIFS(데이터_품목별!$J$3:$J$2984,데이터_품목별!$E$3:$E$2984,"48",데이터_품목별!$A$3:$A$2984,"2026.07")</f>
        <v>197258</v>
      </c>
    </row>
    <row r="154" customFormat="false" ht="15" hidden="false" customHeight="true" outlineLevel="0" collapsed="false">
      <c r="A154" s="53" t="s">
        <v>681</v>
      </c>
      <c r="B154" s="54" t="s">
        <v>682</v>
      </c>
      <c r="C154" s="55" t="n">
        <f aca="false">SUMIFS(데이터_품목별!$J$3:$J$2984,데이터_품목별!$E$3:$E$2984,"49",데이터_품목별!$A$3:$A$2984,"2024.01")</f>
        <v>20436</v>
      </c>
      <c r="D154" s="55" t="n">
        <f aca="false">SUMIFS(데이터_품목별!$J$3:$J$2984,데이터_품목별!$E$3:$E$2984,"49",데이터_품목별!$A$3:$A$2984,"2024.02")</f>
        <v>18965</v>
      </c>
      <c r="E154" s="55" t="n">
        <f aca="false">SUMIFS(데이터_품목별!$J$3:$J$2984,데이터_품목별!$E$3:$E$2984,"49",데이터_품목별!$A$3:$A$2984,"2024.03")</f>
        <v>27804</v>
      </c>
      <c r="F154" s="55" t="n">
        <f aca="false">SUMIFS(데이터_품목별!$J$3:$J$2984,데이터_품목별!$E$3:$E$2984,"49",데이터_품목별!$A$3:$A$2984,"2024.04")</f>
        <v>25284</v>
      </c>
      <c r="G154" s="55" t="n">
        <f aca="false">SUMIFS(데이터_품목별!$J$3:$J$2984,데이터_품목별!$E$3:$E$2984,"49",데이터_품목별!$A$3:$A$2984,"2024.05")</f>
        <v>20920</v>
      </c>
      <c r="H154" s="55" t="n">
        <f aca="false">SUMIFS(데이터_품목별!$J$3:$J$2984,데이터_품목별!$E$3:$E$2984,"49",데이터_품목별!$A$3:$A$2984,"2024.06")</f>
        <v>19283</v>
      </c>
      <c r="I154" s="55" t="n">
        <f aca="false">SUMIFS(데이터_품목별!$J$3:$J$2984,데이터_품목별!$E$3:$E$2984,"49",데이터_품목별!$A$3:$A$2984,"2024.07")</f>
        <v>25109</v>
      </c>
      <c r="J154" s="55" t="n">
        <f aca="false">SUMIFS(데이터_품목별!$J$3:$J$2984,데이터_품목별!$E$3:$E$2984,"49",데이터_품목별!$A$3:$A$2984,"2024.08")</f>
        <v>20781</v>
      </c>
      <c r="K154" s="55" t="n">
        <f aca="false">SUMIFS(데이터_품목별!$J$3:$J$2984,데이터_품목별!$E$3:$E$2984,"49",데이터_품목별!$A$3:$A$2984,"2024.09")</f>
        <v>36135</v>
      </c>
      <c r="L154" s="55" t="n">
        <f aca="false">SUMIFS(데이터_품목별!$J$3:$J$2984,데이터_품목별!$E$3:$E$2984,"49",데이터_품목별!$A$3:$A$2984,"2024.10")</f>
        <v>21325</v>
      </c>
      <c r="M154" s="55" t="n">
        <f aca="false">SUMIFS(데이터_품목별!$J$3:$J$2984,데이터_품목별!$E$3:$E$2984,"49",데이터_품목별!$A$3:$A$2984,"2024.11")</f>
        <v>23925</v>
      </c>
      <c r="N154" s="55" t="n">
        <f aca="false">SUMIFS(데이터_품목별!$J$3:$J$2984,데이터_품목별!$E$3:$E$2984,"49",데이터_품목별!$A$3:$A$2984,"2024.12")</f>
        <v>29541</v>
      </c>
      <c r="O154" s="55" t="n">
        <f aca="false">SUMIFS(데이터_품목별!$J$3:$J$2984,데이터_품목별!$E$3:$E$2984,"49",데이터_품목별!$A$3:$A$2984,"2025.01")</f>
        <v>18666</v>
      </c>
      <c r="P154" s="55" t="n">
        <f aca="false">SUMIFS(데이터_품목별!$J$3:$J$2984,데이터_품목별!$E$3:$E$2984,"49",데이터_품목별!$A$3:$A$2984,"2025.02")</f>
        <v>22398</v>
      </c>
      <c r="Q154" s="55" t="n">
        <f aca="false">SUMIFS(데이터_품목별!$J$3:$J$2984,데이터_품목별!$E$3:$E$2984,"49",데이터_품목별!$A$3:$A$2984,"2025.03")</f>
        <v>22057</v>
      </c>
      <c r="R154" s="55" t="n">
        <f aca="false">SUMIFS(데이터_품목별!$J$3:$J$2984,데이터_품목별!$E$3:$E$2984,"49",데이터_품목별!$A$3:$A$2984,"2025.04")</f>
        <v>22097</v>
      </c>
      <c r="S154" s="55" t="n">
        <f aca="false">SUMIFS(데이터_품목별!$J$3:$J$2984,데이터_품목별!$E$3:$E$2984,"49",데이터_품목별!$A$3:$A$2984,"2025.05")</f>
        <v>23432</v>
      </c>
      <c r="T154" s="55" t="n">
        <f aca="false">SUMIFS(데이터_품목별!$J$3:$J$2984,데이터_품목별!$E$3:$E$2984,"49",데이터_품목별!$A$3:$A$2984,"2025.06")</f>
        <v>20978</v>
      </c>
      <c r="U154" s="55" t="n">
        <f aca="false">SUMIFS(데이터_품목별!$J$3:$J$2984,데이터_품목별!$E$3:$E$2984,"49",데이터_품목별!$A$3:$A$2984,"2025.07")</f>
        <v>23750</v>
      </c>
      <c r="V154" s="55" t="n">
        <f aca="false">SUMIFS(데이터_품목별!$J$3:$J$2984,데이터_품목별!$E$3:$E$2984,"49",데이터_품목별!$A$3:$A$2984,"2025.08")</f>
        <v>24951</v>
      </c>
      <c r="W154" s="55" t="n">
        <f aca="false">SUMIFS(데이터_품목별!$J$3:$J$2984,데이터_품목별!$E$3:$E$2984,"49",데이터_품목별!$A$3:$A$2984,"2025.09")</f>
        <v>27847</v>
      </c>
      <c r="X154" s="55" t="n">
        <f aca="false">SUMIFS(데이터_품목별!$J$3:$J$2984,데이터_품목별!$E$3:$E$2984,"49",데이터_품목별!$A$3:$A$2984,"2025.10")</f>
        <v>21751</v>
      </c>
      <c r="Y154" s="55" t="n">
        <f aca="false">SUMIFS(데이터_품목별!$J$3:$J$2984,데이터_품목별!$E$3:$E$2984,"49",데이터_품목별!$A$3:$A$2984,"2025.11")</f>
        <v>20707</v>
      </c>
      <c r="Z154" s="55" t="n">
        <f aca="false">SUMIFS(데이터_품목별!$J$3:$J$2984,데이터_품목별!$E$3:$E$2984,"49",데이터_품목별!$A$3:$A$2984,"2025.12")</f>
        <v>32648</v>
      </c>
      <c r="AA154" s="55" t="n">
        <f aca="false">SUMIFS(데이터_품목별!$J$3:$J$2984,데이터_품목별!$E$3:$E$2984,"49",데이터_품목별!$A$3:$A$2984,"2026.01")</f>
        <v>20897</v>
      </c>
      <c r="AB154" s="55" t="n">
        <f aca="false">SUMIFS(데이터_품목별!$J$3:$J$2984,데이터_품목별!$E$3:$E$2984,"49",데이터_품목별!$A$3:$A$2984,"2026.02")</f>
        <v>22841</v>
      </c>
      <c r="AC154" s="55" t="n">
        <f aca="false">SUMIFS(데이터_품목별!$J$3:$J$2984,데이터_품목별!$E$3:$E$2984,"49",데이터_품목별!$A$3:$A$2984,"2026.03")</f>
        <v>21938</v>
      </c>
      <c r="AD154" s="55" t="n">
        <f aca="false">SUMIFS(데이터_품목별!$J$3:$J$2984,데이터_품목별!$E$3:$E$2984,"49",데이터_품목별!$A$3:$A$2984,"2026.04")</f>
        <v>21246</v>
      </c>
      <c r="AE154" s="55" t="n">
        <f aca="false">SUMIFS(데이터_품목별!$J$3:$J$2984,데이터_품목별!$E$3:$E$2984,"49",데이터_품목별!$A$3:$A$2984,"2026.05")</f>
        <v>49570</v>
      </c>
      <c r="AF154" s="55" t="n">
        <f aca="false">SUMIFS(데이터_품목별!$J$3:$J$2984,데이터_품목별!$E$3:$E$2984,"49",데이터_품목별!$A$3:$A$2984,"2026.06")</f>
        <v>23909</v>
      </c>
      <c r="AG154" s="55" t="n">
        <f aca="false">SUMIFS(데이터_품목별!$J$3:$J$2984,데이터_품목별!$E$3:$E$2984,"49",데이터_품목별!$A$3:$A$2984,"2026.07")</f>
        <v>27119</v>
      </c>
    </row>
    <row r="155" customFormat="false" ht="15" hidden="false" customHeight="true" outlineLevel="0" collapsed="false">
      <c r="A155" s="53" t="s">
        <v>688</v>
      </c>
      <c r="B155" s="54" t="s">
        <v>689</v>
      </c>
      <c r="C155" s="55" t="n">
        <f aca="false">SUMIFS(데이터_품목별!$J$3:$J$2984,데이터_품목별!$E$3:$E$2984,"50",데이터_품목별!$A$3:$A$2984,"2024.01")</f>
        <v>2820</v>
      </c>
      <c r="D155" s="55" t="n">
        <f aca="false">SUMIFS(데이터_품목별!$J$3:$J$2984,데이터_품목별!$E$3:$E$2984,"50",데이터_품목별!$A$3:$A$2984,"2024.02")</f>
        <v>1867</v>
      </c>
      <c r="E155" s="55" t="n">
        <f aca="false">SUMIFS(데이터_품목별!$J$3:$J$2984,데이터_품목별!$E$3:$E$2984,"50",데이터_품목별!$A$3:$A$2984,"2024.03")</f>
        <v>2849</v>
      </c>
      <c r="F155" s="55" t="n">
        <f aca="false">SUMIFS(데이터_품목별!$J$3:$J$2984,데이터_품목별!$E$3:$E$2984,"50",데이터_품목별!$A$3:$A$2984,"2024.04")</f>
        <v>2797</v>
      </c>
      <c r="G155" s="55" t="n">
        <f aca="false">SUMIFS(데이터_품목별!$J$3:$J$2984,데이터_품목별!$E$3:$E$2984,"50",데이터_품목별!$A$3:$A$2984,"2024.05")</f>
        <v>1638</v>
      </c>
      <c r="H155" s="55" t="n">
        <f aca="false">SUMIFS(데이터_품목별!$J$3:$J$2984,데이터_품목별!$E$3:$E$2984,"50",데이터_품목별!$A$3:$A$2984,"2024.06")</f>
        <v>2258</v>
      </c>
      <c r="I155" s="55" t="n">
        <f aca="false">SUMIFS(데이터_품목별!$J$3:$J$2984,데이터_품목별!$E$3:$E$2984,"50",데이터_품목별!$A$3:$A$2984,"2024.07")</f>
        <v>1944</v>
      </c>
      <c r="J155" s="55" t="n">
        <f aca="false">SUMIFS(데이터_품목별!$J$3:$J$2984,데이터_품목별!$E$3:$E$2984,"50",데이터_품목별!$A$3:$A$2984,"2024.08")</f>
        <v>2367</v>
      </c>
      <c r="K155" s="55" t="n">
        <f aca="false">SUMIFS(데이터_품목별!$J$3:$J$2984,데이터_품목별!$E$3:$E$2984,"50",데이터_품목별!$A$3:$A$2984,"2024.09")</f>
        <v>1920</v>
      </c>
      <c r="L155" s="55" t="n">
        <f aca="false">SUMIFS(데이터_품목별!$J$3:$J$2984,데이터_품목별!$E$3:$E$2984,"50",데이터_품목별!$A$3:$A$2984,"2024.10")</f>
        <v>2761</v>
      </c>
      <c r="M155" s="55" t="n">
        <f aca="false">SUMIFS(데이터_품목별!$J$3:$J$2984,데이터_품목별!$E$3:$E$2984,"50",데이터_품목별!$A$3:$A$2984,"2024.11")</f>
        <v>2519</v>
      </c>
      <c r="N155" s="55" t="n">
        <f aca="false">SUMIFS(데이터_품목별!$J$3:$J$2984,데이터_품목별!$E$3:$E$2984,"50",데이터_품목별!$A$3:$A$2984,"2024.12")</f>
        <v>2513</v>
      </c>
      <c r="O155" s="55" t="n">
        <f aca="false">SUMIFS(데이터_품목별!$J$3:$J$2984,데이터_품목별!$E$3:$E$2984,"50",데이터_품목별!$A$3:$A$2984,"2025.01")</f>
        <v>2203</v>
      </c>
      <c r="P155" s="55" t="n">
        <f aca="false">SUMIFS(데이터_품목별!$J$3:$J$2984,데이터_품목별!$E$3:$E$2984,"50",데이터_품목별!$A$3:$A$2984,"2025.02")</f>
        <v>1632</v>
      </c>
      <c r="Q155" s="55" t="n">
        <f aca="false">SUMIFS(데이터_품목별!$J$3:$J$2984,데이터_품목별!$E$3:$E$2984,"50",데이터_품목별!$A$3:$A$2984,"2025.03")</f>
        <v>2067</v>
      </c>
      <c r="R155" s="55" t="n">
        <f aca="false">SUMIFS(데이터_품목별!$J$3:$J$2984,데이터_품목별!$E$3:$E$2984,"50",데이터_품목별!$A$3:$A$2984,"2025.04")</f>
        <v>2563</v>
      </c>
      <c r="S155" s="55" t="n">
        <f aca="false">SUMIFS(데이터_품목별!$J$3:$J$2984,데이터_품목별!$E$3:$E$2984,"50",데이터_품목별!$A$3:$A$2984,"2025.05")</f>
        <v>2023</v>
      </c>
      <c r="T155" s="55" t="n">
        <f aca="false">SUMIFS(데이터_품목별!$J$3:$J$2984,데이터_품목별!$E$3:$E$2984,"50",데이터_품목별!$A$3:$A$2984,"2025.06")</f>
        <v>2161</v>
      </c>
      <c r="U155" s="55" t="n">
        <f aca="false">SUMIFS(데이터_품목별!$J$3:$J$2984,데이터_품목별!$E$3:$E$2984,"50",데이터_품목별!$A$3:$A$2984,"2025.07")</f>
        <v>2522</v>
      </c>
      <c r="V155" s="55" t="n">
        <f aca="false">SUMIFS(데이터_품목별!$J$3:$J$2984,데이터_품목별!$E$3:$E$2984,"50",데이터_품목별!$A$3:$A$2984,"2025.08")</f>
        <v>2562</v>
      </c>
      <c r="W155" s="55" t="n">
        <f aca="false">SUMIFS(데이터_품목별!$J$3:$J$2984,데이터_품목별!$E$3:$E$2984,"50",데이터_품목별!$A$3:$A$2984,"2025.09")</f>
        <v>1741</v>
      </c>
      <c r="X155" s="55" t="n">
        <f aca="false">SUMIFS(데이터_품목별!$J$3:$J$2984,데이터_품목별!$E$3:$E$2984,"50",데이터_품목별!$A$3:$A$2984,"2025.10")</f>
        <v>1855</v>
      </c>
      <c r="Y155" s="55" t="n">
        <f aca="false">SUMIFS(데이터_품목별!$J$3:$J$2984,데이터_품목별!$E$3:$E$2984,"50",데이터_품목별!$A$3:$A$2984,"2025.11")</f>
        <v>2328</v>
      </c>
      <c r="Z155" s="55" t="n">
        <f aca="false">SUMIFS(데이터_품목별!$J$3:$J$2984,데이터_품목별!$E$3:$E$2984,"50",데이터_품목별!$A$3:$A$2984,"2025.12")</f>
        <v>2884</v>
      </c>
      <c r="AA155" s="55" t="n">
        <f aca="false">SUMIFS(데이터_품목별!$J$3:$J$2984,데이터_품목별!$E$3:$E$2984,"50",데이터_품목별!$A$3:$A$2984,"2026.01")</f>
        <v>2137</v>
      </c>
      <c r="AB155" s="55" t="n">
        <f aca="false">SUMIFS(데이터_품목별!$J$3:$J$2984,데이터_품목별!$E$3:$E$2984,"50",데이터_품목별!$A$3:$A$2984,"2026.02")</f>
        <v>1675</v>
      </c>
      <c r="AC155" s="55" t="n">
        <f aca="false">SUMIFS(데이터_품목별!$J$3:$J$2984,데이터_품목별!$E$3:$E$2984,"50",데이터_품목별!$A$3:$A$2984,"2026.03")</f>
        <v>2292</v>
      </c>
      <c r="AD155" s="55" t="n">
        <f aca="false">SUMIFS(데이터_품목별!$J$3:$J$2984,데이터_품목별!$E$3:$E$2984,"50",데이터_품목별!$A$3:$A$2984,"2026.04")</f>
        <v>2770</v>
      </c>
      <c r="AE155" s="55" t="n">
        <f aca="false">SUMIFS(데이터_품목별!$J$3:$J$2984,데이터_품목별!$E$3:$E$2984,"50",데이터_품목별!$A$3:$A$2984,"2026.05")</f>
        <v>2370</v>
      </c>
      <c r="AF155" s="55" t="n">
        <f aca="false">SUMIFS(데이터_품목별!$J$3:$J$2984,데이터_품목별!$E$3:$E$2984,"50",데이터_품목별!$A$3:$A$2984,"2026.06")</f>
        <v>2586</v>
      </c>
      <c r="AG155" s="55" t="n">
        <f aca="false">SUMIFS(데이터_품목별!$J$3:$J$2984,데이터_품목별!$E$3:$E$2984,"50",데이터_품목별!$A$3:$A$2984,"2026.07")</f>
        <v>2719</v>
      </c>
    </row>
    <row r="156" customFormat="false" ht="15" hidden="false" customHeight="true" outlineLevel="0" collapsed="false">
      <c r="A156" s="53" t="s">
        <v>695</v>
      </c>
      <c r="B156" s="54" t="s">
        <v>696</v>
      </c>
      <c r="C156" s="55" t="n">
        <f aca="false">SUMIFS(데이터_품목별!$J$3:$J$2984,데이터_품목별!$E$3:$E$2984,"51",데이터_품목별!$A$3:$A$2984,"2024.01")</f>
        <v>14158</v>
      </c>
      <c r="D156" s="55" t="n">
        <f aca="false">SUMIFS(데이터_품목별!$J$3:$J$2984,데이터_품목별!$E$3:$E$2984,"51",데이터_품목별!$A$3:$A$2984,"2024.02")</f>
        <v>15021</v>
      </c>
      <c r="E156" s="55" t="n">
        <f aca="false">SUMIFS(데이터_품목별!$J$3:$J$2984,데이터_품목별!$E$3:$E$2984,"51",데이터_품목별!$A$3:$A$2984,"2024.03")</f>
        <v>19633</v>
      </c>
      <c r="F156" s="55" t="n">
        <f aca="false">SUMIFS(데이터_품목별!$J$3:$J$2984,데이터_품목별!$E$3:$E$2984,"51",데이터_품목별!$A$3:$A$2984,"2024.04")</f>
        <v>23613</v>
      </c>
      <c r="G156" s="55" t="n">
        <f aca="false">SUMIFS(데이터_품목별!$J$3:$J$2984,데이터_품목별!$E$3:$E$2984,"51",데이터_품목별!$A$3:$A$2984,"2024.05")</f>
        <v>23475</v>
      </c>
      <c r="H156" s="55" t="n">
        <f aca="false">SUMIFS(데이터_품목별!$J$3:$J$2984,데이터_품목별!$E$3:$E$2984,"51",데이터_품목별!$A$3:$A$2984,"2024.06")</f>
        <v>24812</v>
      </c>
      <c r="I156" s="55" t="n">
        <f aca="false">SUMIFS(데이터_품목별!$J$3:$J$2984,데이터_품목별!$E$3:$E$2984,"51",데이터_품목별!$A$3:$A$2984,"2024.07")</f>
        <v>27452</v>
      </c>
      <c r="J156" s="55" t="n">
        <f aca="false">SUMIFS(데이터_품목별!$J$3:$J$2984,데이터_품목별!$E$3:$E$2984,"51",데이터_품목별!$A$3:$A$2984,"2024.08")</f>
        <v>14993</v>
      </c>
      <c r="K156" s="55" t="n">
        <f aca="false">SUMIFS(데이터_품목별!$J$3:$J$2984,데이터_품목별!$E$3:$E$2984,"51",데이터_품목별!$A$3:$A$2984,"2024.09")</f>
        <v>13286</v>
      </c>
      <c r="L156" s="55" t="n">
        <f aca="false">SUMIFS(데이터_품목별!$J$3:$J$2984,데이터_품목별!$E$3:$E$2984,"51",데이터_품목별!$A$3:$A$2984,"2024.10")</f>
        <v>16806</v>
      </c>
      <c r="M156" s="55" t="n">
        <f aca="false">SUMIFS(데이터_품목별!$J$3:$J$2984,데이터_품목별!$E$3:$E$2984,"51",데이터_품목별!$A$3:$A$2984,"2024.11")</f>
        <v>16304</v>
      </c>
      <c r="N156" s="55" t="n">
        <f aca="false">SUMIFS(데이터_품목별!$J$3:$J$2984,데이터_품목별!$E$3:$E$2984,"51",데이터_품목별!$A$3:$A$2984,"2024.12")</f>
        <v>14937</v>
      </c>
      <c r="O156" s="55" t="n">
        <f aca="false">SUMIFS(데이터_품목별!$J$3:$J$2984,데이터_품목별!$E$3:$E$2984,"51",데이터_품목별!$A$3:$A$2984,"2025.01")</f>
        <v>11731</v>
      </c>
      <c r="P156" s="55" t="n">
        <f aca="false">SUMIFS(데이터_품목별!$J$3:$J$2984,데이터_품목별!$E$3:$E$2984,"51",데이터_품목별!$A$3:$A$2984,"2025.02")</f>
        <v>13418</v>
      </c>
      <c r="Q156" s="55" t="n">
        <f aca="false">SUMIFS(데이터_품목별!$J$3:$J$2984,데이터_품목별!$E$3:$E$2984,"51",데이터_품목별!$A$3:$A$2984,"2025.03")</f>
        <v>18274</v>
      </c>
      <c r="R156" s="55" t="n">
        <f aca="false">SUMIFS(데이터_품목별!$J$3:$J$2984,데이터_품목별!$E$3:$E$2984,"51",데이터_품목별!$A$3:$A$2984,"2025.04")</f>
        <v>20829</v>
      </c>
      <c r="S156" s="55" t="n">
        <f aca="false">SUMIFS(데이터_품목별!$J$3:$J$2984,데이터_품목별!$E$3:$E$2984,"51",데이터_품목별!$A$3:$A$2984,"2025.05")</f>
        <v>22566</v>
      </c>
      <c r="T156" s="55" t="n">
        <f aca="false">SUMIFS(데이터_품목별!$J$3:$J$2984,데이터_품목별!$E$3:$E$2984,"51",데이터_품목별!$A$3:$A$2984,"2025.06")</f>
        <v>23109</v>
      </c>
      <c r="U156" s="55" t="n">
        <f aca="false">SUMIFS(데이터_품목별!$J$3:$J$2984,데이터_품목별!$E$3:$E$2984,"51",데이터_품목별!$A$3:$A$2984,"2025.07")</f>
        <v>22329</v>
      </c>
      <c r="V156" s="55" t="n">
        <f aca="false">SUMIFS(데이터_품목별!$J$3:$J$2984,데이터_품목별!$E$3:$E$2984,"51",데이터_품목별!$A$3:$A$2984,"2025.08")</f>
        <v>14006</v>
      </c>
      <c r="W156" s="55" t="n">
        <f aca="false">SUMIFS(데이터_품목별!$J$3:$J$2984,데이터_품목별!$E$3:$E$2984,"51",데이터_품목별!$A$3:$A$2984,"2025.09")</f>
        <v>15223</v>
      </c>
      <c r="X156" s="55" t="n">
        <f aca="false">SUMIFS(데이터_품목별!$J$3:$J$2984,데이터_품목별!$E$3:$E$2984,"51",데이터_품목별!$A$3:$A$2984,"2025.10")</f>
        <v>14005</v>
      </c>
      <c r="Y156" s="55" t="n">
        <f aca="false">SUMIFS(데이터_품목별!$J$3:$J$2984,데이터_품목별!$E$3:$E$2984,"51",데이터_품목별!$A$3:$A$2984,"2025.11")</f>
        <v>14897</v>
      </c>
      <c r="Z156" s="55" t="n">
        <f aca="false">SUMIFS(데이터_품목별!$J$3:$J$2984,데이터_품목별!$E$3:$E$2984,"51",데이터_품목별!$A$3:$A$2984,"2025.12")</f>
        <v>16688</v>
      </c>
      <c r="AA156" s="55" t="n">
        <f aca="false">SUMIFS(데이터_품목별!$J$3:$J$2984,데이터_품목별!$E$3:$E$2984,"51",데이터_품목별!$A$3:$A$2984,"2026.01")</f>
        <v>9912</v>
      </c>
      <c r="AB156" s="55" t="n">
        <f aca="false">SUMIFS(데이터_품목별!$J$3:$J$2984,데이터_품목별!$E$3:$E$2984,"51",데이터_품목별!$A$3:$A$2984,"2026.02")</f>
        <v>11999</v>
      </c>
      <c r="AC156" s="55" t="n">
        <f aca="false">SUMIFS(데이터_품목별!$J$3:$J$2984,데이터_품목별!$E$3:$E$2984,"51",데이터_품목별!$A$3:$A$2984,"2026.03")</f>
        <v>18892</v>
      </c>
      <c r="AD156" s="55" t="n">
        <f aca="false">SUMIFS(데이터_품목별!$J$3:$J$2984,데이터_품목별!$E$3:$E$2984,"51",데이터_품목별!$A$3:$A$2984,"2026.04")</f>
        <v>24667</v>
      </c>
      <c r="AE156" s="55" t="n">
        <f aca="false">SUMIFS(데이터_품목별!$J$3:$J$2984,데이터_품목별!$E$3:$E$2984,"51",데이터_품목별!$A$3:$A$2984,"2026.05")</f>
        <v>20272</v>
      </c>
      <c r="AF156" s="55" t="n">
        <f aca="false">SUMIFS(데이터_품목별!$J$3:$J$2984,데이터_품목별!$E$3:$E$2984,"51",데이터_품목별!$A$3:$A$2984,"2026.06")</f>
        <v>24982</v>
      </c>
      <c r="AG156" s="55" t="n">
        <f aca="false">SUMIFS(데이터_품목별!$J$3:$J$2984,데이터_품목별!$E$3:$E$2984,"51",데이터_품목별!$A$3:$A$2984,"2026.07")</f>
        <v>22236</v>
      </c>
    </row>
    <row r="157" customFormat="false" ht="15" hidden="false" customHeight="true" outlineLevel="0" collapsed="false">
      <c r="A157" s="53" t="s">
        <v>702</v>
      </c>
      <c r="B157" s="54" t="s">
        <v>703</v>
      </c>
      <c r="C157" s="55" t="n">
        <f aca="false">SUMIFS(데이터_품목별!$J$3:$J$2984,데이터_품목별!$E$3:$E$2984,"52",데이터_품목별!$A$3:$A$2984,"2024.01")</f>
        <v>71388</v>
      </c>
      <c r="D157" s="55" t="n">
        <f aca="false">SUMIFS(데이터_품목별!$J$3:$J$2984,데이터_품목별!$E$3:$E$2984,"52",데이터_품목별!$A$3:$A$2984,"2024.02")</f>
        <v>61935</v>
      </c>
      <c r="E157" s="55" t="n">
        <f aca="false">SUMIFS(데이터_품목별!$J$3:$J$2984,데이터_품목별!$E$3:$E$2984,"52",데이터_품목별!$A$3:$A$2984,"2024.03")</f>
        <v>77310</v>
      </c>
      <c r="F157" s="55" t="n">
        <f aca="false">SUMIFS(데이터_품목별!$J$3:$J$2984,데이터_품목별!$E$3:$E$2984,"52",데이터_품목별!$A$3:$A$2984,"2024.04")</f>
        <v>77081</v>
      </c>
      <c r="G157" s="55" t="n">
        <f aca="false">SUMIFS(데이터_품목별!$J$3:$J$2984,데이터_품목별!$E$3:$E$2984,"52",데이터_품목별!$A$3:$A$2984,"2024.05")</f>
        <v>73795</v>
      </c>
      <c r="H157" s="55" t="n">
        <f aca="false">SUMIFS(데이터_품목별!$J$3:$J$2984,데이터_품목별!$E$3:$E$2984,"52",데이터_품목별!$A$3:$A$2984,"2024.06")</f>
        <v>64110</v>
      </c>
      <c r="I157" s="55" t="n">
        <f aca="false">SUMIFS(데이터_품목별!$J$3:$J$2984,데이터_품목별!$E$3:$E$2984,"52",데이터_품목별!$A$3:$A$2984,"2024.07")</f>
        <v>66261</v>
      </c>
      <c r="J157" s="55" t="n">
        <f aca="false">SUMIFS(데이터_품목별!$J$3:$J$2984,데이터_품목별!$E$3:$E$2984,"52",데이터_품목별!$A$3:$A$2984,"2024.08")</f>
        <v>61661</v>
      </c>
      <c r="K157" s="55" t="n">
        <f aca="false">SUMIFS(데이터_품목별!$J$3:$J$2984,데이터_품목별!$E$3:$E$2984,"52",데이터_품목별!$A$3:$A$2984,"2024.09")</f>
        <v>53543</v>
      </c>
      <c r="L157" s="55" t="n">
        <f aca="false">SUMIFS(데이터_품목별!$J$3:$J$2984,데이터_품목별!$E$3:$E$2984,"52",데이터_품목별!$A$3:$A$2984,"2024.10")</f>
        <v>65889</v>
      </c>
      <c r="M157" s="55" t="n">
        <f aca="false">SUMIFS(데이터_품목별!$J$3:$J$2984,데이터_품목별!$E$3:$E$2984,"52",데이터_품목별!$A$3:$A$2984,"2024.11")</f>
        <v>54505</v>
      </c>
      <c r="N157" s="55" t="n">
        <f aca="false">SUMIFS(데이터_품목별!$J$3:$J$2984,데이터_품목별!$E$3:$E$2984,"52",데이터_품목별!$A$3:$A$2984,"2024.12")</f>
        <v>58950</v>
      </c>
      <c r="O157" s="55" t="n">
        <f aca="false">SUMIFS(데이터_품목별!$J$3:$J$2984,데이터_품목별!$E$3:$E$2984,"52",데이터_품목별!$A$3:$A$2984,"2025.01")</f>
        <v>53739</v>
      </c>
      <c r="P157" s="55" t="n">
        <f aca="false">SUMIFS(데이터_품목별!$J$3:$J$2984,데이터_품목별!$E$3:$E$2984,"52",데이터_품목별!$A$3:$A$2984,"2025.02")</f>
        <v>62935</v>
      </c>
      <c r="Q157" s="55" t="n">
        <f aca="false">SUMIFS(데이터_품목별!$J$3:$J$2984,데이터_품목별!$E$3:$E$2984,"52",데이터_품목별!$A$3:$A$2984,"2025.03")</f>
        <v>64695</v>
      </c>
      <c r="R157" s="55" t="n">
        <f aca="false">SUMIFS(데이터_품목별!$J$3:$J$2984,데이터_품목별!$E$3:$E$2984,"52",데이터_품목별!$A$3:$A$2984,"2025.04")</f>
        <v>73247</v>
      </c>
      <c r="S157" s="55" t="n">
        <f aca="false">SUMIFS(데이터_품목별!$J$3:$J$2984,데이터_품목별!$E$3:$E$2984,"52",데이터_품목별!$A$3:$A$2984,"2025.05")</f>
        <v>60121</v>
      </c>
      <c r="T157" s="55" t="n">
        <f aca="false">SUMIFS(데이터_품목별!$J$3:$J$2984,데이터_품목별!$E$3:$E$2984,"52",데이터_품목별!$A$3:$A$2984,"2025.06")</f>
        <v>51709</v>
      </c>
      <c r="U157" s="55" t="n">
        <f aca="false">SUMIFS(데이터_품목별!$J$3:$J$2984,데이터_품목별!$E$3:$E$2984,"52",데이터_품목별!$A$3:$A$2984,"2025.07")</f>
        <v>60170</v>
      </c>
      <c r="V157" s="55" t="n">
        <f aca="false">SUMIFS(데이터_품목별!$J$3:$J$2984,데이터_품목별!$E$3:$E$2984,"52",데이터_품목별!$A$3:$A$2984,"2025.08")</f>
        <v>52045</v>
      </c>
      <c r="W157" s="55" t="n">
        <f aca="false">SUMIFS(데이터_품목별!$J$3:$J$2984,데이터_품목별!$E$3:$E$2984,"52",데이터_품목별!$A$3:$A$2984,"2025.09")</f>
        <v>53800</v>
      </c>
      <c r="X157" s="55" t="n">
        <f aca="false">SUMIFS(데이터_품목별!$J$3:$J$2984,데이터_품목별!$E$3:$E$2984,"52",데이터_품목별!$A$3:$A$2984,"2025.10")</f>
        <v>49551</v>
      </c>
      <c r="Y157" s="55" t="n">
        <f aca="false">SUMIFS(데이터_품목별!$J$3:$J$2984,데이터_품목별!$E$3:$E$2984,"52",데이터_품목별!$A$3:$A$2984,"2025.11")</f>
        <v>51437</v>
      </c>
      <c r="Z157" s="55" t="n">
        <f aca="false">SUMIFS(데이터_품목별!$J$3:$J$2984,데이터_품목별!$E$3:$E$2984,"52",데이터_품목별!$A$3:$A$2984,"2025.12")</f>
        <v>59075</v>
      </c>
      <c r="AA157" s="55" t="n">
        <f aca="false">SUMIFS(데이터_품목별!$J$3:$J$2984,데이터_품목별!$E$3:$E$2984,"52",데이터_품목별!$A$3:$A$2984,"2026.01")</f>
        <v>53043</v>
      </c>
      <c r="AB157" s="55" t="n">
        <f aca="false">SUMIFS(데이터_품목별!$J$3:$J$2984,데이터_품목별!$E$3:$E$2984,"52",데이터_품목별!$A$3:$A$2984,"2026.02")</f>
        <v>48301</v>
      </c>
      <c r="AC157" s="55" t="n">
        <f aca="false">SUMIFS(데이터_품목별!$J$3:$J$2984,데이터_품목별!$E$3:$E$2984,"52",데이터_품목별!$A$3:$A$2984,"2026.03")</f>
        <v>59043</v>
      </c>
      <c r="AD157" s="55" t="n">
        <f aca="false">SUMIFS(데이터_품목별!$J$3:$J$2984,데이터_품목별!$E$3:$E$2984,"52",데이터_품목별!$A$3:$A$2984,"2026.04")</f>
        <v>60571</v>
      </c>
      <c r="AE157" s="55" t="n">
        <f aca="false">SUMIFS(데이터_품목별!$J$3:$J$2984,데이터_품목별!$E$3:$E$2984,"52",데이터_품목별!$A$3:$A$2984,"2026.05")</f>
        <v>59080</v>
      </c>
      <c r="AF157" s="55" t="n">
        <f aca="false">SUMIFS(데이터_품목별!$J$3:$J$2984,데이터_품목별!$E$3:$E$2984,"52",데이터_품목별!$A$3:$A$2984,"2026.06")</f>
        <v>63194</v>
      </c>
      <c r="AG157" s="55" t="n">
        <f aca="false">SUMIFS(데이터_품목별!$J$3:$J$2984,데이터_품목별!$E$3:$E$2984,"52",데이터_품목별!$A$3:$A$2984,"2026.07")</f>
        <v>59198</v>
      </c>
    </row>
    <row r="158" customFormat="false" ht="15" hidden="false" customHeight="true" outlineLevel="0" collapsed="false">
      <c r="A158" s="53" t="s">
        <v>709</v>
      </c>
      <c r="B158" s="54" t="s">
        <v>710</v>
      </c>
      <c r="C158" s="55" t="n">
        <f aca="false">SUMIFS(데이터_품목별!$J$3:$J$2984,데이터_품목별!$E$3:$E$2984,"53",데이터_품목별!$A$3:$A$2984,"2024.01")</f>
        <v>5674</v>
      </c>
      <c r="D158" s="55" t="n">
        <f aca="false">SUMIFS(데이터_품목별!$J$3:$J$2984,데이터_품목별!$E$3:$E$2984,"53",데이터_품목별!$A$3:$A$2984,"2024.02")</f>
        <v>5200</v>
      </c>
      <c r="E158" s="55" t="n">
        <f aca="false">SUMIFS(데이터_품목별!$J$3:$J$2984,데이터_품목별!$E$3:$E$2984,"53",데이터_품목별!$A$3:$A$2984,"2024.03")</f>
        <v>5485</v>
      </c>
      <c r="F158" s="55" t="n">
        <f aca="false">SUMIFS(데이터_품목별!$J$3:$J$2984,데이터_품목별!$E$3:$E$2984,"53",데이터_품목별!$A$3:$A$2984,"2024.04")</f>
        <v>4042</v>
      </c>
      <c r="G158" s="55" t="n">
        <f aca="false">SUMIFS(데이터_품목별!$J$3:$J$2984,데이터_품목별!$E$3:$E$2984,"53",데이터_품목별!$A$3:$A$2984,"2024.05")</f>
        <v>4162</v>
      </c>
      <c r="H158" s="55" t="n">
        <f aca="false">SUMIFS(데이터_품목별!$J$3:$J$2984,데이터_품목별!$E$3:$E$2984,"53",데이터_품목별!$A$3:$A$2984,"2024.06")</f>
        <v>3879</v>
      </c>
      <c r="I158" s="55" t="n">
        <f aca="false">SUMIFS(데이터_품목별!$J$3:$J$2984,데이터_품목별!$E$3:$E$2984,"53",데이터_품목별!$A$3:$A$2984,"2024.07")</f>
        <v>4256</v>
      </c>
      <c r="J158" s="55" t="n">
        <f aca="false">SUMIFS(데이터_품목별!$J$3:$J$2984,데이터_품목별!$E$3:$E$2984,"53",데이터_품목별!$A$3:$A$2984,"2024.08")</f>
        <v>2683</v>
      </c>
      <c r="K158" s="55" t="n">
        <f aca="false">SUMIFS(데이터_품목별!$J$3:$J$2984,데이터_품목별!$E$3:$E$2984,"53",데이터_품목별!$A$3:$A$2984,"2024.09")</f>
        <v>3529</v>
      </c>
      <c r="L158" s="55" t="n">
        <f aca="false">SUMIFS(데이터_품목별!$J$3:$J$2984,데이터_품목별!$E$3:$E$2984,"53",데이터_품목별!$A$3:$A$2984,"2024.10")</f>
        <v>4171</v>
      </c>
      <c r="M158" s="55" t="n">
        <f aca="false">SUMIFS(데이터_품목별!$J$3:$J$2984,데이터_품목별!$E$3:$E$2984,"53",데이터_품목별!$A$3:$A$2984,"2024.11")</f>
        <v>4280</v>
      </c>
      <c r="N158" s="55" t="n">
        <f aca="false">SUMIFS(데이터_품목별!$J$3:$J$2984,데이터_품목별!$E$3:$E$2984,"53",데이터_품목별!$A$3:$A$2984,"2024.12")</f>
        <v>4126</v>
      </c>
      <c r="O158" s="55" t="n">
        <f aca="false">SUMIFS(데이터_품목별!$J$3:$J$2984,데이터_품목별!$E$3:$E$2984,"53",데이터_품목별!$A$3:$A$2984,"2025.01")</f>
        <v>3734</v>
      </c>
      <c r="P158" s="55" t="n">
        <f aca="false">SUMIFS(데이터_품목별!$J$3:$J$2984,데이터_품목별!$E$3:$E$2984,"53",데이터_품목별!$A$3:$A$2984,"2025.02")</f>
        <v>3638</v>
      </c>
      <c r="Q158" s="55" t="n">
        <f aca="false">SUMIFS(데이터_품목별!$J$3:$J$2984,데이터_품목별!$E$3:$E$2984,"53",데이터_품목별!$A$3:$A$2984,"2025.03")</f>
        <v>4766</v>
      </c>
      <c r="R158" s="55" t="n">
        <f aca="false">SUMIFS(데이터_품목별!$J$3:$J$2984,데이터_품목별!$E$3:$E$2984,"53",데이터_품목별!$A$3:$A$2984,"2025.04")</f>
        <v>5858</v>
      </c>
      <c r="S158" s="55" t="n">
        <f aca="false">SUMIFS(데이터_품목별!$J$3:$J$2984,데이터_품목별!$E$3:$E$2984,"53",데이터_품목별!$A$3:$A$2984,"2025.05")</f>
        <v>4062</v>
      </c>
      <c r="T158" s="55" t="n">
        <f aca="false">SUMIFS(데이터_품목별!$J$3:$J$2984,데이터_품목별!$E$3:$E$2984,"53",데이터_품목별!$A$3:$A$2984,"2025.06")</f>
        <v>4588</v>
      </c>
      <c r="U158" s="55" t="n">
        <f aca="false">SUMIFS(데이터_품목별!$J$3:$J$2984,데이터_품목별!$E$3:$E$2984,"53",데이터_품목별!$A$3:$A$2984,"2025.07")</f>
        <v>3056</v>
      </c>
      <c r="V158" s="55" t="n">
        <f aca="false">SUMIFS(데이터_품목별!$J$3:$J$2984,데이터_품목별!$E$3:$E$2984,"53",데이터_품목별!$A$3:$A$2984,"2025.08")</f>
        <v>2537</v>
      </c>
      <c r="W158" s="55" t="n">
        <f aca="false">SUMIFS(데이터_품목별!$J$3:$J$2984,데이터_품목별!$E$3:$E$2984,"53",데이터_품목별!$A$3:$A$2984,"2025.09")</f>
        <v>3844</v>
      </c>
      <c r="X158" s="55" t="n">
        <f aca="false">SUMIFS(데이터_품목별!$J$3:$J$2984,데이터_품목별!$E$3:$E$2984,"53",데이터_품목별!$A$3:$A$2984,"2025.10")</f>
        <v>4015</v>
      </c>
      <c r="Y158" s="55" t="n">
        <f aca="false">SUMIFS(데이터_품목별!$J$3:$J$2984,데이터_품목별!$E$3:$E$2984,"53",데이터_품목별!$A$3:$A$2984,"2025.11")</f>
        <v>3687</v>
      </c>
      <c r="Z158" s="55" t="n">
        <f aca="false">SUMIFS(데이터_품목별!$J$3:$J$2984,데이터_품목별!$E$3:$E$2984,"53",데이터_품목별!$A$3:$A$2984,"2025.12")</f>
        <v>4900</v>
      </c>
      <c r="AA158" s="55" t="n">
        <f aca="false">SUMIFS(데이터_품목별!$J$3:$J$2984,데이터_품목별!$E$3:$E$2984,"53",데이터_품목별!$A$3:$A$2984,"2026.01")</f>
        <v>3870</v>
      </c>
      <c r="AB158" s="55" t="n">
        <f aca="false">SUMIFS(데이터_품목별!$J$3:$J$2984,데이터_품목별!$E$3:$E$2984,"53",데이터_품목별!$A$3:$A$2984,"2026.02")</f>
        <v>4178</v>
      </c>
      <c r="AC158" s="55" t="n">
        <f aca="false">SUMIFS(데이터_품목별!$J$3:$J$2984,데이터_품목별!$E$3:$E$2984,"53",데이터_품목별!$A$3:$A$2984,"2026.03")</f>
        <v>2982</v>
      </c>
      <c r="AD158" s="55" t="n">
        <f aca="false">SUMIFS(데이터_품목별!$J$3:$J$2984,데이터_품목별!$E$3:$E$2984,"53",데이터_품목별!$A$3:$A$2984,"2026.04")</f>
        <v>4892</v>
      </c>
      <c r="AE158" s="55" t="n">
        <f aca="false">SUMIFS(데이터_품목별!$J$3:$J$2984,데이터_품목별!$E$3:$E$2984,"53",데이터_품목별!$A$3:$A$2984,"2026.05")</f>
        <v>4027</v>
      </c>
      <c r="AF158" s="55" t="n">
        <f aca="false">SUMIFS(데이터_품목별!$J$3:$J$2984,데이터_품목별!$E$3:$E$2984,"53",데이터_품목별!$A$3:$A$2984,"2026.06")</f>
        <v>4033</v>
      </c>
      <c r="AG158" s="55" t="n">
        <f aca="false">SUMIFS(데이터_품목별!$J$3:$J$2984,데이터_품목별!$E$3:$E$2984,"53",데이터_품목별!$A$3:$A$2984,"2026.07")</f>
        <v>3302</v>
      </c>
    </row>
    <row r="159" customFormat="false" ht="15" hidden="false" customHeight="true" outlineLevel="0" collapsed="false">
      <c r="A159" s="53" t="s">
        <v>716</v>
      </c>
      <c r="B159" s="54" t="s">
        <v>717</v>
      </c>
      <c r="C159" s="55" t="n">
        <f aca="false">SUMIFS(데이터_품목별!$J$3:$J$2984,데이터_품목별!$E$3:$E$2984,"54",데이터_품목별!$A$3:$A$2984,"2024.01")</f>
        <v>88491</v>
      </c>
      <c r="D159" s="55" t="n">
        <f aca="false">SUMIFS(데이터_품목별!$J$3:$J$2984,데이터_품목별!$E$3:$E$2984,"54",데이터_품목별!$A$3:$A$2984,"2024.02")</f>
        <v>73968</v>
      </c>
      <c r="E159" s="55" t="n">
        <f aca="false">SUMIFS(데이터_품목별!$J$3:$J$2984,데이터_품목별!$E$3:$E$2984,"54",데이터_품목별!$A$3:$A$2984,"2024.03")</f>
        <v>86650</v>
      </c>
      <c r="F159" s="55" t="n">
        <f aca="false">SUMIFS(데이터_품목별!$J$3:$J$2984,데이터_품목별!$E$3:$E$2984,"54",데이터_품목별!$A$3:$A$2984,"2024.04")</f>
        <v>98368</v>
      </c>
      <c r="G159" s="55" t="n">
        <f aca="false">SUMIFS(데이터_품목별!$J$3:$J$2984,데이터_품목별!$E$3:$E$2984,"54",데이터_품목별!$A$3:$A$2984,"2024.05")</f>
        <v>101671</v>
      </c>
      <c r="H159" s="55" t="n">
        <f aca="false">SUMIFS(데이터_품목별!$J$3:$J$2984,데이터_품목별!$E$3:$E$2984,"54",데이터_품목별!$A$3:$A$2984,"2024.06")</f>
        <v>87362</v>
      </c>
      <c r="I159" s="55" t="n">
        <f aca="false">SUMIFS(데이터_품목별!$J$3:$J$2984,데이터_품목별!$E$3:$E$2984,"54",데이터_품목별!$A$3:$A$2984,"2024.07")</f>
        <v>91337</v>
      </c>
      <c r="J159" s="55" t="n">
        <f aca="false">SUMIFS(데이터_품목별!$J$3:$J$2984,데이터_품목별!$E$3:$E$2984,"54",데이터_품목별!$A$3:$A$2984,"2024.08")</f>
        <v>86031</v>
      </c>
      <c r="K159" s="55" t="n">
        <f aca="false">SUMIFS(데이터_품목별!$J$3:$J$2984,데이터_품목별!$E$3:$E$2984,"54",데이터_품목별!$A$3:$A$2984,"2024.09")</f>
        <v>87158</v>
      </c>
      <c r="L159" s="55" t="n">
        <f aca="false">SUMIFS(데이터_품목별!$J$3:$J$2984,데이터_품목별!$E$3:$E$2984,"54",데이터_품목별!$A$3:$A$2984,"2024.10")</f>
        <v>87568</v>
      </c>
      <c r="M159" s="55" t="n">
        <f aca="false">SUMIFS(데이터_품목별!$J$3:$J$2984,데이터_품목별!$E$3:$E$2984,"54",데이터_품목별!$A$3:$A$2984,"2024.11")</f>
        <v>87010</v>
      </c>
      <c r="N159" s="55" t="n">
        <f aca="false">SUMIFS(데이터_품목별!$J$3:$J$2984,데이터_품목별!$E$3:$E$2984,"54",데이터_품목별!$A$3:$A$2984,"2024.12")</f>
        <v>97474</v>
      </c>
      <c r="O159" s="55" t="n">
        <f aca="false">SUMIFS(데이터_품목별!$J$3:$J$2984,데이터_품목별!$E$3:$E$2984,"54",데이터_품목별!$A$3:$A$2984,"2025.01")</f>
        <v>84615</v>
      </c>
      <c r="P159" s="55" t="n">
        <f aca="false">SUMIFS(데이터_품목별!$J$3:$J$2984,데이터_품목별!$E$3:$E$2984,"54",데이터_품목별!$A$3:$A$2984,"2025.02")</f>
        <v>86565</v>
      </c>
      <c r="Q159" s="55" t="n">
        <f aca="false">SUMIFS(데이터_품목별!$J$3:$J$2984,데이터_품목별!$E$3:$E$2984,"54",데이터_품목별!$A$3:$A$2984,"2025.03")</f>
        <v>90673</v>
      </c>
      <c r="R159" s="55" t="n">
        <f aca="false">SUMIFS(데이터_품목별!$J$3:$J$2984,데이터_품목별!$E$3:$E$2984,"54",데이터_품목별!$A$3:$A$2984,"2025.04")</f>
        <v>95653</v>
      </c>
      <c r="S159" s="55" t="n">
        <f aca="false">SUMIFS(데이터_품목별!$J$3:$J$2984,데이터_품목별!$E$3:$E$2984,"54",데이터_품목별!$A$3:$A$2984,"2025.05")</f>
        <v>83583</v>
      </c>
      <c r="T159" s="55" t="n">
        <f aca="false">SUMIFS(데이터_품목별!$J$3:$J$2984,데이터_품목별!$E$3:$E$2984,"54",데이터_품목별!$A$3:$A$2984,"2025.06")</f>
        <v>81639</v>
      </c>
      <c r="U159" s="55" t="n">
        <f aca="false">SUMIFS(데이터_품목별!$J$3:$J$2984,데이터_품목별!$E$3:$E$2984,"54",데이터_품목별!$A$3:$A$2984,"2025.07")</f>
        <v>82552</v>
      </c>
      <c r="V159" s="55" t="n">
        <f aca="false">SUMIFS(데이터_품목별!$J$3:$J$2984,데이터_품목별!$E$3:$E$2984,"54",데이터_품목별!$A$3:$A$2984,"2025.08")</f>
        <v>71820</v>
      </c>
      <c r="W159" s="55" t="n">
        <f aca="false">SUMIFS(데이터_품목별!$J$3:$J$2984,데이터_품목별!$E$3:$E$2984,"54",데이터_품목별!$A$3:$A$2984,"2025.09")</f>
        <v>88139</v>
      </c>
      <c r="X159" s="55" t="n">
        <f aca="false">SUMIFS(데이터_품목별!$J$3:$J$2984,데이터_품목별!$E$3:$E$2984,"54",데이터_품목별!$A$3:$A$2984,"2025.10")</f>
        <v>77133</v>
      </c>
      <c r="Y159" s="55" t="n">
        <f aca="false">SUMIFS(데이터_품목별!$J$3:$J$2984,데이터_품목별!$E$3:$E$2984,"54",데이터_품목별!$A$3:$A$2984,"2025.11")</f>
        <v>77524</v>
      </c>
      <c r="Z159" s="55" t="n">
        <f aca="false">SUMIFS(데이터_품목별!$J$3:$J$2984,데이터_품목별!$E$3:$E$2984,"54",데이터_품목별!$A$3:$A$2984,"2025.12")</f>
        <v>90053</v>
      </c>
      <c r="AA159" s="55" t="n">
        <f aca="false">SUMIFS(데이터_품목별!$J$3:$J$2984,데이터_품목별!$E$3:$E$2984,"54",데이터_품목별!$A$3:$A$2984,"2026.01")</f>
        <v>82977</v>
      </c>
      <c r="AB159" s="55" t="n">
        <f aca="false">SUMIFS(데이터_품목별!$J$3:$J$2984,데이터_품목별!$E$3:$E$2984,"54",데이터_품목별!$A$3:$A$2984,"2026.02")</f>
        <v>67248</v>
      </c>
      <c r="AC159" s="55" t="n">
        <f aca="false">SUMIFS(데이터_품목별!$J$3:$J$2984,데이터_품목별!$E$3:$E$2984,"54",데이터_품목별!$A$3:$A$2984,"2026.03")</f>
        <v>84585</v>
      </c>
      <c r="AD159" s="55" t="n">
        <f aca="false">SUMIFS(데이터_품목별!$J$3:$J$2984,데이터_품목별!$E$3:$E$2984,"54",데이터_품목별!$A$3:$A$2984,"2026.04")</f>
        <v>90595</v>
      </c>
      <c r="AE159" s="55" t="n">
        <f aca="false">SUMIFS(데이터_품목별!$J$3:$J$2984,데이터_품목별!$E$3:$E$2984,"54",데이터_품목별!$A$3:$A$2984,"2026.05")</f>
        <v>76322</v>
      </c>
      <c r="AF159" s="55" t="n">
        <f aca="false">SUMIFS(데이터_품목별!$J$3:$J$2984,데이터_품목별!$E$3:$E$2984,"54",데이터_품목별!$A$3:$A$2984,"2026.06")</f>
        <v>88166</v>
      </c>
      <c r="AG159" s="55" t="n">
        <f aca="false">SUMIFS(데이터_품목별!$J$3:$J$2984,데이터_품목별!$E$3:$E$2984,"54",데이터_품목별!$A$3:$A$2984,"2026.07")</f>
        <v>78495</v>
      </c>
    </row>
    <row r="160" customFormat="false" ht="15" hidden="false" customHeight="true" outlineLevel="0" collapsed="false">
      <c r="A160" s="53" t="s">
        <v>723</v>
      </c>
      <c r="B160" s="54" t="s">
        <v>724</v>
      </c>
      <c r="C160" s="55" t="n">
        <f aca="false">SUMIFS(데이터_품목별!$J$3:$J$2984,데이터_품목별!$E$3:$E$2984,"55",데이터_품목별!$A$3:$A$2984,"2024.01")</f>
        <v>50745</v>
      </c>
      <c r="D160" s="55" t="n">
        <f aca="false">SUMIFS(데이터_품목별!$J$3:$J$2984,데이터_품목별!$E$3:$E$2984,"55",데이터_품목별!$A$3:$A$2984,"2024.02")</f>
        <v>39506</v>
      </c>
      <c r="E160" s="55" t="n">
        <f aca="false">SUMIFS(데이터_품목별!$J$3:$J$2984,데이터_품목별!$E$3:$E$2984,"55",데이터_품목별!$A$3:$A$2984,"2024.03")</f>
        <v>49549</v>
      </c>
      <c r="F160" s="55" t="n">
        <f aca="false">SUMIFS(데이터_품목별!$J$3:$J$2984,데이터_품목별!$E$3:$E$2984,"55",데이터_품목별!$A$3:$A$2984,"2024.04")</f>
        <v>53465</v>
      </c>
      <c r="G160" s="55" t="n">
        <f aca="false">SUMIFS(데이터_품목별!$J$3:$J$2984,데이터_품목별!$E$3:$E$2984,"55",데이터_품목별!$A$3:$A$2984,"2024.05")</f>
        <v>51056</v>
      </c>
      <c r="H160" s="55" t="n">
        <f aca="false">SUMIFS(데이터_품목별!$J$3:$J$2984,데이터_품목별!$E$3:$E$2984,"55",데이터_품목별!$A$3:$A$2984,"2024.06")</f>
        <v>45393</v>
      </c>
      <c r="I160" s="55" t="n">
        <f aca="false">SUMIFS(데이터_품목별!$J$3:$J$2984,데이터_품목별!$E$3:$E$2984,"55",데이터_품목별!$A$3:$A$2984,"2024.07")</f>
        <v>52589</v>
      </c>
      <c r="J160" s="55" t="n">
        <f aca="false">SUMIFS(데이터_품목별!$J$3:$J$2984,데이터_품목별!$E$3:$E$2984,"55",데이터_품목별!$A$3:$A$2984,"2024.08")</f>
        <v>48159</v>
      </c>
      <c r="K160" s="55" t="n">
        <f aca="false">SUMIFS(데이터_품목별!$J$3:$J$2984,데이터_품목별!$E$3:$E$2984,"55",데이터_품목별!$A$3:$A$2984,"2024.09")</f>
        <v>50133</v>
      </c>
      <c r="L160" s="55" t="n">
        <f aca="false">SUMIFS(데이터_품목별!$J$3:$J$2984,데이터_품목별!$E$3:$E$2984,"55",데이터_품목별!$A$3:$A$2984,"2024.10")</f>
        <v>51197</v>
      </c>
      <c r="M160" s="55" t="n">
        <f aca="false">SUMIFS(데이터_품목별!$J$3:$J$2984,데이터_품목별!$E$3:$E$2984,"55",데이터_품목별!$A$3:$A$2984,"2024.11")</f>
        <v>46866</v>
      </c>
      <c r="N160" s="55" t="n">
        <f aca="false">SUMIFS(데이터_품목별!$J$3:$J$2984,데이터_품목별!$E$3:$E$2984,"55",데이터_품목별!$A$3:$A$2984,"2024.12")</f>
        <v>49934</v>
      </c>
      <c r="O160" s="55" t="n">
        <f aca="false">SUMIFS(데이터_품목별!$J$3:$J$2984,데이터_품목별!$E$3:$E$2984,"55",데이터_품목별!$A$3:$A$2984,"2025.01")</f>
        <v>44013</v>
      </c>
      <c r="P160" s="55" t="n">
        <f aca="false">SUMIFS(데이터_품목별!$J$3:$J$2984,데이터_품목별!$E$3:$E$2984,"55",데이터_품목별!$A$3:$A$2984,"2025.02")</f>
        <v>43604</v>
      </c>
      <c r="Q160" s="55" t="n">
        <f aca="false">SUMIFS(데이터_품목별!$J$3:$J$2984,데이터_품목별!$E$3:$E$2984,"55",데이터_품목별!$A$3:$A$2984,"2025.03")</f>
        <v>50358</v>
      </c>
      <c r="R160" s="55" t="n">
        <f aca="false">SUMIFS(데이터_품목별!$J$3:$J$2984,데이터_품목별!$E$3:$E$2984,"55",데이터_품목별!$A$3:$A$2984,"2025.04")</f>
        <v>49445</v>
      </c>
      <c r="S160" s="55" t="n">
        <f aca="false">SUMIFS(데이터_품목별!$J$3:$J$2984,데이터_품목별!$E$3:$E$2984,"55",데이터_품목별!$A$3:$A$2984,"2025.05")</f>
        <v>49057</v>
      </c>
      <c r="T160" s="55" t="n">
        <f aca="false">SUMIFS(데이터_품목별!$J$3:$J$2984,데이터_품목별!$E$3:$E$2984,"55",데이터_품목별!$A$3:$A$2984,"2025.06")</f>
        <v>49765</v>
      </c>
      <c r="U160" s="55" t="n">
        <f aca="false">SUMIFS(데이터_품목별!$J$3:$J$2984,데이터_품목별!$E$3:$E$2984,"55",데이터_품목별!$A$3:$A$2984,"2025.07")</f>
        <v>46264</v>
      </c>
      <c r="V160" s="55" t="n">
        <f aca="false">SUMIFS(데이터_품목별!$J$3:$J$2984,데이터_품목별!$E$3:$E$2984,"55",데이터_품목별!$A$3:$A$2984,"2025.08")</f>
        <v>38864</v>
      </c>
      <c r="W160" s="55" t="n">
        <f aca="false">SUMIFS(데이터_품목별!$J$3:$J$2984,데이터_품목별!$E$3:$E$2984,"55",데이터_품목별!$A$3:$A$2984,"2025.09")</f>
        <v>48604</v>
      </c>
      <c r="X160" s="55" t="n">
        <f aca="false">SUMIFS(데이터_품목별!$J$3:$J$2984,데이터_품목별!$E$3:$E$2984,"55",데이터_품목별!$A$3:$A$2984,"2025.10")</f>
        <v>43140</v>
      </c>
      <c r="Y160" s="55" t="n">
        <f aca="false">SUMIFS(데이터_품목별!$J$3:$J$2984,데이터_품목별!$E$3:$E$2984,"55",데이터_품목별!$A$3:$A$2984,"2025.11")</f>
        <v>47040</v>
      </c>
      <c r="Z160" s="55" t="n">
        <f aca="false">SUMIFS(데이터_품목별!$J$3:$J$2984,데이터_품목별!$E$3:$E$2984,"55",데이터_품목별!$A$3:$A$2984,"2025.12")</f>
        <v>49475</v>
      </c>
      <c r="AA160" s="55" t="n">
        <f aca="false">SUMIFS(데이터_품목별!$J$3:$J$2984,데이터_품목별!$E$3:$E$2984,"55",데이터_품목별!$A$3:$A$2984,"2026.01")</f>
        <v>44257</v>
      </c>
      <c r="AB160" s="55" t="n">
        <f aca="false">SUMIFS(데이터_품목별!$J$3:$J$2984,데이터_품목별!$E$3:$E$2984,"55",데이터_품목별!$A$3:$A$2984,"2026.02")</f>
        <v>37026</v>
      </c>
      <c r="AC160" s="55" t="n">
        <f aca="false">SUMIFS(데이터_품목별!$J$3:$J$2984,데이터_품목별!$E$3:$E$2984,"55",데이터_품목별!$A$3:$A$2984,"2026.03")</f>
        <v>48024</v>
      </c>
      <c r="AD160" s="55" t="n">
        <f aca="false">SUMIFS(데이터_품목별!$J$3:$J$2984,데이터_품목별!$E$3:$E$2984,"55",데이터_품목별!$A$3:$A$2984,"2026.04")</f>
        <v>48117</v>
      </c>
      <c r="AE160" s="55" t="n">
        <f aca="false">SUMIFS(데이터_품목별!$J$3:$J$2984,데이터_품목별!$E$3:$E$2984,"55",데이터_품목별!$A$3:$A$2984,"2026.05")</f>
        <v>46482</v>
      </c>
      <c r="AF160" s="55" t="n">
        <f aca="false">SUMIFS(데이터_품목별!$J$3:$J$2984,데이터_품목별!$E$3:$E$2984,"55",데이터_품목별!$A$3:$A$2984,"2026.06")</f>
        <v>52812</v>
      </c>
      <c r="AG160" s="55" t="n">
        <f aca="false">SUMIFS(데이터_품목별!$J$3:$J$2984,데이터_품목별!$E$3:$E$2984,"55",데이터_품목별!$A$3:$A$2984,"2026.07")</f>
        <v>49222</v>
      </c>
    </row>
    <row r="161" customFormat="false" ht="15" hidden="false" customHeight="true" outlineLevel="0" collapsed="false">
      <c r="A161" s="53" t="s">
        <v>730</v>
      </c>
      <c r="B161" s="54" t="s">
        <v>731</v>
      </c>
      <c r="C161" s="55" t="n">
        <f aca="false">SUMIFS(데이터_품목별!$J$3:$J$2984,데이터_품목별!$E$3:$E$2984,"56",데이터_품목별!$A$3:$A$2984,"2024.01")</f>
        <v>55633</v>
      </c>
      <c r="D161" s="55" t="n">
        <f aca="false">SUMIFS(데이터_품목별!$J$3:$J$2984,데이터_품목별!$E$3:$E$2984,"56",데이터_품목별!$A$3:$A$2984,"2024.02")</f>
        <v>47205</v>
      </c>
      <c r="E161" s="55" t="n">
        <f aca="false">SUMIFS(데이터_품목별!$J$3:$J$2984,데이터_품목별!$E$3:$E$2984,"56",데이터_품목별!$A$3:$A$2984,"2024.03")</f>
        <v>57831</v>
      </c>
      <c r="F161" s="55" t="n">
        <f aca="false">SUMIFS(데이터_품목별!$J$3:$J$2984,데이터_품목별!$E$3:$E$2984,"56",데이터_품목별!$A$3:$A$2984,"2024.04")</f>
        <v>59908</v>
      </c>
      <c r="G161" s="55" t="n">
        <f aca="false">SUMIFS(데이터_품목별!$J$3:$J$2984,데이터_품목별!$E$3:$E$2984,"56",데이터_품목별!$A$3:$A$2984,"2024.05")</f>
        <v>60396</v>
      </c>
      <c r="H161" s="55" t="n">
        <f aca="false">SUMIFS(데이터_품목별!$J$3:$J$2984,데이터_품목별!$E$3:$E$2984,"56",데이터_품목별!$A$3:$A$2984,"2024.06")</f>
        <v>53409</v>
      </c>
      <c r="I161" s="55" t="n">
        <f aca="false">SUMIFS(데이터_품목별!$J$3:$J$2984,데이터_품목별!$E$3:$E$2984,"56",데이터_품목별!$A$3:$A$2984,"2024.07")</f>
        <v>58997</v>
      </c>
      <c r="J161" s="55" t="n">
        <f aca="false">SUMIFS(데이터_품목별!$J$3:$J$2984,데이터_품목별!$E$3:$E$2984,"56",데이터_품목별!$A$3:$A$2984,"2024.08")</f>
        <v>59651</v>
      </c>
      <c r="K161" s="55" t="n">
        <f aca="false">SUMIFS(데이터_품목별!$J$3:$J$2984,데이터_품목별!$E$3:$E$2984,"56",데이터_품목별!$A$3:$A$2984,"2024.09")</f>
        <v>55649</v>
      </c>
      <c r="L161" s="55" t="n">
        <f aca="false">SUMIFS(데이터_품목별!$J$3:$J$2984,데이터_품목별!$E$3:$E$2984,"56",데이터_품목별!$A$3:$A$2984,"2024.10")</f>
        <v>57754</v>
      </c>
      <c r="M161" s="55" t="n">
        <f aca="false">SUMIFS(데이터_품목별!$J$3:$J$2984,데이터_품목별!$E$3:$E$2984,"56",데이터_품목별!$A$3:$A$2984,"2024.11")</f>
        <v>50154</v>
      </c>
      <c r="N161" s="55" t="n">
        <f aca="false">SUMIFS(데이터_품목별!$J$3:$J$2984,데이터_품목별!$E$3:$E$2984,"56",데이터_품목별!$A$3:$A$2984,"2024.12")</f>
        <v>53391</v>
      </c>
      <c r="O161" s="55" t="n">
        <f aca="false">SUMIFS(데이터_품목별!$J$3:$J$2984,데이터_품목별!$E$3:$E$2984,"56",데이터_품목별!$A$3:$A$2984,"2025.01")</f>
        <v>51412</v>
      </c>
      <c r="P161" s="55" t="n">
        <f aca="false">SUMIFS(데이터_품목별!$J$3:$J$2984,데이터_품목별!$E$3:$E$2984,"56",데이터_품목별!$A$3:$A$2984,"2025.02")</f>
        <v>49138</v>
      </c>
      <c r="Q161" s="55" t="n">
        <f aca="false">SUMIFS(데이터_품목별!$J$3:$J$2984,데이터_품목별!$E$3:$E$2984,"56",데이터_품목별!$A$3:$A$2984,"2025.03")</f>
        <v>54276</v>
      </c>
      <c r="R161" s="55" t="n">
        <f aca="false">SUMIFS(데이터_품목별!$J$3:$J$2984,데이터_품목별!$E$3:$E$2984,"56",데이터_품목별!$A$3:$A$2984,"2025.04")</f>
        <v>65195</v>
      </c>
      <c r="S161" s="55" t="n">
        <f aca="false">SUMIFS(데이터_품목별!$J$3:$J$2984,데이터_품목별!$E$3:$E$2984,"56",데이터_품목별!$A$3:$A$2984,"2025.05")</f>
        <v>58031</v>
      </c>
      <c r="T161" s="55" t="n">
        <f aca="false">SUMIFS(데이터_품목별!$J$3:$J$2984,데이터_품목별!$E$3:$E$2984,"56",데이터_품목별!$A$3:$A$2984,"2025.06")</f>
        <v>56423</v>
      </c>
      <c r="U161" s="55" t="n">
        <f aca="false">SUMIFS(데이터_품목별!$J$3:$J$2984,데이터_품목별!$E$3:$E$2984,"56",데이터_품목별!$A$3:$A$2984,"2025.07")</f>
        <v>61733</v>
      </c>
      <c r="V161" s="55" t="n">
        <f aca="false">SUMIFS(데이터_품목별!$J$3:$J$2984,데이터_품목별!$E$3:$E$2984,"56",데이터_품목별!$A$3:$A$2984,"2025.08")</f>
        <v>55726</v>
      </c>
      <c r="W161" s="55" t="n">
        <f aca="false">SUMIFS(데이터_품목별!$J$3:$J$2984,데이터_품목별!$E$3:$E$2984,"56",데이터_품목별!$A$3:$A$2984,"2025.09")</f>
        <v>65598</v>
      </c>
      <c r="X161" s="55" t="n">
        <f aca="false">SUMIFS(데이터_품목별!$J$3:$J$2984,데이터_품목별!$E$3:$E$2984,"56",데이터_품목별!$A$3:$A$2984,"2025.10")</f>
        <v>52153</v>
      </c>
      <c r="Y161" s="55" t="n">
        <f aca="false">SUMIFS(데이터_품목별!$J$3:$J$2984,데이터_품목별!$E$3:$E$2984,"56",데이터_품목별!$A$3:$A$2984,"2025.11")</f>
        <v>54893</v>
      </c>
      <c r="Z161" s="55" t="n">
        <f aca="false">SUMIFS(데이터_품목별!$J$3:$J$2984,데이터_품목별!$E$3:$E$2984,"56",데이터_품목별!$A$3:$A$2984,"2025.12")</f>
        <v>62850</v>
      </c>
      <c r="AA161" s="55" t="n">
        <f aca="false">SUMIFS(데이터_품목별!$J$3:$J$2984,데이터_품목별!$E$3:$E$2984,"56",데이터_품목별!$A$3:$A$2984,"2026.01")</f>
        <v>55554</v>
      </c>
      <c r="AB161" s="55" t="n">
        <f aca="false">SUMIFS(데이터_품목별!$J$3:$J$2984,데이터_품목별!$E$3:$E$2984,"56",데이터_품목별!$A$3:$A$2984,"2026.02")</f>
        <v>48762</v>
      </c>
      <c r="AC161" s="55" t="n">
        <f aca="false">SUMIFS(데이터_품목별!$J$3:$J$2984,데이터_품목별!$E$3:$E$2984,"56",데이터_품목별!$A$3:$A$2984,"2026.03")</f>
        <v>57226</v>
      </c>
      <c r="AD161" s="55" t="n">
        <f aca="false">SUMIFS(데이터_품목별!$J$3:$J$2984,데이터_품목별!$E$3:$E$2984,"56",데이터_품목별!$A$3:$A$2984,"2026.04")</f>
        <v>66880</v>
      </c>
      <c r="AE161" s="55" t="n">
        <f aca="false">SUMIFS(데이터_품목별!$J$3:$J$2984,데이터_품목별!$E$3:$E$2984,"56",데이터_품목별!$A$3:$A$2984,"2026.05")</f>
        <v>64356</v>
      </c>
      <c r="AF161" s="55" t="n">
        <f aca="false">SUMIFS(데이터_품목별!$J$3:$J$2984,데이터_품목별!$E$3:$E$2984,"56",데이터_품목별!$A$3:$A$2984,"2026.06")</f>
        <v>70813</v>
      </c>
      <c r="AG161" s="55" t="n">
        <f aca="false">SUMIFS(데이터_품목별!$J$3:$J$2984,데이터_품목별!$E$3:$E$2984,"56",데이터_품목별!$A$3:$A$2984,"2026.07")</f>
        <v>66083</v>
      </c>
    </row>
    <row r="162" customFormat="false" ht="15" hidden="false" customHeight="true" outlineLevel="0" collapsed="false">
      <c r="A162" s="53" t="s">
        <v>737</v>
      </c>
      <c r="B162" s="54" t="s">
        <v>738</v>
      </c>
      <c r="C162" s="55" t="n">
        <f aca="false">SUMIFS(데이터_품목별!$J$3:$J$2984,데이터_품목별!$E$3:$E$2984,"57",데이터_품목별!$A$3:$A$2984,"2024.01")</f>
        <v>9494</v>
      </c>
      <c r="D162" s="55" t="n">
        <f aca="false">SUMIFS(데이터_품목별!$J$3:$J$2984,데이터_품목별!$E$3:$E$2984,"57",데이터_품목별!$A$3:$A$2984,"2024.02")</f>
        <v>8780</v>
      </c>
      <c r="E162" s="55" t="n">
        <f aca="false">SUMIFS(데이터_품목별!$J$3:$J$2984,데이터_품목별!$E$3:$E$2984,"57",데이터_품목별!$A$3:$A$2984,"2024.03")</f>
        <v>9177</v>
      </c>
      <c r="F162" s="55" t="n">
        <f aca="false">SUMIFS(데이터_품목별!$J$3:$J$2984,데이터_품목별!$E$3:$E$2984,"57",데이터_품목별!$A$3:$A$2984,"2024.04")</f>
        <v>11582</v>
      </c>
      <c r="G162" s="55" t="n">
        <f aca="false">SUMIFS(데이터_품목별!$J$3:$J$2984,데이터_품목별!$E$3:$E$2984,"57",데이터_품목별!$A$3:$A$2984,"2024.05")</f>
        <v>10606</v>
      </c>
      <c r="H162" s="55" t="n">
        <f aca="false">SUMIFS(데이터_품목별!$J$3:$J$2984,데이터_품목별!$E$3:$E$2984,"57",데이터_품목별!$A$3:$A$2984,"2024.06")</f>
        <v>10507</v>
      </c>
      <c r="I162" s="55" t="n">
        <f aca="false">SUMIFS(데이터_품목별!$J$3:$J$2984,데이터_품목별!$E$3:$E$2984,"57",데이터_품목별!$A$3:$A$2984,"2024.07")</f>
        <v>12496</v>
      </c>
      <c r="J162" s="55" t="n">
        <f aca="false">SUMIFS(데이터_품목별!$J$3:$J$2984,데이터_품목별!$E$3:$E$2984,"57",데이터_품목별!$A$3:$A$2984,"2024.08")</f>
        <v>10229</v>
      </c>
      <c r="K162" s="55" t="n">
        <f aca="false">SUMIFS(데이터_품목별!$J$3:$J$2984,데이터_품목별!$E$3:$E$2984,"57",데이터_품목별!$A$3:$A$2984,"2024.09")</f>
        <v>9941</v>
      </c>
      <c r="L162" s="55" t="n">
        <f aca="false">SUMIFS(데이터_품목별!$J$3:$J$2984,데이터_품목별!$E$3:$E$2984,"57",데이터_품목별!$A$3:$A$2984,"2024.10")</f>
        <v>10086</v>
      </c>
      <c r="M162" s="55" t="n">
        <f aca="false">SUMIFS(데이터_품목별!$J$3:$J$2984,데이터_품목별!$E$3:$E$2984,"57",데이터_품목별!$A$3:$A$2984,"2024.11")</f>
        <v>11791</v>
      </c>
      <c r="N162" s="55" t="n">
        <f aca="false">SUMIFS(데이터_품목별!$J$3:$J$2984,데이터_품목별!$E$3:$E$2984,"57",데이터_품목별!$A$3:$A$2984,"2024.12")</f>
        <v>9711</v>
      </c>
      <c r="O162" s="55" t="n">
        <f aca="false">SUMIFS(데이터_품목별!$J$3:$J$2984,데이터_품목별!$E$3:$E$2984,"57",데이터_품목별!$A$3:$A$2984,"2025.01")</f>
        <v>8528</v>
      </c>
      <c r="P162" s="55" t="n">
        <f aca="false">SUMIFS(데이터_품목별!$J$3:$J$2984,데이터_품목별!$E$3:$E$2984,"57",데이터_품목별!$A$3:$A$2984,"2025.02")</f>
        <v>8257</v>
      </c>
      <c r="Q162" s="55" t="n">
        <f aca="false">SUMIFS(데이터_품목별!$J$3:$J$2984,데이터_품목별!$E$3:$E$2984,"57",데이터_품목별!$A$3:$A$2984,"2025.03")</f>
        <v>10707</v>
      </c>
      <c r="R162" s="55" t="n">
        <f aca="false">SUMIFS(데이터_품목별!$J$3:$J$2984,데이터_품목별!$E$3:$E$2984,"57",데이터_품목별!$A$3:$A$2984,"2025.04")</f>
        <v>10906</v>
      </c>
      <c r="S162" s="55" t="n">
        <f aca="false">SUMIFS(데이터_품목별!$J$3:$J$2984,데이터_품목별!$E$3:$E$2984,"57",데이터_품목별!$A$3:$A$2984,"2025.05")</f>
        <v>9095</v>
      </c>
      <c r="T162" s="55" t="n">
        <f aca="false">SUMIFS(데이터_품목별!$J$3:$J$2984,데이터_품목별!$E$3:$E$2984,"57",데이터_품목별!$A$3:$A$2984,"2025.06")</f>
        <v>9209</v>
      </c>
      <c r="U162" s="55" t="n">
        <f aca="false">SUMIFS(데이터_품목별!$J$3:$J$2984,데이터_품목별!$E$3:$E$2984,"57",데이터_품목별!$A$3:$A$2984,"2025.07")</f>
        <v>10440</v>
      </c>
      <c r="V162" s="55" t="n">
        <f aca="false">SUMIFS(데이터_품목별!$J$3:$J$2984,데이터_품목별!$E$3:$E$2984,"57",데이터_품목별!$A$3:$A$2984,"2025.08")</f>
        <v>9845</v>
      </c>
      <c r="W162" s="55" t="n">
        <f aca="false">SUMIFS(데이터_품목별!$J$3:$J$2984,데이터_품목별!$E$3:$E$2984,"57",데이터_품목별!$A$3:$A$2984,"2025.09")</f>
        <v>11005</v>
      </c>
      <c r="X162" s="55" t="n">
        <f aca="false">SUMIFS(데이터_품목별!$J$3:$J$2984,데이터_품목별!$E$3:$E$2984,"57",데이터_품목별!$A$3:$A$2984,"2025.10")</f>
        <v>9081</v>
      </c>
      <c r="Y162" s="55" t="n">
        <f aca="false">SUMIFS(데이터_품목별!$J$3:$J$2984,데이터_품목별!$E$3:$E$2984,"57",데이터_품목별!$A$3:$A$2984,"2025.11")</f>
        <v>9908</v>
      </c>
      <c r="Z162" s="55" t="n">
        <f aca="false">SUMIFS(데이터_품목별!$J$3:$J$2984,데이터_품목별!$E$3:$E$2984,"57",데이터_품목별!$A$3:$A$2984,"2025.12")</f>
        <v>10210</v>
      </c>
      <c r="AA162" s="55" t="n">
        <f aca="false">SUMIFS(데이터_품목별!$J$3:$J$2984,데이터_품목별!$E$3:$E$2984,"57",데이터_품목별!$A$3:$A$2984,"2026.01")</f>
        <v>9678</v>
      </c>
      <c r="AB162" s="55" t="n">
        <f aca="false">SUMIFS(데이터_품목별!$J$3:$J$2984,데이터_품목별!$E$3:$E$2984,"57",데이터_품목별!$A$3:$A$2984,"2026.02")</f>
        <v>7777</v>
      </c>
      <c r="AC162" s="55" t="n">
        <f aca="false">SUMIFS(데이터_품목별!$J$3:$J$2984,데이터_품목별!$E$3:$E$2984,"57",데이터_품목별!$A$3:$A$2984,"2026.03")</f>
        <v>9213</v>
      </c>
      <c r="AD162" s="55" t="n">
        <f aca="false">SUMIFS(데이터_품목별!$J$3:$J$2984,데이터_품목별!$E$3:$E$2984,"57",데이터_품목별!$A$3:$A$2984,"2026.04")</f>
        <v>10863</v>
      </c>
      <c r="AE162" s="55" t="n">
        <f aca="false">SUMIFS(데이터_품목별!$J$3:$J$2984,데이터_품목별!$E$3:$E$2984,"57",데이터_품목별!$A$3:$A$2984,"2026.05")</f>
        <v>8200</v>
      </c>
      <c r="AF162" s="55" t="n">
        <f aca="false">SUMIFS(데이터_품목별!$J$3:$J$2984,데이터_품목별!$E$3:$E$2984,"57",데이터_품목별!$A$3:$A$2984,"2026.06")</f>
        <v>9690</v>
      </c>
      <c r="AG162" s="55" t="n">
        <f aca="false">SUMIFS(데이터_품목별!$J$3:$J$2984,데이터_품목별!$E$3:$E$2984,"57",데이터_품목별!$A$3:$A$2984,"2026.07")</f>
        <v>9277</v>
      </c>
    </row>
    <row r="163" customFormat="false" ht="15" hidden="false" customHeight="true" outlineLevel="0" collapsed="false">
      <c r="A163" s="53" t="s">
        <v>744</v>
      </c>
      <c r="B163" s="54" t="s">
        <v>745</v>
      </c>
      <c r="C163" s="55" t="n">
        <f aca="false">SUMIFS(데이터_품목별!$J$3:$J$2984,데이터_품목별!$E$3:$E$2984,"58",데이터_품목별!$A$3:$A$2984,"2024.01")</f>
        <v>5967</v>
      </c>
      <c r="D163" s="55" t="n">
        <f aca="false">SUMIFS(데이터_품목별!$J$3:$J$2984,데이터_품목별!$E$3:$E$2984,"58",데이터_품목별!$A$3:$A$2984,"2024.02")</f>
        <v>4402</v>
      </c>
      <c r="E163" s="55" t="n">
        <f aca="false">SUMIFS(데이터_품목별!$J$3:$J$2984,데이터_품목별!$E$3:$E$2984,"58",데이터_품목별!$A$3:$A$2984,"2024.03")</f>
        <v>5868</v>
      </c>
      <c r="F163" s="55" t="n">
        <f aca="false">SUMIFS(데이터_품목별!$J$3:$J$2984,데이터_품목별!$E$3:$E$2984,"58",데이터_품목별!$A$3:$A$2984,"2024.04")</f>
        <v>7578</v>
      </c>
      <c r="G163" s="55" t="n">
        <f aca="false">SUMIFS(데이터_품목별!$J$3:$J$2984,데이터_품목별!$E$3:$E$2984,"58",데이터_품목별!$A$3:$A$2984,"2024.05")</f>
        <v>8233</v>
      </c>
      <c r="H163" s="55" t="n">
        <f aca="false">SUMIFS(데이터_품목별!$J$3:$J$2984,데이터_품목별!$E$3:$E$2984,"58",데이터_품목별!$A$3:$A$2984,"2024.06")</f>
        <v>7167</v>
      </c>
      <c r="I163" s="55" t="n">
        <f aca="false">SUMIFS(데이터_품목별!$J$3:$J$2984,데이터_품목별!$E$3:$E$2984,"58",데이터_품목별!$A$3:$A$2984,"2024.07")</f>
        <v>7196</v>
      </c>
      <c r="J163" s="55" t="n">
        <f aca="false">SUMIFS(데이터_품목별!$J$3:$J$2984,데이터_품목별!$E$3:$E$2984,"58",데이터_품목별!$A$3:$A$2984,"2024.08")</f>
        <v>6997</v>
      </c>
      <c r="K163" s="55" t="n">
        <f aca="false">SUMIFS(데이터_품목별!$J$3:$J$2984,데이터_품목별!$E$3:$E$2984,"58",데이터_품목별!$A$3:$A$2984,"2024.09")</f>
        <v>7020</v>
      </c>
      <c r="L163" s="55" t="n">
        <f aca="false">SUMIFS(데이터_품목별!$J$3:$J$2984,데이터_품목별!$E$3:$E$2984,"58",데이터_품목별!$A$3:$A$2984,"2024.10")</f>
        <v>8738</v>
      </c>
      <c r="M163" s="55" t="n">
        <f aca="false">SUMIFS(데이터_품목별!$J$3:$J$2984,데이터_품목별!$E$3:$E$2984,"58",데이터_품목별!$A$3:$A$2984,"2024.11")</f>
        <v>8033</v>
      </c>
      <c r="N163" s="55" t="n">
        <f aca="false">SUMIFS(데이터_품목별!$J$3:$J$2984,데이터_품목별!$E$3:$E$2984,"58",데이터_품목별!$A$3:$A$2984,"2024.12")</f>
        <v>7877</v>
      </c>
      <c r="O163" s="55" t="n">
        <f aca="false">SUMIFS(데이터_품목별!$J$3:$J$2984,데이터_품목별!$E$3:$E$2984,"58",데이터_품목별!$A$3:$A$2984,"2025.01")</f>
        <v>5954</v>
      </c>
      <c r="P163" s="55" t="n">
        <f aca="false">SUMIFS(데이터_품목별!$J$3:$J$2984,데이터_품목별!$E$3:$E$2984,"58",데이터_품목별!$A$3:$A$2984,"2025.02")</f>
        <v>4195</v>
      </c>
      <c r="Q163" s="55" t="n">
        <f aca="false">SUMIFS(데이터_품목별!$J$3:$J$2984,데이터_품목별!$E$3:$E$2984,"58",데이터_품목별!$A$3:$A$2984,"2025.03")</f>
        <v>5918</v>
      </c>
      <c r="R163" s="55" t="n">
        <f aca="false">SUMIFS(데이터_품목별!$J$3:$J$2984,데이터_품목별!$E$3:$E$2984,"58",데이터_품목별!$A$3:$A$2984,"2025.04")</f>
        <v>7270</v>
      </c>
      <c r="S163" s="55" t="n">
        <f aca="false">SUMIFS(데이터_품목별!$J$3:$J$2984,데이터_품목별!$E$3:$E$2984,"58",데이터_품목별!$A$3:$A$2984,"2025.05")</f>
        <v>7748</v>
      </c>
      <c r="T163" s="55" t="n">
        <f aca="false">SUMIFS(데이터_품목별!$J$3:$J$2984,데이터_품목별!$E$3:$E$2984,"58",데이터_품목별!$A$3:$A$2984,"2025.06")</f>
        <v>6485</v>
      </c>
      <c r="U163" s="55" t="n">
        <f aca="false">SUMIFS(데이터_품목별!$J$3:$J$2984,데이터_품목별!$E$3:$E$2984,"58",데이터_품목별!$A$3:$A$2984,"2025.07")</f>
        <v>6979</v>
      </c>
      <c r="V163" s="55" t="n">
        <f aca="false">SUMIFS(데이터_품목별!$J$3:$J$2984,데이터_품목별!$E$3:$E$2984,"58",데이터_품목별!$A$3:$A$2984,"2025.08")</f>
        <v>5740</v>
      </c>
      <c r="W163" s="55" t="n">
        <f aca="false">SUMIFS(데이터_품목별!$J$3:$J$2984,데이터_품목별!$E$3:$E$2984,"58",데이터_품목별!$A$3:$A$2984,"2025.09")</f>
        <v>7937</v>
      </c>
      <c r="X163" s="55" t="n">
        <f aca="false">SUMIFS(데이터_품목별!$J$3:$J$2984,데이터_품목별!$E$3:$E$2984,"58",데이터_품목별!$A$3:$A$2984,"2025.10")</f>
        <v>7156</v>
      </c>
      <c r="Y163" s="55" t="n">
        <f aca="false">SUMIFS(데이터_품목별!$J$3:$J$2984,데이터_품목별!$E$3:$E$2984,"58",데이터_품목별!$A$3:$A$2984,"2025.11")</f>
        <v>8652</v>
      </c>
      <c r="Z163" s="55" t="n">
        <f aca="false">SUMIFS(데이터_품목별!$J$3:$J$2984,데이터_품목별!$E$3:$E$2984,"58",데이터_품목별!$A$3:$A$2984,"2025.12")</f>
        <v>7972</v>
      </c>
      <c r="AA163" s="55" t="n">
        <f aca="false">SUMIFS(데이터_품목별!$J$3:$J$2984,데이터_품목별!$E$3:$E$2984,"58",데이터_품목별!$A$3:$A$2984,"2026.01")</f>
        <v>6117</v>
      </c>
      <c r="AB163" s="55" t="n">
        <f aca="false">SUMIFS(데이터_품목별!$J$3:$J$2984,데이터_품목별!$E$3:$E$2984,"58",데이터_품목별!$A$3:$A$2984,"2026.02")</f>
        <v>5314</v>
      </c>
      <c r="AC163" s="55" t="n">
        <f aca="false">SUMIFS(데이터_품목별!$J$3:$J$2984,데이터_품목별!$E$3:$E$2984,"58",데이터_품목별!$A$3:$A$2984,"2026.03")</f>
        <v>5481</v>
      </c>
      <c r="AD163" s="55" t="n">
        <f aca="false">SUMIFS(데이터_품목별!$J$3:$J$2984,데이터_품목별!$E$3:$E$2984,"58",데이터_품목별!$A$3:$A$2984,"2026.04")</f>
        <v>7242</v>
      </c>
      <c r="AE163" s="55" t="n">
        <f aca="false">SUMIFS(데이터_품목별!$J$3:$J$2984,데이터_품목별!$E$3:$E$2984,"58",데이터_품목별!$A$3:$A$2984,"2026.05")</f>
        <v>6897</v>
      </c>
      <c r="AF163" s="55" t="n">
        <f aca="false">SUMIFS(데이터_품목별!$J$3:$J$2984,데이터_품목별!$E$3:$E$2984,"58",데이터_품목별!$A$3:$A$2984,"2026.06")</f>
        <v>7465</v>
      </c>
      <c r="AG163" s="55" t="n">
        <f aca="false">SUMIFS(데이터_품목별!$J$3:$J$2984,데이터_품목별!$E$3:$E$2984,"58",데이터_품목별!$A$3:$A$2984,"2026.07")</f>
        <v>7873</v>
      </c>
    </row>
    <row r="164" customFormat="false" ht="15" hidden="false" customHeight="true" outlineLevel="0" collapsed="false">
      <c r="A164" s="53" t="s">
        <v>751</v>
      </c>
      <c r="B164" s="54" t="s">
        <v>752</v>
      </c>
      <c r="C164" s="55" t="n">
        <f aca="false">SUMIFS(데이터_품목별!$J$3:$J$2984,데이터_품목별!$E$3:$E$2984,"59",데이터_품목별!$A$3:$A$2984,"2024.01")</f>
        <v>39234</v>
      </c>
      <c r="D164" s="55" t="n">
        <f aca="false">SUMIFS(데이터_품목별!$J$3:$J$2984,데이터_품목별!$E$3:$E$2984,"59",데이터_품목별!$A$3:$A$2984,"2024.02")</f>
        <v>30614</v>
      </c>
      <c r="E164" s="55" t="n">
        <f aca="false">SUMIFS(데이터_품목별!$J$3:$J$2984,데이터_품목별!$E$3:$E$2984,"59",데이터_품목별!$A$3:$A$2984,"2024.03")</f>
        <v>35970</v>
      </c>
      <c r="F164" s="55" t="n">
        <f aca="false">SUMIFS(데이터_품목별!$J$3:$J$2984,데이터_품목별!$E$3:$E$2984,"59",데이터_품목별!$A$3:$A$2984,"2024.04")</f>
        <v>41573</v>
      </c>
      <c r="G164" s="55" t="n">
        <f aca="false">SUMIFS(데이터_품목별!$J$3:$J$2984,데이터_품목별!$E$3:$E$2984,"59",데이터_품목별!$A$3:$A$2984,"2024.05")</f>
        <v>40608</v>
      </c>
      <c r="H164" s="55" t="n">
        <f aca="false">SUMIFS(데이터_품목별!$J$3:$J$2984,데이터_품목별!$E$3:$E$2984,"59",데이터_품목별!$A$3:$A$2984,"2024.06")</f>
        <v>38125</v>
      </c>
      <c r="I164" s="55" t="n">
        <f aca="false">SUMIFS(데이터_품목별!$J$3:$J$2984,데이터_품목별!$E$3:$E$2984,"59",데이터_품목별!$A$3:$A$2984,"2024.07")</f>
        <v>43103</v>
      </c>
      <c r="J164" s="55" t="n">
        <f aca="false">SUMIFS(데이터_품목별!$J$3:$J$2984,데이터_품목별!$E$3:$E$2984,"59",데이터_품목별!$A$3:$A$2984,"2024.08")</f>
        <v>40235</v>
      </c>
      <c r="K164" s="55" t="n">
        <f aca="false">SUMIFS(데이터_품목별!$J$3:$J$2984,데이터_품목별!$E$3:$E$2984,"59",데이터_품목별!$A$3:$A$2984,"2024.09")</f>
        <v>35179</v>
      </c>
      <c r="L164" s="55" t="n">
        <f aca="false">SUMIFS(데이터_품목별!$J$3:$J$2984,데이터_품목별!$E$3:$E$2984,"59",데이터_품목별!$A$3:$A$2984,"2024.10")</f>
        <v>38027</v>
      </c>
      <c r="M164" s="55" t="n">
        <f aca="false">SUMIFS(데이터_품목별!$J$3:$J$2984,데이터_품목별!$E$3:$E$2984,"59",데이터_품목별!$A$3:$A$2984,"2024.11")</f>
        <v>39908</v>
      </c>
      <c r="N164" s="55" t="n">
        <f aca="false">SUMIFS(데이터_품목별!$J$3:$J$2984,데이터_품목별!$E$3:$E$2984,"59",데이터_품목별!$A$3:$A$2984,"2024.12")</f>
        <v>38620</v>
      </c>
      <c r="O164" s="55" t="n">
        <f aca="false">SUMIFS(데이터_품목별!$J$3:$J$2984,데이터_품목별!$E$3:$E$2984,"59",데이터_품목별!$A$3:$A$2984,"2025.01")</f>
        <v>35233</v>
      </c>
      <c r="P164" s="55" t="n">
        <f aca="false">SUMIFS(데이터_품목별!$J$3:$J$2984,데이터_품목별!$E$3:$E$2984,"59",데이터_품목별!$A$3:$A$2984,"2025.02")</f>
        <v>32432</v>
      </c>
      <c r="Q164" s="55" t="n">
        <f aca="false">SUMIFS(데이터_품목별!$J$3:$J$2984,데이터_품목별!$E$3:$E$2984,"59",데이터_품목별!$A$3:$A$2984,"2025.03")</f>
        <v>41147</v>
      </c>
      <c r="R164" s="55" t="n">
        <f aca="false">SUMIFS(데이터_품목별!$J$3:$J$2984,데이터_품목별!$E$3:$E$2984,"59",데이터_품목별!$A$3:$A$2984,"2025.04")</f>
        <v>38392</v>
      </c>
      <c r="S164" s="55" t="n">
        <f aca="false">SUMIFS(데이터_품목별!$J$3:$J$2984,데이터_품목별!$E$3:$E$2984,"59",데이터_품목별!$A$3:$A$2984,"2025.05")</f>
        <v>36898</v>
      </c>
      <c r="T164" s="55" t="n">
        <f aca="false">SUMIFS(데이터_품목별!$J$3:$J$2984,데이터_품목별!$E$3:$E$2984,"59",데이터_품목별!$A$3:$A$2984,"2025.06")</f>
        <v>37650</v>
      </c>
      <c r="U164" s="55" t="n">
        <f aca="false">SUMIFS(데이터_품목별!$J$3:$J$2984,데이터_품목별!$E$3:$E$2984,"59",데이터_품목별!$A$3:$A$2984,"2025.07")</f>
        <v>38347</v>
      </c>
      <c r="V164" s="55" t="n">
        <f aca="false">SUMIFS(데이터_품목별!$J$3:$J$2984,데이터_품목별!$E$3:$E$2984,"59",데이터_품목별!$A$3:$A$2984,"2025.08")</f>
        <v>33331</v>
      </c>
      <c r="W164" s="55" t="n">
        <f aca="false">SUMIFS(데이터_품목별!$J$3:$J$2984,데이터_품목별!$E$3:$E$2984,"59",데이터_품목별!$A$3:$A$2984,"2025.09")</f>
        <v>37657</v>
      </c>
      <c r="X164" s="55" t="n">
        <f aca="false">SUMIFS(데이터_품목별!$J$3:$J$2984,데이터_품목별!$E$3:$E$2984,"59",데이터_품목별!$A$3:$A$2984,"2025.10")</f>
        <v>31141</v>
      </c>
      <c r="Y164" s="55" t="n">
        <f aca="false">SUMIFS(데이터_품목별!$J$3:$J$2984,데이터_품목별!$E$3:$E$2984,"59",데이터_품목별!$A$3:$A$2984,"2025.11")</f>
        <v>30843</v>
      </c>
      <c r="Z164" s="55" t="n">
        <f aca="false">SUMIFS(데이터_품목별!$J$3:$J$2984,데이터_품목별!$E$3:$E$2984,"59",데이터_품목별!$A$3:$A$2984,"2025.12")</f>
        <v>37253</v>
      </c>
      <c r="AA164" s="55" t="n">
        <f aca="false">SUMIFS(데이터_품목별!$J$3:$J$2984,데이터_품목별!$E$3:$E$2984,"59",데이터_품목별!$A$3:$A$2984,"2026.01")</f>
        <v>34450</v>
      </c>
      <c r="AB164" s="55" t="n">
        <f aca="false">SUMIFS(데이터_품목별!$J$3:$J$2984,데이터_품목별!$E$3:$E$2984,"59",데이터_품목별!$A$3:$A$2984,"2026.02")</f>
        <v>30260</v>
      </c>
      <c r="AC164" s="55" t="n">
        <f aca="false">SUMIFS(데이터_품목별!$J$3:$J$2984,데이터_품목별!$E$3:$E$2984,"59",데이터_품목별!$A$3:$A$2984,"2026.03")</f>
        <v>35076</v>
      </c>
      <c r="AD164" s="55" t="n">
        <f aca="false">SUMIFS(데이터_품목별!$J$3:$J$2984,데이터_품목별!$E$3:$E$2984,"59",데이터_품목별!$A$3:$A$2984,"2026.04")</f>
        <v>41172</v>
      </c>
      <c r="AE164" s="55" t="n">
        <f aca="false">SUMIFS(데이터_품목별!$J$3:$J$2984,데이터_품목별!$E$3:$E$2984,"59",데이터_품목별!$A$3:$A$2984,"2026.05")</f>
        <v>38679</v>
      </c>
      <c r="AF164" s="55" t="n">
        <f aca="false">SUMIFS(데이터_품목별!$J$3:$J$2984,데이터_품목별!$E$3:$E$2984,"59",데이터_품목별!$A$3:$A$2984,"2026.06")</f>
        <v>45856</v>
      </c>
      <c r="AG164" s="55" t="n">
        <f aca="false">SUMIFS(데이터_품목별!$J$3:$J$2984,데이터_품목별!$E$3:$E$2984,"59",데이터_품목별!$A$3:$A$2984,"2026.07")</f>
        <v>34327</v>
      </c>
    </row>
    <row r="165" customFormat="false" ht="15" hidden="false" customHeight="true" outlineLevel="0" collapsed="false">
      <c r="A165" s="53" t="s">
        <v>758</v>
      </c>
      <c r="B165" s="54" t="s">
        <v>759</v>
      </c>
      <c r="C165" s="55" t="n">
        <f aca="false">SUMIFS(데이터_품목별!$J$3:$J$2984,데이터_품목별!$E$3:$E$2984,"60",데이터_품목별!$A$3:$A$2984,"2024.01")</f>
        <v>8595</v>
      </c>
      <c r="D165" s="55" t="n">
        <f aca="false">SUMIFS(데이터_품목별!$J$3:$J$2984,데이터_품목별!$E$3:$E$2984,"60",데이터_품목별!$A$3:$A$2984,"2024.02")</f>
        <v>7485</v>
      </c>
      <c r="E165" s="55" t="n">
        <f aca="false">SUMIFS(데이터_품목별!$J$3:$J$2984,데이터_품목별!$E$3:$E$2984,"60",데이터_품목별!$A$3:$A$2984,"2024.03")</f>
        <v>7381</v>
      </c>
      <c r="F165" s="55" t="n">
        <f aca="false">SUMIFS(데이터_품목별!$J$3:$J$2984,데이터_품목별!$E$3:$E$2984,"60",데이터_품목별!$A$3:$A$2984,"2024.04")</f>
        <v>10299</v>
      </c>
      <c r="G165" s="55" t="n">
        <f aca="false">SUMIFS(데이터_품목별!$J$3:$J$2984,데이터_품목별!$E$3:$E$2984,"60",데이터_품목별!$A$3:$A$2984,"2024.05")</f>
        <v>9250</v>
      </c>
      <c r="H165" s="55" t="n">
        <f aca="false">SUMIFS(데이터_품목별!$J$3:$J$2984,데이터_품목별!$E$3:$E$2984,"60",데이터_품목별!$A$3:$A$2984,"2024.06")</f>
        <v>8960</v>
      </c>
      <c r="I165" s="55" t="n">
        <f aca="false">SUMIFS(데이터_품목별!$J$3:$J$2984,데이터_품목별!$E$3:$E$2984,"60",데이터_품목별!$A$3:$A$2984,"2024.07")</f>
        <v>10430</v>
      </c>
      <c r="J165" s="55" t="n">
        <f aca="false">SUMIFS(데이터_품목별!$J$3:$J$2984,데이터_품목별!$E$3:$E$2984,"60",데이터_품목별!$A$3:$A$2984,"2024.08")</f>
        <v>8683</v>
      </c>
      <c r="K165" s="55" t="n">
        <f aca="false">SUMIFS(데이터_품목별!$J$3:$J$2984,데이터_품목별!$E$3:$E$2984,"60",데이터_품목별!$A$3:$A$2984,"2024.09")</f>
        <v>9470</v>
      </c>
      <c r="L165" s="55" t="n">
        <f aca="false">SUMIFS(데이터_품목별!$J$3:$J$2984,데이터_품목별!$E$3:$E$2984,"60",데이터_품목별!$A$3:$A$2984,"2024.10")</f>
        <v>11565</v>
      </c>
      <c r="M165" s="55" t="n">
        <f aca="false">SUMIFS(데이터_품목별!$J$3:$J$2984,데이터_품목별!$E$3:$E$2984,"60",데이터_품목별!$A$3:$A$2984,"2024.11")</f>
        <v>10893</v>
      </c>
      <c r="N165" s="55" t="n">
        <f aca="false">SUMIFS(데이터_품목별!$J$3:$J$2984,데이터_품목별!$E$3:$E$2984,"60",데이터_품목별!$A$3:$A$2984,"2024.12")</f>
        <v>10372</v>
      </c>
      <c r="O165" s="55" t="n">
        <f aca="false">SUMIFS(데이터_품목별!$J$3:$J$2984,데이터_품목별!$E$3:$E$2984,"60",데이터_품목별!$A$3:$A$2984,"2025.01")</f>
        <v>8132</v>
      </c>
      <c r="P165" s="55" t="n">
        <f aca="false">SUMIFS(데이터_품목별!$J$3:$J$2984,데이터_품목별!$E$3:$E$2984,"60",데이터_품목별!$A$3:$A$2984,"2025.02")</f>
        <v>6386</v>
      </c>
      <c r="Q165" s="55" t="n">
        <f aca="false">SUMIFS(데이터_품목별!$J$3:$J$2984,데이터_품목별!$E$3:$E$2984,"60",데이터_품목별!$A$3:$A$2984,"2025.03")</f>
        <v>7877</v>
      </c>
      <c r="R165" s="55" t="n">
        <f aca="false">SUMIFS(데이터_품목별!$J$3:$J$2984,데이터_품목별!$E$3:$E$2984,"60",데이터_품목별!$A$3:$A$2984,"2025.04")</f>
        <v>10378</v>
      </c>
      <c r="S165" s="55" t="n">
        <f aca="false">SUMIFS(데이터_품목별!$J$3:$J$2984,데이터_품목별!$E$3:$E$2984,"60",데이터_품목별!$A$3:$A$2984,"2025.05")</f>
        <v>9879</v>
      </c>
      <c r="T165" s="55" t="n">
        <f aca="false">SUMIFS(데이터_품목별!$J$3:$J$2984,데이터_품목별!$E$3:$E$2984,"60",데이터_품목별!$A$3:$A$2984,"2025.06")</f>
        <v>8978</v>
      </c>
      <c r="U165" s="55" t="n">
        <f aca="false">SUMIFS(데이터_품목별!$J$3:$J$2984,데이터_품목별!$E$3:$E$2984,"60",데이터_품목별!$A$3:$A$2984,"2025.07")</f>
        <v>9924</v>
      </c>
      <c r="V165" s="55" t="n">
        <f aca="false">SUMIFS(데이터_품목별!$J$3:$J$2984,데이터_품목별!$E$3:$E$2984,"60",데이터_품목별!$A$3:$A$2984,"2025.08")</f>
        <v>8692</v>
      </c>
      <c r="W165" s="55" t="n">
        <f aca="false">SUMIFS(데이터_품목별!$J$3:$J$2984,데이터_품목별!$E$3:$E$2984,"60",데이터_품목별!$A$3:$A$2984,"2025.09")</f>
        <v>11631</v>
      </c>
      <c r="X165" s="55" t="n">
        <f aca="false">SUMIFS(데이터_품목별!$J$3:$J$2984,데이터_품목별!$E$3:$E$2984,"60",데이터_품목별!$A$3:$A$2984,"2025.10")</f>
        <v>9934</v>
      </c>
      <c r="Y165" s="55" t="n">
        <f aca="false">SUMIFS(데이터_품목별!$J$3:$J$2984,데이터_품목별!$E$3:$E$2984,"60",데이터_품목별!$A$3:$A$2984,"2025.11")</f>
        <v>9841</v>
      </c>
      <c r="Z165" s="55" t="n">
        <f aca="false">SUMIFS(데이터_품목별!$J$3:$J$2984,데이터_품목별!$E$3:$E$2984,"60",데이터_품목별!$A$3:$A$2984,"2025.12")</f>
        <v>11121</v>
      </c>
      <c r="AA165" s="55" t="n">
        <f aca="false">SUMIFS(데이터_품목별!$J$3:$J$2984,데이터_품목별!$E$3:$E$2984,"60",데이터_품목별!$A$3:$A$2984,"2026.01")</f>
        <v>9675</v>
      </c>
      <c r="AB165" s="55" t="n">
        <f aca="false">SUMIFS(데이터_품목별!$J$3:$J$2984,데이터_품목별!$E$3:$E$2984,"60",데이터_품목별!$A$3:$A$2984,"2026.02")</f>
        <v>6914</v>
      </c>
      <c r="AC165" s="55" t="n">
        <f aca="false">SUMIFS(데이터_품목별!$J$3:$J$2984,데이터_품목별!$E$3:$E$2984,"60",데이터_품목별!$A$3:$A$2984,"2026.03")</f>
        <v>7958</v>
      </c>
      <c r="AD165" s="55" t="n">
        <f aca="false">SUMIFS(데이터_품목별!$J$3:$J$2984,데이터_품목별!$E$3:$E$2984,"60",데이터_품목별!$A$3:$A$2984,"2026.04")</f>
        <v>10416</v>
      </c>
      <c r="AE165" s="55" t="n">
        <f aca="false">SUMIFS(데이터_품목별!$J$3:$J$2984,데이터_품목별!$E$3:$E$2984,"60",데이터_품목별!$A$3:$A$2984,"2026.05")</f>
        <v>8596</v>
      </c>
      <c r="AF165" s="55" t="n">
        <f aca="false">SUMIFS(데이터_품목별!$J$3:$J$2984,데이터_품목별!$E$3:$E$2984,"60",데이터_품목별!$A$3:$A$2984,"2026.06")</f>
        <v>11539</v>
      </c>
      <c r="AG165" s="55" t="n">
        <f aca="false">SUMIFS(데이터_품목별!$J$3:$J$2984,데이터_품목별!$E$3:$E$2984,"60",데이터_품목별!$A$3:$A$2984,"2026.07")</f>
        <v>9195</v>
      </c>
    </row>
    <row r="166" customFormat="false" ht="15" hidden="false" customHeight="true" outlineLevel="0" collapsed="false">
      <c r="A166" s="53" t="s">
        <v>765</v>
      </c>
      <c r="B166" s="54" t="s">
        <v>766</v>
      </c>
      <c r="C166" s="55" t="n">
        <f aca="false">SUMIFS(데이터_품목별!$J$3:$J$2984,데이터_품목별!$E$3:$E$2984,"61",데이터_품목별!$A$3:$A$2984,"2024.01")</f>
        <v>438489</v>
      </c>
      <c r="D166" s="55" t="n">
        <f aca="false">SUMIFS(데이터_품목별!$J$3:$J$2984,데이터_품목별!$E$3:$E$2984,"61",데이터_품목별!$A$3:$A$2984,"2024.02")</f>
        <v>366215</v>
      </c>
      <c r="E166" s="55" t="n">
        <f aca="false">SUMIFS(데이터_품목별!$J$3:$J$2984,데이터_품목별!$E$3:$E$2984,"61",데이터_품목별!$A$3:$A$2984,"2024.03")</f>
        <v>442453</v>
      </c>
      <c r="F166" s="55" t="n">
        <f aca="false">SUMIFS(데이터_품목별!$J$3:$J$2984,데이터_품목별!$E$3:$E$2984,"61",데이터_품목별!$A$3:$A$2984,"2024.04")</f>
        <v>421616</v>
      </c>
      <c r="G166" s="55" t="n">
        <f aca="false">SUMIFS(데이터_품목별!$J$3:$J$2984,데이터_품목별!$E$3:$E$2984,"61",데이터_품목별!$A$3:$A$2984,"2024.05")</f>
        <v>327431</v>
      </c>
      <c r="H166" s="55" t="n">
        <f aca="false">SUMIFS(데이터_품목별!$J$3:$J$2984,데이터_품목별!$E$3:$E$2984,"61",데이터_품목별!$A$3:$A$2984,"2024.06")</f>
        <v>304732</v>
      </c>
      <c r="I166" s="55" t="n">
        <f aca="false">SUMIFS(데이터_품목별!$J$3:$J$2984,데이터_품목별!$E$3:$E$2984,"61",데이터_품목별!$A$3:$A$2984,"2024.07")</f>
        <v>445175</v>
      </c>
      <c r="J166" s="55" t="n">
        <f aca="false">SUMIFS(데이터_품목별!$J$3:$J$2984,데이터_품목별!$E$3:$E$2984,"61",데이터_품목별!$A$3:$A$2984,"2024.08")</f>
        <v>517344</v>
      </c>
      <c r="K166" s="55" t="n">
        <f aca="false">SUMIFS(데이터_품목별!$J$3:$J$2984,데이터_품목별!$E$3:$E$2984,"61",데이터_품목별!$A$3:$A$2984,"2024.09")</f>
        <v>550106</v>
      </c>
      <c r="L166" s="55" t="n">
        <f aca="false">SUMIFS(데이터_품목별!$J$3:$J$2984,데이터_품목별!$E$3:$E$2984,"61",데이터_품목별!$A$3:$A$2984,"2024.10")</f>
        <v>500515</v>
      </c>
      <c r="M166" s="55" t="n">
        <f aca="false">SUMIFS(데이터_품목별!$J$3:$J$2984,데이터_품목별!$E$3:$E$2984,"61",데이터_품목별!$A$3:$A$2984,"2024.11")</f>
        <v>367472</v>
      </c>
      <c r="N166" s="55" t="n">
        <f aca="false">SUMIFS(데이터_품목별!$J$3:$J$2984,데이터_품목별!$E$3:$E$2984,"61",데이터_품목별!$A$3:$A$2984,"2024.12")</f>
        <v>401618</v>
      </c>
      <c r="O166" s="55" t="n">
        <f aca="false">SUMIFS(데이터_품목별!$J$3:$J$2984,데이터_품목별!$E$3:$E$2984,"61",데이터_품목별!$A$3:$A$2984,"2025.01")</f>
        <v>429283</v>
      </c>
      <c r="P166" s="55" t="n">
        <f aca="false">SUMIFS(데이터_품목별!$J$3:$J$2984,데이터_품목별!$E$3:$E$2984,"61",데이터_품목별!$A$3:$A$2984,"2025.02")</f>
        <v>382637</v>
      </c>
      <c r="Q166" s="55" t="n">
        <f aca="false">SUMIFS(데이터_품목별!$J$3:$J$2984,데이터_품목별!$E$3:$E$2984,"61",데이터_품목별!$A$3:$A$2984,"2025.03")</f>
        <v>481958</v>
      </c>
      <c r="R166" s="55" t="n">
        <f aca="false">SUMIFS(데이터_품목별!$J$3:$J$2984,데이터_품목별!$E$3:$E$2984,"61",데이터_품목별!$A$3:$A$2984,"2025.04")</f>
        <v>427984</v>
      </c>
      <c r="S166" s="55" t="n">
        <f aca="false">SUMIFS(데이터_품목별!$J$3:$J$2984,데이터_품목별!$E$3:$E$2984,"61",데이터_품목별!$A$3:$A$2984,"2025.05")</f>
        <v>314900</v>
      </c>
      <c r="T166" s="55" t="n">
        <f aca="false">SUMIFS(데이터_품목별!$J$3:$J$2984,데이터_품목별!$E$3:$E$2984,"61",데이터_품목별!$A$3:$A$2984,"2025.06")</f>
        <v>338473</v>
      </c>
      <c r="U166" s="55" t="n">
        <f aca="false">SUMIFS(데이터_품목별!$J$3:$J$2984,데이터_품목별!$E$3:$E$2984,"61",데이터_품목별!$A$3:$A$2984,"2025.07")</f>
        <v>409205</v>
      </c>
      <c r="V166" s="55" t="n">
        <f aca="false">SUMIFS(데이터_품목별!$J$3:$J$2984,데이터_품목별!$E$3:$E$2984,"61",데이터_품목별!$A$3:$A$2984,"2025.08")</f>
        <v>487318</v>
      </c>
      <c r="W166" s="55" t="n">
        <f aca="false">SUMIFS(데이터_품목별!$J$3:$J$2984,데이터_품목별!$E$3:$E$2984,"61",데이터_품목별!$A$3:$A$2984,"2025.09")</f>
        <v>564006</v>
      </c>
      <c r="X166" s="55" t="n">
        <f aca="false">SUMIFS(데이터_품목별!$J$3:$J$2984,데이터_품목별!$E$3:$E$2984,"61",데이터_품목별!$A$3:$A$2984,"2025.10")</f>
        <v>460907</v>
      </c>
      <c r="Y166" s="55" t="n">
        <f aca="false">SUMIFS(데이터_품목별!$J$3:$J$2984,데이터_품목별!$E$3:$E$2984,"61",데이터_품목별!$A$3:$A$2984,"2025.11")</f>
        <v>402630</v>
      </c>
      <c r="Z166" s="55" t="n">
        <f aca="false">SUMIFS(데이터_품목별!$J$3:$J$2984,데이터_품목별!$E$3:$E$2984,"61",데이터_품목별!$A$3:$A$2984,"2025.12")</f>
        <v>442831</v>
      </c>
      <c r="AA166" s="55" t="n">
        <f aca="false">SUMIFS(데이터_품목별!$J$3:$J$2984,데이터_품목별!$E$3:$E$2984,"61",데이터_품목별!$A$3:$A$2984,"2026.01")</f>
        <v>426748</v>
      </c>
      <c r="AB166" s="55" t="n">
        <f aca="false">SUMIFS(데이터_품목별!$J$3:$J$2984,데이터_품목별!$E$3:$E$2984,"61",데이터_품목별!$A$3:$A$2984,"2026.02")</f>
        <v>410546</v>
      </c>
      <c r="AC166" s="55" t="n">
        <f aca="false">SUMIFS(데이터_품목별!$J$3:$J$2984,데이터_품목별!$E$3:$E$2984,"61",데이터_품목별!$A$3:$A$2984,"2026.03")</f>
        <v>464940</v>
      </c>
      <c r="AD166" s="55" t="n">
        <f aca="false">SUMIFS(데이터_품목별!$J$3:$J$2984,데이터_품목별!$E$3:$E$2984,"61",데이터_품목별!$A$3:$A$2984,"2026.04")</f>
        <v>459122</v>
      </c>
      <c r="AE166" s="55" t="n">
        <f aca="false">SUMIFS(데이터_품목별!$J$3:$J$2984,데이터_품목별!$E$3:$E$2984,"61",데이터_품목별!$A$3:$A$2984,"2026.05")</f>
        <v>344333</v>
      </c>
      <c r="AF166" s="55" t="n">
        <f aca="false">SUMIFS(데이터_품목별!$J$3:$J$2984,데이터_품목별!$E$3:$E$2984,"61",데이터_품목별!$A$3:$A$2984,"2026.06")</f>
        <v>375644</v>
      </c>
      <c r="AG166" s="55" t="n">
        <f aca="false">SUMIFS(데이터_품목별!$J$3:$J$2984,데이터_품목별!$E$3:$E$2984,"61",데이터_품목별!$A$3:$A$2984,"2026.07")</f>
        <v>404471</v>
      </c>
    </row>
    <row r="167" customFormat="false" ht="15" hidden="false" customHeight="true" outlineLevel="0" collapsed="false">
      <c r="A167" s="53" t="s">
        <v>772</v>
      </c>
      <c r="B167" s="54" t="s">
        <v>773</v>
      </c>
      <c r="C167" s="55" t="n">
        <f aca="false">SUMIFS(데이터_품목별!$J$3:$J$2984,데이터_품목별!$E$3:$E$2984,"62",데이터_품목별!$A$3:$A$2984,"2024.01")</f>
        <v>669983</v>
      </c>
      <c r="D167" s="55" t="n">
        <f aca="false">SUMIFS(데이터_품목별!$J$3:$J$2984,데이터_품목별!$E$3:$E$2984,"62",데이터_품목별!$A$3:$A$2984,"2024.02")</f>
        <v>530287</v>
      </c>
      <c r="E167" s="55" t="n">
        <f aca="false">SUMIFS(데이터_품목별!$J$3:$J$2984,데이터_품목별!$E$3:$E$2984,"62",데이터_품목별!$A$3:$A$2984,"2024.03")</f>
        <v>601291</v>
      </c>
      <c r="F167" s="55" t="n">
        <f aca="false">SUMIFS(데이터_품목별!$J$3:$J$2984,데이터_품목별!$E$3:$E$2984,"62",데이터_품목별!$A$3:$A$2984,"2024.04")</f>
        <v>567696</v>
      </c>
      <c r="G167" s="55" t="n">
        <f aca="false">SUMIFS(데이터_품목별!$J$3:$J$2984,데이터_품목별!$E$3:$E$2984,"62",데이터_품목별!$A$3:$A$2984,"2024.05")</f>
        <v>429519</v>
      </c>
      <c r="H167" s="55" t="n">
        <f aca="false">SUMIFS(데이터_품목별!$J$3:$J$2984,데이터_품목별!$E$3:$E$2984,"62",데이터_품목별!$A$3:$A$2984,"2024.06")</f>
        <v>432552</v>
      </c>
      <c r="I167" s="55" t="n">
        <f aca="false">SUMIFS(데이터_품목별!$J$3:$J$2984,데이터_품목별!$E$3:$E$2984,"62",데이터_품목별!$A$3:$A$2984,"2024.07")</f>
        <v>576247</v>
      </c>
      <c r="J167" s="55" t="n">
        <f aca="false">SUMIFS(데이터_품목별!$J$3:$J$2984,데이터_품목별!$E$3:$E$2984,"62",데이터_품목별!$A$3:$A$2984,"2024.08")</f>
        <v>727832</v>
      </c>
      <c r="K167" s="55" t="n">
        <f aca="false">SUMIFS(데이터_품목별!$J$3:$J$2984,데이터_품목별!$E$3:$E$2984,"62",데이터_품목별!$A$3:$A$2984,"2024.09")</f>
        <v>838455</v>
      </c>
      <c r="L167" s="55" t="n">
        <f aca="false">SUMIFS(데이터_품목별!$J$3:$J$2984,데이터_품목별!$E$3:$E$2984,"62",데이터_품목별!$A$3:$A$2984,"2024.10")</f>
        <v>837049</v>
      </c>
      <c r="M167" s="55" t="n">
        <f aca="false">SUMIFS(데이터_품목별!$J$3:$J$2984,데이터_품목별!$E$3:$E$2984,"62",데이터_품목별!$A$3:$A$2984,"2024.11")</f>
        <v>540066</v>
      </c>
      <c r="N167" s="55" t="n">
        <f aca="false">SUMIFS(데이터_품목별!$J$3:$J$2984,데이터_품목별!$E$3:$E$2984,"62",데이터_품목별!$A$3:$A$2984,"2024.12")</f>
        <v>534050</v>
      </c>
      <c r="O167" s="55" t="n">
        <f aca="false">SUMIFS(데이터_품목별!$J$3:$J$2984,데이터_품목별!$E$3:$E$2984,"62",데이터_품목별!$A$3:$A$2984,"2025.01")</f>
        <v>597522</v>
      </c>
      <c r="P167" s="55" t="n">
        <f aca="false">SUMIFS(데이터_품목별!$J$3:$J$2984,데이터_품목별!$E$3:$E$2984,"62",데이터_품목별!$A$3:$A$2984,"2025.02")</f>
        <v>537809</v>
      </c>
      <c r="Q167" s="55" t="n">
        <f aca="false">SUMIFS(데이터_품목별!$J$3:$J$2984,데이터_품목별!$E$3:$E$2984,"62",데이터_품목별!$A$3:$A$2984,"2025.03")</f>
        <v>628292</v>
      </c>
      <c r="R167" s="55" t="n">
        <f aca="false">SUMIFS(데이터_품목별!$J$3:$J$2984,데이터_품목별!$E$3:$E$2984,"62",데이터_품목별!$A$3:$A$2984,"2025.04")</f>
        <v>558759</v>
      </c>
      <c r="S167" s="55" t="n">
        <f aca="false">SUMIFS(데이터_품목별!$J$3:$J$2984,데이터_품목별!$E$3:$E$2984,"62",데이터_품목별!$A$3:$A$2984,"2025.05")</f>
        <v>399066</v>
      </c>
      <c r="T167" s="55" t="n">
        <f aca="false">SUMIFS(데이터_품목별!$J$3:$J$2984,데이터_품목별!$E$3:$E$2984,"62",데이터_품목별!$A$3:$A$2984,"2025.06")</f>
        <v>435277</v>
      </c>
      <c r="U167" s="55" t="n">
        <f aca="false">SUMIFS(데이터_품목별!$J$3:$J$2984,데이터_품목별!$E$3:$E$2984,"62",데이터_품목별!$A$3:$A$2984,"2025.07")</f>
        <v>588070</v>
      </c>
      <c r="V167" s="55" t="n">
        <f aca="false">SUMIFS(데이터_품목별!$J$3:$J$2984,데이터_품목별!$E$3:$E$2984,"62",데이터_품목별!$A$3:$A$2984,"2025.08")</f>
        <v>669158</v>
      </c>
      <c r="W167" s="55" t="n">
        <f aca="false">SUMIFS(데이터_품목별!$J$3:$J$2984,데이터_품목별!$E$3:$E$2984,"62",데이터_품목별!$A$3:$A$2984,"2025.09")</f>
        <v>847107</v>
      </c>
      <c r="X167" s="55" t="n">
        <f aca="false">SUMIFS(데이터_품목별!$J$3:$J$2984,데이터_품목별!$E$3:$E$2984,"62",데이터_품목별!$A$3:$A$2984,"2025.10")</f>
        <v>724286</v>
      </c>
      <c r="Y167" s="55" t="n">
        <f aca="false">SUMIFS(데이터_품목별!$J$3:$J$2984,데이터_품목별!$E$3:$E$2984,"62",데이터_품목별!$A$3:$A$2984,"2025.11")</f>
        <v>521433</v>
      </c>
      <c r="Z167" s="55" t="n">
        <f aca="false">SUMIFS(데이터_품목별!$J$3:$J$2984,데이터_품목별!$E$3:$E$2984,"62",데이터_품목별!$A$3:$A$2984,"2025.12")</f>
        <v>541506</v>
      </c>
      <c r="AA167" s="55" t="n">
        <f aca="false">SUMIFS(데이터_품목별!$J$3:$J$2984,데이터_품목별!$E$3:$E$2984,"62",데이터_품목별!$A$3:$A$2984,"2026.01")</f>
        <v>578501</v>
      </c>
      <c r="AB167" s="55" t="n">
        <f aca="false">SUMIFS(데이터_품목별!$J$3:$J$2984,데이터_품목별!$E$3:$E$2984,"62",데이터_품목별!$A$3:$A$2984,"2026.02")</f>
        <v>568496</v>
      </c>
      <c r="AC167" s="55" t="n">
        <f aca="false">SUMIFS(데이터_품목별!$J$3:$J$2984,데이터_품목별!$E$3:$E$2984,"62",데이터_품목별!$A$3:$A$2984,"2026.03")</f>
        <v>571988</v>
      </c>
      <c r="AD167" s="55" t="n">
        <f aca="false">SUMIFS(데이터_품목별!$J$3:$J$2984,데이터_품목별!$E$3:$E$2984,"62",데이터_품목별!$A$3:$A$2984,"2026.04")</f>
        <v>571499</v>
      </c>
      <c r="AE167" s="55" t="n">
        <f aca="false">SUMIFS(데이터_품목별!$J$3:$J$2984,데이터_품목별!$E$3:$E$2984,"62",데이터_품목별!$A$3:$A$2984,"2026.05")</f>
        <v>410950</v>
      </c>
      <c r="AF167" s="55" t="n">
        <f aca="false">SUMIFS(데이터_품목별!$J$3:$J$2984,데이터_품목별!$E$3:$E$2984,"62",데이터_품목별!$A$3:$A$2984,"2026.06")</f>
        <v>476230</v>
      </c>
      <c r="AG167" s="55" t="n">
        <f aca="false">SUMIFS(데이터_품목별!$J$3:$J$2984,데이터_품목별!$E$3:$E$2984,"62",데이터_품목별!$A$3:$A$2984,"2026.07")</f>
        <v>553580</v>
      </c>
    </row>
    <row r="168" customFormat="false" ht="15" hidden="false" customHeight="true" outlineLevel="0" collapsed="false">
      <c r="A168" s="53" t="s">
        <v>779</v>
      </c>
      <c r="B168" s="54" t="s">
        <v>780</v>
      </c>
      <c r="C168" s="55" t="n">
        <f aca="false">SUMIFS(데이터_품목별!$J$3:$J$2984,데이터_품목별!$E$3:$E$2984,"63",데이터_품목별!$A$3:$A$2984,"2024.01")</f>
        <v>116031</v>
      </c>
      <c r="D168" s="55" t="n">
        <f aca="false">SUMIFS(데이터_품목별!$J$3:$J$2984,데이터_품목별!$E$3:$E$2984,"63",데이터_품목별!$A$3:$A$2984,"2024.02")</f>
        <v>75671</v>
      </c>
      <c r="E168" s="55" t="n">
        <f aca="false">SUMIFS(데이터_품목별!$J$3:$J$2984,데이터_품목별!$E$3:$E$2984,"63",데이터_품목별!$A$3:$A$2984,"2024.03")</f>
        <v>94705</v>
      </c>
      <c r="F168" s="55" t="n">
        <f aca="false">SUMIFS(데이터_품목별!$J$3:$J$2984,데이터_품목별!$E$3:$E$2984,"63",데이터_품목별!$A$3:$A$2984,"2024.04")</f>
        <v>117160</v>
      </c>
      <c r="G168" s="55" t="n">
        <f aca="false">SUMIFS(데이터_품목별!$J$3:$J$2984,데이터_품목별!$E$3:$E$2984,"63",데이터_품목별!$A$3:$A$2984,"2024.05")</f>
        <v>118099</v>
      </c>
      <c r="H168" s="55" t="n">
        <f aca="false">SUMIFS(데이터_품목별!$J$3:$J$2984,데이터_품목별!$E$3:$E$2984,"63",데이터_품목별!$A$3:$A$2984,"2024.06")</f>
        <v>107549</v>
      </c>
      <c r="I168" s="55" t="n">
        <f aca="false">SUMIFS(데이터_품목별!$J$3:$J$2984,데이터_품목별!$E$3:$E$2984,"63",데이터_품목별!$A$3:$A$2984,"2024.07")</f>
        <v>121195</v>
      </c>
      <c r="J168" s="55" t="n">
        <f aca="false">SUMIFS(데이터_품목별!$J$3:$J$2984,데이터_품목별!$E$3:$E$2984,"63",데이터_품목별!$A$3:$A$2984,"2024.08")</f>
        <v>112096</v>
      </c>
      <c r="K168" s="55" t="n">
        <f aca="false">SUMIFS(데이터_품목별!$J$3:$J$2984,데이터_품목별!$E$3:$E$2984,"63",데이터_품목별!$A$3:$A$2984,"2024.09")</f>
        <v>106497</v>
      </c>
      <c r="L168" s="55" t="n">
        <f aca="false">SUMIFS(데이터_품목별!$J$3:$J$2984,데이터_품목별!$E$3:$E$2984,"63",데이터_품목별!$A$3:$A$2984,"2024.10")</f>
        <v>121062</v>
      </c>
      <c r="M168" s="55" t="n">
        <f aca="false">SUMIFS(데이터_품목별!$J$3:$J$2984,데이터_품목별!$E$3:$E$2984,"63",데이터_품목별!$A$3:$A$2984,"2024.11")</f>
        <v>107564</v>
      </c>
      <c r="N168" s="55" t="n">
        <f aca="false">SUMIFS(데이터_품목별!$J$3:$J$2984,데이터_품목별!$E$3:$E$2984,"63",데이터_품목별!$A$3:$A$2984,"2024.12")</f>
        <v>118669</v>
      </c>
      <c r="O168" s="55" t="n">
        <f aca="false">SUMIFS(데이터_품목별!$J$3:$J$2984,데이터_품목별!$E$3:$E$2984,"63",데이터_품목별!$A$3:$A$2984,"2025.01")</f>
        <v>97922</v>
      </c>
      <c r="P168" s="55" t="n">
        <f aca="false">SUMIFS(데이터_품목별!$J$3:$J$2984,데이터_품목별!$E$3:$E$2984,"63",데이터_품목별!$A$3:$A$2984,"2025.02")</f>
        <v>74884</v>
      </c>
      <c r="Q168" s="55" t="n">
        <f aca="false">SUMIFS(데이터_품목별!$J$3:$J$2984,데이터_품목별!$E$3:$E$2984,"63",데이터_품목별!$A$3:$A$2984,"2025.03")</f>
        <v>100960</v>
      </c>
      <c r="R168" s="55" t="n">
        <f aca="false">SUMIFS(데이터_품목별!$J$3:$J$2984,데이터_품목별!$E$3:$E$2984,"63",데이터_품목별!$A$3:$A$2984,"2025.04")</f>
        <v>121693</v>
      </c>
      <c r="S168" s="55" t="n">
        <f aca="false">SUMIFS(데이터_품목별!$J$3:$J$2984,데이터_품목별!$E$3:$E$2984,"63",데이터_품목별!$A$3:$A$2984,"2025.05")</f>
        <v>116465</v>
      </c>
      <c r="T168" s="55" t="n">
        <f aca="false">SUMIFS(데이터_품목별!$J$3:$J$2984,데이터_품목별!$E$3:$E$2984,"63",데이터_품목별!$A$3:$A$2984,"2025.06")</f>
        <v>115791</v>
      </c>
      <c r="U168" s="55" t="n">
        <f aca="false">SUMIFS(데이터_품목별!$J$3:$J$2984,데이터_품목별!$E$3:$E$2984,"63",데이터_품목별!$A$3:$A$2984,"2025.07")</f>
        <v>125530</v>
      </c>
      <c r="V168" s="55" t="n">
        <f aca="false">SUMIFS(데이터_품목별!$J$3:$J$2984,데이터_품목별!$E$3:$E$2984,"63",데이터_품목별!$A$3:$A$2984,"2025.08")</f>
        <v>114711</v>
      </c>
      <c r="W168" s="55" t="n">
        <f aca="false">SUMIFS(데이터_품목별!$J$3:$J$2984,데이터_품목별!$E$3:$E$2984,"63",데이터_품목별!$A$3:$A$2984,"2025.09")</f>
        <v>129016</v>
      </c>
      <c r="X168" s="55" t="n">
        <f aca="false">SUMIFS(데이터_품목별!$J$3:$J$2984,데이터_품목별!$E$3:$E$2984,"63",데이터_품목별!$A$3:$A$2984,"2025.10")</f>
        <v>112059</v>
      </c>
      <c r="Y168" s="55" t="n">
        <f aca="false">SUMIFS(데이터_품목별!$J$3:$J$2984,데이터_품목별!$E$3:$E$2984,"63",데이터_품목별!$A$3:$A$2984,"2025.11")</f>
        <v>117278</v>
      </c>
      <c r="Z168" s="55" t="n">
        <f aca="false">SUMIFS(데이터_품목별!$J$3:$J$2984,데이터_품목별!$E$3:$E$2984,"63",데이터_품목별!$A$3:$A$2984,"2025.12")</f>
        <v>129696</v>
      </c>
      <c r="AA168" s="55" t="n">
        <f aca="false">SUMIFS(데이터_품목별!$J$3:$J$2984,데이터_품목별!$E$3:$E$2984,"63",데이터_품목별!$A$3:$A$2984,"2026.01")</f>
        <v>107230</v>
      </c>
      <c r="AB168" s="55" t="n">
        <f aca="false">SUMIFS(데이터_품목별!$J$3:$J$2984,데이터_품목별!$E$3:$E$2984,"63",데이터_품목별!$A$3:$A$2984,"2026.02")</f>
        <v>87762</v>
      </c>
      <c r="AC168" s="55" t="n">
        <f aca="false">SUMIFS(데이터_품목별!$J$3:$J$2984,데이터_품목별!$E$3:$E$2984,"63",데이터_품목별!$A$3:$A$2984,"2026.03")</f>
        <v>94174</v>
      </c>
      <c r="AD168" s="55" t="n">
        <f aca="false">SUMIFS(데이터_품목별!$J$3:$J$2984,데이터_품목별!$E$3:$E$2984,"63",데이터_품목별!$A$3:$A$2984,"2026.04")</f>
        <v>121768</v>
      </c>
      <c r="AE168" s="55" t="n">
        <f aca="false">SUMIFS(데이터_품목별!$J$3:$J$2984,데이터_품목별!$E$3:$E$2984,"63",데이터_품목별!$A$3:$A$2984,"2026.05")</f>
        <v>116657</v>
      </c>
      <c r="AF168" s="55" t="n">
        <f aca="false">SUMIFS(데이터_품목별!$J$3:$J$2984,데이터_품목별!$E$3:$E$2984,"63",데이터_품목별!$A$3:$A$2984,"2026.06")</f>
        <v>130874</v>
      </c>
      <c r="AG168" s="55" t="n">
        <f aca="false">SUMIFS(데이터_품목별!$J$3:$J$2984,데이터_품목별!$E$3:$E$2984,"63",데이터_품목별!$A$3:$A$2984,"2026.07")</f>
        <v>118350</v>
      </c>
    </row>
    <row r="169" customFormat="false" ht="15" hidden="false" customHeight="true" outlineLevel="0" collapsed="false">
      <c r="A169" s="53" t="s">
        <v>786</v>
      </c>
      <c r="B169" s="54" t="s">
        <v>787</v>
      </c>
      <c r="C169" s="55" t="n">
        <f aca="false">SUMIFS(데이터_품목별!$J$3:$J$2984,데이터_품목별!$E$3:$E$2984,"64",데이터_품목별!$A$3:$A$2984,"2024.01")</f>
        <v>333327</v>
      </c>
      <c r="D169" s="55" t="n">
        <f aca="false">SUMIFS(데이터_품목별!$J$3:$J$2984,데이터_품목별!$E$3:$E$2984,"64",데이터_품목별!$A$3:$A$2984,"2024.02")</f>
        <v>295841</v>
      </c>
      <c r="E169" s="55" t="n">
        <f aca="false">SUMIFS(데이터_품목별!$J$3:$J$2984,데이터_품목별!$E$3:$E$2984,"64",데이터_품목별!$A$3:$A$2984,"2024.03")</f>
        <v>284878</v>
      </c>
      <c r="F169" s="55" t="n">
        <f aca="false">SUMIFS(데이터_품목별!$J$3:$J$2984,데이터_품목별!$E$3:$E$2984,"64",데이터_품목별!$A$3:$A$2984,"2024.04")</f>
        <v>275918</v>
      </c>
      <c r="G169" s="55" t="n">
        <f aca="false">SUMIFS(데이터_품목별!$J$3:$J$2984,데이터_품목별!$E$3:$E$2984,"64",데이터_품목별!$A$3:$A$2984,"2024.05")</f>
        <v>297687</v>
      </c>
      <c r="H169" s="55" t="n">
        <f aca="false">SUMIFS(데이터_품목별!$J$3:$J$2984,데이터_품목별!$E$3:$E$2984,"64",데이터_품목별!$A$3:$A$2984,"2024.06")</f>
        <v>317457</v>
      </c>
      <c r="I169" s="55" t="n">
        <f aca="false">SUMIFS(데이터_품목별!$J$3:$J$2984,데이터_품목별!$E$3:$E$2984,"64",데이터_품목별!$A$3:$A$2984,"2024.07")</f>
        <v>301768</v>
      </c>
      <c r="J169" s="55" t="n">
        <f aca="false">SUMIFS(데이터_품목별!$J$3:$J$2984,데이터_품목별!$E$3:$E$2984,"64",데이터_품목별!$A$3:$A$2984,"2024.08")</f>
        <v>319114</v>
      </c>
      <c r="K169" s="55" t="n">
        <f aca="false">SUMIFS(데이터_품목별!$J$3:$J$2984,데이터_품목별!$E$3:$E$2984,"64",데이터_품목별!$A$3:$A$2984,"2024.09")</f>
        <v>313293</v>
      </c>
      <c r="L169" s="55" t="n">
        <f aca="false">SUMIFS(데이터_품목별!$J$3:$J$2984,데이터_품목별!$E$3:$E$2984,"64",데이터_품목별!$A$3:$A$2984,"2024.10")</f>
        <v>283779</v>
      </c>
      <c r="M169" s="55" t="n">
        <f aca="false">SUMIFS(데이터_품목별!$J$3:$J$2984,데이터_품목별!$E$3:$E$2984,"64",데이터_품목별!$A$3:$A$2984,"2024.11")</f>
        <v>271027</v>
      </c>
      <c r="N169" s="55" t="n">
        <f aca="false">SUMIFS(데이터_품목별!$J$3:$J$2984,데이터_품목별!$E$3:$E$2984,"64",데이터_품목별!$A$3:$A$2984,"2024.12")</f>
        <v>334017</v>
      </c>
      <c r="O169" s="55" t="n">
        <f aca="false">SUMIFS(데이터_품목별!$J$3:$J$2984,데이터_품목별!$E$3:$E$2984,"64",데이터_품목별!$A$3:$A$2984,"2025.01")</f>
        <v>321593</v>
      </c>
      <c r="P169" s="55" t="n">
        <f aca="false">SUMIFS(데이터_품목별!$J$3:$J$2984,데이터_품목별!$E$3:$E$2984,"64",데이터_품목별!$A$3:$A$2984,"2025.02")</f>
        <v>274686</v>
      </c>
      <c r="Q169" s="55" t="n">
        <f aca="false">SUMIFS(데이터_품목별!$J$3:$J$2984,데이터_품목별!$E$3:$E$2984,"64",데이터_품목별!$A$3:$A$2984,"2025.03")</f>
        <v>312251</v>
      </c>
      <c r="R169" s="55" t="n">
        <f aca="false">SUMIFS(데이터_품목별!$J$3:$J$2984,데이터_품목별!$E$3:$E$2984,"64",데이터_품목별!$A$3:$A$2984,"2025.04")</f>
        <v>286272</v>
      </c>
      <c r="S169" s="55" t="n">
        <f aca="false">SUMIFS(데이터_품목별!$J$3:$J$2984,데이터_품목별!$E$3:$E$2984,"64",데이터_품목별!$A$3:$A$2984,"2025.05")</f>
        <v>272904</v>
      </c>
      <c r="T169" s="55" t="n">
        <f aca="false">SUMIFS(데이터_품목별!$J$3:$J$2984,데이터_품목별!$E$3:$E$2984,"64",데이터_품목별!$A$3:$A$2984,"2025.06")</f>
        <v>316926</v>
      </c>
      <c r="U169" s="55" t="n">
        <f aca="false">SUMIFS(데이터_품목별!$J$3:$J$2984,데이터_품목별!$E$3:$E$2984,"64",데이터_품목별!$A$3:$A$2984,"2025.07")</f>
        <v>317861</v>
      </c>
      <c r="V169" s="55" t="n">
        <f aca="false">SUMIFS(데이터_품목별!$J$3:$J$2984,데이터_품목별!$E$3:$E$2984,"64",데이터_품목별!$A$3:$A$2984,"2025.08")</f>
        <v>280449</v>
      </c>
      <c r="W169" s="55" t="n">
        <f aca="false">SUMIFS(데이터_품목별!$J$3:$J$2984,데이터_품목별!$E$3:$E$2984,"64",데이터_품목별!$A$3:$A$2984,"2025.09")</f>
        <v>283530</v>
      </c>
      <c r="X169" s="55" t="n">
        <f aca="false">SUMIFS(데이터_품목별!$J$3:$J$2984,데이터_품목별!$E$3:$E$2984,"64",데이터_품목별!$A$3:$A$2984,"2025.10")</f>
        <v>244105</v>
      </c>
      <c r="Y169" s="55" t="n">
        <f aca="false">SUMIFS(데이터_품목별!$J$3:$J$2984,데이터_품목별!$E$3:$E$2984,"64",데이터_품목별!$A$3:$A$2984,"2025.11")</f>
        <v>249879</v>
      </c>
      <c r="Z169" s="55" t="n">
        <f aca="false">SUMIFS(데이터_품목별!$J$3:$J$2984,데이터_품목별!$E$3:$E$2984,"64",데이터_품목별!$A$3:$A$2984,"2025.12")</f>
        <v>346743</v>
      </c>
      <c r="AA169" s="55" t="n">
        <f aca="false">SUMIFS(데이터_품목별!$J$3:$J$2984,데이터_품목별!$E$3:$E$2984,"64",데이터_품목별!$A$3:$A$2984,"2026.01")</f>
        <v>304454</v>
      </c>
      <c r="AB169" s="55" t="n">
        <f aca="false">SUMIFS(데이터_품목별!$J$3:$J$2984,데이터_품목별!$E$3:$E$2984,"64",데이터_품목별!$A$3:$A$2984,"2026.02")</f>
        <v>291470</v>
      </c>
      <c r="AC169" s="55" t="n">
        <f aca="false">SUMIFS(데이터_품목별!$J$3:$J$2984,데이터_품목별!$E$3:$E$2984,"64",데이터_품목별!$A$3:$A$2984,"2026.03")</f>
        <v>282512</v>
      </c>
      <c r="AD169" s="55" t="n">
        <f aca="false">SUMIFS(데이터_품목별!$J$3:$J$2984,데이터_품목별!$E$3:$E$2984,"64",데이터_품목별!$A$3:$A$2984,"2026.04")</f>
        <v>270804</v>
      </c>
      <c r="AE169" s="55" t="n">
        <f aca="false">SUMIFS(데이터_품목별!$J$3:$J$2984,데이터_품목별!$E$3:$E$2984,"64",데이터_품목별!$A$3:$A$2984,"2026.05")</f>
        <v>278048</v>
      </c>
      <c r="AF169" s="55" t="n">
        <f aca="false">SUMIFS(데이터_품목별!$J$3:$J$2984,데이터_품목별!$E$3:$E$2984,"64",데이터_품목별!$A$3:$A$2984,"2026.06")</f>
        <v>346984</v>
      </c>
      <c r="AG169" s="55" t="n">
        <f aca="false">SUMIFS(데이터_품목별!$J$3:$J$2984,데이터_품목별!$E$3:$E$2984,"64",데이터_품목별!$A$3:$A$2984,"2026.07")</f>
        <v>295391</v>
      </c>
    </row>
    <row r="170" customFormat="false" ht="15" hidden="false" customHeight="true" outlineLevel="0" collapsed="false">
      <c r="A170" s="53" t="s">
        <v>793</v>
      </c>
      <c r="B170" s="54" t="s">
        <v>794</v>
      </c>
      <c r="C170" s="55" t="n">
        <f aca="false">SUMIFS(데이터_품목별!$J$3:$J$2984,데이터_품목별!$E$3:$E$2984,"65",데이터_품목별!$A$3:$A$2984,"2024.01")</f>
        <v>26103</v>
      </c>
      <c r="D170" s="55" t="n">
        <f aca="false">SUMIFS(데이터_품목별!$J$3:$J$2984,데이터_품목별!$E$3:$E$2984,"65",데이터_품목별!$A$3:$A$2984,"2024.02")</f>
        <v>17852</v>
      </c>
      <c r="E170" s="55" t="n">
        <f aca="false">SUMIFS(데이터_품목별!$J$3:$J$2984,데이터_품목별!$E$3:$E$2984,"65",데이터_품목별!$A$3:$A$2984,"2024.03")</f>
        <v>24150</v>
      </c>
      <c r="F170" s="55" t="n">
        <f aca="false">SUMIFS(데이터_품목별!$J$3:$J$2984,데이터_품목별!$E$3:$E$2984,"65",데이터_품목별!$A$3:$A$2984,"2024.04")</f>
        <v>29422</v>
      </c>
      <c r="G170" s="55" t="n">
        <f aca="false">SUMIFS(데이터_품목별!$J$3:$J$2984,데이터_품목별!$E$3:$E$2984,"65",데이터_품목별!$A$3:$A$2984,"2024.05")</f>
        <v>26590</v>
      </c>
      <c r="H170" s="55" t="n">
        <f aca="false">SUMIFS(데이터_품목별!$J$3:$J$2984,데이터_품목별!$E$3:$E$2984,"65",데이터_품목별!$A$3:$A$2984,"2024.06")</f>
        <v>25279</v>
      </c>
      <c r="I170" s="55" t="n">
        <f aca="false">SUMIFS(데이터_품목별!$J$3:$J$2984,데이터_품목별!$E$3:$E$2984,"65",데이터_품목별!$A$3:$A$2984,"2024.07")</f>
        <v>27675</v>
      </c>
      <c r="J170" s="55" t="n">
        <f aca="false">SUMIFS(데이터_품목별!$J$3:$J$2984,데이터_품목별!$E$3:$E$2984,"65",데이터_품목별!$A$3:$A$2984,"2024.08")</f>
        <v>26028</v>
      </c>
      <c r="K170" s="55" t="n">
        <f aca="false">SUMIFS(데이터_품목별!$J$3:$J$2984,데이터_품목별!$E$3:$E$2984,"65",데이터_품목별!$A$3:$A$2984,"2024.09")</f>
        <v>25379</v>
      </c>
      <c r="L170" s="55" t="n">
        <f aca="false">SUMIFS(데이터_품목별!$J$3:$J$2984,데이터_품목별!$E$3:$E$2984,"65",데이터_품목별!$A$3:$A$2984,"2024.10")</f>
        <v>26426</v>
      </c>
      <c r="M170" s="55" t="n">
        <f aca="false">SUMIFS(데이터_품목별!$J$3:$J$2984,데이터_품목별!$E$3:$E$2984,"65",데이터_품목별!$A$3:$A$2984,"2024.11")</f>
        <v>21277</v>
      </c>
      <c r="N170" s="55" t="n">
        <f aca="false">SUMIFS(데이터_품목별!$J$3:$J$2984,데이터_품목별!$E$3:$E$2984,"65",데이터_품목별!$A$3:$A$2984,"2024.12")</f>
        <v>24868</v>
      </c>
      <c r="O170" s="55" t="n">
        <f aca="false">SUMIFS(데이터_품목별!$J$3:$J$2984,데이터_품목별!$E$3:$E$2984,"65",데이터_품목별!$A$3:$A$2984,"2025.01")</f>
        <v>23324</v>
      </c>
      <c r="P170" s="55" t="n">
        <f aca="false">SUMIFS(데이터_품목별!$J$3:$J$2984,데이터_품목별!$E$3:$E$2984,"65",데이터_품목별!$A$3:$A$2984,"2025.02")</f>
        <v>22230</v>
      </c>
      <c r="Q170" s="55" t="n">
        <f aca="false">SUMIFS(데이터_품목별!$J$3:$J$2984,데이터_품목별!$E$3:$E$2984,"65",데이터_품목별!$A$3:$A$2984,"2025.03")</f>
        <v>26516</v>
      </c>
      <c r="R170" s="55" t="n">
        <f aca="false">SUMIFS(데이터_품목별!$J$3:$J$2984,데이터_품목별!$E$3:$E$2984,"65",데이터_품목별!$A$3:$A$2984,"2025.04")</f>
        <v>30047</v>
      </c>
      <c r="S170" s="55" t="n">
        <f aca="false">SUMIFS(데이터_품목별!$J$3:$J$2984,데이터_품목별!$E$3:$E$2984,"65",데이터_품목별!$A$3:$A$2984,"2025.05")</f>
        <v>23947</v>
      </c>
      <c r="T170" s="55" t="n">
        <f aca="false">SUMIFS(데이터_품목별!$J$3:$J$2984,데이터_품목별!$E$3:$E$2984,"65",데이터_품목별!$A$3:$A$2984,"2025.06")</f>
        <v>27315</v>
      </c>
      <c r="U170" s="55" t="n">
        <f aca="false">SUMIFS(데이터_품목별!$J$3:$J$2984,데이터_품목별!$E$3:$E$2984,"65",데이터_품목별!$A$3:$A$2984,"2025.07")</f>
        <v>27099</v>
      </c>
      <c r="V170" s="55" t="n">
        <f aca="false">SUMIFS(데이터_품목별!$J$3:$J$2984,데이터_품목별!$E$3:$E$2984,"65",데이터_품목별!$A$3:$A$2984,"2025.08")</f>
        <v>23269</v>
      </c>
      <c r="W170" s="55" t="n">
        <f aca="false">SUMIFS(데이터_품목별!$J$3:$J$2984,데이터_품목별!$E$3:$E$2984,"65",데이터_품목별!$A$3:$A$2984,"2025.09")</f>
        <v>28904</v>
      </c>
      <c r="X170" s="55" t="n">
        <f aca="false">SUMIFS(데이터_품목별!$J$3:$J$2984,데이터_품목별!$E$3:$E$2984,"65",데이터_품목별!$A$3:$A$2984,"2025.10")</f>
        <v>24434</v>
      </c>
      <c r="Y170" s="55" t="n">
        <f aca="false">SUMIFS(데이터_품목별!$J$3:$J$2984,데이터_품목별!$E$3:$E$2984,"65",데이터_품목별!$A$3:$A$2984,"2025.11")</f>
        <v>23747</v>
      </c>
      <c r="Z170" s="55" t="n">
        <f aca="false">SUMIFS(데이터_품목별!$J$3:$J$2984,데이터_품목별!$E$3:$E$2984,"65",데이터_품목별!$A$3:$A$2984,"2025.12")</f>
        <v>27468</v>
      </c>
      <c r="AA170" s="55" t="n">
        <f aca="false">SUMIFS(데이터_품목별!$J$3:$J$2984,데이터_품목별!$E$3:$E$2984,"65",데이터_품목별!$A$3:$A$2984,"2026.01")</f>
        <v>25172</v>
      </c>
      <c r="AB170" s="55" t="n">
        <f aca="false">SUMIFS(데이터_품목별!$J$3:$J$2984,데이터_품목별!$E$3:$E$2984,"65",데이터_품목별!$A$3:$A$2984,"2026.02")</f>
        <v>23628</v>
      </c>
      <c r="AC170" s="55" t="n">
        <f aca="false">SUMIFS(데이터_품목별!$J$3:$J$2984,데이터_품목별!$E$3:$E$2984,"65",데이터_품목별!$A$3:$A$2984,"2026.03")</f>
        <v>25860</v>
      </c>
      <c r="AD170" s="55" t="n">
        <f aca="false">SUMIFS(데이터_품목별!$J$3:$J$2984,데이터_품목별!$E$3:$E$2984,"65",데이터_품목별!$A$3:$A$2984,"2026.04")</f>
        <v>29689</v>
      </c>
      <c r="AE170" s="55" t="n">
        <f aca="false">SUMIFS(데이터_품목별!$J$3:$J$2984,데이터_품목별!$E$3:$E$2984,"65",데이터_품목별!$A$3:$A$2984,"2026.05")</f>
        <v>25811</v>
      </c>
      <c r="AF170" s="55" t="n">
        <f aca="false">SUMIFS(데이터_품목별!$J$3:$J$2984,데이터_품목별!$E$3:$E$2984,"65",데이터_품목별!$A$3:$A$2984,"2026.06")</f>
        <v>29444</v>
      </c>
      <c r="AG170" s="55" t="n">
        <f aca="false">SUMIFS(데이터_품목별!$J$3:$J$2984,데이터_품목별!$E$3:$E$2984,"65",데이터_품목별!$A$3:$A$2984,"2026.07")</f>
        <v>26525</v>
      </c>
    </row>
    <row r="171" customFormat="false" ht="15" hidden="false" customHeight="true" outlineLevel="0" collapsed="false">
      <c r="A171" s="53" t="s">
        <v>800</v>
      </c>
      <c r="B171" s="54" t="s">
        <v>801</v>
      </c>
      <c r="C171" s="55" t="n">
        <f aca="false">SUMIFS(데이터_품목별!$J$3:$J$2984,데이터_품목별!$E$3:$E$2984,"66",데이터_품목별!$A$3:$A$2984,"2024.01")</f>
        <v>9780</v>
      </c>
      <c r="D171" s="55" t="n">
        <f aca="false">SUMIFS(데이터_품목별!$J$3:$J$2984,데이터_품목별!$E$3:$E$2984,"66",데이터_품목별!$A$3:$A$2984,"2024.02")</f>
        <v>8559</v>
      </c>
      <c r="E171" s="55" t="n">
        <f aca="false">SUMIFS(데이터_품목별!$J$3:$J$2984,데이터_품목별!$E$3:$E$2984,"66",데이터_품목별!$A$3:$A$2984,"2024.03")</f>
        <v>12414</v>
      </c>
      <c r="F171" s="55" t="n">
        <f aca="false">SUMIFS(데이터_품목별!$J$3:$J$2984,데이터_품목별!$E$3:$E$2984,"66",데이터_품목별!$A$3:$A$2984,"2024.04")</f>
        <v>17957</v>
      </c>
      <c r="G171" s="55" t="n">
        <f aca="false">SUMIFS(데이터_품목별!$J$3:$J$2984,데이터_품목별!$E$3:$E$2984,"66",데이터_품목별!$A$3:$A$2984,"2024.05")</f>
        <v>22525</v>
      </c>
      <c r="H171" s="55" t="n">
        <f aca="false">SUMIFS(데이터_품목별!$J$3:$J$2984,데이터_품목별!$E$3:$E$2984,"66",데이터_품목별!$A$3:$A$2984,"2024.06")</f>
        <v>18833</v>
      </c>
      <c r="I171" s="55" t="n">
        <f aca="false">SUMIFS(데이터_품목별!$J$3:$J$2984,데이터_품목별!$E$3:$E$2984,"66",데이터_품목별!$A$3:$A$2984,"2024.07")</f>
        <v>22497</v>
      </c>
      <c r="J171" s="55" t="n">
        <f aca="false">SUMIFS(데이터_품목별!$J$3:$J$2984,데이터_품목별!$E$3:$E$2984,"66",데이터_품목별!$A$3:$A$2984,"2024.08")</f>
        <v>12177</v>
      </c>
      <c r="K171" s="55" t="n">
        <f aca="false">SUMIFS(데이터_품목별!$J$3:$J$2984,데이터_품목별!$E$3:$E$2984,"66",데이터_품목별!$A$3:$A$2984,"2024.09")</f>
        <v>8775</v>
      </c>
      <c r="L171" s="55" t="n">
        <f aca="false">SUMIFS(데이터_품목별!$J$3:$J$2984,데이터_품목별!$E$3:$E$2984,"66",데이터_품목별!$A$3:$A$2984,"2024.10")</f>
        <v>8530</v>
      </c>
      <c r="M171" s="55" t="n">
        <f aca="false">SUMIFS(데이터_품목별!$J$3:$J$2984,데이터_품목별!$E$3:$E$2984,"66",데이터_품목별!$A$3:$A$2984,"2024.11")</f>
        <v>6160</v>
      </c>
      <c r="N171" s="55" t="n">
        <f aca="false">SUMIFS(데이터_품목별!$J$3:$J$2984,데이터_품목별!$E$3:$E$2984,"66",데이터_품목별!$A$3:$A$2984,"2024.12")</f>
        <v>7435</v>
      </c>
      <c r="O171" s="55" t="n">
        <f aca="false">SUMIFS(데이터_품목별!$J$3:$J$2984,데이터_품목별!$E$3:$E$2984,"66",데이터_품목별!$A$3:$A$2984,"2025.01")</f>
        <v>6487</v>
      </c>
      <c r="P171" s="55" t="n">
        <f aca="false">SUMIFS(데이터_품목별!$J$3:$J$2984,데이터_품목별!$E$3:$E$2984,"66",데이터_품목별!$A$3:$A$2984,"2025.02")</f>
        <v>6966</v>
      </c>
      <c r="Q171" s="55" t="n">
        <f aca="false">SUMIFS(데이터_품목별!$J$3:$J$2984,데이터_품목별!$E$3:$E$2984,"66",데이터_품목별!$A$3:$A$2984,"2025.03")</f>
        <v>11095</v>
      </c>
      <c r="R171" s="55" t="n">
        <f aca="false">SUMIFS(데이터_품목별!$J$3:$J$2984,데이터_품목별!$E$3:$E$2984,"66",데이터_품목별!$A$3:$A$2984,"2025.04")</f>
        <v>16997</v>
      </c>
      <c r="S171" s="55" t="n">
        <f aca="false">SUMIFS(데이터_품목별!$J$3:$J$2984,데이터_품목별!$E$3:$E$2984,"66",데이터_품목별!$A$3:$A$2984,"2025.05")</f>
        <v>16126</v>
      </c>
      <c r="T171" s="55" t="n">
        <f aca="false">SUMIFS(데이터_품목별!$J$3:$J$2984,데이터_품목별!$E$3:$E$2984,"66",데이터_품목별!$A$3:$A$2984,"2025.06")</f>
        <v>16653</v>
      </c>
      <c r="U171" s="55" t="n">
        <f aca="false">SUMIFS(데이터_품목별!$J$3:$J$2984,데이터_품목별!$E$3:$E$2984,"66",데이터_품목별!$A$3:$A$2984,"2025.07")</f>
        <v>17205</v>
      </c>
      <c r="V171" s="55" t="n">
        <f aca="false">SUMIFS(데이터_품목별!$J$3:$J$2984,데이터_품목별!$E$3:$E$2984,"66",데이터_품목별!$A$3:$A$2984,"2025.08")</f>
        <v>12606</v>
      </c>
      <c r="W171" s="55" t="n">
        <f aca="false">SUMIFS(데이터_품목별!$J$3:$J$2984,데이터_품목별!$E$3:$E$2984,"66",데이터_품목별!$A$3:$A$2984,"2025.09")</f>
        <v>10068</v>
      </c>
      <c r="X171" s="55" t="n">
        <f aca="false">SUMIFS(데이터_품목별!$J$3:$J$2984,데이터_품목별!$E$3:$E$2984,"66",데이터_품목별!$A$3:$A$2984,"2025.10")</f>
        <v>7755</v>
      </c>
      <c r="Y171" s="55" t="n">
        <f aca="false">SUMIFS(데이터_품목별!$J$3:$J$2984,데이터_품목별!$E$3:$E$2984,"66",데이터_품목별!$A$3:$A$2984,"2025.11")</f>
        <v>6338</v>
      </c>
      <c r="Z171" s="55" t="n">
        <f aca="false">SUMIFS(데이터_품목별!$J$3:$J$2984,데이터_품목별!$E$3:$E$2984,"66",데이터_품목별!$A$3:$A$2984,"2025.12")</f>
        <v>8388</v>
      </c>
      <c r="AA171" s="55" t="n">
        <f aca="false">SUMIFS(데이터_품목별!$J$3:$J$2984,데이터_품목별!$E$3:$E$2984,"66",데이터_품목별!$A$3:$A$2984,"2026.01")</f>
        <v>6760</v>
      </c>
      <c r="AB171" s="55" t="n">
        <f aca="false">SUMIFS(데이터_품목별!$J$3:$J$2984,데이터_품목별!$E$3:$E$2984,"66",데이터_품목별!$A$3:$A$2984,"2026.02")</f>
        <v>8004</v>
      </c>
      <c r="AC171" s="55" t="n">
        <f aca="false">SUMIFS(데이터_품목별!$J$3:$J$2984,데이터_품목별!$E$3:$E$2984,"66",데이터_품목별!$A$3:$A$2984,"2026.03")</f>
        <v>8803</v>
      </c>
      <c r="AD171" s="55" t="n">
        <f aca="false">SUMIFS(데이터_품목별!$J$3:$J$2984,데이터_품목별!$E$3:$E$2984,"66",데이터_품목별!$A$3:$A$2984,"2026.04")</f>
        <v>16616</v>
      </c>
      <c r="AE171" s="55" t="n">
        <f aca="false">SUMIFS(데이터_품목별!$J$3:$J$2984,데이터_품목별!$E$3:$E$2984,"66",데이터_품목별!$A$3:$A$2984,"2026.05")</f>
        <v>16826</v>
      </c>
      <c r="AF171" s="55" t="n">
        <f aca="false">SUMIFS(데이터_품목별!$J$3:$J$2984,데이터_품목별!$E$3:$E$2984,"66",데이터_품목별!$A$3:$A$2984,"2026.06")</f>
        <v>19536</v>
      </c>
      <c r="AG171" s="55" t="n">
        <f aca="false">SUMIFS(데이터_품목별!$J$3:$J$2984,데이터_품목별!$E$3:$E$2984,"66",데이터_품목별!$A$3:$A$2984,"2026.07")</f>
        <v>16510</v>
      </c>
    </row>
    <row r="172" customFormat="false" ht="15" hidden="false" customHeight="true" outlineLevel="0" collapsed="false">
      <c r="A172" s="53" t="s">
        <v>806</v>
      </c>
      <c r="B172" s="54" t="s">
        <v>807</v>
      </c>
      <c r="C172" s="55" t="n">
        <f aca="false">SUMIFS(데이터_품목별!$J$3:$J$2984,데이터_품목별!$E$3:$E$2984,"67",데이터_품목별!$A$3:$A$2984,"2024.01")</f>
        <v>9996</v>
      </c>
      <c r="D172" s="55" t="n">
        <f aca="false">SUMIFS(데이터_품목별!$J$3:$J$2984,데이터_품목별!$E$3:$E$2984,"67",데이터_품목별!$A$3:$A$2984,"2024.02")</f>
        <v>5579</v>
      </c>
      <c r="E172" s="55" t="n">
        <f aca="false">SUMIFS(데이터_품목별!$J$3:$J$2984,데이터_품목별!$E$3:$E$2984,"67",데이터_품목별!$A$3:$A$2984,"2024.03")</f>
        <v>7384</v>
      </c>
      <c r="F172" s="55" t="n">
        <f aca="false">SUMIFS(데이터_품목별!$J$3:$J$2984,데이터_품목별!$E$3:$E$2984,"67",데이터_품목별!$A$3:$A$2984,"2024.04")</f>
        <v>8935</v>
      </c>
      <c r="G172" s="55" t="n">
        <f aca="false">SUMIFS(데이터_품목별!$J$3:$J$2984,데이터_품목별!$E$3:$E$2984,"67",데이터_품목별!$A$3:$A$2984,"2024.05")</f>
        <v>7727</v>
      </c>
      <c r="H172" s="55" t="n">
        <f aca="false">SUMIFS(데이터_품목별!$J$3:$J$2984,데이터_품목별!$E$3:$E$2984,"67",데이터_품목별!$A$3:$A$2984,"2024.06")</f>
        <v>7014</v>
      </c>
      <c r="I172" s="55" t="n">
        <f aca="false">SUMIFS(데이터_품목별!$J$3:$J$2984,데이터_품목별!$E$3:$E$2984,"67",데이터_품목별!$A$3:$A$2984,"2024.07")</f>
        <v>7816</v>
      </c>
      <c r="J172" s="55" t="n">
        <f aca="false">SUMIFS(데이터_품목별!$J$3:$J$2984,데이터_품목별!$E$3:$E$2984,"67",데이터_품목별!$A$3:$A$2984,"2024.08")</f>
        <v>7762</v>
      </c>
      <c r="K172" s="55" t="n">
        <f aca="false">SUMIFS(데이터_품목별!$J$3:$J$2984,데이터_품목별!$E$3:$E$2984,"67",데이터_품목별!$A$3:$A$2984,"2024.09")</f>
        <v>7237</v>
      </c>
      <c r="L172" s="55" t="n">
        <f aca="false">SUMIFS(데이터_품목별!$J$3:$J$2984,데이터_품목별!$E$3:$E$2984,"67",데이터_품목별!$A$3:$A$2984,"2024.10")</f>
        <v>7603</v>
      </c>
      <c r="M172" s="55" t="n">
        <f aca="false">SUMIFS(데이터_품목별!$J$3:$J$2984,데이터_품목별!$E$3:$E$2984,"67",데이터_품목별!$A$3:$A$2984,"2024.11")</f>
        <v>6867</v>
      </c>
      <c r="N172" s="55" t="n">
        <f aca="false">SUMIFS(데이터_품목별!$J$3:$J$2984,데이터_품목별!$E$3:$E$2984,"67",데이터_품목별!$A$3:$A$2984,"2024.12")</f>
        <v>9166</v>
      </c>
      <c r="O172" s="55" t="n">
        <f aca="false">SUMIFS(데이터_품목별!$J$3:$J$2984,데이터_품목별!$E$3:$E$2984,"67",데이터_품목별!$A$3:$A$2984,"2025.01")</f>
        <v>8501</v>
      </c>
      <c r="P172" s="55" t="n">
        <f aca="false">SUMIFS(데이터_품목별!$J$3:$J$2984,데이터_품목별!$E$3:$E$2984,"67",데이터_품목별!$A$3:$A$2984,"2025.02")</f>
        <v>4979</v>
      </c>
      <c r="Q172" s="55" t="n">
        <f aca="false">SUMIFS(데이터_품목별!$J$3:$J$2984,데이터_품목별!$E$3:$E$2984,"67",데이터_품목별!$A$3:$A$2984,"2025.03")</f>
        <v>7673</v>
      </c>
      <c r="R172" s="55" t="n">
        <f aca="false">SUMIFS(데이터_품목별!$J$3:$J$2984,데이터_품목별!$E$3:$E$2984,"67",데이터_품목별!$A$3:$A$2984,"2025.04")</f>
        <v>7956</v>
      </c>
      <c r="S172" s="55" t="n">
        <f aca="false">SUMIFS(데이터_품목별!$J$3:$J$2984,데이터_품목별!$E$3:$E$2984,"67",데이터_품목별!$A$3:$A$2984,"2025.05")</f>
        <v>7026</v>
      </c>
      <c r="T172" s="55" t="n">
        <f aca="false">SUMIFS(데이터_품목별!$J$3:$J$2984,데이터_품목별!$E$3:$E$2984,"67",데이터_품목별!$A$3:$A$2984,"2025.06")</f>
        <v>6369</v>
      </c>
      <c r="U172" s="55" t="n">
        <f aca="false">SUMIFS(데이터_품목별!$J$3:$J$2984,데이터_품목별!$E$3:$E$2984,"67",데이터_품목별!$A$3:$A$2984,"2025.07")</f>
        <v>7572</v>
      </c>
      <c r="V172" s="55" t="n">
        <f aca="false">SUMIFS(데이터_품목별!$J$3:$J$2984,데이터_품목별!$E$3:$E$2984,"67",데이터_품목별!$A$3:$A$2984,"2025.08")</f>
        <v>6874</v>
      </c>
      <c r="W172" s="55" t="n">
        <f aca="false">SUMIFS(데이터_품목별!$J$3:$J$2984,데이터_품목별!$E$3:$E$2984,"67",데이터_품목별!$A$3:$A$2984,"2025.09")</f>
        <v>8207</v>
      </c>
      <c r="X172" s="55" t="n">
        <f aca="false">SUMIFS(데이터_품목별!$J$3:$J$2984,데이터_품목별!$E$3:$E$2984,"67",데이터_품목별!$A$3:$A$2984,"2025.10")</f>
        <v>6866</v>
      </c>
      <c r="Y172" s="55" t="n">
        <f aca="false">SUMIFS(데이터_품목별!$J$3:$J$2984,데이터_품목별!$E$3:$E$2984,"67",데이터_품목별!$A$3:$A$2984,"2025.11")</f>
        <v>7501</v>
      </c>
      <c r="Z172" s="55" t="n">
        <f aca="false">SUMIFS(데이터_품목별!$J$3:$J$2984,데이터_품목별!$E$3:$E$2984,"67",데이터_품목별!$A$3:$A$2984,"2025.12")</f>
        <v>10112</v>
      </c>
      <c r="AA172" s="55" t="n">
        <f aca="false">SUMIFS(데이터_품목별!$J$3:$J$2984,데이터_품목별!$E$3:$E$2984,"67",데이터_품목별!$A$3:$A$2984,"2026.01")</f>
        <v>8685</v>
      </c>
      <c r="AB172" s="55" t="n">
        <f aca="false">SUMIFS(데이터_품목별!$J$3:$J$2984,데이터_품목별!$E$3:$E$2984,"67",데이터_품목별!$A$3:$A$2984,"2026.02")</f>
        <v>6978</v>
      </c>
      <c r="AC172" s="55" t="n">
        <f aca="false">SUMIFS(데이터_품목별!$J$3:$J$2984,데이터_품목별!$E$3:$E$2984,"67",데이터_품목별!$A$3:$A$2984,"2026.03")</f>
        <v>8940</v>
      </c>
      <c r="AD172" s="55" t="n">
        <f aca="false">SUMIFS(데이터_품목별!$J$3:$J$2984,데이터_품목별!$E$3:$E$2984,"67",데이터_품목별!$A$3:$A$2984,"2026.04")</f>
        <v>8382</v>
      </c>
      <c r="AE172" s="55" t="n">
        <f aca="false">SUMIFS(데이터_품목별!$J$3:$J$2984,데이터_품목별!$E$3:$E$2984,"67",데이터_품목별!$A$3:$A$2984,"2026.05")</f>
        <v>7801</v>
      </c>
      <c r="AF172" s="55" t="n">
        <f aca="false">SUMIFS(데이터_품목별!$J$3:$J$2984,데이터_품목별!$E$3:$E$2984,"67",데이터_품목별!$A$3:$A$2984,"2026.06")</f>
        <v>7572</v>
      </c>
      <c r="AG172" s="55" t="n">
        <f aca="false">SUMIFS(데이터_품목별!$J$3:$J$2984,데이터_품목별!$E$3:$E$2984,"67",데이터_품목별!$A$3:$A$2984,"2026.07")</f>
        <v>8729</v>
      </c>
    </row>
    <row r="173" customFormat="false" ht="15" hidden="false" customHeight="true" outlineLevel="0" collapsed="false">
      <c r="A173" s="53" t="s">
        <v>813</v>
      </c>
      <c r="B173" s="54" t="s">
        <v>814</v>
      </c>
      <c r="C173" s="55" t="n">
        <f aca="false">SUMIFS(데이터_품목별!$J$3:$J$2984,데이터_품목별!$E$3:$E$2984,"68",데이터_품목별!$A$3:$A$2984,"2024.01")</f>
        <v>121248</v>
      </c>
      <c r="D173" s="55" t="n">
        <f aca="false">SUMIFS(데이터_품목별!$J$3:$J$2984,데이터_품목별!$E$3:$E$2984,"68",데이터_품목별!$A$3:$A$2984,"2024.02")</f>
        <v>88482</v>
      </c>
      <c r="E173" s="55" t="n">
        <f aca="false">SUMIFS(데이터_품목별!$J$3:$J$2984,데이터_품목별!$E$3:$E$2984,"68",데이터_품목별!$A$3:$A$2984,"2024.03")</f>
        <v>108456</v>
      </c>
      <c r="F173" s="55" t="n">
        <f aca="false">SUMIFS(데이터_품목별!$J$3:$J$2984,데이터_품목별!$E$3:$E$2984,"68",데이터_품목별!$A$3:$A$2984,"2024.04")</f>
        <v>123510</v>
      </c>
      <c r="G173" s="55" t="n">
        <f aca="false">SUMIFS(데이터_품목별!$J$3:$J$2984,데이터_품목별!$E$3:$E$2984,"68",데이터_품목별!$A$3:$A$2984,"2024.05")</f>
        <v>126060</v>
      </c>
      <c r="H173" s="55" t="n">
        <f aca="false">SUMIFS(데이터_품목별!$J$3:$J$2984,데이터_품목별!$E$3:$E$2984,"68",데이터_품목별!$A$3:$A$2984,"2024.06")</f>
        <v>117385</v>
      </c>
      <c r="I173" s="55" t="n">
        <f aca="false">SUMIFS(데이터_품목별!$J$3:$J$2984,데이터_품목별!$E$3:$E$2984,"68",데이터_품목별!$A$3:$A$2984,"2024.07")</f>
        <v>123048</v>
      </c>
      <c r="J173" s="55" t="n">
        <f aca="false">SUMIFS(데이터_품목별!$J$3:$J$2984,데이터_품목별!$E$3:$E$2984,"68",데이터_품목별!$A$3:$A$2984,"2024.08")</f>
        <v>114622</v>
      </c>
      <c r="K173" s="55" t="n">
        <f aca="false">SUMIFS(데이터_품목별!$J$3:$J$2984,데이터_품목별!$E$3:$E$2984,"68",데이터_품목별!$A$3:$A$2984,"2024.09")</f>
        <v>102860</v>
      </c>
      <c r="L173" s="55" t="n">
        <f aca="false">SUMIFS(데이터_품목별!$J$3:$J$2984,데이터_품목별!$E$3:$E$2984,"68",데이터_품목별!$A$3:$A$2984,"2024.10")</f>
        <v>112450</v>
      </c>
      <c r="M173" s="55" t="n">
        <f aca="false">SUMIFS(데이터_품목별!$J$3:$J$2984,데이터_품목별!$E$3:$E$2984,"68",데이터_품목별!$A$3:$A$2984,"2024.11")</f>
        <v>105370</v>
      </c>
      <c r="N173" s="55" t="n">
        <f aca="false">SUMIFS(데이터_품목별!$J$3:$J$2984,데이터_품목별!$E$3:$E$2984,"68",데이터_품목별!$A$3:$A$2984,"2024.12")</f>
        <v>112514</v>
      </c>
      <c r="O173" s="55" t="n">
        <f aca="false">SUMIFS(데이터_품목별!$J$3:$J$2984,데이터_품목별!$E$3:$E$2984,"68",데이터_품목별!$A$3:$A$2984,"2025.01")</f>
        <v>103700</v>
      </c>
      <c r="P173" s="55" t="n">
        <f aca="false">SUMIFS(데이터_품목별!$J$3:$J$2984,데이터_품목별!$E$3:$E$2984,"68",데이터_품목별!$A$3:$A$2984,"2025.02")</f>
        <v>84554</v>
      </c>
      <c r="Q173" s="55" t="n">
        <f aca="false">SUMIFS(데이터_품목별!$J$3:$J$2984,데이터_품목별!$E$3:$E$2984,"68",데이터_품목별!$A$3:$A$2984,"2025.03")</f>
        <v>103863</v>
      </c>
      <c r="R173" s="55" t="n">
        <f aca="false">SUMIFS(데이터_품목별!$J$3:$J$2984,데이터_품목별!$E$3:$E$2984,"68",데이터_품목별!$A$3:$A$2984,"2025.04")</f>
        <v>119637</v>
      </c>
      <c r="S173" s="55" t="n">
        <f aca="false">SUMIFS(데이터_품목별!$J$3:$J$2984,데이터_품목별!$E$3:$E$2984,"68",데이터_품목별!$A$3:$A$2984,"2025.05")</f>
        <v>107993</v>
      </c>
      <c r="T173" s="55" t="n">
        <f aca="false">SUMIFS(데이터_품목별!$J$3:$J$2984,데이터_품목별!$E$3:$E$2984,"68",데이터_품목별!$A$3:$A$2984,"2025.06")</f>
        <v>104671</v>
      </c>
      <c r="U173" s="55" t="n">
        <f aca="false">SUMIFS(데이터_품목별!$J$3:$J$2984,데이터_품목별!$E$3:$E$2984,"68",데이터_품목별!$A$3:$A$2984,"2025.07")</f>
        <v>110462</v>
      </c>
      <c r="V173" s="55" t="n">
        <f aca="false">SUMIFS(데이터_품목별!$J$3:$J$2984,데이터_품목별!$E$3:$E$2984,"68",데이터_품목별!$A$3:$A$2984,"2025.08")</f>
        <v>111611</v>
      </c>
      <c r="W173" s="55" t="n">
        <f aca="false">SUMIFS(데이터_품목별!$J$3:$J$2984,데이터_품목별!$E$3:$E$2984,"68",데이터_품목별!$A$3:$A$2984,"2025.09")</f>
        <v>124757</v>
      </c>
      <c r="X173" s="55" t="n">
        <f aca="false">SUMIFS(데이터_품목별!$J$3:$J$2984,데이터_품목별!$E$3:$E$2984,"68",데이터_품목별!$A$3:$A$2984,"2025.10")</f>
        <v>105096</v>
      </c>
      <c r="Y173" s="55" t="n">
        <f aca="false">SUMIFS(데이터_품목별!$J$3:$J$2984,데이터_품목별!$E$3:$E$2984,"68",데이터_품목별!$A$3:$A$2984,"2025.11")</f>
        <v>103074</v>
      </c>
      <c r="Z173" s="55" t="n">
        <f aca="false">SUMIFS(데이터_품목별!$J$3:$J$2984,데이터_품목별!$E$3:$E$2984,"68",데이터_품목별!$A$3:$A$2984,"2025.12")</f>
        <v>114432</v>
      </c>
      <c r="AA173" s="55" t="n">
        <f aca="false">SUMIFS(데이터_품목별!$J$3:$J$2984,데이터_품목별!$E$3:$E$2984,"68",데이터_품목별!$A$3:$A$2984,"2026.01")</f>
        <v>102153</v>
      </c>
      <c r="AB173" s="55" t="n">
        <f aca="false">SUMIFS(데이터_품목별!$J$3:$J$2984,데이터_품목별!$E$3:$E$2984,"68",데이터_품목별!$A$3:$A$2984,"2026.02")</f>
        <v>89975</v>
      </c>
      <c r="AC173" s="55" t="n">
        <f aca="false">SUMIFS(데이터_품목별!$J$3:$J$2984,데이터_품목별!$E$3:$E$2984,"68",데이터_품목별!$A$3:$A$2984,"2026.03")</f>
        <v>95897</v>
      </c>
      <c r="AD173" s="55" t="n">
        <f aca="false">SUMIFS(데이터_품목별!$J$3:$J$2984,데이터_품목별!$E$3:$E$2984,"68",데이터_품목별!$A$3:$A$2984,"2026.04")</f>
        <v>111316</v>
      </c>
      <c r="AE173" s="55" t="n">
        <f aca="false">SUMIFS(데이터_품목별!$J$3:$J$2984,데이터_품목별!$E$3:$E$2984,"68",데이터_품목별!$A$3:$A$2984,"2026.05")</f>
        <v>101534</v>
      </c>
      <c r="AF173" s="55" t="n">
        <f aca="false">SUMIFS(데이터_품목별!$J$3:$J$2984,데이터_품목별!$E$3:$E$2984,"68",데이터_품목별!$A$3:$A$2984,"2026.06")</f>
        <v>107042</v>
      </c>
      <c r="AG173" s="55" t="n">
        <f aca="false">SUMIFS(데이터_품목별!$J$3:$J$2984,데이터_품목별!$E$3:$E$2984,"68",데이터_품목별!$A$3:$A$2984,"2026.07")</f>
        <v>102613</v>
      </c>
    </row>
    <row r="174" customFormat="false" ht="15" hidden="false" customHeight="true" outlineLevel="0" collapsed="false">
      <c r="A174" s="53" t="s">
        <v>820</v>
      </c>
      <c r="B174" s="54" t="s">
        <v>821</v>
      </c>
      <c r="C174" s="55" t="n">
        <f aca="false">SUMIFS(데이터_품목별!$J$3:$J$2984,데이터_품목별!$E$3:$E$2984,"69",데이터_품목별!$A$3:$A$2984,"2024.01")</f>
        <v>142171</v>
      </c>
      <c r="D174" s="55" t="n">
        <f aca="false">SUMIFS(데이터_품목별!$J$3:$J$2984,데이터_품목별!$E$3:$E$2984,"69",데이터_품목별!$A$3:$A$2984,"2024.02")</f>
        <v>108755</v>
      </c>
      <c r="E174" s="55" t="n">
        <f aca="false">SUMIFS(데이터_품목별!$J$3:$J$2984,데이터_품목별!$E$3:$E$2984,"69",데이터_품목별!$A$3:$A$2984,"2024.03")</f>
        <v>118085</v>
      </c>
      <c r="F174" s="55" t="n">
        <f aca="false">SUMIFS(데이터_품목별!$J$3:$J$2984,데이터_품목별!$E$3:$E$2984,"69",데이터_품목별!$A$3:$A$2984,"2024.04")</f>
        <v>143405</v>
      </c>
      <c r="G174" s="55" t="n">
        <f aca="false">SUMIFS(데이터_품목별!$J$3:$J$2984,데이터_품목별!$E$3:$E$2984,"69",데이터_품목별!$A$3:$A$2984,"2024.05")</f>
        <v>131721</v>
      </c>
      <c r="H174" s="55" t="n">
        <f aca="false">SUMIFS(데이터_품목별!$J$3:$J$2984,데이터_품목별!$E$3:$E$2984,"69",데이터_품목별!$A$3:$A$2984,"2024.06")</f>
        <v>129439</v>
      </c>
      <c r="I174" s="55" t="n">
        <f aca="false">SUMIFS(데이터_품목별!$J$3:$J$2984,데이터_품목별!$E$3:$E$2984,"69",데이터_품목별!$A$3:$A$2984,"2024.07")</f>
        <v>138737</v>
      </c>
      <c r="J174" s="55" t="n">
        <f aca="false">SUMIFS(데이터_품목별!$J$3:$J$2984,데이터_품목별!$E$3:$E$2984,"69",데이터_품목별!$A$3:$A$2984,"2024.08")</f>
        <v>131138</v>
      </c>
      <c r="K174" s="55" t="n">
        <f aca="false">SUMIFS(데이터_품목별!$J$3:$J$2984,데이터_품목별!$E$3:$E$2984,"69",데이터_품목별!$A$3:$A$2984,"2024.09")</f>
        <v>128015</v>
      </c>
      <c r="L174" s="55" t="n">
        <f aca="false">SUMIFS(데이터_품목별!$J$3:$J$2984,데이터_품목별!$E$3:$E$2984,"69",데이터_품목별!$A$3:$A$2984,"2024.10")</f>
        <v>138500</v>
      </c>
      <c r="M174" s="55" t="n">
        <f aca="false">SUMIFS(데이터_품목별!$J$3:$J$2984,데이터_품목별!$E$3:$E$2984,"69",데이터_품목별!$A$3:$A$2984,"2024.11")</f>
        <v>120560</v>
      </c>
      <c r="N174" s="55" t="n">
        <f aca="false">SUMIFS(데이터_품목별!$J$3:$J$2984,데이터_품목별!$E$3:$E$2984,"69",데이터_품목별!$A$3:$A$2984,"2024.12")</f>
        <v>148122</v>
      </c>
      <c r="O174" s="55" t="n">
        <f aca="false">SUMIFS(데이터_품목별!$J$3:$J$2984,데이터_품목별!$E$3:$E$2984,"69",데이터_품목별!$A$3:$A$2984,"2025.01")</f>
        <v>128803</v>
      </c>
      <c r="P174" s="55" t="n">
        <f aca="false">SUMIFS(데이터_품목별!$J$3:$J$2984,데이터_품목별!$E$3:$E$2984,"69",데이터_품목별!$A$3:$A$2984,"2025.02")</f>
        <v>124852</v>
      </c>
      <c r="Q174" s="55" t="n">
        <f aca="false">SUMIFS(데이터_품목별!$J$3:$J$2984,데이터_품목별!$E$3:$E$2984,"69",데이터_품목별!$A$3:$A$2984,"2025.03")</f>
        <v>121765</v>
      </c>
      <c r="R174" s="55" t="n">
        <f aca="false">SUMIFS(데이터_품목별!$J$3:$J$2984,데이터_품목별!$E$3:$E$2984,"69",데이터_품목별!$A$3:$A$2984,"2025.04")</f>
        <v>146682</v>
      </c>
      <c r="S174" s="55" t="n">
        <f aca="false">SUMIFS(데이터_품목별!$J$3:$J$2984,데이터_품목별!$E$3:$E$2984,"69",데이터_품목별!$A$3:$A$2984,"2025.05")</f>
        <v>129874</v>
      </c>
      <c r="T174" s="55" t="n">
        <f aca="false">SUMIFS(데이터_품목별!$J$3:$J$2984,데이터_품목별!$E$3:$E$2984,"69",데이터_품목별!$A$3:$A$2984,"2025.06")</f>
        <v>134282</v>
      </c>
      <c r="U174" s="55" t="n">
        <f aca="false">SUMIFS(데이터_품목별!$J$3:$J$2984,데이터_품목별!$E$3:$E$2984,"69",데이터_품목별!$A$3:$A$2984,"2025.07")</f>
        <v>139047</v>
      </c>
      <c r="V174" s="55" t="n">
        <f aca="false">SUMIFS(데이터_품목별!$J$3:$J$2984,데이터_품목별!$E$3:$E$2984,"69",데이터_품목별!$A$3:$A$2984,"2025.08")</f>
        <v>120263</v>
      </c>
      <c r="W174" s="55" t="n">
        <f aca="false">SUMIFS(데이터_품목별!$J$3:$J$2984,데이터_품목별!$E$3:$E$2984,"69",데이터_품목별!$A$3:$A$2984,"2025.09")</f>
        <v>132495</v>
      </c>
      <c r="X174" s="55" t="n">
        <f aca="false">SUMIFS(데이터_품목별!$J$3:$J$2984,데이터_품목별!$E$3:$E$2984,"69",데이터_품목별!$A$3:$A$2984,"2025.10")</f>
        <v>115812</v>
      </c>
      <c r="Y174" s="55" t="n">
        <f aca="false">SUMIFS(데이터_품목별!$J$3:$J$2984,데이터_품목별!$E$3:$E$2984,"69",데이터_품목별!$A$3:$A$2984,"2025.11")</f>
        <v>112887</v>
      </c>
      <c r="Z174" s="55" t="n">
        <f aca="false">SUMIFS(데이터_품목별!$J$3:$J$2984,데이터_품목별!$E$3:$E$2984,"69",데이터_품목별!$A$3:$A$2984,"2025.12")</f>
        <v>141269</v>
      </c>
      <c r="AA174" s="55" t="n">
        <f aca="false">SUMIFS(데이터_품목별!$J$3:$J$2984,데이터_품목별!$E$3:$E$2984,"69",데이터_품목별!$A$3:$A$2984,"2026.01")</f>
        <v>140054</v>
      </c>
      <c r="AB174" s="55" t="n">
        <f aca="false">SUMIFS(데이터_품목별!$J$3:$J$2984,데이터_품목별!$E$3:$E$2984,"69",데이터_품목별!$A$3:$A$2984,"2026.02")</f>
        <v>110534</v>
      </c>
      <c r="AC174" s="55" t="n">
        <f aca="false">SUMIFS(데이터_품목별!$J$3:$J$2984,데이터_품목별!$E$3:$E$2984,"69",데이터_품목별!$A$3:$A$2984,"2026.03")</f>
        <v>120255</v>
      </c>
      <c r="AD174" s="55" t="n">
        <f aca="false">SUMIFS(데이터_품목별!$J$3:$J$2984,데이터_품목별!$E$3:$E$2984,"69",데이터_품목별!$A$3:$A$2984,"2026.04")</f>
        <v>122189</v>
      </c>
      <c r="AE174" s="55" t="n">
        <f aca="false">SUMIFS(데이터_품목별!$J$3:$J$2984,데이터_품목별!$E$3:$E$2984,"69",데이터_품목별!$A$3:$A$2984,"2026.05")</f>
        <v>118444</v>
      </c>
      <c r="AF174" s="55" t="n">
        <f aca="false">SUMIFS(데이터_품목별!$J$3:$J$2984,데이터_품목별!$E$3:$E$2984,"69",데이터_품목별!$A$3:$A$2984,"2026.06")</f>
        <v>145062</v>
      </c>
      <c r="AG174" s="55" t="n">
        <f aca="false">SUMIFS(데이터_품목별!$J$3:$J$2984,데이터_품목별!$E$3:$E$2984,"69",데이터_품목별!$A$3:$A$2984,"2026.07")</f>
        <v>130432</v>
      </c>
    </row>
    <row r="175" customFormat="false" ht="15" hidden="false" customHeight="true" outlineLevel="0" collapsed="false">
      <c r="A175" s="53" t="s">
        <v>827</v>
      </c>
      <c r="B175" s="54" t="s">
        <v>828</v>
      </c>
      <c r="C175" s="55" t="n">
        <f aca="false">SUMIFS(데이터_품목별!$J$3:$J$2984,데이터_품목별!$E$3:$E$2984,"70",데이터_품목별!$A$3:$A$2984,"2024.01")</f>
        <v>217351</v>
      </c>
      <c r="D175" s="55" t="n">
        <f aca="false">SUMIFS(데이터_품목별!$J$3:$J$2984,데이터_품목별!$E$3:$E$2984,"70",데이터_품목별!$A$3:$A$2984,"2024.02")</f>
        <v>185011</v>
      </c>
      <c r="E175" s="55" t="n">
        <f aca="false">SUMIFS(데이터_품목별!$J$3:$J$2984,데이터_품목별!$E$3:$E$2984,"70",데이터_품목별!$A$3:$A$2984,"2024.03")</f>
        <v>219593</v>
      </c>
      <c r="F175" s="55" t="n">
        <f aca="false">SUMIFS(데이터_품목별!$J$3:$J$2984,데이터_품목별!$E$3:$E$2984,"70",데이터_품목별!$A$3:$A$2984,"2024.04")</f>
        <v>225606</v>
      </c>
      <c r="G175" s="55" t="n">
        <f aca="false">SUMIFS(데이터_품목별!$J$3:$J$2984,데이터_품목별!$E$3:$E$2984,"70",데이터_품목별!$A$3:$A$2984,"2024.05")</f>
        <v>229052</v>
      </c>
      <c r="H175" s="55" t="n">
        <f aca="false">SUMIFS(데이터_품목별!$J$3:$J$2984,데이터_품목별!$E$3:$E$2984,"70",데이터_품목별!$A$3:$A$2984,"2024.06")</f>
        <v>204655</v>
      </c>
      <c r="I175" s="55" t="n">
        <f aca="false">SUMIFS(데이터_품목별!$J$3:$J$2984,데이터_품목별!$E$3:$E$2984,"70",데이터_품목별!$A$3:$A$2984,"2024.07")</f>
        <v>227236</v>
      </c>
      <c r="J175" s="55" t="n">
        <f aca="false">SUMIFS(데이터_품목별!$J$3:$J$2984,데이터_품목별!$E$3:$E$2984,"70",데이터_품목별!$A$3:$A$2984,"2024.08")</f>
        <v>222116</v>
      </c>
      <c r="K175" s="55" t="n">
        <f aca="false">SUMIFS(데이터_품목별!$J$3:$J$2984,데이터_품목별!$E$3:$E$2984,"70",데이터_품목별!$A$3:$A$2984,"2024.09")</f>
        <v>226293</v>
      </c>
      <c r="L175" s="55" t="n">
        <f aca="false">SUMIFS(데이터_품목별!$J$3:$J$2984,데이터_품목별!$E$3:$E$2984,"70",데이터_품목별!$A$3:$A$2984,"2024.10")</f>
        <v>223986</v>
      </c>
      <c r="M175" s="55" t="n">
        <f aca="false">SUMIFS(데이터_품목별!$J$3:$J$2984,데이터_품목별!$E$3:$E$2984,"70",데이터_품목별!$A$3:$A$2984,"2024.11")</f>
        <v>203795</v>
      </c>
      <c r="N175" s="55" t="n">
        <f aca="false">SUMIFS(데이터_품목별!$J$3:$J$2984,데이터_품목별!$E$3:$E$2984,"70",데이터_품목별!$A$3:$A$2984,"2024.12")</f>
        <v>219791</v>
      </c>
      <c r="O175" s="55" t="n">
        <f aca="false">SUMIFS(데이터_품목별!$J$3:$J$2984,데이터_품목별!$E$3:$E$2984,"70",데이터_품목별!$A$3:$A$2984,"2025.01")</f>
        <v>194150</v>
      </c>
      <c r="P175" s="55" t="n">
        <f aca="false">SUMIFS(데이터_품목별!$J$3:$J$2984,데이터_품목별!$E$3:$E$2984,"70",데이터_품목별!$A$3:$A$2984,"2025.02")</f>
        <v>201144</v>
      </c>
      <c r="Q175" s="55" t="n">
        <f aca="false">SUMIFS(데이터_품목별!$J$3:$J$2984,데이터_품목별!$E$3:$E$2984,"70",데이터_품목별!$A$3:$A$2984,"2025.03")</f>
        <v>230387</v>
      </c>
      <c r="R175" s="55" t="n">
        <f aca="false">SUMIFS(데이터_품목별!$J$3:$J$2984,데이터_품목별!$E$3:$E$2984,"70",데이터_품목별!$A$3:$A$2984,"2025.04")</f>
        <v>236530</v>
      </c>
      <c r="S175" s="55" t="n">
        <f aca="false">SUMIFS(데이터_품목별!$J$3:$J$2984,데이터_품목별!$E$3:$E$2984,"70",데이터_품목별!$A$3:$A$2984,"2025.05")</f>
        <v>211390</v>
      </c>
      <c r="T175" s="55" t="n">
        <f aca="false">SUMIFS(데이터_품목별!$J$3:$J$2984,데이터_품목별!$E$3:$E$2984,"70",데이터_품목별!$A$3:$A$2984,"2025.06")</f>
        <v>224425</v>
      </c>
      <c r="U175" s="55" t="n">
        <f aca="false">SUMIFS(데이터_품목별!$J$3:$J$2984,데이터_품목별!$E$3:$E$2984,"70",데이터_품목별!$A$3:$A$2984,"2025.07")</f>
        <v>240563</v>
      </c>
      <c r="V175" s="55" t="n">
        <f aca="false">SUMIFS(데이터_품목별!$J$3:$J$2984,데이터_품목별!$E$3:$E$2984,"70",데이터_품목별!$A$3:$A$2984,"2025.08")</f>
        <v>209450</v>
      </c>
      <c r="W175" s="55" t="n">
        <f aca="false">SUMIFS(데이터_품목별!$J$3:$J$2984,데이터_품목별!$E$3:$E$2984,"70",데이터_품목별!$A$3:$A$2984,"2025.09")</f>
        <v>235725</v>
      </c>
      <c r="X175" s="55" t="n">
        <f aca="false">SUMIFS(데이터_품목별!$J$3:$J$2984,데이터_품목별!$E$3:$E$2984,"70",데이터_품목별!$A$3:$A$2984,"2025.10")</f>
        <v>206466</v>
      </c>
      <c r="Y175" s="55" t="n">
        <f aca="false">SUMIFS(데이터_품목별!$J$3:$J$2984,데이터_품목별!$E$3:$E$2984,"70",데이터_품목별!$A$3:$A$2984,"2025.11")</f>
        <v>215200</v>
      </c>
      <c r="Z175" s="55" t="n">
        <f aca="false">SUMIFS(데이터_품목별!$J$3:$J$2984,데이터_품목별!$E$3:$E$2984,"70",데이터_품목별!$A$3:$A$2984,"2025.12")</f>
        <v>249946</v>
      </c>
      <c r="AA175" s="55" t="n">
        <f aca="false">SUMIFS(데이터_품목별!$J$3:$J$2984,데이터_품목별!$E$3:$E$2984,"70",데이터_품목별!$A$3:$A$2984,"2026.01")</f>
        <v>227148</v>
      </c>
      <c r="AB175" s="55" t="n">
        <f aca="false">SUMIFS(데이터_품목별!$J$3:$J$2984,데이터_품목별!$E$3:$E$2984,"70",데이터_품목별!$A$3:$A$2984,"2026.02")</f>
        <v>216638</v>
      </c>
      <c r="AC175" s="55" t="n">
        <f aca="false">SUMIFS(데이터_품목별!$J$3:$J$2984,데이터_품목별!$E$3:$E$2984,"70",데이터_품목별!$A$3:$A$2984,"2026.03")</f>
        <v>261083</v>
      </c>
      <c r="AD175" s="55" t="n">
        <f aca="false">SUMIFS(데이터_품목별!$J$3:$J$2984,데이터_품목별!$E$3:$E$2984,"70",데이터_품목별!$A$3:$A$2984,"2026.04")</f>
        <v>276754</v>
      </c>
      <c r="AE175" s="55" t="n">
        <f aca="false">SUMIFS(데이터_품목별!$J$3:$J$2984,데이터_품목별!$E$3:$E$2984,"70",데이터_품목별!$A$3:$A$2984,"2026.05")</f>
        <v>226900</v>
      </c>
      <c r="AF175" s="55" t="n">
        <f aca="false">SUMIFS(데이터_품목별!$J$3:$J$2984,데이터_품목별!$E$3:$E$2984,"70",데이터_품목별!$A$3:$A$2984,"2026.06")</f>
        <v>271657</v>
      </c>
      <c r="AG175" s="55" t="n">
        <f aca="false">SUMIFS(데이터_품목별!$J$3:$J$2984,데이터_품목별!$E$3:$E$2984,"70",데이터_품목별!$A$3:$A$2984,"2026.07")</f>
        <v>259589</v>
      </c>
    </row>
    <row r="176" customFormat="false" ht="15" hidden="false" customHeight="true" outlineLevel="0" collapsed="false">
      <c r="A176" s="53" t="s">
        <v>834</v>
      </c>
      <c r="B176" s="54" t="s">
        <v>835</v>
      </c>
      <c r="C176" s="55" t="n">
        <f aca="false">SUMIFS(데이터_품목별!$J$3:$J$2984,데이터_품목별!$E$3:$E$2984,"71",데이터_품목별!$A$3:$A$2984,"2024.01")</f>
        <v>500809</v>
      </c>
      <c r="D176" s="55" t="n">
        <f aca="false">SUMIFS(데이터_품목별!$J$3:$J$2984,데이터_품목별!$E$3:$E$2984,"71",데이터_품목별!$A$3:$A$2984,"2024.02")</f>
        <v>319735</v>
      </c>
      <c r="E176" s="55" t="n">
        <f aca="false">SUMIFS(데이터_품목별!$J$3:$J$2984,데이터_품목별!$E$3:$E$2984,"71",데이터_품목별!$A$3:$A$2984,"2024.03")</f>
        <v>539151</v>
      </c>
      <c r="F176" s="55" t="n">
        <f aca="false">SUMIFS(데이터_품목별!$J$3:$J$2984,데이터_품목별!$E$3:$E$2984,"71",데이터_품목별!$A$3:$A$2984,"2024.04")</f>
        <v>925126</v>
      </c>
      <c r="G176" s="55" t="n">
        <f aca="false">SUMIFS(데이터_품목별!$J$3:$J$2984,데이터_품목별!$E$3:$E$2984,"71",데이터_품목별!$A$3:$A$2984,"2024.05")</f>
        <v>546545</v>
      </c>
      <c r="H176" s="55" t="n">
        <f aca="false">SUMIFS(데이터_품목별!$J$3:$J$2984,데이터_품목별!$E$3:$E$2984,"71",데이터_품목별!$A$3:$A$2984,"2024.06")</f>
        <v>380179</v>
      </c>
      <c r="I176" s="55" t="n">
        <f aca="false">SUMIFS(데이터_품목별!$J$3:$J$2984,데이터_품목별!$E$3:$E$2984,"71",데이터_품목별!$A$3:$A$2984,"2024.07")</f>
        <v>490515</v>
      </c>
      <c r="J176" s="55" t="n">
        <f aca="false">SUMIFS(데이터_품목별!$J$3:$J$2984,데이터_품목별!$E$3:$E$2984,"71",데이터_품목별!$A$3:$A$2984,"2024.08")</f>
        <v>665703</v>
      </c>
      <c r="K176" s="55" t="n">
        <f aca="false">SUMIFS(데이터_품목별!$J$3:$J$2984,데이터_품목별!$E$3:$E$2984,"71",데이터_품목별!$A$3:$A$2984,"2024.09")</f>
        <v>523414</v>
      </c>
      <c r="L176" s="55" t="n">
        <f aca="false">SUMIFS(데이터_품목별!$J$3:$J$2984,데이터_품목별!$E$3:$E$2984,"71",데이터_품목별!$A$3:$A$2984,"2024.10")</f>
        <v>647171</v>
      </c>
      <c r="M176" s="55" t="n">
        <f aca="false">SUMIFS(데이터_품목별!$J$3:$J$2984,데이터_품목별!$E$3:$E$2984,"71",데이터_품목별!$A$3:$A$2984,"2024.11")</f>
        <v>555701</v>
      </c>
      <c r="N176" s="55" t="n">
        <f aca="false">SUMIFS(데이터_품목별!$J$3:$J$2984,데이터_품목별!$E$3:$E$2984,"71",데이터_품목별!$A$3:$A$2984,"2024.12")</f>
        <v>487820</v>
      </c>
      <c r="O176" s="55" t="n">
        <f aca="false">SUMIFS(데이터_품목별!$J$3:$J$2984,데이터_품목별!$E$3:$E$2984,"71",데이터_품목별!$A$3:$A$2984,"2025.01")</f>
        <v>594367</v>
      </c>
      <c r="P176" s="55" t="n">
        <f aca="false">SUMIFS(데이터_품목별!$J$3:$J$2984,데이터_품목별!$E$3:$E$2984,"71",데이터_품목별!$A$3:$A$2984,"2025.02")</f>
        <v>1152867</v>
      </c>
      <c r="Q176" s="55" t="n">
        <f aca="false">SUMIFS(데이터_품목별!$J$3:$J$2984,데이터_품목별!$E$3:$E$2984,"71",데이터_품목별!$A$3:$A$2984,"2025.03")</f>
        <v>988434</v>
      </c>
      <c r="R176" s="55" t="n">
        <f aca="false">SUMIFS(데이터_품목별!$J$3:$J$2984,데이터_품목별!$E$3:$E$2984,"71",데이터_품목별!$A$3:$A$2984,"2025.04")</f>
        <v>569421</v>
      </c>
      <c r="S176" s="55" t="n">
        <f aca="false">SUMIFS(데이터_품목별!$J$3:$J$2984,데이터_품목별!$E$3:$E$2984,"71",데이터_품목별!$A$3:$A$2984,"2025.05")</f>
        <v>681186</v>
      </c>
      <c r="T176" s="55" t="n">
        <f aca="false">SUMIFS(데이터_품목별!$J$3:$J$2984,데이터_품목별!$E$3:$E$2984,"71",데이터_품목별!$A$3:$A$2984,"2025.06")</f>
        <v>658389</v>
      </c>
      <c r="U176" s="55" t="n">
        <f aca="false">SUMIFS(데이터_품목별!$J$3:$J$2984,데이터_품목별!$E$3:$E$2984,"71",데이터_품목별!$A$3:$A$2984,"2025.07")</f>
        <v>696269</v>
      </c>
      <c r="V176" s="55" t="n">
        <f aca="false">SUMIFS(데이터_품목별!$J$3:$J$2984,데이터_품목별!$E$3:$E$2984,"71",데이터_품목별!$A$3:$A$2984,"2025.08")</f>
        <v>575539</v>
      </c>
      <c r="W176" s="55" t="n">
        <f aca="false">SUMIFS(데이터_품목별!$J$3:$J$2984,데이터_품목별!$E$3:$E$2984,"71",데이터_품목별!$A$3:$A$2984,"2025.09")</f>
        <v>1273753</v>
      </c>
      <c r="X176" s="55" t="n">
        <f aca="false">SUMIFS(데이터_품목별!$J$3:$J$2984,데이터_품목별!$E$3:$E$2984,"71",데이터_품목별!$A$3:$A$2984,"2025.10")</f>
        <v>2610620</v>
      </c>
      <c r="Y176" s="55" t="n">
        <f aca="false">SUMIFS(데이터_품목별!$J$3:$J$2984,데이터_품목별!$E$3:$E$2984,"71",데이터_품목별!$A$3:$A$2984,"2025.11")</f>
        <v>2063873</v>
      </c>
      <c r="Z176" s="55" t="n">
        <f aca="false">SUMIFS(데이터_품목별!$J$3:$J$2984,데이터_품목별!$E$3:$E$2984,"71",데이터_품목별!$A$3:$A$2984,"2025.12")</f>
        <v>1484187</v>
      </c>
      <c r="AA176" s="55" t="n">
        <f aca="false">SUMIFS(데이터_품목별!$J$3:$J$2984,데이터_품목별!$E$3:$E$2984,"71",데이터_품목별!$A$3:$A$2984,"2026.01")</f>
        <v>1932630</v>
      </c>
      <c r="AB176" s="55" t="n">
        <f aca="false">SUMIFS(데이터_품목별!$J$3:$J$2984,데이터_품목별!$E$3:$E$2984,"71",데이터_품목별!$A$3:$A$2984,"2026.02")</f>
        <v>1985644</v>
      </c>
      <c r="AC176" s="55" t="n">
        <f aca="false">SUMIFS(데이터_품목별!$J$3:$J$2984,데이터_품목별!$E$3:$E$2984,"71",데이터_품목별!$A$3:$A$2984,"2026.03")</f>
        <v>1328718</v>
      </c>
      <c r="AD176" s="55" t="n">
        <f aca="false">SUMIFS(데이터_품목별!$J$3:$J$2984,데이터_품목별!$E$3:$E$2984,"71",데이터_품목별!$A$3:$A$2984,"2026.04")</f>
        <v>1097774</v>
      </c>
      <c r="AE176" s="55" t="n">
        <f aca="false">SUMIFS(데이터_품목별!$J$3:$J$2984,데이터_품목별!$E$3:$E$2984,"71",데이터_품목별!$A$3:$A$2984,"2026.05")</f>
        <v>1047935</v>
      </c>
      <c r="AF176" s="55" t="n">
        <f aca="false">SUMIFS(데이터_품목별!$J$3:$J$2984,데이터_품목별!$E$3:$E$2984,"71",데이터_품목별!$A$3:$A$2984,"2026.06")</f>
        <v>814545</v>
      </c>
      <c r="AG176" s="55" t="n">
        <f aca="false">SUMIFS(데이터_품목별!$J$3:$J$2984,데이터_품목별!$E$3:$E$2984,"71",데이터_품목별!$A$3:$A$2984,"2026.07")</f>
        <v>951534</v>
      </c>
    </row>
    <row r="177" customFormat="false" ht="15" hidden="false" customHeight="true" outlineLevel="0" collapsed="false">
      <c r="A177" s="53" t="s">
        <v>841</v>
      </c>
      <c r="B177" s="54" t="s">
        <v>842</v>
      </c>
      <c r="C177" s="55" t="n">
        <f aca="false">SUMIFS(데이터_품목별!$J$3:$J$2984,데이터_품목별!$E$3:$E$2984,"72",데이터_품목별!$A$3:$A$2984,"2024.01")</f>
        <v>1255753</v>
      </c>
      <c r="D177" s="55" t="n">
        <f aca="false">SUMIFS(데이터_품목별!$J$3:$J$2984,데이터_품목별!$E$3:$E$2984,"72",데이터_품목별!$A$3:$A$2984,"2024.02")</f>
        <v>1254325</v>
      </c>
      <c r="E177" s="55" t="n">
        <f aca="false">SUMIFS(데이터_품목별!$J$3:$J$2984,데이터_품목별!$E$3:$E$2984,"72",데이터_품목별!$A$3:$A$2984,"2024.03")</f>
        <v>1364423</v>
      </c>
      <c r="F177" s="55" t="n">
        <f aca="false">SUMIFS(데이터_품목별!$J$3:$J$2984,데이터_품목별!$E$3:$E$2984,"72",데이터_품목별!$A$3:$A$2984,"2024.04")</f>
        <v>1383588</v>
      </c>
      <c r="G177" s="55" t="n">
        <f aca="false">SUMIFS(데이터_품목별!$J$3:$J$2984,데이터_품목별!$E$3:$E$2984,"72",데이터_품목별!$A$3:$A$2984,"2024.05")</f>
        <v>1279082</v>
      </c>
      <c r="H177" s="55" t="n">
        <f aca="false">SUMIFS(데이터_품목별!$J$3:$J$2984,데이터_품목별!$E$3:$E$2984,"72",데이터_품목별!$A$3:$A$2984,"2024.06")</f>
        <v>1069643</v>
      </c>
      <c r="I177" s="55" t="n">
        <f aca="false">SUMIFS(데이터_품목별!$J$3:$J$2984,데이터_품목별!$E$3:$E$2984,"72",데이터_품목별!$A$3:$A$2984,"2024.07")</f>
        <v>1107067</v>
      </c>
      <c r="J177" s="55" t="n">
        <f aca="false">SUMIFS(데이터_품목별!$J$3:$J$2984,데이터_품목별!$E$3:$E$2984,"72",데이터_품목별!$A$3:$A$2984,"2024.08")</f>
        <v>1230224</v>
      </c>
      <c r="K177" s="55" t="n">
        <f aca="false">SUMIFS(데이터_품목별!$J$3:$J$2984,데이터_품목별!$E$3:$E$2984,"72",데이터_품목별!$A$3:$A$2984,"2024.09")</f>
        <v>1090540</v>
      </c>
      <c r="L177" s="55" t="n">
        <f aca="false">SUMIFS(데이터_품목별!$J$3:$J$2984,데이터_품목별!$E$3:$E$2984,"72",데이터_품목별!$A$3:$A$2984,"2024.10")</f>
        <v>1110001</v>
      </c>
      <c r="M177" s="55" t="n">
        <f aca="false">SUMIFS(데이터_품목별!$J$3:$J$2984,데이터_품목별!$E$3:$E$2984,"72",데이터_품목별!$A$3:$A$2984,"2024.11")</f>
        <v>1058574</v>
      </c>
      <c r="N177" s="55" t="n">
        <f aca="false">SUMIFS(데이터_품목별!$J$3:$J$2984,데이터_품목별!$E$3:$E$2984,"72",데이터_품목별!$A$3:$A$2984,"2024.12")</f>
        <v>1039294</v>
      </c>
      <c r="O177" s="55" t="n">
        <f aca="false">SUMIFS(데이터_품목별!$J$3:$J$2984,데이터_품목별!$E$3:$E$2984,"72",데이터_품목별!$A$3:$A$2984,"2025.01")</f>
        <v>932362</v>
      </c>
      <c r="P177" s="55" t="n">
        <f aca="false">SUMIFS(데이터_품목별!$J$3:$J$2984,데이터_품목별!$E$3:$E$2984,"72",데이터_품목별!$A$3:$A$2984,"2025.02")</f>
        <v>937307</v>
      </c>
      <c r="Q177" s="55" t="n">
        <f aca="false">SUMIFS(데이터_품목별!$J$3:$J$2984,데이터_품목별!$E$3:$E$2984,"72",데이터_품목별!$A$3:$A$2984,"2025.03")</f>
        <v>899092</v>
      </c>
      <c r="R177" s="55" t="n">
        <f aca="false">SUMIFS(데이터_품목별!$J$3:$J$2984,데이터_품목별!$E$3:$E$2984,"72",데이터_품목별!$A$3:$A$2984,"2025.04")</f>
        <v>1072336</v>
      </c>
      <c r="S177" s="55" t="n">
        <f aca="false">SUMIFS(데이터_품목별!$J$3:$J$2984,데이터_품목별!$E$3:$E$2984,"72",데이터_품목별!$A$3:$A$2984,"2025.05")</f>
        <v>988661</v>
      </c>
      <c r="T177" s="55" t="n">
        <f aca="false">SUMIFS(데이터_품목별!$J$3:$J$2984,데이터_품목별!$E$3:$E$2984,"72",데이터_품목별!$A$3:$A$2984,"2025.06")</f>
        <v>957763</v>
      </c>
      <c r="U177" s="55" t="n">
        <f aca="false">SUMIFS(데이터_품목별!$J$3:$J$2984,데이터_품목별!$E$3:$E$2984,"72",데이터_품목별!$A$3:$A$2984,"2025.07")</f>
        <v>1132563</v>
      </c>
      <c r="V177" s="55" t="n">
        <f aca="false">SUMIFS(데이터_품목별!$J$3:$J$2984,데이터_품목별!$E$3:$E$2984,"72",데이터_품목별!$A$3:$A$2984,"2025.08")</f>
        <v>958481</v>
      </c>
      <c r="W177" s="55" t="n">
        <f aca="false">SUMIFS(데이터_품목별!$J$3:$J$2984,데이터_품목별!$E$3:$E$2984,"72",데이터_품목별!$A$3:$A$2984,"2025.09")</f>
        <v>1101625</v>
      </c>
      <c r="X177" s="55" t="n">
        <f aca="false">SUMIFS(데이터_품목별!$J$3:$J$2984,데이터_품목별!$E$3:$E$2984,"72",데이터_품목별!$A$3:$A$2984,"2025.10")</f>
        <v>898308</v>
      </c>
      <c r="Y177" s="55" t="n">
        <f aca="false">SUMIFS(데이터_품목별!$J$3:$J$2984,데이터_품목별!$E$3:$E$2984,"72",데이터_품목별!$A$3:$A$2984,"2025.11")</f>
        <v>899878</v>
      </c>
      <c r="Z177" s="55" t="n">
        <f aca="false">SUMIFS(데이터_품목별!$J$3:$J$2984,데이터_품목별!$E$3:$E$2984,"72",데이터_품목별!$A$3:$A$2984,"2025.12")</f>
        <v>1056289</v>
      </c>
      <c r="AA177" s="55" t="n">
        <f aca="false">SUMIFS(데이터_품목별!$J$3:$J$2984,데이터_품목별!$E$3:$E$2984,"72",데이터_품목별!$A$3:$A$2984,"2026.01")</f>
        <v>905759</v>
      </c>
      <c r="AB177" s="55" t="n">
        <f aca="false">SUMIFS(데이터_품목별!$J$3:$J$2984,데이터_품목별!$E$3:$E$2984,"72",데이터_품목별!$A$3:$A$2984,"2026.02")</f>
        <v>882174</v>
      </c>
      <c r="AC177" s="55" t="n">
        <f aca="false">SUMIFS(데이터_품목별!$J$3:$J$2984,데이터_품목별!$E$3:$E$2984,"72",데이터_품목별!$A$3:$A$2984,"2026.03")</f>
        <v>1030824</v>
      </c>
      <c r="AD177" s="55" t="n">
        <f aca="false">SUMIFS(데이터_품목별!$J$3:$J$2984,데이터_품목별!$E$3:$E$2984,"72",데이터_품목별!$A$3:$A$2984,"2026.04")</f>
        <v>1012095</v>
      </c>
      <c r="AE177" s="55" t="n">
        <f aca="false">SUMIFS(데이터_품목별!$J$3:$J$2984,데이터_품목별!$E$3:$E$2984,"72",데이터_품목별!$A$3:$A$2984,"2026.05")</f>
        <v>992123</v>
      </c>
      <c r="AF177" s="55" t="n">
        <f aca="false">SUMIFS(데이터_품목별!$J$3:$J$2984,데이터_품목별!$E$3:$E$2984,"72",데이터_품목별!$A$3:$A$2984,"2026.06")</f>
        <v>1088202</v>
      </c>
      <c r="AG177" s="55" t="n">
        <f aca="false">SUMIFS(데이터_품목별!$J$3:$J$2984,데이터_품목별!$E$3:$E$2984,"72",데이터_품목별!$A$3:$A$2984,"2026.07")</f>
        <v>1075739</v>
      </c>
    </row>
    <row r="178" customFormat="false" ht="15" hidden="false" customHeight="true" outlineLevel="0" collapsed="false">
      <c r="A178" s="53" t="s">
        <v>848</v>
      </c>
      <c r="B178" s="54" t="s">
        <v>849</v>
      </c>
      <c r="C178" s="55" t="n">
        <f aca="false">SUMIFS(데이터_품목별!$J$3:$J$2984,데이터_품목별!$E$3:$E$2984,"73",데이터_품목별!$A$3:$A$2984,"2024.01")</f>
        <v>653022</v>
      </c>
      <c r="D178" s="55" t="n">
        <f aca="false">SUMIFS(데이터_품목별!$J$3:$J$2984,데이터_품목별!$E$3:$E$2984,"73",데이터_품목별!$A$3:$A$2984,"2024.02")</f>
        <v>529077</v>
      </c>
      <c r="E178" s="55" t="n">
        <f aca="false">SUMIFS(데이터_품목별!$J$3:$J$2984,데이터_품목별!$E$3:$E$2984,"73",데이터_품목별!$A$3:$A$2984,"2024.03")</f>
        <v>661153</v>
      </c>
      <c r="F178" s="55" t="n">
        <f aca="false">SUMIFS(데이터_품목별!$J$3:$J$2984,데이터_품목별!$E$3:$E$2984,"73",데이터_품목별!$A$3:$A$2984,"2024.04")</f>
        <v>693097</v>
      </c>
      <c r="G178" s="55" t="n">
        <f aca="false">SUMIFS(데이터_품목별!$J$3:$J$2984,데이터_품목별!$E$3:$E$2984,"73",데이터_품목별!$A$3:$A$2984,"2024.05")</f>
        <v>731647</v>
      </c>
      <c r="H178" s="55" t="n">
        <f aca="false">SUMIFS(데이터_품목별!$J$3:$J$2984,데이터_품목별!$E$3:$E$2984,"73",데이터_품목별!$A$3:$A$2984,"2024.06")</f>
        <v>619453</v>
      </c>
      <c r="I178" s="55" t="n">
        <f aca="false">SUMIFS(데이터_품목별!$J$3:$J$2984,데이터_품목별!$E$3:$E$2984,"73",데이터_품목별!$A$3:$A$2984,"2024.07")</f>
        <v>662740</v>
      </c>
      <c r="J178" s="55" t="n">
        <f aca="false">SUMIFS(데이터_품목별!$J$3:$J$2984,데이터_품목별!$E$3:$E$2984,"73",데이터_품목별!$A$3:$A$2984,"2024.08")</f>
        <v>624465</v>
      </c>
      <c r="K178" s="55" t="n">
        <f aca="false">SUMIFS(데이터_품목별!$J$3:$J$2984,데이터_품목별!$E$3:$E$2984,"73",데이터_품목별!$A$3:$A$2984,"2024.09")</f>
        <v>595368</v>
      </c>
      <c r="L178" s="55" t="n">
        <f aca="false">SUMIFS(데이터_품목별!$J$3:$J$2984,데이터_품목별!$E$3:$E$2984,"73",데이터_품목별!$A$3:$A$2984,"2024.10")</f>
        <v>685582</v>
      </c>
      <c r="M178" s="55" t="n">
        <f aca="false">SUMIFS(데이터_품목별!$J$3:$J$2984,데이터_품목별!$E$3:$E$2984,"73",데이터_품목별!$A$3:$A$2984,"2024.11")</f>
        <v>840015</v>
      </c>
      <c r="N178" s="55" t="n">
        <f aca="false">SUMIFS(데이터_품목별!$J$3:$J$2984,데이터_품목별!$E$3:$E$2984,"73",데이터_품목별!$A$3:$A$2984,"2024.12")</f>
        <v>868381</v>
      </c>
      <c r="O178" s="55" t="n">
        <f aca="false">SUMIFS(데이터_품목별!$J$3:$J$2984,데이터_품목별!$E$3:$E$2984,"73",데이터_품목별!$A$3:$A$2984,"2025.01")</f>
        <v>769413</v>
      </c>
      <c r="P178" s="55" t="n">
        <f aca="false">SUMIFS(데이터_품목별!$J$3:$J$2984,데이터_품목별!$E$3:$E$2984,"73",데이터_품목별!$A$3:$A$2984,"2025.02")</f>
        <v>587353</v>
      </c>
      <c r="Q178" s="55" t="n">
        <f aca="false">SUMIFS(데이터_품목별!$J$3:$J$2984,데이터_품목별!$E$3:$E$2984,"73",데이터_품목별!$A$3:$A$2984,"2025.03")</f>
        <v>905426</v>
      </c>
      <c r="R178" s="55" t="n">
        <f aca="false">SUMIFS(데이터_품목별!$J$3:$J$2984,데이터_품목별!$E$3:$E$2984,"73",데이터_품목별!$A$3:$A$2984,"2025.04")</f>
        <v>699588</v>
      </c>
      <c r="S178" s="55" t="n">
        <f aca="false">SUMIFS(데이터_품목별!$J$3:$J$2984,데이터_품목별!$E$3:$E$2984,"73",데이터_품목별!$A$3:$A$2984,"2025.05")</f>
        <v>637777</v>
      </c>
      <c r="T178" s="55" t="n">
        <f aca="false">SUMIFS(데이터_품목별!$J$3:$J$2984,데이터_품목별!$E$3:$E$2984,"73",데이터_품목별!$A$3:$A$2984,"2025.06")</f>
        <v>630498</v>
      </c>
      <c r="U178" s="55" t="n">
        <f aca="false">SUMIFS(데이터_품목별!$J$3:$J$2984,데이터_품목별!$E$3:$E$2984,"73",데이터_품목별!$A$3:$A$2984,"2025.07")</f>
        <v>651279</v>
      </c>
      <c r="V178" s="55" t="n">
        <f aca="false">SUMIFS(데이터_품목별!$J$3:$J$2984,데이터_품목별!$E$3:$E$2984,"73",데이터_품목별!$A$3:$A$2984,"2025.08")</f>
        <v>619007</v>
      </c>
      <c r="W178" s="55" t="n">
        <f aca="false">SUMIFS(데이터_품목별!$J$3:$J$2984,데이터_품목별!$E$3:$E$2984,"73",데이터_품목별!$A$3:$A$2984,"2025.09")</f>
        <v>667808</v>
      </c>
      <c r="X178" s="55" t="n">
        <f aca="false">SUMIFS(데이터_품목별!$J$3:$J$2984,데이터_품목별!$E$3:$E$2984,"73",데이터_품목별!$A$3:$A$2984,"2025.10")</f>
        <v>577826</v>
      </c>
      <c r="Y178" s="55" t="n">
        <f aca="false">SUMIFS(데이터_품목별!$J$3:$J$2984,데이터_품목별!$E$3:$E$2984,"73",데이터_품목별!$A$3:$A$2984,"2025.11")</f>
        <v>565396</v>
      </c>
      <c r="Z178" s="55" t="n">
        <f aca="false">SUMIFS(데이터_품목별!$J$3:$J$2984,데이터_품목별!$E$3:$E$2984,"73",데이터_품목별!$A$3:$A$2984,"2025.12")</f>
        <v>725101</v>
      </c>
      <c r="AA178" s="55" t="n">
        <f aca="false">SUMIFS(데이터_품목별!$J$3:$J$2984,데이터_품목별!$E$3:$E$2984,"73",데이터_품목별!$A$3:$A$2984,"2026.01")</f>
        <v>590553</v>
      </c>
      <c r="AB178" s="55" t="n">
        <f aca="false">SUMIFS(데이터_품목별!$J$3:$J$2984,데이터_품목별!$E$3:$E$2984,"73",데이터_품목별!$A$3:$A$2984,"2026.02")</f>
        <v>574173</v>
      </c>
      <c r="AC178" s="55" t="n">
        <f aca="false">SUMIFS(데이터_품목별!$J$3:$J$2984,데이터_품목별!$E$3:$E$2984,"73",데이터_품목별!$A$3:$A$2984,"2026.03")</f>
        <v>627533</v>
      </c>
      <c r="AD178" s="55" t="n">
        <f aca="false">SUMIFS(데이터_품목별!$J$3:$J$2984,데이터_품목별!$E$3:$E$2984,"73",데이터_품목별!$A$3:$A$2984,"2026.04")</f>
        <v>676149</v>
      </c>
      <c r="AE178" s="55" t="n">
        <f aca="false">SUMIFS(데이터_품목별!$J$3:$J$2984,데이터_품목별!$E$3:$E$2984,"73",데이터_품목별!$A$3:$A$2984,"2026.05")</f>
        <v>632325</v>
      </c>
      <c r="AF178" s="55" t="n">
        <f aca="false">SUMIFS(데이터_품목별!$J$3:$J$2984,데이터_품목별!$E$3:$E$2984,"73",데이터_품목별!$A$3:$A$2984,"2026.06")</f>
        <v>711313</v>
      </c>
      <c r="AG178" s="55" t="n">
        <f aca="false">SUMIFS(데이터_품목별!$J$3:$J$2984,데이터_품목별!$E$3:$E$2984,"73",데이터_품목별!$A$3:$A$2984,"2026.07")</f>
        <v>685962</v>
      </c>
    </row>
    <row r="179" customFormat="false" ht="15" hidden="false" customHeight="true" outlineLevel="0" collapsed="false">
      <c r="A179" s="53" t="s">
        <v>855</v>
      </c>
      <c r="B179" s="54" t="s">
        <v>856</v>
      </c>
      <c r="C179" s="55" t="n">
        <f aca="false">SUMIFS(데이터_품목별!$J$3:$J$2984,데이터_품목별!$E$3:$E$2984,"74",데이터_품목별!$A$3:$A$2984,"2024.01")</f>
        <v>523965</v>
      </c>
      <c r="D179" s="55" t="n">
        <f aca="false">SUMIFS(데이터_품목별!$J$3:$J$2984,데이터_품목별!$E$3:$E$2984,"74",데이터_품목별!$A$3:$A$2984,"2024.02")</f>
        <v>535518</v>
      </c>
      <c r="E179" s="55" t="n">
        <f aca="false">SUMIFS(데이터_품목별!$J$3:$J$2984,데이터_품목별!$E$3:$E$2984,"74",데이터_품목별!$A$3:$A$2984,"2024.03")</f>
        <v>638974</v>
      </c>
      <c r="F179" s="55" t="n">
        <f aca="false">SUMIFS(데이터_품목별!$J$3:$J$2984,데이터_품목별!$E$3:$E$2984,"74",데이터_품목별!$A$3:$A$2984,"2024.04")</f>
        <v>703073</v>
      </c>
      <c r="G179" s="55" t="n">
        <f aca="false">SUMIFS(데이터_품목별!$J$3:$J$2984,데이터_품목별!$E$3:$E$2984,"74",데이터_품목별!$A$3:$A$2984,"2024.05")</f>
        <v>711104</v>
      </c>
      <c r="H179" s="55" t="n">
        <f aca="false">SUMIFS(데이터_품목별!$J$3:$J$2984,데이터_품목별!$E$3:$E$2984,"74",데이터_품목별!$A$3:$A$2984,"2024.06")</f>
        <v>672972</v>
      </c>
      <c r="I179" s="55" t="n">
        <f aca="false">SUMIFS(데이터_품목별!$J$3:$J$2984,데이터_품목별!$E$3:$E$2984,"74",데이터_품목별!$A$3:$A$2984,"2024.07")</f>
        <v>728004</v>
      </c>
      <c r="J179" s="55" t="n">
        <f aca="false">SUMIFS(데이터_품목별!$J$3:$J$2984,데이터_품목별!$E$3:$E$2984,"74",데이터_품목별!$A$3:$A$2984,"2024.08")</f>
        <v>583867</v>
      </c>
      <c r="K179" s="55" t="n">
        <f aca="false">SUMIFS(데이터_품목별!$J$3:$J$2984,데이터_품목별!$E$3:$E$2984,"74",데이터_품목별!$A$3:$A$2984,"2024.09")</f>
        <v>529801</v>
      </c>
      <c r="L179" s="55" t="n">
        <f aca="false">SUMIFS(데이터_품목별!$J$3:$J$2984,데이터_품목별!$E$3:$E$2984,"74",데이터_품목별!$A$3:$A$2984,"2024.10")</f>
        <v>558579</v>
      </c>
      <c r="M179" s="55" t="n">
        <f aca="false">SUMIFS(데이터_품목별!$J$3:$J$2984,데이터_품목별!$E$3:$E$2984,"74",데이터_품목별!$A$3:$A$2984,"2024.11")</f>
        <v>524430</v>
      </c>
      <c r="N179" s="55" t="n">
        <f aca="false">SUMIFS(데이터_품목별!$J$3:$J$2984,데이터_품목별!$E$3:$E$2984,"74",데이터_품목별!$A$3:$A$2984,"2024.12")</f>
        <v>611734</v>
      </c>
      <c r="O179" s="55" t="n">
        <f aca="false">SUMIFS(데이터_품목별!$J$3:$J$2984,데이터_품목별!$E$3:$E$2984,"74",데이터_품목별!$A$3:$A$2984,"2025.01")</f>
        <v>496111</v>
      </c>
      <c r="P179" s="55" t="n">
        <f aca="false">SUMIFS(데이터_품목별!$J$3:$J$2984,데이터_품목별!$E$3:$E$2984,"74",데이터_품목별!$A$3:$A$2984,"2025.02")</f>
        <v>489821</v>
      </c>
      <c r="Q179" s="55" t="n">
        <f aca="false">SUMIFS(데이터_품목별!$J$3:$J$2984,데이터_품목별!$E$3:$E$2984,"74",데이터_품목별!$A$3:$A$2984,"2025.03")</f>
        <v>686482</v>
      </c>
      <c r="R179" s="55" t="n">
        <f aca="false">SUMIFS(데이터_품목별!$J$3:$J$2984,데이터_품목별!$E$3:$E$2984,"74",데이터_품목별!$A$3:$A$2984,"2025.04")</f>
        <v>674214</v>
      </c>
      <c r="S179" s="55" t="n">
        <f aca="false">SUMIFS(데이터_품목별!$J$3:$J$2984,데이터_품목별!$E$3:$E$2984,"74",데이터_품목별!$A$3:$A$2984,"2025.05")</f>
        <v>643459</v>
      </c>
      <c r="T179" s="55" t="n">
        <f aca="false">SUMIFS(데이터_품목별!$J$3:$J$2984,데이터_품목별!$E$3:$E$2984,"74",데이터_품목별!$A$3:$A$2984,"2025.06")</f>
        <v>722164</v>
      </c>
      <c r="U179" s="55" t="n">
        <f aca="false">SUMIFS(데이터_품목별!$J$3:$J$2984,데이터_품목별!$E$3:$E$2984,"74",데이터_품목별!$A$3:$A$2984,"2025.07")</f>
        <v>806953</v>
      </c>
      <c r="V179" s="55" t="n">
        <f aca="false">SUMIFS(데이터_품목별!$J$3:$J$2984,데이터_품목별!$E$3:$E$2984,"74",데이터_품목별!$A$3:$A$2984,"2025.08")</f>
        <v>705165</v>
      </c>
      <c r="W179" s="55" t="n">
        <f aca="false">SUMIFS(데이터_품목별!$J$3:$J$2984,데이터_품목별!$E$3:$E$2984,"74",데이터_품목별!$A$3:$A$2984,"2025.09")</f>
        <v>776899</v>
      </c>
      <c r="X179" s="55" t="n">
        <f aca="false">SUMIFS(데이터_품목별!$J$3:$J$2984,데이터_품목별!$E$3:$E$2984,"74",데이터_품목별!$A$3:$A$2984,"2025.10")</f>
        <v>656789</v>
      </c>
      <c r="Y179" s="55" t="n">
        <f aca="false">SUMIFS(데이터_품목별!$J$3:$J$2984,데이터_품목별!$E$3:$E$2984,"74",데이터_품목별!$A$3:$A$2984,"2025.11")</f>
        <v>718643</v>
      </c>
      <c r="Z179" s="55" t="n">
        <f aca="false">SUMIFS(데이터_품목별!$J$3:$J$2984,데이터_품목별!$E$3:$E$2984,"74",데이터_품목별!$A$3:$A$2984,"2025.12")</f>
        <v>841923</v>
      </c>
      <c r="AA179" s="55" t="n">
        <f aca="false">SUMIFS(데이터_품목별!$J$3:$J$2984,데이터_품목별!$E$3:$E$2984,"74",데이터_품목별!$A$3:$A$2984,"2026.01")</f>
        <v>920634</v>
      </c>
      <c r="AB179" s="55" t="n">
        <f aca="false">SUMIFS(데이터_품목별!$J$3:$J$2984,데이터_품목별!$E$3:$E$2984,"74",데이터_품목별!$A$3:$A$2984,"2026.02")</f>
        <v>793395</v>
      </c>
      <c r="AC179" s="55" t="n">
        <f aca="false">SUMIFS(데이터_품목별!$J$3:$J$2984,데이터_품목별!$E$3:$E$2984,"74",데이터_품목별!$A$3:$A$2984,"2026.03")</f>
        <v>1106430</v>
      </c>
      <c r="AD179" s="55" t="n">
        <f aca="false">SUMIFS(데이터_품목별!$J$3:$J$2984,데이터_품목별!$E$3:$E$2984,"74",데이터_품목별!$A$3:$A$2984,"2026.04")</f>
        <v>995592</v>
      </c>
      <c r="AE179" s="55" t="n">
        <f aca="false">SUMIFS(데이터_품목별!$J$3:$J$2984,데이터_품목별!$E$3:$E$2984,"74",데이터_품목별!$A$3:$A$2984,"2026.05")</f>
        <v>930818</v>
      </c>
      <c r="AF179" s="55" t="n">
        <f aca="false">SUMIFS(데이터_품목별!$J$3:$J$2984,데이터_품목별!$E$3:$E$2984,"74",데이터_품목별!$A$3:$A$2984,"2026.06")</f>
        <v>1183645</v>
      </c>
      <c r="AG179" s="55" t="n">
        <f aca="false">SUMIFS(데이터_품목별!$J$3:$J$2984,데이터_품목별!$E$3:$E$2984,"74",데이터_품목별!$A$3:$A$2984,"2026.07")</f>
        <v>1075927</v>
      </c>
    </row>
    <row r="180" customFormat="false" ht="15" hidden="false" customHeight="true" outlineLevel="0" collapsed="false">
      <c r="A180" s="53" t="s">
        <v>862</v>
      </c>
      <c r="B180" s="54" t="s">
        <v>863</v>
      </c>
      <c r="C180" s="55" t="n">
        <f aca="false">SUMIFS(데이터_품목별!$J$3:$J$2984,데이터_품목별!$E$3:$E$2984,"75",데이터_품목별!$A$3:$A$2984,"2024.01")</f>
        <v>123762</v>
      </c>
      <c r="D180" s="55" t="n">
        <f aca="false">SUMIFS(데이터_품목별!$J$3:$J$2984,데이터_품목별!$E$3:$E$2984,"75",데이터_품목별!$A$3:$A$2984,"2024.02")</f>
        <v>135436</v>
      </c>
      <c r="E180" s="55" t="n">
        <f aca="false">SUMIFS(데이터_품목별!$J$3:$J$2984,데이터_품목별!$E$3:$E$2984,"75",데이터_품목별!$A$3:$A$2984,"2024.03")</f>
        <v>140596</v>
      </c>
      <c r="F180" s="55" t="n">
        <f aca="false">SUMIFS(데이터_품목별!$J$3:$J$2984,데이터_품목별!$E$3:$E$2984,"75",데이터_품목별!$A$3:$A$2984,"2024.04")</f>
        <v>90659</v>
      </c>
      <c r="G180" s="55" t="n">
        <f aca="false">SUMIFS(데이터_품목별!$J$3:$J$2984,데이터_품목별!$E$3:$E$2984,"75",데이터_품목별!$A$3:$A$2984,"2024.05")</f>
        <v>107449</v>
      </c>
      <c r="H180" s="55" t="n">
        <f aca="false">SUMIFS(데이터_품목별!$J$3:$J$2984,데이터_품목별!$E$3:$E$2984,"75",데이터_품목별!$A$3:$A$2984,"2024.06")</f>
        <v>98557</v>
      </c>
      <c r="I180" s="55" t="n">
        <f aca="false">SUMIFS(데이터_품목별!$J$3:$J$2984,데이터_품목별!$E$3:$E$2984,"75",데이터_품목별!$A$3:$A$2984,"2024.07")</f>
        <v>117928</v>
      </c>
      <c r="J180" s="55" t="n">
        <f aca="false">SUMIFS(데이터_품목별!$J$3:$J$2984,데이터_품목별!$E$3:$E$2984,"75",데이터_품목별!$A$3:$A$2984,"2024.08")</f>
        <v>108117</v>
      </c>
      <c r="K180" s="55" t="n">
        <f aca="false">SUMIFS(데이터_품목별!$J$3:$J$2984,데이터_품목별!$E$3:$E$2984,"75",데이터_품목별!$A$3:$A$2984,"2024.09")</f>
        <v>105474</v>
      </c>
      <c r="L180" s="55" t="n">
        <f aca="false">SUMIFS(데이터_품목별!$J$3:$J$2984,데이터_품목별!$E$3:$E$2984,"75",데이터_품목별!$A$3:$A$2984,"2024.10")</f>
        <v>117571</v>
      </c>
      <c r="M180" s="55" t="n">
        <f aca="false">SUMIFS(데이터_품목별!$J$3:$J$2984,데이터_품목별!$E$3:$E$2984,"75",데이터_품목별!$A$3:$A$2984,"2024.11")</f>
        <v>105324</v>
      </c>
      <c r="N180" s="55" t="n">
        <f aca="false">SUMIFS(데이터_품목별!$J$3:$J$2984,데이터_품목별!$E$3:$E$2984,"75",데이터_품목별!$A$3:$A$2984,"2024.12")</f>
        <v>118273</v>
      </c>
      <c r="O180" s="55" t="n">
        <f aca="false">SUMIFS(데이터_품목별!$J$3:$J$2984,데이터_품목별!$E$3:$E$2984,"75",데이터_품목별!$A$3:$A$2984,"2025.01")</f>
        <v>113575</v>
      </c>
      <c r="P180" s="55" t="n">
        <f aca="false">SUMIFS(데이터_품목별!$J$3:$J$2984,데이터_품목별!$E$3:$E$2984,"75",데이터_품목별!$A$3:$A$2984,"2025.02")</f>
        <v>110270</v>
      </c>
      <c r="Q180" s="55" t="n">
        <f aca="false">SUMIFS(데이터_품목별!$J$3:$J$2984,데이터_품목별!$E$3:$E$2984,"75",데이터_품목별!$A$3:$A$2984,"2025.03")</f>
        <v>101289</v>
      </c>
      <c r="R180" s="55" t="n">
        <f aca="false">SUMIFS(데이터_품목별!$J$3:$J$2984,데이터_품목별!$E$3:$E$2984,"75",데이터_품목별!$A$3:$A$2984,"2025.04")</f>
        <v>126559</v>
      </c>
      <c r="S180" s="55" t="n">
        <f aca="false">SUMIFS(데이터_품목별!$J$3:$J$2984,데이터_품목별!$E$3:$E$2984,"75",데이터_품목별!$A$3:$A$2984,"2025.05")</f>
        <v>107626</v>
      </c>
      <c r="T180" s="55" t="n">
        <f aca="false">SUMIFS(데이터_품목별!$J$3:$J$2984,데이터_품목별!$E$3:$E$2984,"75",데이터_품목별!$A$3:$A$2984,"2025.06")</f>
        <v>137935</v>
      </c>
      <c r="U180" s="55" t="n">
        <f aca="false">SUMIFS(데이터_품목별!$J$3:$J$2984,데이터_품목별!$E$3:$E$2984,"75",데이터_품목별!$A$3:$A$2984,"2025.07")</f>
        <v>133997</v>
      </c>
      <c r="V180" s="55" t="n">
        <f aca="false">SUMIFS(데이터_품목별!$J$3:$J$2984,데이터_품목별!$E$3:$E$2984,"75",데이터_품목별!$A$3:$A$2984,"2025.08")</f>
        <v>79171</v>
      </c>
      <c r="W180" s="55" t="n">
        <f aca="false">SUMIFS(데이터_품목별!$J$3:$J$2984,데이터_품목별!$E$3:$E$2984,"75",데이터_품목별!$A$3:$A$2984,"2025.09")</f>
        <v>130079</v>
      </c>
      <c r="X180" s="55" t="n">
        <f aca="false">SUMIFS(데이터_품목별!$J$3:$J$2984,데이터_품목별!$E$3:$E$2984,"75",데이터_품목별!$A$3:$A$2984,"2025.10")</f>
        <v>82717</v>
      </c>
      <c r="Y180" s="55" t="n">
        <f aca="false">SUMIFS(데이터_품목별!$J$3:$J$2984,데이터_품목별!$E$3:$E$2984,"75",데이터_품목별!$A$3:$A$2984,"2025.11")</f>
        <v>89469</v>
      </c>
      <c r="Z180" s="55" t="n">
        <f aca="false">SUMIFS(데이터_품목별!$J$3:$J$2984,데이터_품목별!$E$3:$E$2984,"75",데이터_품목별!$A$3:$A$2984,"2025.12")</f>
        <v>93043</v>
      </c>
      <c r="AA180" s="55" t="n">
        <f aca="false">SUMIFS(데이터_품목별!$J$3:$J$2984,데이터_품목별!$E$3:$E$2984,"75",데이터_품목별!$A$3:$A$2984,"2026.01")</f>
        <v>88668</v>
      </c>
      <c r="AB180" s="55" t="n">
        <f aca="false">SUMIFS(데이터_품목별!$J$3:$J$2984,데이터_품목별!$E$3:$E$2984,"75",데이터_품목별!$A$3:$A$2984,"2026.02")</f>
        <v>86323</v>
      </c>
      <c r="AC180" s="55" t="n">
        <f aca="false">SUMIFS(데이터_품목별!$J$3:$J$2984,데이터_품목별!$E$3:$E$2984,"75",데이터_품목별!$A$3:$A$2984,"2026.03")</f>
        <v>149084</v>
      </c>
      <c r="AD180" s="55" t="n">
        <f aca="false">SUMIFS(데이터_품목별!$J$3:$J$2984,데이터_품목별!$E$3:$E$2984,"75",데이터_품목별!$A$3:$A$2984,"2026.04")</f>
        <v>145366</v>
      </c>
      <c r="AE180" s="55" t="n">
        <f aca="false">SUMIFS(데이터_품목별!$J$3:$J$2984,데이터_품목별!$E$3:$E$2984,"75",데이터_품목별!$A$3:$A$2984,"2026.05")</f>
        <v>89845</v>
      </c>
      <c r="AF180" s="55" t="n">
        <f aca="false">SUMIFS(데이터_품목별!$J$3:$J$2984,데이터_품목별!$E$3:$E$2984,"75",데이터_품목별!$A$3:$A$2984,"2026.06")</f>
        <v>133439</v>
      </c>
      <c r="AG180" s="55" t="n">
        <f aca="false">SUMIFS(데이터_품목별!$J$3:$J$2984,데이터_품목별!$E$3:$E$2984,"75",데이터_품목별!$A$3:$A$2984,"2026.07")</f>
        <v>145781</v>
      </c>
    </row>
    <row r="181" customFormat="false" ht="15" hidden="false" customHeight="true" outlineLevel="0" collapsed="false">
      <c r="A181" s="53" t="s">
        <v>869</v>
      </c>
      <c r="B181" s="54" t="s">
        <v>870</v>
      </c>
      <c r="C181" s="55" t="n">
        <f aca="false">SUMIFS(데이터_품목별!$J$3:$J$2984,데이터_품목별!$E$3:$E$2984,"76",데이터_품목별!$A$3:$A$2984,"2024.01")</f>
        <v>712791</v>
      </c>
      <c r="D181" s="55" t="n">
        <f aca="false">SUMIFS(데이터_품목별!$J$3:$J$2984,데이터_품목별!$E$3:$E$2984,"76",데이터_품목별!$A$3:$A$2984,"2024.02")</f>
        <v>598910</v>
      </c>
      <c r="E181" s="55" t="n">
        <f aca="false">SUMIFS(데이터_품목별!$J$3:$J$2984,데이터_품목별!$E$3:$E$2984,"76",데이터_품목별!$A$3:$A$2984,"2024.03")</f>
        <v>710310</v>
      </c>
      <c r="F181" s="55" t="n">
        <f aca="false">SUMIFS(데이터_품목별!$J$3:$J$2984,데이터_품목별!$E$3:$E$2984,"76",데이터_품목별!$A$3:$A$2984,"2024.04")</f>
        <v>730762</v>
      </c>
      <c r="G181" s="55" t="n">
        <f aca="false">SUMIFS(데이터_품목별!$J$3:$J$2984,데이터_품목별!$E$3:$E$2984,"76",데이터_품목별!$A$3:$A$2984,"2024.05")</f>
        <v>777239</v>
      </c>
      <c r="H181" s="55" t="n">
        <f aca="false">SUMIFS(데이터_품목별!$J$3:$J$2984,데이터_품목별!$E$3:$E$2984,"76",데이터_품목별!$A$3:$A$2984,"2024.06")</f>
        <v>735059</v>
      </c>
      <c r="I181" s="55" t="n">
        <f aca="false">SUMIFS(데이터_품목별!$J$3:$J$2984,데이터_품목별!$E$3:$E$2984,"76",데이터_품목별!$A$3:$A$2984,"2024.07")</f>
        <v>776133</v>
      </c>
      <c r="J181" s="55" t="n">
        <f aca="false">SUMIFS(데이터_품목별!$J$3:$J$2984,데이터_품목별!$E$3:$E$2984,"76",데이터_품목별!$A$3:$A$2984,"2024.08")</f>
        <v>781808</v>
      </c>
      <c r="K181" s="55" t="n">
        <f aca="false">SUMIFS(데이터_품목별!$J$3:$J$2984,데이터_품목별!$E$3:$E$2984,"76",데이터_품목별!$A$3:$A$2984,"2024.09")</f>
        <v>688159</v>
      </c>
      <c r="L181" s="55" t="n">
        <f aca="false">SUMIFS(데이터_품목별!$J$3:$J$2984,데이터_품목별!$E$3:$E$2984,"76",데이터_품목별!$A$3:$A$2984,"2024.10")</f>
        <v>756740</v>
      </c>
      <c r="M181" s="55" t="n">
        <f aca="false">SUMIFS(데이터_품목별!$J$3:$J$2984,데이터_품목별!$E$3:$E$2984,"76",데이터_품목별!$A$3:$A$2984,"2024.11")</f>
        <v>739857</v>
      </c>
      <c r="N181" s="55" t="n">
        <f aca="false">SUMIFS(데이터_품목별!$J$3:$J$2984,데이터_품목별!$E$3:$E$2984,"76",데이터_품목별!$A$3:$A$2984,"2024.12")</f>
        <v>733047</v>
      </c>
      <c r="O181" s="55" t="n">
        <f aca="false">SUMIFS(데이터_품목별!$J$3:$J$2984,데이터_품목별!$E$3:$E$2984,"76",데이터_품목별!$A$3:$A$2984,"2025.01")</f>
        <v>715108</v>
      </c>
      <c r="P181" s="55" t="n">
        <f aca="false">SUMIFS(데이터_품목별!$J$3:$J$2984,데이터_품목별!$E$3:$E$2984,"76",데이터_품목별!$A$3:$A$2984,"2025.02")</f>
        <v>711402</v>
      </c>
      <c r="Q181" s="55" t="n">
        <f aca="false">SUMIFS(데이터_품목별!$J$3:$J$2984,데이터_품목별!$E$3:$E$2984,"76",데이터_품목별!$A$3:$A$2984,"2025.03")</f>
        <v>737096</v>
      </c>
      <c r="R181" s="55" t="n">
        <f aca="false">SUMIFS(데이터_품목별!$J$3:$J$2984,데이터_품목별!$E$3:$E$2984,"76",데이터_품목별!$A$3:$A$2984,"2025.04")</f>
        <v>894860</v>
      </c>
      <c r="S181" s="55" t="n">
        <f aca="false">SUMIFS(데이터_품목별!$J$3:$J$2984,데이터_품목별!$E$3:$E$2984,"76",데이터_품목별!$A$3:$A$2984,"2025.05")</f>
        <v>823395</v>
      </c>
      <c r="T181" s="55" t="n">
        <f aca="false">SUMIFS(데이터_품목별!$J$3:$J$2984,데이터_품목별!$E$3:$E$2984,"76",데이터_품목별!$A$3:$A$2984,"2025.06")</f>
        <v>739359</v>
      </c>
      <c r="U181" s="55" t="n">
        <f aca="false">SUMIFS(데이터_품목별!$J$3:$J$2984,데이터_품목별!$E$3:$E$2984,"76",데이터_품목별!$A$3:$A$2984,"2025.07")</f>
        <v>771743</v>
      </c>
      <c r="V181" s="55" t="n">
        <f aca="false">SUMIFS(데이터_품목별!$J$3:$J$2984,데이터_품목별!$E$3:$E$2984,"76",데이터_품목별!$A$3:$A$2984,"2025.08")</f>
        <v>741493</v>
      </c>
      <c r="W181" s="55" t="n">
        <f aca="false">SUMIFS(데이터_품목별!$J$3:$J$2984,데이터_품목별!$E$3:$E$2984,"76",데이터_품목별!$A$3:$A$2984,"2025.09")</f>
        <v>800578</v>
      </c>
      <c r="X181" s="55" t="n">
        <f aca="false">SUMIFS(데이터_품목별!$J$3:$J$2984,데이터_품목별!$E$3:$E$2984,"76",데이터_품목별!$A$3:$A$2984,"2025.10")</f>
        <v>719535</v>
      </c>
      <c r="Y181" s="55" t="n">
        <f aca="false">SUMIFS(데이터_품목별!$J$3:$J$2984,데이터_품목별!$E$3:$E$2984,"76",데이터_품목별!$A$3:$A$2984,"2025.11")</f>
        <v>699462</v>
      </c>
      <c r="Z181" s="55" t="n">
        <f aca="false">SUMIFS(데이터_품목별!$J$3:$J$2984,데이터_품목별!$E$3:$E$2984,"76",데이터_품목별!$A$3:$A$2984,"2025.12")</f>
        <v>780189</v>
      </c>
      <c r="AA181" s="55" t="n">
        <f aca="false">SUMIFS(데이터_품목별!$J$3:$J$2984,데이터_품목별!$E$3:$E$2984,"76",데이터_품목별!$A$3:$A$2984,"2026.01")</f>
        <v>867118</v>
      </c>
      <c r="AB181" s="55" t="n">
        <f aca="false">SUMIFS(데이터_품목별!$J$3:$J$2984,데이터_품목별!$E$3:$E$2984,"76",데이터_품목별!$A$3:$A$2984,"2026.02")</f>
        <v>687598</v>
      </c>
      <c r="AC181" s="55" t="n">
        <f aca="false">SUMIFS(데이터_품목별!$J$3:$J$2984,데이터_품목별!$E$3:$E$2984,"76",데이터_품목별!$A$3:$A$2984,"2026.03")</f>
        <v>871415</v>
      </c>
      <c r="AD181" s="55" t="n">
        <f aca="false">SUMIFS(데이터_품목별!$J$3:$J$2984,데이터_품목별!$E$3:$E$2984,"76",데이터_품목별!$A$3:$A$2984,"2026.04")</f>
        <v>982723</v>
      </c>
      <c r="AE181" s="55" t="n">
        <f aca="false">SUMIFS(데이터_품목별!$J$3:$J$2984,데이터_품목별!$E$3:$E$2984,"76",데이터_품목별!$A$3:$A$2984,"2026.05")</f>
        <v>1026091</v>
      </c>
      <c r="AF181" s="55" t="n">
        <f aca="false">SUMIFS(데이터_품목별!$J$3:$J$2984,데이터_품목별!$E$3:$E$2984,"76",데이터_품목별!$A$3:$A$2984,"2026.06")</f>
        <v>1188235</v>
      </c>
      <c r="AG181" s="55" t="n">
        <f aca="false">SUMIFS(데이터_품목별!$J$3:$J$2984,데이터_품목별!$E$3:$E$2984,"76",데이터_품목별!$A$3:$A$2984,"2026.07")</f>
        <v>1146443</v>
      </c>
    </row>
    <row r="182" customFormat="false" ht="15" hidden="false" customHeight="true" outlineLevel="0" collapsed="false">
      <c r="A182" s="53" t="s">
        <v>876</v>
      </c>
      <c r="B182" s="54" t="s">
        <v>877</v>
      </c>
      <c r="C182" s="55" t="n">
        <f aca="false">SUMIFS(데이터_품목별!$J$3:$J$2984,데이터_품목별!$E$3:$E$2984,"78",데이터_품목별!$A$3:$A$2984,"2024.01")</f>
        <v>30714</v>
      </c>
      <c r="D182" s="55" t="n">
        <f aca="false">SUMIFS(데이터_품목별!$J$3:$J$2984,데이터_품목별!$E$3:$E$2984,"78",데이터_품목별!$A$3:$A$2984,"2024.02")</f>
        <v>24715</v>
      </c>
      <c r="E182" s="55" t="n">
        <f aca="false">SUMIFS(데이터_품목별!$J$3:$J$2984,데이터_품목별!$E$3:$E$2984,"78",데이터_품목별!$A$3:$A$2984,"2024.03")</f>
        <v>31128</v>
      </c>
      <c r="F182" s="55" t="n">
        <f aca="false">SUMIFS(데이터_품목별!$J$3:$J$2984,데이터_품목별!$E$3:$E$2984,"78",데이터_품목별!$A$3:$A$2984,"2024.04")</f>
        <v>30879</v>
      </c>
      <c r="G182" s="55" t="n">
        <f aca="false">SUMIFS(데이터_품목별!$J$3:$J$2984,데이터_품목별!$E$3:$E$2984,"78",데이터_품목별!$A$3:$A$2984,"2024.05")</f>
        <v>31240</v>
      </c>
      <c r="H182" s="55" t="n">
        <f aca="false">SUMIFS(데이터_품목별!$J$3:$J$2984,데이터_품목별!$E$3:$E$2984,"78",데이터_품목별!$A$3:$A$2984,"2024.06")</f>
        <v>29461</v>
      </c>
      <c r="I182" s="55" t="n">
        <f aca="false">SUMIFS(데이터_품목별!$J$3:$J$2984,데이터_품목별!$E$3:$E$2984,"78",데이터_품목별!$A$3:$A$2984,"2024.07")</f>
        <v>28387</v>
      </c>
      <c r="J182" s="55" t="n">
        <f aca="false">SUMIFS(데이터_품목별!$J$3:$J$2984,데이터_품목별!$E$3:$E$2984,"78",데이터_품목별!$A$3:$A$2984,"2024.08")</f>
        <v>35898</v>
      </c>
      <c r="K182" s="55" t="n">
        <f aca="false">SUMIFS(데이터_품목별!$J$3:$J$2984,데이터_품목별!$E$3:$E$2984,"78",데이터_품목별!$A$3:$A$2984,"2024.09")</f>
        <v>39661</v>
      </c>
      <c r="L182" s="55" t="n">
        <f aca="false">SUMIFS(데이터_품목별!$J$3:$J$2984,데이터_품목별!$E$3:$E$2984,"78",데이터_품목별!$A$3:$A$2984,"2024.10")</f>
        <v>35396</v>
      </c>
      <c r="M182" s="55" t="n">
        <f aca="false">SUMIFS(데이터_품목별!$J$3:$J$2984,데이터_품목별!$E$3:$E$2984,"78",데이터_품목별!$A$3:$A$2984,"2024.11")</f>
        <v>26107</v>
      </c>
      <c r="N182" s="55" t="n">
        <f aca="false">SUMIFS(데이터_품목별!$J$3:$J$2984,데이터_품목별!$E$3:$E$2984,"78",데이터_품목별!$A$3:$A$2984,"2024.12")</f>
        <v>35862</v>
      </c>
      <c r="O182" s="55" t="n">
        <f aca="false">SUMIFS(데이터_품목별!$J$3:$J$2984,데이터_품목별!$E$3:$E$2984,"78",데이터_품목별!$A$3:$A$2984,"2025.01")</f>
        <v>33870</v>
      </c>
      <c r="P182" s="55" t="n">
        <f aca="false">SUMIFS(데이터_품목별!$J$3:$J$2984,데이터_품목별!$E$3:$E$2984,"78",데이터_품목별!$A$3:$A$2984,"2025.02")</f>
        <v>29724</v>
      </c>
      <c r="Q182" s="55" t="n">
        <f aca="false">SUMIFS(데이터_품목별!$J$3:$J$2984,데이터_품목별!$E$3:$E$2984,"78",데이터_품목별!$A$3:$A$2984,"2025.03")</f>
        <v>26630</v>
      </c>
      <c r="R182" s="55" t="n">
        <f aca="false">SUMIFS(데이터_품목별!$J$3:$J$2984,데이터_품목별!$E$3:$E$2984,"78",데이터_품목별!$A$3:$A$2984,"2025.04")</f>
        <v>34357</v>
      </c>
      <c r="S182" s="55" t="n">
        <f aca="false">SUMIFS(데이터_품목별!$J$3:$J$2984,데이터_품목별!$E$3:$E$2984,"78",데이터_품목별!$A$3:$A$2984,"2025.05")</f>
        <v>36137</v>
      </c>
      <c r="T182" s="55" t="n">
        <f aca="false">SUMIFS(데이터_품목별!$J$3:$J$2984,데이터_품목별!$E$3:$E$2984,"78",데이터_품목별!$A$3:$A$2984,"2025.06")</f>
        <v>32732</v>
      </c>
      <c r="U182" s="55" t="n">
        <f aca="false">SUMIFS(데이터_품목별!$J$3:$J$2984,데이터_품목별!$E$3:$E$2984,"78",데이터_품목별!$A$3:$A$2984,"2025.07")</f>
        <v>33076</v>
      </c>
      <c r="V182" s="55" t="n">
        <f aca="false">SUMIFS(데이터_품목별!$J$3:$J$2984,데이터_품목별!$E$3:$E$2984,"78",데이터_품목별!$A$3:$A$2984,"2025.08")</f>
        <v>27251</v>
      </c>
      <c r="W182" s="55" t="n">
        <f aca="false">SUMIFS(데이터_품목별!$J$3:$J$2984,데이터_품목별!$E$3:$E$2984,"78",데이터_품목별!$A$3:$A$2984,"2025.09")</f>
        <v>42666</v>
      </c>
      <c r="X182" s="55" t="n">
        <f aca="false">SUMIFS(데이터_품목별!$J$3:$J$2984,데이터_품목별!$E$3:$E$2984,"78",데이터_품목별!$A$3:$A$2984,"2025.10")</f>
        <v>29616</v>
      </c>
      <c r="Y182" s="55" t="n">
        <f aca="false">SUMIFS(데이터_품목별!$J$3:$J$2984,데이터_품목별!$E$3:$E$2984,"78",데이터_품목별!$A$3:$A$2984,"2025.11")</f>
        <v>27965</v>
      </c>
      <c r="Z182" s="55" t="n">
        <f aca="false">SUMIFS(데이터_품목별!$J$3:$J$2984,데이터_품목별!$E$3:$E$2984,"78",데이터_품목별!$A$3:$A$2984,"2025.12")</f>
        <v>34692</v>
      </c>
      <c r="AA182" s="55" t="n">
        <f aca="false">SUMIFS(데이터_품목별!$J$3:$J$2984,데이터_품목별!$E$3:$E$2984,"78",데이터_품목별!$A$3:$A$2984,"2026.01")</f>
        <v>30860</v>
      </c>
      <c r="AB182" s="55" t="n">
        <f aca="false">SUMIFS(데이터_품목별!$J$3:$J$2984,데이터_품목별!$E$3:$E$2984,"78",데이터_품목별!$A$3:$A$2984,"2026.02")</f>
        <v>27729</v>
      </c>
      <c r="AC182" s="55" t="n">
        <f aca="false">SUMIFS(데이터_품목별!$J$3:$J$2984,데이터_품목별!$E$3:$E$2984,"78",데이터_품목별!$A$3:$A$2984,"2026.03")</f>
        <v>36141</v>
      </c>
      <c r="AD182" s="55" t="n">
        <f aca="false">SUMIFS(데이터_품목별!$J$3:$J$2984,데이터_품목별!$E$3:$E$2984,"78",데이터_품목별!$A$3:$A$2984,"2026.04")</f>
        <v>42979</v>
      </c>
      <c r="AE182" s="55" t="n">
        <f aca="false">SUMIFS(데이터_품목별!$J$3:$J$2984,데이터_품목별!$E$3:$E$2984,"78",데이터_품목별!$A$3:$A$2984,"2026.05")</f>
        <v>30962</v>
      </c>
      <c r="AF182" s="55" t="n">
        <f aca="false">SUMIFS(데이터_품목별!$J$3:$J$2984,데이터_품목별!$E$3:$E$2984,"78",데이터_품목별!$A$3:$A$2984,"2026.06")</f>
        <v>30567</v>
      </c>
      <c r="AG182" s="55" t="n">
        <f aca="false">SUMIFS(데이터_품목별!$J$3:$J$2984,데이터_품목별!$E$3:$E$2984,"78",데이터_품목별!$A$3:$A$2984,"2026.07")</f>
        <v>37108</v>
      </c>
    </row>
    <row r="183" customFormat="false" ht="15" hidden="false" customHeight="true" outlineLevel="0" collapsed="false">
      <c r="A183" s="53" t="s">
        <v>883</v>
      </c>
      <c r="B183" s="54" t="s">
        <v>884</v>
      </c>
      <c r="C183" s="55" t="n">
        <f aca="false">SUMIFS(데이터_품목별!$J$3:$J$2984,데이터_품목별!$E$3:$E$2984,"79",데이터_품목별!$A$3:$A$2984,"2024.01")</f>
        <v>6166</v>
      </c>
      <c r="D183" s="55" t="n">
        <f aca="false">SUMIFS(데이터_품목별!$J$3:$J$2984,데이터_품목별!$E$3:$E$2984,"79",데이터_품목별!$A$3:$A$2984,"2024.02")</f>
        <v>7290</v>
      </c>
      <c r="E183" s="55" t="n">
        <f aca="false">SUMIFS(데이터_품목별!$J$3:$J$2984,데이터_품목별!$E$3:$E$2984,"79",데이터_품목별!$A$3:$A$2984,"2024.03")</f>
        <v>12103</v>
      </c>
      <c r="F183" s="55" t="n">
        <f aca="false">SUMIFS(데이터_품목별!$J$3:$J$2984,데이터_품목별!$E$3:$E$2984,"79",데이터_품목별!$A$3:$A$2984,"2024.04")</f>
        <v>15201</v>
      </c>
      <c r="G183" s="55" t="n">
        <f aca="false">SUMIFS(데이터_품목별!$J$3:$J$2984,데이터_품목별!$E$3:$E$2984,"79",데이터_품목별!$A$3:$A$2984,"2024.05")</f>
        <v>9290</v>
      </c>
      <c r="H183" s="55" t="n">
        <f aca="false">SUMIFS(데이터_품목별!$J$3:$J$2984,데이터_품목별!$E$3:$E$2984,"79",데이터_품목별!$A$3:$A$2984,"2024.06")</f>
        <v>15544</v>
      </c>
      <c r="I183" s="55" t="n">
        <f aca="false">SUMIFS(데이터_품목별!$J$3:$J$2984,데이터_품목별!$E$3:$E$2984,"79",데이터_품목별!$A$3:$A$2984,"2024.07")</f>
        <v>14475</v>
      </c>
      <c r="J183" s="55" t="n">
        <f aca="false">SUMIFS(데이터_품목별!$J$3:$J$2984,데이터_품목별!$E$3:$E$2984,"79",데이터_품목별!$A$3:$A$2984,"2024.08")</f>
        <v>10619</v>
      </c>
      <c r="K183" s="55" t="n">
        <f aca="false">SUMIFS(데이터_품목별!$J$3:$J$2984,데이터_품목별!$E$3:$E$2984,"79",데이터_품목별!$A$3:$A$2984,"2024.09")</f>
        <v>12280</v>
      </c>
      <c r="L183" s="55" t="n">
        <f aca="false">SUMIFS(데이터_품목별!$J$3:$J$2984,데이터_품목별!$E$3:$E$2984,"79",데이터_품목별!$A$3:$A$2984,"2024.10")</f>
        <v>27497</v>
      </c>
      <c r="M183" s="55" t="n">
        <f aca="false">SUMIFS(데이터_품목별!$J$3:$J$2984,데이터_품목별!$E$3:$E$2984,"79",데이터_품목별!$A$3:$A$2984,"2024.11")</f>
        <v>18756</v>
      </c>
      <c r="N183" s="55" t="n">
        <f aca="false">SUMIFS(데이터_품목별!$J$3:$J$2984,데이터_품목별!$E$3:$E$2984,"79",데이터_품목별!$A$3:$A$2984,"2024.12")</f>
        <v>15882</v>
      </c>
      <c r="O183" s="55" t="n">
        <f aca="false">SUMIFS(데이터_품목별!$J$3:$J$2984,데이터_품목별!$E$3:$E$2984,"79",데이터_품목별!$A$3:$A$2984,"2025.01")</f>
        <v>8585</v>
      </c>
      <c r="P183" s="55" t="n">
        <f aca="false">SUMIFS(데이터_품목별!$J$3:$J$2984,데이터_품목별!$E$3:$E$2984,"79",데이터_품목별!$A$3:$A$2984,"2025.02")</f>
        <v>8382</v>
      </c>
      <c r="Q183" s="55" t="n">
        <f aca="false">SUMIFS(데이터_품목별!$J$3:$J$2984,데이터_품목별!$E$3:$E$2984,"79",데이터_품목별!$A$3:$A$2984,"2025.03")</f>
        <v>6761</v>
      </c>
      <c r="R183" s="55" t="n">
        <f aca="false">SUMIFS(데이터_품목별!$J$3:$J$2984,데이터_품목별!$E$3:$E$2984,"79",데이터_품목별!$A$3:$A$2984,"2025.04")</f>
        <v>12893</v>
      </c>
      <c r="S183" s="55" t="n">
        <f aca="false">SUMIFS(데이터_품목별!$J$3:$J$2984,데이터_품목별!$E$3:$E$2984,"79",데이터_품목별!$A$3:$A$2984,"2025.05")</f>
        <v>7026</v>
      </c>
      <c r="T183" s="55" t="n">
        <f aca="false">SUMIFS(데이터_품목별!$J$3:$J$2984,데이터_품목별!$E$3:$E$2984,"79",데이터_품목별!$A$3:$A$2984,"2025.06")</f>
        <v>5500</v>
      </c>
      <c r="U183" s="55" t="n">
        <f aca="false">SUMIFS(데이터_품목별!$J$3:$J$2984,데이터_품목별!$E$3:$E$2984,"79",데이터_품목별!$A$3:$A$2984,"2025.07")</f>
        <v>8201</v>
      </c>
      <c r="V183" s="55" t="n">
        <f aca="false">SUMIFS(데이터_품목별!$J$3:$J$2984,데이터_품목별!$E$3:$E$2984,"79",데이터_품목별!$A$3:$A$2984,"2025.08")</f>
        <v>9776</v>
      </c>
      <c r="W183" s="55" t="n">
        <f aca="false">SUMIFS(데이터_품목별!$J$3:$J$2984,데이터_품목별!$E$3:$E$2984,"79",데이터_품목별!$A$3:$A$2984,"2025.09")</f>
        <v>13934</v>
      </c>
      <c r="X183" s="55" t="n">
        <f aca="false">SUMIFS(데이터_품목별!$J$3:$J$2984,데이터_품목별!$E$3:$E$2984,"79",데이터_품목별!$A$3:$A$2984,"2025.10")</f>
        <v>21627</v>
      </c>
      <c r="Y183" s="55" t="n">
        <f aca="false">SUMIFS(데이터_품목별!$J$3:$J$2984,데이터_품목별!$E$3:$E$2984,"79",데이터_품목별!$A$3:$A$2984,"2025.11")</f>
        <v>13486</v>
      </c>
      <c r="Z183" s="55" t="n">
        <f aca="false">SUMIFS(데이터_품목별!$J$3:$J$2984,데이터_품목별!$E$3:$E$2984,"79",데이터_품목별!$A$3:$A$2984,"2025.12")</f>
        <v>14324</v>
      </c>
      <c r="AA183" s="55" t="n">
        <f aca="false">SUMIFS(데이터_품목별!$J$3:$J$2984,데이터_품목별!$E$3:$E$2984,"79",데이터_품목별!$A$3:$A$2984,"2026.01")</f>
        <v>11410</v>
      </c>
      <c r="AB183" s="55" t="n">
        <f aca="false">SUMIFS(데이터_품목별!$J$3:$J$2984,데이터_품목별!$E$3:$E$2984,"79",데이터_품목별!$A$3:$A$2984,"2026.02")</f>
        <v>6039</v>
      </c>
      <c r="AC183" s="55" t="n">
        <f aca="false">SUMIFS(데이터_품목별!$J$3:$J$2984,데이터_품목별!$E$3:$E$2984,"79",데이터_품목별!$A$3:$A$2984,"2026.03")</f>
        <v>9697</v>
      </c>
      <c r="AD183" s="55" t="n">
        <f aca="false">SUMIFS(데이터_품목별!$J$3:$J$2984,데이터_품목별!$E$3:$E$2984,"79",데이터_품목별!$A$3:$A$2984,"2026.04")</f>
        <v>6578</v>
      </c>
      <c r="AE183" s="55" t="n">
        <f aca="false">SUMIFS(데이터_품목별!$J$3:$J$2984,데이터_품목별!$E$3:$E$2984,"79",데이터_품목별!$A$3:$A$2984,"2026.05")</f>
        <v>10395</v>
      </c>
      <c r="AF183" s="55" t="n">
        <f aca="false">SUMIFS(데이터_품목별!$J$3:$J$2984,데이터_품목별!$E$3:$E$2984,"79",데이터_품목별!$A$3:$A$2984,"2026.06")</f>
        <v>11370</v>
      </c>
      <c r="AG183" s="55" t="n">
        <f aca="false">SUMIFS(데이터_품목별!$J$3:$J$2984,데이터_품목별!$E$3:$E$2984,"79",데이터_품목별!$A$3:$A$2984,"2026.07")</f>
        <v>11711</v>
      </c>
    </row>
    <row r="184" customFormat="false" ht="15" hidden="false" customHeight="true" outlineLevel="0" collapsed="false">
      <c r="A184" s="53" t="s">
        <v>890</v>
      </c>
      <c r="B184" s="54" t="s">
        <v>891</v>
      </c>
      <c r="C184" s="55" t="n">
        <f aca="false">SUMIFS(데이터_품목별!$J$3:$J$2984,데이터_품목별!$E$3:$E$2984,"80",데이터_품목별!$A$3:$A$2984,"2024.01")</f>
        <v>36750</v>
      </c>
      <c r="D184" s="55" t="n">
        <f aca="false">SUMIFS(데이터_품목별!$J$3:$J$2984,데이터_품목별!$E$3:$E$2984,"80",데이터_품목별!$A$3:$A$2984,"2024.02")</f>
        <v>24944</v>
      </c>
      <c r="E184" s="55" t="n">
        <f aca="false">SUMIFS(데이터_품목별!$J$3:$J$2984,데이터_품목별!$E$3:$E$2984,"80",데이터_품목별!$A$3:$A$2984,"2024.03")</f>
        <v>27230</v>
      </c>
      <c r="F184" s="55" t="n">
        <f aca="false">SUMIFS(데이터_품목별!$J$3:$J$2984,데이터_품목별!$E$3:$E$2984,"80",데이터_품목별!$A$3:$A$2984,"2024.04")</f>
        <v>34846</v>
      </c>
      <c r="G184" s="55" t="n">
        <f aca="false">SUMIFS(데이터_품목별!$J$3:$J$2984,데이터_품목별!$E$3:$E$2984,"80",데이터_품목별!$A$3:$A$2984,"2024.05")</f>
        <v>42722</v>
      </c>
      <c r="H184" s="55" t="n">
        <f aca="false">SUMIFS(데이터_품목별!$J$3:$J$2984,데이터_품목별!$E$3:$E$2984,"80",데이터_품목별!$A$3:$A$2984,"2024.06")</f>
        <v>48217</v>
      </c>
      <c r="I184" s="55" t="n">
        <f aca="false">SUMIFS(데이터_품목별!$J$3:$J$2984,데이터_품목별!$E$3:$E$2984,"80",데이터_품목별!$A$3:$A$2984,"2024.07")</f>
        <v>54970</v>
      </c>
      <c r="J184" s="55" t="n">
        <f aca="false">SUMIFS(데이터_품목별!$J$3:$J$2984,데이터_품목별!$E$3:$E$2984,"80",데이터_품목별!$A$3:$A$2984,"2024.08")</f>
        <v>47646</v>
      </c>
      <c r="K184" s="55" t="n">
        <f aca="false">SUMIFS(데이터_품목별!$J$3:$J$2984,데이터_품목별!$E$3:$E$2984,"80",데이터_품목별!$A$3:$A$2984,"2024.09")</f>
        <v>46114</v>
      </c>
      <c r="L184" s="55" t="n">
        <f aca="false">SUMIFS(데이터_품목별!$J$3:$J$2984,데이터_품목별!$E$3:$E$2984,"80",데이터_품목별!$A$3:$A$2984,"2024.10")</f>
        <v>53342</v>
      </c>
      <c r="M184" s="55" t="n">
        <f aca="false">SUMIFS(데이터_품목별!$J$3:$J$2984,데이터_품목별!$E$3:$E$2984,"80",데이터_품목별!$A$3:$A$2984,"2024.11")</f>
        <v>42878</v>
      </c>
      <c r="N184" s="55" t="n">
        <f aca="false">SUMIFS(데이터_품목별!$J$3:$J$2984,데이터_품목별!$E$3:$E$2984,"80",데이터_품목별!$A$3:$A$2984,"2024.12")</f>
        <v>37074</v>
      </c>
      <c r="O184" s="55" t="n">
        <f aca="false">SUMIFS(데이터_품목별!$J$3:$J$2984,데이터_품목별!$E$3:$E$2984,"80",데이터_품목별!$A$3:$A$2984,"2025.01")</f>
        <v>43666</v>
      </c>
      <c r="P184" s="55" t="n">
        <f aca="false">SUMIFS(데이터_품목별!$J$3:$J$2984,데이터_품목별!$E$3:$E$2984,"80",데이터_품목별!$A$3:$A$2984,"2025.02")</f>
        <v>35725</v>
      </c>
      <c r="Q184" s="55" t="n">
        <f aca="false">SUMIFS(데이터_품목별!$J$3:$J$2984,데이터_품목별!$E$3:$E$2984,"80",데이터_품목별!$A$3:$A$2984,"2025.03")</f>
        <v>41343</v>
      </c>
      <c r="R184" s="55" t="n">
        <f aca="false">SUMIFS(데이터_품목별!$J$3:$J$2984,데이터_품목별!$E$3:$E$2984,"80",데이터_품목별!$A$3:$A$2984,"2025.04")</f>
        <v>47696</v>
      </c>
      <c r="S184" s="55" t="n">
        <f aca="false">SUMIFS(데이터_품목별!$J$3:$J$2984,데이터_품목별!$E$3:$E$2984,"80",데이터_품목별!$A$3:$A$2984,"2025.05")</f>
        <v>41207</v>
      </c>
      <c r="T184" s="55" t="n">
        <f aca="false">SUMIFS(데이터_품목별!$J$3:$J$2984,데이터_품목별!$E$3:$E$2984,"80",데이터_품목별!$A$3:$A$2984,"2025.06")</f>
        <v>49021</v>
      </c>
      <c r="U184" s="55" t="n">
        <f aca="false">SUMIFS(데이터_품목별!$J$3:$J$2984,데이터_품목별!$E$3:$E$2984,"80",데이터_품목별!$A$3:$A$2984,"2025.07")</f>
        <v>51710</v>
      </c>
      <c r="V184" s="55" t="n">
        <f aca="false">SUMIFS(데이터_품목별!$J$3:$J$2984,데이터_품목별!$E$3:$E$2984,"80",데이터_품목별!$A$3:$A$2984,"2025.08")</f>
        <v>48262</v>
      </c>
      <c r="W184" s="55" t="n">
        <f aca="false">SUMIFS(데이터_품목별!$J$3:$J$2984,데이터_품목별!$E$3:$E$2984,"80",데이터_품목별!$A$3:$A$2984,"2025.09")</f>
        <v>37589</v>
      </c>
      <c r="X184" s="55" t="n">
        <f aca="false">SUMIFS(데이터_품목별!$J$3:$J$2984,데이터_품목별!$E$3:$E$2984,"80",데이터_품목별!$A$3:$A$2984,"2025.10")</f>
        <v>53993</v>
      </c>
      <c r="Y184" s="55" t="n">
        <f aca="false">SUMIFS(데이터_품목별!$J$3:$J$2984,데이터_품목별!$E$3:$E$2984,"80",데이터_품목별!$A$3:$A$2984,"2025.11")</f>
        <v>45397</v>
      </c>
      <c r="Z184" s="55" t="n">
        <f aca="false">SUMIFS(데이터_품목별!$J$3:$J$2984,데이터_품목별!$E$3:$E$2984,"80",데이터_품목별!$A$3:$A$2984,"2025.12")</f>
        <v>47146</v>
      </c>
      <c r="AA184" s="55" t="n">
        <f aca="false">SUMIFS(데이터_품목별!$J$3:$J$2984,데이터_품목별!$E$3:$E$2984,"80",데이터_품목별!$A$3:$A$2984,"2026.01")</f>
        <v>70306</v>
      </c>
      <c r="AB184" s="55" t="n">
        <f aca="false">SUMIFS(데이터_품목별!$J$3:$J$2984,데이터_품목별!$E$3:$E$2984,"80",데이터_품목별!$A$3:$A$2984,"2026.02")</f>
        <v>38463</v>
      </c>
      <c r="AC184" s="55" t="n">
        <f aca="false">SUMIFS(데이터_품목별!$J$3:$J$2984,데이터_품목별!$E$3:$E$2984,"80",데이터_품목별!$A$3:$A$2984,"2026.03")</f>
        <v>61444</v>
      </c>
      <c r="AD184" s="55" t="n">
        <f aca="false">SUMIFS(데이터_품목별!$J$3:$J$2984,데이터_품목별!$E$3:$E$2984,"80",데이터_품목별!$A$3:$A$2984,"2026.04")</f>
        <v>56108</v>
      </c>
      <c r="AE184" s="55" t="n">
        <f aca="false">SUMIFS(데이터_품목별!$J$3:$J$2984,데이터_품목별!$E$3:$E$2984,"80",데이터_품목별!$A$3:$A$2984,"2026.05")</f>
        <v>52669</v>
      </c>
      <c r="AF184" s="55" t="n">
        <f aca="false">SUMIFS(데이터_품목별!$J$3:$J$2984,데이터_품목별!$E$3:$E$2984,"80",데이터_품목별!$A$3:$A$2984,"2026.06")</f>
        <v>53816</v>
      </c>
      <c r="AG184" s="55" t="n">
        <f aca="false">SUMIFS(데이터_품목별!$J$3:$J$2984,데이터_품목별!$E$3:$E$2984,"80",데이터_품목별!$A$3:$A$2984,"2026.07")</f>
        <v>68818</v>
      </c>
    </row>
    <row r="185" customFormat="false" ht="15" hidden="false" customHeight="true" outlineLevel="0" collapsed="false">
      <c r="A185" s="53" t="s">
        <v>897</v>
      </c>
      <c r="B185" s="54" t="s">
        <v>898</v>
      </c>
      <c r="C185" s="55" t="n">
        <f aca="false">SUMIFS(데이터_품목별!$J$3:$J$2984,데이터_품목별!$E$3:$E$2984,"81",데이터_품목별!$A$3:$A$2984,"2024.01")</f>
        <v>101900</v>
      </c>
      <c r="D185" s="55" t="n">
        <f aca="false">SUMIFS(데이터_품목별!$J$3:$J$2984,데이터_품목별!$E$3:$E$2984,"81",데이터_품목별!$A$3:$A$2984,"2024.02")</f>
        <v>92181</v>
      </c>
      <c r="E185" s="55" t="n">
        <f aca="false">SUMIFS(데이터_품목별!$J$3:$J$2984,데이터_품목별!$E$3:$E$2984,"81",데이터_품목별!$A$3:$A$2984,"2024.03")</f>
        <v>115657</v>
      </c>
      <c r="F185" s="55" t="n">
        <f aca="false">SUMIFS(데이터_품목별!$J$3:$J$2984,데이터_품목별!$E$3:$E$2984,"81",데이터_품목별!$A$3:$A$2984,"2024.04")</f>
        <v>116239</v>
      </c>
      <c r="G185" s="55" t="n">
        <f aca="false">SUMIFS(데이터_품목별!$J$3:$J$2984,데이터_품목별!$E$3:$E$2984,"81",데이터_품목별!$A$3:$A$2984,"2024.05")</f>
        <v>116467</v>
      </c>
      <c r="H185" s="55" t="n">
        <f aca="false">SUMIFS(데이터_품목별!$J$3:$J$2984,데이터_품목별!$E$3:$E$2984,"81",데이터_품목별!$A$3:$A$2984,"2024.06")</f>
        <v>107284</v>
      </c>
      <c r="I185" s="55" t="n">
        <f aca="false">SUMIFS(데이터_품목별!$J$3:$J$2984,데이터_품목별!$E$3:$E$2984,"81",데이터_품목별!$A$3:$A$2984,"2024.07")</f>
        <v>129177</v>
      </c>
      <c r="J185" s="55" t="n">
        <f aca="false">SUMIFS(데이터_품목별!$J$3:$J$2984,데이터_품목별!$E$3:$E$2984,"81",데이터_품목별!$A$3:$A$2984,"2024.08")</f>
        <v>110829</v>
      </c>
      <c r="K185" s="55" t="n">
        <f aca="false">SUMIFS(데이터_품목별!$J$3:$J$2984,데이터_품목별!$E$3:$E$2984,"81",데이터_품목별!$A$3:$A$2984,"2024.09")</f>
        <v>117315</v>
      </c>
      <c r="L185" s="55" t="n">
        <f aca="false">SUMIFS(데이터_품목별!$J$3:$J$2984,데이터_품목별!$E$3:$E$2984,"81",데이터_품목별!$A$3:$A$2984,"2024.10")</f>
        <v>128575</v>
      </c>
      <c r="M185" s="55" t="n">
        <f aca="false">SUMIFS(데이터_품목별!$J$3:$J$2984,데이터_품목별!$E$3:$E$2984,"81",데이터_품목별!$A$3:$A$2984,"2024.11")</f>
        <v>113566</v>
      </c>
      <c r="N185" s="55" t="n">
        <f aca="false">SUMIFS(데이터_품목별!$J$3:$J$2984,데이터_품목별!$E$3:$E$2984,"81",데이터_품목별!$A$3:$A$2984,"2024.12")</f>
        <v>126476</v>
      </c>
      <c r="O185" s="55" t="n">
        <f aca="false">SUMIFS(데이터_품목별!$J$3:$J$2984,데이터_품목별!$E$3:$E$2984,"81",데이터_품목별!$A$3:$A$2984,"2025.01")</f>
        <v>99100</v>
      </c>
      <c r="P185" s="55" t="n">
        <f aca="false">SUMIFS(데이터_품목별!$J$3:$J$2984,데이터_품목별!$E$3:$E$2984,"81",데이터_품목별!$A$3:$A$2984,"2025.02")</f>
        <v>100847</v>
      </c>
      <c r="Q185" s="55" t="n">
        <f aca="false">SUMIFS(데이터_품목별!$J$3:$J$2984,데이터_품목별!$E$3:$E$2984,"81",데이터_품목별!$A$3:$A$2984,"2025.03")</f>
        <v>118237</v>
      </c>
      <c r="R185" s="55" t="n">
        <f aca="false">SUMIFS(데이터_품목별!$J$3:$J$2984,데이터_품목별!$E$3:$E$2984,"81",데이터_품목별!$A$3:$A$2984,"2025.04")</f>
        <v>137914</v>
      </c>
      <c r="S185" s="55" t="n">
        <f aca="false">SUMIFS(데이터_품목별!$J$3:$J$2984,데이터_품목별!$E$3:$E$2984,"81",데이터_품목별!$A$3:$A$2984,"2025.05")</f>
        <v>129378</v>
      </c>
      <c r="T185" s="55" t="n">
        <f aca="false">SUMIFS(데이터_품목별!$J$3:$J$2984,데이터_품목별!$E$3:$E$2984,"81",데이터_품목별!$A$3:$A$2984,"2025.06")</f>
        <v>127269</v>
      </c>
      <c r="U185" s="55" t="n">
        <f aca="false">SUMIFS(데이터_품목별!$J$3:$J$2984,데이터_품목별!$E$3:$E$2984,"81",데이터_품목별!$A$3:$A$2984,"2025.07")</f>
        <v>144520</v>
      </c>
      <c r="V185" s="55" t="n">
        <f aca="false">SUMIFS(데이터_품목별!$J$3:$J$2984,데이터_품목별!$E$3:$E$2984,"81",데이터_품목별!$A$3:$A$2984,"2025.08")</f>
        <v>111058</v>
      </c>
      <c r="W185" s="55" t="n">
        <f aca="false">SUMIFS(데이터_품목별!$J$3:$J$2984,데이터_품목별!$E$3:$E$2984,"81",데이터_품목별!$A$3:$A$2984,"2025.09")</f>
        <v>120061</v>
      </c>
      <c r="X185" s="55" t="n">
        <f aca="false">SUMIFS(데이터_품목별!$J$3:$J$2984,데이터_품목별!$E$3:$E$2984,"81",데이터_품목별!$A$3:$A$2984,"2025.10")</f>
        <v>117022</v>
      </c>
      <c r="Y185" s="55" t="n">
        <f aca="false">SUMIFS(데이터_품목별!$J$3:$J$2984,데이터_품목별!$E$3:$E$2984,"81",데이터_품목별!$A$3:$A$2984,"2025.11")</f>
        <v>127212</v>
      </c>
      <c r="Z185" s="55" t="n">
        <f aca="false">SUMIFS(데이터_품목별!$J$3:$J$2984,데이터_품목별!$E$3:$E$2984,"81",데이터_품목별!$A$3:$A$2984,"2025.12")</f>
        <v>122862</v>
      </c>
      <c r="AA185" s="55" t="n">
        <f aca="false">SUMIFS(데이터_품목별!$J$3:$J$2984,데이터_품목별!$E$3:$E$2984,"81",데이터_품목별!$A$3:$A$2984,"2026.01")</f>
        <v>118549</v>
      </c>
      <c r="AB185" s="55" t="n">
        <f aca="false">SUMIFS(데이터_품목별!$J$3:$J$2984,데이터_품목별!$E$3:$E$2984,"81",데이터_품목별!$A$3:$A$2984,"2026.02")</f>
        <v>127037</v>
      </c>
      <c r="AC185" s="55" t="n">
        <f aca="false">SUMIFS(데이터_품목별!$J$3:$J$2984,데이터_품목별!$E$3:$E$2984,"81",데이터_품목별!$A$3:$A$2984,"2026.03")</f>
        <v>142785</v>
      </c>
      <c r="AD185" s="55" t="n">
        <f aca="false">SUMIFS(데이터_품목별!$J$3:$J$2984,데이터_품목별!$E$3:$E$2984,"81",데이터_품목별!$A$3:$A$2984,"2026.04")</f>
        <v>208671</v>
      </c>
      <c r="AE185" s="55" t="n">
        <f aca="false">SUMIFS(데이터_품목별!$J$3:$J$2984,데이터_품목별!$E$3:$E$2984,"81",데이터_품목별!$A$3:$A$2984,"2026.05")</f>
        <v>177942</v>
      </c>
      <c r="AF185" s="55" t="n">
        <f aca="false">SUMIFS(데이터_품목별!$J$3:$J$2984,데이터_품목별!$E$3:$E$2984,"81",데이터_품목별!$A$3:$A$2984,"2026.06")</f>
        <v>255145</v>
      </c>
      <c r="AG185" s="55" t="n">
        <f aca="false">SUMIFS(데이터_품목별!$J$3:$J$2984,데이터_품목별!$E$3:$E$2984,"81",데이터_품목별!$A$3:$A$2984,"2026.07")</f>
        <v>199227</v>
      </c>
    </row>
    <row r="186" customFormat="false" ht="15" hidden="false" customHeight="true" outlineLevel="0" collapsed="false">
      <c r="A186" s="53" t="s">
        <v>904</v>
      </c>
      <c r="B186" s="54" t="s">
        <v>905</v>
      </c>
      <c r="C186" s="55" t="n">
        <f aca="false">SUMIFS(데이터_품목별!$J$3:$J$2984,데이터_품목별!$E$3:$E$2984,"82",데이터_품목별!$A$3:$A$2984,"2024.01")</f>
        <v>90524</v>
      </c>
      <c r="D186" s="55" t="n">
        <f aca="false">SUMIFS(데이터_품목별!$J$3:$J$2984,데이터_품목별!$E$3:$E$2984,"82",데이터_품목별!$A$3:$A$2984,"2024.02")</f>
        <v>68013</v>
      </c>
      <c r="E186" s="55" t="n">
        <f aca="false">SUMIFS(데이터_품목별!$J$3:$J$2984,데이터_품목별!$E$3:$E$2984,"82",데이터_품목별!$A$3:$A$2984,"2024.03")</f>
        <v>84218</v>
      </c>
      <c r="F186" s="55" t="n">
        <f aca="false">SUMIFS(데이터_품목별!$J$3:$J$2984,데이터_품목별!$E$3:$E$2984,"82",데이터_품목별!$A$3:$A$2984,"2024.04")</f>
        <v>97249</v>
      </c>
      <c r="G186" s="55" t="n">
        <f aca="false">SUMIFS(데이터_품목별!$J$3:$J$2984,데이터_품목별!$E$3:$E$2984,"82",데이터_품목별!$A$3:$A$2984,"2024.05")</f>
        <v>85789</v>
      </c>
      <c r="H186" s="55" t="n">
        <f aca="false">SUMIFS(데이터_품목별!$J$3:$J$2984,데이터_품목별!$E$3:$E$2984,"82",데이터_품목별!$A$3:$A$2984,"2024.06")</f>
        <v>80964</v>
      </c>
      <c r="I186" s="55" t="n">
        <f aca="false">SUMIFS(데이터_품목별!$J$3:$J$2984,데이터_품목별!$E$3:$E$2984,"82",데이터_품목별!$A$3:$A$2984,"2024.07")</f>
        <v>88503</v>
      </c>
      <c r="J186" s="55" t="n">
        <f aca="false">SUMIFS(데이터_품목별!$J$3:$J$2984,데이터_품목별!$E$3:$E$2984,"82",데이터_품목별!$A$3:$A$2984,"2024.08")</f>
        <v>88551</v>
      </c>
      <c r="K186" s="55" t="n">
        <f aca="false">SUMIFS(데이터_품목별!$J$3:$J$2984,데이터_품목별!$E$3:$E$2984,"82",데이터_품목별!$A$3:$A$2984,"2024.09")</f>
        <v>76248</v>
      </c>
      <c r="L186" s="55" t="n">
        <f aca="false">SUMIFS(데이터_품목별!$J$3:$J$2984,데이터_품목별!$E$3:$E$2984,"82",데이터_품목별!$A$3:$A$2984,"2024.10")</f>
        <v>85582</v>
      </c>
      <c r="M186" s="55" t="n">
        <f aca="false">SUMIFS(데이터_품목별!$J$3:$J$2984,데이터_품목별!$E$3:$E$2984,"82",데이터_품목별!$A$3:$A$2984,"2024.11")</f>
        <v>79968</v>
      </c>
      <c r="N186" s="55" t="n">
        <f aca="false">SUMIFS(데이터_품목별!$J$3:$J$2984,데이터_품목별!$E$3:$E$2984,"82",데이터_품목별!$A$3:$A$2984,"2024.12")</f>
        <v>92512</v>
      </c>
      <c r="O186" s="55" t="n">
        <f aca="false">SUMIFS(데이터_품목별!$J$3:$J$2984,데이터_품목별!$E$3:$E$2984,"82",데이터_품목별!$A$3:$A$2984,"2025.01")</f>
        <v>77631</v>
      </c>
      <c r="P186" s="55" t="n">
        <f aca="false">SUMIFS(데이터_품목별!$J$3:$J$2984,데이터_품목별!$E$3:$E$2984,"82",데이터_품목별!$A$3:$A$2984,"2025.02")</f>
        <v>73613</v>
      </c>
      <c r="Q186" s="55" t="n">
        <f aca="false">SUMIFS(데이터_품목별!$J$3:$J$2984,데이터_품목별!$E$3:$E$2984,"82",데이터_품목별!$A$3:$A$2984,"2025.03")</f>
        <v>83544</v>
      </c>
      <c r="R186" s="55" t="n">
        <f aca="false">SUMIFS(데이터_품목별!$J$3:$J$2984,데이터_품목별!$E$3:$E$2984,"82",데이터_품목별!$A$3:$A$2984,"2025.04")</f>
        <v>94319</v>
      </c>
      <c r="S186" s="55" t="n">
        <f aca="false">SUMIFS(데이터_품목별!$J$3:$J$2984,데이터_품목별!$E$3:$E$2984,"82",데이터_품목별!$A$3:$A$2984,"2025.05")</f>
        <v>90286</v>
      </c>
      <c r="T186" s="55" t="n">
        <f aca="false">SUMIFS(데이터_품목별!$J$3:$J$2984,데이터_품목별!$E$3:$E$2984,"82",데이터_품목별!$A$3:$A$2984,"2025.06")</f>
        <v>82838</v>
      </c>
      <c r="U186" s="55" t="n">
        <f aca="false">SUMIFS(데이터_품목별!$J$3:$J$2984,데이터_품목별!$E$3:$E$2984,"82",데이터_품목별!$A$3:$A$2984,"2025.07")</f>
        <v>85208</v>
      </c>
      <c r="V186" s="55" t="n">
        <f aca="false">SUMIFS(데이터_품목별!$J$3:$J$2984,데이터_품목별!$E$3:$E$2984,"82",데이터_품목별!$A$3:$A$2984,"2025.08")</f>
        <v>78058</v>
      </c>
      <c r="W186" s="55" t="n">
        <f aca="false">SUMIFS(데이터_품목별!$J$3:$J$2984,데이터_품목별!$E$3:$E$2984,"82",데이터_품목별!$A$3:$A$2984,"2025.09")</f>
        <v>92630</v>
      </c>
      <c r="X186" s="55" t="n">
        <f aca="false">SUMIFS(데이터_품목별!$J$3:$J$2984,데이터_품목별!$E$3:$E$2984,"82",데이터_품목별!$A$3:$A$2984,"2025.10")</f>
        <v>88380</v>
      </c>
      <c r="Y186" s="55" t="n">
        <f aca="false">SUMIFS(데이터_품목별!$J$3:$J$2984,데이터_품목별!$E$3:$E$2984,"82",데이터_품목별!$A$3:$A$2984,"2025.11")</f>
        <v>81255</v>
      </c>
      <c r="Z186" s="55" t="n">
        <f aca="false">SUMIFS(데이터_품목별!$J$3:$J$2984,데이터_품목별!$E$3:$E$2984,"82",데이터_품목별!$A$3:$A$2984,"2025.12")</f>
        <v>101419</v>
      </c>
      <c r="AA186" s="55" t="n">
        <f aca="false">SUMIFS(데이터_품목별!$J$3:$J$2984,데이터_품목별!$E$3:$E$2984,"82",데이터_품목별!$A$3:$A$2984,"2026.01")</f>
        <v>84243</v>
      </c>
      <c r="AB186" s="55" t="n">
        <f aca="false">SUMIFS(데이터_품목별!$J$3:$J$2984,데이터_품목별!$E$3:$E$2984,"82",데이터_품목별!$A$3:$A$2984,"2026.02")</f>
        <v>80532</v>
      </c>
      <c r="AC186" s="55" t="n">
        <f aca="false">SUMIFS(데이터_품목별!$J$3:$J$2984,데이터_품목별!$E$3:$E$2984,"82",데이터_품목별!$A$3:$A$2984,"2026.03")</f>
        <v>88247</v>
      </c>
      <c r="AD186" s="55" t="n">
        <f aca="false">SUMIFS(데이터_품목별!$J$3:$J$2984,데이터_품목별!$E$3:$E$2984,"82",데이터_품목별!$A$3:$A$2984,"2026.04")</f>
        <v>100402</v>
      </c>
      <c r="AE186" s="55" t="n">
        <f aca="false">SUMIFS(데이터_품목별!$J$3:$J$2984,데이터_품목별!$E$3:$E$2984,"82",데이터_품목별!$A$3:$A$2984,"2026.05")</f>
        <v>92359</v>
      </c>
      <c r="AF186" s="55" t="n">
        <f aca="false">SUMIFS(데이터_품목별!$J$3:$J$2984,데이터_품목별!$E$3:$E$2984,"82",데이터_품목별!$A$3:$A$2984,"2026.06")</f>
        <v>101407</v>
      </c>
      <c r="AG186" s="55" t="n">
        <f aca="false">SUMIFS(데이터_품목별!$J$3:$J$2984,데이터_품목별!$E$3:$E$2984,"82",데이터_품목별!$A$3:$A$2984,"2026.07")</f>
        <v>106271</v>
      </c>
    </row>
    <row r="187" customFormat="false" ht="15" hidden="false" customHeight="true" outlineLevel="0" collapsed="false">
      <c r="A187" s="53" t="s">
        <v>911</v>
      </c>
      <c r="B187" s="54" t="s">
        <v>912</v>
      </c>
      <c r="C187" s="55" t="n">
        <f aca="false">SUMIFS(데이터_품목별!$J$3:$J$2984,데이터_품목별!$E$3:$E$2984,"83",데이터_품목별!$A$3:$A$2984,"2024.01")</f>
        <v>86324</v>
      </c>
      <c r="D187" s="55" t="n">
        <f aca="false">SUMIFS(데이터_품목별!$J$3:$J$2984,데이터_품목별!$E$3:$E$2984,"83",데이터_품목별!$A$3:$A$2984,"2024.02")</f>
        <v>65908</v>
      </c>
      <c r="E187" s="55" t="n">
        <f aca="false">SUMIFS(데이터_품목별!$J$3:$J$2984,데이터_품목별!$E$3:$E$2984,"83",데이터_품목별!$A$3:$A$2984,"2024.03")</f>
        <v>68889</v>
      </c>
      <c r="F187" s="55" t="n">
        <f aca="false">SUMIFS(데이터_품목별!$J$3:$J$2984,데이터_품목별!$E$3:$E$2984,"83",데이터_품목별!$A$3:$A$2984,"2024.04")</f>
        <v>87328</v>
      </c>
      <c r="G187" s="55" t="n">
        <f aca="false">SUMIFS(데이터_품목별!$J$3:$J$2984,데이터_품목별!$E$3:$E$2984,"83",데이터_품목별!$A$3:$A$2984,"2024.05")</f>
        <v>80612</v>
      </c>
      <c r="H187" s="55" t="n">
        <f aca="false">SUMIFS(데이터_품목별!$J$3:$J$2984,데이터_품목별!$E$3:$E$2984,"83",데이터_품목별!$A$3:$A$2984,"2024.06")</f>
        <v>75638</v>
      </c>
      <c r="I187" s="55" t="n">
        <f aca="false">SUMIFS(데이터_품목별!$J$3:$J$2984,데이터_품목별!$E$3:$E$2984,"83",데이터_품목별!$A$3:$A$2984,"2024.07")</f>
        <v>80941</v>
      </c>
      <c r="J187" s="55" t="n">
        <f aca="false">SUMIFS(데이터_품목별!$J$3:$J$2984,데이터_품목별!$E$3:$E$2984,"83",데이터_품목별!$A$3:$A$2984,"2024.08")</f>
        <v>80531</v>
      </c>
      <c r="K187" s="55" t="n">
        <f aca="false">SUMIFS(데이터_품목별!$J$3:$J$2984,데이터_품목별!$E$3:$E$2984,"83",데이터_품목별!$A$3:$A$2984,"2024.09")</f>
        <v>74125</v>
      </c>
      <c r="L187" s="55" t="n">
        <f aca="false">SUMIFS(데이터_품목별!$J$3:$J$2984,데이터_품목별!$E$3:$E$2984,"83",데이터_품목별!$A$3:$A$2984,"2024.10")</f>
        <v>86217</v>
      </c>
      <c r="M187" s="55" t="n">
        <f aca="false">SUMIFS(데이터_품목별!$J$3:$J$2984,데이터_품목별!$E$3:$E$2984,"83",데이터_품목별!$A$3:$A$2984,"2024.11")</f>
        <v>78560</v>
      </c>
      <c r="N187" s="55" t="n">
        <f aca="false">SUMIFS(데이터_품목별!$J$3:$J$2984,데이터_품목별!$E$3:$E$2984,"83",데이터_품목별!$A$3:$A$2984,"2024.12")</f>
        <v>89189</v>
      </c>
      <c r="O187" s="55" t="n">
        <f aca="false">SUMIFS(데이터_품목별!$J$3:$J$2984,데이터_품목별!$E$3:$E$2984,"83",데이터_품목별!$A$3:$A$2984,"2025.01")</f>
        <v>79844</v>
      </c>
      <c r="P187" s="55" t="n">
        <f aca="false">SUMIFS(데이터_품목별!$J$3:$J$2984,데이터_품목별!$E$3:$E$2984,"83",데이터_품목별!$A$3:$A$2984,"2025.02")</f>
        <v>66285</v>
      </c>
      <c r="Q187" s="55" t="n">
        <f aca="false">SUMIFS(데이터_품목별!$J$3:$J$2984,데이터_품목별!$E$3:$E$2984,"83",데이터_품목별!$A$3:$A$2984,"2025.03")</f>
        <v>77219</v>
      </c>
      <c r="R187" s="55" t="n">
        <f aca="false">SUMIFS(데이터_품목별!$J$3:$J$2984,데이터_품목별!$E$3:$E$2984,"83",데이터_품목별!$A$3:$A$2984,"2025.04")</f>
        <v>85471</v>
      </c>
      <c r="S187" s="55" t="n">
        <f aca="false">SUMIFS(데이터_품목별!$J$3:$J$2984,데이터_품목별!$E$3:$E$2984,"83",데이터_품목별!$A$3:$A$2984,"2025.05")</f>
        <v>79120</v>
      </c>
      <c r="T187" s="55" t="n">
        <f aca="false">SUMIFS(데이터_품목별!$J$3:$J$2984,데이터_품목별!$E$3:$E$2984,"83",데이터_품목별!$A$3:$A$2984,"2025.06")</f>
        <v>77959</v>
      </c>
      <c r="U187" s="55" t="n">
        <f aca="false">SUMIFS(데이터_품목별!$J$3:$J$2984,데이터_품목별!$E$3:$E$2984,"83",데이터_품목별!$A$3:$A$2984,"2025.07")</f>
        <v>82305</v>
      </c>
      <c r="V187" s="55" t="n">
        <f aca="false">SUMIFS(데이터_품목별!$J$3:$J$2984,데이터_품목별!$E$3:$E$2984,"83",데이터_품목별!$A$3:$A$2984,"2025.08")</f>
        <v>75205</v>
      </c>
      <c r="W187" s="55" t="n">
        <f aca="false">SUMIFS(데이터_품목별!$J$3:$J$2984,데이터_품목별!$E$3:$E$2984,"83",데이터_품목별!$A$3:$A$2984,"2025.09")</f>
        <v>84717</v>
      </c>
      <c r="X187" s="55" t="n">
        <f aca="false">SUMIFS(데이터_품목별!$J$3:$J$2984,데이터_품목별!$E$3:$E$2984,"83",데이터_품목별!$A$3:$A$2984,"2025.10")</f>
        <v>71954</v>
      </c>
      <c r="Y187" s="55" t="n">
        <f aca="false">SUMIFS(데이터_품목별!$J$3:$J$2984,데이터_품목별!$E$3:$E$2984,"83",데이터_품목별!$A$3:$A$2984,"2025.11")</f>
        <v>73905</v>
      </c>
      <c r="Z187" s="55" t="n">
        <f aca="false">SUMIFS(데이터_품목별!$J$3:$J$2984,데이터_품목별!$E$3:$E$2984,"83",데이터_품목별!$A$3:$A$2984,"2025.12")</f>
        <v>82503</v>
      </c>
      <c r="AA187" s="55" t="n">
        <f aca="false">SUMIFS(데이터_품목별!$J$3:$J$2984,데이터_품목별!$E$3:$E$2984,"83",데이터_품목별!$A$3:$A$2984,"2026.01")</f>
        <v>86499</v>
      </c>
      <c r="AB187" s="55" t="n">
        <f aca="false">SUMIFS(데이터_품목별!$J$3:$J$2984,데이터_품목별!$E$3:$E$2984,"83",데이터_품목별!$A$3:$A$2984,"2026.02")</f>
        <v>75682</v>
      </c>
      <c r="AC187" s="55" t="n">
        <f aca="false">SUMIFS(데이터_품목별!$J$3:$J$2984,데이터_품목별!$E$3:$E$2984,"83",데이터_품목별!$A$3:$A$2984,"2026.03")</f>
        <v>72981</v>
      </c>
      <c r="AD187" s="55" t="n">
        <f aca="false">SUMIFS(데이터_품목별!$J$3:$J$2984,데이터_품목별!$E$3:$E$2984,"83",데이터_품목별!$A$3:$A$2984,"2026.04")</f>
        <v>86533</v>
      </c>
      <c r="AE187" s="55" t="n">
        <f aca="false">SUMIFS(데이터_품목별!$J$3:$J$2984,데이터_품목별!$E$3:$E$2984,"83",데이터_품목별!$A$3:$A$2984,"2026.05")</f>
        <v>81709</v>
      </c>
      <c r="AF187" s="55" t="n">
        <f aca="false">SUMIFS(데이터_품목별!$J$3:$J$2984,데이터_품목별!$E$3:$E$2984,"83",데이터_품목별!$A$3:$A$2984,"2026.06")</f>
        <v>90239</v>
      </c>
      <c r="AG187" s="55" t="n">
        <f aca="false">SUMIFS(데이터_품목별!$J$3:$J$2984,데이터_품목별!$E$3:$E$2984,"83",데이터_품목별!$A$3:$A$2984,"2026.07")</f>
        <v>83099</v>
      </c>
    </row>
    <row r="188" customFormat="false" ht="15" hidden="false" customHeight="true" outlineLevel="0" collapsed="false">
      <c r="A188" s="53" t="s">
        <v>918</v>
      </c>
      <c r="B188" s="54" t="s">
        <v>919</v>
      </c>
      <c r="C188" s="55" t="n">
        <f aca="false">SUMIFS(데이터_품목별!$J$3:$J$2984,데이터_품목별!$E$3:$E$2984,"84",데이터_품목별!$A$3:$A$2984,"2024.01")</f>
        <v>5471938</v>
      </c>
      <c r="D188" s="55" t="n">
        <f aca="false">SUMIFS(데이터_품목별!$J$3:$J$2984,데이터_품목별!$E$3:$E$2984,"84",데이터_품목별!$A$3:$A$2984,"2024.02")</f>
        <v>4963898</v>
      </c>
      <c r="E188" s="55" t="n">
        <f aca="false">SUMIFS(데이터_품목별!$J$3:$J$2984,데이터_품목별!$E$3:$E$2984,"84",데이터_품목별!$A$3:$A$2984,"2024.03")</f>
        <v>5559210</v>
      </c>
      <c r="F188" s="55" t="n">
        <f aca="false">SUMIFS(데이터_품목별!$J$3:$J$2984,데이터_품목별!$E$3:$E$2984,"84",데이터_품목별!$A$3:$A$2984,"2024.04")</f>
        <v>5450490</v>
      </c>
      <c r="G188" s="55" t="n">
        <f aca="false">SUMIFS(데이터_품목별!$J$3:$J$2984,데이터_품목별!$E$3:$E$2984,"84",데이터_품목별!$A$3:$A$2984,"2024.05")</f>
        <v>5209342</v>
      </c>
      <c r="H188" s="55" t="n">
        <f aca="false">SUMIFS(데이터_품목별!$J$3:$J$2984,데이터_품목별!$E$3:$E$2984,"84",데이터_품목별!$A$3:$A$2984,"2024.06")</f>
        <v>5571650</v>
      </c>
      <c r="I188" s="55" t="n">
        <f aca="false">SUMIFS(데이터_품목별!$J$3:$J$2984,데이터_품목별!$E$3:$E$2984,"84",데이터_품목별!$A$3:$A$2984,"2024.07")</f>
        <v>5211603</v>
      </c>
      <c r="J188" s="55" t="n">
        <f aca="false">SUMIFS(데이터_품목별!$J$3:$J$2984,데이터_품목별!$E$3:$E$2984,"84",데이터_품목별!$A$3:$A$2984,"2024.08")</f>
        <v>4895890</v>
      </c>
      <c r="K188" s="55" t="n">
        <f aca="false">SUMIFS(데이터_품목별!$J$3:$J$2984,데이터_품목별!$E$3:$E$2984,"84",데이터_품목별!$A$3:$A$2984,"2024.09")</f>
        <v>5921673</v>
      </c>
      <c r="L188" s="55" t="n">
        <f aca="false">SUMIFS(데이터_품목별!$J$3:$J$2984,데이터_품목별!$E$3:$E$2984,"84",데이터_품목별!$A$3:$A$2984,"2024.10")</f>
        <v>5426724</v>
      </c>
      <c r="M188" s="55" t="n">
        <f aca="false">SUMIFS(데이터_품목별!$J$3:$J$2984,데이터_품목별!$E$3:$E$2984,"84",데이터_품목별!$A$3:$A$2984,"2024.11")</f>
        <v>5751126</v>
      </c>
      <c r="N188" s="55" t="n">
        <f aca="false">SUMIFS(데이터_품목별!$J$3:$J$2984,데이터_품목별!$E$3:$E$2984,"84",데이터_품목별!$A$3:$A$2984,"2024.12")</f>
        <v>6579785</v>
      </c>
      <c r="O188" s="55" t="n">
        <f aca="false">SUMIFS(데이터_품목별!$J$3:$J$2984,데이터_품목별!$E$3:$E$2984,"84",데이터_품목별!$A$3:$A$2984,"2025.01")</f>
        <v>5592162</v>
      </c>
      <c r="P188" s="55" t="n">
        <f aca="false">SUMIFS(데이터_품목별!$J$3:$J$2984,데이터_품목별!$E$3:$E$2984,"84",데이터_품목별!$A$3:$A$2984,"2025.02")</f>
        <v>5663639</v>
      </c>
      <c r="Q188" s="55" t="n">
        <f aca="false">SUMIFS(데이터_품목별!$J$3:$J$2984,데이터_품목별!$E$3:$E$2984,"84",데이터_품목별!$A$3:$A$2984,"2025.03")</f>
        <v>6938725</v>
      </c>
      <c r="R188" s="55" t="n">
        <f aca="false">SUMIFS(데이터_품목별!$J$3:$J$2984,데이터_품목별!$E$3:$E$2984,"84",데이터_품목별!$A$3:$A$2984,"2025.04")</f>
        <v>6158362</v>
      </c>
      <c r="S188" s="55" t="n">
        <f aca="false">SUMIFS(데이터_품목별!$J$3:$J$2984,데이터_품목별!$E$3:$E$2984,"84",데이터_품목별!$A$3:$A$2984,"2025.05")</f>
        <v>5743960</v>
      </c>
      <c r="T188" s="55" t="n">
        <f aca="false">SUMIFS(데이터_품목별!$J$3:$J$2984,데이터_품목별!$E$3:$E$2984,"84",데이터_품목별!$A$3:$A$2984,"2025.06")</f>
        <v>6368004</v>
      </c>
      <c r="U188" s="55" t="n">
        <f aca="false">SUMIFS(데이터_품목별!$J$3:$J$2984,데이터_품목별!$E$3:$E$2984,"84",데이터_품목별!$A$3:$A$2984,"2025.07")</f>
        <v>6156235</v>
      </c>
      <c r="V188" s="55" t="n">
        <f aca="false">SUMIFS(데이터_품목별!$J$3:$J$2984,데이터_품목별!$E$3:$E$2984,"84",데이터_품목별!$A$3:$A$2984,"2025.08")</f>
        <v>5593976</v>
      </c>
      <c r="W188" s="55" t="n">
        <f aca="false">SUMIFS(데이터_품목별!$J$3:$J$2984,데이터_품목별!$E$3:$E$2984,"84",데이터_품목별!$A$3:$A$2984,"2025.09")</f>
        <v>7176274</v>
      </c>
      <c r="X188" s="55" t="n">
        <f aca="false">SUMIFS(데이터_품목별!$J$3:$J$2984,데이터_품목별!$E$3:$E$2984,"84",데이터_품목별!$A$3:$A$2984,"2025.10")</f>
        <v>6029558</v>
      </c>
      <c r="Y188" s="55" t="n">
        <f aca="false">SUMIFS(데이터_품목별!$J$3:$J$2984,데이터_품목별!$E$3:$E$2984,"84",데이터_품목별!$A$3:$A$2984,"2025.11")</f>
        <v>6155497</v>
      </c>
      <c r="Z188" s="55" t="n">
        <f aca="false">SUMIFS(데이터_품목별!$J$3:$J$2984,데이터_품목별!$E$3:$E$2984,"84",데이터_품목별!$A$3:$A$2984,"2025.12")</f>
        <v>7135244</v>
      </c>
      <c r="AA188" s="55" t="n">
        <f aca="false">SUMIFS(데이터_품목별!$J$3:$J$2984,데이터_품목별!$E$3:$E$2984,"84",데이터_품목별!$A$3:$A$2984,"2026.01")</f>
        <v>7088613</v>
      </c>
      <c r="AB188" s="55" t="n">
        <f aca="false">SUMIFS(데이터_품목별!$J$3:$J$2984,데이터_품목별!$E$3:$E$2984,"84",데이터_품목별!$A$3:$A$2984,"2026.02")</f>
        <v>6971613</v>
      </c>
      <c r="AC188" s="55" t="n">
        <f aca="false">SUMIFS(데이터_품목별!$J$3:$J$2984,데이터_품목별!$E$3:$E$2984,"84",데이터_품목별!$A$3:$A$2984,"2026.03")</f>
        <v>8245466</v>
      </c>
      <c r="AD188" s="55" t="n">
        <f aca="false">SUMIFS(데이터_품목별!$J$3:$J$2984,데이터_품목별!$E$3:$E$2984,"84",데이터_품목별!$A$3:$A$2984,"2026.04")</f>
        <v>7863346</v>
      </c>
      <c r="AE188" s="55" t="n">
        <f aca="false">SUMIFS(데이터_품목별!$J$3:$J$2984,데이터_품목별!$E$3:$E$2984,"84",데이터_품목별!$A$3:$A$2984,"2026.05")</f>
        <v>7288378</v>
      </c>
      <c r="AF188" s="55" t="n">
        <f aca="false">SUMIFS(데이터_품목별!$J$3:$J$2984,데이터_품목별!$E$3:$E$2984,"84",데이터_품목별!$A$3:$A$2984,"2026.06")</f>
        <v>8168315</v>
      </c>
      <c r="AG188" s="55" t="n">
        <f aca="false">SUMIFS(데이터_품목별!$J$3:$J$2984,데이터_품목별!$E$3:$E$2984,"84",데이터_품목별!$A$3:$A$2984,"2026.07")</f>
        <v>8719307</v>
      </c>
    </row>
    <row r="189" customFormat="false" ht="15" hidden="false" customHeight="true" outlineLevel="0" collapsed="false">
      <c r="A189" s="53" t="s">
        <v>925</v>
      </c>
      <c r="B189" s="54" t="s">
        <v>926</v>
      </c>
      <c r="C189" s="55" t="n">
        <f aca="false">SUMIFS(데이터_품목별!$J$3:$J$2984,데이터_품목별!$E$3:$E$2984,"85",데이터_품목별!$A$3:$A$2984,"2024.01")</f>
        <v>10151080</v>
      </c>
      <c r="D189" s="55" t="n">
        <f aca="false">SUMIFS(데이터_품목별!$J$3:$J$2984,데이터_품목별!$E$3:$E$2984,"85",데이터_품목별!$A$3:$A$2984,"2024.02")</f>
        <v>8891416</v>
      </c>
      <c r="E189" s="55" t="n">
        <f aca="false">SUMIFS(데이터_품목별!$J$3:$J$2984,데이터_품목별!$E$3:$E$2984,"85",데이터_품목별!$A$3:$A$2984,"2024.03")</f>
        <v>9803108</v>
      </c>
      <c r="F189" s="55" t="n">
        <f aca="false">SUMIFS(데이터_품목별!$J$3:$J$2984,데이터_품목별!$E$3:$E$2984,"85",데이터_품목별!$A$3:$A$2984,"2024.04")</f>
        <v>10064430</v>
      </c>
      <c r="G189" s="55" t="n">
        <f aca="false">SUMIFS(데이터_품목별!$J$3:$J$2984,데이터_품목별!$E$3:$E$2984,"85",데이터_품목별!$A$3:$A$2984,"2024.05")</f>
        <v>10180914</v>
      </c>
      <c r="H189" s="55" t="n">
        <f aca="false">SUMIFS(데이터_품목별!$J$3:$J$2984,데이터_품목별!$E$3:$E$2984,"85",데이터_품목별!$A$3:$A$2984,"2024.06")</f>
        <v>9303066</v>
      </c>
      <c r="I189" s="55" t="n">
        <f aca="false">SUMIFS(데이터_품목별!$J$3:$J$2984,데이터_품목별!$E$3:$E$2984,"85",데이터_품목별!$A$3:$A$2984,"2024.07")</f>
        <v>10524677</v>
      </c>
      <c r="J189" s="55" t="n">
        <f aca="false">SUMIFS(데이터_품목별!$J$3:$J$2984,데이터_품목별!$E$3:$E$2984,"85",데이터_품목별!$A$3:$A$2984,"2024.08")</f>
        <v>10290659</v>
      </c>
      <c r="K189" s="55" t="n">
        <f aca="false">SUMIFS(데이터_품목별!$J$3:$J$2984,데이터_품목별!$E$3:$E$2984,"85",데이터_품목별!$A$3:$A$2984,"2024.09")</f>
        <v>10865784</v>
      </c>
      <c r="L189" s="55" t="n">
        <f aca="false">SUMIFS(데이터_품목별!$J$3:$J$2984,데이터_품목별!$E$3:$E$2984,"85",데이터_품목별!$A$3:$A$2984,"2024.10")</f>
        <v>11768096</v>
      </c>
      <c r="M189" s="55" t="n">
        <f aca="false">SUMIFS(데이터_품목별!$J$3:$J$2984,데이터_품목별!$E$3:$E$2984,"85",데이터_품목별!$A$3:$A$2984,"2024.11")</f>
        <v>10716169</v>
      </c>
      <c r="N189" s="55" t="n">
        <f aca="false">SUMIFS(데이터_품목별!$J$3:$J$2984,데이터_품목별!$E$3:$E$2984,"85",데이터_품목별!$A$3:$A$2984,"2024.12")</f>
        <v>11272882</v>
      </c>
      <c r="O189" s="55" t="n">
        <f aca="false">SUMIFS(데이터_품목별!$J$3:$J$2984,데이터_품목별!$E$3:$E$2984,"85",데이터_품목별!$A$3:$A$2984,"2025.01")</f>
        <v>9761366</v>
      </c>
      <c r="P189" s="55" t="n">
        <f aca="false">SUMIFS(데이터_품목별!$J$3:$J$2984,데이터_품목별!$E$3:$E$2984,"85",데이터_품목별!$A$3:$A$2984,"2025.02")</f>
        <v>9299061</v>
      </c>
      <c r="Q189" s="55" t="n">
        <f aca="false">SUMIFS(데이터_품목별!$J$3:$J$2984,데이터_품목별!$E$3:$E$2984,"85",데이터_품목별!$A$3:$A$2984,"2025.03")</f>
        <v>10626681</v>
      </c>
      <c r="R189" s="55" t="n">
        <f aca="false">SUMIFS(데이터_품목별!$J$3:$J$2984,데이터_품목별!$E$3:$E$2984,"85",데이터_품목별!$A$3:$A$2984,"2025.04")</f>
        <v>10248318</v>
      </c>
      <c r="S189" s="55" t="n">
        <f aca="false">SUMIFS(데이터_품목별!$J$3:$J$2984,데이터_품목별!$E$3:$E$2984,"85",데이터_품목별!$A$3:$A$2984,"2025.05")</f>
        <v>9757326</v>
      </c>
      <c r="T189" s="55" t="n">
        <f aca="false">SUMIFS(데이터_품목별!$J$3:$J$2984,데이터_품목별!$E$3:$E$2984,"85",데이터_품목별!$A$3:$A$2984,"2025.06")</f>
        <v>10470324</v>
      </c>
      <c r="U189" s="55" t="n">
        <f aca="false">SUMIFS(데이터_품목별!$J$3:$J$2984,데이터_품목별!$E$3:$E$2984,"85",데이터_품목별!$A$3:$A$2984,"2025.07")</f>
        <v>11337591</v>
      </c>
      <c r="V189" s="55" t="n">
        <f aca="false">SUMIFS(데이터_품목별!$J$3:$J$2984,데이터_품목별!$E$3:$E$2984,"85",데이터_품목별!$A$3:$A$2984,"2025.08")</f>
        <v>10611006</v>
      </c>
      <c r="W189" s="55" t="n">
        <f aca="false">SUMIFS(데이터_품목별!$J$3:$J$2984,데이터_품목별!$E$3:$E$2984,"85",데이터_품목별!$A$3:$A$2984,"2025.09")</f>
        <v>11447018</v>
      </c>
      <c r="X189" s="55" t="n">
        <f aca="false">SUMIFS(데이터_품목별!$J$3:$J$2984,데이터_품목별!$E$3:$E$2984,"85",데이터_품목별!$A$3:$A$2984,"2025.10")</f>
        <v>10728774</v>
      </c>
      <c r="Y189" s="55" t="n">
        <f aca="false">SUMIFS(데이터_품목별!$J$3:$J$2984,데이터_품목별!$E$3:$E$2984,"85",데이터_품목별!$A$3:$A$2984,"2025.11")</f>
        <v>10846411</v>
      </c>
      <c r="Z189" s="55" t="n">
        <f aca="false">SUMIFS(데이터_품목별!$J$3:$J$2984,데이터_품목별!$E$3:$E$2984,"85",데이터_품목별!$A$3:$A$2984,"2025.12")</f>
        <v>12400968</v>
      </c>
      <c r="AA189" s="55" t="n">
        <f aca="false">SUMIFS(데이터_품목별!$J$3:$J$2984,데이터_품목별!$E$3:$E$2984,"85",데이터_품목별!$A$3:$A$2984,"2026.01")</f>
        <v>11827019</v>
      </c>
      <c r="AB189" s="55" t="n">
        <f aca="false">SUMIFS(데이터_품목별!$J$3:$J$2984,데이터_품목별!$E$3:$E$2984,"85",데이터_품목별!$A$3:$A$2984,"2026.02")</f>
        <v>10846877</v>
      </c>
      <c r="AC189" s="55" t="n">
        <f aca="false">SUMIFS(데이터_품목별!$J$3:$J$2984,데이터_품목별!$E$3:$E$2984,"85",데이터_품목별!$A$3:$A$2984,"2026.03")</f>
        <v>13343987</v>
      </c>
      <c r="AD189" s="55" t="n">
        <f aca="false">SUMIFS(데이터_품목별!$J$3:$J$2984,데이터_품목별!$E$3:$E$2984,"85",데이터_품목별!$A$3:$A$2984,"2026.04")</f>
        <v>13508240</v>
      </c>
      <c r="AE189" s="55" t="n">
        <f aca="false">SUMIFS(데이터_품목별!$J$3:$J$2984,데이터_품목별!$E$3:$E$2984,"85",데이터_품목별!$A$3:$A$2984,"2026.05")</f>
        <v>13237022</v>
      </c>
      <c r="AF189" s="55" t="n">
        <f aca="false">SUMIFS(데이터_품목별!$J$3:$J$2984,데이터_품목별!$E$3:$E$2984,"85",데이터_품목별!$A$3:$A$2984,"2026.06")</f>
        <v>15313673</v>
      </c>
      <c r="AG189" s="55" t="n">
        <f aca="false">SUMIFS(데이터_품목별!$J$3:$J$2984,데이터_품목별!$E$3:$E$2984,"85",데이터_품목별!$A$3:$A$2984,"2026.07")</f>
        <v>15122658</v>
      </c>
    </row>
    <row r="190" customFormat="false" ht="15" hidden="false" customHeight="true" outlineLevel="0" collapsed="false">
      <c r="A190" s="53" t="s">
        <v>932</v>
      </c>
      <c r="B190" s="54" t="s">
        <v>933</v>
      </c>
      <c r="C190" s="55" t="n">
        <f aca="false">SUMIFS(데이터_품목별!$J$3:$J$2984,데이터_품목별!$E$3:$E$2984,"86",데이터_품목별!$A$3:$A$2984,"2024.01")</f>
        <v>29700</v>
      </c>
      <c r="D190" s="55" t="n">
        <f aca="false">SUMIFS(데이터_품목별!$J$3:$J$2984,데이터_품목별!$E$3:$E$2984,"86",데이터_품목별!$A$3:$A$2984,"2024.02")</f>
        <v>25097</v>
      </c>
      <c r="E190" s="55" t="n">
        <f aca="false">SUMIFS(데이터_품목별!$J$3:$J$2984,데이터_품목별!$E$3:$E$2984,"86",데이터_품목별!$A$3:$A$2984,"2024.03")</f>
        <v>40603</v>
      </c>
      <c r="F190" s="55" t="n">
        <f aca="false">SUMIFS(데이터_품목별!$J$3:$J$2984,데이터_품목별!$E$3:$E$2984,"86",데이터_품목별!$A$3:$A$2984,"2024.04")</f>
        <v>30898</v>
      </c>
      <c r="G190" s="55" t="n">
        <f aca="false">SUMIFS(데이터_품목별!$J$3:$J$2984,데이터_품목별!$E$3:$E$2984,"86",데이터_품목별!$A$3:$A$2984,"2024.05")</f>
        <v>32278</v>
      </c>
      <c r="H190" s="55" t="n">
        <f aca="false">SUMIFS(데이터_품목별!$J$3:$J$2984,데이터_품목별!$E$3:$E$2984,"86",데이터_품목별!$A$3:$A$2984,"2024.06")</f>
        <v>46822</v>
      </c>
      <c r="I190" s="55" t="n">
        <f aca="false">SUMIFS(데이터_품목별!$J$3:$J$2984,데이터_품목별!$E$3:$E$2984,"86",데이터_품목별!$A$3:$A$2984,"2024.07")</f>
        <v>35616</v>
      </c>
      <c r="J190" s="55" t="n">
        <f aca="false">SUMIFS(데이터_품목별!$J$3:$J$2984,데이터_품목별!$E$3:$E$2984,"86",데이터_품목별!$A$3:$A$2984,"2024.08")</f>
        <v>54333</v>
      </c>
      <c r="K190" s="55" t="n">
        <f aca="false">SUMIFS(데이터_품목별!$J$3:$J$2984,데이터_품목별!$E$3:$E$2984,"86",데이터_품목별!$A$3:$A$2984,"2024.09")</f>
        <v>59584</v>
      </c>
      <c r="L190" s="55" t="n">
        <f aca="false">SUMIFS(데이터_품목별!$J$3:$J$2984,데이터_품목별!$E$3:$E$2984,"86",데이터_품목별!$A$3:$A$2984,"2024.10")</f>
        <v>28867</v>
      </c>
      <c r="M190" s="55" t="n">
        <f aca="false">SUMIFS(데이터_품목별!$J$3:$J$2984,데이터_품목별!$E$3:$E$2984,"86",데이터_품목별!$A$3:$A$2984,"2024.11")</f>
        <v>44709</v>
      </c>
      <c r="N190" s="55" t="n">
        <f aca="false">SUMIFS(데이터_품목별!$J$3:$J$2984,데이터_품목별!$E$3:$E$2984,"86",데이터_품목별!$A$3:$A$2984,"2024.12")</f>
        <v>38503</v>
      </c>
      <c r="O190" s="55" t="n">
        <f aca="false">SUMIFS(데이터_품목별!$J$3:$J$2984,데이터_품목별!$E$3:$E$2984,"86",데이터_품목별!$A$3:$A$2984,"2025.01")</f>
        <v>29130</v>
      </c>
      <c r="P190" s="55" t="n">
        <f aca="false">SUMIFS(데이터_품목별!$J$3:$J$2984,데이터_품목별!$E$3:$E$2984,"86",데이터_품목별!$A$3:$A$2984,"2025.02")</f>
        <v>30984</v>
      </c>
      <c r="Q190" s="55" t="n">
        <f aca="false">SUMIFS(데이터_품목별!$J$3:$J$2984,데이터_품목별!$E$3:$E$2984,"86",데이터_품목별!$A$3:$A$2984,"2025.03")</f>
        <v>41370</v>
      </c>
      <c r="R190" s="55" t="n">
        <f aca="false">SUMIFS(데이터_품목별!$J$3:$J$2984,데이터_품목별!$E$3:$E$2984,"86",데이터_품목별!$A$3:$A$2984,"2025.04")</f>
        <v>36023</v>
      </c>
      <c r="S190" s="55" t="n">
        <f aca="false">SUMIFS(데이터_품목별!$J$3:$J$2984,데이터_품목별!$E$3:$E$2984,"86",데이터_품목별!$A$3:$A$2984,"2025.05")</f>
        <v>39931</v>
      </c>
      <c r="T190" s="55" t="n">
        <f aca="false">SUMIFS(데이터_품목별!$J$3:$J$2984,데이터_품목별!$E$3:$E$2984,"86",데이터_품목별!$A$3:$A$2984,"2025.06")</f>
        <v>42157</v>
      </c>
      <c r="U190" s="55" t="n">
        <f aca="false">SUMIFS(데이터_품목별!$J$3:$J$2984,데이터_품목별!$E$3:$E$2984,"86",데이터_품목별!$A$3:$A$2984,"2025.07")</f>
        <v>53706</v>
      </c>
      <c r="V190" s="55" t="n">
        <f aca="false">SUMIFS(데이터_품목별!$J$3:$J$2984,데이터_품목별!$E$3:$E$2984,"86",데이터_품목별!$A$3:$A$2984,"2025.08")</f>
        <v>54008</v>
      </c>
      <c r="W190" s="55" t="n">
        <f aca="false">SUMIFS(데이터_품목별!$J$3:$J$2984,데이터_품목별!$E$3:$E$2984,"86",데이터_품목별!$A$3:$A$2984,"2025.09")</f>
        <v>47180</v>
      </c>
      <c r="X190" s="55" t="n">
        <f aca="false">SUMIFS(데이터_품목별!$J$3:$J$2984,데이터_품목별!$E$3:$E$2984,"86",데이터_품목별!$A$3:$A$2984,"2025.10")</f>
        <v>34008</v>
      </c>
      <c r="Y190" s="55" t="n">
        <f aca="false">SUMIFS(데이터_품목별!$J$3:$J$2984,데이터_품목별!$E$3:$E$2984,"86",데이터_품목별!$A$3:$A$2984,"2025.11")</f>
        <v>46953</v>
      </c>
      <c r="Z190" s="55" t="n">
        <f aca="false">SUMIFS(데이터_품목별!$J$3:$J$2984,데이터_품목별!$E$3:$E$2984,"86",데이터_품목별!$A$3:$A$2984,"2025.12")</f>
        <v>55790</v>
      </c>
      <c r="AA190" s="55" t="n">
        <f aca="false">SUMIFS(데이터_품목별!$J$3:$J$2984,데이터_품목별!$E$3:$E$2984,"86",데이터_품목별!$A$3:$A$2984,"2026.01")</f>
        <v>46345</v>
      </c>
      <c r="AB190" s="55" t="n">
        <f aca="false">SUMIFS(데이터_품목별!$J$3:$J$2984,데이터_품목별!$E$3:$E$2984,"86",데이터_품목별!$A$3:$A$2984,"2026.02")</f>
        <v>44310</v>
      </c>
      <c r="AC190" s="55" t="n">
        <f aca="false">SUMIFS(데이터_품목별!$J$3:$J$2984,데이터_품목별!$E$3:$E$2984,"86",데이터_품목별!$A$3:$A$2984,"2026.03")</f>
        <v>46155</v>
      </c>
      <c r="AD190" s="55" t="n">
        <f aca="false">SUMIFS(데이터_품목별!$J$3:$J$2984,데이터_품목별!$E$3:$E$2984,"86",데이터_품목별!$A$3:$A$2984,"2026.04")</f>
        <v>44852</v>
      </c>
      <c r="AE190" s="55" t="n">
        <f aca="false">SUMIFS(데이터_품목별!$J$3:$J$2984,데이터_품목별!$E$3:$E$2984,"86",데이터_품목별!$A$3:$A$2984,"2026.05")</f>
        <v>48822</v>
      </c>
      <c r="AF190" s="55" t="n">
        <f aca="false">SUMIFS(데이터_품목별!$J$3:$J$2984,데이터_품목별!$E$3:$E$2984,"86",데이터_품목별!$A$3:$A$2984,"2026.06")</f>
        <v>72527</v>
      </c>
      <c r="AG190" s="55" t="n">
        <f aca="false">SUMIFS(데이터_품목별!$J$3:$J$2984,데이터_품목별!$E$3:$E$2984,"86",데이터_품목별!$A$3:$A$2984,"2026.07")</f>
        <v>61711</v>
      </c>
    </row>
    <row r="191" customFormat="false" ht="15" hidden="false" customHeight="true" outlineLevel="0" collapsed="false">
      <c r="A191" s="53" t="s">
        <v>939</v>
      </c>
      <c r="B191" s="54" t="s">
        <v>940</v>
      </c>
      <c r="C191" s="55" t="n">
        <f aca="false">SUMIFS(데이터_품목별!$J$3:$J$2984,데이터_품목별!$E$3:$E$2984,"87",데이터_품목별!$A$3:$A$2984,"2024.01")</f>
        <v>1303231</v>
      </c>
      <c r="D191" s="55" t="n">
        <f aca="false">SUMIFS(데이터_품목별!$J$3:$J$2984,데이터_품목별!$E$3:$E$2984,"87",데이터_품목별!$A$3:$A$2984,"2024.02")</f>
        <v>1478407</v>
      </c>
      <c r="E191" s="55" t="n">
        <f aca="false">SUMIFS(데이터_품목별!$J$3:$J$2984,데이터_품목별!$E$3:$E$2984,"87",데이터_품목별!$A$3:$A$2984,"2024.03")</f>
        <v>1699605</v>
      </c>
      <c r="F191" s="55" t="n">
        <f aca="false">SUMIFS(데이터_품목별!$J$3:$J$2984,데이터_품목별!$E$3:$E$2984,"87",데이터_품목별!$A$3:$A$2984,"2024.04")</f>
        <v>1885258</v>
      </c>
      <c r="G191" s="55" t="n">
        <f aca="false">SUMIFS(데이터_품목별!$J$3:$J$2984,데이터_품목별!$E$3:$E$2984,"87",데이터_품목별!$A$3:$A$2984,"2024.05")</f>
        <v>1869512</v>
      </c>
      <c r="H191" s="55" t="n">
        <f aca="false">SUMIFS(데이터_품목별!$J$3:$J$2984,데이터_품목별!$E$3:$E$2984,"87",데이터_품목별!$A$3:$A$2984,"2024.06")</f>
        <v>1724724</v>
      </c>
      <c r="I191" s="55" t="n">
        <f aca="false">SUMIFS(데이터_품목별!$J$3:$J$2984,데이터_품목별!$E$3:$E$2984,"87",데이터_품목별!$A$3:$A$2984,"2024.07")</f>
        <v>1853872</v>
      </c>
      <c r="J191" s="55" t="n">
        <f aca="false">SUMIFS(데이터_품목별!$J$3:$J$2984,데이터_품목별!$E$3:$E$2984,"87",데이터_품목별!$A$3:$A$2984,"2024.08")</f>
        <v>1608372</v>
      </c>
      <c r="K191" s="55" t="n">
        <f aca="false">SUMIFS(데이터_품목별!$J$3:$J$2984,데이터_품목별!$E$3:$E$2984,"87",데이터_품목별!$A$3:$A$2984,"2024.09")</f>
        <v>1485866</v>
      </c>
      <c r="L191" s="55" t="n">
        <f aca="false">SUMIFS(데이터_품목별!$J$3:$J$2984,데이터_품목별!$E$3:$E$2984,"87",데이터_품목별!$A$3:$A$2984,"2024.10")</f>
        <v>1773009</v>
      </c>
      <c r="M191" s="55" t="n">
        <f aca="false">SUMIFS(데이터_품목별!$J$3:$J$2984,데이터_품목별!$E$3:$E$2984,"87",데이터_품목별!$A$3:$A$2984,"2024.11")</f>
        <v>1428467</v>
      </c>
      <c r="N191" s="55" t="n">
        <f aca="false">SUMIFS(데이터_품목별!$J$3:$J$2984,데이터_품목별!$E$3:$E$2984,"87",데이터_품목별!$A$3:$A$2984,"2024.12")</f>
        <v>1718654</v>
      </c>
      <c r="O191" s="55" t="n">
        <f aca="false">SUMIFS(데이터_품목별!$J$3:$J$2984,데이터_품목별!$E$3:$E$2984,"87",데이터_품목별!$A$3:$A$2984,"2025.01")</f>
        <v>1221744</v>
      </c>
      <c r="P191" s="55" t="n">
        <f aca="false">SUMIFS(데이터_품목별!$J$3:$J$2984,데이터_품목별!$E$3:$E$2984,"87",데이터_품목별!$A$3:$A$2984,"2025.02")</f>
        <v>1253018</v>
      </c>
      <c r="Q191" s="55" t="n">
        <f aca="false">SUMIFS(데이터_품목별!$J$3:$J$2984,데이터_품목별!$E$3:$E$2984,"87",데이터_품목별!$A$3:$A$2984,"2025.03")</f>
        <v>1713675</v>
      </c>
      <c r="R191" s="55" t="n">
        <f aca="false">SUMIFS(데이터_품목별!$J$3:$J$2984,데이터_품목별!$E$3:$E$2984,"87",데이터_품목별!$A$3:$A$2984,"2025.04")</f>
        <v>1891419</v>
      </c>
      <c r="S191" s="55" t="n">
        <f aca="false">SUMIFS(데이터_품목별!$J$3:$J$2984,데이터_품목별!$E$3:$E$2984,"87",데이터_품목별!$A$3:$A$2984,"2025.05")</f>
        <v>2000385</v>
      </c>
      <c r="T191" s="55" t="n">
        <f aca="false">SUMIFS(데이터_품목별!$J$3:$J$2984,데이터_품목별!$E$3:$E$2984,"87",데이터_품목별!$A$3:$A$2984,"2025.06")</f>
        <v>1758477</v>
      </c>
      <c r="U191" s="55" t="n">
        <f aca="false">SUMIFS(데이터_품목별!$J$3:$J$2984,데이터_품목별!$E$3:$E$2984,"87",데이터_품목별!$A$3:$A$2984,"2025.07")</f>
        <v>1923188</v>
      </c>
      <c r="V191" s="55" t="n">
        <f aca="false">SUMIFS(데이터_품목별!$J$3:$J$2984,데이터_품목별!$E$3:$E$2984,"87",데이터_품목별!$A$3:$A$2984,"2025.08")</f>
        <v>1990738</v>
      </c>
      <c r="W191" s="55" t="n">
        <f aca="false">SUMIFS(데이터_품목별!$J$3:$J$2984,데이터_품목별!$E$3:$E$2984,"87",데이터_품목별!$A$3:$A$2984,"2025.09")</f>
        <v>1864841</v>
      </c>
      <c r="X191" s="55" t="n">
        <f aca="false">SUMIFS(데이터_품목별!$J$3:$J$2984,데이터_품목별!$E$3:$E$2984,"87",데이터_품목별!$A$3:$A$2984,"2025.10")</f>
        <v>1533768</v>
      </c>
      <c r="Y191" s="55" t="n">
        <f aca="false">SUMIFS(데이터_품목별!$J$3:$J$2984,데이터_품목별!$E$3:$E$2984,"87",데이터_품목별!$A$3:$A$2984,"2025.11")</f>
        <v>1602851</v>
      </c>
      <c r="Z191" s="55" t="n">
        <f aca="false">SUMIFS(데이터_품목별!$J$3:$J$2984,데이터_품목별!$E$3:$E$2984,"87",데이터_품목별!$A$3:$A$2984,"2025.12")</f>
        <v>1851459</v>
      </c>
      <c r="AA191" s="55" t="n">
        <f aca="false">SUMIFS(데이터_품목별!$J$3:$J$2984,데이터_품목별!$E$3:$E$2984,"87",데이터_품목별!$A$3:$A$2984,"2026.01")</f>
        <v>1434233</v>
      </c>
      <c r="AB191" s="55" t="n">
        <f aca="false">SUMIFS(데이터_품목별!$J$3:$J$2984,데이터_품목별!$E$3:$E$2984,"87",데이터_품목별!$A$3:$A$2984,"2026.02")</f>
        <v>1677903</v>
      </c>
      <c r="AC191" s="55" t="n">
        <f aca="false">SUMIFS(데이터_품목별!$J$3:$J$2984,데이터_품목별!$E$3:$E$2984,"87",데이터_품목별!$A$3:$A$2984,"2026.03")</f>
        <v>1718388</v>
      </c>
      <c r="AD191" s="55" t="n">
        <f aca="false">SUMIFS(데이터_품목별!$J$3:$J$2984,데이터_품목별!$E$3:$E$2984,"87",데이터_품목별!$A$3:$A$2984,"2026.04")</f>
        <v>1917789</v>
      </c>
      <c r="AE191" s="55" t="n">
        <f aca="false">SUMIFS(데이터_품목별!$J$3:$J$2984,데이터_품목별!$E$3:$E$2984,"87",데이터_품목별!$A$3:$A$2984,"2026.05")</f>
        <v>2017808</v>
      </c>
      <c r="AF191" s="55" t="n">
        <f aca="false">SUMIFS(데이터_품목별!$J$3:$J$2984,데이터_품목별!$E$3:$E$2984,"87",데이터_품목별!$A$3:$A$2984,"2026.06")</f>
        <v>2441836</v>
      </c>
      <c r="AG191" s="55" t="n">
        <f aca="false">SUMIFS(데이터_품목별!$J$3:$J$2984,데이터_품목별!$E$3:$E$2984,"87",데이터_품목별!$A$3:$A$2984,"2026.07")</f>
        <v>1571693</v>
      </c>
    </row>
    <row r="192" customFormat="false" ht="15" hidden="false" customHeight="true" outlineLevel="0" collapsed="false">
      <c r="A192" s="53" t="s">
        <v>946</v>
      </c>
      <c r="B192" s="54" t="s">
        <v>947</v>
      </c>
      <c r="C192" s="55" t="n">
        <f aca="false">SUMIFS(데이터_품목별!$J$3:$J$2984,데이터_품목별!$E$3:$E$2984,"88",데이터_품목별!$A$3:$A$2984,"2024.01")</f>
        <v>182953</v>
      </c>
      <c r="D192" s="55" t="n">
        <f aca="false">SUMIFS(데이터_품목별!$J$3:$J$2984,데이터_품목별!$E$3:$E$2984,"88",데이터_품목별!$A$3:$A$2984,"2024.02")</f>
        <v>318017</v>
      </c>
      <c r="E192" s="55" t="n">
        <f aca="false">SUMIFS(데이터_품목별!$J$3:$J$2984,데이터_품목별!$E$3:$E$2984,"88",데이터_품목별!$A$3:$A$2984,"2024.03")</f>
        <v>156990</v>
      </c>
      <c r="F192" s="55" t="n">
        <f aca="false">SUMIFS(데이터_품목별!$J$3:$J$2984,데이터_품목별!$E$3:$E$2984,"88",데이터_품목별!$A$3:$A$2984,"2024.04")</f>
        <v>145018</v>
      </c>
      <c r="G192" s="55" t="n">
        <f aca="false">SUMIFS(데이터_품목별!$J$3:$J$2984,데이터_품목별!$E$3:$E$2984,"88",데이터_품목별!$A$3:$A$2984,"2024.05")</f>
        <v>79613</v>
      </c>
      <c r="H192" s="55" t="n">
        <f aca="false">SUMIFS(데이터_품목별!$J$3:$J$2984,데이터_품목별!$E$3:$E$2984,"88",데이터_품목별!$A$3:$A$2984,"2024.06")</f>
        <v>307898</v>
      </c>
      <c r="I192" s="55" t="n">
        <f aca="false">SUMIFS(데이터_품목별!$J$3:$J$2984,데이터_품목별!$E$3:$E$2984,"88",데이터_품목별!$A$3:$A$2984,"2024.07")</f>
        <v>1240335</v>
      </c>
      <c r="J192" s="55" t="n">
        <f aca="false">SUMIFS(데이터_품목별!$J$3:$J$2984,데이터_품목별!$E$3:$E$2984,"88",데이터_품목별!$A$3:$A$2984,"2024.08")</f>
        <v>327669</v>
      </c>
      <c r="K192" s="55" t="n">
        <f aca="false">SUMIFS(데이터_품목별!$J$3:$J$2984,데이터_품목별!$E$3:$E$2984,"88",데이터_품목별!$A$3:$A$2984,"2024.09")</f>
        <v>135424</v>
      </c>
      <c r="L192" s="55" t="n">
        <f aca="false">SUMIFS(데이터_품목별!$J$3:$J$2984,데이터_품목별!$E$3:$E$2984,"88",데이터_품목별!$A$3:$A$2984,"2024.10")</f>
        <v>211619</v>
      </c>
      <c r="M192" s="55" t="n">
        <f aca="false">SUMIFS(데이터_품목별!$J$3:$J$2984,데이터_품목별!$E$3:$E$2984,"88",데이터_품목별!$A$3:$A$2984,"2024.11")</f>
        <v>344801</v>
      </c>
      <c r="N192" s="55" t="n">
        <f aca="false">SUMIFS(데이터_품목별!$J$3:$J$2984,데이터_품목별!$E$3:$E$2984,"88",데이터_품목별!$A$3:$A$2984,"2024.12")</f>
        <v>683631</v>
      </c>
      <c r="O192" s="55" t="n">
        <f aca="false">SUMIFS(데이터_품목별!$J$3:$J$2984,데이터_품목별!$E$3:$E$2984,"88",데이터_품목별!$A$3:$A$2984,"2025.01")</f>
        <v>257265</v>
      </c>
      <c r="P192" s="55" t="n">
        <f aca="false">SUMIFS(데이터_품목별!$J$3:$J$2984,데이터_품목별!$E$3:$E$2984,"88",데이터_품목별!$A$3:$A$2984,"2025.02")</f>
        <v>338911</v>
      </c>
      <c r="Q192" s="55" t="n">
        <f aca="false">SUMIFS(데이터_품목별!$J$3:$J$2984,데이터_품목별!$E$3:$E$2984,"88",데이터_품목별!$A$3:$A$2984,"2025.03")</f>
        <v>138998</v>
      </c>
      <c r="R192" s="55" t="n">
        <f aca="false">SUMIFS(데이터_품목별!$J$3:$J$2984,데이터_품목별!$E$3:$E$2984,"88",데이터_품목별!$A$3:$A$2984,"2025.04")</f>
        <v>288730</v>
      </c>
      <c r="S192" s="55" t="n">
        <f aca="false">SUMIFS(데이터_품목별!$J$3:$J$2984,데이터_품목별!$E$3:$E$2984,"88",데이터_품목별!$A$3:$A$2984,"2025.05")</f>
        <v>395629</v>
      </c>
      <c r="T192" s="55" t="n">
        <f aca="false">SUMIFS(데이터_품목별!$J$3:$J$2984,데이터_품목별!$E$3:$E$2984,"88",데이터_품목별!$A$3:$A$2984,"2025.06")</f>
        <v>281174</v>
      </c>
      <c r="U192" s="55" t="n">
        <f aca="false">SUMIFS(데이터_품목별!$J$3:$J$2984,데이터_품목별!$E$3:$E$2984,"88",데이터_품목별!$A$3:$A$2984,"2025.07")</f>
        <v>406930</v>
      </c>
      <c r="V192" s="55" t="n">
        <f aca="false">SUMIFS(데이터_품목별!$J$3:$J$2984,데이터_품목별!$E$3:$E$2984,"88",데이터_품목별!$A$3:$A$2984,"2025.08")</f>
        <v>145331</v>
      </c>
      <c r="W192" s="55" t="n">
        <f aca="false">SUMIFS(데이터_품목별!$J$3:$J$2984,데이터_품목별!$E$3:$E$2984,"88",데이터_품목별!$A$3:$A$2984,"2025.09")</f>
        <v>233264</v>
      </c>
      <c r="X192" s="55" t="n">
        <f aca="false">SUMIFS(데이터_품목별!$J$3:$J$2984,데이터_품목별!$E$3:$E$2984,"88",데이터_품목별!$A$3:$A$2984,"2025.10")</f>
        <v>432623</v>
      </c>
      <c r="Y192" s="55" t="n">
        <f aca="false">SUMIFS(데이터_품목별!$J$3:$J$2984,데이터_품목별!$E$3:$E$2984,"88",데이터_품목별!$A$3:$A$2984,"2025.11")</f>
        <v>371354</v>
      </c>
      <c r="Z192" s="55" t="n">
        <f aca="false">SUMIFS(데이터_품목별!$J$3:$J$2984,데이터_품목별!$E$3:$E$2984,"88",데이터_품목별!$A$3:$A$2984,"2025.12")</f>
        <v>426690</v>
      </c>
      <c r="AA192" s="55" t="n">
        <f aca="false">SUMIFS(데이터_품목별!$J$3:$J$2984,데이터_품목별!$E$3:$E$2984,"88",데이터_품목별!$A$3:$A$2984,"2026.01")</f>
        <v>184385</v>
      </c>
      <c r="AB192" s="55" t="n">
        <f aca="false">SUMIFS(데이터_품목별!$J$3:$J$2984,데이터_품목별!$E$3:$E$2984,"88",데이터_품목별!$A$3:$A$2984,"2026.02")</f>
        <v>260948</v>
      </c>
      <c r="AC192" s="55" t="n">
        <f aca="false">SUMIFS(데이터_품목별!$J$3:$J$2984,데이터_품목별!$E$3:$E$2984,"88",데이터_품목별!$A$3:$A$2984,"2026.03")</f>
        <v>750979</v>
      </c>
      <c r="AD192" s="55" t="n">
        <f aca="false">SUMIFS(데이터_품목별!$J$3:$J$2984,데이터_품목별!$E$3:$E$2984,"88",데이터_품목별!$A$3:$A$2984,"2026.04")</f>
        <v>570740</v>
      </c>
      <c r="AE192" s="55" t="n">
        <f aca="false">SUMIFS(데이터_품목별!$J$3:$J$2984,데이터_품목별!$E$3:$E$2984,"88",데이터_품목별!$A$3:$A$2984,"2026.05")</f>
        <v>296773</v>
      </c>
      <c r="AF192" s="55" t="n">
        <f aca="false">SUMIFS(데이터_품목별!$J$3:$J$2984,데이터_품목별!$E$3:$E$2984,"88",데이터_품목별!$A$3:$A$2984,"2026.06")</f>
        <v>253998</v>
      </c>
      <c r="AG192" s="55" t="n">
        <f aca="false">SUMIFS(데이터_품목별!$J$3:$J$2984,데이터_품목별!$E$3:$E$2984,"88",데이터_품목별!$A$3:$A$2984,"2026.07")</f>
        <v>603732</v>
      </c>
    </row>
    <row r="193" customFormat="false" ht="15" hidden="false" customHeight="true" outlineLevel="0" collapsed="false">
      <c r="A193" s="53" t="s">
        <v>953</v>
      </c>
      <c r="B193" s="54" t="s">
        <v>954</v>
      </c>
      <c r="C193" s="55" t="n">
        <f aca="false">SUMIFS(데이터_품목별!$J$3:$J$2984,데이터_품목별!$E$3:$E$2984,"89",데이터_품목별!$A$3:$A$2984,"2024.01")</f>
        <v>61275</v>
      </c>
      <c r="D193" s="55" t="n">
        <f aca="false">SUMIFS(데이터_품목별!$J$3:$J$2984,데이터_품목별!$E$3:$E$2984,"89",데이터_품목별!$A$3:$A$2984,"2024.02")</f>
        <v>161029</v>
      </c>
      <c r="E193" s="55" t="n">
        <f aca="false">SUMIFS(데이터_품목별!$J$3:$J$2984,데이터_품목별!$E$3:$E$2984,"89",데이터_품목별!$A$3:$A$2984,"2024.03")</f>
        <v>335595</v>
      </c>
      <c r="F193" s="55" t="n">
        <f aca="false">SUMIFS(데이터_품목별!$J$3:$J$2984,데이터_품목별!$E$3:$E$2984,"89",데이터_품목별!$A$3:$A$2984,"2024.04")</f>
        <v>329415</v>
      </c>
      <c r="G193" s="55" t="n">
        <f aca="false">SUMIFS(데이터_품목별!$J$3:$J$2984,데이터_품목별!$E$3:$E$2984,"89",데이터_품목별!$A$3:$A$2984,"2024.05")</f>
        <v>166039</v>
      </c>
      <c r="H193" s="55" t="n">
        <f aca="false">SUMIFS(데이터_품목별!$J$3:$J$2984,데이터_품목별!$E$3:$E$2984,"89",데이터_품목별!$A$3:$A$2984,"2024.06")</f>
        <v>204667</v>
      </c>
      <c r="I193" s="55" t="n">
        <f aca="false">SUMIFS(데이터_품목별!$J$3:$J$2984,데이터_품목별!$E$3:$E$2984,"89",데이터_품목별!$A$3:$A$2984,"2024.07")</f>
        <v>194498</v>
      </c>
      <c r="J193" s="55" t="n">
        <f aca="false">SUMIFS(데이터_품목별!$J$3:$J$2984,데이터_품목별!$E$3:$E$2984,"89",데이터_품목별!$A$3:$A$2984,"2024.08")</f>
        <v>499757</v>
      </c>
      <c r="K193" s="55" t="n">
        <f aca="false">SUMIFS(데이터_품목별!$J$3:$J$2984,데이터_품목별!$E$3:$E$2984,"89",데이터_품목별!$A$3:$A$2984,"2024.09")</f>
        <v>207855</v>
      </c>
      <c r="L193" s="55" t="n">
        <f aca="false">SUMIFS(데이터_품목별!$J$3:$J$2984,데이터_품목별!$E$3:$E$2984,"89",데이터_품목별!$A$3:$A$2984,"2024.10")</f>
        <v>226606</v>
      </c>
      <c r="M193" s="55" t="n">
        <f aca="false">SUMIFS(데이터_품목별!$J$3:$J$2984,데이터_품목별!$E$3:$E$2984,"89",데이터_품목별!$A$3:$A$2984,"2024.11")</f>
        <v>156225</v>
      </c>
      <c r="N193" s="55" t="n">
        <f aca="false">SUMIFS(데이터_품목별!$J$3:$J$2984,데이터_품목별!$E$3:$E$2984,"89",데이터_품목별!$A$3:$A$2984,"2024.12")</f>
        <v>608800</v>
      </c>
      <c r="O193" s="55" t="n">
        <f aca="false">SUMIFS(데이터_품목별!$J$3:$J$2984,데이터_품목별!$E$3:$E$2984,"89",데이터_품목별!$A$3:$A$2984,"2025.01")</f>
        <v>261339</v>
      </c>
      <c r="P193" s="55" t="n">
        <f aca="false">SUMIFS(데이터_품목별!$J$3:$J$2984,데이터_품목별!$E$3:$E$2984,"89",데이터_품목별!$A$3:$A$2984,"2025.02")</f>
        <v>152931</v>
      </c>
      <c r="Q193" s="55" t="n">
        <f aca="false">SUMIFS(데이터_품목별!$J$3:$J$2984,데이터_품목별!$E$3:$E$2984,"89",데이터_품목별!$A$3:$A$2984,"2025.03")</f>
        <v>382377</v>
      </c>
      <c r="R193" s="55" t="n">
        <f aca="false">SUMIFS(데이터_품목별!$J$3:$J$2984,데이터_품목별!$E$3:$E$2984,"89",데이터_품목별!$A$3:$A$2984,"2025.04")</f>
        <v>428747</v>
      </c>
      <c r="S193" s="55" t="n">
        <f aca="false">SUMIFS(데이터_품목별!$J$3:$J$2984,데이터_품목별!$E$3:$E$2984,"89",데이터_품목별!$A$3:$A$2984,"2025.05")</f>
        <v>367781</v>
      </c>
      <c r="T193" s="55" t="n">
        <f aca="false">SUMIFS(데이터_품목별!$J$3:$J$2984,데이터_품목별!$E$3:$E$2984,"89",데이터_품목별!$A$3:$A$2984,"2025.06")</f>
        <v>375132</v>
      </c>
      <c r="U193" s="55" t="n">
        <f aca="false">SUMIFS(데이터_품목별!$J$3:$J$2984,데이터_품목별!$E$3:$E$2984,"89",데이터_품목별!$A$3:$A$2984,"2025.07")</f>
        <v>323186</v>
      </c>
      <c r="V193" s="55" t="n">
        <f aca="false">SUMIFS(데이터_품목별!$J$3:$J$2984,데이터_품목별!$E$3:$E$2984,"89",데이터_품목별!$A$3:$A$2984,"2025.08")</f>
        <v>138725</v>
      </c>
      <c r="W193" s="55" t="n">
        <f aca="false">SUMIFS(데이터_품목별!$J$3:$J$2984,데이터_품목별!$E$3:$E$2984,"89",데이터_품목별!$A$3:$A$2984,"2025.09")</f>
        <v>342447</v>
      </c>
      <c r="X193" s="55" t="n">
        <f aca="false">SUMIFS(데이터_품목별!$J$3:$J$2984,데이터_품목별!$E$3:$E$2984,"89",데이터_품목별!$A$3:$A$2984,"2025.10")</f>
        <v>343283</v>
      </c>
      <c r="Y193" s="55" t="n">
        <f aca="false">SUMIFS(데이터_품목별!$J$3:$J$2984,데이터_품목별!$E$3:$E$2984,"89",데이터_품목별!$A$3:$A$2984,"2025.11")</f>
        <v>419918</v>
      </c>
      <c r="Z193" s="55" t="n">
        <f aca="false">SUMIFS(데이터_품목별!$J$3:$J$2984,데이터_품목별!$E$3:$E$2984,"89",데이터_품목별!$A$3:$A$2984,"2025.12")</f>
        <v>185690</v>
      </c>
      <c r="AA193" s="55" t="n">
        <f aca="false">SUMIFS(데이터_품목별!$J$3:$J$2984,데이터_품목별!$E$3:$E$2984,"89",데이터_품목별!$A$3:$A$2984,"2026.01")</f>
        <v>333163</v>
      </c>
      <c r="AB193" s="55" t="n">
        <f aca="false">SUMIFS(데이터_품목별!$J$3:$J$2984,데이터_품목별!$E$3:$E$2984,"89",데이터_품목별!$A$3:$A$2984,"2026.02")</f>
        <v>167797</v>
      </c>
      <c r="AC193" s="55" t="n">
        <f aca="false">SUMIFS(데이터_품목별!$J$3:$J$2984,데이터_품목별!$E$3:$E$2984,"89",데이터_품목별!$A$3:$A$2984,"2026.03")</f>
        <v>169817</v>
      </c>
      <c r="AD193" s="55" t="n">
        <f aca="false">SUMIFS(데이터_품목별!$J$3:$J$2984,데이터_품목별!$E$3:$E$2984,"89",데이터_품목별!$A$3:$A$2984,"2026.04")</f>
        <v>210334</v>
      </c>
      <c r="AE193" s="55" t="n">
        <f aca="false">SUMIFS(데이터_품목별!$J$3:$J$2984,데이터_품목별!$E$3:$E$2984,"89",데이터_품목별!$A$3:$A$2984,"2026.05")</f>
        <v>459863</v>
      </c>
      <c r="AF193" s="55" t="n">
        <f aca="false">SUMIFS(데이터_품목별!$J$3:$J$2984,데이터_품목별!$E$3:$E$2984,"89",데이터_품목별!$A$3:$A$2984,"2026.06")</f>
        <v>405925</v>
      </c>
      <c r="AG193" s="55" t="n">
        <f aca="false">SUMIFS(데이터_품목별!$J$3:$J$2984,데이터_품목별!$E$3:$E$2984,"89",데이터_품목별!$A$3:$A$2984,"2026.07")</f>
        <v>879679</v>
      </c>
    </row>
    <row r="194" customFormat="false" ht="15" hidden="false" customHeight="true" outlineLevel="0" collapsed="false">
      <c r="A194" s="53" t="s">
        <v>960</v>
      </c>
      <c r="B194" s="54" t="s">
        <v>961</v>
      </c>
      <c r="C194" s="55" t="n">
        <f aca="false">SUMIFS(데이터_품목별!$J$3:$J$2984,데이터_품목별!$E$3:$E$2984,"90",데이터_품목별!$A$3:$A$2984,"2024.01")</f>
        <v>1785510</v>
      </c>
      <c r="D194" s="55" t="n">
        <f aca="false">SUMIFS(데이터_품목별!$J$3:$J$2984,데이터_품목별!$E$3:$E$2984,"90",데이터_품목별!$A$3:$A$2984,"2024.02")</f>
        <v>1606145</v>
      </c>
      <c r="E194" s="55" t="n">
        <f aca="false">SUMIFS(데이터_품목별!$J$3:$J$2984,데이터_품목별!$E$3:$E$2984,"90",데이터_품목별!$A$3:$A$2984,"2024.03")</f>
        <v>1825389</v>
      </c>
      <c r="F194" s="55" t="n">
        <f aca="false">SUMIFS(데이터_품목별!$J$3:$J$2984,데이터_품목별!$E$3:$E$2984,"90",데이터_품목별!$A$3:$A$2984,"2024.04")</f>
        <v>1848418</v>
      </c>
      <c r="G194" s="55" t="n">
        <f aca="false">SUMIFS(데이터_품목별!$J$3:$J$2984,데이터_품목별!$E$3:$E$2984,"90",데이터_품목별!$A$3:$A$2984,"2024.05")</f>
        <v>1752133</v>
      </c>
      <c r="H194" s="55" t="n">
        <f aca="false">SUMIFS(데이터_품목별!$J$3:$J$2984,데이터_품목별!$E$3:$E$2984,"90",데이터_품목별!$A$3:$A$2984,"2024.06")</f>
        <v>1702184</v>
      </c>
      <c r="I194" s="55" t="n">
        <f aca="false">SUMIFS(데이터_품목별!$J$3:$J$2984,데이터_품목별!$E$3:$E$2984,"90",데이터_품목별!$A$3:$A$2984,"2024.07")</f>
        <v>1974927</v>
      </c>
      <c r="J194" s="55" t="n">
        <f aca="false">SUMIFS(데이터_품목별!$J$3:$J$2984,데이터_품목별!$E$3:$E$2984,"90",데이터_품목별!$A$3:$A$2984,"2024.08")</f>
        <v>1930165</v>
      </c>
      <c r="K194" s="55" t="n">
        <f aca="false">SUMIFS(데이터_품목별!$J$3:$J$2984,데이터_품목별!$E$3:$E$2984,"90",데이터_품목별!$A$3:$A$2984,"2024.09")</f>
        <v>2050457</v>
      </c>
      <c r="L194" s="55" t="n">
        <f aca="false">SUMIFS(데이터_품목별!$J$3:$J$2984,데이터_품목별!$E$3:$E$2984,"90",데이터_품목별!$A$3:$A$2984,"2024.10")</f>
        <v>2037967</v>
      </c>
      <c r="M194" s="55" t="n">
        <f aca="false">SUMIFS(데이터_품목별!$J$3:$J$2984,데이터_품목별!$E$3:$E$2984,"90",데이터_품목별!$A$3:$A$2984,"2024.11")</f>
        <v>1928130</v>
      </c>
      <c r="N194" s="55" t="n">
        <f aca="false">SUMIFS(데이터_품목별!$J$3:$J$2984,데이터_품목별!$E$3:$E$2984,"90",데이터_품목별!$A$3:$A$2984,"2024.12")</f>
        <v>2348159</v>
      </c>
      <c r="O194" s="55" t="n">
        <f aca="false">SUMIFS(데이터_품목별!$J$3:$J$2984,데이터_품목별!$E$3:$E$2984,"90",데이터_품목별!$A$3:$A$2984,"2025.01")</f>
        <v>1747222</v>
      </c>
      <c r="P194" s="55" t="n">
        <f aca="false">SUMIFS(데이터_품목별!$J$3:$J$2984,데이터_품목별!$E$3:$E$2984,"90",데이터_품목별!$A$3:$A$2984,"2025.02")</f>
        <v>1930376</v>
      </c>
      <c r="Q194" s="55" t="n">
        <f aca="false">SUMIFS(데이터_품목별!$J$3:$J$2984,데이터_품목별!$E$3:$E$2984,"90",데이터_품목별!$A$3:$A$2984,"2025.03")</f>
        <v>2119264</v>
      </c>
      <c r="R194" s="55" t="n">
        <f aca="false">SUMIFS(데이터_품목별!$J$3:$J$2984,데이터_품목별!$E$3:$E$2984,"90",데이터_품목별!$A$3:$A$2984,"2025.04")</f>
        <v>2102459</v>
      </c>
      <c r="S194" s="55" t="n">
        <f aca="false">SUMIFS(데이터_품목별!$J$3:$J$2984,데이터_품목별!$E$3:$E$2984,"90",데이터_품목별!$A$3:$A$2984,"2025.05")</f>
        <v>1913000</v>
      </c>
      <c r="T194" s="55" t="n">
        <f aca="false">SUMIFS(데이터_품목별!$J$3:$J$2984,데이터_품목별!$E$3:$E$2984,"90",데이터_품목별!$A$3:$A$2984,"2025.06")</f>
        <v>2081593</v>
      </c>
      <c r="U194" s="55" t="n">
        <f aca="false">SUMIFS(데이터_품목별!$J$3:$J$2984,데이터_품목별!$E$3:$E$2984,"90",데이터_품목별!$A$3:$A$2984,"2025.07")</f>
        <v>2101728</v>
      </c>
      <c r="V194" s="55" t="n">
        <f aca="false">SUMIFS(데이터_품목별!$J$3:$J$2984,데이터_품목별!$E$3:$E$2984,"90",데이터_품목별!$A$3:$A$2984,"2025.08")</f>
        <v>1996731</v>
      </c>
      <c r="W194" s="55" t="n">
        <f aca="false">SUMIFS(데이터_품목별!$J$3:$J$2984,데이터_품목별!$E$3:$E$2984,"90",데이터_품목별!$A$3:$A$2984,"2025.09")</f>
        <v>2311106</v>
      </c>
      <c r="X194" s="55" t="n">
        <f aca="false">SUMIFS(데이터_품목별!$J$3:$J$2984,데이터_품목별!$E$3:$E$2984,"90",데이터_품목별!$A$3:$A$2984,"2025.10")</f>
        <v>1908667</v>
      </c>
      <c r="Y194" s="55" t="n">
        <f aca="false">SUMIFS(데이터_품목별!$J$3:$J$2984,데이터_품목별!$E$3:$E$2984,"90",데이터_품목별!$A$3:$A$2984,"2025.11")</f>
        <v>1962873</v>
      </c>
      <c r="Z194" s="55" t="n">
        <f aca="false">SUMIFS(데이터_품목별!$J$3:$J$2984,데이터_품목별!$E$3:$E$2984,"90",데이터_품목별!$A$3:$A$2984,"2025.12")</f>
        <v>2581680</v>
      </c>
      <c r="AA194" s="55" t="n">
        <f aca="false">SUMIFS(데이터_품목별!$J$3:$J$2984,데이터_품목별!$E$3:$E$2984,"90",데이터_품목별!$A$3:$A$2984,"2026.01")</f>
        <v>2071077</v>
      </c>
      <c r="AB194" s="55" t="n">
        <f aca="false">SUMIFS(데이터_품목별!$J$3:$J$2984,데이터_품목별!$E$3:$E$2984,"90",데이터_품목별!$A$3:$A$2984,"2026.02")</f>
        <v>1960000</v>
      </c>
      <c r="AC194" s="55" t="n">
        <f aca="false">SUMIFS(데이터_품목별!$J$3:$J$2984,데이터_품목별!$E$3:$E$2984,"90",데이터_품목별!$A$3:$A$2984,"2026.03")</f>
        <v>2461950</v>
      </c>
      <c r="AD194" s="55" t="n">
        <f aca="false">SUMIFS(데이터_품목별!$J$3:$J$2984,데이터_품목별!$E$3:$E$2984,"90",데이터_품목별!$A$3:$A$2984,"2026.04")</f>
        <v>2475210</v>
      </c>
      <c r="AE194" s="55" t="n">
        <f aca="false">SUMIFS(데이터_품목별!$J$3:$J$2984,데이터_품목별!$E$3:$E$2984,"90",데이터_품목별!$A$3:$A$2984,"2026.05")</f>
        <v>2027775</v>
      </c>
      <c r="AF194" s="55" t="n">
        <f aca="false">SUMIFS(데이터_품목별!$J$3:$J$2984,데이터_품목별!$E$3:$E$2984,"90",데이터_품목별!$A$3:$A$2984,"2026.06")</f>
        <v>2480954</v>
      </c>
      <c r="AG194" s="55" t="n">
        <f aca="false">SUMIFS(데이터_품목별!$J$3:$J$2984,데이터_품목별!$E$3:$E$2984,"90",데이터_품목별!$A$3:$A$2984,"2026.07")</f>
        <v>2407987</v>
      </c>
    </row>
    <row r="195" customFormat="false" ht="15" hidden="false" customHeight="true" outlineLevel="0" collapsed="false">
      <c r="A195" s="53" t="s">
        <v>967</v>
      </c>
      <c r="B195" s="54" t="s">
        <v>968</v>
      </c>
      <c r="C195" s="55" t="n">
        <f aca="false">SUMIFS(데이터_품목별!$J$3:$J$2984,데이터_품목별!$E$3:$E$2984,"91",데이터_품목별!$A$3:$A$2984,"2024.01")</f>
        <v>75132</v>
      </c>
      <c r="D195" s="55" t="n">
        <f aca="false">SUMIFS(데이터_품목별!$J$3:$J$2984,데이터_품목별!$E$3:$E$2984,"91",데이터_품목별!$A$3:$A$2984,"2024.02")</f>
        <v>94445</v>
      </c>
      <c r="E195" s="55" t="n">
        <f aca="false">SUMIFS(데이터_품목별!$J$3:$J$2984,데이터_품목별!$E$3:$E$2984,"91",데이터_품목별!$A$3:$A$2984,"2024.03")</f>
        <v>85320</v>
      </c>
      <c r="F195" s="55" t="n">
        <f aca="false">SUMIFS(데이터_품목별!$J$3:$J$2984,데이터_품목별!$E$3:$E$2984,"91",데이터_품목별!$A$3:$A$2984,"2024.04")</f>
        <v>86487</v>
      </c>
      <c r="G195" s="55" t="n">
        <f aca="false">SUMIFS(데이터_품목별!$J$3:$J$2984,데이터_품목별!$E$3:$E$2984,"91",데이터_품목별!$A$3:$A$2984,"2024.05")</f>
        <v>84545</v>
      </c>
      <c r="H195" s="55" t="n">
        <f aca="false">SUMIFS(데이터_품목별!$J$3:$J$2984,데이터_품목별!$E$3:$E$2984,"91",데이터_품목별!$A$3:$A$2984,"2024.06")</f>
        <v>86366</v>
      </c>
      <c r="I195" s="55" t="n">
        <f aca="false">SUMIFS(데이터_품목별!$J$3:$J$2984,데이터_품목별!$E$3:$E$2984,"91",데이터_품목별!$A$3:$A$2984,"2024.07")</f>
        <v>94999</v>
      </c>
      <c r="J195" s="55" t="n">
        <f aca="false">SUMIFS(데이터_품목별!$J$3:$J$2984,데이터_품목별!$E$3:$E$2984,"91",데이터_품목별!$A$3:$A$2984,"2024.08")</f>
        <v>79249</v>
      </c>
      <c r="K195" s="55" t="n">
        <f aca="false">SUMIFS(데이터_품목별!$J$3:$J$2984,데이터_품목별!$E$3:$E$2984,"91",데이터_품목별!$A$3:$A$2984,"2024.09")</f>
        <v>79224</v>
      </c>
      <c r="L195" s="55" t="n">
        <f aca="false">SUMIFS(데이터_품목별!$J$3:$J$2984,데이터_품목별!$E$3:$E$2984,"91",데이터_품목별!$A$3:$A$2984,"2024.10")</f>
        <v>95951</v>
      </c>
      <c r="M195" s="55" t="n">
        <f aca="false">SUMIFS(데이터_품목별!$J$3:$J$2984,데이터_품목별!$E$3:$E$2984,"91",데이터_품목별!$A$3:$A$2984,"2024.11")</f>
        <v>100082</v>
      </c>
      <c r="N195" s="55" t="n">
        <f aca="false">SUMIFS(데이터_품목별!$J$3:$J$2984,데이터_품목별!$E$3:$E$2984,"91",데이터_품목별!$A$3:$A$2984,"2024.12")</f>
        <v>86412</v>
      </c>
      <c r="O195" s="55" t="n">
        <f aca="false">SUMIFS(데이터_품목별!$J$3:$J$2984,데이터_품목별!$E$3:$E$2984,"91",데이터_품목별!$A$3:$A$2984,"2025.01")</f>
        <v>66332</v>
      </c>
      <c r="P195" s="55" t="n">
        <f aca="false">SUMIFS(데이터_품목별!$J$3:$J$2984,데이터_품목별!$E$3:$E$2984,"91",데이터_품목별!$A$3:$A$2984,"2025.02")</f>
        <v>98269</v>
      </c>
      <c r="Q195" s="55" t="n">
        <f aca="false">SUMIFS(데이터_품목별!$J$3:$J$2984,데이터_품목별!$E$3:$E$2984,"91",데이터_품목별!$A$3:$A$2984,"2025.03")</f>
        <v>90786</v>
      </c>
      <c r="R195" s="55" t="n">
        <f aca="false">SUMIFS(데이터_품목별!$J$3:$J$2984,데이터_품목별!$E$3:$E$2984,"91",데이터_품목별!$A$3:$A$2984,"2025.04")</f>
        <v>91829</v>
      </c>
      <c r="S195" s="55" t="n">
        <f aca="false">SUMIFS(데이터_품목별!$J$3:$J$2984,데이터_품목별!$E$3:$E$2984,"91",데이터_품목별!$A$3:$A$2984,"2025.05")</f>
        <v>90183</v>
      </c>
      <c r="T195" s="55" t="n">
        <f aca="false">SUMIFS(데이터_품목별!$J$3:$J$2984,데이터_품목별!$E$3:$E$2984,"91",데이터_품목별!$A$3:$A$2984,"2025.06")</f>
        <v>90672</v>
      </c>
      <c r="U195" s="55" t="n">
        <f aca="false">SUMIFS(데이터_품목별!$J$3:$J$2984,데이터_품목별!$E$3:$E$2984,"91",데이터_품목별!$A$3:$A$2984,"2025.07")</f>
        <v>109858</v>
      </c>
      <c r="V195" s="55" t="n">
        <f aca="false">SUMIFS(데이터_품목별!$J$3:$J$2984,데이터_품목별!$E$3:$E$2984,"91",데이터_품목별!$A$3:$A$2984,"2025.08")</f>
        <v>88433</v>
      </c>
      <c r="W195" s="55" t="n">
        <f aca="false">SUMIFS(데이터_품목별!$J$3:$J$2984,데이터_품목별!$E$3:$E$2984,"91",데이터_품목별!$A$3:$A$2984,"2025.09")</f>
        <v>107182</v>
      </c>
      <c r="X195" s="55" t="n">
        <f aca="false">SUMIFS(데이터_품목별!$J$3:$J$2984,데이터_품목별!$E$3:$E$2984,"91",데이터_품목별!$A$3:$A$2984,"2025.10")</f>
        <v>103559</v>
      </c>
      <c r="Y195" s="55" t="n">
        <f aca="false">SUMIFS(데이터_품목별!$J$3:$J$2984,데이터_품목별!$E$3:$E$2984,"91",데이터_품목별!$A$3:$A$2984,"2025.11")</f>
        <v>111863</v>
      </c>
      <c r="Z195" s="55" t="n">
        <f aca="false">SUMIFS(데이터_품목별!$J$3:$J$2984,데이터_품목별!$E$3:$E$2984,"91",데이터_품목별!$A$3:$A$2984,"2025.12")</f>
        <v>92377</v>
      </c>
      <c r="AA195" s="55" t="n">
        <f aca="false">SUMIFS(데이터_품목별!$J$3:$J$2984,데이터_품목별!$E$3:$E$2984,"91",데이터_품목별!$A$3:$A$2984,"2026.01")</f>
        <v>88914</v>
      </c>
      <c r="AB195" s="55" t="n">
        <f aca="false">SUMIFS(데이터_품목별!$J$3:$J$2984,데이터_품목별!$E$3:$E$2984,"91",데이터_품목별!$A$3:$A$2984,"2026.02")</f>
        <v>106381</v>
      </c>
      <c r="AC195" s="55" t="n">
        <f aca="false">SUMIFS(데이터_품목별!$J$3:$J$2984,데이터_품목별!$E$3:$E$2984,"91",데이터_품목별!$A$3:$A$2984,"2026.03")</f>
        <v>101619</v>
      </c>
      <c r="AD195" s="55" t="n">
        <f aca="false">SUMIFS(데이터_품목별!$J$3:$J$2984,데이터_품목별!$E$3:$E$2984,"91",데이터_품목별!$A$3:$A$2984,"2026.04")</f>
        <v>91117</v>
      </c>
      <c r="AE195" s="55" t="n">
        <f aca="false">SUMIFS(데이터_품목별!$J$3:$J$2984,데이터_품목별!$E$3:$E$2984,"91",데이터_품목별!$A$3:$A$2984,"2026.05")</f>
        <v>98698</v>
      </c>
      <c r="AF195" s="55" t="n">
        <f aca="false">SUMIFS(데이터_품목별!$J$3:$J$2984,데이터_품목별!$E$3:$E$2984,"91",데이터_품목별!$A$3:$A$2984,"2026.06")</f>
        <v>117439</v>
      </c>
      <c r="AG195" s="55" t="n">
        <f aca="false">SUMIFS(데이터_품목별!$J$3:$J$2984,데이터_품목별!$E$3:$E$2984,"91",데이터_품목별!$A$3:$A$2984,"2026.07")</f>
        <v>110546</v>
      </c>
    </row>
    <row r="196" customFormat="false" ht="15" hidden="false" customHeight="true" outlineLevel="0" collapsed="false">
      <c r="A196" s="53" t="s">
        <v>974</v>
      </c>
      <c r="B196" s="54" t="s">
        <v>975</v>
      </c>
      <c r="C196" s="55" t="n">
        <f aca="false">SUMIFS(데이터_품목별!$J$3:$J$2984,데이터_품목별!$E$3:$E$2984,"92",데이터_품목별!$A$3:$A$2984,"2024.01")</f>
        <v>18112</v>
      </c>
      <c r="D196" s="55" t="n">
        <f aca="false">SUMIFS(데이터_품목별!$J$3:$J$2984,데이터_품목별!$E$3:$E$2984,"92",데이터_품목별!$A$3:$A$2984,"2024.02")</f>
        <v>17655</v>
      </c>
      <c r="E196" s="55" t="n">
        <f aca="false">SUMIFS(데이터_품목별!$J$3:$J$2984,데이터_품목별!$E$3:$E$2984,"92",데이터_품목별!$A$3:$A$2984,"2024.03")</f>
        <v>17021</v>
      </c>
      <c r="F196" s="55" t="n">
        <f aca="false">SUMIFS(데이터_품목별!$J$3:$J$2984,데이터_품목별!$E$3:$E$2984,"92",데이터_품목별!$A$3:$A$2984,"2024.04")</f>
        <v>16347</v>
      </c>
      <c r="G196" s="55" t="n">
        <f aca="false">SUMIFS(데이터_품목별!$J$3:$J$2984,데이터_품목별!$E$3:$E$2984,"92",데이터_품목별!$A$3:$A$2984,"2024.05")</f>
        <v>17025</v>
      </c>
      <c r="H196" s="55" t="n">
        <f aca="false">SUMIFS(데이터_품목별!$J$3:$J$2984,데이터_품목별!$E$3:$E$2984,"92",데이터_품목별!$A$3:$A$2984,"2024.06")</f>
        <v>18240</v>
      </c>
      <c r="I196" s="55" t="n">
        <f aca="false">SUMIFS(데이터_품목별!$J$3:$J$2984,데이터_품목별!$E$3:$E$2984,"92",데이터_품목별!$A$3:$A$2984,"2024.07")</f>
        <v>16406</v>
      </c>
      <c r="J196" s="55" t="n">
        <f aca="false">SUMIFS(데이터_품목별!$J$3:$J$2984,데이터_품목별!$E$3:$E$2984,"92",데이터_품목별!$A$3:$A$2984,"2024.08")</f>
        <v>16747</v>
      </c>
      <c r="K196" s="55" t="n">
        <f aca="false">SUMIFS(데이터_품목별!$J$3:$J$2984,데이터_품목별!$E$3:$E$2984,"92",데이터_품목별!$A$3:$A$2984,"2024.09")</f>
        <v>17320</v>
      </c>
      <c r="L196" s="55" t="n">
        <f aca="false">SUMIFS(데이터_품목별!$J$3:$J$2984,데이터_품목별!$E$3:$E$2984,"92",데이터_품목별!$A$3:$A$2984,"2024.10")</f>
        <v>14996</v>
      </c>
      <c r="M196" s="55" t="n">
        <f aca="false">SUMIFS(데이터_품목별!$J$3:$J$2984,데이터_품목별!$E$3:$E$2984,"92",데이터_품목별!$A$3:$A$2984,"2024.11")</f>
        <v>17977</v>
      </c>
      <c r="N196" s="55" t="n">
        <f aca="false">SUMIFS(데이터_품목별!$J$3:$J$2984,데이터_품목별!$E$3:$E$2984,"92",데이터_품목별!$A$3:$A$2984,"2024.12")</f>
        <v>18694</v>
      </c>
      <c r="O196" s="55" t="n">
        <f aca="false">SUMIFS(데이터_품목별!$J$3:$J$2984,데이터_품목별!$E$3:$E$2984,"92",데이터_품목별!$A$3:$A$2984,"2025.01")</f>
        <v>13773</v>
      </c>
      <c r="P196" s="55" t="n">
        <f aca="false">SUMIFS(데이터_품목별!$J$3:$J$2984,데이터_품목별!$E$3:$E$2984,"92",데이터_품목별!$A$3:$A$2984,"2025.02")</f>
        <v>15778</v>
      </c>
      <c r="Q196" s="55" t="n">
        <f aca="false">SUMIFS(데이터_품목별!$J$3:$J$2984,데이터_품목별!$E$3:$E$2984,"92",데이터_품목별!$A$3:$A$2984,"2025.03")</f>
        <v>16670</v>
      </c>
      <c r="R196" s="55" t="n">
        <f aca="false">SUMIFS(데이터_품목별!$J$3:$J$2984,데이터_품목별!$E$3:$E$2984,"92",데이터_품목별!$A$3:$A$2984,"2025.04")</f>
        <v>15803</v>
      </c>
      <c r="S196" s="55" t="n">
        <f aca="false">SUMIFS(데이터_품목별!$J$3:$J$2984,데이터_품목별!$E$3:$E$2984,"92",데이터_품목별!$A$3:$A$2984,"2025.05")</f>
        <v>17481</v>
      </c>
      <c r="T196" s="55" t="n">
        <f aca="false">SUMIFS(데이터_품목별!$J$3:$J$2984,데이터_품목별!$E$3:$E$2984,"92",데이터_품목별!$A$3:$A$2984,"2025.06")</f>
        <v>15630</v>
      </c>
      <c r="U196" s="55" t="n">
        <f aca="false">SUMIFS(데이터_품목별!$J$3:$J$2984,데이터_품목별!$E$3:$E$2984,"92",데이터_품목별!$A$3:$A$2984,"2025.07")</f>
        <v>15727</v>
      </c>
      <c r="V196" s="55" t="n">
        <f aca="false">SUMIFS(데이터_품목별!$J$3:$J$2984,데이터_품목별!$E$3:$E$2984,"92",데이터_품목별!$A$3:$A$2984,"2025.08")</f>
        <v>13795</v>
      </c>
      <c r="W196" s="55" t="n">
        <f aca="false">SUMIFS(데이터_품목별!$J$3:$J$2984,데이터_품목별!$E$3:$E$2984,"92",데이터_품목별!$A$3:$A$2984,"2025.09")</f>
        <v>16517</v>
      </c>
      <c r="X196" s="55" t="n">
        <f aca="false">SUMIFS(데이터_품목별!$J$3:$J$2984,데이터_품목별!$E$3:$E$2984,"92",데이터_품목별!$A$3:$A$2984,"2025.10")</f>
        <v>14573</v>
      </c>
      <c r="Y196" s="55" t="n">
        <f aca="false">SUMIFS(데이터_품목별!$J$3:$J$2984,데이터_품목별!$E$3:$E$2984,"92",데이터_품목별!$A$3:$A$2984,"2025.11")</f>
        <v>15664</v>
      </c>
      <c r="Z196" s="55" t="n">
        <f aca="false">SUMIFS(데이터_품목별!$J$3:$J$2984,데이터_품목별!$E$3:$E$2984,"92",데이터_품목별!$A$3:$A$2984,"2025.12")</f>
        <v>16093</v>
      </c>
      <c r="AA196" s="55" t="n">
        <f aca="false">SUMIFS(데이터_품목별!$J$3:$J$2984,데이터_품목별!$E$3:$E$2984,"92",데이터_품목별!$A$3:$A$2984,"2026.01")</f>
        <v>14874</v>
      </c>
      <c r="AB196" s="55" t="n">
        <f aca="false">SUMIFS(데이터_품목별!$J$3:$J$2984,데이터_품목별!$E$3:$E$2984,"92",데이터_품목별!$A$3:$A$2984,"2026.02")</f>
        <v>14550</v>
      </c>
      <c r="AC196" s="55" t="n">
        <f aca="false">SUMIFS(데이터_품목별!$J$3:$J$2984,데이터_품목별!$E$3:$E$2984,"92",데이터_품목별!$A$3:$A$2984,"2026.03")</f>
        <v>15389</v>
      </c>
      <c r="AD196" s="55" t="n">
        <f aca="false">SUMIFS(데이터_품목별!$J$3:$J$2984,데이터_품목별!$E$3:$E$2984,"92",데이터_품목별!$A$3:$A$2984,"2026.04")</f>
        <v>13474</v>
      </c>
      <c r="AE196" s="55" t="n">
        <f aca="false">SUMIFS(데이터_품목별!$J$3:$J$2984,데이터_품목별!$E$3:$E$2984,"92",데이터_품목별!$A$3:$A$2984,"2026.05")</f>
        <v>12798</v>
      </c>
      <c r="AF196" s="55" t="n">
        <f aca="false">SUMIFS(데이터_품목별!$J$3:$J$2984,데이터_품목별!$E$3:$E$2984,"92",데이터_품목별!$A$3:$A$2984,"2026.06")</f>
        <v>14310</v>
      </c>
      <c r="AG196" s="55" t="n">
        <f aca="false">SUMIFS(데이터_품목별!$J$3:$J$2984,데이터_품목별!$E$3:$E$2984,"92",데이터_품목별!$A$3:$A$2984,"2026.07")</f>
        <v>14239</v>
      </c>
    </row>
    <row r="197" customFormat="false" ht="15" hidden="false" customHeight="true" outlineLevel="0" collapsed="false">
      <c r="A197" s="53" t="s">
        <v>981</v>
      </c>
      <c r="B197" s="54" t="s">
        <v>982</v>
      </c>
      <c r="C197" s="55" t="n">
        <f aca="false">SUMIFS(데이터_품목별!$J$3:$J$2984,데이터_품목별!$E$3:$E$2984,"93",데이터_품목별!$A$3:$A$2984,"2024.01")</f>
        <v>20440</v>
      </c>
      <c r="D197" s="55" t="n">
        <f aca="false">SUMIFS(데이터_품목별!$J$3:$J$2984,데이터_품목별!$E$3:$E$2984,"93",데이터_품목별!$A$3:$A$2984,"2024.02")</f>
        <v>18844</v>
      </c>
      <c r="E197" s="55" t="n">
        <f aca="false">SUMIFS(데이터_품목별!$J$3:$J$2984,데이터_품목별!$E$3:$E$2984,"93",데이터_품목별!$A$3:$A$2984,"2024.03")</f>
        <v>8216</v>
      </c>
      <c r="F197" s="55" t="n">
        <f aca="false">SUMIFS(데이터_품목별!$J$3:$J$2984,데이터_품목별!$E$3:$E$2984,"93",데이터_품목별!$A$3:$A$2984,"2024.04")</f>
        <v>20975</v>
      </c>
      <c r="G197" s="55" t="n">
        <f aca="false">SUMIFS(데이터_품목별!$J$3:$J$2984,데이터_품목별!$E$3:$E$2984,"93",데이터_품목별!$A$3:$A$2984,"2024.05")</f>
        <v>19270</v>
      </c>
      <c r="H197" s="55" t="n">
        <f aca="false">SUMIFS(데이터_품목별!$J$3:$J$2984,데이터_품목별!$E$3:$E$2984,"93",데이터_품목별!$A$3:$A$2984,"2024.06")</f>
        <v>12453</v>
      </c>
      <c r="I197" s="55" t="n">
        <f aca="false">SUMIFS(데이터_품목별!$J$3:$J$2984,데이터_품목별!$E$3:$E$2984,"93",데이터_품목별!$A$3:$A$2984,"2024.07")</f>
        <v>20827</v>
      </c>
      <c r="J197" s="55" t="n">
        <f aca="false">SUMIFS(데이터_품목별!$J$3:$J$2984,데이터_품목별!$E$3:$E$2984,"93",데이터_품목별!$A$3:$A$2984,"2024.08")</f>
        <v>46789</v>
      </c>
      <c r="K197" s="55" t="n">
        <f aca="false">SUMIFS(데이터_품목별!$J$3:$J$2984,데이터_품목별!$E$3:$E$2984,"93",데이터_품목별!$A$3:$A$2984,"2024.09")</f>
        <v>30761</v>
      </c>
      <c r="L197" s="55" t="n">
        <f aca="false">SUMIFS(데이터_품목별!$J$3:$J$2984,데이터_품목별!$E$3:$E$2984,"93",데이터_품목별!$A$3:$A$2984,"2024.10")</f>
        <v>22669</v>
      </c>
      <c r="M197" s="55" t="n">
        <f aca="false">SUMIFS(데이터_품목별!$J$3:$J$2984,데이터_품목별!$E$3:$E$2984,"93",데이터_품목별!$A$3:$A$2984,"2024.11")</f>
        <v>16935</v>
      </c>
      <c r="N197" s="55" t="n">
        <f aca="false">SUMIFS(데이터_품목별!$J$3:$J$2984,데이터_품목별!$E$3:$E$2984,"93",데이터_품목별!$A$3:$A$2984,"2024.12")</f>
        <v>11991</v>
      </c>
      <c r="O197" s="55" t="n">
        <f aca="false">SUMIFS(데이터_품목별!$J$3:$J$2984,데이터_품목별!$E$3:$E$2984,"93",데이터_품목별!$A$3:$A$2984,"2025.01")</f>
        <v>36972</v>
      </c>
      <c r="P197" s="55" t="n">
        <f aca="false">SUMIFS(데이터_품목별!$J$3:$J$2984,데이터_품목별!$E$3:$E$2984,"93",데이터_품목별!$A$3:$A$2984,"2025.02")</f>
        <v>25813</v>
      </c>
      <c r="Q197" s="55" t="n">
        <f aca="false">SUMIFS(데이터_품목별!$J$3:$J$2984,데이터_품목별!$E$3:$E$2984,"93",데이터_품목별!$A$3:$A$2984,"2025.03")</f>
        <v>17344</v>
      </c>
      <c r="R197" s="55" t="n">
        <f aca="false">SUMIFS(데이터_품목별!$J$3:$J$2984,데이터_품목별!$E$3:$E$2984,"93",데이터_품목별!$A$3:$A$2984,"2025.04")</f>
        <v>13503</v>
      </c>
      <c r="S197" s="55" t="n">
        <f aca="false">SUMIFS(데이터_품목별!$J$3:$J$2984,데이터_품목별!$E$3:$E$2984,"93",데이터_품목별!$A$3:$A$2984,"2025.05")</f>
        <v>32512</v>
      </c>
      <c r="T197" s="55" t="n">
        <f aca="false">SUMIFS(데이터_품목별!$J$3:$J$2984,데이터_품목별!$E$3:$E$2984,"93",데이터_품목별!$A$3:$A$2984,"2025.06")</f>
        <v>29226</v>
      </c>
      <c r="U197" s="55" t="n">
        <f aca="false">SUMIFS(데이터_품목별!$J$3:$J$2984,데이터_품목별!$E$3:$E$2984,"93",데이터_품목별!$A$3:$A$2984,"2025.07")</f>
        <v>19659</v>
      </c>
      <c r="V197" s="55" t="n">
        <f aca="false">SUMIFS(데이터_품목별!$J$3:$J$2984,데이터_품목별!$E$3:$E$2984,"93",데이터_품목별!$A$3:$A$2984,"2025.08")</f>
        <v>43564</v>
      </c>
      <c r="W197" s="55" t="n">
        <f aca="false">SUMIFS(데이터_품목별!$J$3:$J$2984,데이터_품목별!$E$3:$E$2984,"93",데이터_품목별!$A$3:$A$2984,"2025.09")</f>
        <v>23645</v>
      </c>
      <c r="X197" s="55" t="n">
        <f aca="false">SUMIFS(데이터_품목별!$J$3:$J$2984,데이터_품목별!$E$3:$E$2984,"93",데이터_품목별!$A$3:$A$2984,"2025.10")</f>
        <v>13884</v>
      </c>
      <c r="Y197" s="55" t="n">
        <f aca="false">SUMIFS(데이터_품목별!$J$3:$J$2984,데이터_품목별!$E$3:$E$2984,"93",데이터_품목별!$A$3:$A$2984,"2025.11")</f>
        <v>47113</v>
      </c>
      <c r="Z197" s="55" t="n">
        <f aca="false">SUMIFS(데이터_품목별!$J$3:$J$2984,데이터_품목별!$E$3:$E$2984,"93",데이터_품목별!$A$3:$A$2984,"2025.12")</f>
        <v>31310</v>
      </c>
      <c r="AA197" s="55" t="n">
        <f aca="false">SUMIFS(데이터_품목별!$J$3:$J$2984,데이터_품목별!$E$3:$E$2984,"93",데이터_품목별!$A$3:$A$2984,"2026.01")</f>
        <v>28695</v>
      </c>
      <c r="AB197" s="55" t="n">
        <f aca="false">SUMIFS(데이터_품목별!$J$3:$J$2984,데이터_품목별!$E$3:$E$2984,"93",데이터_품목별!$A$3:$A$2984,"2026.02")</f>
        <v>8899</v>
      </c>
      <c r="AC197" s="55" t="n">
        <f aca="false">SUMIFS(데이터_품목별!$J$3:$J$2984,데이터_품목별!$E$3:$E$2984,"93",데이터_품목별!$A$3:$A$2984,"2026.03")</f>
        <v>55255</v>
      </c>
      <c r="AD197" s="55" t="n">
        <f aca="false">SUMIFS(데이터_품목별!$J$3:$J$2984,데이터_품목별!$E$3:$E$2984,"93",데이터_품목별!$A$3:$A$2984,"2026.04")</f>
        <v>27536</v>
      </c>
      <c r="AE197" s="55" t="n">
        <f aca="false">SUMIFS(데이터_품목별!$J$3:$J$2984,데이터_품목별!$E$3:$E$2984,"93",데이터_품목별!$A$3:$A$2984,"2026.05")</f>
        <v>24208</v>
      </c>
      <c r="AF197" s="55" t="n">
        <f aca="false">SUMIFS(데이터_품목별!$J$3:$J$2984,데이터_품목별!$E$3:$E$2984,"93",데이터_품목별!$A$3:$A$2984,"2026.06")</f>
        <v>40258</v>
      </c>
      <c r="AG197" s="55" t="n">
        <f aca="false">SUMIFS(데이터_품목별!$J$3:$J$2984,데이터_품목별!$E$3:$E$2984,"93",데이터_품목별!$A$3:$A$2984,"2026.07")</f>
        <v>31560</v>
      </c>
    </row>
    <row r="198" customFormat="false" ht="15" hidden="false" customHeight="true" outlineLevel="0" collapsed="false">
      <c r="A198" s="53" t="s">
        <v>988</v>
      </c>
      <c r="B198" s="54" t="s">
        <v>989</v>
      </c>
      <c r="C198" s="55" t="n">
        <f aca="false">SUMIFS(데이터_품목별!$J$3:$J$2984,데이터_품목별!$E$3:$E$2984,"94",데이터_품목별!$A$3:$A$2984,"2024.01")</f>
        <v>346582</v>
      </c>
      <c r="D198" s="55" t="n">
        <f aca="false">SUMIFS(데이터_품목별!$J$3:$J$2984,데이터_품목별!$E$3:$E$2984,"94",데이터_품목별!$A$3:$A$2984,"2024.02")</f>
        <v>268240</v>
      </c>
      <c r="E198" s="55" t="n">
        <f aca="false">SUMIFS(데이터_품목별!$J$3:$J$2984,데이터_품목별!$E$3:$E$2984,"94",데이터_품목별!$A$3:$A$2984,"2024.03")</f>
        <v>267743</v>
      </c>
      <c r="F198" s="55" t="n">
        <f aca="false">SUMIFS(데이터_품목별!$J$3:$J$2984,데이터_품목별!$E$3:$E$2984,"94",데이터_품목별!$A$3:$A$2984,"2024.04")</f>
        <v>344539</v>
      </c>
      <c r="G198" s="55" t="n">
        <f aca="false">SUMIFS(데이터_품목별!$J$3:$J$2984,데이터_품목별!$E$3:$E$2984,"94",데이터_품목별!$A$3:$A$2984,"2024.05")</f>
        <v>336105</v>
      </c>
      <c r="H198" s="55" t="n">
        <f aca="false">SUMIFS(데이터_품목별!$J$3:$J$2984,데이터_품목별!$E$3:$E$2984,"94",데이터_품목별!$A$3:$A$2984,"2024.06")</f>
        <v>307107</v>
      </c>
      <c r="I198" s="55" t="n">
        <f aca="false">SUMIFS(데이터_품목별!$J$3:$J$2984,데이터_품목별!$E$3:$E$2984,"94",데이터_품목별!$A$3:$A$2984,"2024.07")</f>
        <v>324731</v>
      </c>
      <c r="J198" s="55" t="n">
        <f aca="false">SUMIFS(데이터_품목별!$J$3:$J$2984,데이터_품목별!$E$3:$E$2984,"94",데이터_품목별!$A$3:$A$2984,"2024.08")</f>
        <v>318216</v>
      </c>
      <c r="K198" s="55" t="n">
        <f aca="false">SUMIFS(데이터_품목별!$J$3:$J$2984,데이터_품목별!$E$3:$E$2984,"94",데이터_품목별!$A$3:$A$2984,"2024.09")</f>
        <v>320148</v>
      </c>
      <c r="L198" s="55" t="n">
        <f aca="false">SUMIFS(데이터_품목별!$J$3:$J$2984,데이터_품목별!$E$3:$E$2984,"94",데이터_품목별!$A$3:$A$2984,"2024.10")</f>
        <v>348511</v>
      </c>
      <c r="M198" s="55" t="n">
        <f aca="false">SUMIFS(데이터_품목별!$J$3:$J$2984,데이터_품목별!$E$3:$E$2984,"94",데이터_품목별!$A$3:$A$2984,"2024.11")</f>
        <v>333018</v>
      </c>
      <c r="N198" s="55" t="n">
        <f aca="false">SUMIFS(데이터_품목별!$J$3:$J$2984,데이터_품목별!$E$3:$E$2984,"94",데이터_품목별!$A$3:$A$2984,"2024.12")</f>
        <v>366008</v>
      </c>
      <c r="O198" s="55" t="n">
        <f aca="false">SUMIFS(데이터_품목별!$J$3:$J$2984,데이터_품목별!$E$3:$E$2984,"94",데이터_품목별!$A$3:$A$2984,"2025.01")</f>
        <v>326575</v>
      </c>
      <c r="P198" s="55" t="n">
        <f aca="false">SUMIFS(데이터_품목별!$J$3:$J$2984,데이터_품목별!$E$3:$E$2984,"94",데이터_품목별!$A$3:$A$2984,"2025.02")</f>
        <v>273704</v>
      </c>
      <c r="Q198" s="55" t="n">
        <f aca="false">SUMIFS(데이터_품목별!$J$3:$J$2984,데이터_품목별!$E$3:$E$2984,"94",데이터_품목별!$A$3:$A$2984,"2025.03")</f>
        <v>312813</v>
      </c>
      <c r="R198" s="55" t="n">
        <f aca="false">SUMIFS(데이터_품목별!$J$3:$J$2984,데이터_품목별!$E$3:$E$2984,"94",데이터_품목별!$A$3:$A$2984,"2025.04")</f>
        <v>354005</v>
      </c>
      <c r="S198" s="55" t="n">
        <f aca="false">SUMIFS(데이터_품목별!$J$3:$J$2984,데이터_품목별!$E$3:$E$2984,"94",데이터_품목별!$A$3:$A$2984,"2025.05")</f>
        <v>316100</v>
      </c>
      <c r="T198" s="55" t="n">
        <f aca="false">SUMIFS(데이터_품목별!$J$3:$J$2984,데이터_품목별!$E$3:$E$2984,"94",데이터_품목별!$A$3:$A$2984,"2025.06")</f>
        <v>317959</v>
      </c>
      <c r="U198" s="55" t="n">
        <f aca="false">SUMIFS(데이터_품목별!$J$3:$J$2984,데이터_품목별!$E$3:$E$2984,"94",데이터_품목별!$A$3:$A$2984,"2025.07")</f>
        <v>336882</v>
      </c>
      <c r="V198" s="55" t="n">
        <f aca="false">SUMIFS(데이터_품목별!$J$3:$J$2984,데이터_품목별!$E$3:$E$2984,"94",데이터_품목별!$A$3:$A$2984,"2025.08")</f>
        <v>298894</v>
      </c>
      <c r="W198" s="55" t="n">
        <f aca="false">SUMIFS(데이터_품목별!$J$3:$J$2984,데이터_품목별!$E$3:$E$2984,"94",데이터_품목별!$A$3:$A$2984,"2025.09")</f>
        <v>359071</v>
      </c>
      <c r="X198" s="55" t="n">
        <f aca="false">SUMIFS(데이터_품목별!$J$3:$J$2984,데이터_품목별!$E$3:$E$2984,"94",데이터_품목별!$A$3:$A$2984,"2025.10")</f>
        <v>313457</v>
      </c>
      <c r="Y198" s="55" t="n">
        <f aca="false">SUMIFS(데이터_품목별!$J$3:$J$2984,데이터_품목별!$E$3:$E$2984,"94",데이터_품목별!$A$3:$A$2984,"2025.11")</f>
        <v>323023</v>
      </c>
      <c r="Z198" s="55" t="n">
        <f aca="false">SUMIFS(데이터_품목별!$J$3:$J$2984,데이터_품목별!$E$3:$E$2984,"94",데이터_품목별!$A$3:$A$2984,"2025.12")</f>
        <v>356962</v>
      </c>
      <c r="AA198" s="55" t="n">
        <f aca="false">SUMIFS(데이터_품목별!$J$3:$J$2984,데이터_품목별!$E$3:$E$2984,"94",데이터_품목별!$A$3:$A$2984,"2026.01")</f>
        <v>353464</v>
      </c>
      <c r="AB198" s="55" t="n">
        <f aca="false">SUMIFS(데이터_품목별!$J$3:$J$2984,데이터_품목별!$E$3:$E$2984,"94",데이터_품목별!$A$3:$A$2984,"2026.02")</f>
        <v>297548</v>
      </c>
      <c r="AC198" s="55" t="n">
        <f aca="false">SUMIFS(데이터_품목별!$J$3:$J$2984,데이터_품목별!$E$3:$E$2984,"94",데이터_품목별!$A$3:$A$2984,"2026.03")</f>
        <v>289272</v>
      </c>
      <c r="AD198" s="55" t="n">
        <f aca="false">SUMIFS(데이터_품목별!$J$3:$J$2984,데이터_품목별!$E$3:$E$2984,"94",데이터_품목별!$A$3:$A$2984,"2026.04")</f>
        <v>356444</v>
      </c>
      <c r="AE198" s="55" t="n">
        <f aca="false">SUMIFS(데이터_품목별!$J$3:$J$2984,데이터_품목별!$E$3:$E$2984,"94",데이터_품목별!$A$3:$A$2984,"2026.05")</f>
        <v>322503</v>
      </c>
      <c r="AF198" s="55" t="n">
        <f aca="false">SUMIFS(데이터_품목별!$J$3:$J$2984,데이터_품목별!$E$3:$E$2984,"94",데이터_품목별!$A$3:$A$2984,"2026.06")</f>
        <v>351096</v>
      </c>
      <c r="AG198" s="55" t="n">
        <f aca="false">SUMIFS(데이터_품목별!$J$3:$J$2984,데이터_품목별!$E$3:$E$2984,"94",데이터_품목별!$A$3:$A$2984,"2026.07")</f>
        <v>325799</v>
      </c>
    </row>
    <row r="199" customFormat="false" ht="15" hidden="false" customHeight="true" outlineLevel="0" collapsed="false">
      <c r="A199" s="53" t="s">
        <v>995</v>
      </c>
      <c r="B199" s="54" t="s">
        <v>996</v>
      </c>
      <c r="C199" s="55" t="n">
        <f aca="false">SUMIFS(데이터_품목별!$J$3:$J$2984,데이터_품목별!$E$3:$E$2984,"95",데이터_품목별!$A$3:$A$2984,"2024.01")</f>
        <v>217744</v>
      </c>
      <c r="D199" s="55" t="n">
        <f aca="false">SUMIFS(데이터_품목별!$J$3:$J$2984,데이터_품목별!$E$3:$E$2984,"95",데이터_품목별!$A$3:$A$2984,"2024.02")</f>
        <v>154914</v>
      </c>
      <c r="E199" s="55" t="n">
        <f aca="false">SUMIFS(데이터_품목별!$J$3:$J$2984,데이터_품목별!$E$3:$E$2984,"95",데이터_품목별!$A$3:$A$2984,"2024.03")</f>
        <v>187552</v>
      </c>
      <c r="F199" s="55" t="n">
        <f aca="false">SUMIFS(데이터_품목별!$J$3:$J$2984,데이터_품목별!$E$3:$E$2984,"95",데이터_품목별!$A$3:$A$2984,"2024.04")</f>
        <v>229352</v>
      </c>
      <c r="G199" s="55" t="n">
        <f aca="false">SUMIFS(데이터_품목별!$J$3:$J$2984,데이터_품목별!$E$3:$E$2984,"95",데이터_품목별!$A$3:$A$2984,"2024.05")</f>
        <v>204079</v>
      </c>
      <c r="H199" s="55" t="n">
        <f aca="false">SUMIFS(데이터_품목별!$J$3:$J$2984,데이터_품목별!$E$3:$E$2984,"95",데이터_품목별!$A$3:$A$2984,"2024.06")</f>
        <v>170347</v>
      </c>
      <c r="I199" s="55" t="n">
        <f aca="false">SUMIFS(데이터_품목별!$J$3:$J$2984,데이터_품목별!$E$3:$E$2984,"95",데이터_품목별!$A$3:$A$2984,"2024.07")</f>
        <v>191896</v>
      </c>
      <c r="J199" s="55" t="n">
        <f aca="false">SUMIFS(데이터_품목별!$J$3:$J$2984,데이터_품목별!$E$3:$E$2984,"95",데이터_품목별!$A$3:$A$2984,"2024.08")</f>
        <v>189026</v>
      </c>
      <c r="K199" s="55" t="n">
        <f aca="false">SUMIFS(데이터_품목별!$J$3:$J$2984,데이터_품목별!$E$3:$E$2984,"95",데이터_품목별!$A$3:$A$2984,"2024.09")</f>
        <v>196945</v>
      </c>
      <c r="L199" s="55" t="n">
        <f aca="false">SUMIFS(데이터_품목별!$J$3:$J$2984,데이터_품목별!$E$3:$E$2984,"95",데이터_품목별!$A$3:$A$2984,"2024.10")</f>
        <v>221825</v>
      </c>
      <c r="M199" s="55" t="n">
        <f aca="false">SUMIFS(데이터_품목별!$J$3:$J$2984,데이터_품목별!$E$3:$E$2984,"95",데이터_품목별!$A$3:$A$2984,"2024.11")</f>
        <v>196362</v>
      </c>
      <c r="N199" s="55" t="n">
        <f aca="false">SUMIFS(데이터_품목별!$J$3:$J$2984,데이터_품목별!$E$3:$E$2984,"95",데이터_품목별!$A$3:$A$2984,"2024.12")</f>
        <v>206143</v>
      </c>
      <c r="O199" s="55" t="n">
        <f aca="false">SUMIFS(데이터_품목별!$J$3:$J$2984,데이터_품목별!$E$3:$E$2984,"95",데이터_품목별!$A$3:$A$2984,"2025.01")</f>
        <v>180489</v>
      </c>
      <c r="P199" s="55" t="n">
        <f aca="false">SUMIFS(데이터_품목별!$J$3:$J$2984,데이터_품목별!$E$3:$E$2984,"95",데이터_품목별!$A$3:$A$2984,"2025.02")</f>
        <v>162064</v>
      </c>
      <c r="Q199" s="55" t="n">
        <f aca="false">SUMIFS(데이터_품목별!$J$3:$J$2984,데이터_품목별!$E$3:$E$2984,"95",데이터_품목별!$A$3:$A$2984,"2025.03")</f>
        <v>210117</v>
      </c>
      <c r="R199" s="55" t="n">
        <f aca="false">SUMIFS(데이터_품목별!$J$3:$J$2984,데이터_품목별!$E$3:$E$2984,"95",데이터_품목별!$A$3:$A$2984,"2025.04")</f>
        <v>291229</v>
      </c>
      <c r="S199" s="55" t="n">
        <f aca="false">SUMIFS(데이터_품목별!$J$3:$J$2984,데이터_품목별!$E$3:$E$2984,"95",데이터_품목별!$A$3:$A$2984,"2025.05")</f>
        <v>202838</v>
      </c>
      <c r="T199" s="55" t="n">
        <f aca="false">SUMIFS(데이터_품목별!$J$3:$J$2984,데이터_품목별!$E$3:$E$2984,"95",데이터_품목별!$A$3:$A$2984,"2025.06")</f>
        <v>214766</v>
      </c>
      <c r="U199" s="55" t="n">
        <f aca="false">SUMIFS(데이터_품목별!$J$3:$J$2984,데이터_품목별!$E$3:$E$2984,"95",데이터_품목별!$A$3:$A$2984,"2025.07")</f>
        <v>224436</v>
      </c>
      <c r="V199" s="55" t="n">
        <f aca="false">SUMIFS(데이터_품목별!$J$3:$J$2984,데이터_품목별!$E$3:$E$2984,"95",데이터_품목별!$A$3:$A$2984,"2025.08")</f>
        <v>217442</v>
      </c>
      <c r="W199" s="55" t="n">
        <f aca="false">SUMIFS(데이터_품목별!$J$3:$J$2984,데이터_품목별!$E$3:$E$2984,"95",데이터_품목별!$A$3:$A$2984,"2025.09")</f>
        <v>256661</v>
      </c>
      <c r="X199" s="55" t="n">
        <f aca="false">SUMIFS(데이터_품목별!$J$3:$J$2984,데이터_품목별!$E$3:$E$2984,"95",데이터_품목별!$A$3:$A$2984,"2025.10")</f>
        <v>225187</v>
      </c>
      <c r="Y199" s="55" t="n">
        <f aca="false">SUMIFS(데이터_품목별!$J$3:$J$2984,데이터_품목별!$E$3:$E$2984,"95",데이터_품목별!$A$3:$A$2984,"2025.11")</f>
        <v>241512</v>
      </c>
      <c r="Z199" s="55" t="n">
        <f aca="false">SUMIFS(데이터_품목별!$J$3:$J$2984,데이터_품목별!$E$3:$E$2984,"95",데이터_품목별!$A$3:$A$2984,"2025.12")</f>
        <v>267603</v>
      </c>
      <c r="AA199" s="55" t="n">
        <f aca="false">SUMIFS(데이터_품목별!$J$3:$J$2984,데이터_품목별!$E$3:$E$2984,"95",데이터_품목별!$A$3:$A$2984,"2026.01")</f>
        <v>219646</v>
      </c>
      <c r="AB199" s="55" t="n">
        <f aca="false">SUMIFS(데이터_품목별!$J$3:$J$2984,데이터_품목별!$E$3:$E$2984,"95",데이터_품목별!$A$3:$A$2984,"2026.02")</f>
        <v>203387</v>
      </c>
      <c r="AC199" s="55" t="n">
        <f aca="false">SUMIFS(데이터_품목별!$J$3:$J$2984,데이터_품목별!$E$3:$E$2984,"95",데이터_품목별!$A$3:$A$2984,"2026.03")</f>
        <v>204360</v>
      </c>
      <c r="AD199" s="55" t="n">
        <f aca="false">SUMIFS(데이터_품목별!$J$3:$J$2984,데이터_품목별!$E$3:$E$2984,"95",데이터_품목별!$A$3:$A$2984,"2026.04")</f>
        <v>258194</v>
      </c>
      <c r="AE199" s="55" t="n">
        <f aca="false">SUMIFS(데이터_품목별!$J$3:$J$2984,데이터_품목별!$E$3:$E$2984,"95",데이터_품목별!$A$3:$A$2984,"2026.05")</f>
        <v>199712</v>
      </c>
      <c r="AF199" s="55" t="n">
        <f aca="false">SUMIFS(데이터_품목별!$J$3:$J$2984,데이터_품목별!$E$3:$E$2984,"95",데이터_품목별!$A$3:$A$2984,"2026.06")</f>
        <v>247621</v>
      </c>
      <c r="AG199" s="55" t="n">
        <f aca="false">SUMIFS(데이터_품목별!$J$3:$J$2984,데이터_품목별!$E$3:$E$2984,"95",데이터_품목별!$A$3:$A$2984,"2026.07")</f>
        <v>247902</v>
      </c>
    </row>
    <row r="200" customFormat="false" ht="15" hidden="false" customHeight="true" outlineLevel="0" collapsed="false">
      <c r="A200" s="53" t="s">
        <v>1002</v>
      </c>
      <c r="B200" s="54" t="s">
        <v>1003</v>
      </c>
      <c r="C200" s="55" t="n">
        <f aca="false">SUMIFS(데이터_품목별!$J$3:$J$2984,데이터_품목별!$E$3:$E$2984,"96",데이터_품목별!$A$3:$A$2984,"2024.01")</f>
        <v>101386</v>
      </c>
      <c r="D200" s="55" t="n">
        <f aca="false">SUMIFS(데이터_품목별!$J$3:$J$2984,데이터_품목별!$E$3:$E$2984,"96",데이터_품목별!$A$3:$A$2984,"2024.02")</f>
        <v>69462</v>
      </c>
      <c r="E200" s="55" t="n">
        <f aca="false">SUMIFS(데이터_품목별!$J$3:$J$2984,데이터_품목별!$E$3:$E$2984,"96",데이터_품목별!$A$3:$A$2984,"2024.03")</f>
        <v>81673</v>
      </c>
      <c r="F200" s="55" t="n">
        <f aca="false">SUMIFS(데이터_품목별!$J$3:$J$2984,데이터_품목별!$E$3:$E$2984,"96",데이터_품목별!$A$3:$A$2984,"2024.04")</f>
        <v>105746</v>
      </c>
      <c r="G200" s="55" t="n">
        <f aca="false">SUMIFS(데이터_품목별!$J$3:$J$2984,데이터_품목별!$E$3:$E$2984,"96",데이터_품목별!$A$3:$A$2984,"2024.05")</f>
        <v>100757</v>
      </c>
      <c r="H200" s="55" t="n">
        <f aca="false">SUMIFS(데이터_품목별!$J$3:$J$2984,데이터_품목별!$E$3:$E$2984,"96",데이터_품목별!$A$3:$A$2984,"2024.06")</f>
        <v>92300</v>
      </c>
      <c r="I200" s="55" t="n">
        <f aca="false">SUMIFS(데이터_품목별!$J$3:$J$2984,데이터_품목별!$E$3:$E$2984,"96",데이터_품목별!$A$3:$A$2984,"2024.07")</f>
        <v>99992</v>
      </c>
      <c r="J200" s="55" t="n">
        <f aca="false">SUMIFS(데이터_품목별!$J$3:$J$2984,데이터_품목별!$E$3:$E$2984,"96",데이터_품목별!$A$3:$A$2984,"2024.08")</f>
        <v>89851</v>
      </c>
      <c r="K200" s="55" t="n">
        <f aca="false">SUMIFS(데이터_품목별!$J$3:$J$2984,데이터_품목별!$E$3:$E$2984,"96",데이터_품목별!$A$3:$A$2984,"2024.09")</f>
        <v>91404</v>
      </c>
      <c r="L200" s="55" t="n">
        <f aca="false">SUMIFS(데이터_품목별!$J$3:$J$2984,데이터_품목별!$E$3:$E$2984,"96",데이터_품목별!$A$3:$A$2984,"2024.10")</f>
        <v>95507</v>
      </c>
      <c r="M200" s="55" t="n">
        <f aca="false">SUMIFS(데이터_품목별!$J$3:$J$2984,데이터_품목별!$E$3:$E$2984,"96",데이터_품목별!$A$3:$A$2984,"2024.11")</f>
        <v>87701</v>
      </c>
      <c r="N200" s="55" t="n">
        <f aca="false">SUMIFS(데이터_품목별!$J$3:$J$2984,데이터_품목별!$E$3:$E$2984,"96",데이터_품목별!$A$3:$A$2984,"2024.12")</f>
        <v>101348</v>
      </c>
      <c r="O200" s="55" t="n">
        <f aca="false">SUMIFS(데이터_품목별!$J$3:$J$2984,데이터_품목별!$E$3:$E$2984,"96",데이터_품목별!$A$3:$A$2984,"2025.01")</f>
        <v>93112</v>
      </c>
      <c r="P200" s="55" t="n">
        <f aca="false">SUMIFS(데이터_품목별!$J$3:$J$2984,데이터_품목별!$E$3:$E$2984,"96",데이터_품목별!$A$3:$A$2984,"2025.02")</f>
        <v>78911</v>
      </c>
      <c r="Q200" s="55" t="n">
        <f aca="false">SUMIFS(데이터_품목별!$J$3:$J$2984,데이터_품목별!$E$3:$E$2984,"96",데이터_품목별!$A$3:$A$2984,"2025.03")</f>
        <v>92614</v>
      </c>
      <c r="R200" s="55" t="n">
        <f aca="false">SUMIFS(데이터_품목별!$J$3:$J$2984,데이터_품목별!$E$3:$E$2984,"96",데이터_품목별!$A$3:$A$2984,"2025.04")</f>
        <v>104286</v>
      </c>
      <c r="S200" s="55" t="n">
        <f aca="false">SUMIFS(데이터_품목별!$J$3:$J$2984,데이터_품목별!$E$3:$E$2984,"96",데이터_품목별!$A$3:$A$2984,"2025.05")</f>
        <v>92766</v>
      </c>
      <c r="T200" s="55" t="n">
        <f aca="false">SUMIFS(데이터_품목별!$J$3:$J$2984,데이터_품목별!$E$3:$E$2984,"96",데이터_품목별!$A$3:$A$2984,"2025.06")</f>
        <v>95658</v>
      </c>
      <c r="U200" s="55" t="n">
        <f aca="false">SUMIFS(데이터_품목별!$J$3:$J$2984,데이터_품목별!$E$3:$E$2984,"96",데이터_품목별!$A$3:$A$2984,"2025.07")</f>
        <v>92588</v>
      </c>
      <c r="V200" s="55" t="n">
        <f aca="false">SUMIFS(데이터_품목별!$J$3:$J$2984,데이터_품목별!$E$3:$E$2984,"96",데이터_품목별!$A$3:$A$2984,"2025.08")</f>
        <v>86247</v>
      </c>
      <c r="W200" s="55" t="n">
        <f aca="false">SUMIFS(데이터_품목별!$J$3:$J$2984,데이터_품목별!$E$3:$E$2984,"96",데이터_품목별!$A$3:$A$2984,"2025.09")</f>
        <v>91262</v>
      </c>
      <c r="X200" s="55" t="n">
        <f aca="false">SUMIFS(데이터_품목별!$J$3:$J$2984,데이터_품목별!$E$3:$E$2984,"96",데이터_품목별!$A$3:$A$2984,"2025.10")</f>
        <v>81568</v>
      </c>
      <c r="Y200" s="55" t="n">
        <f aca="false">SUMIFS(데이터_품목별!$J$3:$J$2984,데이터_품목별!$E$3:$E$2984,"96",데이터_품목별!$A$3:$A$2984,"2025.11")</f>
        <v>84149</v>
      </c>
      <c r="Z200" s="55" t="n">
        <f aca="false">SUMIFS(데이터_품목별!$J$3:$J$2984,데이터_품목별!$E$3:$E$2984,"96",데이터_품목별!$A$3:$A$2984,"2025.12")</f>
        <v>104780</v>
      </c>
      <c r="AA200" s="55" t="n">
        <f aca="false">SUMIFS(데이터_품목별!$J$3:$J$2984,데이터_품목별!$E$3:$E$2984,"96",데이터_품목별!$A$3:$A$2984,"2026.01")</f>
        <v>97801</v>
      </c>
      <c r="AB200" s="55" t="n">
        <f aca="false">SUMIFS(데이터_품목별!$J$3:$J$2984,데이터_품목별!$E$3:$E$2984,"96",데이터_품목별!$A$3:$A$2984,"2026.02")</f>
        <v>83219</v>
      </c>
      <c r="AC200" s="55" t="n">
        <f aca="false">SUMIFS(데이터_품목별!$J$3:$J$2984,데이터_품목별!$E$3:$E$2984,"96",데이터_품목별!$A$3:$A$2984,"2026.03")</f>
        <v>93701</v>
      </c>
      <c r="AD200" s="55" t="n">
        <f aca="false">SUMIFS(데이터_품목별!$J$3:$J$2984,데이터_품목별!$E$3:$E$2984,"96",데이터_품목별!$A$3:$A$2984,"2026.04")</f>
        <v>109145</v>
      </c>
      <c r="AE200" s="55" t="n">
        <f aca="false">SUMIFS(데이터_품목별!$J$3:$J$2984,데이터_품목별!$E$3:$E$2984,"96",데이터_품목별!$A$3:$A$2984,"2026.05")</f>
        <v>100258</v>
      </c>
      <c r="AF200" s="55" t="n">
        <f aca="false">SUMIFS(데이터_품목별!$J$3:$J$2984,데이터_품목별!$E$3:$E$2984,"96",데이터_품목별!$A$3:$A$2984,"2026.06")</f>
        <v>105123</v>
      </c>
      <c r="AG200" s="55" t="n">
        <f aca="false">SUMIFS(데이터_품목별!$J$3:$J$2984,데이터_품목별!$E$3:$E$2984,"96",데이터_품목별!$A$3:$A$2984,"2026.07")</f>
        <v>101761</v>
      </c>
    </row>
    <row r="201" customFormat="false" ht="15" hidden="false" customHeight="true" outlineLevel="0" collapsed="false">
      <c r="A201" s="53" t="s">
        <v>1009</v>
      </c>
      <c r="B201" s="54" t="s">
        <v>1010</v>
      </c>
      <c r="C201" s="55" t="n">
        <f aca="false">SUMIFS(데이터_품목별!$J$3:$J$2984,데이터_품목별!$E$3:$E$2984,"97",데이터_품목별!$A$3:$A$2984,"2024.01")</f>
        <v>23407</v>
      </c>
      <c r="D201" s="55" t="n">
        <f aca="false">SUMIFS(데이터_품목별!$J$3:$J$2984,데이터_품목별!$E$3:$E$2984,"97",데이터_품목별!$A$3:$A$2984,"2024.02")</f>
        <v>48163</v>
      </c>
      <c r="E201" s="55" t="n">
        <f aca="false">SUMIFS(데이터_품목별!$J$3:$J$2984,데이터_품목별!$E$3:$E$2984,"97",데이터_품목별!$A$3:$A$2984,"2024.03")</f>
        <v>29600</v>
      </c>
      <c r="F201" s="55" t="n">
        <f aca="false">SUMIFS(데이터_품목별!$J$3:$J$2984,데이터_품목별!$E$3:$E$2984,"97",데이터_품목별!$A$3:$A$2984,"2024.04")</f>
        <v>43974</v>
      </c>
      <c r="G201" s="55" t="n">
        <f aca="false">SUMIFS(데이터_품목별!$J$3:$J$2984,데이터_품목별!$E$3:$E$2984,"97",데이터_품목별!$A$3:$A$2984,"2024.05")</f>
        <v>45200</v>
      </c>
      <c r="H201" s="55" t="n">
        <f aca="false">SUMIFS(데이터_품목별!$J$3:$J$2984,데이터_품목별!$E$3:$E$2984,"97",데이터_품목별!$A$3:$A$2984,"2024.06")</f>
        <v>36447</v>
      </c>
      <c r="I201" s="55" t="n">
        <f aca="false">SUMIFS(데이터_품목별!$J$3:$J$2984,데이터_품목별!$E$3:$E$2984,"97",데이터_품목별!$A$3:$A$2984,"2024.07")</f>
        <v>41315</v>
      </c>
      <c r="J201" s="55" t="n">
        <f aca="false">SUMIFS(데이터_품목별!$J$3:$J$2984,데이터_품목별!$E$3:$E$2984,"97",데이터_품목별!$A$3:$A$2984,"2024.08")</f>
        <v>92881</v>
      </c>
      <c r="K201" s="55" t="n">
        <f aca="false">SUMIFS(데이터_품목별!$J$3:$J$2984,데이터_품목별!$E$3:$E$2984,"97",데이터_품목별!$A$3:$A$2984,"2024.09")</f>
        <v>19906</v>
      </c>
      <c r="L201" s="55" t="n">
        <f aca="false">SUMIFS(데이터_품목별!$J$3:$J$2984,데이터_품목별!$E$3:$E$2984,"97",데이터_품목별!$A$3:$A$2984,"2024.10")</f>
        <v>21506</v>
      </c>
      <c r="M201" s="55" t="n">
        <f aca="false">SUMIFS(데이터_품목별!$J$3:$J$2984,데이터_품목별!$E$3:$E$2984,"97",데이터_품목별!$A$3:$A$2984,"2024.11")</f>
        <v>30589</v>
      </c>
      <c r="N201" s="55" t="n">
        <f aca="false">SUMIFS(데이터_품목별!$J$3:$J$2984,데이터_품목별!$E$3:$E$2984,"97",데이터_품목별!$A$3:$A$2984,"2024.12")</f>
        <v>45097</v>
      </c>
      <c r="O201" s="55" t="n">
        <f aca="false">SUMIFS(데이터_품목별!$J$3:$J$2984,데이터_품목별!$E$3:$E$2984,"97",데이터_품목별!$A$3:$A$2984,"2025.01")</f>
        <v>12363</v>
      </c>
      <c r="P201" s="55" t="n">
        <f aca="false">SUMIFS(데이터_품목별!$J$3:$J$2984,데이터_품목별!$E$3:$E$2984,"97",데이터_품목별!$A$3:$A$2984,"2025.02")</f>
        <v>28371</v>
      </c>
      <c r="Q201" s="55" t="n">
        <f aca="false">SUMIFS(데이터_품목별!$J$3:$J$2984,데이터_품목별!$E$3:$E$2984,"97",데이터_품목별!$A$3:$A$2984,"2025.03")</f>
        <v>41298</v>
      </c>
      <c r="R201" s="55" t="n">
        <f aca="false">SUMIFS(데이터_품목별!$J$3:$J$2984,데이터_품목별!$E$3:$E$2984,"97",데이터_품목별!$A$3:$A$2984,"2025.04")</f>
        <v>30824</v>
      </c>
      <c r="S201" s="55" t="n">
        <f aca="false">SUMIFS(데이터_품목별!$J$3:$J$2984,데이터_품목별!$E$3:$E$2984,"97",데이터_품목별!$A$3:$A$2984,"2025.05")</f>
        <v>53318</v>
      </c>
      <c r="T201" s="55" t="n">
        <f aca="false">SUMIFS(데이터_품목별!$J$3:$J$2984,데이터_품목별!$E$3:$E$2984,"97",데이터_품목별!$A$3:$A$2984,"2025.06")</f>
        <v>24777</v>
      </c>
      <c r="U201" s="55" t="n">
        <f aca="false">SUMIFS(데이터_품목별!$J$3:$J$2984,데이터_품목별!$E$3:$E$2984,"97",데이터_품목별!$A$3:$A$2984,"2025.07")</f>
        <v>22456</v>
      </c>
      <c r="V201" s="55" t="n">
        <f aca="false">SUMIFS(데이터_품목별!$J$3:$J$2984,데이터_품목별!$E$3:$E$2984,"97",데이터_품목별!$A$3:$A$2984,"2025.08")</f>
        <v>83888</v>
      </c>
      <c r="W201" s="55" t="n">
        <f aca="false">SUMIFS(데이터_품목별!$J$3:$J$2984,데이터_품목별!$E$3:$E$2984,"97",데이터_품목별!$A$3:$A$2984,"2025.09")</f>
        <v>32486</v>
      </c>
      <c r="X201" s="55" t="n">
        <f aca="false">SUMIFS(데이터_품목별!$J$3:$J$2984,데이터_품목별!$E$3:$E$2984,"97",데이터_품목별!$A$3:$A$2984,"2025.10")</f>
        <v>23085</v>
      </c>
      <c r="Y201" s="55" t="n">
        <f aca="false">SUMIFS(데이터_품목별!$J$3:$J$2984,데이터_품목별!$E$3:$E$2984,"97",데이터_품목별!$A$3:$A$2984,"2025.11")</f>
        <v>44623</v>
      </c>
      <c r="Z201" s="55" t="n">
        <f aca="false">SUMIFS(데이터_품목별!$J$3:$J$2984,데이터_품목별!$E$3:$E$2984,"97",데이터_품목별!$A$3:$A$2984,"2025.12")</f>
        <v>15865</v>
      </c>
      <c r="AA201" s="55" t="n">
        <f aca="false">SUMIFS(데이터_품목별!$J$3:$J$2984,데이터_품목별!$E$3:$E$2984,"97",데이터_품목별!$A$3:$A$2984,"2026.01")</f>
        <v>21125</v>
      </c>
      <c r="AB201" s="55" t="n">
        <f aca="false">SUMIFS(데이터_품목별!$J$3:$J$2984,데이터_품목별!$E$3:$E$2984,"97",데이터_품목별!$A$3:$A$2984,"2026.02")</f>
        <v>22861</v>
      </c>
      <c r="AC201" s="55" t="n">
        <f aca="false">SUMIFS(데이터_품목별!$J$3:$J$2984,데이터_품목별!$E$3:$E$2984,"97",데이터_품목별!$A$3:$A$2984,"2026.03")</f>
        <v>51607</v>
      </c>
      <c r="AD201" s="55" t="n">
        <f aca="false">SUMIFS(데이터_품목별!$J$3:$J$2984,데이터_품목별!$E$3:$E$2984,"97",데이터_품목별!$A$3:$A$2984,"2026.04")</f>
        <v>24153</v>
      </c>
      <c r="AE201" s="55" t="n">
        <f aca="false">SUMIFS(데이터_품목별!$J$3:$J$2984,데이터_품목별!$E$3:$E$2984,"97",데이터_품목별!$A$3:$A$2984,"2026.05")</f>
        <v>24632</v>
      </c>
      <c r="AF201" s="55" t="n">
        <f aca="false">SUMIFS(데이터_품목별!$J$3:$J$2984,데이터_품목별!$E$3:$E$2984,"97",데이터_품목별!$A$3:$A$2984,"2026.06")</f>
        <v>29719</v>
      </c>
      <c r="AG201" s="55" t="n">
        <f aca="false">SUMIFS(데이터_품목별!$J$3:$J$2984,데이터_품목별!$E$3:$E$2984,"97",데이터_품목별!$A$3:$A$2984,"2026.07")</f>
        <v>20791</v>
      </c>
    </row>
    <row r="202" customFormat="false" ht="15" hidden="false" customHeight="true" outlineLevel="0" collapsed="false">
      <c r="A202" s="53" t="s">
        <v>1016</v>
      </c>
      <c r="B202" s="54" t="s">
        <v>1017</v>
      </c>
      <c r="C202" s="55" t="n">
        <f aca="false">SUMIFS(데이터_품목별!$J$3:$J$2984,데이터_품목별!$E$3:$E$2984,"99",데이터_품목별!$A$3:$A$2984,"2024.01")</f>
        <v>0</v>
      </c>
      <c r="D202" s="55" t="n">
        <f aca="false">SUMIFS(데이터_품목별!$J$3:$J$2984,데이터_품목별!$E$3:$E$2984,"99",데이터_품목별!$A$3:$A$2984,"2024.02")</f>
        <v>0</v>
      </c>
      <c r="E202" s="55" t="n">
        <f aca="false">SUMIFS(데이터_품목별!$J$3:$J$2984,데이터_품목별!$E$3:$E$2984,"99",데이터_품목별!$A$3:$A$2984,"2024.03")</f>
        <v>0</v>
      </c>
      <c r="F202" s="55" t="n">
        <f aca="false">SUMIFS(데이터_품목별!$J$3:$J$2984,데이터_품목별!$E$3:$E$2984,"99",데이터_품목별!$A$3:$A$2984,"2024.04")</f>
        <v>0</v>
      </c>
      <c r="G202" s="55" t="n">
        <f aca="false">SUMIFS(데이터_품목별!$J$3:$J$2984,데이터_품목별!$E$3:$E$2984,"99",데이터_품목별!$A$3:$A$2984,"2024.05")</f>
        <v>0</v>
      </c>
      <c r="H202" s="55" t="n">
        <f aca="false">SUMIFS(데이터_품목별!$J$3:$J$2984,데이터_품목별!$E$3:$E$2984,"99",데이터_품목별!$A$3:$A$2984,"2024.06")</f>
        <v>0</v>
      </c>
      <c r="I202" s="55" t="n">
        <f aca="false">SUMIFS(데이터_품목별!$J$3:$J$2984,데이터_품목별!$E$3:$E$2984,"99",데이터_품목별!$A$3:$A$2984,"2024.07")</f>
        <v>0</v>
      </c>
      <c r="J202" s="55" t="n">
        <f aca="false">SUMIFS(데이터_품목별!$J$3:$J$2984,데이터_품목별!$E$3:$E$2984,"99",데이터_품목별!$A$3:$A$2984,"2024.08")</f>
        <v>0</v>
      </c>
      <c r="K202" s="55" t="n">
        <f aca="false">SUMIFS(데이터_품목별!$J$3:$J$2984,데이터_품목별!$E$3:$E$2984,"99",데이터_품목별!$A$3:$A$2984,"2024.09")</f>
        <v>0</v>
      </c>
      <c r="L202" s="55" t="n">
        <f aca="false">SUMIFS(데이터_품목별!$J$3:$J$2984,데이터_품목별!$E$3:$E$2984,"99",데이터_품목별!$A$3:$A$2984,"2024.10")</f>
        <v>0</v>
      </c>
      <c r="M202" s="55" t="n">
        <f aca="false">SUMIFS(데이터_품목별!$J$3:$J$2984,데이터_품목별!$E$3:$E$2984,"99",데이터_품목별!$A$3:$A$2984,"2024.11")</f>
        <v>0</v>
      </c>
      <c r="N202" s="55" t="n">
        <f aca="false">SUMIFS(데이터_품목별!$J$3:$J$2984,데이터_품목별!$E$3:$E$2984,"99",데이터_품목별!$A$3:$A$2984,"2024.12")</f>
        <v>0</v>
      </c>
      <c r="O202" s="55" t="n">
        <f aca="false">SUMIFS(데이터_품목별!$J$3:$J$2984,데이터_품목별!$E$3:$E$2984,"99",데이터_품목별!$A$3:$A$2984,"2025.01")</f>
        <v>0</v>
      </c>
      <c r="P202" s="55" t="n">
        <f aca="false">SUMIFS(데이터_품목별!$J$3:$J$2984,데이터_품목별!$E$3:$E$2984,"99",데이터_품목별!$A$3:$A$2984,"2025.02")</f>
        <v>0</v>
      </c>
      <c r="Q202" s="55" t="n">
        <f aca="false">SUMIFS(데이터_품목별!$J$3:$J$2984,데이터_품목별!$E$3:$E$2984,"99",데이터_품목별!$A$3:$A$2984,"2025.03")</f>
        <v>0</v>
      </c>
      <c r="R202" s="55" t="n">
        <f aca="false">SUMIFS(데이터_품목별!$J$3:$J$2984,데이터_품목별!$E$3:$E$2984,"99",데이터_품목별!$A$3:$A$2984,"2025.04")</f>
        <v>0</v>
      </c>
      <c r="S202" s="55" t="n">
        <f aca="false">SUMIFS(데이터_품목별!$J$3:$J$2984,데이터_품목별!$E$3:$E$2984,"99",데이터_품목별!$A$3:$A$2984,"2025.05")</f>
        <v>0</v>
      </c>
      <c r="T202" s="55" t="n">
        <f aca="false">SUMIFS(데이터_품목별!$J$3:$J$2984,데이터_품목별!$E$3:$E$2984,"99",데이터_품목별!$A$3:$A$2984,"2025.06")</f>
        <v>0</v>
      </c>
      <c r="U202" s="55" t="n">
        <f aca="false">SUMIFS(데이터_품목별!$J$3:$J$2984,데이터_품목별!$E$3:$E$2984,"99",데이터_품목별!$A$3:$A$2984,"2025.07")</f>
        <v>0</v>
      </c>
      <c r="V202" s="55" t="n">
        <f aca="false">SUMIFS(데이터_품목별!$J$3:$J$2984,데이터_품목별!$E$3:$E$2984,"99",데이터_품목별!$A$3:$A$2984,"2025.08")</f>
        <v>0</v>
      </c>
      <c r="W202" s="55" t="n">
        <f aca="false">SUMIFS(데이터_품목별!$J$3:$J$2984,데이터_품목별!$E$3:$E$2984,"99",데이터_품목별!$A$3:$A$2984,"2025.09")</f>
        <v>0</v>
      </c>
      <c r="X202" s="55" t="n">
        <f aca="false">SUMIFS(데이터_품목별!$J$3:$J$2984,데이터_품목별!$E$3:$E$2984,"99",데이터_품목별!$A$3:$A$2984,"2025.10")</f>
        <v>0</v>
      </c>
      <c r="Y202" s="55" t="n">
        <f aca="false">SUMIFS(데이터_품목별!$J$3:$J$2984,데이터_품목별!$E$3:$E$2984,"99",데이터_품목별!$A$3:$A$2984,"2025.11")</f>
        <v>0</v>
      </c>
      <c r="Z202" s="55" t="n">
        <f aca="false">SUMIFS(데이터_품목별!$J$3:$J$2984,데이터_품목별!$E$3:$E$2984,"99",데이터_품목별!$A$3:$A$2984,"2025.12")</f>
        <v>0</v>
      </c>
      <c r="AA202" s="55" t="n">
        <f aca="false">SUMIFS(데이터_품목별!$J$3:$J$2984,데이터_품목별!$E$3:$E$2984,"99",데이터_품목별!$A$3:$A$2984,"2026.01")</f>
        <v>0</v>
      </c>
      <c r="AB202" s="55" t="n">
        <f aca="false">SUMIFS(데이터_품목별!$J$3:$J$2984,데이터_품목별!$E$3:$E$2984,"99",데이터_품목별!$A$3:$A$2984,"2026.02")</f>
        <v>0</v>
      </c>
      <c r="AC202" s="55" t="n">
        <f aca="false">SUMIFS(데이터_품목별!$J$3:$J$2984,데이터_품목별!$E$3:$E$2984,"99",데이터_품목별!$A$3:$A$2984,"2026.03")</f>
        <v>0</v>
      </c>
      <c r="AD202" s="55" t="n">
        <f aca="false">SUMIFS(데이터_품목별!$J$3:$J$2984,데이터_품목별!$E$3:$E$2984,"99",데이터_품목별!$A$3:$A$2984,"2026.04")</f>
        <v>0</v>
      </c>
      <c r="AE202" s="55" t="n">
        <f aca="false">SUMIFS(데이터_품목별!$J$3:$J$2984,데이터_품목별!$E$3:$E$2984,"99",데이터_품목별!$A$3:$A$2984,"2026.05")</f>
        <v>0</v>
      </c>
      <c r="AF202" s="55" t="n">
        <f aca="false">SUMIFS(데이터_품목별!$J$3:$J$2984,데이터_품목별!$E$3:$E$2984,"99",데이터_품목별!$A$3:$A$2984,"2026.06")</f>
        <v>0</v>
      </c>
      <c r="AG202" s="55" t="n">
        <f aca="false">SUMIFS(데이터_품목별!$J$3:$J$2984,데이터_품목별!$E$3:$E$2984,"99",데이터_품목별!$A$3:$A$2984,"2026.07")</f>
        <v>0</v>
      </c>
    </row>
    <row r="204" customFormat="false" ht="14.25" hidden="false" customHeight="true" outlineLevel="0" collapsed="false">
      <c r="A204" s="23" t="s">
        <v>19799</v>
      </c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customFormat="false" ht="15" hidden="false" customHeight="true" outlineLevel="0" collapsed="false">
      <c r="A205" s="5" t="s">
        <v>19797</v>
      </c>
      <c r="B205" s="5" t="s">
        <v>19663</v>
      </c>
      <c r="C205" s="44" t="s">
        <v>74</v>
      </c>
      <c r="D205" s="44" t="s">
        <v>83</v>
      </c>
      <c r="E205" s="44" t="s">
        <v>92</v>
      </c>
      <c r="F205" s="44" t="s">
        <v>101</v>
      </c>
      <c r="G205" s="44" t="s">
        <v>110</v>
      </c>
      <c r="H205" s="44" t="s">
        <v>119</v>
      </c>
      <c r="I205" s="44" t="s">
        <v>128</v>
      </c>
      <c r="J205" s="44" t="s">
        <v>137</v>
      </c>
      <c r="K205" s="44" t="s">
        <v>146</v>
      </c>
      <c r="L205" s="44" t="s">
        <v>155</v>
      </c>
      <c r="M205" s="44" t="s">
        <v>163</v>
      </c>
      <c r="N205" s="44" t="s">
        <v>171</v>
      </c>
      <c r="O205" s="44" t="s">
        <v>179</v>
      </c>
      <c r="P205" s="44" t="s">
        <v>187</v>
      </c>
      <c r="Q205" s="44" t="s">
        <v>195</v>
      </c>
      <c r="R205" s="44" t="s">
        <v>203</v>
      </c>
      <c r="S205" s="44" t="s">
        <v>211</v>
      </c>
      <c r="T205" s="44" t="s">
        <v>219</v>
      </c>
      <c r="U205" s="44" t="s">
        <v>228</v>
      </c>
      <c r="V205" s="44" t="s">
        <v>236</v>
      </c>
      <c r="W205" s="44" t="s">
        <v>244</v>
      </c>
      <c r="X205" s="44" t="s">
        <v>252</v>
      </c>
      <c r="Y205" s="44" t="s">
        <v>260</v>
      </c>
      <c r="Z205" s="44" t="s">
        <v>268</v>
      </c>
      <c r="AA205" s="44" t="s">
        <v>276</v>
      </c>
      <c r="AB205" s="44" t="s">
        <v>284</v>
      </c>
      <c r="AC205" s="44" t="s">
        <v>293</v>
      </c>
      <c r="AD205" s="44" t="s">
        <v>301</v>
      </c>
      <c r="AE205" s="44" t="s">
        <v>309</v>
      </c>
      <c r="AF205" s="44" t="s">
        <v>317</v>
      </c>
      <c r="AG205" s="44" t="s">
        <v>325</v>
      </c>
    </row>
    <row r="206" customFormat="false" ht="15" hidden="false" customHeight="true" outlineLevel="0" collapsed="false">
      <c r="A206" s="53" t="s">
        <v>19800</v>
      </c>
      <c r="B206" s="46" t="s">
        <v>19801</v>
      </c>
      <c r="C206" s="55" t="n">
        <f aca="false">SUMIFS(데이터_품목별!$H$3:$H$2984,데이터_품목별!$E$3:$E$2984,"01",데이터_품목별!$A$3:$A$2984,"2024.01")+SUMIFS(데이터_품목별!$H$3:$H$2984,데이터_품목별!$E$3:$E$2984,"02",데이터_품목별!$A$3:$A$2984,"2024.01")+SUMIFS(데이터_품목별!$H$3:$H$2984,데이터_품목별!$E$3:$E$2984,"03",데이터_품목별!$A$3:$A$2984,"2024.01")+SUMIFS(데이터_품목별!$H$3:$H$2984,데이터_품목별!$E$3:$E$2984,"04",데이터_품목별!$A$3:$A$2984,"2024.01")+SUMIFS(데이터_품목별!$H$3:$H$2984,데이터_품목별!$E$3:$E$2984,"05",데이터_품목별!$A$3:$A$2984,"2024.01")</f>
        <v>145608</v>
      </c>
      <c r="D206" s="55" t="n">
        <f aca="false">SUMIFS(데이터_품목별!$H$3:$H$2984,데이터_품목별!$E$3:$E$2984,"01",데이터_품목별!$A$3:$A$2984,"2024.02")+SUMIFS(데이터_품목별!$H$3:$H$2984,데이터_품목별!$E$3:$E$2984,"02",데이터_품목별!$A$3:$A$2984,"2024.02")+SUMIFS(데이터_품목별!$H$3:$H$2984,데이터_품목별!$E$3:$E$2984,"03",데이터_품목별!$A$3:$A$2984,"2024.02")+SUMIFS(데이터_품목별!$H$3:$H$2984,데이터_품목별!$E$3:$E$2984,"04",데이터_품목별!$A$3:$A$2984,"2024.02")+SUMIFS(데이터_품목별!$H$3:$H$2984,데이터_품목별!$E$3:$E$2984,"05",데이터_품목별!$A$3:$A$2984,"2024.02")</f>
        <v>143343</v>
      </c>
      <c r="E206" s="55" t="n">
        <f aca="false">SUMIFS(데이터_품목별!$H$3:$H$2984,데이터_품목별!$E$3:$E$2984,"01",데이터_품목별!$A$3:$A$2984,"2024.03")+SUMIFS(데이터_품목별!$H$3:$H$2984,데이터_품목별!$E$3:$E$2984,"02",데이터_품목별!$A$3:$A$2984,"2024.03")+SUMIFS(데이터_품목별!$H$3:$H$2984,데이터_품목별!$E$3:$E$2984,"03",데이터_품목별!$A$3:$A$2984,"2024.03")+SUMIFS(데이터_품목별!$H$3:$H$2984,데이터_품목별!$E$3:$E$2984,"04",데이터_품목별!$A$3:$A$2984,"2024.03")+SUMIFS(데이터_품목별!$H$3:$H$2984,데이터_품목별!$E$3:$E$2984,"05",데이터_품목별!$A$3:$A$2984,"2024.03")</f>
        <v>143080</v>
      </c>
      <c r="F206" s="55" t="n">
        <f aca="false">SUMIFS(데이터_품목별!$H$3:$H$2984,데이터_품목별!$E$3:$E$2984,"01",데이터_품목별!$A$3:$A$2984,"2024.04")+SUMIFS(데이터_품목별!$H$3:$H$2984,데이터_품목별!$E$3:$E$2984,"02",데이터_품목별!$A$3:$A$2984,"2024.04")+SUMIFS(데이터_품목별!$H$3:$H$2984,데이터_품목별!$E$3:$E$2984,"03",데이터_품목별!$A$3:$A$2984,"2024.04")+SUMIFS(데이터_품목별!$H$3:$H$2984,데이터_품목별!$E$3:$E$2984,"04",데이터_품목별!$A$3:$A$2984,"2024.04")+SUMIFS(데이터_품목별!$H$3:$H$2984,데이터_품목별!$E$3:$E$2984,"05",데이터_품목별!$A$3:$A$2984,"2024.04")</f>
        <v>178880</v>
      </c>
      <c r="G206" s="55" t="n">
        <f aca="false">SUMIFS(데이터_품목별!$H$3:$H$2984,데이터_품목별!$E$3:$E$2984,"01",데이터_품목별!$A$3:$A$2984,"2024.05")+SUMIFS(데이터_품목별!$H$3:$H$2984,데이터_품목별!$E$3:$E$2984,"02",데이터_품목별!$A$3:$A$2984,"2024.05")+SUMIFS(데이터_품목별!$H$3:$H$2984,데이터_품목별!$E$3:$E$2984,"03",데이터_품목별!$A$3:$A$2984,"2024.05")+SUMIFS(데이터_품목별!$H$3:$H$2984,데이터_품목별!$E$3:$E$2984,"04",데이터_품목별!$A$3:$A$2984,"2024.05")+SUMIFS(데이터_품목별!$H$3:$H$2984,데이터_품목별!$E$3:$E$2984,"05",데이터_품목별!$A$3:$A$2984,"2024.05")</f>
        <v>131088</v>
      </c>
      <c r="H206" s="55" t="n">
        <f aca="false">SUMIFS(데이터_품목별!$H$3:$H$2984,데이터_품목별!$E$3:$E$2984,"01",데이터_품목별!$A$3:$A$2984,"2024.06")+SUMIFS(데이터_품목별!$H$3:$H$2984,데이터_품목별!$E$3:$E$2984,"02",데이터_품목별!$A$3:$A$2984,"2024.06")+SUMIFS(데이터_품목별!$H$3:$H$2984,데이터_품목별!$E$3:$E$2984,"03",데이터_품목별!$A$3:$A$2984,"2024.06")+SUMIFS(데이터_품목별!$H$3:$H$2984,데이터_품목별!$E$3:$E$2984,"04",데이터_품목별!$A$3:$A$2984,"2024.06")+SUMIFS(데이터_품목별!$H$3:$H$2984,데이터_품목별!$E$3:$E$2984,"05",데이터_품목별!$A$3:$A$2984,"2024.06")</f>
        <v>127211</v>
      </c>
      <c r="I206" s="55" t="n">
        <f aca="false">SUMIFS(데이터_품목별!$H$3:$H$2984,데이터_품목별!$E$3:$E$2984,"01",데이터_품목별!$A$3:$A$2984,"2024.07")+SUMIFS(데이터_품목별!$H$3:$H$2984,데이터_품목별!$E$3:$E$2984,"02",데이터_품목별!$A$3:$A$2984,"2024.07")+SUMIFS(데이터_품목별!$H$3:$H$2984,데이터_품목별!$E$3:$E$2984,"03",데이터_품목별!$A$3:$A$2984,"2024.07")+SUMIFS(데이터_품목별!$H$3:$H$2984,데이터_품목별!$E$3:$E$2984,"04",데이터_품목별!$A$3:$A$2984,"2024.07")+SUMIFS(데이터_품목별!$H$3:$H$2984,데이터_품목별!$E$3:$E$2984,"05",데이터_품목별!$A$3:$A$2984,"2024.07")</f>
        <v>149067</v>
      </c>
      <c r="J206" s="55" t="n">
        <f aca="false">SUMIFS(데이터_품목별!$H$3:$H$2984,데이터_품목별!$E$3:$E$2984,"01",데이터_품목별!$A$3:$A$2984,"2024.08")+SUMIFS(데이터_품목별!$H$3:$H$2984,데이터_품목별!$E$3:$E$2984,"02",데이터_품목별!$A$3:$A$2984,"2024.08")+SUMIFS(데이터_품목별!$H$3:$H$2984,데이터_품목별!$E$3:$E$2984,"03",데이터_품목별!$A$3:$A$2984,"2024.08")+SUMIFS(데이터_품목별!$H$3:$H$2984,데이터_품목별!$E$3:$E$2984,"04",데이터_품목별!$A$3:$A$2984,"2024.08")+SUMIFS(데이터_품목별!$H$3:$H$2984,데이터_품목별!$E$3:$E$2984,"05",데이터_품목별!$A$3:$A$2984,"2024.08")</f>
        <v>142659</v>
      </c>
      <c r="K206" s="55" t="n">
        <f aca="false">SUMIFS(데이터_품목별!$H$3:$H$2984,데이터_품목별!$E$3:$E$2984,"01",데이터_품목별!$A$3:$A$2984,"2024.09")+SUMIFS(데이터_품목별!$H$3:$H$2984,데이터_품목별!$E$3:$E$2984,"02",데이터_품목별!$A$3:$A$2984,"2024.09")+SUMIFS(데이터_품목별!$H$3:$H$2984,데이터_품목별!$E$3:$E$2984,"03",데이터_품목별!$A$3:$A$2984,"2024.09")+SUMIFS(데이터_품목별!$H$3:$H$2984,데이터_품목별!$E$3:$E$2984,"04",데이터_품목별!$A$3:$A$2984,"2024.09")+SUMIFS(데이터_품목별!$H$3:$H$2984,데이터_품목별!$E$3:$E$2984,"05",데이터_품목별!$A$3:$A$2984,"2024.09")</f>
        <v>147188</v>
      </c>
      <c r="L206" s="55" t="n">
        <f aca="false">SUMIFS(데이터_품목별!$H$3:$H$2984,데이터_품목별!$E$3:$E$2984,"01",데이터_품목별!$A$3:$A$2984,"2024.10")+SUMIFS(데이터_품목별!$H$3:$H$2984,데이터_품목별!$E$3:$E$2984,"02",데이터_품목별!$A$3:$A$2984,"2024.10")+SUMIFS(데이터_품목별!$H$3:$H$2984,데이터_품목별!$E$3:$E$2984,"03",데이터_품목별!$A$3:$A$2984,"2024.10")+SUMIFS(데이터_품목별!$H$3:$H$2984,데이터_품목별!$E$3:$E$2984,"04",데이터_품목별!$A$3:$A$2984,"2024.10")+SUMIFS(데이터_품목별!$H$3:$H$2984,데이터_품목별!$E$3:$E$2984,"05",데이터_품목별!$A$3:$A$2984,"2024.10")</f>
        <v>193471</v>
      </c>
      <c r="M206" s="55" t="n">
        <f aca="false">SUMIFS(데이터_품목별!$H$3:$H$2984,데이터_품목별!$E$3:$E$2984,"01",데이터_품목별!$A$3:$A$2984,"2024.11")+SUMIFS(데이터_품목별!$H$3:$H$2984,데이터_품목별!$E$3:$E$2984,"02",데이터_품목별!$A$3:$A$2984,"2024.11")+SUMIFS(데이터_품목별!$H$3:$H$2984,데이터_품목별!$E$3:$E$2984,"03",데이터_품목별!$A$3:$A$2984,"2024.11")+SUMIFS(데이터_품목별!$H$3:$H$2984,데이터_품목별!$E$3:$E$2984,"04",데이터_품목별!$A$3:$A$2984,"2024.11")+SUMIFS(데이터_품목별!$H$3:$H$2984,데이터_품목별!$E$3:$E$2984,"05",데이터_품목별!$A$3:$A$2984,"2024.11")</f>
        <v>181635</v>
      </c>
      <c r="N206" s="55" t="n">
        <f aca="false">SUMIFS(데이터_품목별!$H$3:$H$2984,데이터_품목별!$E$3:$E$2984,"01",데이터_품목별!$A$3:$A$2984,"2024.12")+SUMIFS(데이터_품목별!$H$3:$H$2984,데이터_품목별!$E$3:$E$2984,"02",데이터_품목별!$A$3:$A$2984,"2024.12")+SUMIFS(데이터_품목별!$H$3:$H$2984,데이터_품목별!$E$3:$E$2984,"03",데이터_품목별!$A$3:$A$2984,"2024.12")+SUMIFS(데이터_품목별!$H$3:$H$2984,데이터_품목별!$E$3:$E$2984,"04",데이터_품목별!$A$3:$A$2984,"2024.12")+SUMIFS(데이터_품목별!$H$3:$H$2984,데이터_품목별!$E$3:$E$2984,"05",데이터_품목별!$A$3:$A$2984,"2024.12")</f>
        <v>160786</v>
      </c>
      <c r="O206" s="55" t="n">
        <f aca="false">SUMIFS(데이터_품목별!$H$3:$H$2984,데이터_품목별!$E$3:$E$2984,"01",데이터_품목별!$A$3:$A$2984,"2025.01")+SUMIFS(데이터_품목별!$H$3:$H$2984,데이터_품목별!$E$3:$E$2984,"02",데이터_품목별!$A$3:$A$2984,"2025.01")+SUMIFS(데이터_품목별!$H$3:$H$2984,데이터_품목별!$E$3:$E$2984,"03",데이터_품목별!$A$3:$A$2984,"2025.01")+SUMIFS(데이터_품목별!$H$3:$H$2984,데이터_품목별!$E$3:$E$2984,"04",데이터_품목별!$A$3:$A$2984,"2025.01")+SUMIFS(데이터_품목별!$H$3:$H$2984,데이터_품목별!$E$3:$E$2984,"05",데이터_품목별!$A$3:$A$2984,"2025.01")</f>
        <v>113843</v>
      </c>
      <c r="P206" s="55" t="n">
        <f aca="false">SUMIFS(데이터_품목별!$H$3:$H$2984,데이터_품목별!$E$3:$E$2984,"01",데이터_품목별!$A$3:$A$2984,"2025.02")+SUMIFS(데이터_품목별!$H$3:$H$2984,데이터_품목별!$E$3:$E$2984,"02",데이터_품목별!$A$3:$A$2984,"2025.02")+SUMIFS(데이터_품목별!$H$3:$H$2984,데이터_품목별!$E$3:$E$2984,"03",데이터_품목별!$A$3:$A$2984,"2025.02")+SUMIFS(데이터_품목별!$H$3:$H$2984,데이터_품목별!$E$3:$E$2984,"04",데이터_품목별!$A$3:$A$2984,"2025.02")+SUMIFS(데이터_품목별!$H$3:$H$2984,데이터_품목별!$E$3:$E$2984,"05",데이터_품목별!$A$3:$A$2984,"2025.02")</f>
        <v>164568</v>
      </c>
      <c r="Q206" s="55" t="n">
        <f aca="false">SUMIFS(데이터_품목별!$H$3:$H$2984,데이터_품목별!$E$3:$E$2984,"01",데이터_품목별!$A$3:$A$2984,"2025.03")+SUMIFS(데이터_품목별!$H$3:$H$2984,데이터_품목별!$E$3:$E$2984,"02",데이터_품목별!$A$3:$A$2984,"2025.03")+SUMIFS(데이터_품목별!$H$3:$H$2984,데이터_품목별!$E$3:$E$2984,"03",데이터_품목별!$A$3:$A$2984,"2025.03")+SUMIFS(데이터_품목별!$H$3:$H$2984,데이터_품목별!$E$3:$E$2984,"04",데이터_품목별!$A$3:$A$2984,"2025.03")+SUMIFS(데이터_품목별!$H$3:$H$2984,데이터_품목별!$E$3:$E$2984,"05",데이터_품목별!$A$3:$A$2984,"2025.03")</f>
        <v>162578</v>
      </c>
      <c r="R206" s="55" t="n">
        <f aca="false">SUMIFS(데이터_품목별!$H$3:$H$2984,데이터_품목별!$E$3:$E$2984,"01",데이터_품목별!$A$3:$A$2984,"2025.04")+SUMIFS(데이터_품목별!$H$3:$H$2984,데이터_품목별!$E$3:$E$2984,"02",데이터_품목별!$A$3:$A$2984,"2025.04")+SUMIFS(데이터_품목별!$H$3:$H$2984,데이터_품목별!$E$3:$E$2984,"03",데이터_품목별!$A$3:$A$2984,"2025.04")+SUMIFS(데이터_품목별!$H$3:$H$2984,데이터_품목별!$E$3:$E$2984,"04",데이터_품목별!$A$3:$A$2984,"2025.04")+SUMIFS(데이터_품목별!$H$3:$H$2984,데이터_품목별!$E$3:$E$2984,"05",데이터_품목별!$A$3:$A$2984,"2025.04")</f>
        <v>165778</v>
      </c>
      <c r="S206" s="55" t="n">
        <f aca="false">SUMIFS(데이터_품목별!$H$3:$H$2984,데이터_품목별!$E$3:$E$2984,"01",데이터_품목별!$A$3:$A$2984,"2025.05")+SUMIFS(데이터_품목별!$H$3:$H$2984,데이터_품목별!$E$3:$E$2984,"02",데이터_품목별!$A$3:$A$2984,"2025.05")+SUMIFS(데이터_품목별!$H$3:$H$2984,데이터_품목별!$E$3:$E$2984,"03",데이터_품목별!$A$3:$A$2984,"2025.05")+SUMIFS(데이터_품목별!$H$3:$H$2984,데이터_품목별!$E$3:$E$2984,"04",데이터_품목별!$A$3:$A$2984,"2025.05")+SUMIFS(데이터_품목별!$H$3:$H$2984,데이터_품목별!$E$3:$E$2984,"05",데이터_품목별!$A$3:$A$2984,"2025.05")</f>
        <v>156150</v>
      </c>
      <c r="T206" s="55" t="n">
        <f aca="false">SUMIFS(데이터_품목별!$H$3:$H$2984,데이터_품목별!$E$3:$E$2984,"01",데이터_품목별!$A$3:$A$2984,"2025.06")+SUMIFS(데이터_품목별!$H$3:$H$2984,데이터_품목별!$E$3:$E$2984,"02",데이터_품목별!$A$3:$A$2984,"2025.06")+SUMIFS(데이터_품목별!$H$3:$H$2984,데이터_품목별!$E$3:$E$2984,"03",데이터_품목별!$A$3:$A$2984,"2025.06")+SUMIFS(데이터_품목별!$H$3:$H$2984,데이터_품목별!$E$3:$E$2984,"04",데이터_품목별!$A$3:$A$2984,"2025.06")+SUMIFS(데이터_품목별!$H$3:$H$2984,데이터_품목별!$E$3:$E$2984,"05",데이터_품목별!$A$3:$A$2984,"2025.06")</f>
        <v>146342</v>
      </c>
      <c r="U206" s="55" t="n">
        <f aca="false">SUMIFS(데이터_품목별!$H$3:$H$2984,데이터_품목별!$E$3:$E$2984,"01",데이터_품목별!$A$3:$A$2984,"2025.07")+SUMIFS(데이터_품목별!$H$3:$H$2984,데이터_품목별!$E$3:$E$2984,"02",데이터_품목별!$A$3:$A$2984,"2025.07")+SUMIFS(데이터_품목별!$H$3:$H$2984,데이터_품목별!$E$3:$E$2984,"03",데이터_품목별!$A$3:$A$2984,"2025.07")+SUMIFS(데이터_품목별!$H$3:$H$2984,데이터_품목별!$E$3:$E$2984,"04",데이터_품목별!$A$3:$A$2984,"2025.07")+SUMIFS(데이터_품목별!$H$3:$H$2984,데이터_품목별!$E$3:$E$2984,"05",데이터_품목별!$A$3:$A$2984,"2025.07")</f>
        <v>177526</v>
      </c>
      <c r="V206" s="55" t="n">
        <f aca="false">SUMIFS(데이터_품목별!$H$3:$H$2984,데이터_품목별!$E$3:$E$2984,"01",데이터_품목별!$A$3:$A$2984,"2025.08")+SUMIFS(데이터_품목별!$H$3:$H$2984,데이터_품목별!$E$3:$E$2984,"02",데이터_품목별!$A$3:$A$2984,"2025.08")+SUMIFS(데이터_품목별!$H$3:$H$2984,데이터_품목별!$E$3:$E$2984,"03",데이터_품목별!$A$3:$A$2984,"2025.08")+SUMIFS(데이터_품목별!$H$3:$H$2984,데이터_품목별!$E$3:$E$2984,"04",데이터_품목별!$A$3:$A$2984,"2025.08")+SUMIFS(데이터_품목별!$H$3:$H$2984,데이터_품목별!$E$3:$E$2984,"05",데이터_품목별!$A$3:$A$2984,"2025.08")</f>
        <v>152372</v>
      </c>
      <c r="W206" s="55" t="n">
        <f aca="false">SUMIFS(데이터_품목별!$H$3:$H$2984,데이터_품목별!$E$3:$E$2984,"01",데이터_품목별!$A$3:$A$2984,"2025.09")+SUMIFS(데이터_품목별!$H$3:$H$2984,데이터_품목별!$E$3:$E$2984,"02",데이터_품목별!$A$3:$A$2984,"2025.09")+SUMIFS(데이터_품목별!$H$3:$H$2984,데이터_품목별!$E$3:$E$2984,"03",데이터_품목별!$A$3:$A$2984,"2025.09")+SUMIFS(데이터_품목별!$H$3:$H$2984,데이터_품목별!$E$3:$E$2984,"04",데이터_품목별!$A$3:$A$2984,"2025.09")+SUMIFS(데이터_품목별!$H$3:$H$2984,데이터_품목별!$E$3:$E$2984,"05",데이터_품목별!$A$3:$A$2984,"2025.09")</f>
        <v>196683</v>
      </c>
      <c r="X206" s="55" t="n">
        <f aca="false">SUMIFS(데이터_품목별!$H$3:$H$2984,데이터_품목별!$E$3:$E$2984,"01",데이터_품목별!$A$3:$A$2984,"2025.10")+SUMIFS(데이터_품목별!$H$3:$H$2984,데이터_품목별!$E$3:$E$2984,"02",데이터_품목별!$A$3:$A$2984,"2025.10")+SUMIFS(데이터_품목별!$H$3:$H$2984,데이터_품목별!$E$3:$E$2984,"03",데이터_품목별!$A$3:$A$2984,"2025.10")+SUMIFS(데이터_품목별!$H$3:$H$2984,데이터_품목별!$E$3:$E$2984,"04",데이터_품목별!$A$3:$A$2984,"2025.10")+SUMIFS(데이터_품목별!$H$3:$H$2984,데이터_품목별!$E$3:$E$2984,"05",데이터_품목별!$A$3:$A$2984,"2025.10")</f>
        <v>180452</v>
      </c>
      <c r="Y206" s="55" t="n">
        <f aca="false">SUMIFS(데이터_품목별!$H$3:$H$2984,데이터_품목별!$E$3:$E$2984,"01",데이터_품목별!$A$3:$A$2984,"2025.11")+SUMIFS(데이터_품목별!$H$3:$H$2984,데이터_품목별!$E$3:$E$2984,"02",데이터_품목별!$A$3:$A$2984,"2025.11")+SUMIFS(데이터_품목별!$H$3:$H$2984,데이터_품목별!$E$3:$E$2984,"03",데이터_품목별!$A$3:$A$2984,"2025.11")+SUMIFS(데이터_품목별!$H$3:$H$2984,데이터_품목별!$E$3:$E$2984,"04",데이터_품목별!$A$3:$A$2984,"2025.11")+SUMIFS(데이터_품목별!$H$3:$H$2984,데이터_품목별!$E$3:$E$2984,"05",데이터_품목별!$A$3:$A$2984,"2025.11")</f>
        <v>179232</v>
      </c>
      <c r="Z206" s="55" t="n">
        <f aca="false">SUMIFS(데이터_품목별!$H$3:$H$2984,데이터_품목별!$E$3:$E$2984,"01",데이터_품목별!$A$3:$A$2984,"2025.12")+SUMIFS(데이터_품목별!$H$3:$H$2984,데이터_품목별!$E$3:$E$2984,"02",데이터_품목별!$A$3:$A$2984,"2025.12")+SUMIFS(데이터_품목별!$H$3:$H$2984,데이터_품목별!$E$3:$E$2984,"03",데이터_품목별!$A$3:$A$2984,"2025.12")+SUMIFS(데이터_품목별!$H$3:$H$2984,데이터_품목별!$E$3:$E$2984,"04",데이터_품목별!$A$3:$A$2984,"2025.12")+SUMIFS(데이터_품목별!$H$3:$H$2984,데이터_품목별!$E$3:$E$2984,"05",데이터_품목별!$A$3:$A$2984,"2025.12")</f>
        <v>225934</v>
      </c>
      <c r="AA206" s="55" t="n">
        <f aca="false">SUMIFS(데이터_품목별!$H$3:$H$2984,데이터_품목별!$E$3:$E$2984,"01",데이터_품목별!$A$3:$A$2984,"2026.01")+SUMIFS(데이터_품목별!$H$3:$H$2984,데이터_품목별!$E$3:$E$2984,"02",데이터_품목별!$A$3:$A$2984,"2026.01")+SUMIFS(데이터_품목별!$H$3:$H$2984,데이터_품목별!$E$3:$E$2984,"03",데이터_품목별!$A$3:$A$2984,"2026.01")+SUMIFS(데이터_품목별!$H$3:$H$2984,데이터_품목별!$E$3:$E$2984,"04",데이터_품목별!$A$3:$A$2984,"2026.01")+SUMIFS(데이터_품목별!$H$3:$H$2984,데이터_품목별!$E$3:$E$2984,"05",데이터_품목별!$A$3:$A$2984,"2026.01")</f>
        <v>174989</v>
      </c>
      <c r="AB206" s="55" t="n">
        <f aca="false">SUMIFS(데이터_품목별!$H$3:$H$2984,데이터_품목별!$E$3:$E$2984,"01",데이터_품목별!$A$3:$A$2984,"2026.02")+SUMIFS(데이터_품목별!$H$3:$H$2984,데이터_품목별!$E$3:$E$2984,"02",데이터_품목별!$A$3:$A$2984,"2026.02")+SUMIFS(데이터_품목별!$H$3:$H$2984,데이터_품목별!$E$3:$E$2984,"03",데이터_품목별!$A$3:$A$2984,"2026.02")+SUMIFS(데이터_품목별!$H$3:$H$2984,데이터_품목별!$E$3:$E$2984,"04",데이터_품목별!$A$3:$A$2984,"2026.02")+SUMIFS(데이터_품목별!$H$3:$H$2984,데이터_품목별!$E$3:$E$2984,"05",데이터_품목별!$A$3:$A$2984,"2026.02")</f>
        <v>165540</v>
      </c>
      <c r="AC206" s="55" t="n">
        <f aca="false">SUMIFS(데이터_품목별!$H$3:$H$2984,데이터_품목별!$E$3:$E$2984,"01",데이터_품목별!$A$3:$A$2984,"2026.03")+SUMIFS(데이터_품목별!$H$3:$H$2984,데이터_품목별!$E$3:$E$2984,"02",데이터_품목별!$A$3:$A$2984,"2026.03")+SUMIFS(데이터_품목별!$H$3:$H$2984,데이터_품목별!$E$3:$E$2984,"03",데이터_품목별!$A$3:$A$2984,"2026.03")+SUMIFS(데이터_품목별!$H$3:$H$2984,데이터_품목별!$E$3:$E$2984,"04",데이터_품목별!$A$3:$A$2984,"2026.03")+SUMIFS(데이터_품목별!$H$3:$H$2984,데이터_품목별!$E$3:$E$2984,"05",데이터_품목별!$A$3:$A$2984,"2026.03")</f>
        <v>220948</v>
      </c>
      <c r="AD206" s="55" t="n">
        <f aca="false">SUMIFS(데이터_품목별!$H$3:$H$2984,데이터_품목별!$E$3:$E$2984,"01",데이터_품목별!$A$3:$A$2984,"2026.04")+SUMIFS(데이터_품목별!$H$3:$H$2984,데이터_품목별!$E$3:$E$2984,"02",데이터_품목별!$A$3:$A$2984,"2026.04")+SUMIFS(데이터_품목별!$H$3:$H$2984,데이터_품목별!$E$3:$E$2984,"03",데이터_품목별!$A$3:$A$2984,"2026.04")+SUMIFS(데이터_품목별!$H$3:$H$2984,데이터_품목별!$E$3:$E$2984,"04",데이터_품목별!$A$3:$A$2984,"2026.04")+SUMIFS(데이터_품목별!$H$3:$H$2984,데이터_품목별!$E$3:$E$2984,"05",데이터_품목별!$A$3:$A$2984,"2026.04")</f>
        <v>229035</v>
      </c>
      <c r="AE206" s="55" t="n">
        <f aca="false">SUMIFS(데이터_품목별!$H$3:$H$2984,데이터_품목별!$E$3:$E$2984,"01",데이터_품목별!$A$3:$A$2984,"2026.05")+SUMIFS(데이터_품목별!$H$3:$H$2984,데이터_품목별!$E$3:$E$2984,"02",데이터_품목별!$A$3:$A$2984,"2026.05")+SUMIFS(데이터_품목별!$H$3:$H$2984,데이터_품목별!$E$3:$E$2984,"03",데이터_품목별!$A$3:$A$2984,"2026.05")+SUMIFS(데이터_품목별!$H$3:$H$2984,데이터_품목별!$E$3:$E$2984,"04",데이터_품목별!$A$3:$A$2984,"2026.05")+SUMIFS(데이터_품목별!$H$3:$H$2984,데이터_품목별!$E$3:$E$2984,"05",데이터_품목별!$A$3:$A$2984,"2026.05")</f>
        <v>220790</v>
      </c>
      <c r="AF206" s="55" t="n">
        <f aca="false">SUMIFS(데이터_품목별!$H$3:$H$2984,데이터_품목별!$E$3:$E$2984,"01",데이터_품목별!$A$3:$A$2984,"2026.06")+SUMIFS(데이터_품목별!$H$3:$H$2984,데이터_품목별!$E$3:$E$2984,"02",데이터_품목별!$A$3:$A$2984,"2026.06")+SUMIFS(데이터_품목별!$H$3:$H$2984,데이터_품목별!$E$3:$E$2984,"03",데이터_품목별!$A$3:$A$2984,"2026.06")+SUMIFS(데이터_품목별!$H$3:$H$2984,데이터_품목별!$E$3:$E$2984,"04",데이터_품목별!$A$3:$A$2984,"2026.06")+SUMIFS(데이터_품목별!$H$3:$H$2984,데이터_품목별!$E$3:$E$2984,"05",데이터_품목별!$A$3:$A$2984,"2026.06")</f>
        <v>206310</v>
      </c>
      <c r="AG206" s="55" t="n">
        <f aca="false">SUMIFS(데이터_품목별!$H$3:$H$2984,데이터_품목별!$E$3:$E$2984,"01",데이터_품목별!$A$3:$A$2984,"2026.07")+SUMIFS(데이터_품목별!$H$3:$H$2984,데이터_품목별!$E$3:$E$2984,"02",데이터_품목별!$A$3:$A$2984,"2026.07")+SUMIFS(데이터_품목별!$H$3:$H$2984,데이터_품목별!$E$3:$E$2984,"03",데이터_품목별!$A$3:$A$2984,"2026.07")+SUMIFS(데이터_품목별!$H$3:$H$2984,데이터_품목별!$E$3:$E$2984,"04",데이터_품목별!$A$3:$A$2984,"2026.07")+SUMIFS(데이터_품목별!$H$3:$H$2984,데이터_품목별!$E$3:$E$2984,"05",데이터_품목별!$A$3:$A$2984,"2026.07")</f>
        <v>202996</v>
      </c>
    </row>
    <row r="207" customFormat="false" ht="15" hidden="false" customHeight="true" outlineLevel="0" collapsed="false">
      <c r="A207" s="53" t="s">
        <v>19802</v>
      </c>
      <c r="B207" s="46" t="s">
        <v>19803</v>
      </c>
      <c r="C207" s="55" t="n">
        <f aca="false">SUMIFS(데이터_품목별!$H$3:$H$2984,데이터_품목별!$E$3:$E$2984,"06",데이터_품목별!$A$3:$A$2984,"2024.01")+SUMIFS(데이터_품목별!$H$3:$H$2984,데이터_품목별!$E$3:$E$2984,"07",데이터_품목별!$A$3:$A$2984,"2024.01")+SUMIFS(데이터_품목별!$H$3:$H$2984,데이터_품목별!$E$3:$E$2984,"08",데이터_품목별!$A$3:$A$2984,"2024.01")+SUMIFS(데이터_품목별!$H$3:$H$2984,데이터_품목별!$E$3:$E$2984,"09",데이터_품목별!$A$3:$A$2984,"2024.01")+SUMIFS(데이터_품목별!$H$3:$H$2984,데이터_품목별!$E$3:$E$2984,"10",데이터_품목별!$A$3:$A$2984,"2024.01")+SUMIFS(데이터_품목별!$H$3:$H$2984,데이터_품목별!$E$3:$E$2984,"11",데이터_품목별!$A$3:$A$2984,"2024.01")+SUMIFS(데이터_품목별!$H$3:$H$2984,데이터_품목별!$E$3:$E$2984,"12",데이터_품목별!$A$3:$A$2984,"2024.01")+SUMIFS(데이터_품목별!$H$3:$H$2984,데이터_품목별!$E$3:$E$2984,"13",데이터_품목별!$A$3:$A$2984,"2024.01")+SUMIFS(데이터_품목별!$H$3:$H$2984,데이터_품목별!$E$3:$E$2984,"14",데이터_품목별!$A$3:$A$2984,"2024.01")</f>
        <v>101877</v>
      </c>
      <c r="D207" s="55" t="n">
        <f aca="false">SUMIFS(데이터_품목별!$H$3:$H$2984,데이터_품목별!$E$3:$E$2984,"06",데이터_품목별!$A$3:$A$2984,"2024.02")+SUMIFS(데이터_품목별!$H$3:$H$2984,데이터_품목별!$E$3:$E$2984,"07",데이터_품목별!$A$3:$A$2984,"2024.02")+SUMIFS(데이터_품목별!$H$3:$H$2984,데이터_품목별!$E$3:$E$2984,"08",데이터_품목별!$A$3:$A$2984,"2024.02")+SUMIFS(데이터_품목별!$H$3:$H$2984,데이터_품목별!$E$3:$E$2984,"09",데이터_품목별!$A$3:$A$2984,"2024.02")+SUMIFS(데이터_품목별!$H$3:$H$2984,데이터_품목별!$E$3:$E$2984,"10",데이터_품목별!$A$3:$A$2984,"2024.02")+SUMIFS(데이터_품목별!$H$3:$H$2984,데이터_품목별!$E$3:$E$2984,"11",데이터_품목별!$A$3:$A$2984,"2024.02")+SUMIFS(데이터_품목별!$H$3:$H$2984,데이터_품목별!$E$3:$E$2984,"12",데이터_품목별!$A$3:$A$2984,"2024.02")+SUMIFS(데이터_품목별!$H$3:$H$2984,데이터_품목별!$E$3:$E$2984,"13",데이터_품목별!$A$3:$A$2984,"2024.02")+SUMIFS(데이터_품목별!$H$3:$H$2984,데이터_품목별!$E$3:$E$2984,"14",데이터_품목별!$A$3:$A$2984,"2024.02")</f>
        <v>78662</v>
      </c>
      <c r="E207" s="55" t="n">
        <f aca="false">SUMIFS(데이터_품목별!$H$3:$H$2984,데이터_품목별!$E$3:$E$2984,"06",데이터_품목별!$A$3:$A$2984,"2024.03")+SUMIFS(데이터_품목별!$H$3:$H$2984,데이터_품목별!$E$3:$E$2984,"07",데이터_품목별!$A$3:$A$2984,"2024.03")+SUMIFS(데이터_품목별!$H$3:$H$2984,데이터_품목별!$E$3:$E$2984,"08",데이터_품목별!$A$3:$A$2984,"2024.03")+SUMIFS(데이터_품목별!$H$3:$H$2984,데이터_품목별!$E$3:$E$2984,"09",데이터_품목별!$A$3:$A$2984,"2024.03")+SUMIFS(데이터_품목별!$H$3:$H$2984,데이터_품목별!$E$3:$E$2984,"10",데이터_품목별!$A$3:$A$2984,"2024.03")+SUMIFS(데이터_품목별!$H$3:$H$2984,데이터_품목별!$E$3:$E$2984,"11",데이터_품목별!$A$3:$A$2984,"2024.03")+SUMIFS(데이터_품목별!$H$3:$H$2984,데이터_품목별!$E$3:$E$2984,"12",데이터_품목별!$A$3:$A$2984,"2024.03")+SUMIFS(데이터_품목별!$H$3:$H$2984,데이터_품목별!$E$3:$E$2984,"13",데이터_품목별!$A$3:$A$2984,"2024.03")+SUMIFS(데이터_품목별!$H$3:$H$2984,데이터_품목별!$E$3:$E$2984,"14",데이터_품목별!$A$3:$A$2984,"2024.03")</f>
        <v>104108</v>
      </c>
      <c r="F207" s="55" t="n">
        <f aca="false">SUMIFS(데이터_품목별!$H$3:$H$2984,데이터_품목별!$E$3:$E$2984,"06",데이터_품목별!$A$3:$A$2984,"2024.04")+SUMIFS(데이터_품목별!$H$3:$H$2984,데이터_품목별!$E$3:$E$2984,"07",데이터_품목별!$A$3:$A$2984,"2024.04")+SUMIFS(데이터_품목별!$H$3:$H$2984,데이터_품목별!$E$3:$E$2984,"08",데이터_품목별!$A$3:$A$2984,"2024.04")+SUMIFS(데이터_품목별!$H$3:$H$2984,데이터_품목별!$E$3:$E$2984,"09",데이터_품목별!$A$3:$A$2984,"2024.04")+SUMIFS(데이터_품목별!$H$3:$H$2984,데이터_품목별!$E$3:$E$2984,"10",데이터_품목별!$A$3:$A$2984,"2024.04")+SUMIFS(데이터_품목별!$H$3:$H$2984,데이터_품목별!$E$3:$E$2984,"11",데이터_품목별!$A$3:$A$2984,"2024.04")+SUMIFS(데이터_품목별!$H$3:$H$2984,데이터_품목별!$E$3:$E$2984,"12",데이터_품목별!$A$3:$A$2984,"2024.04")+SUMIFS(데이터_품목별!$H$3:$H$2984,데이터_품목별!$E$3:$E$2984,"13",데이터_품목별!$A$3:$A$2984,"2024.04")+SUMIFS(데이터_품목별!$H$3:$H$2984,데이터_품목별!$E$3:$E$2984,"14",데이터_품목별!$A$3:$A$2984,"2024.04")</f>
        <v>122074</v>
      </c>
      <c r="G207" s="55" t="n">
        <f aca="false">SUMIFS(데이터_품목별!$H$3:$H$2984,데이터_품목별!$E$3:$E$2984,"06",데이터_품목별!$A$3:$A$2984,"2024.05")+SUMIFS(데이터_품목별!$H$3:$H$2984,데이터_품목별!$E$3:$E$2984,"07",데이터_품목별!$A$3:$A$2984,"2024.05")+SUMIFS(데이터_품목별!$H$3:$H$2984,데이터_품목별!$E$3:$E$2984,"08",데이터_품목별!$A$3:$A$2984,"2024.05")+SUMIFS(데이터_품목별!$H$3:$H$2984,데이터_품목별!$E$3:$E$2984,"09",데이터_품목별!$A$3:$A$2984,"2024.05")+SUMIFS(데이터_품목별!$H$3:$H$2984,데이터_품목별!$E$3:$E$2984,"10",데이터_품목별!$A$3:$A$2984,"2024.05")+SUMIFS(데이터_품목별!$H$3:$H$2984,데이터_품목별!$E$3:$E$2984,"11",데이터_품목별!$A$3:$A$2984,"2024.05")+SUMIFS(데이터_품목별!$H$3:$H$2984,데이터_품목별!$E$3:$E$2984,"12",데이터_품목별!$A$3:$A$2984,"2024.05")+SUMIFS(데이터_품목별!$H$3:$H$2984,데이터_품목별!$E$3:$E$2984,"13",데이터_품목별!$A$3:$A$2984,"2024.05")+SUMIFS(데이터_품목별!$H$3:$H$2984,데이터_품목별!$E$3:$E$2984,"14",데이터_품목별!$A$3:$A$2984,"2024.05")</f>
        <v>110781</v>
      </c>
      <c r="H207" s="55" t="n">
        <f aca="false">SUMIFS(데이터_품목별!$H$3:$H$2984,데이터_품목별!$E$3:$E$2984,"06",데이터_품목별!$A$3:$A$2984,"2024.06")+SUMIFS(데이터_품목별!$H$3:$H$2984,데이터_품목별!$E$3:$E$2984,"07",데이터_품목별!$A$3:$A$2984,"2024.06")+SUMIFS(데이터_품목별!$H$3:$H$2984,데이터_품목별!$E$3:$E$2984,"08",데이터_품목별!$A$3:$A$2984,"2024.06")+SUMIFS(데이터_품목별!$H$3:$H$2984,데이터_품목별!$E$3:$E$2984,"09",데이터_품목별!$A$3:$A$2984,"2024.06")+SUMIFS(데이터_품목별!$H$3:$H$2984,데이터_품목별!$E$3:$E$2984,"10",데이터_품목별!$A$3:$A$2984,"2024.06")+SUMIFS(데이터_품목별!$H$3:$H$2984,데이터_품목별!$E$3:$E$2984,"11",데이터_품목별!$A$3:$A$2984,"2024.06")+SUMIFS(데이터_품목별!$H$3:$H$2984,데이터_품목별!$E$3:$E$2984,"12",데이터_품목별!$A$3:$A$2984,"2024.06")+SUMIFS(데이터_품목별!$H$3:$H$2984,데이터_품목별!$E$3:$E$2984,"13",데이터_품목별!$A$3:$A$2984,"2024.06")+SUMIFS(데이터_품목별!$H$3:$H$2984,데이터_품목별!$E$3:$E$2984,"14",데이터_품목별!$A$3:$A$2984,"2024.06")</f>
        <v>104746</v>
      </c>
      <c r="I207" s="55" t="n">
        <f aca="false">SUMIFS(데이터_품목별!$H$3:$H$2984,데이터_품목별!$E$3:$E$2984,"06",데이터_품목별!$A$3:$A$2984,"2024.07")+SUMIFS(데이터_품목별!$H$3:$H$2984,데이터_품목별!$E$3:$E$2984,"07",데이터_품목별!$A$3:$A$2984,"2024.07")+SUMIFS(데이터_품목별!$H$3:$H$2984,데이터_품목별!$E$3:$E$2984,"08",데이터_품목별!$A$3:$A$2984,"2024.07")+SUMIFS(데이터_품목별!$H$3:$H$2984,데이터_품목별!$E$3:$E$2984,"09",데이터_품목별!$A$3:$A$2984,"2024.07")+SUMIFS(데이터_품목별!$H$3:$H$2984,데이터_품목별!$E$3:$E$2984,"10",데이터_품목별!$A$3:$A$2984,"2024.07")+SUMIFS(데이터_품목별!$H$3:$H$2984,데이터_품목별!$E$3:$E$2984,"11",데이터_품목별!$A$3:$A$2984,"2024.07")+SUMIFS(데이터_품목별!$H$3:$H$2984,데이터_품목별!$E$3:$E$2984,"12",데이터_품목별!$A$3:$A$2984,"2024.07")+SUMIFS(데이터_품목별!$H$3:$H$2984,데이터_품목별!$E$3:$E$2984,"13",데이터_품목별!$A$3:$A$2984,"2024.07")+SUMIFS(데이터_품목별!$H$3:$H$2984,데이터_품목별!$E$3:$E$2984,"14",데이터_품목별!$A$3:$A$2984,"2024.07")</f>
        <v>99797</v>
      </c>
      <c r="J207" s="55" t="n">
        <f aca="false">SUMIFS(데이터_품목별!$H$3:$H$2984,데이터_품목별!$E$3:$E$2984,"06",데이터_품목별!$A$3:$A$2984,"2024.08")+SUMIFS(데이터_품목별!$H$3:$H$2984,데이터_품목별!$E$3:$E$2984,"07",데이터_품목별!$A$3:$A$2984,"2024.08")+SUMIFS(데이터_품목별!$H$3:$H$2984,데이터_품목별!$E$3:$E$2984,"08",데이터_품목별!$A$3:$A$2984,"2024.08")+SUMIFS(데이터_품목별!$H$3:$H$2984,데이터_품목별!$E$3:$E$2984,"09",데이터_품목별!$A$3:$A$2984,"2024.08")+SUMIFS(데이터_품목별!$H$3:$H$2984,데이터_품목별!$E$3:$E$2984,"10",데이터_품목별!$A$3:$A$2984,"2024.08")+SUMIFS(데이터_품목별!$H$3:$H$2984,데이터_품목별!$E$3:$E$2984,"11",데이터_품목별!$A$3:$A$2984,"2024.08")+SUMIFS(데이터_품목별!$H$3:$H$2984,데이터_품목별!$E$3:$E$2984,"12",데이터_품목별!$A$3:$A$2984,"2024.08")+SUMIFS(데이터_품목별!$H$3:$H$2984,데이터_품목별!$E$3:$E$2984,"13",데이터_품목별!$A$3:$A$2984,"2024.08")+SUMIFS(데이터_품목별!$H$3:$H$2984,데이터_품목별!$E$3:$E$2984,"14",데이터_품목별!$A$3:$A$2984,"2024.08")</f>
        <v>98604</v>
      </c>
      <c r="K207" s="55" t="n">
        <f aca="false">SUMIFS(데이터_품목별!$H$3:$H$2984,데이터_품목별!$E$3:$E$2984,"06",데이터_품목별!$A$3:$A$2984,"2024.09")+SUMIFS(데이터_품목별!$H$3:$H$2984,데이터_품목별!$E$3:$E$2984,"07",데이터_품목별!$A$3:$A$2984,"2024.09")+SUMIFS(데이터_품목별!$H$3:$H$2984,데이터_품목별!$E$3:$E$2984,"08",데이터_품목별!$A$3:$A$2984,"2024.09")+SUMIFS(데이터_품목별!$H$3:$H$2984,데이터_품목별!$E$3:$E$2984,"09",데이터_품목별!$A$3:$A$2984,"2024.09")+SUMIFS(데이터_품목별!$H$3:$H$2984,데이터_품목별!$E$3:$E$2984,"10",데이터_품목별!$A$3:$A$2984,"2024.09")+SUMIFS(데이터_품목별!$H$3:$H$2984,데이터_품목별!$E$3:$E$2984,"11",데이터_품목별!$A$3:$A$2984,"2024.09")+SUMIFS(데이터_품목별!$H$3:$H$2984,데이터_품목별!$E$3:$E$2984,"12",데이터_품목별!$A$3:$A$2984,"2024.09")+SUMIFS(데이터_품목별!$H$3:$H$2984,데이터_품목별!$E$3:$E$2984,"13",데이터_품목별!$A$3:$A$2984,"2024.09")+SUMIFS(데이터_품목별!$H$3:$H$2984,데이터_품목별!$E$3:$E$2984,"14",데이터_품목별!$A$3:$A$2984,"2024.09")</f>
        <v>94638</v>
      </c>
      <c r="L207" s="55" t="n">
        <f aca="false">SUMIFS(데이터_품목별!$H$3:$H$2984,데이터_품목별!$E$3:$E$2984,"06",데이터_품목별!$A$3:$A$2984,"2024.10")+SUMIFS(데이터_품목별!$H$3:$H$2984,데이터_품목별!$E$3:$E$2984,"07",데이터_품목별!$A$3:$A$2984,"2024.10")+SUMIFS(데이터_품목별!$H$3:$H$2984,데이터_품목별!$E$3:$E$2984,"08",데이터_품목별!$A$3:$A$2984,"2024.10")+SUMIFS(데이터_품목별!$H$3:$H$2984,데이터_품목별!$E$3:$E$2984,"09",데이터_품목별!$A$3:$A$2984,"2024.10")+SUMIFS(데이터_품목별!$H$3:$H$2984,데이터_품목별!$E$3:$E$2984,"10",데이터_품목별!$A$3:$A$2984,"2024.10")+SUMIFS(데이터_품목별!$H$3:$H$2984,데이터_품목별!$E$3:$E$2984,"11",데이터_품목별!$A$3:$A$2984,"2024.10")+SUMIFS(데이터_품목별!$H$3:$H$2984,데이터_품목별!$E$3:$E$2984,"12",데이터_품목별!$A$3:$A$2984,"2024.10")+SUMIFS(데이터_품목별!$H$3:$H$2984,데이터_품목별!$E$3:$E$2984,"13",데이터_품목별!$A$3:$A$2984,"2024.10")+SUMIFS(데이터_품목별!$H$3:$H$2984,데이터_품목별!$E$3:$E$2984,"14",데이터_품목별!$A$3:$A$2984,"2024.10")</f>
        <v>103054</v>
      </c>
      <c r="M207" s="55" t="n">
        <f aca="false">SUMIFS(데이터_품목별!$H$3:$H$2984,데이터_품목별!$E$3:$E$2984,"06",데이터_품목별!$A$3:$A$2984,"2024.11")+SUMIFS(데이터_품목별!$H$3:$H$2984,데이터_품목별!$E$3:$E$2984,"07",데이터_품목별!$A$3:$A$2984,"2024.11")+SUMIFS(데이터_품목별!$H$3:$H$2984,데이터_품목별!$E$3:$E$2984,"08",데이터_품목별!$A$3:$A$2984,"2024.11")+SUMIFS(데이터_품목별!$H$3:$H$2984,데이터_품목별!$E$3:$E$2984,"09",데이터_품목별!$A$3:$A$2984,"2024.11")+SUMIFS(데이터_품목별!$H$3:$H$2984,데이터_품목별!$E$3:$E$2984,"10",데이터_품목별!$A$3:$A$2984,"2024.11")+SUMIFS(데이터_품목별!$H$3:$H$2984,데이터_품목별!$E$3:$E$2984,"11",데이터_품목별!$A$3:$A$2984,"2024.11")+SUMIFS(데이터_품목별!$H$3:$H$2984,데이터_품목별!$E$3:$E$2984,"12",데이터_품목별!$A$3:$A$2984,"2024.11")+SUMIFS(데이터_품목별!$H$3:$H$2984,데이터_품목별!$E$3:$E$2984,"13",데이터_품목별!$A$3:$A$2984,"2024.11")+SUMIFS(데이터_품목별!$H$3:$H$2984,데이터_품목별!$E$3:$E$2984,"14",데이터_품목별!$A$3:$A$2984,"2024.11")</f>
        <v>103005</v>
      </c>
      <c r="N207" s="55" t="n">
        <f aca="false">SUMIFS(데이터_품목별!$H$3:$H$2984,데이터_품목별!$E$3:$E$2984,"06",데이터_품목별!$A$3:$A$2984,"2024.12")+SUMIFS(데이터_품목별!$H$3:$H$2984,데이터_품목별!$E$3:$E$2984,"07",데이터_품목별!$A$3:$A$2984,"2024.12")+SUMIFS(데이터_품목별!$H$3:$H$2984,데이터_품목별!$E$3:$E$2984,"08",데이터_품목별!$A$3:$A$2984,"2024.12")+SUMIFS(데이터_품목별!$H$3:$H$2984,데이터_품목별!$E$3:$E$2984,"09",데이터_품목별!$A$3:$A$2984,"2024.12")+SUMIFS(데이터_품목별!$H$3:$H$2984,데이터_품목별!$E$3:$E$2984,"10",데이터_품목별!$A$3:$A$2984,"2024.12")+SUMIFS(데이터_품목별!$H$3:$H$2984,데이터_품목별!$E$3:$E$2984,"11",데이터_품목별!$A$3:$A$2984,"2024.12")+SUMIFS(데이터_품목별!$H$3:$H$2984,데이터_품목별!$E$3:$E$2984,"12",데이터_품목별!$A$3:$A$2984,"2024.12")+SUMIFS(데이터_품목별!$H$3:$H$2984,데이터_품목별!$E$3:$E$2984,"13",데이터_품목별!$A$3:$A$2984,"2024.12")+SUMIFS(데이터_품목별!$H$3:$H$2984,데이터_품목별!$E$3:$E$2984,"14",데이터_품목별!$A$3:$A$2984,"2024.12")</f>
        <v>137850</v>
      </c>
      <c r="O207" s="55" t="n">
        <f aca="false">SUMIFS(데이터_품목별!$H$3:$H$2984,데이터_품목별!$E$3:$E$2984,"06",데이터_품목별!$A$3:$A$2984,"2025.01")+SUMIFS(데이터_품목별!$H$3:$H$2984,데이터_품목별!$E$3:$E$2984,"07",데이터_품목별!$A$3:$A$2984,"2025.01")+SUMIFS(데이터_품목별!$H$3:$H$2984,데이터_품목별!$E$3:$E$2984,"08",데이터_품목별!$A$3:$A$2984,"2025.01")+SUMIFS(데이터_품목별!$H$3:$H$2984,데이터_품목별!$E$3:$E$2984,"09",데이터_품목별!$A$3:$A$2984,"2025.01")+SUMIFS(데이터_품목별!$H$3:$H$2984,데이터_품목별!$E$3:$E$2984,"10",데이터_품목별!$A$3:$A$2984,"2025.01")+SUMIFS(데이터_품목별!$H$3:$H$2984,데이터_품목별!$E$3:$E$2984,"11",데이터_품목별!$A$3:$A$2984,"2025.01")+SUMIFS(데이터_품목별!$H$3:$H$2984,데이터_품목별!$E$3:$E$2984,"12",데이터_품목별!$A$3:$A$2984,"2025.01")+SUMIFS(데이터_품목별!$H$3:$H$2984,데이터_품목별!$E$3:$E$2984,"13",데이터_품목별!$A$3:$A$2984,"2025.01")+SUMIFS(데이터_품목별!$H$3:$H$2984,데이터_품목별!$E$3:$E$2984,"14",데이터_품목별!$A$3:$A$2984,"2025.01")</f>
        <v>108212</v>
      </c>
      <c r="P207" s="55" t="n">
        <f aca="false">SUMIFS(데이터_품목별!$H$3:$H$2984,데이터_품목별!$E$3:$E$2984,"06",데이터_품목별!$A$3:$A$2984,"2025.02")+SUMIFS(데이터_품목별!$H$3:$H$2984,데이터_품목별!$E$3:$E$2984,"07",데이터_품목별!$A$3:$A$2984,"2025.02")+SUMIFS(데이터_품목별!$H$3:$H$2984,데이터_품목별!$E$3:$E$2984,"08",데이터_품목별!$A$3:$A$2984,"2025.02")+SUMIFS(데이터_품목별!$H$3:$H$2984,데이터_품목별!$E$3:$E$2984,"09",데이터_품목별!$A$3:$A$2984,"2025.02")+SUMIFS(데이터_품목별!$H$3:$H$2984,데이터_품목별!$E$3:$E$2984,"10",데이터_품목별!$A$3:$A$2984,"2025.02")+SUMIFS(데이터_품목별!$H$3:$H$2984,데이터_품목별!$E$3:$E$2984,"11",데이터_품목별!$A$3:$A$2984,"2025.02")+SUMIFS(데이터_품목별!$H$3:$H$2984,데이터_품목별!$E$3:$E$2984,"12",데이터_품목별!$A$3:$A$2984,"2025.02")+SUMIFS(데이터_품목별!$H$3:$H$2984,데이터_품목별!$E$3:$E$2984,"13",데이터_품목별!$A$3:$A$2984,"2025.02")+SUMIFS(데이터_품목별!$H$3:$H$2984,데이터_품목별!$E$3:$E$2984,"14",데이터_품목별!$A$3:$A$2984,"2025.02")</f>
        <v>111233</v>
      </c>
      <c r="Q207" s="55" t="n">
        <f aca="false">SUMIFS(데이터_품목별!$H$3:$H$2984,데이터_품목별!$E$3:$E$2984,"06",데이터_품목별!$A$3:$A$2984,"2025.03")+SUMIFS(데이터_품목별!$H$3:$H$2984,데이터_품목별!$E$3:$E$2984,"07",데이터_품목별!$A$3:$A$2984,"2025.03")+SUMIFS(데이터_품목별!$H$3:$H$2984,데이터_품목별!$E$3:$E$2984,"08",데이터_품목별!$A$3:$A$2984,"2025.03")+SUMIFS(데이터_품목별!$H$3:$H$2984,데이터_품목별!$E$3:$E$2984,"09",데이터_품목별!$A$3:$A$2984,"2025.03")+SUMIFS(데이터_품목별!$H$3:$H$2984,데이터_품목별!$E$3:$E$2984,"10",데이터_품목별!$A$3:$A$2984,"2025.03")+SUMIFS(데이터_품목별!$H$3:$H$2984,데이터_품목별!$E$3:$E$2984,"11",데이터_품목별!$A$3:$A$2984,"2025.03")+SUMIFS(데이터_품목별!$H$3:$H$2984,데이터_품목별!$E$3:$E$2984,"12",데이터_품목별!$A$3:$A$2984,"2025.03")+SUMIFS(데이터_품목별!$H$3:$H$2984,데이터_품목별!$E$3:$E$2984,"13",데이터_품목별!$A$3:$A$2984,"2025.03")+SUMIFS(데이터_품목별!$H$3:$H$2984,데이터_품목별!$E$3:$E$2984,"14",데이터_품목별!$A$3:$A$2984,"2025.03")</f>
        <v>109976</v>
      </c>
      <c r="R207" s="55" t="n">
        <f aca="false">SUMIFS(데이터_품목별!$H$3:$H$2984,데이터_품목별!$E$3:$E$2984,"06",데이터_품목별!$A$3:$A$2984,"2025.04")+SUMIFS(데이터_품목별!$H$3:$H$2984,데이터_품목별!$E$3:$E$2984,"07",데이터_품목별!$A$3:$A$2984,"2025.04")+SUMIFS(데이터_품목별!$H$3:$H$2984,데이터_품목별!$E$3:$E$2984,"08",데이터_품목별!$A$3:$A$2984,"2025.04")+SUMIFS(데이터_품목별!$H$3:$H$2984,데이터_품목별!$E$3:$E$2984,"09",데이터_품목별!$A$3:$A$2984,"2025.04")+SUMIFS(데이터_품목별!$H$3:$H$2984,데이터_품목별!$E$3:$E$2984,"10",데이터_품목별!$A$3:$A$2984,"2025.04")+SUMIFS(데이터_품목별!$H$3:$H$2984,데이터_품목별!$E$3:$E$2984,"11",데이터_품목별!$A$3:$A$2984,"2025.04")+SUMIFS(데이터_품목별!$H$3:$H$2984,데이터_품목별!$E$3:$E$2984,"12",데이터_품목별!$A$3:$A$2984,"2025.04")+SUMIFS(데이터_품목별!$H$3:$H$2984,데이터_품목별!$E$3:$E$2984,"13",데이터_품목별!$A$3:$A$2984,"2025.04")+SUMIFS(데이터_품목별!$H$3:$H$2984,데이터_품목별!$E$3:$E$2984,"14",데이터_품목별!$A$3:$A$2984,"2025.04")</f>
        <v>123142</v>
      </c>
      <c r="S207" s="55" t="n">
        <f aca="false">SUMIFS(데이터_품목별!$H$3:$H$2984,데이터_품목별!$E$3:$E$2984,"06",데이터_품목별!$A$3:$A$2984,"2025.05")+SUMIFS(데이터_품목별!$H$3:$H$2984,데이터_품목별!$E$3:$E$2984,"07",데이터_품목별!$A$3:$A$2984,"2025.05")+SUMIFS(데이터_품목별!$H$3:$H$2984,데이터_품목별!$E$3:$E$2984,"08",데이터_품목별!$A$3:$A$2984,"2025.05")+SUMIFS(데이터_품목별!$H$3:$H$2984,데이터_품목별!$E$3:$E$2984,"09",데이터_품목별!$A$3:$A$2984,"2025.05")+SUMIFS(데이터_품목별!$H$3:$H$2984,데이터_품목별!$E$3:$E$2984,"10",데이터_품목별!$A$3:$A$2984,"2025.05")+SUMIFS(데이터_품목별!$H$3:$H$2984,데이터_품목별!$E$3:$E$2984,"11",데이터_품목별!$A$3:$A$2984,"2025.05")+SUMIFS(데이터_품목별!$H$3:$H$2984,데이터_품목별!$E$3:$E$2984,"12",데이터_품목별!$A$3:$A$2984,"2025.05")+SUMIFS(데이터_품목별!$H$3:$H$2984,데이터_품목별!$E$3:$E$2984,"13",데이터_품목별!$A$3:$A$2984,"2025.05")+SUMIFS(데이터_품목별!$H$3:$H$2984,데이터_품목별!$E$3:$E$2984,"14",데이터_품목별!$A$3:$A$2984,"2025.05")</f>
        <v>101045</v>
      </c>
      <c r="T207" s="55" t="n">
        <f aca="false">SUMIFS(데이터_품목별!$H$3:$H$2984,데이터_품목별!$E$3:$E$2984,"06",데이터_품목별!$A$3:$A$2984,"2025.06")+SUMIFS(데이터_품목별!$H$3:$H$2984,데이터_품목별!$E$3:$E$2984,"07",데이터_품목별!$A$3:$A$2984,"2025.06")+SUMIFS(데이터_품목별!$H$3:$H$2984,데이터_품목별!$E$3:$E$2984,"08",데이터_품목별!$A$3:$A$2984,"2025.06")+SUMIFS(데이터_품목별!$H$3:$H$2984,데이터_품목별!$E$3:$E$2984,"09",데이터_품목별!$A$3:$A$2984,"2025.06")+SUMIFS(데이터_품목별!$H$3:$H$2984,데이터_품목별!$E$3:$E$2984,"10",데이터_품목별!$A$3:$A$2984,"2025.06")+SUMIFS(데이터_품목별!$H$3:$H$2984,데이터_품목별!$E$3:$E$2984,"11",데이터_품목별!$A$3:$A$2984,"2025.06")+SUMIFS(데이터_품목별!$H$3:$H$2984,데이터_품목별!$E$3:$E$2984,"12",데이터_품목별!$A$3:$A$2984,"2025.06")+SUMIFS(데이터_품목별!$H$3:$H$2984,데이터_품목별!$E$3:$E$2984,"13",데이터_품목별!$A$3:$A$2984,"2025.06")+SUMIFS(데이터_품목별!$H$3:$H$2984,데이터_품목별!$E$3:$E$2984,"14",데이터_품목별!$A$3:$A$2984,"2025.06")</f>
        <v>96003</v>
      </c>
      <c r="U207" s="55" t="n">
        <f aca="false">SUMIFS(데이터_품목별!$H$3:$H$2984,데이터_품목별!$E$3:$E$2984,"06",데이터_품목별!$A$3:$A$2984,"2025.07")+SUMIFS(데이터_품목별!$H$3:$H$2984,데이터_품목별!$E$3:$E$2984,"07",데이터_품목별!$A$3:$A$2984,"2025.07")+SUMIFS(데이터_품목별!$H$3:$H$2984,데이터_품목별!$E$3:$E$2984,"08",데이터_품목별!$A$3:$A$2984,"2025.07")+SUMIFS(데이터_품목별!$H$3:$H$2984,데이터_품목별!$E$3:$E$2984,"09",데이터_품목별!$A$3:$A$2984,"2025.07")+SUMIFS(데이터_품목별!$H$3:$H$2984,데이터_품목별!$E$3:$E$2984,"10",데이터_품목별!$A$3:$A$2984,"2025.07")+SUMIFS(데이터_품목별!$H$3:$H$2984,데이터_품목별!$E$3:$E$2984,"11",데이터_품목별!$A$3:$A$2984,"2025.07")+SUMIFS(데이터_품목별!$H$3:$H$2984,데이터_품목별!$E$3:$E$2984,"12",데이터_품목별!$A$3:$A$2984,"2025.07")+SUMIFS(데이터_품목별!$H$3:$H$2984,데이터_품목별!$E$3:$E$2984,"13",데이터_품목별!$A$3:$A$2984,"2025.07")+SUMIFS(데이터_품목별!$H$3:$H$2984,데이터_품목별!$E$3:$E$2984,"14",데이터_품목별!$A$3:$A$2984,"2025.07")</f>
        <v>111771</v>
      </c>
      <c r="V207" s="55" t="n">
        <f aca="false">SUMIFS(데이터_품목별!$H$3:$H$2984,데이터_품목별!$E$3:$E$2984,"06",데이터_품목별!$A$3:$A$2984,"2025.08")+SUMIFS(데이터_품목별!$H$3:$H$2984,데이터_품목별!$E$3:$E$2984,"07",데이터_품목별!$A$3:$A$2984,"2025.08")+SUMIFS(데이터_품목별!$H$3:$H$2984,데이터_품목별!$E$3:$E$2984,"08",데이터_품목별!$A$3:$A$2984,"2025.08")+SUMIFS(데이터_품목별!$H$3:$H$2984,데이터_품목별!$E$3:$E$2984,"09",데이터_품목별!$A$3:$A$2984,"2025.08")+SUMIFS(데이터_품목별!$H$3:$H$2984,데이터_품목별!$E$3:$E$2984,"10",데이터_품목별!$A$3:$A$2984,"2025.08")+SUMIFS(데이터_품목별!$H$3:$H$2984,데이터_품목별!$E$3:$E$2984,"11",데이터_품목별!$A$3:$A$2984,"2025.08")+SUMIFS(데이터_품목별!$H$3:$H$2984,데이터_품목별!$E$3:$E$2984,"12",데이터_품목별!$A$3:$A$2984,"2025.08")+SUMIFS(데이터_품목별!$H$3:$H$2984,데이터_품목별!$E$3:$E$2984,"13",데이터_품목별!$A$3:$A$2984,"2025.08")+SUMIFS(데이터_품목별!$H$3:$H$2984,데이터_품목별!$E$3:$E$2984,"14",데이터_품목별!$A$3:$A$2984,"2025.08")</f>
        <v>102664</v>
      </c>
      <c r="W207" s="55" t="n">
        <f aca="false">SUMIFS(데이터_품목별!$H$3:$H$2984,데이터_품목별!$E$3:$E$2984,"06",데이터_품목별!$A$3:$A$2984,"2025.09")+SUMIFS(데이터_품목별!$H$3:$H$2984,데이터_품목별!$E$3:$E$2984,"07",데이터_품목별!$A$3:$A$2984,"2025.09")+SUMIFS(데이터_품목별!$H$3:$H$2984,데이터_품목별!$E$3:$E$2984,"08",데이터_품목별!$A$3:$A$2984,"2025.09")+SUMIFS(데이터_품목별!$H$3:$H$2984,데이터_품목별!$E$3:$E$2984,"09",데이터_품목별!$A$3:$A$2984,"2025.09")+SUMIFS(데이터_품목별!$H$3:$H$2984,데이터_품목별!$E$3:$E$2984,"10",데이터_품목별!$A$3:$A$2984,"2025.09")+SUMIFS(데이터_품목별!$H$3:$H$2984,데이터_품목별!$E$3:$E$2984,"11",데이터_품목별!$A$3:$A$2984,"2025.09")+SUMIFS(데이터_품목별!$H$3:$H$2984,데이터_품목별!$E$3:$E$2984,"12",데이터_품목별!$A$3:$A$2984,"2025.09")+SUMIFS(데이터_품목별!$H$3:$H$2984,데이터_품목별!$E$3:$E$2984,"13",데이터_품목별!$A$3:$A$2984,"2025.09")+SUMIFS(데이터_품목별!$H$3:$H$2984,데이터_품목별!$E$3:$E$2984,"14",데이터_품목별!$A$3:$A$2984,"2025.09")</f>
        <v>129881</v>
      </c>
      <c r="X207" s="55" t="n">
        <f aca="false">SUMIFS(데이터_품목별!$H$3:$H$2984,데이터_품목별!$E$3:$E$2984,"06",데이터_품목별!$A$3:$A$2984,"2025.10")+SUMIFS(데이터_품목별!$H$3:$H$2984,데이터_품목별!$E$3:$E$2984,"07",데이터_품목별!$A$3:$A$2984,"2025.10")+SUMIFS(데이터_품목별!$H$3:$H$2984,데이터_품목별!$E$3:$E$2984,"08",데이터_품목별!$A$3:$A$2984,"2025.10")+SUMIFS(데이터_품목별!$H$3:$H$2984,데이터_품목별!$E$3:$E$2984,"09",데이터_품목별!$A$3:$A$2984,"2025.10")+SUMIFS(데이터_품목별!$H$3:$H$2984,데이터_품목별!$E$3:$E$2984,"10",데이터_품목별!$A$3:$A$2984,"2025.10")+SUMIFS(데이터_품목별!$H$3:$H$2984,데이터_품목별!$E$3:$E$2984,"11",데이터_품목별!$A$3:$A$2984,"2025.10")+SUMIFS(데이터_품목별!$H$3:$H$2984,데이터_품목별!$E$3:$E$2984,"12",데이터_품목별!$A$3:$A$2984,"2025.10")+SUMIFS(데이터_품목별!$H$3:$H$2984,데이터_품목별!$E$3:$E$2984,"13",데이터_품목별!$A$3:$A$2984,"2025.10")+SUMIFS(데이터_품목별!$H$3:$H$2984,데이터_품목별!$E$3:$E$2984,"14",데이터_품목별!$A$3:$A$2984,"2025.10")</f>
        <v>104872</v>
      </c>
      <c r="Y207" s="55" t="n">
        <f aca="false">SUMIFS(데이터_품목별!$H$3:$H$2984,데이터_품목별!$E$3:$E$2984,"06",데이터_품목별!$A$3:$A$2984,"2025.11")+SUMIFS(데이터_품목별!$H$3:$H$2984,데이터_품목별!$E$3:$E$2984,"07",데이터_품목별!$A$3:$A$2984,"2025.11")+SUMIFS(데이터_품목별!$H$3:$H$2984,데이터_품목별!$E$3:$E$2984,"08",데이터_품목별!$A$3:$A$2984,"2025.11")+SUMIFS(데이터_품목별!$H$3:$H$2984,데이터_품목별!$E$3:$E$2984,"09",데이터_품목별!$A$3:$A$2984,"2025.11")+SUMIFS(데이터_품목별!$H$3:$H$2984,데이터_품목별!$E$3:$E$2984,"10",데이터_품목별!$A$3:$A$2984,"2025.11")+SUMIFS(데이터_품목별!$H$3:$H$2984,데이터_품목별!$E$3:$E$2984,"11",데이터_품목별!$A$3:$A$2984,"2025.11")+SUMIFS(데이터_품목별!$H$3:$H$2984,데이터_품목별!$E$3:$E$2984,"12",데이터_품목별!$A$3:$A$2984,"2025.11")+SUMIFS(데이터_품목별!$H$3:$H$2984,데이터_품목별!$E$3:$E$2984,"13",데이터_품목별!$A$3:$A$2984,"2025.11")+SUMIFS(데이터_품목별!$H$3:$H$2984,데이터_품목별!$E$3:$E$2984,"14",데이터_품목별!$A$3:$A$2984,"2025.11")</f>
        <v>109454</v>
      </c>
      <c r="Z207" s="55" t="n">
        <f aca="false">SUMIFS(데이터_품목별!$H$3:$H$2984,데이터_품목별!$E$3:$E$2984,"06",데이터_품목별!$A$3:$A$2984,"2025.12")+SUMIFS(데이터_품목별!$H$3:$H$2984,데이터_품목별!$E$3:$E$2984,"07",데이터_품목별!$A$3:$A$2984,"2025.12")+SUMIFS(데이터_품목별!$H$3:$H$2984,데이터_품목별!$E$3:$E$2984,"08",데이터_품목별!$A$3:$A$2984,"2025.12")+SUMIFS(데이터_품목별!$H$3:$H$2984,데이터_품목별!$E$3:$E$2984,"09",데이터_품목별!$A$3:$A$2984,"2025.12")+SUMIFS(데이터_품목별!$H$3:$H$2984,데이터_품목별!$E$3:$E$2984,"10",데이터_품목별!$A$3:$A$2984,"2025.12")+SUMIFS(데이터_품목별!$H$3:$H$2984,데이터_품목별!$E$3:$E$2984,"11",데이터_품목별!$A$3:$A$2984,"2025.12")+SUMIFS(데이터_품목별!$H$3:$H$2984,데이터_품목별!$E$3:$E$2984,"12",데이터_품목별!$A$3:$A$2984,"2025.12")+SUMIFS(데이터_품목별!$H$3:$H$2984,데이터_품목별!$E$3:$E$2984,"13",데이터_품목별!$A$3:$A$2984,"2025.12")+SUMIFS(데이터_품목별!$H$3:$H$2984,데이터_품목별!$E$3:$E$2984,"14",데이터_품목별!$A$3:$A$2984,"2025.12")</f>
        <v>141212</v>
      </c>
      <c r="AA207" s="55" t="n">
        <f aca="false">SUMIFS(데이터_품목별!$H$3:$H$2984,데이터_품목별!$E$3:$E$2984,"06",데이터_품목별!$A$3:$A$2984,"2026.01")+SUMIFS(데이터_품목별!$H$3:$H$2984,데이터_품목별!$E$3:$E$2984,"07",데이터_품목별!$A$3:$A$2984,"2026.01")+SUMIFS(데이터_품목별!$H$3:$H$2984,데이터_품목별!$E$3:$E$2984,"08",데이터_품목별!$A$3:$A$2984,"2026.01")+SUMIFS(데이터_품목별!$H$3:$H$2984,데이터_품목별!$E$3:$E$2984,"09",데이터_품목별!$A$3:$A$2984,"2026.01")+SUMIFS(데이터_품목별!$H$3:$H$2984,데이터_품목별!$E$3:$E$2984,"10",데이터_품목별!$A$3:$A$2984,"2026.01")+SUMIFS(데이터_품목별!$H$3:$H$2984,데이터_품목별!$E$3:$E$2984,"11",데이터_품목별!$A$3:$A$2984,"2026.01")+SUMIFS(데이터_품목별!$H$3:$H$2984,데이터_품목별!$E$3:$E$2984,"12",데이터_품목별!$A$3:$A$2984,"2026.01")+SUMIFS(데이터_품목별!$H$3:$H$2984,데이터_품목별!$E$3:$E$2984,"13",데이터_품목별!$A$3:$A$2984,"2026.01")+SUMIFS(데이터_품목별!$H$3:$H$2984,데이터_품목별!$E$3:$E$2984,"14",데이터_품목별!$A$3:$A$2984,"2026.01")</f>
        <v>118220</v>
      </c>
      <c r="AB207" s="55" t="n">
        <f aca="false">SUMIFS(데이터_품목별!$H$3:$H$2984,데이터_품목별!$E$3:$E$2984,"06",데이터_품목별!$A$3:$A$2984,"2026.02")+SUMIFS(데이터_품목별!$H$3:$H$2984,데이터_품목별!$E$3:$E$2984,"07",데이터_품목별!$A$3:$A$2984,"2026.02")+SUMIFS(데이터_품목별!$H$3:$H$2984,데이터_품목별!$E$3:$E$2984,"08",데이터_품목별!$A$3:$A$2984,"2026.02")+SUMIFS(데이터_품목별!$H$3:$H$2984,데이터_품목별!$E$3:$E$2984,"09",데이터_품목별!$A$3:$A$2984,"2026.02")+SUMIFS(데이터_품목별!$H$3:$H$2984,데이터_품목별!$E$3:$E$2984,"10",데이터_품목별!$A$3:$A$2984,"2026.02")+SUMIFS(데이터_품목별!$H$3:$H$2984,데이터_품목별!$E$3:$E$2984,"11",데이터_품목별!$A$3:$A$2984,"2026.02")+SUMIFS(데이터_품목별!$H$3:$H$2984,데이터_품목별!$E$3:$E$2984,"12",데이터_품목별!$A$3:$A$2984,"2026.02")+SUMIFS(데이터_품목별!$H$3:$H$2984,데이터_품목별!$E$3:$E$2984,"13",데이터_품목별!$A$3:$A$2984,"2026.02")+SUMIFS(데이터_품목별!$H$3:$H$2984,데이터_품목별!$E$3:$E$2984,"14",데이터_품목별!$A$3:$A$2984,"2026.02")</f>
        <v>86286</v>
      </c>
      <c r="AC207" s="55" t="n">
        <f aca="false">SUMIFS(데이터_품목별!$H$3:$H$2984,데이터_품목별!$E$3:$E$2984,"06",데이터_품목별!$A$3:$A$2984,"2026.03")+SUMIFS(데이터_품목별!$H$3:$H$2984,데이터_품목별!$E$3:$E$2984,"07",데이터_품목별!$A$3:$A$2984,"2026.03")+SUMIFS(데이터_품목별!$H$3:$H$2984,데이터_품목별!$E$3:$E$2984,"08",데이터_품목별!$A$3:$A$2984,"2026.03")+SUMIFS(데이터_품목별!$H$3:$H$2984,데이터_품목별!$E$3:$E$2984,"09",데이터_품목별!$A$3:$A$2984,"2026.03")+SUMIFS(데이터_품목별!$H$3:$H$2984,데이터_품목별!$E$3:$E$2984,"10",데이터_품목별!$A$3:$A$2984,"2026.03")+SUMIFS(데이터_품목별!$H$3:$H$2984,데이터_품목별!$E$3:$E$2984,"11",데이터_품목별!$A$3:$A$2984,"2026.03")+SUMIFS(데이터_품목별!$H$3:$H$2984,데이터_품목별!$E$3:$E$2984,"12",데이터_품목별!$A$3:$A$2984,"2026.03")+SUMIFS(데이터_품목별!$H$3:$H$2984,데이터_품목별!$E$3:$E$2984,"13",데이터_품목별!$A$3:$A$2984,"2026.03")+SUMIFS(데이터_품목별!$H$3:$H$2984,데이터_품목별!$E$3:$E$2984,"14",데이터_품목별!$A$3:$A$2984,"2026.03")</f>
        <v>115270</v>
      </c>
      <c r="AD207" s="55" t="n">
        <f aca="false">SUMIFS(데이터_품목별!$H$3:$H$2984,데이터_품목별!$E$3:$E$2984,"06",데이터_품목별!$A$3:$A$2984,"2026.04")+SUMIFS(데이터_품목별!$H$3:$H$2984,데이터_품목별!$E$3:$E$2984,"07",데이터_품목별!$A$3:$A$2984,"2026.04")+SUMIFS(데이터_품목별!$H$3:$H$2984,데이터_품목별!$E$3:$E$2984,"08",데이터_품목별!$A$3:$A$2984,"2026.04")+SUMIFS(데이터_품목별!$H$3:$H$2984,데이터_품목별!$E$3:$E$2984,"09",데이터_품목별!$A$3:$A$2984,"2026.04")+SUMIFS(데이터_품목별!$H$3:$H$2984,데이터_품목별!$E$3:$E$2984,"10",데이터_품목별!$A$3:$A$2984,"2026.04")+SUMIFS(데이터_품목별!$H$3:$H$2984,데이터_품목별!$E$3:$E$2984,"11",데이터_품목별!$A$3:$A$2984,"2026.04")+SUMIFS(데이터_품목별!$H$3:$H$2984,데이터_품목별!$E$3:$E$2984,"12",데이터_품목별!$A$3:$A$2984,"2026.04")+SUMIFS(데이터_품목별!$H$3:$H$2984,데이터_품목별!$E$3:$E$2984,"13",데이터_품목별!$A$3:$A$2984,"2026.04")+SUMIFS(데이터_품목별!$H$3:$H$2984,데이터_품목별!$E$3:$E$2984,"14",데이터_품목별!$A$3:$A$2984,"2026.04")</f>
        <v>103722</v>
      </c>
      <c r="AE207" s="55" t="n">
        <f aca="false">SUMIFS(데이터_품목별!$H$3:$H$2984,데이터_품목별!$E$3:$E$2984,"06",데이터_품목별!$A$3:$A$2984,"2026.05")+SUMIFS(데이터_품목별!$H$3:$H$2984,데이터_품목별!$E$3:$E$2984,"07",데이터_품목별!$A$3:$A$2984,"2026.05")+SUMIFS(데이터_품목별!$H$3:$H$2984,데이터_품목별!$E$3:$E$2984,"08",데이터_품목별!$A$3:$A$2984,"2026.05")+SUMIFS(데이터_품목별!$H$3:$H$2984,데이터_품목별!$E$3:$E$2984,"09",데이터_품목별!$A$3:$A$2984,"2026.05")+SUMIFS(데이터_품목별!$H$3:$H$2984,데이터_품목별!$E$3:$E$2984,"10",데이터_품목별!$A$3:$A$2984,"2026.05")+SUMIFS(데이터_품목별!$H$3:$H$2984,데이터_품목별!$E$3:$E$2984,"11",데이터_품목별!$A$3:$A$2984,"2026.05")+SUMIFS(데이터_품목별!$H$3:$H$2984,데이터_품목별!$E$3:$E$2984,"12",데이터_품목별!$A$3:$A$2984,"2026.05")+SUMIFS(데이터_품목별!$H$3:$H$2984,데이터_품목별!$E$3:$E$2984,"13",데이터_품목별!$A$3:$A$2984,"2026.05")+SUMIFS(데이터_품목별!$H$3:$H$2984,데이터_품목별!$E$3:$E$2984,"14",데이터_품목별!$A$3:$A$2984,"2026.05")</f>
        <v>93383</v>
      </c>
      <c r="AF207" s="55" t="n">
        <f aca="false">SUMIFS(데이터_품목별!$H$3:$H$2984,데이터_품목별!$E$3:$E$2984,"06",데이터_품목별!$A$3:$A$2984,"2026.06")+SUMIFS(데이터_품목별!$H$3:$H$2984,데이터_품목별!$E$3:$E$2984,"07",데이터_품목별!$A$3:$A$2984,"2026.06")+SUMIFS(데이터_품목별!$H$3:$H$2984,데이터_품목별!$E$3:$E$2984,"08",데이터_품목별!$A$3:$A$2984,"2026.06")+SUMIFS(데이터_품목별!$H$3:$H$2984,데이터_품목별!$E$3:$E$2984,"09",데이터_품목별!$A$3:$A$2984,"2026.06")+SUMIFS(데이터_품목별!$H$3:$H$2984,데이터_품목별!$E$3:$E$2984,"10",데이터_품목별!$A$3:$A$2984,"2026.06")+SUMIFS(데이터_품목별!$H$3:$H$2984,데이터_품목별!$E$3:$E$2984,"11",데이터_품목별!$A$3:$A$2984,"2026.06")+SUMIFS(데이터_품목별!$H$3:$H$2984,데이터_품목별!$E$3:$E$2984,"12",데이터_품목별!$A$3:$A$2984,"2026.06")+SUMIFS(데이터_품목별!$H$3:$H$2984,데이터_품목별!$E$3:$E$2984,"13",데이터_품목별!$A$3:$A$2984,"2026.06")+SUMIFS(데이터_품목별!$H$3:$H$2984,데이터_품목별!$E$3:$E$2984,"14",데이터_품목별!$A$3:$A$2984,"2026.06")</f>
        <v>116659</v>
      </c>
      <c r="AG207" s="55" t="n">
        <f aca="false">SUMIFS(데이터_품목별!$H$3:$H$2984,데이터_품목별!$E$3:$E$2984,"06",데이터_품목별!$A$3:$A$2984,"2026.07")+SUMIFS(데이터_품목별!$H$3:$H$2984,데이터_품목별!$E$3:$E$2984,"07",데이터_품목별!$A$3:$A$2984,"2026.07")+SUMIFS(데이터_품목별!$H$3:$H$2984,데이터_품목별!$E$3:$E$2984,"08",데이터_품목별!$A$3:$A$2984,"2026.07")+SUMIFS(데이터_품목별!$H$3:$H$2984,데이터_품목별!$E$3:$E$2984,"09",데이터_품목별!$A$3:$A$2984,"2026.07")+SUMIFS(데이터_품목별!$H$3:$H$2984,데이터_품목별!$E$3:$E$2984,"10",데이터_품목별!$A$3:$A$2984,"2026.07")+SUMIFS(데이터_품목별!$H$3:$H$2984,데이터_품목별!$E$3:$E$2984,"11",데이터_품목별!$A$3:$A$2984,"2026.07")+SUMIFS(데이터_품목별!$H$3:$H$2984,데이터_품목별!$E$3:$E$2984,"12",데이터_품목별!$A$3:$A$2984,"2026.07")+SUMIFS(데이터_품목별!$H$3:$H$2984,데이터_품목별!$E$3:$E$2984,"13",데이터_품목별!$A$3:$A$2984,"2026.07")+SUMIFS(데이터_품목별!$H$3:$H$2984,데이터_품목별!$E$3:$E$2984,"14",데이터_품목별!$A$3:$A$2984,"2026.07")</f>
        <v>82834</v>
      </c>
    </row>
    <row r="208" customFormat="false" ht="15" hidden="false" customHeight="true" outlineLevel="0" collapsed="false">
      <c r="A208" s="53" t="s">
        <v>19804</v>
      </c>
      <c r="B208" s="46" t="s">
        <v>19805</v>
      </c>
      <c r="C208" s="55" t="n">
        <f aca="false">SUMIFS(데이터_품목별!$H$3:$H$2984,데이터_품목별!$E$3:$E$2984,"15",데이터_품목별!$A$3:$A$2984,"2024.01")</f>
        <v>6136</v>
      </c>
      <c r="D208" s="55" t="n">
        <f aca="false">SUMIFS(데이터_품목별!$H$3:$H$2984,데이터_품목별!$E$3:$E$2984,"15",데이터_품목별!$A$3:$A$2984,"2024.02")</f>
        <v>11664</v>
      </c>
      <c r="E208" s="55" t="n">
        <f aca="false">SUMIFS(데이터_품목별!$H$3:$H$2984,데이터_품목별!$E$3:$E$2984,"15",데이터_품목별!$A$3:$A$2984,"2024.03")</f>
        <v>13811</v>
      </c>
      <c r="F208" s="55" t="n">
        <f aca="false">SUMIFS(데이터_품목별!$H$3:$H$2984,데이터_품목별!$E$3:$E$2984,"15",데이터_품목별!$A$3:$A$2984,"2024.04")</f>
        <v>11193</v>
      </c>
      <c r="G208" s="55" t="n">
        <f aca="false">SUMIFS(데이터_품목별!$H$3:$H$2984,데이터_품목별!$E$3:$E$2984,"15",데이터_품목별!$A$3:$A$2984,"2024.05")</f>
        <v>16929</v>
      </c>
      <c r="H208" s="55" t="n">
        <f aca="false">SUMIFS(데이터_품목별!$H$3:$H$2984,데이터_품목별!$E$3:$E$2984,"15",데이터_품목별!$A$3:$A$2984,"2024.06")</f>
        <v>21574</v>
      </c>
      <c r="I208" s="55" t="n">
        <f aca="false">SUMIFS(데이터_품목별!$H$3:$H$2984,데이터_품목별!$E$3:$E$2984,"15",데이터_품목별!$A$3:$A$2984,"2024.07")</f>
        <v>32853</v>
      </c>
      <c r="J208" s="55" t="n">
        <f aca="false">SUMIFS(데이터_품목별!$H$3:$H$2984,데이터_품목별!$E$3:$E$2984,"15",데이터_품목별!$A$3:$A$2984,"2024.08")</f>
        <v>23842</v>
      </c>
      <c r="K208" s="55" t="n">
        <f aca="false">SUMIFS(데이터_품목별!$H$3:$H$2984,데이터_품목별!$E$3:$E$2984,"15",데이터_품목별!$A$3:$A$2984,"2024.09")</f>
        <v>23446</v>
      </c>
      <c r="L208" s="55" t="n">
        <f aca="false">SUMIFS(데이터_품목별!$H$3:$H$2984,데이터_품목별!$E$3:$E$2984,"15",데이터_품목별!$A$3:$A$2984,"2024.10")</f>
        <v>16046</v>
      </c>
      <c r="M208" s="55" t="n">
        <f aca="false">SUMIFS(데이터_품목별!$H$3:$H$2984,데이터_품목별!$E$3:$E$2984,"15",데이터_품목별!$A$3:$A$2984,"2024.11")</f>
        <v>9574</v>
      </c>
      <c r="N208" s="55" t="n">
        <f aca="false">SUMIFS(데이터_품목별!$H$3:$H$2984,데이터_품목별!$E$3:$E$2984,"15",데이터_품목별!$A$3:$A$2984,"2024.12")</f>
        <v>30530</v>
      </c>
      <c r="O208" s="55" t="n">
        <f aca="false">SUMIFS(데이터_품목별!$H$3:$H$2984,데이터_품목별!$E$3:$E$2984,"15",데이터_품목별!$A$3:$A$2984,"2025.01")</f>
        <v>36907</v>
      </c>
      <c r="P208" s="55" t="n">
        <f aca="false">SUMIFS(데이터_품목별!$H$3:$H$2984,데이터_품목별!$E$3:$E$2984,"15",데이터_품목별!$A$3:$A$2984,"2025.02")</f>
        <v>21126</v>
      </c>
      <c r="Q208" s="55" t="n">
        <f aca="false">SUMIFS(데이터_품목별!$H$3:$H$2984,데이터_품목별!$E$3:$E$2984,"15",데이터_품목별!$A$3:$A$2984,"2025.03")</f>
        <v>28244</v>
      </c>
      <c r="R208" s="55" t="n">
        <f aca="false">SUMIFS(데이터_품목별!$H$3:$H$2984,데이터_품목별!$E$3:$E$2984,"15",데이터_품목별!$A$3:$A$2984,"2025.04")</f>
        <v>37230</v>
      </c>
      <c r="S208" s="55" t="n">
        <f aca="false">SUMIFS(데이터_품목별!$H$3:$H$2984,데이터_품목별!$E$3:$E$2984,"15",데이터_품목별!$A$3:$A$2984,"2025.05")</f>
        <v>38282</v>
      </c>
      <c r="T208" s="55" t="n">
        <f aca="false">SUMIFS(데이터_품목별!$H$3:$H$2984,데이터_품목별!$E$3:$E$2984,"15",데이터_품목별!$A$3:$A$2984,"2025.06")</f>
        <v>39548</v>
      </c>
      <c r="U208" s="55" t="n">
        <f aca="false">SUMIFS(데이터_품목별!$H$3:$H$2984,데이터_품목별!$E$3:$E$2984,"15",데이터_품목별!$A$3:$A$2984,"2025.07")</f>
        <v>31028</v>
      </c>
      <c r="V208" s="55" t="n">
        <f aca="false">SUMIFS(데이터_품목별!$H$3:$H$2984,데이터_품목별!$E$3:$E$2984,"15",데이터_품목별!$A$3:$A$2984,"2025.08")</f>
        <v>30037</v>
      </c>
      <c r="W208" s="55" t="n">
        <f aca="false">SUMIFS(데이터_품목별!$H$3:$H$2984,데이터_품목별!$E$3:$E$2984,"15",데이터_품목별!$A$3:$A$2984,"2025.09")</f>
        <v>21190</v>
      </c>
      <c r="X208" s="55" t="n">
        <f aca="false">SUMIFS(데이터_품목별!$H$3:$H$2984,데이터_품목별!$E$3:$E$2984,"15",데이터_품목별!$A$3:$A$2984,"2025.10")</f>
        <v>52534</v>
      </c>
      <c r="Y208" s="55" t="n">
        <f aca="false">SUMIFS(데이터_품목별!$H$3:$H$2984,데이터_품목별!$E$3:$E$2984,"15",데이터_품목별!$A$3:$A$2984,"2025.11")</f>
        <v>17414</v>
      </c>
      <c r="Z208" s="55" t="n">
        <f aca="false">SUMIFS(데이터_품목별!$H$3:$H$2984,데이터_품목별!$E$3:$E$2984,"15",데이터_품목별!$A$3:$A$2984,"2025.12")</f>
        <v>24038</v>
      </c>
      <c r="AA208" s="55" t="n">
        <f aca="false">SUMIFS(데이터_품목별!$H$3:$H$2984,데이터_품목별!$E$3:$E$2984,"15",데이터_품목별!$A$3:$A$2984,"2026.01")</f>
        <v>8924</v>
      </c>
      <c r="AB208" s="55" t="n">
        <f aca="false">SUMIFS(데이터_품목별!$H$3:$H$2984,데이터_품목별!$E$3:$E$2984,"15",데이터_품목별!$A$3:$A$2984,"2026.02")</f>
        <v>13541</v>
      </c>
      <c r="AC208" s="55" t="n">
        <f aca="false">SUMIFS(데이터_품목별!$H$3:$H$2984,데이터_품목별!$E$3:$E$2984,"15",데이터_품목별!$A$3:$A$2984,"2026.03")</f>
        <v>33218</v>
      </c>
      <c r="AD208" s="55" t="n">
        <f aca="false">SUMIFS(데이터_품목별!$H$3:$H$2984,데이터_품목별!$E$3:$E$2984,"15",데이터_품목별!$A$3:$A$2984,"2026.04")</f>
        <v>21090</v>
      </c>
      <c r="AE208" s="55" t="n">
        <f aca="false">SUMIFS(데이터_품목별!$H$3:$H$2984,데이터_품목별!$E$3:$E$2984,"15",데이터_품목별!$A$3:$A$2984,"2026.05")</f>
        <v>47886</v>
      </c>
      <c r="AF208" s="55" t="n">
        <f aca="false">SUMIFS(데이터_품목별!$H$3:$H$2984,데이터_품목별!$E$3:$E$2984,"15",데이터_품목별!$A$3:$A$2984,"2026.06")</f>
        <v>46150</v>
      </c>
      <c r="AG208" s="55" t="n">
        <f aca="false">SUMIFS(데이터_품목별!$H$3:$H$2984,데이터_품목별!$E$3:$E$2984,"15",데이터_품목별!$A$3:$A$2984,"2026.07")</f>
        <v>25316</v>
      </c>
    </row>
    <row r="209" customFormat="false" ht="15" hidden="false" customHeight="true" outlineLevel="0" collapsed="false">
      <c r="A209" s="53" t="s">
        <v>19806</v>
      </c>
      <c r="B209" s="46" t="s">
        <v>19807</v>
      </c>
      <c r="C209" s="55" t="n">
        <f aca="false">SUMIFS(데이터_품목별!$H$3:$H$2984,데이터_품목별!$E$3:$E$2984,"16",데이터_품목별!$A$3:$A$2984,"2024.01")+SUMIFS(데이터_품목별!$H$3:$H$2984,데이터_품목별!$E$3:$E$2984,"17",데이터_품목별!$A$3:$A$2984,"2024.01")+SUMIFS(데이터_품목별!$H$3:$H$2984,데이터_품목별!$E$3:$E$2984,"18",데이터_품목별!$A$3:$A$2984,"2024.01")+SUMIFS(데이터_품목별!$H$3:$H$2984,데이터_품목별!$E$3:$E$2984,"19",데이터_품목별!$A$3:$A$2984,"2024.01")+SUMIFS(데이터_품목별!$H$3:$H$2984,데이터_품목별!$E$3:$E$2984,"20",데이터_품목별!$A$3:$A$2984,"2024.01")+SUMIFS(데이터_품목별!$H$3:$H$2984,데이터_품목별!$E$3:$E$2984,"21",데이터_품목별!$A$3:$A$2984,"2024.01")+SUMIFS(데이터_품목별!$H$3:$H$2984,데이터_품목별!$E$3:$E$2984,"22",데이터_품목별!$A$3:$A$2984,"2024.01")+SUMIFS(데이터_품목별!$H$3:$H$2984,데이터_품목별!$E$3:$E$2984,"23",데이터_품목별!$A$3:$A$2984,"2024.01")+SUMIFS(데이터_품목별!$H$3:$H$2984,데이터_품목별!$E$3:$E$2984,"24",데이터_품목별!$A$3:$A$2984,"2024.01")</f>
        <v>624490</v>
      </c>
      <c r="D209" s="55" t="n">
        <f aca="false">SUMIFS(데이터_품목별!$H$3:$H$2984,데이터_품목별!$E$3:$E$2984,"16",데이터_품목별!$A$3:$A$2984,"2024.02")+SUMIFS(데이터_품목별!$H$3:$H$2984,데이터_품목별!$E$3:$E$2984,"17",데이터_품목별!$A$3:$A$2984,"2024.02")+SUMIFS(데이터_품목별!$H$3:$H$2984,데이터_품목별!$E$3:$E$2984,"18",데이터_품목별!$A$3:$A$2984,"2024.02")+SUMIFS(데이터_품목별!$H$3:$H$2984,데이터_품목별!$E$3:$E$2984,"19",데이터_품목별!$A$3:$A$2984,"2024.02")+SUMIFS(데이터_품목별!$H$3:$H$2984,데이터_품목별!$E$3:$E$2984,"20",데이터_품목별!$A$3:$A$2984,"2024.02")+SUMIFS(데이터_품목별!$H$3:$H$2984,데이터_품목별!$E$3:$E$2984,"21",데이터_품목별!$A$3:$A$2984,"2024.02")+SUMIFS(데이터_품목별!$H$3:$H$2984,데이터_품목별!$E$3:$E$2984,"22",데이터_품목별!$A$3:$A$2984,"2024.02")+SUMIFS(데이터_품목별!$H$3:$H$2984,데이터_품목별!$E$3:$E$2984,"23",데이터_품목별!$A$3:$A$2984,"2024.02")+SUMIFS(데이터_품목별!$H$3:$H$2984,데이터_품목별!$E$3:$E$2984,"24",데이터_품목별!$A$3:$A$2984,"2024.02")</f>
        <v>634107</v>
      </c>
      <c r="E209" s="55" t="n">
        <f aca="false">SUMIFS(데이터_품목별!$H$3:$H$2984,데이터_품목별!$E$3:$E$2984,"16",데이터_품목별!$A$3:$A$2984,"2024.03")+SUMIFS(데이터_품목별!$H$3:$H$2984,데이터_품목별!$E$3:$E$2984,"17",데이터_품목별!$A$3:$A$2984,"2024.03")+SUMIFS(데이터_품목별!$H$3:$H$2984,데이터_품목별!$E$3:$E$2984,"18",데이터_품목별!$A$3:$A$2984,"2024.03")+SUMIFS(데이터_품목별!$H$3:$H$2984,데이터_품목별!$E$3:$E$2984,"19",데이터_품목별!$A$3:$A$2984,"2024.03")+SUMIFS(데이터_품목별!$H$3:$H$2984,데이터_품목별!$E$3:$E$2984,"20",데이터_품목별!$A$3:$A$2984,"2024.03")+SUMIFS(데이터_품목별!$H$3:$H$2984,데이터_품목별!$E$3:$E$2984,"21",데이터_품목별!$A$3:$A$2984,"2024.03")+SUMIFS(데이터_품목별!$H$3:$H$2984,데이터_품목별!$E$3:$E$2984,"22",데이터_품목별!$A$3:$A$2984,"2024.03")+SUMIFS(데이터_품목별!$H$3:$H$2984,데이터_품목별!$E$3:$E$2984,"23",데이터_품목별!$A$3:$A$2984,"2024.03")+SUMIFS(데이터_품목별!$H$3:$H$2984,데이터_품목별!$E$3:$E$2984,"24",데이터_품목별!$A$3:$A$2984,"2024.03")</f>
        <v>689442</v>
      </c>
      <c r="F209" s="55" t="n">
        <f aca="false">SUMIFS(데이터_품목별!$H$3:$H$2984,데이터_품목별!$E$3:$E$2984,"16",데이터_품목별!$A$3:$A$2984,"2024.04")+SUMIFS(데이터_품목별!$H$3:$H$2984,데이터_품목별!$E$3:$E$2984,"17",데이터_품목별!$A$3:$A$2984,"2024.04")+SUMIFS(데이터_품목별!$H$3:$H$2984,데이터_품목별!$E$3:$E$2984,"18",데이터_품목별!$A$3:$A$2984,"2024.04")+SUMIFS(데이터_품목별!$H$3:$H$2984,데이터_품목별!$E$3:$E$2984,"19",데이터_품목별!$A$3:$A$2984,"2024.04")+SUMIFS(데이터_품목별!$H$3:$H$2984,데이터_품목별!$E$3:$E$2984,"20",데이터_품목별!$A$3:$A$2984,"2024.04")+SUMIFS(데이터_품목별!$H$3:$H$2984,데이터_품목별!$E$3:$E$2984,"21",데이터_품목별!$A$3:$A$2984,"2024.04")+SUMIFS(데이터_품목별!$H$3:$H$2984,데이터_품목별!$E$3:$E$2984,"22",데이터_품목별!$A$3:$A$2984,"2024.04")+SUMIFS(데이터_품목별!$H$3:$H$2984,데이터_품목별!$E$3:$E$2984,"23",데이터_품목별!$A$3:$A$2984,"2024.04")+SUMIFS(데이터_품목별!$H$3:$H$2984,데이터_품목별!$E$3:$E$2984,"24",데이터_품목별!$A$3:$A$2984,"2024.04")</f>
        <v>749034</v>
      </c>
      <c r="G209" s="55" t="n">
        <f aca="false">SUMIFS(데이터_품목별!$H$3:$H$2984,데이터_품목별!$E$3:$E$2984,"16",데이터_품목별!$A$3:$A$2984,"2024.05")+SUMIFS(데이터_품목별!$H$3:$H$2984,데이터_품목별!$E$3:$E$2984,"17",데이터_품목별!$A$3:$A$2984,"2024.05")+SUMIFS(데이터_품목별!$H$3:$H$2984,데이터_품목별!$E$3:$E$2984,"18",데이터_품목별!$A$3:$A$2984,"2024.05")+SUMIFS(데이터_품목별!$H$3:$H$2984,데이터_품목별!$E$3:$E$2984,"19",데이터_품목별!$A$3:$A$2984,"2024.05")+SUMIFS(데이터_품목별!$H$3:$H$2984,데이터_품목별!$E$3:$E$2984,"20",데이터_품목별!$A$3:$A$2984,"2024.05")+SUMIFS(데이터_품목별!$H$3:$H$2984,데이터_품목별!$E$3:$E$2984,"21",데이터_품목별!$A$3:$A$2984,"2024.05")+SUMIFS(데이터_품목별!$H$3:$H$2984,데이터_품목별!$E$3:$E$2984,"22",데이터_품목별!$A$3:$A$2984,"2024.05")+SUMIFS(데이터_품목별!$H$3:$H$2984,데이터_품목별!$E$3:$E$2984,"23",데이터_품목별!$A$3:$A$2984,"2024.05")+SUMIFS(데이터_품목별!$H$3:$H$2984,데이터_품목별!$E$3:$E$2984,"24",데이터_품목별!$A$3:$A$2984,"2024.05")</f>
        <v>735363</v>
      </c>
      <c r="H209" s="55" t="n">
        <f aca="false">SUMIFS(데이터_품목별!$H$3:$H$2984,데이터_품목별!$E$3:$E$2984,"16",데이터_품목별!$A$3:$A$2984,"2024.06")+SUMIFS(데이터_품목별!$H$3:$H$2984,데이터_품목별!$E$3:$E$2984,"17",데이터_품목별!$A$3:$A$2984,"2024.06")+SUMIFS(데이터_품목별!$H$3:$H$2984,데이터_품목별!$E$3:$E$2984,"18",데이터_품목별!$A$3:$A$2984,"2024.06")+SUMIFS(데이터_품목별!$H$3:$H$2984,데이터_품목별!$E$3:$E$2984,"19",데이터_품목별!$A$3:$A$2984,"2024.06")+SUMIFS(데이터_품목별!$H$3:$H$2984,데이터_품목별!$E$3:$E$2984,"20",데이터_품목별!$A$3:$A$2984,"2024.06")+SUMIFS(데이터_품목별!$H$3:$H$2984,데이터_품목별!$E$3:$E$2984,"21",데이터_품목별!$A$3:$A$2984,"2024.06")+SUMIFS(데이터_품목별!$H$3:$H$2984,데이터_품목별!$E$3:$E$2984,"22",데이터_품목별!$A$3:$A$2984,"2024.06")+SUMIFS(데이터_품목별!$H$3:$H$2984,데이터_품목별!$E$3:$E$2984,"23",데이터_품목별!$A$3:$A$2984,"2024.06")+SUMIFS(데이터_품목별!$H$3:$H$2984,데이터_품목별!$E$3:$E$2984,"24",데이터_품목별!$A$3:$A$2984,"2024.06")</f>
        <v>713720</v>
      </c>
      <c r="I209" s="55" t="n">
        <f aca="false">SUMIFS(데이터_품목별!$H$3:$H$2984,데이터_품목별!$E$3:$E$2984,"16",데이터_품목별!$A$3:$A$2984,"2024.07")+SUMIFS(데이터_품목별!$H$3:$H$2984,데이터_품목별!$E$3:$E$2984,"17",데이터_품목별!$A$3:$A$2984,"2024.07")+SUMIFS(데이터_품목별!$H$3:$H$2984,데이터_품목별!$E$3:$E$2984,"18",데이터_품목별!$A$3:$A$2984,"2024.07")+SUMIFS(데이터_품목별!$H$3:$H$2984,데이터_품목별!$E$3:$E$2984,"19",데이터_품목별!$A$3:$A$2984,"2024.07")+SUMIFS(데이터_품목별!$H$3:$H$2984,데이터_품목별!$E$3:$E$2984,"20",데이터_품목별!$A$3:$A$2984,"2024.07")+SUMIFS(데이터_품목별!$H$3:$H$2984,데이터_품목별!$E$3:$E$2984,"21",데이터_품목별!$A$3:$A$2984,"2024.07")+SUMIFS(데이터_품목별!$H$3:$H$2984,데이터_품목별!$E$3:$E$2984,"22",데이터_품목별!$A$3:$A$2984,"2024.07")+SUMIFS(데이터_품목별!$H$3:$H$2984,데이터_품목별!$E$3:$E$2984,"23",데이터_품목별!$A$3:$A$2984,"2024.07")+SUMIFS(데이터_품목별!$H$3:$H$2984,데이터_품목별!$E$3:$E$2984,"24",데이터_품목별!$A$3:$A$2984,"2024.07")</f>
        <v>774591</v>
      </c>
      <c r="J209" s="55" t="n">
        <f aca="false">SUMIFS(데이터_품목별!$H$3:$H$2984,데이터_품목별!$E$3:$E$2984,"16",데이터_품목별!$A$3:$A$2984,"2024.08")+SUMIFS(데이터_품목별!$H$3:$H$2984,데이터_품목별!$E$3:$E$2984,"17",데이터_품목별!$A$3:$A$2984,"2024.08")+SUMIFS(데이터_품목별!$H$3:$H$2984,데이터_품목별!$E$3:$E$2984,"18",데이터_품목별!$A$3:$A$2984,"2024.08")+SUMIFS(데이터_품목별!$H$3:$H$2984,데이터_품목별!$E$3:$E$2984,"19",데이터_품목별!$A$3:$A$2984,"2024.08")+SUMIFS(데이터_품목별!$H$3:$H$2984,데이터_품목별!$E$3:$E$2984,"20",데이터_품목별!$A$3:$A$2984,"2024.08")+SUMIFS(데이터_품목별!$H$3:$H$2984,데이터_품목별!$E$3:$E$2984,"21",데이터_품목별!$A$3:$A$2984,"2024.08")+SUMIFS(데이터_품목별!$H$3:$H$2984,데이터_품목별!$E$3:$E$2984,"22",데이터_품목별!$A$3:$A$2984,"2024.08")+SUMIFS(데이터_품목별!$H$3:$H$2984,데이터_품목별!$E$3:$E$2984,"23",데이터_품목별!$A$3:$A$2984,"2024.08")+SUMIFS(데이터_품목별!$H$3:$H$2984,데이터_품목별!$E$3:$E$2984,"24",데이터_품목별!$A$3:$A$2984,"2024.08")</f>
        <v>685056</v>
      </c>
      <c r="K209" s="55" t="n">
        <f aca="false">SUMIFS(데이터_품목별!$H$3:$H$2984,데이터_품목별!$E$3:$E$2984,"16",데이터_품목별!$A$3:$A$2984,"2024.09")+SUMIFS(데이터_품목별!$H$3:$H$2984,데이터_품목별!$E$3:$E$2984,"17",데이터_품목별!$A$3:$A$2984,"2024.09")+SUMIFS(데이터_품목별!$H$3:$H$2984,데이터_품목별!$E$3:$E$2984,"18",데이터_품목별!$A$3:$A$2984,"2024.09")+SUMIFS(데이터_품목별!$H$3:$H$2984,데이터_품목별!$E$3:$E$2984,"19",데이터_품목별!$A$3:$A$2984,"2024.09")+SUMIFS(데이터_품목별!$H$3:$H$2984,데이터_품목별!$E$3:$E$2984,"20",데이터_품목별!$A$3:$A$2984,"2024.09")+SUMIFS(데이터_품목별!$H$3:$H$2984,데이터_품목별!$E$3:$E$2984,"21",데이터_품목별!$A$3:$A$2984,"2024.09")+SUMIFS(데이터_품목별!$H$3:$H$2984,데이터_품목별!$E$3:$E$2984,"22",데이터_품목별!$A$3:$A$2984,"2024.09")+SUMIFS(데이터_품목별!$H$3:$H$2984,데이터_품목별!$E$3:$E$2984,"23",데이터_품목별!$A$3:$A$2984,"2024.09")+SUMIFS(데이터_품목별!$H$3:$H$2984,데이터_품목별!$E$3:$E$2984,"24",데이터_품목별!$A$3:$A$2984,"2024.09")</f>
        <v>703106</v>
      </c>
      <c r="L209" s="55" t="n">
        <f aca="false">SUMIFS(데이터_품목별!$H$3:$H$2984,데이터_품목별!$E$3:$E$2984,"16",데이터_품목별!$A$3:$A$2984,"2024.10")+SUMIFS(데이터_품목별!$H$3:$H$2984,데이터_품목별!$E$3:$E$2984,"17",데이터_품목별!$A$3:$A$2984,"2024.10")+SUMIFS(데이터_품목별!$H$3:$H$2984,데이터_품목별!$E$3:$E$2984,"18",데이터_품목별!$A$3:$A$2984,"2024.10")+SUMIFS(데이터_품목별!$H$3:$H$2984,데이터_품목별!$E$3:$E$2984,"19",데이터_품목별!$A$3:$A$2984,"2024.10")+SUMIFS(데이터_품목별!$H$3:$H$2984,데이터_품목별!$E$3:$E$2984,"20",데이터_품목별!$A$3:$A$2984,"2024.10")+SUMIFS(데이터_품목별!$H$3:$H$2984,데이터_품목별!$E$3:$E$2984,"21",데이터_품목별!$A$3:$A$2984,"2024.10")+SUMIFS(데이터_품목별!$H$3:$H$2984,데이터_품목별!$E$3:$E$2984,"22",데이터_품목별!$A$3:$A$2984,"2024.10")+SUMIFS(데이터_품목별!$H$3:$H$2984,데이터_품목별!$E$3:$E$2984,"23",데이터_품목별!$A$3:$A$2984,"2024.10")+SUMIFS(데이터_품목별!$H$3:$H$2984,데이터_품목별!$E$3:$E$2984,"24",데이터_품목별!$A$3:$A$2984,"2024.10")</f>
        <v>749026</v>
      </c>
      <c r="M209" s="55" t="n">
        <f aca="false">SUMIFS(데이터_품목별!$H$3:$H$2984,데이터_품목별!$E$3:$E$2984,"16",데이터_품목별!$A$3:$A$2984,"2024.11")+SUMIFS(데이터_품목별!$H$3:$H$2984,데이터_품목별!$E$3:$E$2984,"17",데이터_품목별!$A$3:$A$2984,"2024.11")+SUMIFS(데이터_품목별!$H$3:$H$2984,데이터_품목별!$E$3:$E$2984,"18",데이터_품목별!$A$3:$A$2984,"2024.11")+SUMIFS(데이터_품목별!$H$3:$H$2984,데이터_품목별!$E$3:$E$2984,"19",데이터_품목별!$A$3:$A$2984,"2024.11")+SUMIFS(데이터_품목별!$H$3:$H$2984,데이터_품목별!$E$3:$E$2984,"20",데이터_품목별!$A$3:$A$2984,"2024.11")+SUMIFS(데이터_품목별!$H$3:$H$2984,데이터_품목별!$E$3:$E$2984,"21",데이터_품목별!$A$3:$A$2984,"2024.11")+SUMIFS(데이터_품목별!$H$3:$H$2984,데이터_품목별!$E$3:$E$2984,"22",데이터_품목별!$A$3:$A$2984,"2024.11")+SUMIFS(데이터_품목별!$H$3:$H$2984,데이터_품목별!$E$3:$E$2984,"23",데이터_품목별!$A$3:$A$2984,"2024.11")+SUMIFS(데이터_품목별!$H$3:$H$2984,데이터_품목별!$E$3:$E$2984,"24",데이터_품목별!$A$3:$A$2984,"2024.11")</f>
        <v>741130</v>
      </c>
      <c r="N209" s="55" t="n">
        <f aca="false">SUMIFS(데이터_품목별!$H$3:$H$2984,데이터_품목별!$E$3:$E$2984,"16",데이터_품목별!$A$3:$A$2984,"2024.12")+SUMIFS(데이터_품목별!$H$3:$H$2984,데이터_품목별!$E$3:$E$2984,"17",데이터_품목별!$A$3:$A$2984,"2024.12")+SUMIFS(데이터_품목별!$H$3:$H$2984,데이터_품목별!$E$3:$E$2984,"18",데이터_품목별!$A$3:$A$2984,"2024.12")+SUMIFS(데이터_품목별!$H$3:$H$2984,데이터_품목별!$E$3:$E$2984,"19",데이터_품목별!$A$3:$A$2984,"2024.12")+SUMIFS(데이터_품목별!$H$3:$H$2984,데이터_품목별!$E$3:$E$2984,"20",데이터_품목별!$A$3:$A$2984,"2024.12")+SUMIFS(데이터_품목별!$H$3:$H$2984,데이터_품목별!$E$3:$E$2984,"21",데이터_품목별!$A$3:$A$2984,"2024.12")+SUMIFS(데이터_품목별!$H$3:$H$2984,데이터_품목별!$E$3:$E$2984,"22",데이터_품목별!$A$3:$A$2984,"2024.12")+SUMIFS(데이터_품목별!$H$3:$H$2984,데이터_품목별!$E$3:$E$2984,"23",데이터_품목별!$A$3:$A$2984,"2024.12")+SUMIFS(데이터_품목별!$H$3:$H$2984,데이터_품목별!$E$3:$E$2984,"24",데이터_품목별!$A$3:$A$2984,"2024.12")</f>
        <v>751375</v>
      </c>
      <c r="O209" s="55" t="n">
        <f aca="false">SUMIFS(데이터_품목별!$H$3:$H$2984,데이터_품목별!$E$3:$E$2984,"16",데이터_품목별!$A$3:$A$2984,"2025.01")+SUMIFS(데이터_품목별!$H$3:$H$2984,데이터_품목별!$E$3:$E$2984,"17",데이터_품목별!$A$3:$A$2984,"2025.01")+SUMIFS(데이터_품목별!$H$3:$H$2984,데이터_품목별!$E$3:$E$2984,"18",데이터_품목별!$A$3:$A$2984,"2025.01")+SUMIFS(데이터_품목별!$H$3:$H$2984,데이터_품목별!$E$3:$E$2984,"19",데이터_품목별!$A$3:$A$2984,"2025.01")+SUMIFS(데이터_품목별!$H$3:$H$2984,데이터_품목별!$E$3:$E$2984,"20",데이터_품목별!$A$3:$A$2984,"2025.01")+SUMIFS(데이터_품목별!$H$3:$H$2984,데이터_품목별!$E$3:$E$2984,"21",데이터_품목별!$A$3:$A$2984,"2025.01")+SUMIFS(데이터_품목별!$H$3:$H$2984,데이터_품목별!$E$3:$E$2984,"22",데이터_품목별!$A$3:$A$2984,"2025.01")+SUMIFS(데이터_품목별!$H$3:$H$2984,데이터_품목별!$E$3:$E$2984,"23",데이터_품목별!$A$3:$A$2984,"2025.01")+SUMIFS(데이터_품목별!$H$3:$H$2984,데이터_품목별!$E$3:$E$2984,"24",데이터_품목별!$A$3:$A$2984,"2025.01")</f>
        <v>604600</v>
      </c>
      <c r="P209" s="55" t="n">
        <f aca="false">SUMIFS(데이터_품목별!$H$3:$H$2984,데이터_품목별!$E$3:$E$2984,"16",데이터_품목별!$A$3:$A$2984,"2025.02")+SUMIFS(데이터_품목별!$H$3:$H$2984,데이터_품목별!$E$3:$E$2984,"17",데이터_품목별!$A$3:$A$2984,"2025.02")+SUMIFS(데이터_품목별!$H$3:$H$2984,데이터_품목별!$E$3:$E$2984,"18",데이터_품목별!$A$3:$A$2984,"2025.02")+SUMIFS(데이터_품목별!$H$3:$H$2984,데이터_품목별!$E$3:$E$2984,"19",데이터_품목별!$A$3:$A$2984,"2025.02")+SUMIFS(데이터_품목별!$H$3:$H$2984,데이터_품목별!$E$3:$E$2984,"20",데이터_품목별!$A$3:$A$2984,"2025.02")+SUMIFS(데이터_품목별!$H$3:$H$2984,데이터_품목별!$E$3:$E$2984,"21",데이터_품목별!$A$3:$A$2984,"2025.02")+SUMIFS(데이터_품목별!$H$3:$H$2984,데이터_품목별!$E$3:$E$2984,"22",데이터_품목별!$A$3:$A$2984,"2025.02")+SUMIFS(데이터_품목별!$H$3:$H$2984,데이터_품목별!$E$3:$E$2984,"23",데이터_품목별!$A$3:$A$2984,"2025.02")+SUMIFS(데이터_품목별!$H$3:$H$2984,데이터_품목별!$E$3:$E$2984,"24",데이터_품목별!$A$3:$A$2984,"2025.02")</f>
        <v>721694</v>
      </c>
      <c r="Q209" s="55" t="n">
        <f aca="false">SUMIFS(데이터_품목별!$H$3:$H$2984,데이터_품목별!$E$3:$E$2984,"16",데이터_품목별!$A$3:$A$2984,"2025.03")+SUMIFS(데이터_품목별!$H$3:$H$2984,데이터_품목별!$E$3:$E$2984,"17",데이터_품목별!$A$3:$A$2984,"2025.03")+SUMIFS(데이터_품목별!$H$3:$H$2984,데이터_품목별!$E$3:$E$2984,"18",데이터_품목별!$A$3:$A$2984,"2025.03")+SUMIFS(데이터_품목별!$H$3:$H$2984,데이터_품목별!$E$3:$E$2984,"19",데이터_품목별!$A$3:$A$2984,"2025.03")+SUMIFS(데이터_품목별!$H$3:$H$2984,데이터_품목별!$E$3:$E$2984,"20",데이터_품목별!$A$3:$A$2984,"2025.03")+SUMIFS(데이터_품목별!$H$3:$H$2984,데이터_품목별!$E$3:$E$2984,"21",데이터_품목별!$A$3:$A$2984,"2025.03")+SUMIFS(데이터_품목별!$H$3:$H$2984,데이터_품목별!$E$3:$E$2984,"22",데이터_품목별!$A$3:$A$2984,"2025.03")+SUMIFS(데이터_품목별!$H$3:$H$2984,데이터_품목별!$E$3:$E$2984,"23",데이터_품목별!$A$3:$A$2984,"2025.03")+SUMIFS(데이터_품목별!$H$3:$H$2984,데이터_품목별!$E$3:$E$2984,"24",데이터_품목별!$A$3:$A$2984,"2025.03")</f>
        <v>730900</v>
      </c>
      <c r="R209" s="55" t="n">
        <f aca="false">SUMIFS(데이터_품목별!$H$3:$H$2984,데이터_품목별!$E$3:$E$2984,"16",데이터_품목별!$A$3:$A$2984,"2025.04")+SUMIFS(데이터_품목별!$H$3:$H$2984,데이터_품목별!$E$3:$E$2984,"17",데이터_품목별!$A$3:$A$2984,"2025.04")+SUMIFS(데이터_품목별!$H$3:$H$2984,데이터_품목별!$E$3:$E$2984,"18",데이터_품목별!$A$3:$A$2984,"2025.04")+SUMIFS(데이터_품목별!$H$3:$H$2984,데이터_품목별!$E$3:$E$2984,"19",데이터_품목별!$A$3:$A$2984,"2025.04")+SUMIFS(데이터_품목별!$H$3:$H$2984,데이터_품목별!$E$3:$E$2984,"20",데이터_품목별!$A$3:$A$2984,"2025.04")+SUMIFS(데이터_품목별!$H$3:$H$2984,데이터_품목별!$E$3:$E$2984,"21",데이터_품목별!$A$3:$A$2984,"2025.04")+SUMIFS(데이터_품목별!$H$3:$H$2984,데이터_품목별!$E$3:$E$2984,"22",데이터_품목별!$A$3:$A$2984,"2025.04")+SUMIFS(데이터_품목별!$H$3:$H$2984,데이터_품목별!$E$3:$E$2984,"23",데이터_품목별!$A$3:$A$2984,"2025.04")+SUMIFS(데이터_품목별!$H$3:$H$2984,데이터_품목별!$E$3:$E$2984,"24",데이터_품목별!$A$3:$A$2984,"2025.04")</f>
        <v>814513</v>
      </c>
      <c r="S209" s="55" t="n">
        <f aca="false">SUMIFS(데이터_품목별!$H$3:$H$2984,데이터_품목별!$E$3:$E$2984,"16",데이터_품목별!$A$3:$A$2984,"2025.05")+SUMIFS(데이터_품목별!$H$3:$H$2984,데이터_품목별!$E$3:$E$2984,"17",데이터_품목별!$A$3:$A$2984,"2025.05")+SUMIFS(데이터_품목별!$H$3:$H$2984,데이터_품목별!$E$3:$E$2984,"18",데이터_품목별!$A$3:$A$2984,"2025.05")+SUMIFS(데이터_품목별!$H$3:$H$2984,데이터_품목별!$E$3:$E$2984,"19",데이터_품목별!$A$3:$A$2984,"2025.05")+SUMIFS(데이터_품목별!$H$3:$H$2984,데이터_품목별!$E$3:$E$2984,"20",데이터_품목별!$A$3:$A$2984,"2025.05")+SUMIFS(데이터_품목별!$H$3:$H$2984,데이터_품목별!$E$3:$E$2984,"21",데이터_품목별!$A$3:$A$2984,"2025.05")+SUMIFS(데이터_품목별!$H$3:$H$2984,데이터_품목별!$E$3:$E$2984,"22",데이터_품목별!$A$3:$A$2984,"2025.05")+SUMIFS(데이터_품목별!$H$3:$H$2984,데이터_품목별!$E$3:$E$2984,"23",데이터_품목별!$A$3:$A$2984,"2025.05")+SUMIFS(데이터_품목별!$H$3:$H$2984,데이터_품목별!$E$3:$E$2984,"24",데이터_품목별!$A$3:$A$2984,"2025.05")</f>
        <v>754506</v>
      </c>
      <c r="T209" s="55" t="n">
        <f aca="false">SUMIFS(데이터_품목별!$H$3:$H$2984,데이터_품목별!$E$3:$E$2984,"16",데이터_품목별!$A$3:$A$2984,"2025.06")+SUMIFS(데이터_품목별!$H$3:$H$2984,데이터_품목별!$E$3:$E$2984,"17",데이터_품목별!$A$3:$A$2984,"2025.06")+SUMIFS(데이터_품목별!$H$3:$H$2984,데이터_품목별!$E$3:$E$2984,"18",데이터_품목별!$A$3:$A$2984,"2025.06")+SUMIFS(데이터_품목별!$H$3:$H$2984,데이터_품목별!$E$3:$E$2984,"19",데이터_품목별!$A$3:$A$2984,"2025.06")+SUMIFS(데이터_품목별!$H$3:$H$2984,데이터_품목별!$E$3:$E$2984,"20",데이터_품목별!$A$3:$A$2984,"2025.06")+SUMIFS(데이터_품목별!$H$3:$H$2984,데이터_품목별!$E$3:$E$2984,"21",데이터_품목별!$A$3:$A$2984,"2025.06")+SUMIFS(데이터_품목별!$H$3:$H$2984,데이터_품목별!$E$3:$E$2984,"22",데이터_품목별!$A$3:$A$2984,"2025.06")+SUMIFS(데이터_품목별!$H$3:$H$2984,데이터_품목별!$E$3:$E$2984,"23",데이터_품목별!$A$3:$A$2984,"2025.06")+SUMIFS(데이터_품목별!$H$3:$H$2984,데이터_품목별!$E$3:$E$2984,"24",데이터_품목별!$A$3:$A$2984,"2025.06")</f>
        <v>733740</v>
      </c>
      <c r="U209" s="55" t="n">
        <f aca="false">SUMIFS(데이터_품목별!$H$3:$H$2984,데이터_품목별!$E$3:$E$2984,"16",데이터_품목별!$A$3:$A$2984,"2025.07")+SUMIFS(데이터_품목별!$H$3:$H$2984,데이터_품목별!$E$3:$E$2984,"17",데이터_품목별!$A$3:$A$2984,"2025.07")+SUMIFS(데이터_품목별!$H$3:$H$2984,데이터_품목별!$E$3:$E$2984,"18",데이터_품목별!$A$3:$A$2984,"2025.07")+SUMIFS(데이터_품목별!$H$3:$H$2984,데이터_품목별!$E$3:$E$2984,"19",데이터_품목별!$A$3:$A$2984,"2025.07")+SUMIFS(데이터_품목별!$H$3:$H$2984,데이터_품목별!$E$3:$E$2984,"20",데이터_품목별!$A$3:$A$2984,"2025.07")+SUMIFS(데이터_품목별!$H$3:$H$2984,데이터_품목별!$E$3:$E$2984,"21",데이터_품목별!$A$3:$A$2984,"2025.07")+SUMIFS(데이터_품목별!$H$3:$H$2984,데이터_품목별!$E$3:$E$2984,"22",데이터_품목별!$A$3:$A$2984,"2025.07")+SUMIFS(데이터_품목별!$H$3:$H$2984,데이터_품목별!$E$3:$E$2984,"23",데이터_품목별!$A$3:$A$2984,"2025.07")+SUMIFS(데이터_품목별!$H$3:$H$2984,데이터_품목별!$E$3:$E$2984,"24",데이터_품목별!$A$3:$A$2984,"2025.07")</f>
        <v>752966</v>
      </c>
      <c r="V209" s="55" t="n">
        <f aca="false">SUMIFS(데이터_품목별!$H$3:$H$2984,데이터_품목별!$E$3:$E$2984,"16",데이터_품목별!$A$3:$A$2984,"2025.08")+SUMIFS(데이터_품목별!$H$3:$H$2984,데이터_품목별!$E$3:$E$2984,"17",데이터_품목별!$A$3:$A$2984,"2025.08")+SUMIFS(데이터_품목별!$H$3:$H$2984,데이터_품목별!$E$3:$E$2984,"18",데이터_품목별!$A$3:$A$2984,"2025.08")+SUMIFS(데이터_품목별!$H$3:$H$2984,데이터_품목별!$E$3:$E$2984,"19",데이터_품목별!$A$3:$A$2984,"2025.08")+SUMIFS(데이터_품목별!$H$3:$H$2984,데이터_품목별!$E$3:$E$2984,"20",데이터_품목별!$A$3:$A$2984,"2025.08")+SUMIFS(데이터_품목별!$H$3:$H$2984,데이터_품목별!$E$3:$E$2984,"21",데이터_품목별!$A$3:$A$2984,"2025.08")+SUMIFS(데이터_품목별!$H$3:$H$2984,데이터_품목별!$E$3:$E$2984,"22",데이터_품목별!$A$3:$A$2984,"2025.08")+SUMIFS(데이터_품목별!$H$3:$H$2984,데이터_품목별!$E$3:$E$2984,"23",데이터_품목별!$A$3:$A$2984,"2025.08")+SUMIFS(데이터_품목별!$H$3:$H$2984,데이터_품목별!$E$3:$E$2984,"24",데이터_품목별!$A$3:$A$2984,"2025.08")</f>
        <v>688653</v>
      </c>
      <c r="W209" s="55" t="n">
        <f aca="false">SUMIFS(데이터_품목별!$H$3:$H$2984,데이터_품목별!$E$3:$E$2984,"16",데이터_품목별!$A$3:$A$2984,"2025.09")+SUMIFS(데이터_품목별!$H$3:$H$2984,데이터_품목별!$E$3:$E$2984,"17",데이터_품목별!$A$3:$A$2984,"2025.09")+SUMIFS(데이터_품목별!$H$3:$H$2984,데이터_품목별!$E$3:$E$2984,"18",데이터_품목별!$A$3:$A$2984,"2025.09")+SUMIFS(데이터_품목별!$H$3:$H$2984,데이터_품목별!$E$3:$E$2984,"19",데이터_품목별!$A$3:$A$2984,"2025.09")+SUMIFS(데이터_품목별!$H$3:$H$2984,데이터_품목별!$E$3:$E$2984,"20",데이터_품목별!$A$3:$A$2984,"2025.09")+SUMIFS(데이터_품목별!$H$3:$H$2984,데이터_품목별!$E$3:$E$2984,"21",데이터_품목별!$A$3:$A$2984,"2025.09")+SUMIFS(데이터_품목별!$H$3:$H$2984,데이터_품목별!$E$3:$E$2984,"22",데이터_품목별!$A$3:$A$2984,"2025.09")+SUMIFS(데이터_품목별!$H$3:$H$2984,데이터_품목별!$E$3:$E$2984,"23",데이터_품목별!$A$3:$A$2984,"2025.09")+SUMIFS(데이터_품목별!$H$3:$H$2984,데이터_품목별!$E$3:$E$2984,"24",데이터_품목별!$A$3:$A$2984,"2025.09")</f>
        <v>831095</v>
      </c>
      <c r="X209" s="55" t="n">
        <f aca="false">SUMIFS(데이터_품목별!$H$3:$H$2984,데이터_품목별!$E$3:$E$2984,"16",데이터_품목별!$A$3:$A$2984,"2025.10")+SUMIFS(데이터_품목별!$H$3:$H$2984,데이터_품목별!$E$3:$E$2984,"17",데이터_품목별!$A$3:$A$2984,"2025.10")+SUMIFS(데이터_품목별!$H$3:$H$2984,데이터_품목별!$E$3:$E$2984,"18",데이터_품목별!$A$3:$A$2984,"2025.10")+SUMIFS(데이터_품목별!$H$3:$H$2984,데이터_품목별!$E$3:$E$2984,"19",데이터_품목별!$A$3:$A$2984,"2025.10")+SUMIFS(데이터_품목별!$H$3:$H$2984,데이터_품목별!$E$3:$E$2984,"20",데이터_품목별!$A$3:$A$2984,"2025.10")+SUMIFS(데이터_품목별!$H$3:$H$2984,데이터_품목별!$E$3:$E$2984,"21",데이터_품목별!$A$3:$A$2984,"2025.10")+SUMIFS(데이터_품목별!$H$3:$H$2984,데이터_품목별!$E$3:$E$2984,"22",데이터_품목별!$A$3:$A$2984,"2025.10")+SUMIFS(데이터_품목별!$H$3:$H$2984,데이터_품목별!$E$3:$E$2984,"23",데이터_품목별!$A$3:$A$2984,"2025.10")+SUMIFS(데이터_품목별!$H$3:$H$2984,데이터_품목별!$E$3:$E$2984,"24",데이터_품목별!$A$3:$A$2984,"2025.10")</f>
        <v>667563</v>
      </c>
      <c r="Y209" s="55" t="n">
        <f aca="false">SUMIFS(데이터_품목별!$H$3:$H$2984,데이터_품목별!$E$3:$E$2984,"16",데이터_품목별!$A$3:$A$2984,"2025.11")+SUMIFS(데이터_품목별!$H$3:$H$2984,데이터_품목별!$E$3:$E$2984,"17",데이터_품목별!$A$3:$A$2984,"2025.11")+SUMIFS(데이터_품목별!$H$3:$H$2984,데이터_품목별!$E$3:$E$2984,"18",데이터_품목별!$A$3:$A$2984,"2025.11")+SUMIFS(데이터_품목별!$H$3:$H$2984,데이터_품목별!$E$3:$E$2984,"19",데이터_품목별!$A$3:$A$2984,"2025.11")+SUMIFS(데이터_품목별!$H$3:$H$2984,데이터_품목별!$E$3:$E$2984,"20",데이터_품목별!$A$3:$A$2984,"2025.11")+SUMIFS(데이터_품목별!$H$3:$H$2984,데이터_품목별!$E$3:$E$2984,"21",데이터_품목별!$A$3:$A$2984,"2025.11")+SUMIFS(데이터_품목별!$H$3:$H$2984,데이터_품목별!$E$3:$E$2984,"22",데이터_품목별!$A$3:$A$2984,"2025.11")+SUMIFS(데이터_품목별!$H$3:$H$2984,데이터_품목별!$E$3:$E$2984,"23",데이터_품목별!$A$3:$A$2984,"2025.11")+SUMIFS(데이터_품목별!$H$3:$H$2984,데이터_품목별!$E$3:$E$2984,"24",데이터_품목별!$A$3:$A$2984,"2025.11")</f>
        <v>747900</v>
      </c>
      <c r="Z209" s="55" t="n">
        <f aca="false">SUMIFS(데이터_품목별!$H$3:$H$2984,데이터_품목별!$E$3:$E$2984,"16",데이터_품목별!$A$3:$A$2984,"2025.12")+SUMIFS(데이터_품목별!$H$3:$H$2984,데이터_품목별!$E$3:$E$2984,"17",데이터_품목별!$A$3:$A$2984,"2025.12")+SUMIFS(데이터_품목별!$H$3:$H$2984,데이터_품목별!$E$3:$E$2984,"18",데이터_품목별!$A$3:$A$2984,"2025.12")+SUMIFS(데이터_품목별!$H$3:$H$2984,데이터_품목별!$E$3:$E$2984,"19",데이터_품목별!$A$3:$A$2984,"2025.12")+SUMIFS(데이터_품목별!$H$3:$H$2984,데이터_품목별!$E$3:$E$2984,"20",데이터_품목별!$A$3:$A$2984,"2025.12")+SUMIFS(데이터_품목별!$H$3:$H$2984,데이터_품목별!$E$3:$E$2984,"21",데이터_품목별!$A$3:$A$2984,"2025.12")+SUMIFS(데이터_품목별!$H$3:$H$2984,데이터_품목별!$E$3:$E$2984,"22",데이터_품목별!$A$3:$A$2984,"2025.12")+SUMIFS(데이터_품목별!$H$3:$H$2984,데이터_품목별!$E$3:$E$2984,"23",데이터_품목별!$A$3:$A$2984,"2025.12")+SUMIFS(데이터_품목별!$H$3:$H$2984,데이터_품목별!$E$3:$E$2984,"24",데이터_품목별!$A$3:$A$2984,"2025.12")</f>
        <v>759745</v>
      </c>
      <c r="AA209" s="55" t="n">
        <f aca="false">SUMIFS(데이터_품목별!$H$3:$H$2984,데이터_품목별!$E$3:$E$2984,"16",데이터_품목별!$A$3:$A$2984,"2026.01")+SUMIFS(데이터_품목별!$H$3:$H$2984,데이터_품목별!$E$3:$E$2984,"17",데이터_품목별!$A$3:$A$2984,"2026.01")+SUMIFS(데이터_품목별!$H$3:$H$2984,데이터_품목별!$E$3:$E$2984,"18",데이터_품목별!$A$3:$A$2984,"2026.01")+SUMIFS(데이터_품목별!$H$3:$H$2984,데이터_품목별!$E$3:$E$2984,"19",데이터_품목별!$A$3:$A$2984,"2026.01")+SUMIFS(데이터_품목별!$H$3:$H$2984,데이터_품목별!$E$3:$E$2984,"20",데이터_품목별!$A$3:$A$2984,"2026.01")+SUMIFS(데이터_품목별!$H$3:$H$2984,데이터_품목별!$E$3:$E$2984,"21",데이터_품목별!$A$3:$A$2984,"2026.01")+SUMIFS(데이터_품목별!$H$3:$H$2984,데이터_품목별!$E$3:$E$2984,"22",데이터_품목별!$A$3:$A$2984,"2026.01")+SUMIFS(데이터_품목별!$H$3:$H$2984,데이터_품목별!$E$3:$E$2984,"23",데이터_품목별!$A$3:$A$2984,"2026.01")+SUMIFS(데이터_품목별!$H$3:$H$2984,데이터_품목별!$E$3:$E$2984,"24",데이터_품목별!$A$3:$A$2984,"2026.01")</f>
        <v>731567</v>
      </c>
      <c r="AB209" s="55" t="n">
        <f aca="false">SUMIFS(데이터_품목별!$H$3:$H$2984,데이터_품목별!$E$3:$E$2984,"16",데이터_품목별!$A$3:$A$2984,"2026.02")+SUMIFS(데이터_품목별!$H$3:$H$2984,데이터_품목별!$E$3:$E$2984,"17",데이터_품목별!$A$3:$A$2984,"2026.02")+SUMIFS(데이터_품목별!$H$3:$H$2984,데이터_품목별!$E$3:$E$2984,"18",데이터_품목별!$A$3:$A$2984,"2026.02")+SUMIFS(데이터_품목별!$H$3:$H$2984,데이터_품목별!$E$3:$E$2984,"19",데이터_품목별!$A$3:$A$2984,"2026.02")+SUMIFS(데이터_품목별!$H$3:$H$2984,데이터_품목별!$E$3:$E$2984,"20",데이터_품목별!$A$3:$A$2984,"2026.02")+SUMIFS(데이터_품목별!$H$3:$H$2984,데이터_품목별!$E$3:$E$2984,"21",데이터_품목별!$A$3:$A$2984,"2026.02")+SUMIFS(데이터_품목별!$H$3:$H$2984,데이터_품목별!$E$3:$E$2984,"22",데이터_품목별!$A$3:$A$2984,"2026.02")+SUMIFS(데이터_품목별!$H$3:$H$2984,데이터_품목별!$E$3:$E$2984,"23",데이터_품목별!$A$3:$A$2984,"2026.02")+SUMIFS(데이터_품목별!$H$3:$H$2984,데이터_품목별!$E$3:$E$2984,"24",데이터_품목별!$A$3:$A$2984,"2026.02")</f>
        <v>675923</v>
      </c>
      <c r="AC209" s="55" t="n">
        <f aca="false">SUMIFS(데이터_품목별!$H$3:$H$2984,데이터_품목별!$E$3:$E$2984,"16",데이터_품목별!$A$3:$A$2984,"2026.03")+SUMIFS(데이터_품목별!$H$3:$H$2984,데이터_품목별!$E$3:$E$2984,"17",데이터_품목별!$A$3:$A$2984,"2026.03")+SUMIFS(데이터_품목별!$H$3:$H$2984,데이터_품목별!$E$3:$E$2984,"18",데이터_품목별!$A$3:$A$2984,"2026.03")+SUMIFS(데이터_품목별!$H$3:$H$2984,데이터_품목별!$E$3:$E$2984,"19",데이터_품목별!$A$3:$A$2984,"2026.03")+SUMIFS(데이터_품목별!$H$3:$H$2984,데이터_품목별!$E$3:$E$2984,"20",데이터_품목별!$A$3:$A$2984,"2026.03")+SUMIFS(데이터_품목별!$H$3:$H$2984,데이터_품목별!$E$3:$E$2984,"21",데이터_품목별!$A$3:$A$2984,"2026.03")+SUMIFS(데이터_품목별!$H$3:$H$2984,데이터_품목별!$E$3:$E$2984,"22",데이터_품목별!$A$3:$A$2984,"2026.03")+SUMIFS(데이터_품목별!$H$3:$H$2984,데이터_품목별!$E$3:$E$2984,"23",데이터_품목별!$A$3:$A$2984,"2026.03")+SUMIFS(데이터_품목별!$H$3:$H$2984,데이터_품목별!$E$3:$E$2984,"24",데이터_품목별!$A$3:$A$2984,"2026.03")</f>
        <v>818336</v>
      </c>
      <c r="AD209" s="55" t="n">
        <f aca="false">SUMIFS(데이터_품목별!$H$3:$H$2984,데이터_품목별!$E$3:$E$2984,"16",데이터_품목별!$A$3:$A$2984,"2026.04")+SUMIFS(데이터_품목별!$H$3:$H$2984,데이터_품목별!$E$3:$E$2984,"17",데이터_품목별!$A$3:$A$2984,"2026.04")+SUMIFS(데이터_품목별!$H$3:$H$2984,데이터_품목별!$E$3:$E$2984,"18",데이터_품목별!$A$3:$A$2984,"2026.04")+SUMIFS(데이터_품목별!$H$3:$H$2984,데이터_품목별!$E$3:$E$2984,"19",데이터_품목별!$A$3:$A$2984,"2026.04")+SUMIFS(데이터_품목별!$H$3:$H$2984,데이터_품목별!$E$3:$E$2984,"20",데이터_품목별!$A$3:$A$2984,"2026.04")+SUMIFS(데이터_품목별!$H$3:$H$2984,데이터_품목별!$E$3:$E$2984,"21",데이터_품목별!$A$3:$A$2984,"2026.04")+SUMIFS(데이터_품목별!$H$3:$H$2984,데이터_품목별!$E$3:$E$2984,"22",데이터_품목별!$A$3:$A$2984,"2026.04")+SUMIFS(데이터_품목별!$H$3:$H$2984,데이터_품목별!$E$3:$E$2984,"23",데이터_품목별!$A$3:$A$2984,"2026.04")+SUMIFS(데이터_품목별!$H$3:$H$2984,데이터_품목별!$E$3:$E$2984,"24",데이터_품목별!$A$3:$A$2984,"2026.04")</f>
        <v>871578</v>
      </c>
      <c r="AE209" s="55" t="n">
        <f aca="false">SUMIFS(데이터_품목별!$H$3:$H$2984,데이터_품목별!$E$3:$E$2984,"16",데이터_품목별!$A$3:$A$2984,"2026.05")+SUMIFS(데이터_품목별!$H$3:$H$2984,데이터_품목별!$E$3:$E$2984,"17",데이터_품목별!$A$3:$A$2984,"2026.05")+SUMIFS(데이터_품목별!$H$3:$H$2984,데이터_품목별!$E$3:$E$2984,"18",데이터_품목별!$A$3:$A$2984,"2026.05")+SUMIFS(데이터_품목별!$H$3:$H$2984,데이터_품목별!$E$3:$E$2984,"19",데이터_품목별!$A$3:$A$2984,"2026.05")+SUMIFS(데이터_품목별!$H$3:$H$2984,데이터_품목별!$E$3:$E$2984,"20",데이터_품목별!$A$3:$A$2984,"2026.05")+SUMIFS(데이터_품목별!$H$3:$H$2984,데이터_품목별!$E$3:$E$2984,"21",데이터_품목별!$A$3:$A$2984,"2026.05")+SUMIFS(데이터_품목별!$H$3:$H$2984,데이터_품목별!$E$3:$E$2984,"22",데이터_품목별!$A$3:$A$2984,"2026.05")+SUMIFS(데이터_품목별!$H$3:$H$2984,데이터_품목별!$E$3:$E$2984,"23",데이터_품목별!$A$3:$A$2984,"2026.05")+SUMIFS(데이터_품목별!$H$3:$H$2984,데이터_품목별!$E$3:$E$2984,"24",데이터_품목별!$A$3:$A$2984,"2026.05")</f>
        <v>719297</v>
      </c>
      <c r="AF209" s="55" t="n">
        <f aca="false">SUMIFS(데이터_품목별!$H$3:$H$2984,데이터_품목별!$E$3:$E$2984,"16",데이터_품목별!$A$3:$A$2984,"2026.06")+SUMIFS(데이터_품목별!$H$3:$H$2984,데이터_품목별!$E$3:$E$2984,"17",데이터_품목별!$A$3:$A$2984,"2026.06")+SUMIFS(데이터_품목별!$H$3:$H$2984,데이터_품목별!$E$3:$E$2984,"18",데이터_품목별!$A$3:$A$2984,"2026.06")+SUMIFS(데이터_품목별!$H$3:$H$2984,데이터_품목별!$E$3:$E$2984,"19",데이터_품목별!$A$3:$A$2984,"2026.06")+SUMIFS(데이터_품목별!$H$3:$H$2984,데이터_품목별!$E$3:$E$2984,"20",데이터_품목별!$A$3:$A$2984,"2026.06")+SUMIFS(데이터_품목별!$H$3:$H$2984,데이터_품목별!$E$3:$E$2984,"21",데이터_품목별!$A$3:$A$2984,"2026.06")+SUMIFS(데이터_품목별!$H$3:$H$2984,데이터_품목별!$E$3:$E$2984,"22",데이터_품목별!$A$3:$A$2984,"2026.06")+SUMIFS(데이터_품목별!$H$3:$H$2984,데이터_품목별!$E$3:$E$2984,"23",데이터_품목별!$A$3:$A$2984,"2026.06")+SUMIFS(데이터_품목별!$H$3:$H$2984,데이터_품목별!$E$3:$E$2984,"24",데이터_품목별!$A$3:$A$2984,"2026.06")</f>
        <v>809363</v>
      </c>
      <c r="AG209" s="55" t="n">
        <f aca="false">SUMIFS(데이터_품목별!$H$3:$H$2984,데이터_품목별!$E$3:$E$2984,"16",데이터_품목별!$A$3:$A$2984,"2026.07")+SUMIFS(데이터_품목별!$H$3:$H$2984,데이터_품목별!$E$3:$E$2984,"17",데이터_품목별!$A$3:$A$2984,"2026.07")+SUMIFS(데이터_품목별!$H$3:$H$2984,데이터_품목별!$E$3:$E$2984,"18",데이터_품목별!$A$3:$A$2984,"2026.07")+SUMIFS(데이터_품목별!$H$3:$H$2984,데이터_품목별!$E$3:$E$2984,"19",데이터_품목별!$A$3:$A$2984,"2026.07")+SUMIFS(데이터_품목별!$H$3:$H$2984,데이터_품목별!$E$3:$E$2984,"20",데이터_품목별!$A$3:$A$2984,"2026.07")+SUMIFS(데이터_품목별!$H$3:$H$2984,데이터_품목별!$E$3:$E$2984,"21",데이터_품목별!$A$3:$A$2984,"2026.07")+SUMIFS(데이터_품목별!$H$3:$H$2984,데이터_품목별!$E$3:$E$2984,"22",데이터_품목별!$A$3:$A$2984,"2026.07")+SUMIFS(데이터_품목별!$H$3:$H$2984,데이터_품목별!$E$3:$E$2984,"23",데이터_품목별!$A$3:$A$2984,"2026.07")+SUMIFS(데이터_품목별!$H$3:$H$2984,데이터_품목별!$E$3:$E$2984,"24",데이터_품목별!$A$3:$A$2984,"2026.07")</f>
        <v>790790</v>
      </c>
    </row>
    <row r="210" customFormat="false" ht="15" hidden="false" customHeight="true" outlineLevel="0" collapsed="false">
      <c r="A210" s="53" t="s">
        <v>19808</v>
      </c>
      <c r="B210" s="46" t="s">
        <v>19809</v>
      </c>
      <c r="C210" s="55" t="n">
        <f aca="false">SUMIFS(데이터_품목별!$H$3:$H$2984,데이터_품목별!$E$3:$E$2984,"25",데이터_품목별!$A$3:$A$2984,"2024.01")+SUMIFS(데이터_품목별!$H$3:$H$2984,데이터_품목별!$E$3:$E$2984,"26",데이터_품목별!$A$3:$A$2984,"2024.01")+SUMIFS(데이터_품목별!$H$3:$H$2984,데이터_품목별!$E$3:$E$2984,"27",데이터_품목별!$A$3:$A$2984,"2024.01")</f>
        <v>5108782</v>
      </c>
      <c r="D210" s="55" t="n">
        <f aca="false">SUMIFS(데이터_품목별!$H$3:$H$2984,데이터_품목별!$E$3:$E$2984,"25",데이터_품목별!$A$3:$A$2984,"2024.02")+SUMIFS(데이터_품목별!$H$3:$H$2984,데이터_품목별!$E$3:$E$2984,"26",데이터_품목별!$A$3:$A$2984,"2024.02")+SUMIFS(데이터_품목별!$H$3:$H$2984,데이터_품목별!$E$3:$E$2984,"27",데이터_품목별!$A$3:$A$2984,"2024.02")</f>
        <v>4751664</v>
      </c>
      <c r="E210" s="55" t="n">
        <f aca="false">SUMIFS(데이터_품목별!$H$3:$H$2984,데이터_품목별!$E$3:$E$2984,"25",데이터_품목별!$A$3:$A$2984,"2024.03")+SUMIFS(데이터_품목별!$H$3:$H$2984,데이터_품목별!$E$3:$E$2984,"26",데이터_품목별!$A$3:$A$2984,"2024.03")+SUMIFS(데이터_품목별!$H$3:$H$2984,데이터_품목별!$E$3:$E$2984,"27",데이터_품목별!$A$3:$A$2984,"2024.03")</f>
        <v>4983436</v>
      </c>
      <c r="F210" s="55" t="n">
        <f aca="false">SUMIFS(데이터_품목별!$H$3:$H$2984,데이터_품목별!$E$3:$E$2984,"25",데이터_품목별!$A$3:$A$2984,"2024.04")+SUMIFS(데이터_품목별!$H$3:$H$2984,데이터_품목별!$E$3:$E$2984,"26",데이터_품목별!$A$3:$A$2984,"2024.04")+SUMIFS(데이터_품목별!$H$3:$H$2984,데이터_품목별!$E$3:$E$2984,"27",데이터_품목별!$A$3:$A$2984,"2024.04")</f>
        <v>4608178</v>
      </c>
      <c r="G210" s="55" t="n">
        <f aca="false">SUMIFS(데이터_품목별!$H$3:$H$2984,데이터_품목별!$E$3:$E$2984,"25",데이터_품목별!$A$3:$A$2984,"2024.05")+SUMIFS(데이터_품목별!$H$3:$H$2984,데이터_품목별!$E$3:$E$2984,"26",데이터_품목별!$A$3:$A$2984,"2024.05")+SUMIFS(데이터_품목별!$H$3:$H$2984,데이터_품목별!$E$3:$E$2984,"27",데이터_품목별!$A$3:$A$2984,"2024.05")</f>
        <v>4869680</v>
      </c>
      <c r="H210" s="55" t="n">
        <f aca="false">SUMIFS(데이터_품목별!$H$3:$H$2984,데이터_품목별!$E$3:$E$2984,"25",데이터_품목별!$A$3:$A$2984,"2024.06")+SUMIFS(데이터_품목별!$H$3:$H$2984,데이터_품목별!$E$3:$E$2984,"26",데이터_품목별!$A$3:$A$2984,"2024.06")+SUMIFS(데이터_품목별!$H$3:$H$2984,데이터_품목별!$E$3:$E$2984,"27",데이터_품목별!$A$3:$A$2984,"2024.06")</f>
        <v>3959710</v>
      </c>
      <c r="I210" s="55" t="n">
        <f aca="false">SUMIFS(데이터_품목별!$H$3:$H$2984,데이터_품목별!$E$3:$E$2984,"25",데이터_품목별!$A$3:$A$2984,"2024.07")+SUMIFS(데이터_품목별!$H$3:$H$2984,데이터_품목별!$E$3:$E$2984,"26",데이터_품목별!$A$3:$A$2984,"2024.07")+SUMIFS(데이터_품목별!$H$3:$H$2984,데이터_품목별!$E$3:$E$2984,"27",데이터_품목별!$A$3:$A$2984,"2024.07")</f>
        <v>4769148</v>
      </c>
      <c r="J210" s="55" t="n">
        <f aca="false">SUMIFS(데이터_품목별!$H$3:$H$2984,데이터_품목별!$E$3:$E$2984,"25",데이터_품목별!$A$3:$A$2984,"2024.08")+SUMIFS(데이터_품목별!$H$3:$H$2984,데이터_품목별!$E$3:$E$2984,"26",데이터_품목별!$A$3:$A$2984,"2024.08")+SUMIFS(데이터_품목별!$H$3:$H$2984,데이터_품목별!$E$3:$E$2984,"27",데이터_품목별!$A$3:$A$2984,"2024.08")</f>
        <v>4693798</v>
      </c>
      <c r="K210" s="55" t="n">
        <f aca="false">SUMIFS(데이터_품목별!$H$3:$H$2984,데이터_품목별!$E$3:$E$2984,"25",데이터_품목별!$A$3:$A$2984,"2024.09")+SUMIFS(데이터_품목별!$H$3:$H$2984,데이터_품목별!$E$3:$E$2984,"26",데이터_품목별!$A$3:$A$2984,"2024.09")+SUMIFS(데이터_품목별!$H$3:$H$2984,데이터_품목별!$E$3:$E$2984,"27",데이터_품목별!$A$3:$A$2984,"2024.09")</f>
        <v>4287618</v>
      </c>
      <c r="L210" s="55" t="n">
        <f aca="false">SUMIFS(데이터_품목별!$H$3:$H$2984,데이터_품목별!$E$3:$E$2984,"25",데이터_품목별!$A$3:$A$2984,"2024.10")+SUMIFS(데이터_품목별!$H$3:$H$2984,데이터_품목별!$E$3:$E$2984,"26",데이터_품목별!$A$3:$A$2984,"2024.10")+SUMIFS(데이터_품목별!$H$3:$H$2984,데이터_품목별!$E$3:$E$2984,"27",데이터_품목별!$A$3:$A$2984,"2024.10")</f>
        <v>3681242</v>
      </c>
      <c r="M210" s="55" t="n">
        <f aca="false">SUMIFS(데이터_품목별!$H$3:$H$2984,데이터_품목별!$E$3:$E$2984,"25",데이터_품목별!$A$3:$A$2984,"2024.11")+SUMIFS(데이터_품목별!$H$3:$H$2984,데이터_품목별!$E$3:$E$2984,"26",데이터_품목별!$A$3:$A$2984,"2024.11")+SUMIFS(데이터_품목별!$H$3:$H$2984,데이터_품목별!$E$3:$E$2984,"27",데이터_품목별!$A$3:$A$2984,"2024.11")</f>
        <v>3931749</v>
      </c>
      <c r="N210" s="55" t="n">
        <f aca="false">SUMIFS(데이터_품목별!$H$3:$H$2984,데이터_품목별!$E$3:$E$2984,"25",데이터_품목별!$A$3:$A$2984,"2024.12")+SUMIFS(데이터_품목별!$H$3:$H$2984,데이터_품목별!$E$3:$E$2984,"26",데이터_품목별!$A$3:$A$2984,"2024.12")+SUMIFS(데이터_품목별!$H$3:$H$2984,데이터_품목별!$E$3:$E$2984,"27",데이터_품목별!$A$3:$A$2984,"2024.12")</f>
        <v>4233968</v>
      </c>
      <c r="O210" s="55" t="n">
        <f aca="false">SUMIFS(데이터_품목별!$H$3:$H$2984,데이터_품목별!$E$3:$E$2984,"25",데이터_품목별!$A$3:$A$2984,"2025.01")+SUMIFS(데이터_품목별!$H$3:$H$2984,데이터_품목별!$E$3:$E$2984,"26",데이터_품목별!$A$3:$A$2984,"2025.01")+SUMIFS(데이터_품목별!$H$3:$H$2984,데이터_품목별!$E$3:$E$2984,"27",데이터_품목별!$A$3:$A$2984,"2025.01")</f>
        <v>3676070</v>
      </c>
      <c r="P210" s="55" t="n">
        <f aca="false">SUMIFS(데이터_품목별!$H$3:$H$2984,데이터_품목별!$E$3:$E$2984,"25",데이터_품목별!$A$3:$A$2984,"2025.02")+SUMIFS(데이터_품목별!$H$3:$H$2984,데이터_품목별!$E$3:$E$2984,"26",데이터_품목별!$A$3:$A$2984,"2025.02")+SUMIFS(데이터_품목별!$H$3:$H$2984,데이터_품목별!$E$3:$E$2984,"27",데이터_품목별!$A$3:$A$2984,"2025.02")</f>
        <v>4138513</v>
      </c>
      <c r="Q210" s="55" t="n">
        <f aca="false">SUMIFS(데이터_품목별!$H$3:$H$2984,데이터_품목별!$E$3:$E$2984,"25",데이터_품목별!$A$3:$A$2984,"2025.03")+SUMIFS(데이터_품목별!$H$3:$H$2984,데이터_품목별!$E$3:$E$2984,"26",데이터_품목별!$A$3:$A$2984,"2025.03")+SUMIFS(데이터_품목별!$H$3:$H$2984,데이터_품목별!$E$3:$E$2984,"27",데이터_품목별!$A$3:$A$2984,"2025.03")</f>
        <v>3568387</v>
      </c>
      <c r="R210" s="55" t="n">
        <f aca="false">SUMIFS(데이터_품목별!$H$3:$H$2984,데이터_품목별!$E$3:$E$2984,"25",데이터_품목별!$A$3:$A$2984,"2025.04")+SUMIFS(데이터_품목별!$H$3:$H$2984,데이터_품목별!$E$3:$E$2984,"26",데이터_품목별!$A$3:$A$2984,"2025.04")+SUMIFS(데이터_품목별!$H$3:$H$2984,데이터_품목별!$E$3:$E$2984,"27",데이터_품목별!$A$3:$A$2984,"2025.04")</f>
        <v>3934628</v>
      </c>
      <c r="S210" s="55" t="n">
        <f aca="false">SUMIFS(데이터_품목별!$H$3:$H$2984,데이터_품목별!$E$3:$E$2984,"25",데이터_품목별!$A$3:$A$2984,"2025.05")+SUMIFS(데이터_품목별!$H$3:$H$2984,데이터_품목별!$E$3:$E$2984,"26",데이터_품목별!$A$3:$A$2984,"2025.05")+SUMIFS(데이터_품목별!$H$3:$H$2984,데이터_품목별!$E$3:$E$2984,"27",데이터_품목별!$A$3:$A$2984,"2025.05")</f>
        <v>3838189</v>
      </c>
      <c r="T210" s="55" t="n">
        <f aca="false">SUMIFS(데이터_품목별!$H$3:$H$2984,데이터_품목별!$E$3:$E$2984,"25",데이터_품목별!$A$3:$A$2984,"2025.06")+SUMIFS(데이터_품목별!$H$3:$H$2984,데이터_품목별!$E$3:$E$2984,"26",데이터_품목별!$A$3:$A$2984,"2025.06")+SUMIFS(데이터_품목별!$H$3:$H$2984,데이터_품목별!$E$3:$E$2984,"27",데이터_품목별!$A$3:$A$2984,"2025.06")</f>
        <v>4002024</v>
      </c>
      <c r="U210" s="55" t="n">
        <f aca="false">SUMIFS(데이터_품목별!$H$3:$H$2984,데이터_품목별!$E$3:$E$2984,"25",데이터_품목별!$A$3:$A$2984,"2025.07")+SUMIFS(데이터_품목별!$H$3:$H$2984,데이터_품목별!$E$3:$E$2984,"26",데이터_품목별!$A$3:$A$2984,"2025.07")+SUMIFS(데이터_품목별!$H$3:$H$2984,데이터_품목별!$E$3:$E$2984,"27",데이터_품목별!$A$3:$A$2984,"2025.07")</f>
        <v>4500193</v>
      </c>
      <c r="V210" s="55" t="n">
        <f aca="false">SUMIFS(데이터_품목별!$H$3:$H$2984,데이터_품목별!$E$3:$E$2984,"25",데이터_품목별!$A$3:$A$2984,"2025.08")+SUMIFS(데이터_품목별!$H$3:$H$2984,데이터_품목별!$E$3:$E$2984,"26",데이터_품목별!$A$3:$A$2984,"2025.08")+SUMIFS(데이터_품목별!$H$3:$H$2984,데이터_품목별!$E$3:$E$2984,"27",데이터_품목별!$A$3:$A$2984,"2025.08")</f>
        <v>4364155</v>
      </c>
      <c r="W210" s="55" t="n">
        <f aca="false">SUMIFS(데이터_품목별!$H$3:$H$2984,데이터_품목별!$E$3:$E$2984,"25",데이터_품목별!$A$3:$A$2984,"2025.09")+SUMIFS(데이터_품목별!$H$3:$H$2984,데이터_품목별!$E$3:$E$2984,"26",데이터_품목별!$A$3:$A$2984,"2025.09")+SUMIFS(데이터_품목별!$H$3:$H$2984,데이터_품목별!$E$3:$E$2984,"27",데이터_품목별!$A$3:$A$2984,"2025.09")</f>
        <v>4431002</v>
      </c>
      <c r="X210" s="55" t="n">
        <f aca="false">SUMIFS(데이터_품목별!$H$3:$H$2984,데이터_품목별!$E$3:$E$2984,"25",데이터_품목별!$A$3:$A$2984,"2025.10")+SUMIFS(데이터_품목별!$H$3:$H$2984,데이터_품목별!$E$3:$E$2984,"26",데이터_품목별!$A$3:$A$2984,"2025.10")+SUMIFS(데이터_품목별!$H$3:$H$2984,데이터_품목별!$E$3:$E$2984,"27",데이터_품목별!$A$3:$A$2984,"2025.10")</f>
        <v>4028585</v>
      </c>
      <c r="Y210" s="55" t="n">
        <f aca="false">SUMIFS(데이터_품목별!$H$3:$H$2984,데이터_품목별!$E$3:$E$2984,"25",데이터_품목별!$A$3:$A$2984,"2025.11")+SUMIFS(데이터_품목별!$H$3:$H$2984,데이터_품목별!$E$3:$E$2984,"26",데이터_품목별!$A$3:$A$2984,"2025.11")+SUMIFS(데이터_품목별!$H$3:$H$2984,데이터_품목별!$E$3:$E$2984,"27",데이터_품목별!$A$3:$A$2984,"2025.11")</f>
        <v>3501590</v>
      </c>
      <c r="Z210" s="55" t="n">
        <f aca="false">SUMIFS(데이터_품목별!$H$3:$H$2984,데이터_품목별!$E$3:$E$2984,"25",데이터_품목별!$A$3:$A$2984,"2025.12")+SUMIFS(데이터_품목별!$H$3:$H$2984,데이터_품목별!$E$3:$E$2984,"26",데이터_품목별!$A$3:$A$2984,"2025.12")+SUMIFS(데이터_품목별!$H$3:$H$2984,데이터_품목별!$E$3:$E$2984,"27",데이터_품목별!$A$3:$A$2984,"2025.12")</f>
        <v>4420174</v>
      </c>
      <c r="AA210" s="55" t="n">
        <f aca="false">SUMIFS(데이터_품목별!$H$3:$H$2984,데이터_품목별!$E$3:$E$2984,"25",데이터_품목별!$A$3:$A$2984,"2026.01")+SUMIFS(데이터_품목별!$H$3:$H$2984,데이터_품목별!$E$3:$E$2984,"26",데이터_품목별!$A$3:$A$2984,"2026.01")+SUMIFS(데이터_품목별!$H$3:$H$2984,데이터_품목별!$E$3:$E$2984,"27",데이터_품목별!$A$3:$A$2984,"2026.01")</f>
        <v>3991203</v>
      </c>
      <c r="AB210" s="55" t="n">
        <f aca="false">SUMIFS(데이터_품목별!$H$3:$H$2984,데이터_품목별!$E$3:$E$2984,"25",데이터_품목별!$A$3:$A$2984,"2026.02")+SUMIFS(데이터_품목별!$H$3:$H$2984,데이터_품목별!$E$3:$E$2984,"26",데이터_품목별!$A$3:$A$2984,"2026.02")+SUMIFS(데이터_품목별!$H$3:$H$2984,데이터_품목별!$E$3:$E$2984,"27",데이터_품목별!$A$3:$A$2984,"2026.02")</f>
        <v>4330872</v>
      </c>
      <c r="AC210" s="55" t="n">
        <f aca="false">SUMIFS(데이터_품목별!$H$3:$H$2984,데이터_품목별!$E$3:$E$2984,"25",데이터_품목별!$A$3:$A$2984,"2026.03")+SUMIFS(데이터_품목별!$H$3:$H$2984,데이터_품목별!$E$3:$E$2984,"26",데이터_품목별!$A$3:$A$2984,"2026.03")+SUMIFS(데이터_품목별!$H$3:$H$2984,데이터_품목별!$E$3:$E$2984,"27",데이터_품목별!$A$3:$A$2984,"2026.03")</f>
        <v>6540724</v>
      </c>
      <c r="AD210" s="55" t="n">
        <f aca="false">SUMIFS(데이터_품목별!$H$3:$H$2984,데이터_품목별!$E$3:$E$2984,"25",데이터_품목별!$A$3:$A$2984,"2026.04")+SUMIFS(데이터_품목별!$H$3:$H$2984,데이터_품목별!$E$3:$E$2984,"26",데이터_품목별!$A$3:$A$2984,"2026.04")+SUMIFS(데이터_품목별!$H$3:$H$2984,데이터_품목별!$E$3:$E$2984,"27",데이터_품목별!$A$3:$A$2984,"2026.04")</f>
        <v>5236071</v>
      </c>
      <c r="AE210" s="55" t="n">
        <f aca="false">SUMIFS(데이터_품목별!$H$3:$H$2984,데이터_품목별!$E$3:$E$2984,"25",데이터_품목별!$A$3:$A$2984,"2026.05")+SUMIFS(데이터_품목별!$H$3:$H$2984,데이터_품목별!$E$3:$E$2984,"26",데이터_품목별!$A$3:$A$2984,"2026.05")+SUMIFS(데이터_품목별!$H$3:$H$2984,데이터_품목별!$E$3:$E$2984,"27",데이터_품목별!$A$3:$A$2984,"2026.05")</f>
        <v>5415477</v>
      </c>
      <c r="AF210" s="55" t="n">
        <f aca="false">SUMIFS(데이터_품목별!$H$3:$H$2984,데이터_품목별!$E$3:$E$2984,"25",데이터_품목별!$A$3:$A$2984,"2026.06")+SUMIFS(데이터_품목별!$H$3:$H$2984,데이터_품목별!$E$3:$E$2984,"26",데이터_품목별!$A$3:$A$2984,"2026.06")+SUMIFS(데이터_품목별!$H$3:$H$2984,데이터_품목별!$E$3:$E$2984,"27",데이터_품목별!$A$3:$A$2984,"2026.06")</f>
        <v>5656645</v>
      </c>
      <c r="AG210" s="55" t="n">
        <f aca="false">SUMIFS(데이터_품목별!$H$3:$H$2984,데이터_품목별!$E$3:$E$2984,"25",데이터_품목별!$A$3:$A$2984,"2026.07")+SUMIFS(데이터_품목별!$H$3:$H$2984,데이터_품목별!$E$3:$E$2984,"26",데이터_품목별!$A$3:$A$2984,"2026.07")+SUMIFS(데이터_품목별!$H$3:$H$2984,데이터_품목별!$E$3:$E$2984,"27",데이터_품목별!$A$3:$A$2984,"2026.07")</f>
        <v>6030491</v>
      </c>
    </row>
    <row r="211" customFormat="false" ht="15" hidden="false" customHeight="true" outlineLevel="0" collapsed="false">
      <c r="A211" s="53" t="s">
        <v>19810</v>
      </c>
      <c r="B211" s="46" t="s">
        <v>19811</v>
      </c>
      <c r="C211" s="55" t="n">
        <f aca="false">SUMIFS(데이터_품목별!$H$3:$H$2984,데이터_품목별!$E$3:$E$2984,"28",데이터_품목별!$A$3:$A$2984,"2024.01")+SUMIFS(데이터_품목별!$H$3:$H$2984,데이터_품목별!$E$3:$E$2984,"29",데이터_품목별!$A$3:$A$2984,"2024.01")+SUMIFS(데이터_품목별!$H$3:$H$2984,데이터_품목별!$E$3:$E$2984,"30",데이터_품목별!$A$3:$A$2984,"2024.01")+SUMIFS(데이터_품목별!$H$3:$H$2984,데이터_품목별!$E$3:$E$2984,"31",데이터_품목별!$A$3:$A$2984,"2024.01")+SUMIFS(데이터_품목별!$H$3:$H$2984,데이터_품목별!$E$3:$E$2984,"32",데이터_품목별!$A$3:$A$2984,"2024.01")+SUMIFS(데이터_품목별!$H$3:$H$2984,데이터_품목별!$E$3:$E$2984,"33",데이터_품목별!$A$3:$A$2984,"2024.01")+SUMIFS(데이터_품목별!$H$3:$H$2984,데이터_품목별!$E$3:$E$2984,"34",데이터_품목별!$A$3:$A$2984,"2024.01")+SUMIFS(데이터_품목별!$H$3:$H$2984,데이터_품목별!$E$3:$E$2984,"35",데이터_품목별!$A$3:$A$2984,"2024.01")+SUMIFS(데이터_품목별!$H$3:$H$2984,데이터_품목별!$E$3:$E$2984,"36",데이터_품목별!$A$3:$A$2984,"2024.01")+SUMIFS(데이터_품목별!$H$3:$H$2984,데이터_품목별!$E$3:$E$2984,"37",데이터_품목별!$A$3:$A$2984,"2024.01")+SUMIFS(데이터_품목별!$H$3:$H$2984,데이터_품목별!$E$3:$E$2984,"38",데이터_품목별!$A$3:$A$2984,"2024.01")</f>
        <v>5319249</v>
      </c>
      <c r="D211" s="55" t="n">
        <f aca="false">SUMIFS(데이터_품목별!$H$3:$H$2984,데이터_품목별!$E$3:$E$2984,"28",데이터_품목별!$A$3:$A$2984,"2024.02")+SUMIFS(데이터_품목별!$H$3:$H$2984,데이터_품목별!$E$3:$E$2984,"29",데이터_품목별!$A$3:$A$2984,"2024.02")+SUMIFS(데이터_품목별!$H$3:$H$2984,데이터_품목별!$E$3:$E$2984,"30",데이터_품목별!$A$3:$A$2984,"2024.02")+SUMIFS(데이터_품목별!$H$3:$H$2984,데이터_품목별!$E$3:$E$2984,"31",데이터_품목별!$A$3:$A$2984,"2024.02")+SUMIFS(데이터_품목별!$H$3:$H$2984,데이터_품목별!$E$3:$E$2984,"32",데이터_품목별!$A$3:$A$2984,"2024.02")+SUMIFS(데이터_품목별!$H$3:$H$2984,데이터_품목별!$E$3:$E$2984,"33",데이터_품목별!$A$3:$A$2984,"2024.02")+SUMIFS(데이터_품목별!$H$3:$H$2984,데이터_품목별!$E$3:$E$2984,"34",데이터_품목별!$A$3:$A$2984,"2024.02")+SUMIFS(데이터_품목별!$H$3:$H$2984,데이터_품목별!$E$3:$E$2984,"35",데이터_품목별!$A$3:$A$2984,"2024.02")+SUMIFS(데이터_품목별!$H$3:$H$2984,데이터_품목별!$E$3:$E$2984,"36",데이터_품목별!$A$3:$A$2984,"2024.02")+SUMIFS(데이터_품목별!$H$3:$H$2984,데이터_품목별!$E$3:$E$2984,"37",데이터_품목별!$A$3:$A$2984,"2024.02")+SUMIFS(데이터_품목별!$H$3:$H$2984,데이터_품목별!$E$3:$E$2984,"38",데이터_품목별!$A$3:$A$2984,"2024.02")</f>
        <v>5208309</v>
      </c>
      <c r="E211" s="55" t="n">
        <f aca="false">SUMIFS(데이터_품목별!$H$3:$H$2984,데이터_품목별!$E$3:$E$2984,"28",데이터_품목별!$A$3:$A$2984,"2024.03")+SUMIFS(데이터_품목별!$H$3:$H$2984,데이터_품목별!$E$3:$E$2984,"29",데이터_품목별!$A$3:$A$2984,"2024.03")+SUMIFS(데이터_품목별!$H$3:$H$2984,데이터_품목별!$E$3:$E$2984,"30",데이터_품목별!$A$3:$A$2984,"2024.03")+SUMIFS(데이터_품목별!$H$3:$H$2984,데이터_품목별!$E$3:$E$2984,"31",데이터_품목별!$A$3:$A$2984,"2024.03")+SUMIFS(데이터_품목별!$H$3:$H$2984,데이터_품목별!$E$3:$E$2984,"32",데이터_품목별!$A$3:$A$2984,"2024.03")+SUMIFS(데이터_품목별!$H$3:$H$2984,데이터_품목별!$E$3:$E$2984,"33",데이터_품목별!$A$3:$A$2984,"2024.03")+SUMIFS(데이터_품목별!$H$3:$H$2984,데이터_품목별!$E$3:$E$2984,"34",데이터_품목별!$A$3:$A$2984,"2024.03")+SUMIFS(데이터_품목별!$H$3:$H$2984,데이터_품목별!$E$3:$E$2984,"35",데이터_품목별!$A$3:$A$2984,"2024.03")+SUMIFS(데이터_품목별!$H$3:$H$2984,데이터_품목별!$E$3:$E$2984,"36",데이터_품목별!$A$3:$A$2984,"2024.03")+SUMIFS(데이터_품목별!$H$3:$H$2984,데이터_품목별!$E$3:$E$2984,"37",데이터_품목별!$A$3:$A$2984,"2024.03")+SUMIFS(데이터_품목별!$H$3:$H$2984,데이터_품목별!$E$3:$E$2984,"38",데이터_품목별!$A$3:$A$2984,"2024.03")</f>
        <v>5297649</v>
      </c>
      <c r="F211" s="55" t="n">
        <f aca="false">SUMIFS(데이터_품목별!$H$3:$H$2984,데이터_품목별!$E$3:$E$2984,"28",데이터_품목별!$A$3:$A$2984,"2024.04")+SUMIFS(데이터_품목별!$H$3:$H$2984,데이터_품목별!$E$3:$E$2984,"29",데이터_품목별!$A$3:$A$2984,"2024.04")+SUMIFS(데이터_품목별!$H$3:$H$2984,데이터_품목별!$E$3:$E$2984,"30",데이터_품목별!$A$3:$A$2984,"2024.04")+SUMIFS(데이터_품목별!$H$3:$H$2984,데이터_품목별!$E$3:$E$2984,"31",데이터_품목별!$A$3:$A$2984,"2024.04")+SUMIFS(데이터_품목별!$H$3:$H$2984,데이터_품목별!$E$3:$E$2984,"32",데이터_품목별!$A$3:$A$2984,"2024.04")+SUMIFS(데이터_품목별!$H$3:$H$2984,데이터_품목별!$E$3:$E$2984,"33",데이터_품목별!$A$3:$A$2984,"2024.04")+SUMIFS(데이터_품목별!$H$3:$H$2984,데이터_품목별!$E$3:$E$2984,"34",데이터_품목별!$A$3:$A$2984,"2024.04")+SUMIFS(데이터_품목별!$H$3:$H$2984,데이터_품목별!$E$3:$E$2984,"35",데이터_품목별!$A$3:$A$2984,"2024.04")+SUMIFS(데이터_품목별!$H$3:$H$2984,데이터_품목별!$E$3:$E$2984,"36",데이터_품목별!$A$3:$A$2984,"2024.04")+SUMIFS(데이터_품목별!$H$3:$H$2984,데이터_품목별!$E$3:$E$2984,"37",데이터_품목별!$A$3:$A$2984,"2024.04")+SUMIFS(데이터_품목별!$H$3:$H$2984,데이터_품목별!$E$3:$E$2984,"38",데이터_품목별!$A$3:$A$2984,"2024.04")</f>
        <v>5666455</v>
      </c>
      <c r="G211" s="55" t="n">
        <f aca="false">SUMIFS(데이터_품목별!$H$3:$H$2984,데이터_품목별!$E$3:$E$2984,"28",데이터_품목별!$A$3:$A$2984,"2024.05")+SUMIFS(데이터_품목별!$H$3:$H$2984,데이터_품목별!$E$3:$E$2984,"29",데이터_품목별!$A$3:$A$2984,"2024.05")+SUMIFS(데이터_품목별!$H$3:$H$2984,데이터_품목별!$E$3:$E$2984,"30",데이터_품목별!$A$3:$A$2984,"2024.05")+SUMIFS(데이터_품목별!$H$3:$H$2984,데이터_품목별!$E$3:$E$2984,"31",데이터_품목별!$A$3:$A$2984,"2024.05")+SUMIFS(데이터_품목별!$H$3:$H$2984,데이터_품목별!$E$3:$E$2984,"32",데이터_품목별!$A$3:$A$2984,"2024.05")+SUMIFS(데이터_품목별!$H$3:$H$2984,데이터_품목별!$E$3:$E$2984,"33",데이터_품목별!$A$3:$A$2984,"2024.05")+SUMIFS(데이터_품목별!$H$3:$H$2984,데이터_품목별!$E$3:$E$2984,"34",데이터_품목별!$A$3:$A$2984,"2024.05")+SUMIFS(데이터_품목별!$H$3:$H$2984,데이터_품목별!$E$3:$E$2984,"35",데이터_품목별!$A$3:$A$2984,"2024.05")+SUMIFS(데이터_품목별!$H$3:$H$2984,데이터_품목별!$E$3:$E$2984,"36",데이터_품목별!$A$3:$A$2984,"2024.05")+SUMIFS(데이터_품목별!$H$3:$H$2984,데이터_품목별!$E$3:$E$2984,"37",데이터_품목별!$A$3:$A$2984,"2024.05")+SUMIFS(데이터_품목별!$H$3:$H$2984,데이터_품목별!$E$3:$E$2984,"38",데이터_품목별!$A$3:$A$2984,"2024.05")</f>
        <v>5379838</v>
      </c>
      <c r="H211" s="55" t="n">
        <f aca="false">SUMIFS(데이터_품목별!$H$3:$H$2984,데이터_품목별!$E$3:$E$2984,"28",데이터_품목별!$A$3:$A$2984,"2024.06")+SUMIFS(데이터_품목별!$H$3:$H$2984,데이터_품목별!$E$3:$E$2984,"29",데이터_품목별!$A$3:$A$2984,"2024.06")+SUMIFS(데이터_품목별!$H$3:$H$2984,데이터_품목별!$E$3:$E$2984,"30",데이터_품목별!$A$3:$A$2984,"2024.06")+SUMIFS(데이터_품목별!$H$3:$H$2984,데이터_품목별!$E$3:$E$2984,"31",데이터_품목별!$A$3:$A$2984,"2024.06")+SUMIFS(데이터_품목별!$H$3:$H$2984,데이터_품목별!$E$3:$E$2984,"32",데이터_품목별!$A$3:$A$2984,"2024.06")+SUMIFS(데이터_품목별!$H$3:$H$2984,데이터_품목별!$E$3:$E$2984,"33",데이터_품목별!$A$3:$A$2984,"2024.06")+SUMIFS(데이터_품목별!$H$3:$H$2984,데이터_품목별!$E$3:$E$2984,"34",데이터_품목별!$A$3:$A$2984,"2024.06")+SUMIFS(데이터_품목별!$H$3:$H$2984,데이터_품목별!$E$3:$E$2984,"35",데이터_품목별!$A$3:$A$2984,"2024.06")+SUMIFS(데이터_품목별!$H$3:$H$2984,데이터_품목별!$E$3:$E$2984,"36",데이터_품목별!$A$3:$A$2984,"2024.06")+SUMIFS(데이터_품목별!$H$3:$H$2984,데이터_품목별!$E$3:$E$2984,"37",데이터_품목별!$A$3:$A$2984,"2024.06")+SUMIFS(데이터_품목별!$H$3:$H$2984,데이터_품목별!$E$3:$E$2984,"38",데이터_품목별!$A$3:$A$2984,"2024.06")</f>
        <v>4981523</v>
      </c>
      <c r="I211" s="55" t="n">
        <f aca="false">SUMIFS(데이터_품목별!$H$3:$H$2984,데이터_품목별!$E$3:$E$2984,"28",데이터_품목별!$A$3:$A$2984,"2024.07")+SUMIFS(데이터_품목별!$H$3:$H$2984,데이터_품목별!$E$3:$E$2984,"29",데이터_품목별!$A$3:$A$2984,"2024.07")+SUMIFS(데이터_품목별!$H$3:$H$2984,데이터_품목별!$E$3:$E$2984,"30",데이터_품목별!$A$3:$A$2984,"2024.07")+SUMIFS(데이터_품목별!$H$3:$H$2984,데이터_품목별!$E$3:$E$2984,"31",데이터_품목별!$A$3:$A$2984,"2024.07")+SUMIFS(데이터_품목별!$H$3:$H$2984,데이터_품목별!$E$3:$E$2984,"32",데이터_품목별!$A$3:$A$2984,"2024.07")+SUMIFS(데이터_품목별!$H$3:$H$2984,데이터_품목별!$E$3:$E$2984,"33",데이터_품목별!$A$3:$A$2984,"2024.07")+SUMIFS(데이터_품목별!$H$3:$H$2984,데이터_품목별!$E$3:$E$2984,"34",데이터_품목별!$A$3:$A$2984,"2024.07")+SUMIFS(데이터_품목별!$H$3:$H$2984,데이터_품목별!$E$3:$E$2984,"35",데이터_품목별!$A$3:$A$2984,"2024.07")+SUMIFS(데이터_품목별!$H$3:$H$2984,데이터_품목별!$E$3:$E$2984,"36",데이터_품목별!$A$3:$A$2984,"2024.07")+SUMIFS(데이터_품목별!$H$3:$H$2984,데이터_품목별!$E$3:$E$2984,"37",데이터_품목별!$A$3:$A$2984,"2024.07")+SUMIFS(데이터_품목별!$H$3:$H$2984,데이터_품목별!$E$3:$E$2984,"38",데이터_품목별!$A$3:$A$2984,"2024.07")</f>
        <v>5361346</v>
      </c>
      <c r="J211" s="55" t="n">
        <f aca="false">SUMIFS(데이터_품목별!$H$3:$H$2984,데이터_품목별!$E$3:$E$2984,"28",데이터_품목별!$A$3:$A$2984,"2024.08")+SUMIFS(데이터_품목별!$H$3:$H$2984,데이터_품목별!$E$3:$E$2984,"29",데이터_품목별!$A$3:$A$2984,"2024.08")+SUMIFS(데이터_품목별!$H$3:$H$2984,데이터_품목별!$E$3:$E$2984,"30",데이터_품목별!$A$3:$A$2984,"2024.08")+SUMIFS(데이터_품목별!$H$3:$H$2984,데이터_품목별!$E$3:$E$2984,"31",데이터_품목별!$A$3:$A$2984,"2024.08")+SUMIFS(데이터_품목별!$H$3:$H$2984,데이터_품목별!$E$3:$E$2984,"32",데이터_품목별!$A$3:$A$2984,"2024.08")+SUMIFS(데이터_품목별!$H$3:$H$2984,데이터_품목별!$E$3:$E$2984,"33",데이터_품목별!$A$3:$A$2984,"2024.08")+SUMIFS(데이터_품목별!$H$3:$H$2984,데이터_품목별!$E$3:$E$2984,"34",데이터_품목별!$A$3:$A$2984,"2024.08")+SUMIFS(데이터_품목별!$H$3:$H$2984,데이터_품목별!$E$3:$E$2984,"35",데이터_품목별!$A$3:$A$2984,"2024.08")+SUMIFS(데이터_품목별!$H$3:$H$2984,데이터_품목별!$E$3:$E$2984,"36",데이터_품목별!$A$3:$A$2984,"2024.08")+SUMIFS(데이터_품목별!$H$3:$H$2984,데이터_품목별!$E$3:$E$2984,"37",데이터_품목별!$A$3:$A$2984,"2024.08")+SUMIFS(데이터_품목별!$H$3:$H$2984,데이터_품목별!$E$3:$E$2984,"38",데이터_품목별!$A$3:$A$2984,"2024.08")</f>
        <v>5435473</v>
      </c>
      <c r="K211" s="55" t="n">
        <f aca="false">SUMIFS(데이터_품목별!$H$3:$H$2984,데이터_품목별!$E$3:$E$2984,"28",데이터_품목별!$A$3:$A$2984,"2024.09")+SUMIFS(데이터_품목별!$H$3:$H$2984,데이터_품목별!$E$3:$E$2984,"29",데이터_품목별!$A$3:$A$2984,"2024.09")+SUMIFS(데이터_품목별!$H$3:$H$2984,데이터_품목별!$E$3:$E$2984,"30",데이터_품목별!$A$3:$A$2984,"2024.09")+SUMIFS(데이터_품목별!$H$3:$H$2984,데이터_품목별!$E$3:$E$2984,"31",데이터_품목별!$A$3:$A$2984,"2024.09")+SUMIFS(데이터_품목별!$H$3:$H$2984,데이터_품목별!$E$3:$E$2984,"32",데이터_품목별!$A$3:$A$2984,"2024.09")+SUMIFS(데이터_품목별!$H$3:$H$2984,데이터_품목별!$E$3:$E$2984,"33",데이터_품목별!$A$3:$A$2984,"2024.09")+SUMIFS(데이터_품목별!$H$3:$H$2984,데이터_품목별!$E$3:$E$2984,"34",데이터_품목별!$A$3:$A$2984,"2024.09")+SUMIFS(데이터_품목별!$H$3:$H$2984,데이터_품목별!$E$3:$E$2984,"35",데이터_품목별!$A$3:$A$2984,"2024.09")+SUMIFS(데이터_품목별!$H$3:$H$2984,데이터_품목별!$E$3:$E$2984,"36",데이터_품목별!$A$3:$A$2984,"2024.09")+SUMIFS(데이터_품목별!$H$3:$H$2984,데이터_품목별!$E$3:$E$2984,"37",데이터_품목별!$A$3:$A$2984,"2024.09")+SUMIFS(데이터_품목별!$H$3:$H$2984,데이터_품목별!$E$3:$E$2984,"38",데이터_품목별!$A$3:$A$2984,"2024.09")</f>
        <v>5147064</v>
      </c>
      <c r="L211" s="55" t="n">
        <f aca="false">SUMIFS(데이터_품목별!$H$3:$H$2984,데이터_품목별!$E$3:$E$2984,"28",데이터_품목별!$A$3:$A$2984,"2024.10")+SUMIFS(데이터_품목별!$H$3:$H$2984,데이터_품목별!$E$3:$E$2984,"29",데이터_품목별!$A$3:$A$2984,"2024.10")+SUMIFS(데이터_품목별!$H$3:$H$2984,데이터_품목별!$E$3:$E$2984,"30",데이터_품목별!$A$3:$A$2984,"2024.10")+SUMIFS(데이터_품목별!$H$3:$H$2984,데이터_품목별!$E$3:$E$2984,"31",데이터_품목별!$A$3:$A$2984,"2024.10")+SUMIFS(데이터_품목별!$H$3:$H$2984,데이터_품목별!$E$3:$E$2984,"32",데이터_품목별!$A$3:$A$2984,"2024.10")+SUMIFS(데이터_품목별!$H$3:$H$2984,데이터_품목별!$E$3:$E$2984,"33",데이터_품목별!$A$3:$A$2984,"2024.10")+SUMIFS(데이터_품목별!$H$3:$H$2984,데이터_품목별!$E$3:$E$2984,"34",데이터_품목별!$A$3:$A$2984,"2024.10")+SUMIFS(데이터_품목별!$H$3:$H$2984,데이터_품목별!$E$3:$E$2984,"35",데이터_품목별!$A$3:$A$2984,"2024.10")+SUMIFS(데이터_품목별!$H$3:$H$2984,데이터_품목별!$E$3:$E$2984,"36",데이터_품목별!$A$3:$A$2984,"2024.10")+SUMIFS(데이터_품목별!$H$3:$H$2984,데이터_품목별!$E$3:$E$2984,"37",데이터_품목별!$A$3:$A$2984,"2024.10")+SUMIFS(데이터_품목별!$H$3:$H$2984,데이터_품목별!$E$3:$E$2984,"38",데이터_품목별!$A$3:$A$2984,"2024.10")</f>
        <v>5308627</v>
      </c>
      <c r="M211" s="55" t="n">
        <f aca="false">SUMIFS(데이터_품목별!$H$3:$H$2984,데이터_품목별!$E$3:$E$2984,"28",데이터_품목별!$A$3:$A$2984,"2024.11")+SUMIFS(데이터_품목별!$H$3:$H$2984,데이터_품목별!$E$3:$E$2984,"29",데이터_품목별!$A$3:$A$2984,"2024.11")+SUMIFS(데이터_품목별!$H$3:$H$2984,데이터_품목별!$E$3:$E$2984,"30",데이터_품목별!$A$3:$A$2984,"2024.11")+SUMIFS(데이터_품목별!$H$3:$H$2984,데이터_품목별!$E$3:$E$2984,"31",데이터_품목별!$A$3:$A$2984,"2024.11")+SUMIFS(데이터_품목별!$H$3:$H$2984,데이터_품목별!$E$3:$E$2984,"32",데이터_품목별!$A$3:$A$2984,"2024.11")+SUMIFS(데이터_품목별!$H$3:$H$2984,데이터_품목별!$E$3:$E$2984,"33",데이터_품목별!$A$3:$A$2984,"2024.11")+SUMIFS(데이터_품목별!$H$3:$H$2984,데이터_품목별!$E$3:$E$2984,"34",데이터_품목별!$A$3:$A$2984,"2024.11")+SUMIFS(데이터_품목별!$H$3:$H$2984,데이터_품목별!$E$3:$E$2984,"35",데이터_품목별!$A$3:$A$2984,"2024.11")+SUMIFS(데이터_품목별!$H$3:$H$2984,데이터_품목별!$E$3:$E$2984,"36",데이터_품목별!$A$3:$A$2984,"2024.11")+SUMIFS(데이터_품목별!$H$3:$H$2984,데이터_품목별!$E$3:$E$2984,"37",데이터_품목별!$A$3:$A$2984,"2024.11")+SUMIFS(데이터_품목별!$H$3:$H$2984,데이터_품목별!$E$3:$E$2984,"38",데이터_품목별!$A$3:$A$2984,"2024.11")</f>
        <v>5020656</v>
      </c>
      <c r="N211" s="55" t="n">
        <f aca="false">SUMIFS(데이터_품목별!$H$3:$H$2984,데이터_품목별!$E$3:$E$2984,"28",데이터_품목별!$A$3:$A$2984,"2024.12")+SUMIFS(데이터_품목별!$H$3:$H$2984,데이터_품목별!$E$3:$E$2984,"29",데이터_품목별!$A$3:$A$2984,"2024.12")+SUMIFS(데이터_품목별!$H$3:$H$2984,데이터_품목별!$E$3:$E$2984,"30",데이터_품목별!$A$3:$A$2984,"2024.12")+SUMIFS(데이터_품목별!$H$3:$H$2984,데이터_품목별!$E$3:$E$2984,"31",데이터_품목별!$A$3:$A$2984,"2024.12")+SUMIFS(데이터_품목별!$H$3:$H$2984,데이터_품목별!$E$3:$E$2984,"32",데이터_품목별!$A$3:$A$2984,"2024.12")+SUMIFS(데이터_품목별!$H$3:$H$2984,데이터_품목별!$E$3:$E$2984,"33",데이터_품목별!$A$3:$A$2984,"2024.12")+SUMIFS(데이터_품목별!$H$3:$H$2984,데이터_품목별!$E$3:$E$2984,"34",데이터_품목별!$A$3:$A$2984,"2024.12")+SUMIFS(데이터_품목별!$H$3:$H$2984,데이터_품목별!$E$3:$E$2984,"35",데이터_품목별!$A$3:$A$2984,"2024.12")+SUMIFS(데이터_품목별!$H$3:$H$2984,데이터_품목별!$E$3:$E$2984,"36",데이터_품목별!$A$3:$A$2984,"2024.12")+SUMIFS(데이터_품목별!$H$3:$H$2984,데이터_품목별!$E$3:$E$2984,"37",데이터_품목별!$A$3:$A$2984,"2024.12")+SUMIFS(데이터_품목별!$H$3:$H$2984,데이터_품목별!$E$3:$E$2984,"38",데이터_품목별!$A$3:$A$2984,"2024.12")</f>
        <v>5281853</v>
      </c>
      <c r="O211" s="55" t="n">
        <f aca="false">SUMIFS(데이터_품목별!$H$3:$H$2984,데이터_품목별!$E$3:$E$2984,"28",데이터_품목별!$A$3:$A$2984,"2025.01")+SUMIFS(데이터_품목별!$H$3:$H$2984,데이터_품목별!$E$3:$E$2984,"29",데이터_품목별!$A$3:$A$2984,"2025.01")+SUMIFS(데이터_품목별!$H$3:$H$2984,데이터_품목별!$E$3:$E$2984,"30",데이터_품목별!$A$3:$A$2984,"2025.01")+SUMIFS(데이터_품목별!$H$3:$H$2984,데이터_품목별!$E$3:$E$2984,"31",데이터_품목별!$A$3:$A$2984,"2025.01")+SUMIFS(데이터_품목별!$H$3:$H$2984,데이터_품목별!$E$3:$E$2984,"32",데이터_품목별!$A$3:$A$2984,"2025.01")+SUMIFS(데이터_품목별!$H$3:$H$2984,데이터_품목별!$E$3:$E$2984,"33",데이터_품목별!$A$3:$A$2984,"2025.01")+SUMIFS(데이터_품목별!$H$3:$H$2984,데이터_품목별!$E$3:$E$2984,"34",데이터_품목별!$A$3:$A$2984,"2025.01")+SUMIFS(데이터_품목별!$H$3:$H$2984,데이터_품목별!$E$3:$E$2984,"35",데이터_품목별!$A$3:$A$2984,"2025.01")+SUMIFS(데이터_품목별!$H$3:$H$2984,데이터_품목별!$E$3:$E$2984,"36",데이터_품목별!$A$3:$A$2984,"2025.01")+SUMIFS(데이터_품목별!$H$3:$H$2984,데이터_품목별!$E$3:$E$2984,"37",데이터_품목별!$A$3:$A$2984,"2025.01")+SUMIFS(데이터_품목별!$H$3:$H$2984,데이터_품목별!$E$3:$E$2984,"38",데이터_품목별!$A$3:$A$2984,"2025.01")</f>
        <v>4762436</v>
      </c>
      <c r="P211" s="55" t="n">
        <f aca="false">SUMIFS(데이터_품목별!$H$3:$H$2984,데이터_품목별!$E$3:$E$2984,"28",데이터_품목별!$A$3:$A$2984,"2025.02")+SUMIFS(데이터_품목별!$H$3:$H$2984,데이터_품목별!$E$3:$E$2984,"29",데이터_품목별!$A$3:$A$2984,"2025.02")+SUMIFS(데이터_품목별!$H$3:$H$2984,데이터_품목별!$E$3:$E$2984,"30",데이터_품목별!$A$3:$A$2984,"2025.02")+SUMIFS(데이터_품목별!$H$3:$H$2984,데이터_품목별!$E$3:$E$2984,"31",데이터_품목별!$A$3:$A$2984,"2025.02")+SUMIFS(데이터_품목별!$H$3:$H$2984,데이터_품목별!$E$3:$E$2984,"32",데이터_품목별!$A$3:$A$2984,"2025.02")+SUMIFS(데이터_품목별!$H$3:$H$2984,데이터_품목별!$E$3:$E$2984,"33",데이터_품목별!$A$3:$A$2984,"2025.02")+SUMIFS(데이터_품목별!$H$3:$H$2984,데이터_품목별!$E$3:$E$2984,"34",데이터_품목별!$A$3:$A$2984,"2025.02")+SUMIFS(데이터_품목별!$H$3:$H$2984,데이터_품목별!$E$3:$E$2984,"35",데이터_품목별!$A$3:$A$2984,"2025.02")+SUMIFS(데이터_품목별!$H$3:$H$2984,데이터_품목별!$E$3:$E$2984,"36",데이터_품목별!$A$3:$A$2984,"2025.02")+SUMIFS(데이터_품목별!$H$3:$H$2984,데이터_품목별!$E$3:$E$2984,"37",데이터_품목별!$A$3:$A$2984,"2025.02")+SUMIFS(데이터_품목별!$H$3:$H$2984,데이터_품목별!$E$3:$E$2984,"38",데이터_품목별!$A$3:$A$2984,"2025.02")</f>
        <v>5142372</v>
      </c>
      <c r="Q211" s="55" t="n">
        <f aca="false">SUMIFS(데이터_품목별!$H$3:$H$2984,데이터_품목별!$E$3:$E$2984,"28",데이터_품목별!$A$3:$A$2984,"2025.03")+SUMIFS(데이터_품목별!$H$3:$H$2984,데이터_품목별!$E$3:$E$2984,"29",데이터_품목별!$A$3:$A$2984,"2025.03")+SUMIFS(데이터_품목별!$H$3:$H$2984,데이터_품목별!$E$3:$E$2984,"30",데이터_품목별!$A$3:$A$2984,"2025.03")+SUMIFS(데이터_품목별!$H$3:$H$2984,데이터_품목별!$E$3:$E$2984,"31",데이터_품목별!$A$3:$A$2984,"2025.03")+SUMIFS(데이터_품목별!$H$3:$H$2984,데이터_품목별!$E$3:$E$2984,"32",데이터_품목별!$A$3:$A$2984,"2025.03")+SUMIFS(데이터_품목별!$H$3:$H$2984,데이터_품목별!$E$3:$E$2984,"33",데이터_품목별!$A$3:$A$2984,"2025.03")+SUMIFS(데이터_품목별!$H$3:$H$2984,데이터_품목별!$E$3:$E$2984,"34",데이터_품목별!$A$3:$A$2984,"2025.03")+SUMIFS(데이터_품목별!$H$3:$H$2984,데이터_품목별!$E$3:$E$2984,"35",데이터_품목별!$A$3:$A$2984,"2025.03")+SUMIFS(데이터_품목별!$H$3:$H$2984,데이터_품목별!$E$3:$E$2984,"36",데이터_품목별!$A$3:$A$2984,"2025.03")+SUMIFS(데이터_품목별!$H$3:$H$2984,데이터_품목별!$E$3:$E$2984,"37",데이터_품목별!$A$3:$A$2984,"2025.03")+SUMIFS(데이터_품목별!$H$3:$H$2984,데이터_품목별!$E$3:$E$2984,"38",데이터_품목별!$A$3:$A$2984,"2025.03")</f>
        <v>5303833</v>
      </c>
      <c r="R211" s="55" t="n">
        <f aca="false">SUMIFS(데이터_품목별!$H$3:$H$2984,데이터_품목별!$E$3:$E$2984,"28",데이터_품목별!$A$3:$A$2984,"2025.04")+SUMIFS(데이터_품목별!$H$3:$H$2984,데이터_품목별!$E$3:$E$2984,"29",데이터_품목별!$A$3:$A$2984,"2025.04")+SUMIFS(데이터_품목별!$H$3:$H$2984,데이터_품목별!$E$3:$E$2984,"30",데이터_품목별!$A$3:$A$2984,"2025.04")+SUMIFS(데이터_품목별!$H$3:$H$2984,데이터_품목별!$E$3:$E$2984,"31",데이터_품목별!$A$3:$A$2984,"2025.04")+SUMIFS(데이터_품목별!$H$3:$H$2984,데이터_품목별!$E$3:$E$2984,"32",데이터_품목별!$A$3:$A$2984,"2025.04")+SUMIFS(데이터_품목별!$H$3:$H$2984,데이터_품목별!$E$3:$E$2984,"33",데이터_품목별!$A$3:$A$2984,"2025.04")+SUMIFS(데이터_품목별!$H$3:$H$2984,데이터_품목별!$E$3:$E$2984,"34",데이터_품목별!$A$3:$A$2984,"2025.04")+SUMIFS(데이터_품목별!$H$3:$H$2984,데이터_품목별!$E$3:$E$2984,"35",데이터_품목별!$A$3:$A$2984,"2025.04")+SUMIFS(데이터_품목별!$H$3:$H$2984,데이터_품목별!$E$3:$E$2984,"36",데이터_품목별!$A$3:$A$2984,"2025.04")+SUMIFS(데이터_품목별!$H$3:$H$2984,데이터_품목별!$E$3:$E$2984,"37",데이터_품목별!$A$3:$A$2984,"2025.04")+SUMIFS(데이터_품목별!$H$3:$H$2984,데이터_품목별!$E$3:$E$2984,"38",데이터_품목별!$A$3:$A$2984,"2025.04")</f>
        <v>5389540</v>
      </c>
      <c r="S211" s="55" t="n">
        <f aca="false">SUMIFS(데이터_품목별!$H$3:$H$2984,데이터_품목별!$E$3:$E$2984,"28",데이터_품목별!$A$3:$A$2984,"2025.05")+SUMIFS(데이터_품목별!$H$3:$H$2984,데이터_품목별!$E$3:$E$2984,"29",데이터_품목별!$A$3:$A$2984,"2025.05")+SUMIFS(데이터_품목별!$H$3:$H$2984,데이터_품목별!$E$3:$E$2984,"30",데이터_품목별!$A$3:$A$2984,"2025.05")+SUMIFS(데이터_품목별!$H$3:$H$2984,데이터_품목별!$E$3:$E$2984,"31",데이터_품목별!$A$3:$A$2984,"2025.05")+SUMIFS(데이터_품목별!$H$3:$H$2984,데이터_품목별!$E$3:$E$2984,"32",데이터_품목별!$A$3:$A$2984,"2025.05")+SUMIFS(데이터_품목별!$H$3:$H$2984,데이터_품목별!$E$3:$E$2984,"33",데이터_품목별!$A$3:$A$2984,"2025.05")+SUMIFS(데이터_품목별!$H$3:$H$2984,데이터_품목별!$E$3:$E$2984,"34",데이터_품목별!$A$3:$A$2984,"2025.05")+SUMIFS(데이터_품목별!$H$3:$H$2984,데이터_품목별!$E$3:$E$2984,"35",데이터_품목별!$A$3:$A$2984,"2025.05")+SUMIFS(데이터_품목별!$H$3:$H$2984,데이터_품목별!$E$3:$E$2984,"36",데이터_품목별!$A$3:$A$2984,"2025.05")+SUMIFS(데이터_품목별!$H$3:$H$2984,데이터_품목별!$E$3:$E$2984,"37",데이터_품목별!$A$3:$A$2984,"2025.05")+SUMIFS(데이터_품목별!$H$3:$H$2984,데이터_품목별!$E$3:$E$2984,"38",데이터_품목별!$A$3:$A$2984,"2025.05")</f>
        <v>5064859</v>
      </c>
      <c r="T211" s="55" t="n">
        <f aca="false">SUMIFS(데이터_품목별!$H$3:$H$2984,데이터_품목별!$E$3:$E$2984,"28",데이터_품목별!$A$3:$A$2984,"2025.06")+SUMIFS(데이터_품목별!$H$3:$H$2984,데이터_품목별!$E$3:$E$2984,"29",데이터_품목별!$A$3:$A$2984,"2025.06")+SUMIFS(데이터_품목별!$H$3:$H$2984,데이터_품목별!$E$3:$E$2984,"30",데이터_품목별!$A$3:$A$2984,"2025.06")+SUMIFS(데이터_품목별!$H$3:$H$2984,데이터_품목별!$E$3:$E$2984,"31",데이터_품목별!$A$3:$A$2984,"2025.06")+SUMIFS(데이터_품목별!$H$3:$H$2984,데이터_품목별!$E$3:$E$2984,"32",데이터_품목별!$A$3:$A$2984,"2025.06")+SUMIFS(데이터_품목별!$H$3:$H$2984,데이터_품목별!$E$3:$E$2984,"33",데이터_품목별!$A$3:$A$2984,"2025.06")+SUMIFS(데이터_품목별!$H$3:$H$2984,데이터_품목별!$E$3:$E$2984,"34",데이터_품목별!$A$3:$A$2984,"2025.06")+SUMIFS(데이터_품목별!$H$3:$H$2984,데이터_품목별!$E$3:$E$2984,"35",데이터_품목별!$A$3:$A$2984,"2025.06")+SUMIFS(데이터_품목별!$H$3:$H$2984,데이터_품목별!$E$3:$E$2984,"36",데이터_품목별!$A$3:$A$2984,"2025.06")+SUMIFS(데이터_품목별!$H$3:$H$2984,데이터_품목별!$E$3:$E$2984,"37",데이터_품목별!$A$3:$A$2984,"2025.06")+SUMIFS(데이터_품목별!$H$3:$H$2984,데이터_품목별!$E$3:$E$2984,"38",데이터_품목별!$A$3:$A$2984,"2025.06")</f>
        <v>5434255</v>
      </c>
      <c r="U211" s="55" t="n">
        <f aca="false">SUMIFS(데이터_품목별!$H$3:$H$2984,데이터_품목별!$E$3:$E$2984,"28",데이터_품목별!$A$3:$A$2984,"2025.07")+SUMIFS(데이터_품목별!$H$3:$H$2984,데이터_품목별!$E$3:$E$2984,"29",데이터_품목별!$A$3:$A$2984,"2025.07")+SUMIFS(데이터_품목별!$H$3:$H$2984,데이터_품목별!$E$3:$E$2984,"30",데이터_품목별!$A$3:$A$2984,"2025.07")+SUMIFS(데이터_품목별!$H$3:$H$2984,데이터_품목별!$E$3:$E$2984,"31",데이터_품목별!$A$3:$A$2984,"2025.07")+SUMIFS(데이터_품목별!$H$3:$H$2984,데이터_품목별!$E$3:$E$2984,"32",데이터_품목별!$A$3:$A$2984,"2025.07")+SUMIFS(데이터_품목별!$H$3:$H$2984,데이터_품목별!$E$3:$E$2984,"33",데이터_품목별!$A$3:$A$2984,"2025.07")+SUMIFS(데이터_품목별!$H$3:$H$2984,데이터_품목별!$E$3:$E$2984,"34",데이터_품목별!$A$3:$A$2984,"2025.07")+SUMIFS(데이터_품목별!$H$3:$H$2984,데이터_품목별!$E$3:$E$2984,"35",데이터_품목별!$A$3:$A$2984,"2025.07")+SUMIFS(데이터_품목별!$H$3:$H$2984,데이터_품목별!$E$3:$E$2984,"36",데이터_품목별!$A$3:$A$2984,"2025.07")+SUMIFS(데이터_품목별!$H$3:$H$2984,데이터_품목별!$E$3:$E$2984,"37",데이터_품목별!$A$3:$A$2984,"2025.07")+SUMIFS(데이터_품목별!$H$3:$H$2984,데이터_품목별!$E$3:$E$2984,"38",데이터_품목별!$A$3:$A$2984,"2025.07")</f>
        <v>5220606</v>
      </c>
      <c r="V211" s="55" t="n">
        <f aca="false">SUMIFS(데이터_품목별!$H$3:$H$2984,데이터_품목별!$E$3:$E$2984,"28",데이터_품목별!$A$3:$A$2984,"2025.08")+SUMIFS(데이터_품목별!$H$3:$H$2984,데이터_품목별!$E$3:$E$2984,"29",데이터_품목별!$A$3:$A$2984,"2025.08")+SUMIFS(데이터_품목별!$H$3:$H$2984,데이터_품목별!$E$3:$E$2984,"30",데이터_품목별!$A$3:$A$2984,"2025.08")+SUMIFS(데이터_품목별!$H$3:$H$2984,데이터_품목별!$E$3:$E$2984,"31",데이터_품목별!$A$3:$A$2984,"2025.08")+SUMIFS(데이터_품목별!$H$3:$H$2984,데이터_품목별!$E$3:$E$2984,"32",데이터_품목별!$A$3:$A$2984,"2025.08")+SUMIFS(데이터_품목별!$H$3:$H$2984,데이터_품목별!$E$3:$E$2984,"33",데이터_품목별!$A$3:$A$2984,"2025.08")+SUMIFS(데이터_품목별!$H$3:$H$2984,데이터_품목별!$E$3:$E$2984,"34",데이터_품목별!$A$3:$A$2984,"2025.08")+SUMIFS(데이터_품목별!$H$3:$H$2984,데이터_품목별!$E$3:$E$2984,"35",데이터_품목별!$A$3:$A$2984,"2025.08")+SUMIFS(데이터_품목별!$H$3:$H$2984,데이터_품목별!$E$3:$E$2984,"36",데이터_품목별!$A$3:$A$2984,"2025.08")+SUMIFS(데이터_품목별!$H$3:$H$2984,데이터_품목별!$E$3:$E$2984,"37",데이터_품목별!$A$3:$A$2984,"2025.08")+SUMIFS(데이터_품목별!$H$3:$H$2984,데이터_품목별!$E$3:$E$2984,"38",데이터_품목별!$A$3:$A$2984,"2025.08")</f>
        <v>4998216</v>
      </c>
      <c r="W211" s="55" t="n">
        <f aca="false">SUMIFS(데이터_품목별!$H$3:$H$2984,데이터_품목별!$E$3:$E$2984,"28",데이터_품목별!$A$3:$A$2984,"2025.09")+SUMIFS(데이터_품목별!$H$3:$H$2984,데이터_품목별!$E$3:$E$2984,"29",데이터_품목별!$A$3:$A$2984,"2025.09")+SUMIFS(데이터_품목별!$H$3:$H$2984,데이터_품목별!$E$3:$E$2984,"30",데이터_품목별!$A$3:$A$2984,"2025.09")+SUMIFS(데이터_품목별!$H$3:$H$2984,데이터_품목별!$E$3:$E$2984,"31",데이터_품목별!$A$3:$A$2984,"2025.09")+SUMIFS(데이터_품목별!$H$3:$H$2984,데이터_품목별!$E$3:$E$2984,"32",데이터_품목별!$A$3:$A$2984,"2025.09")+SUMIFS(데이터_품목별!$H$3:$H$2984,데이터_품목별!$E$3:$E$2984,"33",데이터_품목별!$A$3:$A$2984,"2025.09")+SUMIFS(데이터_품목별!$H$3:$H$2984,데이터_품목별!$E$3:$E$2984,"34",데이터_품목별!$A$3:$A$2984,"2025.09")+SUMIFS(데이터_품목별!$H$3:$H$2984,데이터_품목별!$E$3:$E$2984,"35",데이터_품목별!$A$3:$A$2984,"2025.09")+SUMIFS(데이터_품목별!$H$3:$H$2984,데이터_품목별!$E$3:$E$2984,"36",데이터_품목별!$A$3:$A$2984,"2025.09")+SUMIFS(데이터_품목별!$H$3:$H$2984,데이터_품목별!$E$3:$E$2984,"37",데이터_품목별!$A$3:$A$2984,"2025.09")+SUMIFS(데이터_품목별!$H$3:$H$2984,데이터_품목별!$E$3:$E$2984,"38",데이터_품목별!$A$3:$A$2984,"2025.09")</f>
        <v>5889291</v>
      </c>
      <c r="X211" s="55" t="n">
        <f aca="false">SUMIFS(데이터_품목별!$H$3:$H$2984,데이터_품목별!$E$3:$E$2984,"28",데이터_품목별!$A$3:$A$2984,"2025.10")+SUMIFS(데이터_품목별!$H$3:$H$2984,데이터_품목별!$E$3:$E$2984,"29",데이터_품목별!$A$3:$A$2984,"2025.10")+SUMIFS(데이터_품목별!$H$3:$H$2984,데이터_품목별!$E$3:$E$2984,"30",데이터_품목별!$A$3:$A$2984,"2025.10")+SUMIFS(데이터_품목별!$H$3:$H$2984,데이터_품목별!$E$3:$E$2984,"31",데이터_품목별!$A$3:$A$2984,"2025.10")+SUMIFS(데이터_품목별!$H$3:$H$2984,데이터_품목별!$E$3:$E$2984,"32",데이터_품목별!$A$3:$A$2984,"2025.10")+SUMIFS(데이터_품목별!$H$3:$H$2984,데이터_품목별!$E$3:$E$2984,"33",데이터_품목별!$A$3:$A$2984,"2025.10")+SUMIFS(데이터_품목별!$H$3:$H$2984,데이터_품목별!$E$3:$E$2984,"34",데이터_품목별!$A$3:$A$2984,"2025.10")+SUMIFS(데이터_품목별!$H$3:$H$2984,데이터_품목별!$E$3:$E$2984,"35",데이터_품목별!$A$3:$A$2984,"2025.10")+SUMIFS(데이터_품목별!$H$3:$H$2984,데이터_품목별!$E$3:$E$2984,"36",데이터_품목별!$A$3:$A$2984,"2025.10")+SUMIFS(데이터_품목별!$H$3:$H$2984,데이터_품목별!$E$3:$E$2984,"37",데이터_품목별!$A$3:$A$2984,"2025.10")+SUMIFS(데이터_품목별!$H$3:$H$2984,데이터_품목별!$E$3:$E$2984,"38",데이터_품목별!$A$3:$A$2984,"2025.10")</f>
        <v>4793902</v>
      </c>
      <c r="Y211" s="55" t="n">
        <f aca="false">SUMIFS(데이터_품목별!$H$3:$H$2984,데이터_품목별!$E$3:$E$2984,"28",데이터_품목별!$A$3:$A$2984,"2025.11")+SUMIFS(데이터_품목별!$H$3:$H$2984,데이터_품목별!$E$3:$E$2984,"29",데이터_품목별!$A$3:$A$2984,"2025.11")+SUMIFS(데이터_품목별!$H$3:$H$2984,데이터_품목별!$E$3:$E$2984,"30",데이터_품목별!$A$3:$A$2984,"2025.11")+SUMIFS(데이터_품목별!$H$3:$H$2984,데이터_품목별!$E$3:$E$2984,"31",데이터_품목별!$A$3:$A$2984,"2025.11")+SUMIFS(데이터_품목별!$H$3:$H$2984,데이터_품목별!$E$3:$E$2984,"32",데이터_품목별!$A$3:$A$2984,"2025.11")+SUMIFS(데이터_품목별!$H$3:$H$2984,데이터_품목별!$E$3:$E$2984,"33",데이터_품목별!$A$3:$A$2984,"2025.11")+SUMIFS(데이터_품목별!$H$3:$H$2984,데이터_품목별!$E$3:$E$2984,"34",데이터_품목별!$A$3:$A$2984,"2025.11")+SUMIFS(데이터_품목별!$H$3:$H$2984,데이터_품목별!$E$3:$E$2984,"35",데이터_품목별!$A$3:$A$2984,"2025.11")+SUMIFS(데이터_품목별!$H$3:$H$2984,데이터_품목별!$E$3:$E$2984,"36",데이터_품목별!$A$3:$A$2984,"2025.11")+SUMIFS(데이터_품목별!$H$3:$H$2984,데이터_품목별!$E$3:$E$2984,"37",데이터_품목별!$A$3:$A$2984,"2025.11")+SUMIFS(데이터_품목별!$H$3:$H$2984,데이터_품목별!$E$3:$E$2984,"38",데이터_품목별!$A$3:$A$2984,"2025.11")</f>
        <v>5103215</v>
      </c>
      <c r="Z211" s="55" t="n">
        <f aca="false">SUMIFS(데이터_품목별!$H$3:$H$2984,데이터_품목별!$E$3:$E$2984,"28",데이터_품목별!$A$3:$A$2984,"2025.12")+SUMIFS(데이터_품목별!$H$3:$H$2984,데이터_품목별!$E$3:$E$2984,"29",데이터_품목별!$A$3:$A$2984,"2025.12")+SUMIFS(데이터_품목별!$H$3:$H$2984,데이터_품목별!$E$3:$E$2984,"30",데이터_품목별!$A$3:$A$2984,"2025.12")+SUMIFS(데이터_품목별!$H$3:$H$2984,데이터_품목별!$E$3:$E$2984,"31",데이터_품목별!$A$3:$A$2984,"2025.12")+SUMIFS(데이터_품목별!$H$3:$H$2984,데이터_품목별!$E$3:$E$2984,"32",데이터_품목별!$A$3:$A$2984,"2025.12")+SUMIFS(데이터_품목별!$H$3:$H$2984,데이터_품목별!$E$3:$E$2984,"33",데이터_품목별!$A$3:$A$2984,"2025.12")+SUMIFS(데이터_품목별!$H$3:$H$2984,데이터_품목별!$E$3:$E$2984,"34",데이터_품목별!$A$3:$A$2984,"2025.12")+SUMIFS(데이터_품목별!$H$3:$H$2984,데이터_품목별!$E$3:$E$2984,"35",데이터_품목별!$A$3:$A$2984,"2025.12")+SUMIFS(데이터_품목별!$H$3:$H$2984,데이터_품목별!$E$3:$E$2984,"36",데이터_품목별!$A$3:$A$2984,"2025.12")+SUMIFS(데이터_품목별!$H$3:$H$2984,데이터_품목별!$E$3:$E$2984,"37",데이터_품목별!$A$3:$A$2984,"2025.12")+SUMIFS(데이터_품목별!$H$3:$H$2984,데이터_품목별!$E$3:$E$2984,"38",데이터_품목별!$A$3:$A$2984,"2025.12")</f>
        <v>5598913</v>
      </c>
      <c r="AA211" s="55" t="n">
        <f aca="false">SUMIFS(데이터_품목별!$H$3:$H$2984,데이터_품목별!$E$3:$E$2984,"28",데이터_품목별!$A$3:$A$2984,"2026.01")+SUMIFS(데이터_품목별!$H$3:$H$2984,데이터_품목별!$E$3:$E$2984,"29",데이터_품목별!$A$3:$A$2984,"2026.01")+SUMIFS(데이터_품목별!$H$3:$H$2984,데이터_품목별!$E$3:$E$2984,"30",데이터_품목별!$A$3:$A$2984,"2026.01")+SUMIFS(데이터_품목별!$H$3:$H$2984,데이터_품목별!$E$3:$E$2984,"31",데이터_품목별!$A$3:$A$2984,"2026.01")+SUMIFS(데이터_품목별!$H$3:$H$2984,데이터_품목별!$E$3:$E$2984,"32",데이터_품목별!$A$3:$A$2984,"2026.01")+SUMIFS(데이터_품목별!$H$3:$H$2984,데이터_품목별!$E$3:$E$2984,"33",데이터_품목별!$A$3:$A$2984,"2026.01")+SUMIFS(데이터_품목별!$H$3:$H$2984,데이터_품목별!$E$3:$E$2984,"34",데이터_품목별!$A$3:$A$2984,"2026.01")+SUMIFS(데이터_품목별!$H$3:$H$2984,데이터_품목별!$E$3:$E$2984,"35",데이터_품목별!$A$3:$A$2984,"2026.01")+SUMIFS(데이터_품목별!$H$3:$H$2984,데이터_품목별!$E$3:$E$2984,"36",데이터_품목별!$A$3:$A$2984,"2026.01")+SUMIFS(데이터_품목별!$H$3:$H$2984,데이터_품목별!$E$3:$E$2984,"37",데이터_품목별!$A$3:$A$2984,"2026.01")+SUMIFS(데이터_품목별!$H$3:$H$2984,데이터_품목별!$E$3:$E$2984,"38",데이터_품목별!$A$3:$A$2984,"2026.01")</f>
        <v>5387833</v>
      </c>
      <c r="AB211" s="55" t="n">
        <f aca="false">SUMIFS(데이터_품목별!$H$3:$H$2984,데이터_품목별!$E$3:$E$2984,"28",데이터_품목별!$A$3:$A$2984,"2026.02")+SUMIFS(데이터_품목별!$H$3:$H$2984,데이터_품목별!$E$3:$E$2984,"29",데이터_품목별!$A$3:$A$2984,"2026.02")+SUMIFS(데이터_품목별!$H$3:$H$2984,데이터_품목별!$E$3:$E$2984,"30",데이터_품목별!$A$3:$A$2984,"2026.02")+SUMIFS(데이터_품목별!$H$3:$H$2984,데이터_품목별!$E$3:$E$2984,"31",데이터_품목별!$A$3:$A$2984,"2026.02")+SUMIFS(데이터_품목별!$H$3:$H$2984,데이터_품목별!$E$3:$E$2984,"32",데이터_품목별!$A$3:$A$2984,"2026.02")+SUMIFS(데이터_품목별!$H$3:$H$2984,데이터_품목별!$E$3:$E$2984,"33",데이터_품목별!$A$3:$A$2984,"2026.02")+SUMIFS(데이터_품목별!$H$3:$H$2984,데이터_품목별!$E$3:$E$2984,"34",데이터_품목별!$A$3:$A$2984,"2026.02")+SUMIFS(데이터_품목별!$H$3:$H$2984,데이터_품목별!$E$3:$E$2984,"35",데이터_품목별!$A$3:$A$2984,"2026.02")+SUMIFS(데이터_품목별!$H$3:$H$2984,데이터_품목별!$E$3:$E$2984,"36",데이터_품목별!$A$3:$A$2984,"2026.02")+SUMIFS(데이터_품목별!$H$3:$H$2984,데이터_품목별!$E$3:$E$2984,"37",데이터_품목별!$A$3:$A$2984,"2026.02")+SUMIFS(데이터_품목별!$H$3:$H$2984,데이터_품목별!$E$3:$E$2984,"38",데이터_품목별!$A$3:$A$2984,"2026.02")</f>
        <v>5068464</v>
      </c>
      <c r="AC211" s="55" t="n">
        <f aca="false">SUMIFS(데이터_품목별!$H$3:$H$2984,데이터_품목별!$E$3:$E$2984,"28",데이터_품목별!$A$3:$A$2984,"2026.03")+SUMIFS(데이터_품목별!$H$3:$H$2984,데이터_품목별!$E$3:$E$2984,"29",데이터_품목별!$A$3:$A$2984,"2026.03")+SUMIFS(데이터_품목별!$H$3:$H$2984,데이터_품목별!$E$3:$E$2984,"30",데이터_품목별!$A$3:$A$2984,"2026.03")+SUMIFS(데이터_품목별!$H$3:$H$2984,데이터_품목별!$E$3:$E$2984,"31",데이터_품목별!$A$3:$A$2984,"2026.03")+SUMIFS(데이터_품목별!$H$3:$H$2984,데이터_품목별!$E$3:$E$2984,"32",데이터_품목별!$A$3:$A$2984,"2026.03")+SUMIFS(데이터_품목별!$H$3:$H$2984,데이터_품목별!$E$3:$E$2984,"33",데이터_품목별!$A$3:$A$2984,"2026.03")+SUMIFS(데이터_품목별!$H$3:$H$2984,데이터_품목별!$E$3:$E$2984,"34",데이터_품목별!$A$3:$A$2984,"2026.03")+SUMIFS(데이터_품목별!$H$3:$H$2984,데이터_품목별!$E$3:$E$2984,"35",데이터_품목별!$A$3:$A$2984,"2026.03")+SUMIFS(데이터_품목별!$H$3:$H$2984,데이터_품목별!$E$3:$E$2984,"36",데이터_품목별!$A$3:$A$2984,"2026.03")+SUMIFS(데이터_품목별!$H$3:$H$2984,데이터_품목별!$E$3:$E$2984,"37",데이터_품목별!$A$3:$A$2984,"2026.03")+SUMIFS(데이터_품목별!$H$3:$H$2984,데이터_품목별!$E$3:$E$2984,"38",데이터_품목별!$A$3:$A$2984,"2026.03")</f>
        <v>6221594</v>
      </c>
      <c r="AD211" s="55" t="n">
        <f aca="false">SUMIFS(데이터_품목별!$H$3:$H$2984,데이터_품목별!$E$3:$E$2984,"28",데이터_품목별!$A$3:$A$2984,"2026.04")+SUMIFS(데이터_품목별!$H$3:$H$2984,데이터_품목별!$E$3:$E$2984,"29",데이터_품목별!$A$3:$A$2984,"2026.04")+SUMIFS(데이터_품목별!$H$3:$H$2984,데이터_품목별!$E$3:$E$2984,"30",데이터_품목별!$A$3:$A$2984,"2026.04")+SUMIFS(데이터_품목별!$H$3:$H$2984,데이터_품목별!$E$3:$E$2984,"31",데이터_품목별!$A$3:$A$2984,"2026.04")+SUMIFS(데이터_품목별!$H$3:$H$2984,데이터_품목별!$E$3:$E$2984,"32",데이터_품목별!$A$3:$A$2984,"2026.04")+SUMIFS(데이터_품목별!$H$3:$H$2984,데이터_품목별!$E$3:$E$2984,"33",데이터_품목별!$A$3:$A$2984,"2026.04")+SUMIFS(데이터_품목별!$H$3:$H$2984,데이터_품목별!$E$3:$E$2984,"34",데이터_품목별!$A$3:$A$2984,"2026.04")+SUMIFS(데이터_품목별!$H$3:$H$2984,데이터_품목별!$E$3:$E$2984,"35",데이터_품목별!$A$3:$A$2984,"2026.04")+SUMIFS(데이터_품목별!$H$3:$H$2984,데이터_품목별!$E$3:$E$2984,"36",데이터_품목별!$A$3:$A$2984,"2026.04")+SUMIFS(데이터_품목별!$H$3:$H$2984,데이터_품목별!$E$3:$E$2984,"37",데이터_품목별!$A$3:$A$2984,"2026.04")+SUMIFS(데이터_품목별!$H$3:$H$2984,데이터_품목별!$E$3:$E$2984,"38",데이터_품목별!$A$3:$A$2984,"2026.04")</f>
        <v>6319034</v>
      </c>
      <c r="AE211" s="55" t="n">
        <f aca="false">SUMIFS(데이터_품목별!$H$3:$H$2984,데이터_품목별!$E$3:$E$2984,"28",데이터_품목별!$A$3:$A$2984,"2026.05")+SUMIFS(데이터_품목별!$H$3:$H$2984,데이터_품목별!$E$3:$E$2984,"29",데이터_품목별!$A$3:$A$2984,"2026.05")+SUMIFS(데이터_품목별!$H$3:$H$2984,데이터_품목별!$E$3:$E$2984,"30",데이터_품목별!$A$3:$A$2984,"2026.05")+SUMIFS(데이터_품목별!$H$3:$H$2984,데이터_품목별!$E$3:$E$2984,"31",데이터_품목별!$A$3:$A$2984,"2026.05")+SUMIFS(데이터_품목별!$H$3:$H$2984,데이터_품목별!$E$3:$E$2984,"32",데이터_품목별!$A$3:$A$2984,"2026.05")+SUMIFS(데이터_품목별!$H$3:$H$2984,데이터_품목별!$E$3:$E$2984,"33",데이터_품목별!$A$3:$A$2984,"2026.05")+SUMIFS(데이터_품목별!$H$3:$H$2984,데이터_품목별!$E$3:$E$2984,"34",데이터_품목별!$A$3:$A$2984,"2026.05")+SUMIFS(데이터_품목별!$H$3:$H$2984,데이터_품목별!$E$3:$E$2984,"35",데이터_품목별!$A$3:$A$2984,"2026.05")+SUMIFS(데이터_품목별!$H$3:$H$2984,데이터_품목별!$E$3:$E$2984,"36",데이터_품목별!$A$3:$A$2984,"2026.05")+SUMIFS(데이터_품목별!$H$3:$H$2984,데이터_품목별!$E$3:$E$2984,"37",데이터_품목별!$A$3:$A$2984,"2026.05")+SUMIFS(데이터_품목별!$H$3:$H$2984,데이터_품목별!$E$3:$E$2984,"38",데이터_품목별!$A$3:$A$2984,"2026.05")</f>
        <v>5764026</v>
      </c>
      <c r="AF211" s="55" t="n">
        <f aca="false">SUMIFS(데이터_품목별!$H$3:$H$2984,데이터_품목별!$E$3:$E$2984,"28",데이터_품목별!$A$3:$A$2984,"2026.06")+SUMIFS(데이터_품목별!$H$3:$H$2984,데이터_품목별!$E$3:$E$2984,"29",데이터_품목별!$A$3:$A$2984,"2026.06")+SUMIFS(데이터_품목별!$H$3:$H$2984,데이터_품목별!$E$3:$E$2984,"30",데이터_품목별!$A$3:$A$2984,"2026.06")+SUMIFS(데이터_품목별!$H$3:$H$2984,데이터_품목별!$E$3:$E$2984,"31",데이터_품목별!$A$3:$A$2984,"2026.06")+SUMIFS(데이터_품목별!$H$3:$H$2984,데이터_품목별!$E$3:$E$2984,"32",데이터_품목별!$A$3:$A$2984,"2026.06")+SUMIFS(데이터_품목별!$H$3:$H$2984,데이터_품목별!$E$3:$E$2984,"33",데이터_품목별!$A$3:$A$2984,"2026.06")+SUMIFS(데이터_품목별!$H$3:$H$2984,데이터_품목별!$E$3:$E$2984,"34",데이터_품목별!$A$3:$A$2984,"2026.06")+SUMIFS(데이터_품목별!$H$3:$H$2984,데이터_품목별!$E$3:$E$2984,"35",데이터_품목별!$A$3:$A$2984,"2026.06")+SUMIFS(데이터_품목별!$H$3:$H$2984,데이터_품목별!$E$3:$E$2984,"36",데이터_품목별!$A$3:$A$2984,"2026.06")+SUMIFS(데이터_품목별!$H$3:$H$2984,데이터_품목별!$E$3:$E$2984,"37",데이터_품목별!$A$3:$A$2984,"2026.06")+SUMIFS(데이터_품목별!$H$3:$H$2984,데이터_품목별!$E$3:$E$2984,"38",데이터_품목별!$A$3:$A$2984,"2026.06")</f>
        <v>6516657</v>
      </c>
      <c r="AG211" s="55" t="n">
        <f aca="false">SUMIFS(데이터_품목별!$H$3:$H$2984,데이터_품목별!$E$3:$E$2984,"28",데이터_품목별!$A$3:$A$2984,"2026.07")+SUMIFS(데이터_품목별!$H$3:$H$2984,데이터_품목별!$E$3:$E$2984,"29",데이터_품목별!$A$3:$A$2984,"2026.07")+SUMIFS(데이터_품목별!$H$3:$H$2984,데이터_품목별!$E$3:$E$2984,"30",데이터_품목별!$A$3:$A$2984,"2026.07")+SUMIFS(데이터_품목별!$H$3:$H$2984,데이터_품목별!$E$3:$E$2984,"31",데이터_품목별!$A$3:$A$2984,"2026.07")+SUMIFS(데이터_품목별!$H$3:$H$2984,데이터_품목별!$E$3:$E$2984,"32",데이터_품목별!$A$3:$A$2984,"2026.07")+SUMIFS(데이터_품목별!$H$3:$H$2984,데이터_품목별!$E$3:$E$2984,"33",데이터_품목별!$A$3:$A$2984,"2026.07")+SUMIFS(데이터_품목별!$H$3:$H$2984,데이터_품목별!$E$3:$E$2984,"34",데이터_품목별!$A$3:$A$2984,"2026.07")+SUMIFS(데이터_품목별!$H$3:$H$2984,데이터_품목별!$E$3:$E$2984,"35",데이터_품목별!$A$3:$A$2984,"2026.07")+SUMIFS(데이터_품목별!$H$3:$H$2984,데이터_품목별!$E$3:$E$2984,"36",데이터_품목별!$A$3:$A$2984,"2026.07")+SUMIFS(데이터_품목별!$H$3:$H$2984,데이터_품목별!$E$3:$E$2984,"37",데이터_품목별!$A$3:$A$2984,"2026.07")+SUMIFS(데이터_품목별!$H$3:$H$2984,데이터_품목별!$E$3:$E$2984,"38",데이터_품목별!$A$3:$A$2984,"2026.07")</f>
        <v>6583264</v>
      </c>
    </row>
    <row r="212" customFormat="false" ht="15" hidden="false" customHeight="true" outlineLevel="0" collapsed="false">
      <c r="A212" s="53" t="s">
        <v>19812</v>
      </c>
      <c r="B212" s="46" t="s">
        <v>19813</v>
      </c>
      <c r="C212" s="55" t="n">
        <f aca="false">SUMIFS(데이터_품목별!$H$3:$H$2984,데이터_품목별!$E$3:$E$2984,"39",데이터_품목별!$A$3:$A$2984,"2024.01")+SUMIFS(데이터_품목별!$H$3:$H$2984,데이터_품목별!$E$3:$E$2984,"40",데이터_품목별!$A$3:$A$2984,"2024.01")</f>
        <v>3680710</v>
      </c>
      <c r="D212" s="55" t="n">
        <f aca="false">SUMIFS(데이터_품목별!$H$3:$H$2984,데이터_품목별!$E$3:$E$2984,"39",데이터_품목별!$A$3:$A$2984,"2024.02")+SUMIFS(데이터_품목별!$H$3:$H$2984,데이터_품목별!$E$3:$E$2984,"40",데이터_품목별!$A$3:$A$2984,"2024.02")</f>
        <v>3547889</v>
      </c>
      <c r="E212" s="55" t="n">
        <f aca="false">SUMIFS(데이터_품목별!$H$3:$H$2984,데이터_품목별!$E$3:$E$2984,"39",데이터_품목별!$A$3:$A$2984,"2024.03")+SUMIFS(데이터_품목별!$H$3:$H$2984,데이터_품목별!$E$3:$E$2984,"40",데이터_품목별!$A$3:$A$2984,"2024.03")</f>
        <v>3654707</v>
      </c>
      <c r="F212" s="55" t="n">
        <f aca="false">SUMIFS(데이터_품목별!$H$3:$H$2984,데이터_품목별!$E$3:$E$2984,"39",데이터_품목별!$A$3:$A$2984,"2024.04")+SUMIFS(데이터_품목별!$H$3:$H$2984,데이터_품목별!$E$3:$E$2984,"40",데이터_품목별!$A$3:$A$2984,"2024.04")</f>
        <v>3913023</v>
      </c>
      <c r="G212" s="55" t="n">
        <f aca="false">SUMIFS(데이터_품목별!$H$3:$H$2984,데이터_품목별!$E$3:$E$2984,"39",데이터_품목별!$A$3:$A$2984,"2024.05")+SUMIFS(데이터_품목별!$H$3:$H$2984,데이터_품목별!$E$3:$E$2984,"40",데이터_품목별!$A$3:$A$2984,"2024.05")</f>
        <v>3876899</v>
      </c>
      <c r="H212" s="55" t="n">
        <f aca="false">SUMIFS(데이터_품목별!$H$3:$H$2984,데이터_품목별!$E$3:$E$2984,"39",데이터_품목별!$A$3:$A$2984,"2024.06")+SUMIFS(데이터_품목별!$H$3:$H$2984,데이터_품목별!$E$3:$E$2984,"40",데이터_품목별!$A$3:$A$2984,"2024.06")</f>
        <v>3820347</v>
      </c>
      <c r="I212" s="55" t="n">
        <f aca="false">SUMIFS(데이터_품목별!$H$3:$H$2984,데이터_품목별!$E$3:$E$2984,"39",데이터_품목별!$A$3:$A$2984,"2024.07")+SUMIFS(데이터_품목별!$H$3:$H$2984,데이터_품목별!$E$3:$E$2984,"40",데이터_품목별!$A$3:$A$2984,"2024.07")</f>
        <v>3921508</v>
      </c>
      <c r="J212" s="55" t="n">
        <f aca="false">SUMIFS(데이터_품목별!$H$3:$H$2984,데이터_품목별!$E$3:$E$2984,"39",데이터_품목별!$A$3:$A$2984,"2024.08")+SUMIFS(데이터_품목별!$H$3:$H$2984,데이터_품목별!$E$3:$E$2984,"40",데이터_품목별!$A$3:$A$2984,"2024.08")</f>
        <v>3585126</v>
      </c>
      <c r="K212" s="55" t="n">
        <f aca="false">SUMIFS(데이터_품목별!$H$3:$H$2984,데이터_품목별!$E$3:$E$2984,"39",데이터_품목별!$A$3:$A$2984,"2024.09")+SUMIFS(데이터_품목별!$H$3:$H$2984,데이터_품목별!$E$3:$E$2984,"40",데이터_품목별!$A$3:$A$2984,"2024.09")</f>
        <v>3440947</v>
      </c>
      <c r="L212" s="55" t="n">
        <f aca="false">SUMIFS(데이터_품목별!$H$3:$H$2984,데이터_품목별!$E$3:$E$2984,"39",데이터_품목별!$A$3:$A$2984,"2024.10")+SUMIFS(데이터_품목별!$H$3:$H$2984,데이터_품목별!$E$3:$E$2984,"40",데이터_품목별!$A$3:$A$2984,"2024.10")</f>
        <v>3604309</v>
      </c>
      <c r="M212" s="55" t="n">
        <f aca="false">SUMIFS(데이터_품목별!$H$3:$H$2984,데이터_품목별!$E$3:$E$2984,"39",데이터_품목별!$A$3:$A$2984,"2024.11")+SUMIFS(데이터_품목별!$H$3:$H$2984,데이터_품목별!$E$3:$E$2984,"40",데이터_품목별!$A$3:$A$2984,"2024.11")</f>
        <v>3464692</v>
      </c>
      <c r="N212" s="55" t="n">
        <f aca="false">SUMIFS(데이터_품목별!$H$3:$H$2984,데이터_품목별!$E$3:$E$2984,"39",데이터_품목별!$A$3:$A$2984,"2024.12")+SUMIFS(데이터_품목별!$H$3:$H$2984,데이터_품목별!$E$3:$E$2984,"40",데이터_품목별!$A$3:$A$2984,"2024.12")</f>
        <v>3524878</v>
      </c>
      <c r="O212" s="55" t="n">
        <f aca="false">SUMIFS(데이터_품목별!$H$3:$H$2984,데이터_품목별!$E$3:$E$2984,"39",데이터_품목별!$A$3:$A$2984,"2025.01")+SUMIFS(데이터_품목별!$H$3:$H$2984,데이터_품목별!$E$3:$E$2984,"40",데이터_품목별!$A$3:$A$2984,"2025.01")</f>
        <v>3262473</v>
      </c>
      <c r="P212" s="55" t="n">
        <f aca="false">SUMIFS(데이터_품목별!$H$3:$H$2984,데이터_품목별!$E$3:$E$2984,"39",데이터_품목별!$A$3:$A$2984,"2025.02")+SUMIFS(데이터_품목별!$H$3:$H$2984,데이터_품목별!$E$3:$E$2984,"40",데이터_품목별!$A$3:$A$2984,"2025.02")</f>
        <v>3657730</v>
      </c>
      <c r="Q212" s="55" t="n">
        <f aca="false">SUMIFS(데이터_품목별!$H$3:$H$2984,데이터_품목별!$E$3:$E$2984,"39",데이터_품목별!$A$3:$A$2984,"2025.03")+SUMIFS(데이터_품목별!$H$3:$H$2984,데이터_품목별!$E$3:$E$2984,"40",데이터_품목별!$A$3:$A$2984,"2025.03")</f>
        <v>3526672</v>
      </c>
      <c r="R212" s="55" t="n">
        <f aca="false">SUMIFS(데이터_품목별!$H$3:$H$2984,데이터_품목별!$E$3:$E$2984,"39",데이터_품목별!$A$3:$A$2984,"2025.04")+SUMIFS(데이터_품목별!$H$3:$H$2984,데이터_품목별!$E$3:$E$2984,"40",데이터_품목별!$A$3:$A$2984,"2025.04")</f>
        <v>3875556</v>
      </c>
      <c r="S212" s="55" t="n">
        <f aca="false">SUMIFS(데이터_품목별!$H$3:$H$2984,데이터_품목별!$E$3:$E$2984,"39",데이터_품목별!$A$3:$A$2984,"2025.05")+SUMIFS(데이터_품목별!$H$3:$H$2984,데이터_품목별!$E$3:$E$2984,"40",데이터_품목별!$A$3:$A$2984,"2025.05")</f>
        <v>3425604</v>
      </c>
      <c r="T212" s="55" t="n">
        <f aca="false">SUMIFS(데이터_품목별!$H$3:$H$2984,데이터_품목별!$E$3:$E$2984,"39",데이터_품목별!$A$3:$A$2984,"2025.06")+SUMIFS(데이터_품목별!$H$3:$H$2984,데이터_품목별!$E$3:$E$2984,"40",데이터_품목별!$A$3:$A$2984,"2025.06")</f>
        <v>3350914</v>
      </c>
      <c r="U212" s="55" t="n">
        <f aca="false">SUMIFS(데이터_품목별!$H$3:$H$2984,데이터_품목별!$E$3:$E$2984,"39",데이터_품목별!$A$3:$A$2984,"2025.07")+SUMIFS(데이터_품목별!$H$3:$H$2984,데이터_품목별!$E$3:$E$2984,"40",데이터_품목별!$A$3:$A$2984,"2025.07")</f>
        <v>3731435</v>
      </c>
      <c r="V212" s="55" t="n">
        <f aca="false">SUMIFS(데이터_품목별!$H$3:$H$2984,데이터_품목별!$E$3:$E$2984,"39",데이터_품목별!$A$3:$A$2984,"2025.08")+SUMIFS(데이터_품목별!$H$3:$H$2984,데이터_품목별!$E$3:$E$2984,"40",데이터_품목별!$A$3:$A$2984,"2025.08")</f>
        <v>3255006</v>
      </c>
      <c r="W212" s="55" t="n">
        <f aca="false">SUMIFS(데이터_품목별!$H$3:$H$2984,데이터_품목별!$E$3:$E$2984,"39",데이터_품목별!$A$3:$A$2984,"2025.09")+SUMIFS(데이터_품목별!$H$3:$H$2984,데이터_품목별!$E$3:$E$2984,"40",데이터_품목별!$A$3:$A$2984,"2025.09")</f>
        <v>3697425</v>
      </c>
      <c r="X212" s="55" t="n">
        <f aca="false">SUMIFS(데이터_품목별!$H$3:$H$2984,데이터_품목별!$E$3:$E$2984,"39",데이터_품목별!$A$3:$A$2984,"2025.10")+SUMIFS(데이터_품목별!$H$3:$H$2984,데이터_품목별!$E$3:$E$2984,"40",데이터_품목별!$A$3:$A$2984,"2025.10")</f>
        <v>3015957</v>
      </c>
      <c r="Y212" s="55" t="n">
        <f aca="false">SUMIFS(데이터_품목별!$H$3:$H$2984,데이터_품목별!$E$3:$E$2984,"39",데이터_품목별!$A$3:$A$2984,"2025.11")+SUMIFS(데이터_품목별!$H$3:$H$2984,데이터_품목별!$E$3:$E$2984,"40",데이터_품목별!$A$3:$A$2984,"2025.11")</f>
        <v>3024899</v>
      </c>
      <c r="Z212" s="55" t="n">
        <f aca="false">SUMIFS(데이터_품목별!$H$3:$H$2984,데이터_품목별!$E$3:$E$2984,"39",데이터_품목별!$A$3:$A$2984,"2025.12")+SUMIFS(데이터_품목별!$H$3:$H$2984,데이터_품목별!$E$3:$E$2984,"40",데이터_품목별!$A$3:$A$2984,"2025.12")</f>
        <v>3470500</v>
      </c>
      <c r="AA212" s="55" t="n">
        <f aca="false">SUMIFS(데이터_품목별!$H$3:$H$2984,데이터_품목별!$E$3:$E$2984,"39",데이터_품목별!$A$3:$A$2984,"2026.01")+SUMIFS(데이터_품목별!$H$3:$H$2984,데이터_품목별!$E$3:$E$2984,"40",데이터_품목별!$A$3:$A$2984,"2026.01")</f>
        <v>3407844</v>
      </c>
      <c r="AB212" s="55" t="n">
        <f aca="false">SUMIFS(데이터_품목별!$H$3:$H$2984,데이터_품목별!$E$3:$E$2984,"39",데이터_품목별!$A$3:$A$2984,"2026.02")+SUMIFS(데이터_품목별!$H$3:$H$2984,데이터_품목별!$E$3:$E$2984,"40",데이터_품목별!$A$3:$A$2984,"2026.02")</f>
        <v>3165503</v>
      </c>
      <c r="AC212" s="55" t="n">
        <f aca="false">SUMIFS(데이터_품목별!$H$3:$H$2984,데이터_품목별!$E$3:$E$2984,"39",데이터_품목별!$A$3:$A$2984,"2026.03")+SUMIFS(데이터_품목별!$H$3:$H$2984,데이터_품목별!$E$3:$E$2984,"40",데이터_품목별!$A$3:$A$2984,"2026.03")</f>
        <v>3549263</v>
      </c>
      <c r="AD212" s="55" t="n">
        <f aca="false">SUMIFS(데이터_품목별!$H$3:$H$2984,데이터_품목별!$E$3:$E$2984,"39",데이터_품목별!$A$3:$A$2984,"2026.04")+SUMIFS(데이터_품목별!$H$3:$H$2984,데이터_품목별!$E$3:$E$2984,"40",데이터_품목별!$A$3:$A$2984,"2026.04")</f>
        <v>4089292</v>
      </c>
      <c r="AE212" s="55" t="n">
        <f aca="false">SUMIFS(데이터_품목별!$H$3:$H$2984,데이터_품목별!$E$3:$E$2984,"39",데이터_품목별!$A$3:$A$2984,"2026.05")+SUMIFS(데이터_품목별!$H$3:$H$2984,데이터_품목별!$E$3:$E$2984,"40",데이터_품목별!$A$3:$A$2984,"2026.05")</f>
        <v>3689531</v>
      </c>
      <c r="AF212" s="55" t="n">
        <f aca="false">SUMIFS(데이터_품목별!$H$3:$H$2984,데이터_품목별!$E$3:$E$2984,"39",데이터_품목별!$A$3:$A$2984,"2026.06")+SUMIFS(데이터_품목별!$H$3:$H$2984,데이터_품목별!$E$3:$E$2984,"40",데이터_품목별!$A$3:$A$2984,"2026.06")</f>
        <v>4040309</v>
      </c>
      <c r="AG212" s="55" t="n">
        <f aca="false">SUMIFS(데이터_품목별!$H$3:$H$2984,데이터_품목별!$E$3:$E$2984,"39",데이터_품목별!$A$3:$A$2984,"2026.07")+SUMIFS(데이터_품목별!$H$3:$H$2984,데이터_품목별!$E$3:$E$2984,"40",데이터_품목별!$A$3:$A$2984,"2026.07")</f>
        <v>4158664</v>
      </c>
    </row>
    <row r="213" customFormat="false" ht="15" hidden="false" customHeight="true" outlineLevel="0" collapsed="false">
      <c r="A213" s="53" t="s">
        <v>19814</v>
      </c>
      <c r="B213" s="46" t="s">
        <v>19815</v>
      </c>
      <c r="C213" s="55" t="n">
        <f aca="false">SUMIFS(데이터_품목별!$H$3:$H$2984,데이터_품목별!$E$3:$E$2984,"41",데이터_품목별!$A$3:$A$2984,"2024.01")+SUMIFS(데이터_품목별!$H$3:$H$2984,데이터_품목별!$E$3:$E$2984,"42",데이터_품목별!$A$3:$A$2984,"2024.01")+SUMIFS(데이터_품목별!$H$3:$H$2984,데이터_품목별!$E$3:$E$2984,"43",데이터_품목별!$A$3:$A$2984,"2024.01")</f>
        <v>56888</v>
      </c>
      <c r="D213" s="55" t="n">
        <f aca="false">SUMIFS(데이터_품목별!$H$3:$H$2984,데이터_품목별!$E$3:$E$2984,"41",데이터_품목별!$A$3:$A$2984,"2024.02")+SUMIFS(데이터_품목별!$H$3:$H$2984,데이터_품목별!$E$3:$E$2984,"42",데이터_품목별!$A$3:$A$2984,"2024.02")+SUMIFS(데이터_품목별!$H$3:$H$2984,데이터_품목별!$E$3:$E$2984,"43",데이터_품목별!$A$3:$A$2984,"2024.02")</f>
        <v>48789</v>
      </c>
      <c r="E213" s="55" t="n">
        <f aca="false">SUMIFS(데이터_품목별!$H$3:$H$2984,데이터_품목별!$E$3:$E$2984,"41",데이터_품목별!$A$3:$A$2984,"2024.03")+SUMIFS(데이터_품목별!$H$3:$H$2984,데이터_품목별!$E$3:$E$2984,"42",데이터_품목별!$A$3:$A$2984,"2024.03")+SUMIFS(데이터_품목별!$H$3:$H$2984,데이터_품목별!$E$3:$E$2984,"43",데이터_품목별!$A$3:$A$2984,"2024.03")</f>
        <v>54251</v>
      </c>
      <c r="F213" s="55" t="n">
        <f aca="false">SUMIFS(데이터_품목별!$H$3:$H$2984,데이터_품목별!$E$3:$E$2984,"41",데이터_품목별!$A$3:$A$2984,"2024.04")+SUMIFS(데이터_품목별!$H$3:$H$2984,데이터_품목별!$E$3:$E$2984,"42",데이터_품목별!$A$3:$A$2984,"2024.04")+SUMIFS(데이터_품목별!$H$3:$H$2984,데이터_품목별!$E$3:$E$2984,"43",데이터_품목별!$A$3:$A$2984,"2024.04")</f>
        <v>62602</v>
      </c>
      <c r="G213" s="55" t="n">
        <f aca="false">SUMIFS(데이터_품목별!$H$3:$H$2984,데이터_품목별!$E$3:$E$2984,"41",데이터_품목별!$A$3:$A$2984,"2024.05")+SUMIFS(데이터_품목별!$H$3:$H$2984,데이터_품목별!$E$3:$E$2984,"42",데이터_품목별!$A$3:$A$2984,"2024.05")+SUMIFS(데이터_품목별!$H$3:$H$2984,데이터_품목별!$E$3:$E$2984,"43",데이터_품목별!$A$3:$A$2984,"2024.05")</f>
        <v>63898</v>
      </c>
      <c r="H213" s="55" t="n">
        <f aca="false">SUMIFS(데이터_품목별!$H$3:$H$2984,데이터_품목별!$E$3:$E$2984,"41",데이터_품목별!$A$3:$A$2984,"2024.06")+SUMIFS(데이터_품목별!$H$3:$H$2984,데이터_품목별!$E$3:$E$2984,"42",데이터_품목별!$A$3:$A$2984,"2024.06")+SUMIFS(데이터_품목별!$H$3:$H$2984,데이터_품목별!$E$3:$E$2984,"43",데이터_품목별!$A$3:$A$2984,"2024.06")</f>
        <v>59814</v>
      </c>
      <c r="I213" s="55" t="n">
        <f aca="false">SUMIFS(데이터_품목별!$H$3:$H$2984,데이터_품목별!$E$3:$E$2984,"41",데이터_품목별!$A$3:$A$2984,"2024.07")+SUMIFS(데이터_품목별!$H$3:$H$2984,데이터_품목별!$E$3:$E$2984,"42",데이터_품목별!$A$3:$A$2984,"2024.07")+SUMIFS(데이터_품목별!$H$3:$H$2984,데이터_품목별!$E$3:$E$2984,"43",데이터_품목별!$A$3:$A$2984,"2024.07")</f>
        <v>62116</v>
      </c>
      <c r="J213" s="55" t="n">
        <f aca="false">SUMIFS(데이터_품목별!$H$3:$H$2984,데이터_품목별!$E$3:$E$2984,"41",데이터_품목별!$A$3:$A$2984,"2024.08")+SUMIFS(데이터_품목별!$H$3:$H$2984,데이터_품목별!$E$3:$E$2984,"42",데이터_품목별!$A$3:$A$2984,"2024.08")+SUMIFS(데이터_품목별!$H$3:$H$2984,데이터_품목별!$E$3:$E$2984,"43",데이터_품목별!$A$3:$A$2984,"2024.08")</f>
        <v>58530</v>
      </c>
      <c r="K213" s="55" t="n">
        <f aca="false">SUMIFS(데이터_품목별!$H$3:$H$2984,데이터_품목별!$E$3:$E$2984,"41",데이터_품목별!$A$3:$A$2984,"2024.09")+SUMIFS(데이터_품목별!$H$3:$H$2984,데이터_품목별!$E$3:$E$2984,"42",데이터_품목별!$A$3:$A$2984,"2024.09")+SUMIFS(데이터_품목별!$H$3:$H$2984,데이터_품목별!$E$3:$E$2984,"43",데이터_품목별!$A$3:$A$2984,"2024.09")</f>
        <v>57567</v>
      </c>
      <c r="L213" s="55" t="n">
        <f aca="false">SUMIFS(데이터_품목별!$H$3:$H$2984,데이터_품목별!$E$3:$E$2984,"41",데이터_품목별!$A$3:$A$2984,"2024.10")+SUMIFS(데이터_품목별!$H$3:$H$2984,데이터_품목별!$E$3:$E$2984,"42",데이터_품목별!$A$3:$A$2984,"2024.10")+SUMIFS(데이터_품목별!$H$3:$H$2984,데이터_품목별!$E$3:$E$2984,"43",데이터_품목별!$A$3:$A$2984,"2024.10")</f>
        <v>62786</v>
      </c>
      <c r="M213" s="55" t="n">
        <f aca="false">SUMIFS(데이터_품목별!$H$3:$H$2984,데이터_품목별!$E$3:$E$2984,"41",데이터_품목별!$A$3:$A$2984,"2024.11")+SUMIFS(데이터_품목별!$H$3:$H$2984,데이터_품목별!$E$3:$E$2984,"42",데이터_품목별!$A$3:$A$2984,"2024.11")+SUMIFS(데이터_품목별!$H$3:$H$2984,데이터_품목별!$E$3:$E$2984,"43",데이터_품목별!$A$3:$A$2984,"2024.11")</f>
        <v>61405</v>
      </c>
      <c r="N213" s="55" t="n">
        <f aca="false">SUMIFS(데이터_품목별!$H$3:$H$2984,데이터_품목별!$E$3:$E$2984,"41",데이터_품목별!$A$3:$A$2984,"2024.12")+SUMIFS(데이터_품목별!$H$3:$H$2984,데이터_품목별!$E$3:$E$2984,"42",데이터_품목별!$A$3:$A$2984,"2024.12")+SUMIFS(데이터_품목별!$H$3:$H$2984,데이터_품목별!$E$3:$E$2984,"43",데이터_품목별!$A$3:$A$2984,"2024.12")</f>
        <v>62356</v>
      </c>
      <c r="O213" s="55" t="n">
        <f aca="false">SUMIFS(데이터_품목별!$H$3:$H$2984,데이터_품목별!$E$3:$E$2984,"41",데이터_품목별!$A$3:$A$2984,"2025.01")+SUMIFS(데이터_품목별!$H$3:$H$2984,데이터_품목별!$E$3:$E$2984,"42",데이터_품목별!$A$3:$A$2984,"2025.01")+SUMIFS(데이터_품목별!$H$3:$H$2984,데이터_품목별!$E$3:$E$2984,"43",데이터_품목별!$A$3:$A$2984,"2025.01")</f>
        <v>56795</v>
      </c>
      <c r="P213" s="55" t="n">
        <f aca="false">SUMIFS(데이터_품목별!$H$3:$H$2984,데이터_품목별!$E$3:$E$2984,"41",데이터_품목별!$A$3:$A$2984,"2025.02")+SUMIFS(데이터_품목별!$H$3:$H$2984,데이터_품목별!$E$3:$E$2984,"42",데이터_품목별!$A$3:$A$2984,"2025.02")+SUMIFS(데이터_품목별!$H$3:$H$2984,데이터_품목별!$E$3:$E$2984,"43",데이터_품목별!$A$3:$A$2984,"2025.02")</f>
        <v>54466</v>
      </c>
      <c r="Q213" s="55" t="n">
        <f aca="false">SUMIFS(데이터_품목별!$H$3:$H$2984,데이터_품목별!$E$3:$E$2984,"41",데이터_품목별!$A$3:$A$2984,"2025.03")+SUMIFS(데이터_품목별!$H$3:$H$2984,데이터_품목별!$E$3:$E$2984,"42",데이터_품목별!$A$3:$A$2984,"2025.03")+SUMIFS(데이터_품목별!$H$3:$H$2984,데이터_품목별!$E$3:$E$2984,"43",데이터_품목별!$A$3:$A$2984,"2025.03")</f>
        <v>67726</v>
      </c>
      <c r="R213" s="55" t="n">
        <f aca="false">SUMIFS(데이터_품목별!$H$3:$H$2984,데이터_품목별!$E$3:$E$2984,"41",데이터_품목별!$A$3:$A$2984,"2025.04")+SUMIFS(데이터_품목별!$H$3:$H$2984,데이터_품목별!$E$3:$E$2984,"42",데이터_품목별!$A$3:$A$2984,"2025.04")+SUMIFS(데이터_품목별!$H$3:$H$2984,데이터_품목별!$E$3:$E$2984,"43",데이터_품목별!$A$3:$A$2984,"2025.04")</f>
        <v>71629</v>
      </c>
      <c r="S213" s="55" t="n">
        <f aca="false">SUMIFS(데이터_품목별!$H$3:$H$2984,데이터_품목별!$E$3:$E$2984,"41",데이터_품목별!$A$3:$A$2984,"2025.05")+SUMIFS(데이터_품목별!$H$3:$H$2984,데이터_품목별!$E$3:$E$2984,"42",데이터_품목별!$A$3:$A$2984,"2025.05")+SUMIFS(데이터_품목별!$H$3:$H$2984,데이터_품목별!$E$3:$E$2984,"43",데이터_품목별!$A$3:$A$2984,"2025.05")</f>
        <v>58717</v>
      </c>
      <c r="T213" s="55" t="n">
        <f aca="false">SUMIFS(데이터_품목별!$H$3:$H$2984,데이터_품목별!$E$3:$E$2984,"41",데이터_품목별!$A$3:$A$2984,"2025.06")+SUMIFS(데이터_품목별!$H$3:$H$2984,데이터_품목별!$E$3:$E$2984,"42",데이터_품목별!$A$3:$A$2984,"2025.06")+SUMIFS(데이터_품목별!$H$3:$H$2984,데이터_품목별!$E$3:$E$2984,"43",데이터_품목별!$A$3:$A$2984,"2025.06")</f>
        <v>74194</v>
      </c>
      <c r="U213" s="55" t="n">
        <f aca="false">SUMIFS(데이터_품목별!$H$3:$H$2984,데이터_품목별!$E$3:$E$2984,"41",데이터_품목별!$A$3:$A$2984,"2025.07")+SUMIFS(데이터_품목별!$H$3:$H$2984,데이터_품목별!$E$3:$E$2984,"42",데이터_품목별!$A$3:$A$2984,"2025.07")+SUMIFS(데이터_품목별!$H$3:$H$2984,데이터_품목별!$E$3:$E$2984,"43",데이터_품목별!$A$3:$A$2984,"2025.07")</f>
        <v>66400</v>
      </c>
      <c r="V213" s="55" t="n">
        <f aca="false">SUMIFS(데이터_품목별!$H$3:$H$2984,데이터_품목별!$E$3:$E$2984,"41",데이터_품목별!$A$3:$A$2984,"2025.08")+SUMIFS(데이터_품목별!$H$3:$H$2984,데이터_품목별!$E$3:$E$2984,"42",데이터_품목별!$A$3:$A$2984,"2025.08")+SUMIFS(데이터_품목별!$H$3:$H$2984,데이터_품목별!$E$3:$E$2984,"43",데이터_품목별!$A$3:$A$2984,"2025.08")</f>
        <v>57571</v>
      </c>
      <c r="W213" s="55" t="n">
        <f aca="false">SUMIFS(데이터_품목별!$H$3:$H$2984,데이터_품목별!$E$3:$E$2984,"41",데이터_품목별!$A$3:$A$2984,"2025.09")+SUMIFS(데이터_품목별!$H$3:$H$2984,데이터_품목별!$E$3:$E$2984,"42",데이터_품목별!$A$3:$A$2984,"2025.09")+SUMIFS(데이터_품목별!$H$3:$H$2984,데이터_품목별!$E$3:$E$2984,"43",데이터_품목별!$A$3:$A$2984,"2025.09")</f>
        <v>70164</v>
      </c>
      <c r="X213" s="55" t="n">
        <f aca="false">SUMIFS(데이터_품목별!$H$3:$H$2984,데이터_품목별!$E$3:$E$2984,"41",데이터_품목별!$A$3:$A$2984,"2025.10")+SUMIFS(데이터_품목별!$H$3:$H$2984,데이터_품목별!$E$3:$E$2984,"42",데이터_품목별!$A$3:$A$2984,"2025.10")+SUMIFS(데이터_품목별!$H$3:$H$2984,데이터_품목별!$E$3:$E$2984,"43",데이터_품목별!$A$3:$A$2984,"2025.10")</f>
        <v>55845</v>
      </c>
      <c r="Y213" s="55" t="n">
        <f aca="false">SUMIFS(데이터_품목별!$H$3:$H$2984,데이터_품목별!$E$3:$E$2984,"41",데이터_품목별!$A$3:$A$2984,"2025.11")+SUMIFS(데이터_품목별!$H$3:$H$2984,데이터_품목별!$E$3:$E$2984,"42",데이터_품목별!$A$3:$A$2984,"2025.11")+SUMIFS(데이터_품목별!$H$3:$H$2984,데이터_품목별!$E$3:$E$2984,"43",데이터_품목별!$A$3:$A$2984,"2025.11")</f>
        <v>75437</v>
      </c>
      <c r="Z213" s="55" t="n">
        <f aca="false">SUMIFS(데이터_품목별!$H$3:$H$2984,데이터_품목별!$E$3:$E$2984,"41",데이터_품목별!$A$3:$A$2984,"2025.12")+SUMIFS(데이터_품목별!$H$3:$H$2984,데이터_품목별!$E$3:$E$2984,"42",데이터_품목별!$A$3:$A$2984,"2025.12")+SUMIFS(데이터_품목별!$H$3:$H$2984,데이터_품목별!$E$3:$E$2984,"43",데이터_품목별!$A$3:$A$2984,"2025.12")</f>
        <v>69938</v>
      </c>
      <c r="AA213" s="55" t="n">
        <f aca="false">SUMIFS(데이터_품목별!$H$3:$H$2984,데이터_품목별!$E$3:$E$2984,"41",데이터_품목별!$A$3:$A$2984,"2026.01")+SUMIFS(데이터_품목별!$H$3:$H$2984,데이터_품목별!$E$3:$E$2984,"42",데이터_품목별!$A$3:$A$2984,"2026.01")+SUMIFS(데이터_품목별!$H$3:$H$2984,데이터_품목별!$E$3:$E$2984,"43",데이터_품목별!$A$3:$A$2984,"2026.01")</f>
        <v>71761</v>
      </c>
      <c r="AB213" s="55" t="n">
        <f aca="false">SUMIFS(데이터_품목별!$H$3:$H$2984,데이터_품목별!$E$3:$E$2984,"41",데이터_품목별!$A$3:$A$2984,"2026.02")+SUMIFS(데이터_품목별!$H$3:$H$2984,데이터_품목별!$E$3:$E$2984,"42",데이터_품목별!$A$3:$A$2984,"2026.02")+SUMIFS(데이터_품목별!$H$3:$H$2984,데이터_품목별!$E$3:$E$2984,"43",데이터_품목별!$A$3:$A$2984,"2026.02")</f>
        <v>57485</v>
      </c>
      <c r="AC213" s="55" t="n">
        <f aca="false">SUMIFS(데이터_품목별!$H$3:$H$2984,데이터_품목별!$E$3:$E$2984,"41",데이터_품목별!$A$3:$A$2984,"2026.03")+SUMIFS(데이터_품목별!$H$3:$H$2984,데이터_품목별!$E$3:$E$2984,"42",데이터_품목별!$A$3:$A$2984,"2026.03")+SUMIFS(데이터_품목별!$H$3:$H$2984,데이터_품목별!$E$3:$E$2984,"43",데이터_품목별!$A$3:$A$2984,"2026.03")</f>
        <v>79573</v>
      </c>
      <c r="AD213" s="55" t="n">
        <f aca="false">SUMIFS(데이터_품목별!$H$3:$H$2984,데이터_품목별!$E$3:$E$2984,"41",데이터_품목별!$A$3:$A$2984,"2026.04")+SUMIFS(데이터_품목별!$H$3:$H$2984,데이터_품목별!$E$3:$E$2984,"42",데이터_품목별!$A$3:$A$2984,"2026.04")+SUMIFS(데이터_품목별!$H$3:$H$2984,데이터_품목별!$E$3:$E$2984,"43",데이터_품목별!$A$3:$A$2984,"2026.04")</f>
        <v>89728</v>
      </c>
      <c r="AE213" s="55" t="n">
        <f aca="false">SUMIFS(데이터_품목별!$H$3:$H$2984,데이터_품목별!$E$3:$E$2984,"41",데이터_품목별!$A$3:$A$2984,"2026.05")+SUMIFS(데이터_품목별!$H$3:$H$2984,데이터_품목별!$E$3:$E$2984,"42",데이터_품목별!$A$3:$A$2984,"2026.05")+SUMIFS(데이터_품목별!$H$3:$H$2984,데이터_품목별!$E$3:$E$2984,"43",데이터_품목별!$A$3:$A$2984,"2026.05")</f>
        <v>75383</v>
      </c>
      <c r="AF213" s="55" t="n">
        <f aca="false">SUMIFS(데이터_품목별!$H$3:$H$2984,데이터_품목별!$E$3:$E$2984,"41",데이터_품목별!$A$3:$A$2984,"2026.06")+SUMIFS(데이터_품목별!$H$3:$H$2984,데이터_품목별!$E$3:$E$2984,"42",데이터_품목별!$A$3:$A$2984,"2026.06")+SUMIFS(데이터_품목별!$H$3:$H$2984,데이터_품목별!$E$3:$E$2984,"43",데이터_품목별!$A$3:$A$2984,"2026.06")</f>
        <v>92805</v>
      </c>
      <c r="AG213" s="55" t="n">
        <f aca="false">SUMIFS(데이터_품목별!$H$3:$H$2984,데이터_품목별!$E$3:$E$2984,"41",데이터_품목별!$A$3:$A$2984,"2026.07")+SUMIFS(데이터_품목별!$H$3:$H$2984,데이터_품목별!$E$3:$E$2984,"42",데이터_품목별!$A$3:$A$2984,"2026.07")+SUMIFS(데이터_품목별!$H$3:$H$2984,데이터_품목별!$E$3:$E$2984,"43",데이터_품목별!$A$3:$A$2984,"2026.07")</f>
        <v>93950</v>
      </c>
    </row>
    <row r="214" customFormat="false" ht="15" hidden="false" customHeight="true" outlineLevel="0" collapsed="false">
      <c r="A214" s="53" t="s">
        <v>19816</v>
      </c>
      <c r="B214" s="46" t="s">
        <v>19817</v>
      </c>
      <c r="C214" s="55" t="n">
        <f aca="false">SUMIFS(데이터_품목별!$H$3:$H$2984,데이터_품목별!$E$3:$E$2984,"44",데이터_품목별!$A$3:$A$2984,"2024.01")+SUMIFS(데이터_품목별!$H$3:$H$2984,데이터_품목별!$E$3:$E$2984,"45",데이터_품목별!$A$3:$A$2984,"2024.01")+SUMIFS(데이터_품목별!$H$3:$H$2984,데이터_품목별!$E$3:$E$2984,"46",데이터_품목별!$A$3:$A$2984,"2024.01")</f>
        <v>6463</v>
      </c>
      <c r="D214" s="55" t="n">
        <f aca="false">SUMIFS(데이터_품목별!$H$3:$H$2984,데이터_품목별!$E$3:$E$2984,"44",데이터_품목별!$A$3:$A$2984,"2024.02")+SUMIFS(데이터_품목별!$H$3:$H$2984,데이터_품목별!$E$3:$E$2984,"45",데이터_품목별!$A$3:$A$2984,"2024.02")+SUMIFS(데이터_품목별!$H$3:$H$2984,데이터_품목별!$E$3:$E$2984,"46",데이터_품목별!$A$3:$A$2984,"2024.02")</f>
        <v>5157</v>
      </c>
      <c r="E214" s="55" t="n">
        <f aca="false">SUMIFS(데이터_품목별!$H$3:$H$2984,데이터_품목별!$E$3:$E$2984,"44",데이터_품목별!$A$3:$A$2984,"2024.03")+SUMIFS(데이터_품목별!$H$3:$H$2984,데이터_품목별!$E$3:$E$2984,"45",데이터_품목별!$A$3:$A$2984,"2024.03")+SUMIFS(데이터_품목별!$H$3:$H$2984,데이터_품목별!$E$3:$E$2984,"46",데이터_품목별!$A$3:$A$2984,"2024.03")</f>
        <v>5696</v>
      </c>
      <c r="F214" s="55" t="n">
        <f aca="false">SUMIFS(데이터_품목별!$H$3:$H$2984,데이터_품목별!$E$3:$E$2984,"44",데이터_품목별!$A$3:$A$2984,"2024.04")+SUMIFS(데이터_품목별!$H$3:$H$2984,데이터_품목별!$E$3:$E$2984,"45",데이터_품목별!$A$3:$A$2984,"2024.04")+SUMIFS(데이터_품목별!$H$3:$H$2984,데이터_품목별!$E$3:$E$2984,"46",데이터_품목별!$A$3:$A$2984,"2024.04")</f>
        <v>7246</v>
      </c>
      <c r="G214" s="55" t="n">
        <f aca="false">SUMIFS(데이터_품목별!$H$3:$H$2984,데이터_품목별!$E$3:$E$2984,"44",데이터_품목별!$A$3:$A$2984,"2024.05")+SUMIFS(데이터_품목별!$H$3:$H$2984,데이터_품목별!$E$3:$E$2984,"45",데이터_품목별!$A$3:$A$2984,"2024.05")+SUMIFS(데이터_품목별!$H$3:$H$2984,데이터_품목별!$E$3:$E$2984,"46",데이터_품목별!$A$3:$A$2984,"2024.05")</f>
        <v>6747</v>
      </c>
      <c r="H214" s="55" t="n">
        <f aca="false">SUMIFS(데이터_품목별!$H$3:$H$2984,데이터_품목별!$E$3:$E$2984,"44",데이터_품목별!$A$3:$A$2984,"2024.06")+SUMIFS(데이터_품목별!$H$3:$H$2984,데이터_품목별!$E$3:$E$2984,"45",데이터_품목별!$A$3:$A$2984,"2024.06")+SUMIFS(데이터_품목별!$H$3:$H$2984,데이터_품목별!$E$3:$E$2984,"46",데이터_품목별!$A$3:$A$2984,"2024.06")</f>
        <v>5053</v>
      </c>
      <c r="I214" s="55" t="n">
        <f aca="false">SUMIFS(데이터_품목별!$H$3:$H$2984,데이터_품목별!$E$3:$E$2984,"44",데이터_품목별!$A$3:$A$2984,"2024.07")+SUMIFS(데이터_품목별!$H$3:$H$2984,데이터_품목별!$E$3:$E$2984,"45",데이터_품목별!$A$3:$A$2984,"2024.07")+SUMIFS(데이터_품목별!$H$3:$H$2984,데이터_품목별!$E$3:$E$2984,"46",데이터_품목별!$A$3:$A$2984,"2024.07")</f>
        <v>5579</v>
      </c>
      <c r="J214" s="55" t="n">
        <f aca="false">SUMIFS(데이터_품목별!$H$3:$H$2984,데이터_품목별!$E$3:$E$2984,"44",데이터_품목별!$A$3:$A$2984,"2024.08")+SUMIFS(데이터_품목별!$H$3:$H$2984,데이터_품목별!$E$3:$E$2984,"45",데이터_품목별!$A$3:$A$2984,"2024.08")+SUMIFS(데이터_품목별!$H$3:$H$2984,데이터_품목별!$E$3:$E$2984,"46",데이터_품목별!$A$3:$A$2984,"2024.08")</f>
        <v>6362</v>
      </c>
      <c r="K214" s="55" t="n">
        <f aca="false">SUMIFS(데이터_품목별!$H$3:$H$2984,데이터_품목별!$E$3:$E$2984,"44",데이터_품목별!$A$3:$A$2984,"2024.09")+SUMIFS(데이터_품목별!$H$3:$H$2984,데이터_품목별!$E$3:$E$2984,"45",데이터_품목별!$A$3:$A$2984,"2024.09")+SUMIFS(데이터_품목별!$H$3:$H$2984,데이터_품목별!$E$3:$E$2984,"46",데이터_품목별!$A$3:$A$2984,"2024.09")</f>
        <v>4528</v>
      </c>
      <c r="L214" s="55" t="n">
        <f aca="false">SUMIFS(데이터_품목별!$H$3:$H$2984,데이터_품목별!$E$3:$E$2984,"44",데이터_품목별!$A$3:$A$2984,"2024.10")+SUMIFS(데이터_품목별!$H$3:$H$2984,데이터_품목별!$E$3:$E$2984,"45",데이터_품목별!$A$3:$A$2984,"2024.10")+SUMIFS(데이터_품목별!$H$3:$H$2984,데이터_품목별!$E$3:$E$2984,"46",데이터_품목별!$A$3:$A$2984,"2024.10")</f>
        <v>5370</v>
      </c>
      <c r="M214" s="55" t="n">
        <f aca="false">SUMIFS(데이터_품목별!$H$3:$H$2984,데이터_품목별!$E$3:$E$2984,"44",데이터_품목별!$A$3:$A$2984,"2024.11")+SUMIFS(데이터_품목별!$H$3:$H$2984,데이터_품목별!$E$3:$E$2984,"45",데이터_품목별!$A$3:$A$2984,"2024.11")+SUMIFS(데이터_품목별!$H$3:$H$2984,데이터_품목별!$E$3:$E$2984,"46",데이터_품목별!$A$3:$A$2984,"2024.11")</f>
        <v>7194</v>
      </c>
      <c r="N214" s="55" t="n">
        <f aca="false">SUMIFS(데이터_품목별!$H$3:$H$2984,데이터_품목별!$E$3:$E$2984,"44",데이터_품목별!$A$3:$A$2984,"2024.12")+SUMIFS(데이터_품목별!$H$3:$H$2984,데이터_품목별!$E$3:$E$2984,"45",데이터_품목별!$A$3:$A$2984,"2024.12")+SUMIFS(데이터_품목별!$H$3:$H$2984,데이터_품목별!$E$3:$E$2984,"46",데이터_품목별!$A$3:$A$2984,"2024.12")</f>
        <v>4953</v>
      </c>
      <c r="O214" s="55" t="n">
        <f aca="false">SUMIFS(데이터_품목별!$H$3:$H$2984,데이터_품목별!$E$3:$E$2984,"44",데이터_품목별!$A$3:$A$2984,"2025.01")+SUMIFS(데이터_품목별!$H$3:$H$2984,데이터_품목별!$E$3:$E$2984,"45",데이터_품목별!$A$3:$A$2984,"2025.01")+SUMIFS(데이터_품목별!$H$3:$H$2984,데이터_품목별!$E$3:$E$2984,"46",데이터_품목별!$A$3:$A$2984,"2025.01")</f>
        <v>4809</v>
      </c>
      <c r="P214" s="55" t="n">
        <f aca="false">SUMIFS(데이터_품목별!$H$3:$H$2984,데이터_품목별!$E$3:$E$2984,"44",데이터_품목별!$A$3:$A$2984,"2025.02")+SUMIFS(데이터_품목별!$H$3:$H$2984,데이터_품목별!$E$3:$E$2984,"45",데이터_품목별!$A$3:$A$2984,"2025.02")+SUMIFS(데이터_품목별!$H$3:$H$2984,데이터_품목별!$E$3:$E$2984,"46",데이터_품목별!$A$3:$A$2984,"2025.02")</f>
        <v>5186</v>
      </c>
      <c r="Q214" s="55" t="n">
        <f aca="false">SUMIFS(데이터_품목별!$H$3:$H$2984,데이터_품목별!$E$3:$E$2984,"44",데이터_품목별!$A$3:$A$2984,"2025.03")+SUMIFS(데이터_품목별!$H$3:$H$2984,데이터_품목별!$E$3:$E$2984,"45",데이터_품목별!$A$3:$A$2984,"2025.03")+SUMIFS(데이터_품목별!$H$3:$H$2984,데이터_품목별!$E$3:$E$2984,"46",데이터_품목별!$A$3:$A$2984,"2025.03")</f>
        <v>6585</v>
      </c>
      <c r="R214" s="55" t="n">
        <f aca="false">SUMIFS(데이터_품목별!$H$3:$H$2984,데이터_품목별!$E$3:$E$2984,"44",데이터_품목별!$A$3:$A$2984,"2025.04")+SUMIFS(데이터_품목별!$H$3:$H$2984,데이터_품목별!$E$3:$E$2984,"45",데이터_품목별!$A$3:$A$2984,"2025.04")+SUMIFS(데이터_품목별!$H$3:$H$2984,데이터_품목별!$E$3:$E$2984,"46",데이터_품목별!$A$3:$A$2984,"2025.04")</f>
        <v>6956</v>
      </c>
      <c r="S214" s="55" t="n">
        <f aca="false">SUMIFS(데이터_품목별!$H$3:$H$2984,데이터_품목별!$E$3:$E$2984,"44",데이터_품목별!$A$3:$A$2984,"2025.05")+SUMIFS(데이터_품목별!$H$3:$H$2984,데이터_품목별!$E$3:$E$2984,"45",데이터_품목별!$A$3:$A$2984,"2025.05")+SUMIFS(데이터_품목별!$H$3:$H$2984,데이터_품목별!$E$3:$E$2984,"46",데이터_품목별!$A$3:$A$2984,"2025.05")</f>
        <v>5115</v>
      </c>
      <c r="T214" s="55" t="n">
        <f aca="false">SUMIFS(데이터_품목별!$H$3:$H$2984,데이터_품목별!$E$3:$E$2984,"44",데이터_품목별!$A$3:$A$2984,"2025.06")+SUMIFS(데이터_품목별!$H$3:$H$2984,데이터_품목별!$E$3:$E$2984,"45",데이터_품목별!$A$3:$A$2984,"2025.06")+SUMIFS(데이터_품목별!$H$3:$H$2984,데이터_품목별!$E$3:$E$2984,"46",데이터_품목별!$A$3:$A$2984,"2025.06")</f>
        <v>7048</v>
      </c>
      <c r="U214" s="55" t="n">
        <f aca="false">SUMIFS(데이터_품목별!$H$3:$H$2984,데이터_품목별!$E$3:$E$2984,"44",데이터_품목별!$A$3:$A$2984,"2025.07")+SUMIFS(데이터_품목별!$H$3:$H$2984,데이터_품목별!$E$3:$E$2984,"45",데이터_품목별!$A$3:$A$2984,"2025.07")+SUMIFS(데이터_품목별!$H$3:$H$2984,데이터_품목별!$E$3:$E$2984,"46",데이터_품목별!$A$3:$A$2984,"2025.07")</f>
        <v>7331</v>
      </c>
      <c r="V214" s="55" t="n">
        <f aca="false">SUMIFS(데이터_품목별!$H$3:$H$2984,데이터_품목별!$E$3:$E$2984,"44",데이터_품목별!$A$3:$A$2984,"2025.08")+SUMIFS(데이터_품목별!$H$3:$H$2984,데이터_품목별!$E$3:$E$2984,"45",데이터_품목별!$A$3:$A$2984,"2025.08")+SUMIFS(데이터_품목별!$H$3:$H$2984,데이터_품목별!$E$3:$E$2984,"46",데이터_품목별!$A$3:$A$2984,"2025.08")</f>
        <v>7053</v>
      </c>
      <c r="W214" s="55" t="n">
        <f aca="false">SUMIFS(데이터_품목별!$H$3:$H$2984,데이터_품목별!$E$3:$E$2984,"44",데이터_품목별!$A$3:$A$2984,"2025.09")+SUMIFS(데이터_품목별!$H$3:$H$2984,데이터_품목별!$E$3:$E$2984,"45",데이터_품목별!$A$3:$A$2984,"2025.09")+SUMIFS(데이터_품목별!$H$3:$H$2984,데이터_품목별!$E$3:$E$2984,"46",데이터_품목별!$A$3:$A$2984,"2025.09")</f>
        <v>6255</v>
      </c>
      <c r="X214" s="55" t="n">
        <f aca="false">SUMIFS(데이터_품목별!$H$3:$H$2984,데이터_품목별!$E$3:$E$2984,"44",데이터_품목별!$A$3:$A$2984,"2025.10")+SUMIFS(데이터_품목별!$H$3:$H$2984,데이터_품목별!$E$3:$E$2984,"45",데이터_품목별!$A$3:$A$2984,"2025.10")+SUMIFS(데이터_품목별!$H$3:$H$2984,데이터_품목별!$E$3:$E$2984,"46",데이터_품목별!$A$3:$A$2984,"2025.10")</f>
        <v>5103</v>
      </c>
      <c r="Y214" s="55" t="n">
        <f aca="false">SUMIFS(데이터_품목별!$H$3:$H$2984,데이터_품목별!$E$3:$E$2984,"44",데이터_품목별!$A$3:$A$2984,"2025.11")+SUMIFS(데이터_품목별!$H$3:$H$2984,데이터_품목별!$E$3:$E$2984,"45",데이터_품목별!$A$3:$A$2984,"2025.11")+SUMIFS(데이터_품목별!$H$3:$H$2984,데이터_품목별!$E$3:$E$2984,"46",데이터_품목별!$A$3:$A$2984,"2025.11")</f>
        <v>4885</v>
      </c>
      <c r="Z214" s="55" t="n">
        <f aca="false">SUMIFS(데이터_품목별!$H$3:$H$2984,데이터_품목별!$E$3:$E$2984,"44",데이터_품목별!$A$3:$A$2984,"2025.12")+SUMIFS(데이터_품목별!$H$3:$H$2984,데이터_품목별!$E$3:$E$2984,"45",데이터_품목별!$A$3:$A$2984,"2025.12")+SUMIFS(데이터_품목별!$H$3:$H$2984,데이터_품목별!$E$3:$E$2984,"46",데이터_품목별!$A$3:$A$2984,"2025.12")</f>
        <v>6509</v>
      </c>
      <c r="AA214" s="55" t="n">
        <f aca="false">SUMIFS(데이터_품목별!$H$3:$H$2984,데이터_품목별!$E$3:$E$2984,"44",데이터_품목별!$A$3:$A$2984,"2026.01")+SUMIFS(데이터_품목별!$H$3:$H$2984,데이터_품목별!$E$3:$E$2984,"45",데이터_품목별!$A$3:$A$2984,"2026.01")+SUMIFS(데이터_품목별!$H$3:$H$2984,데이터_품목별!$E$3:$E$2984,"46",데이터_품목별!$A$3:$A$2984,"2026.01")</f>
        <v>7005</v>
      </c>
      <c r="AB214" s="55" t="n">
        <f aca="false">SUMIFS(데이터_품목별!$H$3:$H$2984,데이터_품목별!$E$3:$E$2984,"44",데이터_품목별!$A$3:$A$2984,"2026.02")+SUMIFS(데이터_품목별!$H$3:$H$2984,데이터_품목별!$E$3:$E$2984,"45",데이터_품목별!$A$3:$A$2984,"2026.02")+SUMIFS(데이터_품목별!$H$3:$H$2984,데이터_품목별!$E$3:$E$2984,"46",데이터_품목별!$A$3:$A$2984,"2026.02")</f>
        <v>6014</v>
      </c>
      <c r="AC214" s="55" t="n">
        <f aca="false">SUMIFS(데이터_품목별!$H$3:$H$2984,데이터_품목별!$E$3:$E$2984,"44",데이터_품목별!$A$3:$A$2984,"2026.03")+SUMIFS(데이터_품목별!$H$3:$H$2984,데이터_품목별!$E$3:$E$2984,"45",데이터_품목별!$A$3:$A$2984,"2026.03")+SUMIFS(데이터_품목별!$H$3:$H$2984,데이터_품목별!$E$3:$E$2984,"46",데이터_품목별!$A$3:$A$2984,"2026.03")</f>
        <v>8113</v>
      </c>
      <c r="AD214" s="55" t="n">
        <f aca="false">SUMIFS(데이터_품목별!$H$3:$H$2984,데이터_품목별!$E$3:$E$2984,"44",데이터_품목별!$A$3:$A$2984,"2026.04")+SUMIFS(데이터_품목별!$H$3:$H$2984,데이터_품목별!$E$3:$E$2984,"45",데이터_품목별!$A$3:$A$2984,"2026.04")+SUMIFS(데이터_품목별!$H$3:$H$2984,데이터_품목별!$E$3:$E$2984,"46",데이터_품목별!$A$3:$A$2984,"2026.04")</f>
        <v>8001</v>
      </c>
      <c r="AE214" s="55" t="n">
        <f aca="false">SUMIFS(데이터_품목별!$H$3:$H$2984,데이터_품목별!$E$3:$E$2984,"44",데이터_품목별!$A$3:$A$2984,"2026.05")+SUMIFS(데이터_품목별!$H$3:$H$2984,데이터_품목별!$E$3:$E$2984,"45",데이터_품목별!$A$3:$A$2984,"2026.05")+SUMIFS(데이터_품목별!$H$3:$H$2984,데이터_품목별!$E$3:$E$2984,"46",데이터_품목별!$A$3:$A$2984,"2026.05")</f>
        <v>6422</v>
      </c>
      <c r="AF214" s="55" t="n">
        <f aca="false">SUMIFS(데이터_품목별!$H$3:$H$2984,데이터_품목별!$E$3:$E$2984,"44",데이터_품목별!$A$3:$A$2984,"2026.06")+SUMIFS(데이터_품목별!$H$3:$H$2984,데이터_품목별!$E$3:$E$2984,"45",데이터_품목별!$A$3:$A$2984,"2026.06")+SUMIFS(데이터_품목별!$H$3:$H$2984,데이터_품목별!$E$3:$E$2984,"46",데이터_품목별!$A$3:$A$2984,"2026.06")</f>
        <v>7818</v>
      </c>
      <c r="AG214" s="55" t="n">
        <f aca="false">SUMIFS(데이터_품목별!$H$3:$H$2984,데이터_품목별!$E$3:$E$2984,"44",데이터_품목별!$A$3:$A$2984,"2026.07")+SUMIFS(데이터_품목별!$H$3:$H$2984,데이터_품목별!$E$3:$E$2984,"45",데이터_품목별!$A$3:$A$2984,"2026.07")+SUMIFS(데이터_품목별!$H$3:$H$2984,데이터_품목별!$E$3:$E$2984,"46",데이터_품목별!$A$3:$A$2984,"2026.07")</f>
        <v>7902</v>
      </c>
    </row>
    <row r="215" customFormat="false" ht="15" hidden="false" customHeight="true" outlineLevel="0" collapsed="false">
      <c r="A215" s="53" t="s">
        <v>19818</v>
      </c>
      <c r="B215" s="46" t="s">
        <v>19819</v>
      </c>
      <c r="C215" s="55" t="n">
        <f aca="false">SUMIFS(데이터_품목별!$H$3:$H$2984,데이터_품목별!$E$3:$E$2984,"47",데이터_품목별!$A$3:$A$2984,"2024.01")+SUMIFS(데이터_품목별!$H$3:$H$2984,데이터_품목별!$E$3:$E$2984,"48",데이터_품목별!$A$3:$A$2984,"2024.01")+SUMIFS(데이터_품목별!$H$3:$H$2984,데이터_품목별!$E$3:$E$2984,"49",데이터_품목별!$A$3:$A$2984,"2024.01")</f>
        <v>269726</v>
      </c>
      <c r="D215" s="55" t="n">
        <f aca="false">SUMIFS(데이터_품목별!$H$3:$H$2984,데이터_품목별!$E$3:$E$2984,"47",데이터_품목별!$A$3:$A$2984,"2024.02")+SUMIFS(데이터_품목별!$H$3:$H$2984,데이터_품목별!$E$3:$E$2984,"48",데이터_품목별!$A$3:$A$2984,"2024.02")+SUMIFS(데이터_품목별!$H$3:$H$2984,데이터_품목별!$E$3:$E$2984,"49",데이터_품목별!$A$3:$A$2984,"2024.02")</f>
        <v>266575</v>
      </c>
      <c r="E215" s="55" t="n">
        <f aca="false">SUMIFS(데이터_품목별!$H$3:$H$2984,데이터_품목별!$E$3:$E$2984,"47",데이터_품목별!$A$3:$A$2984,"2024.03")+SUMIFS(데이터_품목별!$H$3:$H$2984,데이터_품목별!$E$3:$E$2984,"48",데이터_품목별!$A$3:$A$2984,"2024.03")+SUMIFS(데이터_품목별!$H$3:$H$2984,데이터_품목별!$E$3:$E$2984,"49",데이터_품목별!$A$3:$A$2984,"2024.03")</f>
        <v>266910</v>
      </c>
      <c r="F215" s="55" t="n">
        <f aca="false">SUMIFS(데이터_품목별!$H$3:$H$2984,데이터_품목별!$E$3:$E$2984,"47",데이터_품목별!$A$3:$A$2984,"2024.04")+SUMIFS(데이터_품목별!$H$3:$H$2984,데이터_품목별!$E$3:$E$2984,"48",데이터_품목별!$A$3:$A$2984,"2024.04")+SUMIFS(데이터_품목별!$H$3:$H$2984,데이터_품목별!$E$3:$E$2984,"49",데이터_품목별!$A$3:$A$2984,"2024.04")</f>
        <v>301255</v>
      </c>
      <c r="G215" s="55" t="n">
        <f aca="false">SUMIFS(데이터_품목별!$H$3:$H$2984,데이터_품목별!$E$3:$E$2984,"47",데이터_품목별!$A$3:$A$2984,"2024.05")+SUMIFS(데이터_품목별!$H$3:$H$2984,데이터_품목별!$E$3:$E$2984,"48",데이터_품목별!$A$3:$A$2984,"2024.05")+SUMIFS(데이터_품목별!$H$3:$H$2984,데이터_품목별!$E$3:$E$2984,"49",데이터_품목별!$A$3:$A$2984,"2024.05")</f>
        <v>288287</v>
      </c>
      <c r="H215" s="55" t="n">
        <f aca="false">SUMIFS(데이터_품목별!$H$3:$H$2984,데이터_품목별!$E$3:$E$2984,"47",데이터_품목별!$A$3:$A$2984,"2024.06")+SUMIFS(데이터_품목별!$H$3:$H$2984,데이터_품목별!$E$3:$E$2984,"48",데이터_품목별!$A$3:$A$2984,"2024.06")+SUMIFS(데이터_품목별!$H$3:$H$2984,데이터_품목별!$E$3:$E$2984,"49",데이터_품목별!$A$3:$A$2984,"2024.06")</f>
        <v>283367</v>
      </c>
      <c r="I215" s="55" t="n">
        <f aca="false">SUMIFS(데이터_품목별!$H$3:$H$2984,데이터_품목별!$E$3:$E$2984,"47",데이터_품목별!$A$3:$A$2984,"2024.07")+SUMIFS(데이터_품목별!$H$3:$H$2984,데이터_품목별!$E$3:$E$2984,"48",데이터_품목별!$A$3:$A$2984,"2024.07")+SUMIFS(데이터_품목별!$H$3:$H$2984,데이터_품목별!$E$3:$E$2984,"49",데이터_품목별!$A$3:$A$2984,"2024.07")</f>
        <v>292701</v>
      </c>
      <c r="J215" s="55" t="n">
        <f aca="false">SUMIFS(데이터_품목별!$H$3:$H$2984,데이터_품목별!$E$3:$E$2984,"47",데이터_품목별!$A$3:$A$2984,"2024.08")+SUMIFS(데이터_품목별!$H$3:$H$2984,데이터_품목별!$E$3:$E$2984,"48",데이터_품목별!$A$3:$A$2984,"2024.08")+SUMIFS(데이터_품목별!$H$3:$H$2984,데이터_품목별!$E$3:$E$2984,"49",데이터_품목별!$A$3:$A$2984,"2024.08")</f>
        <v>251677</v>
      </c>
      <c r="K215" s="55" t="n">
        <f aca="false">SUMIFS(데이터_품목별!$H$3:$H$2984,데이터_품목별!$E$3:$E$2984,"47",데이터_품목별!$A$3:$A$2984,"2024.09")+SUMIFS(데이터_품목별!$H$3:$H$2984,데이터_품목별!$E$3:$E$2984,"48",데이터_품목별!$A$3:$A$2984,"2024.09")+SUMIFS(데이터_품목별!$H$3:$H$2984,데이터_품목별!$E$3:$E$2984,"49",데이터_품목별!$A$3:$A$2984,"2024.09")</f>
        <v>250586</v>
      </c>
      <c r="L215" s="55" t="n">
        <f aca="false">SUMIFS(데이터_품목별!$H$3:$H$2984,데이터_품목별!$E$3:$E$2984,"47",데이터_품목별!$A$3:$A$2984,"2024.10")+SUMIFS(데이터_품목별!$H$3:$H$2984,데이터_품목별!$E$3:$E$2984,"48",데이터_품목별!$A$3:$A$2984,"2024.10")+SUMIFS(데이터_품목별!$H$3:$H$2984,데이터_품목별!$E$3:$E$2984,"49",데이터_품목별!$A$3:$A$2984,"2024.10")</f>
        <v>275354</v>
      </c>
      <c r="M215" s="55" t="n">
        <f aca="false">SUMIFS(데이터_품목별!$H$3:$H$2984,데이터_품목별!$E$3:$E$2984,"47",데이터_품목별!$A$3:$A$2984,"2024.11")+SUMIFS(데이터_품목별!$H$3:$H$2984,데이터_품목별!$E$3:$E$2984,"48",데이터_품목별!$A$3:$A$2984,"2024.11")+SUMIFS(데이터_품목별!$H$3:$H$2984,데이터_품목별!$E$3:$E$2984,"49",데이터_품목별!$A$3:$A$2984,"2024.11")</f>
        <v>266245</v>
      </c>
      <c r="N215" s="55" t="n">
        <f aca="false">SUMIFS(데이터_품목별!$H$3:$H$2984,데이터_품목별!$E$3:$E$2984,"47",데이터_품목별!$A$3:$A$2984,"2024.12")+SUMIFS(데이터_품목별!$H$3:$H$2984,데이터_품목별!$E$3:$E$2984,"48",데이터_품목별!$A$3:$A$2984,"2024.12")+SUMIFS(데이터_품목별!$H$3:$H$2984,데이터_품목별!$E$3:$E$2984,"49",데이터_품목별!$A$3:$A$2984,"2024.12")</f>
        <v>277132</v>
      </c>
      <c r="O215" s="55" t="n">
        <f aca="false">SUMIFS(데이터_품목별!$H$3:$H$2984,데이터_품목별!$E$3:$E$2984,"47",데이터_품목별!$A$3:$A$2984,"2025.01")+SUMIFS(데이터_품목별!$H$3:$H$2984,데이터_품목별!$E$3:$E$2984,"48",데이터_품목별!$A$3:$A$2984,"2025.01")+SUMIFS(데이터_품목별!$H$3:$H$2984,데이터_품목별!$E$3:$E$2984,"49",데이터_품목별!$A$3:$A$2984,"2025.01")</f>
        <v>237827</v>
      </c>
      <c r="P215" s="55" t="n">
        <f aca="false">SUMIFS(데이터_품목별!$H$3:$H$2984,데이터_품목별!$E$3:$E$2984,"47",데이터_품목별!$A$3:$A$2984,"2025.02")+SUMIFS(데이터_품목별!$H$3:$H$2984,데이터_품목별!$E$3:$E$2984,"48",데이터_품목별!$A$3:$A$2984,"2025.02")+SUMIFS(데이터_품목별!$H$3:$H$2984,데이터_품목별!$E$3:$E$2984,"49",데이터_품목별!$A$3:$A$2984,"2025.02")</f>
        <v>275999</v>
      </c>
      <c r="Q215" s="55" t="n">
        <f aca="false">SUMIFS(데이터_품목별!$H$3:$H$2984,데이터_품목별!$E$3:$E$2984,"47",데이터_품목별!$A$3:$A$2984,"2025.03")+SUMIFS(데이터_품목별!$H$3:$H$2984,데이터_품목별!$E$3:$E$2984,"48",데이터_품목별!$A$3:$A$2984,"2025.03")+SUMIFS(데이터_품목별!$H$3:$H$2984,데이터_품목별!$E$3:$E$2984,"49",데이터_품목별!$A$3:$A$2984,"2025.03")</f>
        <v>255477</v>
      </c>
      <c r="R215" s="55" t="n">
        <f aca="false">SUMIFS(데이터_품목별!$H$3:$H$2984,데이터_품목별!$E$3:$E$2984,"47",데이터_품목별!$A$3:$A$2984,"2025.04")+SUMIFS(데이터_품목별!$H$3:$H$2984,데이터_품목별!$E$3:$E$2984,"48",데이터_품목별!$A$3:$A$2984,"2025.04")+SUMIFS(데이터_품목별!$H$3:$H$2984,데이터_품목별!$E$3:$E$2984,"49",데이터_품목별!$A$3:$A$2984,"2025.04")</f>
        <v>281370</v>
      </c>
      <c r="S215" s="55" t="n">
        <f aca="false">SUMIFS(데이터_품목별!$H$3:$H$2984,데이터_품목별!$E$3:$E$2984,"47",데이터_품목별!$A$3:$A$2984,"2025.05")+SUMIFS(데이터_품목별!$H$3:$H$2984,데이터_품목별!$E$3:$E$2984,"48",데이터_품목별!$A$3:$A$2984,"2025.05")+SUMIFS(데이터_품목별!$H$3:$H$2984,데이터_품목별!$E$3:$E$2984,"49",데이터_품목별!$A$3:$A$2984,"2025.05")</f>
        <v>259340</v>
      </c>
      <c r="T215" s="55" t="n">
        <f aca="false">SUMIFS(데이터_품목별!$H$3:$H$2984,데이터_품목별!$E$3:$E$2984,"47",데이터_품목별!$A$3:$A$2984,"2025.06")+SUMIFS(데이터_품목별!$H$3:$H$2984,데이터_품목별!$E$3:$E$2984,"48",데이터_품목별!$A$3:$A$2984,"2025.06")+SUMIFS(데이터_품목별!$H$3:$H$2984,데이터_품목별!$E$3:$E$2984,"49",데이터_품목별!$A$3:$A$2984,"2025.06")</f>
        <v>257532</v>
      </c>
      <c r="U215" s="55" t="n">
        <f aca="false">SUMIFS(데이터_품목별!$H$3:$H$2984,데이터_품목별!$E$3:$E$2984,"47",데이터_품목별!$A$3:$A$2984,"2025.07")+SUMIFS(데이터_품목별!$H$3:$H$2984,데이터_품목별!$E$3:$E$2984,"48",데이터_품목별!$A$3:$A$2984,"2025.07")+SUMIFS(데이터_품목별!$H$3:$H$2984,데이터_품목별!$E$3:$E$2984,"49",데이터_품목별!$A$3:$A$2984,"2025.07")</f>
        <v>283648</v>
      </c>
      <c r="V215" s="55" t="n">
        <f aca="false">SUMIFS(데이터_품목별!$H$3:$H$2984,데이터_품목별!$E$3:$E$2984,"47",데이터_품목별!$A$3:$A$2984,"2025.08")+SUMIFS(데이터_품목별!$H$3:$H$2984,데이터_품목별!$E$3:$E$2984,"48",데이터_품목별!$A$3:$A$2984,"2025.08")+SUMIFS(데이터_품목별!$H$3:$H$2984,데이터_품목별!$E$3:$E$2984,"49",데이터_품목별!$A$3:$A$2984,"2025.08")</f>
        <v>224742</v>
      </c>
      <c r="W215" s="55" t="n">
        <f aca="false">SUMIFS(데이터_품목별!$H$3:$H$2984,데이터_품목별!$E$3:$E$2984,"47",데이터_품목별!$A$3:$A$2984,"2025.09")+SUMIFS(데이터_품목별!$H$3:$H$2984,데이터_품목별!$E$3:$E$2984,"48",데이터_품목별!$A$3:$A$2984,"2025.09")+SUMIFS(데이터_품목별!$H$3:$H$2984,데이터_품목별!$E$3:$E$2984,"49",데이터_품목별!$A$3:$A$2984,"2025.09")</f>
        <v>265732</v>
      </c>
      <c r="X215" s="55" t="n">
        <f aca="false">SUMIFS(데이터_품목별!$H$3:$H$2984,데이터_품목별!$E$3:$E$2984,"47",데이터_품목별!$A$3:$A$2984,"2025.10")+SUMIFS(데이터_품목별!$H$3:$H$2984,데이터_품목별!$E$3:$E$2984,"48",데이터_품목별!$A$3:$A$2984,"2025.10")+SUMIFS(데이터_품목별!$H$3:$H$2984,데이터_품목별!$E$3:$E$2984,"49",데이터_품목별!$A$3:$A$2984,"2025.10")</f>
        <v>234749</v>
      </c>
      <c r="Y215" s="55" t="n">
        <f aca="false">SUMIFS(데이터_품목별!$H$3:$H$2984,데이터_품목별!$E$3:$E$2984,"47",데이터_품목별!$A$3:$A$2984,"2025.11")+SUMIFS(데이터_품목별!$H$3:$H$2984,데이터_품목별!$E$3:$E$2984,"48",데이터_품목별!$A$3:$A$2984,"2025.11")+SUMIFS(데이터_품목별!$H$3:$H$2984,데이터_품목별!$E$3:$E$2984,"49",데이터_품목별!$A$3:$A$2984,"2025.11")</f>
        <v>239228</v>
      </c>
      <c r="Z215" s="55" t="n">
        <f aca="false">SUMIFS(데이터_품목별!$H$3:$H$2984,데이터_품목별!$E$3:$E$2984,"47",데이터_품목별!$A$3:$A$2984,"2025.12")+SUMIFS(데이터_품목별!$H$3:$H$2984,데이터_품목별!$E$3:$E$2984,"48",데이터_품목별!$A$3:$A$2984,"2025.12")+SUMIFS(데이터_품목별!$H$3:$H$2984,데이터_품목별!$E$3:$E$2984,"49",데이터_품목별!$A$3:$A$2984,"2025.12")</f>
        <v>265202</v>
      </c>
      <c r="AA215" s="55" t="n">
        <f aca="false">SUMIFS(데이터_품목별!$H$3:$H$2984,데이터_품목별!$E$3:$E$2984,"47",데이터_품목별!$A$3:$A$2984,"2026.01")+SUMIFS(데이터_품목별!$H$3:$H$2984,데이터_품목별!$E$3:$E$2984,"48",데이터_품목별!$A$3:$A$2984,"2026.01")+SUMIFS(데이터_품목별!$H$3:$H$2984,데이터_품목별!$E$3:$E$2984,"49",데이터_품목별!$A$3:$A$2984,"2026.01")</f>
        <v>259915</v>
      </c>
      <c r="AB215" s="55" t="n">
        <f aca="false">SUMIFS(데이터_품목별!$H$3:$H$2984,데이터_품목별!$E$3:$E$2984,"47",데이터_품목별!$A$3:$A$2984,"2026.02")+SUMIFS(데이터_품목별!$H$3:$H$2984,데이터_품목별!$E$3:$E$2984,"48",데이터_품목별!$A$3:$A$2984,"2026.02")+SUMIFS(데이터_품목별!$H$3:$H$2984,데이터_품목별!$E$3:$E$2984,"49",데이터_품목별!$A$3:$A$2984,"2026.02")</f>
        <v>221947</v>
      </c>
      <c r="AC215" s="55" t="n">
        <f aca="false">SUMIFS(데이터_품목별!$H$3:$H$2984,데이터_품목별!$E$3:$E$2984,"47",데이터_품목별!$A$3:$A$2984,"2026.03")+SUMIFS(데이터_품목별!$H$3:$H$2984,데이터_품목별!$E$3:$E$2984,"48",데이터_품목별!$A$3:$A$2984,"2026.03")+SUMIFS(데이터_품목별!$H$3:$H$2984,데이터_품목별!$E$3:$E$2984,"49",데이터_품목별!$A$3:$A$2984,"2026.03")</f>
        <v>274831</v>
      </c>
      <c r="AD215" s="55" t="n">
        <f aca="false">SUMIFS(데이터_품목별!$H$3:$H$2984,데이터_품목별!$E$3:$E$2984,"47",데이터_품목별!$A$3:$A$2984,"2026.04")+SUMIFS(데이터_품목별!$H$3:$H$2984,데이터_품목별!$E$3:$E$2984,"48",데이터_품목별!$A$3:$A$2984,"2026.04")+SUMIFS(데이터_품목별!$H$3:$H$2984,데이터_품목별!$E$3:$E$2984,"49",데이터_품목별!$A$3:$A$2984,"2026.04")</f>
        <v>295485</v>
      </c>
      <c r="AE215" s="55" t="n">
        <f aca="false">SUMIFS(데이터_품목별!$H$3:$H$2984,데이터_품목별!$E$3:$E$2984,"47",데이터_품목별!$A$3:$A$2984,"2026.05")+SUMIFS(데이터_품목별!$H$3:$H$2984,데이터_품목별!$E$3:$E$2984,"48",데이터_품목별!$A$3:$A$2984,"2026.05")+SUMIFS(데이터_품목별!$H$3:$H$2984,데이터_품목별!$E$3:$E$2984,"49",데이터_품목별!$A$3:$A$2984,"2026.05")</f>
        <v>249598</v>
      </c>
      <c r="AF215" s="55" t="n">
        <f aca="false">SUMIFS(데이터_품목별!$H$3:$H$2984,데이터_품목별!$E$3:$E$2984,"47",데이터_품목별!$A$3:$A$2984,"2026.06")+SUMIFS(데이터_품목별!$H$3:$H$2984,데이터_품목별!$E$3:$E$2984,"48",데이터_품목별!$A$3:$A$2984,"2026.06")+SUMIFS(데이터_품목별!$H$3:$H$2984,데이터_품목별!$E$3:$E$2984,"49",데이터_품목별!$A$3:$A$2984,"2026.06")</f>
        <v>281533</v>
      </c>
      <c r="AG215" s="55" t="n">
        <f aca="false">SUMIFS(데이터_품목별!$H$3:$H$2984,데이터_품목별!$E$3:$E$2984,"47",데이터_품목별!$A$3:$A$2984,"2026.07")+SUMIFS(데이터_품목별!$H$3:$H$2984,데이터_품목별!$E$3:$E$2984,"48",데이터_품목별!$A$3:$A$2984,"2026.07")+SUMIFS(데이터_품목별!$H$3:$H$2984,데이터_품목별!$E$3:$E$2984,"49",데이터_품목별!$A$3:$A$2984,"2026.07")</f>
        <v>311361</v>
      </c>
    </row>
    <row r="216" customFormat="false" ht="15" hidden="false" customHeight="true" outlineLevel="0" collapsed="false">
      <c r="A216" s="53" t="s">
        <v>19820</v>
      </c>
      <c r="B216" s="46" t="s">
        <v>19821</v>
      </c>
      <c r="C216" s="55" t="n">
        <f aca="false">SUMIFS(데이터_품목별!$H$3:$H$2984,데이터_품목별!$E$3:$E$2984,"50",데이터_품목별!$A$3:$A$2984,"2024.01")+SUMIFS(데이터_품목별!$H$3:$H$2984,데이터_품목별!$E$3:$E$2984,"51",데이터_품목별!$A$3:$A$2984,"2024.01")+SUMIFS(데이터_품목별!$H$3:$H$2984,데이터_품목별!$E$3:$E$2984,"52",데이터_품목별!$A$3:$A$2984,"2024.01")+SUMIFS(데이터_품목별!$H$3:$H$2984,데이터_품목별!$E$3:$E$2984,"53",데이터_품목별!$A$3:$A$2984,"2024.01")+SUMIFS(데이터_품목별!$H$3:$H$2984,데이터_품목별!$E$3:$E$2984,"54",데이터_품목별!$A$3:$A$2984,"2024.01")+SUMIFS(데이터_품목별!$H$3:$H$2984,데이터_품목별!$E$3:$E$2984,"55",데이터_품목별!$A$3:$A$2984,"2024.01")+SUMIFS(데이터_품목별!$H$3:$H$2984,데이터_품목별!$E$3:$E$2984,"56",데이터_품목별!$A$3:$A$2984,"2024.01")+SUMIFS(데이터_품목별!$H$3:$H$2984,데이터_품목별!$E$3:$E$2984,"57",데이터_품목별!$A$3:$A$2984,"2024.01")+SUMIFS(데이터_품목별!$H$3:$H$2984,데이터_품목별!$E$3:$E$2984,"58",데이터_품목별!$A$3:$A$2984,"2024.01")+SUMIFS(데이터_품목별!$H$3:$H$2984,데이터_품목별!$E$3:$E$2984,"59",데이터_품목별!$A$3:$A$2984,"2024.01")+SUMIFS(데이터_품목별!$H$3:$H$2984,데이터_품목별!$E$3:$E$2984,"60",데이터_품목별!$A$3:$A$2984,"2024.01")+SUMIFS(데이터_품목별!$H$3:$H$2984,데이터_품목별!$E$3:$E$2984,"61",데이터_품목별!$A$3:$A$2984,"2024.01")+SUMIFS(데이터_품목별!$H$3:$H$2984,데이터_품목별!$E$3:$E$2984,"62",데이터_품목별!$A$3:$A$2984,"2024.01")+SUMIFS(데이터_품목별!$H$3:$H$2984,데이터_품목별!$E$3:$E$2984,"63",데이터_품목별!$A$3:$A$2984,"2024.01")</f>
        <v>826268</v>
      </c>
      <c r="D216" s="55" t="n">
        <f aca="false">SUMIFS(데이터_품목별!$H$3:$H$2984,데이터_품목별!$E$3:$E$2984,"50",데이터_품목별!$A$3:$A$2984,"2024.02")+SUMIFS(데이터_품목별!$H$3:$H$2984,데이터_품목별!$E$3:$E$2984,"51",데이터_품목별!$A$3:$A$2984,"2024.02")+SUMIFS(데이터_품목별!$H$3:$H$2984,데이터_품목별!$E$3:$E$2984,"52",데이터_품목별!$A$3:$A$2984,"2024.02")+SUMIFS(데이터_품목별!$H$3:$H$2984,데이터_품목별!$E$3:$E$2984,"53",데이터_품목별!$A$3:$A$2984,"2024.02")+SUMIFS(데이터_품목별!$H$3:$H$2984,데이터_품목별!$E$3:$E$2984,"54",데이터_품목별!$A$3:$A$2984,"2024.02")+SUMIFS(데이터_품목별!$H$3:$H$2984,데이터_품목별!$E$3:$E$2984,"55",데이터_품목별!$A$3:$A$2984,"2024.02")+SUMIFS(데이터_품목별!$H$3:$H$2984,데이터_품목별!$E$3:$E$2984,"56",데이터_품목별!$A$3:$A$2984,"2024.02")+SUMIFS(데이터_품목별!$H$3:$H$2984,데이터_품목별!$E$3:$E$2984,"57",데이터_품목별!$A$3:$A$2984,"2024.02")+SUMIFS(데이터_품목별!$H$3:$H$2984,데이터_품목별!$E$3:$E$2984,"58",데이터_품목별!$A$3:$A$2984,"2024.02")+SUMIFS(데이터_품목별!$H$3:$H$2984,데이터_품목별!$E$3:$E$2984,"59",데이터_품목별!$A$3:$A$2984,"2024.02")+SUMIFS(데이터_품목별!$H$3:$H$2984,데이터_품목별!$E$3:$E$2984,"60",데이터_품목별!$A$3:$A$2984,"2024.02")+SUMIFS(데이터_품목별!$H$3:$H$2984,데이터_품목별!$E$3:$E$2984,"61",데이터_품목별!$A$3:$A$2984,"2024.02")+SUMIFS(데이터_품목별!$H$3:$H$2984,데이터_품목별!$E$3:$E$2984,"62",데이터_품목별!$A$3:$A$2984,"2024.02")+SUMIFS(데이터_품목별!$H$3:$H$2984,데이터_품목별!$E$3:$E$2984,"63",데이터_품목별!$A$3:$A$2984,"2024.02")</f>
        <v>781865</v>
      </c>
      <c r="E216" s="55" t="n">
        <f aca="false">SUMIFS(데이터_품목별!$H$3:$H$2984,데이터_품목별!$E$3:$E$2984,"50",데이터_품목별!$A$3:$A$2984,"2024.03")+SUMIFS(데이터_품목별!$H$3:$H$2984,데이터_품목별!$E$3:$E$2984,"51",데이터_품목별!$A$3:$A$2984,"2024.03")+SUMIFS(데이터_품목별!$H$3:$H$2984,데이터_품목별!$E$3:$E$2984,"52",데이터_품목별!$A$3:$A$2984,"2024.03")+SUMIFS(데이터_품목별!$H$3:$H$2984,데이터_품목별!$E$3:$E$2984,"53",데이터_품목별!$A$3:$A$2984,"2024.03")+SUMIFS(데이터_품목별!$H$3:$H$2984,데이터_품목별!$E$3:$E$2984,"54",데이터_품목별!$A$3:$A$2984,"2024.03")+SUMIFS(데이터_품목별!$H$3:$H$2984,데이터_품목별!$E$3:$E$2984,"55",데이터_품목별!$A$3:$A$2984,"2024.03")+SUMIFS(데이터_품목별!$H$3:$H$2984,데이터_품목별!$E$3:$E$2984,"56",데이터_품목별!$A$3:$A$2984,"2024.03")+SUMIFS(데이터_품목별!$H$3:$H$2984,데이터_품목별!$E$3:$E$2984,"57",데이터_품목별!$A$3:$A$2984,"2024.03")+SUMIFS(데이터_품목별!$H$3:$H$2984,데이터_품목별!$E$3:$E$2984,"58",데이터_품목별!$A$3:$A$2984,"2024.03")+SUMIFS(데이터_품목별!$H$3:$H$2984,데이터_품목별!$E$3:$E$2984,"59",데이터_품목별!$A$3:$A$2984,"2024.03")+SUMIFS(데이터_품목별!$H$3:$H$2984,데이터_품목별!$E$3:$E$2984,"60",데이터_품목별!$A$3:$A$2984,"2024.03")+SUMIFS(데이터_품목별!$H$3:$H$2984,데이터_품목별!$E$3:$E$2984,"61",데이터_품목별!$A$3:$A$2984,"2024.03")+SUMIFS(데이터_품목별!$H$3:$H$2984,데이터_품목별!$E$3:$E$2984,"62",데이터_품목별!$A$3:$A$2984,"2024.03")+SUMIFS(데이터_품목별!$H$3:$H$2984,데이터_품목별!$E$3:$E$2984,"63",데이터_품목별!$A$3:$A$2984,"2024.03")</f>
        <v>827843</v>
      </c>
      <c r="F216" s="55" t="n">
        <f aca="false">SUMIFS(데이터_품목별!$H$3:$H$2984,데이터_품목별!$E$3:$E$2984,"50",데이터_품목별!$A$3:$A$2984,"2024.04")+SUMIFS(데이터_품목별!$H$3:$H$2984,데이터_품목별!$E$3:$E$2984,"51",데이터_품목별!$A$3:$A$2984,"2024.04")+SUMIFS(데이터_품목별!$H$3:$H$2984,데이터_품목별!$E$3:$E$2984,"52",데이터_품목별!$A$3:$A$2984,"2024.04")+SUMIFS(데이터_품목별!$H$3:$H$2984,데이터_품목별!$E$3:$E$2984,"53",데이터_품목별!$A$3:$A$2984,"2024.04")+SUMIFS(데이터_품목별!$H$3:$H$2984,데이터_품목별!$E$3:$E$2984,"54",데이터_품목별!$A$3:$A$2984,"2024.04")+SUMIFS(데이터_품목별!$H$3:$H$2984,데이터_품목별!$E$3:$E$2984,"55",데이터_품목별!$A$3:$A$2984,"2024.04")+SUMIFS(데이터_품목별!$H$3:$H$2984,데이터_품목별!$E$3:$E$2984,"56",데이터_품목별!$A$3:$A$2984,"2024.04")+SUMIFS(데이터_품목별!$H$3:$H$2984,데이터_품목별!$E$3:$E$2984,"57",데이터_품목별!$A$3:$A$2984,"2024.04")+SUMIFS(데이터_품목별!$H$3:$H$2984,데이터_품목별!$E$3:$E$2984,"58",데이터_품목별!$A$3:$A$2984,"2024.04")+SUMIFS(데이터_품목별!$H$3:$H$2984,데이터_품목별!$E$3:$E$2984,"59",데이터_품목별!$A$3:$A$2984,"2024.04")+SUMIFS(데이터_품목별!$H$3:$H$2984,데이터_품목별!$E$3:$E$2984,"60",데이터_품목별!$A$3:$A$2984,"2024.04")+SUMIFS(데이터_품목별!$H$3:$H$2984,데이터_품목별!$E$3:$E$2984,"61",데이터_품목별!$A$3:$A$2984,"2024.04")+SUMIFS(데이터_품목별!$H$3:$H$2984,데이터_품목별!$E$3:$E$2984,"62",데이터_품목별!$A$3:$A$2984,"2024.04")+SUMIFS(데이터_품목별!$H$3:$H$2984,데이터_품목별!$E$3:$E$2984,"63",데이터_품목별!$A$3:$A$2984,"2024.04")</f>
        <v>900114</v>
      </c>
      <c r="G216" s="55" t="n">
        <f aca="false">SUMIFS(데이터_품목별!$H$3:$H$2984,데이터_품목별!$E$3:$E$2984,"50",데이터_품목별!$A$3:$A$2984,"2024.05")+SUMIFS(데이터_품목별!$H$3:$H$2984,데이터_품목별!$E$3:$E$2984,"51",데이터_품목별!$A$3:$A$2984,"2024.05")+SUMIFS(데이터_품목별!$H$3:$H$2984,데이터_품목별!$E$3:$E$2984,"52",데이터_품목별!$A$3:$A$2984,"2024.05")+SUMIFS(데이터_품목별!$H$3:$H$2984,데이터_품목별!$E$3:$E$2984,"53",데이터_품목별!$A$3:$A$2984,"2024.05")+SUMIFS(데이터_품목별!$H$3:$H$2984,데이터_품목별!$E$3:$E$2984,"54",데이터_품목별!$A$3:$A$2984,"2024.05")+SUMIFS(데이터_품목별!$H$3:$H$2984,데이터_품목별!$E$3:$E$2984,"55",데이터_품목별!$A$3:$A$2984,"2024.05")+SUMIFS(데이터_품목별!$H$3:$H$2984,데이터_품목별!$E$3:$E$2984,"56",데이터_품목별!$A$3:$A$2984,"2024.05")+SUMIFS(데이터_품목별!$H$3:$H$2984,데이터_품목별!$E$3:$E$2984,"57",데이터_품목별!$A$3:$A$2984,"2024.05")+SUMIFS(데이터_품목별!$H$3:$H$2984,데이터_품목별!$E$3:$E$2984,"58",데이터_품목별!$A$3:$A$2984,"2024.05")+SUMIFS(데이터_품목별!$H$3:$H$2984,데이터_품목별!$E$3:$E$2984,"59",데이터_품목별!$A$3:$A$2984,"2024.05")+SUMIFS(데이터_품목별!$H$3:$H$2984,데이터_품목별!$E$3:$E$2984,"60",데이터_품목별!$A$3:$A$2984,"2024.05")+SUMIFS(데이터_품목별!$H$3:$H$2984,데이터_품목별!$E$3:$E$2984,"61",데이터_품목별!$A$3:$A$2984,"2024.05")+SUMIFS(데이터_품목별!$H$3:$H$2984,데이터_품목별!$E$3:$E$2984,"62",데이터_품목별!$A$3:$A$2984,"2024.05")+SUMIFS(데이터_품목별!$H$3:$H$2984,데이터_품목별!$E$3:$E$2984,"63",데이터_품목별!$A$3:$A$2984,"2024.05")</f>
        <v>918160</v>
      </c>
      <c r="H216" s="55" t="n">
        <f aca="false">SUMIFS(데이터_품목별!$H$3:$H$2984,데이터_품목별!$E$3:$E$2984,"50",데이터_품목별!$A$3:$A$2984,"2024.06")+SUMIFS(데이터_품목별!$H$3:$H$2984,데이터_품목별!$E$3:$E$2984,"51",데이터_품목별!$A$3:$A$2984,"2024.06")+SUMIFS(데이터_품목별!$H$3:$H$2984,데이터_품목별!$E$3:$E$2984,"52",데이터_품목별!$A$3:$A$2984,"2024.06")+SUMIFS(데이터_품목별!$H$3:$H$2984,데이터_품목별!$E$3:$E$2984,"53",데이터_품목별!$A$3:$A$2984,"2024.06")+SUMIFS(데이터_품목별!$H$3:$H$2984,데이터_품목별!$E$3:$E$2984,"54",데이터_품목별!$A$3:$A$2984,"2024.06")+SUMIFS(데이터_품목별!$H$3:$H$2984,데이터_품목별!$E$3:$E$2984,"55",데이터_품목별!$A$3:$A$2984,"2024.06")+SUMIFS(데이터_품목별!$H$3:$H$2984,데이터_품목별!$E$3:$E$2984,"56",데이터_품목별!$A$3:$A$2984,"2024.06")+SUMIFS(데이터_품목별!$H$3:$H$2984,데이터_품목별!$E$3:$E$2984,"57",데이터_품목별!$A$3:$A$2984,"2024.06")+SUMIFS(데이터_품목별!$H$3:$H$2984,데이터_품목별!$E$3:$E$2984,"58",데이터_품목별!$A$3:$A$2984,"2024.06")+SUMIFS(데이터_품목별!$H$3:$H$2984,데이터_품목별!$E$3:$E$2984,"59",데이터_품목별!$A$3:$A$2984,"2024.06")+SUMIFS(데이터_품목별!$H$3:$H$2984,데이터_품목별!$E$3:$E$2984,"60",데이터_품목별!$A$3:$A$2984,"2024.06")+SUMIFS(데이터_품목별!$H$3:$H$2984,데이터_품목별!$E$3:$E$2984,"61",데이터_품목별!$A$3:$A$2984,"2024.06")+SUMIFS(데이터_품목별!$H$3:$H$2984,데이터_품목별!$E$3:$E$2984,"62",데이터_품목별!$A$3:$A$2984,"2024.06")+SUMIFS(데이터_품목별!$H$3:$H$2984,데이터_품목별!$E$3:$E$2984,"63",데이터_품목별!$A$3:$A$2984,"2024.06")</f>
        <v>831246</v>
      </c>
      <c r="I216" s="55" t="n">
        <f aca="false">SUMIFS(데이터_품목별!$H$3:$H$2984,데이터_품목별!$E$3:$E$2984,"50",데이터_품목별!$A$3:$A$2984,"2024.07")+SUMIFS(데이터_품목별!$H$3:$H$2984,데이터_품목별!$E$3:$E$2984,"51",데이터_품목별!$A$3:$A$2984,"2024.07")+SUMIFS(데이터_품목별!$H$3:$H$2984,데이터_품목별!$E$3:$E$2984,"52",데이터_품목별!$A$3:$A$2984,"2024.07")+SUMIFS(데이터_품목별!$H$3:$H$2984,데이터_품목별!$E$3:$E$2984,"53",데이터_품목별!$A$3:$A$2984,"2024.07")+SUMIFS(데이터_품목별!$H$3:$H$2984,데이터_품목별!$E$3:$E$2984,"54",데이터_품목별!$A$3:$A$2984,"2024.07")+SUMIFS(데이터_품목별!$H$3:$H$2984,데이터_품목별!$E$3:$E$2984,"55",데이터_품목별!$A$3:$A$2984,"2024.07")+SUMIFS(데이터_품목별!$H$3:$H$2984,데이터_품목별!$E$3:$E$2984,"56",데이터_품목별!$A$3:$A$2984,"2024.07")+SUMIFS(데이터_품목별!$H$3:$H$2984,데이터_품목별!$E$3:$E$2984,"57",데이터_품목별!$A$3:$A$2984,"2024.07")+SUMIFS(데이터_품목별!$H$3:$H$2984,데이터_품목별!$E$3:$E$2984,"58",데이터_품목별!$A$3:$A$2984,"2024.07")+SUMIFS(데이터_품목별!$H$3:$H$2984,데이터_품목별!$E$3:$E$2984,"59",데이터_품목별!$A$3:$A$2984,"2024.07")+SUMIFS(데이터_품목별!$H$3:$H$2984,데이터_품목별!$E$3:$E$2984,"60",데이터_품목별!$A$3:$A$2984,"2024.07")+SUMIFS(데이터_품목별!$H$3:$H$2984,데이터_품목별!$E$3:$E$2984,"61",데이터_품목별!$A$3:$A$2984,"2024.07")+SUMIFS(데이터_품목별!$H$3:$H$2984,데이터_품목별!$E$3:$E$2984,"62",데이터_품목별!$A$3:$A$2984,"2024.07")+SUMIFS(데이터_품목별!$H$3:$H$2984,데이터_품목별!$E$3:$E$2984,"63",데이터_품목별!$A$3:$A$2984,"2024.07")</f>
        <v>838152</v>
      </c>
      <c r="J216" s="55" t="n">
        <f aca="false">SUMIFS(데이터_품목별!$H$3:$H$2984,데이터_품목별!$E$3:$E$2984,"50",데이터_품목별!$A$3:$A$2984,"2024.08")+SUMIFS(데이터_품목별!$H$3:$H$2984,데이터_품목별!$E$3:$E$2984,"51",데이터_품목별!$A$3:$A$2984,"2024.08")+SUMIFS(데이터_품목별!$H$3:$H$2984,데이터_품목별!$E$3:$E$2984,"52",데이터_품목별!$A$3:$A$2984,"2024.08")+SUMIFS(데이터_품목별!$H$3:$H$2984,데이터_품목별!$E$3:$E$2984,"53",데이터_품목별!$A$3:$A$2984,"2024.08")+SUMIFS(데이터_품목별!$H$3:$H$2984,데이터_품목별!$E$3:$E$2984,"54",데이터_품목별!$A$3:$A$2984,"2024.08")+SUMIFS(데이터_품목별!$H$3:$H$2984,데이터_품목별!$E$3:$E$2984,"55",데이터_품목별!$A$3:$A$2984,"2024.08")+SUMIFS(데이터_품목별!$H$3:$H$2984,데이터_품목별!$E$3:$E$2984,"56",데이터_품목별!$A$3:$A$2984,"2024.08")+SUMIFS(데이터_품목별!$H$3:$H$2984,데이터_품목별!$E$3:$E$2984,"57",데이터_품목별!$A$3:$A$2984,"2024.08")+SUMIFS(데이터_품목별!$H$3:$H$2984,데이터_품목별!$E$3:$E$2984,"58",데이터_품목별!$A$3:$A$2984,"2024.08")+SUMIFS(데이터_품목별!$H$3:$H$2984,데이터_품목별!$E$3:$E$2984,"59",데이터_품목별!$A$3:$A$2984,"2024.08")+SUMIFS(데이터_품목별!$H$3:$H$2984,데이터_품목별!$E$3:$E$2984,"60",데이터_품목별!$A$3:$A$2984,"2024.08")+SUMIFS(데이터_품목별!$H$3:$H$2984,데이터_품목별!$E$3:$E$2984,"61",데이터_품목별!$A$3:$A$2984,"2024.08")+SUMIFS(데이터_품목별!$H$3:$H$2984,데이터_품목별!$E$3:$E$2984,"62",데이터_품목별!$A$3:$A$2984,"2024.08")+SUMIFS(데이터_품목별!$H$3:$H$2984,데이터_품목별!$E$3:$E$2984,"63",데이터_품목별!$A$3:$A$2984,"2024.08")</f>
        <v>751330</v>
      </c>
      <c r="K216" s="55" t="n">
        <f aca="false">SUMIFS(데이터_품목별!$H$3:$H$2984,데이터_품목별!$E$3:$E$2984,"50",데이터_품목별!$A$3:$A$2984,"2024.09")+SUMIFS(데이터_품목별!$H$3:$H$2984,데이터_품목별!$E$3:$E$2984,"51",데이터_품목별!$A$3:$A$2984,"2024.09")+SUMIFS(데이터_품목별!$H$3:$H$2984,데이터_품목별!$E$3:$E$2984,"52",데이터_품목별!$A$3:$A$2984,"2024.09")+SUMIFS(데이터_품목별!$H$3:$H$2984,데이터_품목별!$E$3:$E$2984,"53",데이터_품목별!$A$3:$A$2984,"2024.09")+SUMIFS(데이터_품목별!$H$3:$H$2984,데이터_품목별!$E$3:$E$2984,"54",데이터_품목별!$A$3:$A$2984,"2024.09")+SUMIFS(데이터_품목별!$H$3:$H$2984,데이터_품목별!$E$3:$E$2984,"55",데이터_품목별!$A$3:$A$2984,"2024.09")+SUMIFS(데이터_품목별!$H$3:$H$2984,데이터_품목별!$E$3:$E$2984,"56",데이터_품목별!$A$3:$A$2984,"2024.09")+SUMIFS(데이터_품목별!$H$3:$H$2984,데이터_품목별!$E$3:$E$2984,"57",데이터_품목별!$A$3:$A$2984,"2024.09")+SUMIFS(데이터_품목별!$H$3:$H$2984,데이터_품목별!$E$3:$E$2984,"58",데이터_품목별!$A$3:$A$2984,"2024.09")+SUMIFS(데이터_품목별!$H$3:$H$2984,데이터_품목별!$E$3:$E$2984,"59",데이터_품목별!$A$3:$A$2984,"2024.09")+SUMIFS(데이터_품목별!$H$3:$H$2984,데이터_품목별!$E$3:$E$2984,"60",데이터_품목별!$A$3:$A$2984,"2024.09")+SUMIFS(데이터_품목별!$H$3:$H$2984,데이터_품목별!$E$3:$E$2984,"61",데이터_품목별!$A$3:$A$2984,"2024.09")+SUMIFS(데이터_품목별!$H$3:$H$2984,데이터_품목별!$E$3:$E$2984,"62",데이터_품목별!$A$3:$A$2984,"2024.09")+SUMIFS(데이터_품목별!$H$3:$H$2984,데이터_품목별!$E$3:$E$2984,"63",데이터_품목별!$A$3:$A$2984,"2024.09")</f>
        <v>764513</v>
      </c>
      <c r="L216" s="55" t="n">
        <f aca="false">SUMIFS(데이터_품목별!$H$3:$H$2984,데이터_품목별!$E$3:$E$2984,"50",데이터_품목별!$A$3:$A$2984,"2024.10")+SUMIFS(데이터_품목별!$H$3:$H$2984,데이터_품목별!$E$3:$E$2984,"51",데이터_품목별!$A$3:$A$2984,"2024.10")+SUMIFS(데이터_품목별!$H$3:$H$2984,데이터_품목별!$E$3:$E$2984,"52",데이터_품목별!$A$3:$A$2984,"2024.10")+SUMIFS(데이터_품목별!$H$3:$H$2984,데이터_품목별!$E$3:$E$2984,"53",데이터_품목별!$A$3:$A$2984,"2024.10")+SUMIFS(데이터_품목별!$H$3:$H$2984,데이터_품목별!$E$3:$E$2984,"54",데이터_품목별!$A$3:$A$2984,"2024.10")+SUMIFS(데이터_품목별!$H$3:$H$2984,데이터_품목별!$E$3:$E$2984,"55",데이터_품목별!$A$3:$A$2984,"2024.10")+SUMIFS(데이터_품목별!$H$3:$H$2984,데이터_품목별!$E$3:$E$2984,"56",데이터_품목별!$A$3:$A$2984,"2024.10")+SUMIFS(데이터_품목별!$H$3:$H$2984,데이터_품목별!$E$3:$E$2984,"57",데이터_품목별!$A$3:$A$2984,"2024.10")+SUMIFS(데이터_품목별!$H$3:$H$2984,데이터_품목별!$E$3:$E$2984,"58",데이터_품목별!$A$3:$A$2984,"2024.10")+SUMIFS(데이터_품목별!$H$3:$H$2984,데이터_품목별!$E$3:$E$2984,"59",데이터_품목별!$A$3:$A$2984,"2024.10")+SUMIFS(데이터_품목별!$H$3:$H$2984,데이터_품목별!$E$3:$E$2984,"60",데이터_품목별!$A$3:$A$2984,"2024.10")+SUMIFS(데이터_품목별!$H$3:$H$2984,데이터_품목별!$E$3:$E$2984,"61",데이터_품목별!$A$3:$A$2984,"2024.10")+SUMIFS(데이터_품목별!$H$3:$H$2984,데이터_품목별!$E$3:$E$2984,"62",데이터_품목별!$A$3:$A$2984,"2024.10")+SUMIFS(데이터_품목별!$H$3:$H$2984,데이터_품목별!$E$3:$E$2984,"63",데이터_품목별!$A$3:$A$2984,"2024.10")</f>
        <v>818521</v>
      </c>
      <c r="M216" s="55" t="n">
        <f aca="false">SUMIFS(데이터_품목별!$H$3:$H$2984,데이터_품목별!$E$3:$E$2984,"50",데이터_품목별!$A$3:$A$2984,"2024.11")+SUMIFS(데이터_품목별!$H$3:$H$2984,데이터_품목별!$E$3:$E$2984,"51",데이터_품목별!$A$3:$A$2984,"2024.11")+SUMIFS(데이터_품목별!$H$3:$H$2984,데이터_품목별!$E$3:$E$2984,"52",데이터_품목별!$A$3:$A$2984,"2024.11")+SUMIFS(데이터_품목별!$H$3:$H$2984,데이터_품목별!$E$3:$E$2984,"53",데이터_품목별!$A$3:$A$2984,"2024.11")+SUMIFS(데이터_품목별!$H$3:$H$2984,데이터_품목별!$E$3:$E$2984,"54",데이터_품목별!$A$3:$A$2984,"2024.11")+SUMIFS(데이터_품목별!$H$3:$H$2984,데이터_품목별!$E$3:$E$2984,"55",데이터_품목별!$A$3:$A$2984,"2024.11")+SUMIFS(데이터_품목별!$H$3:$H$2984,데이터_품목별!$E$3:$E$2984,"56",데이터_품목별!$A$3:$A$2984,"2024.11")+SUMIFS(데이터_품목별!$H$3:$H$2984,데이터_품목별!$E$3:$E$2984,"57",데이터_품목별!$A$3:$A$2984,"2024.11")+SUMIFS(데이터_품목별!$H$3:$H$2984,데이터_품목별!$E$3:$E$2984,"58",데이터_품목별!$A$3:$A$2984,"2024.11")+SUMIFS(데이터_품목별!$H$3:$H$2984,데이터_품목별!$E$3:$E$2984,"59",데이터_품목별!$A$3:$A$2984,"2024.11")+SUMIFS(데이터_품목별!$H$3:$H$2984,데이터_품목별!$E$3:$E$2984,"60",데이터_품목별!$A$3:$A$2984,"2024.11")+SUMIFS(데이터_품목별!$H$3:$H$2984,데이터_품목별!$E$3:$E$2984,"61",데이터_품목별!$A$3:$A$2984,"2024.11")+SUMIFS(데이터_품목별!$H$3:$H$2984,데이터_품목별!$E$3:$E$2984,"62",데이터_품목별!$A$3:$A$2984,"2024.11")+SUMIFS(데이터_품목별!$H$3:$H$2984,데이터_품목별!$E$3:$E$2984,"63",데이터_품목별!$A$3:$A$2984,"2024.11")</f>
        <v>880472</v>
      </c>
      <c r="N216" s="55" t="n">
        <f aca="false">SUMIFS(데이터_품목별!$H$3:$H$2984,데이터_품목별!$E$3:$E$2984,"50",데이터_품목별!$A$3:$A$2984,"2024.12")+SUMIFS(데이터_품목별!$H$3:$H$2984,데이터_품목별!$E$3:$E$2984,"51",데이터_품목별!$A$3:$A$2984,"2024.12")+SUMIFS(데이터_품목별!$H$3:$H$2984,데이터_품목별!$E$3:$E$2984,"52",데이터_품목별!$A$3:$A$2984,"2024.12")+SUMIFS(데이터_품목별!$H$3:$H$2984,데이터_품목별!$E$3:$E$2984,"53",데이터_품목별!$A$3:$A$2984,"2024.12")+SUMIFS(데이터_품목별!$H$3:$H$2984,데이터_품목별!$E$3:$E$2984,"54",데이터_품목별!$A$3:$A$2984,"2024.12")+SUMIFS(데이터_품목별!$H$3:$H$2984,데이터_품목별!$E$3:$E$2984,"55",데이터_품목별!$A$3:$A$2984,"2024.12")+SUMIFS(데이터_품목별!$H$3:$H$2984,데이터_품목별!$E$3:$E$2984,"56",데이터_품목별!$A$3:$A$2984,"2024.12")+SUMIFS(데이터_품목별!$H$3:$H$2984,데이터_품목별!$E$3:$E$2984,"57",데이터_품목별!$A$3:$A$2984,"2024.12")+SUMIFS(데이터_품목별!$H$3:$H$2984,데이터_품목별!$E$3:$E$2984,"58",데이터_품목별!$A$3:$A$2984,"2024.12")+SUMIFS(데이터_품목별!$H$3:$H$2984,데이터_품목별!$E$3:$E$2984,"59",데이터_품목별!$A$3:$A$2984,"2024.12")+SUMIFS(데이터_품목별!$H$3:$H$2984,데이터_품목별!$E$3:$E$2984,"60",데이터_품목별!$A$3:$A$2984,"2024.12")+SUMIFS(데이터_품목별!$H$3:$H$2984,데이터_품목별!$E$3:$E$2984,"61",데이터_품목별!$A$3:$A$2984,"2024.12")+SUMIFS(데이터_품목별!$H$3:$H$2984,데이터_품목별!$E$3:$E$2984,"62",데이터_품목별!$A$3:$A$2984,"2024.12")+SUMIFS(데이터_품목별!$H$3:$H$2984,데이터_품목별!$E$3:$E$2984,"63",데이터_품목별!$A$3:$A$2984,"2024.12")</f>
        <v>848948</v>
      </c>
      <c r="O216" s="55" t="n">
        <f aca="false">SUMIFS(데이터_품목별!$H$3:$H$2984,데이터_품목별!$E$3:$E$2984,"50",데이터_품목별!$A$3:$A$2984,"2025.01")+SUMIFS(데이터_품목별!$H$3:$H$2984,데이터_품목별!$E$3:$E$2984,"51",데이터_품목별!$A$3:$A$2984,"2025.01")+SUMIFS(데이터_품목별!$H$3:$H$2984,데이터_품목별!$E$3:$E$2984,"52",데이터_품목별!$A$3:$A$2984,"2025.01")+SUMIFS(데이터_품목별!$H$3:$H$2984,데이터_품목별!$E$3:$E$2984,"53",데이터_품목별!$A$3:$A$2984,"2025.01")+SUMIFS(데이터_품목별!$H$3:$H$2984,데이터_품목별!$E$3:$E$2984,"54",데이터_품목별!$A$3:$A$2984,"2025.01")+SUMIFS(데이터_품목별!$H$3:$H$2984,데이터_품목별!$E$3:$E$2984,"55",데이터_품목별!$A$3:$A$2984,"2025.01")+SUMIFS(데이터_품목별!$H$3:$H$2984,데이터_품목별!$E$3:$E$2984,"56",데이터_품목별!$A$3:$A$2984,"2025.01")+SUMIFS(데이터_품목별!$H$3:$H$2984,데이터_품목별!$E$3:$E$2984,"57",데이터_품목별!$A$3:$A$2984,"2025.01")+SUMIFS(데이터_품목별!$H$3:$H$2984,데이터_품목별!$E$3:$E$2984,"58",데이터_품목별!$A$3:$A$2984,"2025.01")+SUMIFS(데이터_품목별!$H$3:$H$2984,데이터_품목별!$E$3:$E$2984,"59",데이터_품목별!$A$3:$A$2984,"2025.01")+SUMIFS(데이터_품목별!$H$3:$H$2984,데이터_품목별!$E$3:$E$2984,"60",데이터_품목별!$A$3:$A$2984,"2025.01")+SUMIFS(데이터_품목별!$H$3:$H$2984,데이터_품목별!$E$3:$E$2984,"61",데이터_품목별!$A$3:$A$2984,"2025.01")+SUMIFS(데이터_품목별!$H$3:$H$2984,데이터_품목별!$E$3:$E$2984,"62",데이터_품목별!$A$3:$A$2984,"2025.01")+SUMIFS(데이터_품목별!$H$3:$H$2984,데이터_품목별!$E$3:$E$2984,"63",데이터_품목별!$A$3:$A$2984,"2025.01")</f>
        <v>689320</v>
      </c>
      <c r="P216" s="55" t="n">
        <f aca="false">SUMIFS(데이터_품목별!$H$3:$H$2984,데이터_품목별!$E$3:$E$2984,"50",데이터_품목별!$A$3:$A$2984,"2025.02")+SUMIFS(데이터_품목별!$H$3:$H$2984,데이터_품목별!$E$3:$E$2984,"51",데이터_품목별!$A$3:$A$2984,"2025.02")+SUMIFS(데이터_품목별!$H$3:$H$2984,데이터_품목별!$E$3:$E$2984,"52",데이터_품목별!$A$3:$A$2984,"2025.02")+SUMIFS(데이터_품목별!$H$3:$H$2984,데이터_품목별!$E$3:$E$2984,"53",데이터_품목별!$A$3:$A$2984,"2025.02")+SUMIFS(데이터_품목별!$H$3:$H$2984,데이터_품목별!$E$3:$E$2984,"54",데이터_품목별!$A$3:$A$2984,"2025.02")+SUMIFS(데이터_품목별!$H$3:$H$2984,데이터_품목별!$E$3:$E$2984,"55",데이터_품목별!$A$3:$A$2984,"2025.02")+SUMIFS(데이터_품목별!$H$3:$H$2984,데이터_품목별!$E$3:$E$2984,"56",데이터_품목별!$A$3:$A$2984,"2025.02")+SUMIFS(데이터_품목별!$H$3:$H$2984,데이터_품목별!$E$3:$E$2984,"57",데이터_품목별!$A$3:$A$2984,"2025.02")+SUMIFS(데이터_품목별!$H$3:$H$2984,데이터_품목별!$E$3:$E$2984,"58",데이터_품목별!$A$3:$A$2984,"2025.02")+SUMIFS(데이터_품목별!$H$3:$H$2984,데이터_품목별!$E$3:$E$2984,"59",데이터_품목별!$A$3:$A$2984,"2025.02")+SUMIFS(데이터_품목별!$H$3:$H$2984,데이터_품목별!$E$3:$E$2984,"60",데이터_품목별!$A$3:$A$2984,"2025.02")+SUMIFS(데이터_품목별!$H$3:$H$2984,데이터_품목별!$E$3:$E$2984,"61",데이터_품목별!$A$3:$A$2984,"2025.02")+SUMIFS(데이터_품목별!$H$3:$H$2984,데이터_품목별!$E$3:$E$2984,"62",데이터_품목별!$A$3:$A$2984,"2025.02")+SUMIFS(데이터_품목별!$H$3:$H$2984,데이터_품목별!$E$3:$E$2984,"63",데이터_품목별!$A$3:$A$2984,"2025.02")</f>
        <v>773368</v>
      </c>
      <c r="Q216" s="55" t="n">
        <f aca="false">SUMIFS(데이터_품목별!$H$3:$H$2984,데이터_품목별!$E$3:$E$2984,"50",데이터_품목별!$A$3:$A$2984,"2025.03")+SUMIFS(데이터_품목별!$H$3:$H$2984,데이터_품목별!$E$3:$E$2984,"51",데이터_품목별!$A$3:$A$2984,"2025.03")+SUMIFS(데이터_품목별!$H$3:$H$2984,데이터_품목별!$E$3:$E$2984,"52",데이터_품목별!$A$3:$A$2984,"2025.03")+SUMIFS(데이터_품목별!$H$3:$H$2984,데이터_품목별!$E$3:$E$2984,"53",데이터_품목별!$A$3:$A$2984,"2025.03")+SUMIFS(데이터_품목별!$H$3:$H$2984,데이터_품목별!$E$3:$E$2984,"54",데이터_품목별!$A$3:$A$2984,"2025.03")+SUMIFS(데이터_품목별!$H$3:$H$2984,데이터_품목별!$E$3:$E$2984,"55",데이터_품목별!$A$3:$A$2984,"2025.03")+SUMIFS(데이터_품목별!$H$3:$H$2984,데이터_품목별!$E$3:$E$2984,"56",데이터_품목별!$A$3:$A$2984,"2025.03")+SUMIFS(데이터_품목별!$H$3:$H$2984,데이터_품목별!$E$3:$E$2984,"57",데이터_품목별!$A$3:$A$2984,"2025.03")+SUMIFS(데이터_품목별!$H$3:$H$2984,데이터_품목별!$E$3:$E$2984,"58",데이터_품목별!$A$3:$A$2984,"2025.03")+SUMIFS(데이터_품목별!$H$3:$H$2984,데이터_품목별!$E$3:$E$2984,"59",데이터_품목별!$A$3:$A$2984,"2025.03")+SUMIFS(데이터_품목별!$H$3:$H$2984,데이터_품목별!$E$3:$E$2984,"60",데이터_품목별!$A$3:$A$2984,"2025.03")+SUMIFS(데이터_품목별!$H$3:$H$2984,데이터_품목별!$E$3:$E$2984,"61",데이터_품목별!$A$3:$A$2984,"2025.03")+SUMIFS(데이터_품목별!$H$3:$H$2984,데이터_품목별!$E$3:$E$2984,"62",데이터_품목별!$A$3:$A$2984,"2025.03")+SUMIFS(데이터_품목별!$H$3:$H$2984,데이터_품목별!$E$3:$E$2984,"63",데이터_품목별!$A$3:$A$2984,"2025.03")</f>
        <v>782792</v>
      </c>
      <c r="R216" s="55" t="n">
        <f aca="false">SUMIFS(데이터_품목별!$H$3:$H$2984,데이터_품목별!$E$3:$E$2984,"50",데이터_품목별!$A$3:$A$2984,"2025.04")+SUMIFS(데이터_품목별!$H$3:$H$2984,데이터_품목별!$E$3:$E$2984,"51",데이터_품목별!$A$3:$A$2984,"2025.04")+SUMIFS(데이터_품목별!$H$3:$H$2984,데이터_품목별!$E$3:$E$2984,"52",데이터_품목별!$A$3:$A$2984,"2025.04")+SUMIFS(데이터_품목별!$H$3:$H$2984,데이터_품목별!$E$3:$E$2984,"53",데이터_품목별!$A$3:$A$2984,"2025.04")+SUMIFS(데이터_품목별!$H$3:$H$2984,데이터_품목별!$E$3:$E$2984,"54",데이터_품목별!$A$3:$A$2984,"2025.04")+SUMIFS(데이터_품목별!$H$3:$H$2984,데이터_품목별!$E$3:$E$2984,"55",데이터_품목별!$A$3:$A$2984,"2025.04")+SUMIFS(데이터_품목별!$H$3:$H$2984,데이터_품목별!$E$3:$E$2984,"56",데이터_품목별!$A$3:$A$2984,"2025.04")+SUMIFS(데이터_품목별!$H$3:$H$2984,데이터_품목별!$E$3:$E$2984,"57",데이터_품목별!$A$3:$A$2984,"2025.04")+SUMIFS(데이터_품목별!$H$3:$H$2984,데이터_품목별!$E$3:$E$2984,"58",데이터_품목별!$A$3:$A$2984,"2025.04")+SUMIFS(데이터_품목별!$H$3:$H$2984,데이터_품목별!$E$3:$E$2984,"59",데이터_품목별!$A$3:$A$2984,"2025.04")+SUMIFS(데이터_품목별!$H$3:$H$2984,데이터_품목별!$E$3:$E$2984,"60",데이터_품목별!$A$3:$A$2984,"2025.04")+SUMIFS(데이터_품목별!$H$3:$H$2984,데이터_품목별!$E$3:$E$2984,"61",데이터_품목별!$A$3:$A$2984,"2025.04")+SUMIFS(데이터_품목별!$H$3:$H$2984,데이터_품목별!$E$3:$E$2984,"62",데이터_품목별!$A$3:$A$2984,"2025.04")+SUMIFS(데이터_품목별!$H$3:$H$2984,데이터_품목별!$E$3:$E$2984,"63",데이터_품목별!$A$3:$A$2984,"2025.04")</f>
        <v>867195</v>
      </c>
      <c r="S216" s="55" t="n">
        <f aca="false">SUMIFS(데이터_품목별!$H$3:$H$2984,데이터_품목별!$E$3:$E$2984,"50",데이터_품목별!$A$3:$A$2984,"2025.05")+SUMIFS(데이터_품목별!$H$3:$H$2984,데이터_품목별!$E$3:$E$2984,"51",데이터_품목별!$A$3:$A$2984,"2025.05")+SUMIFS(데이터_품목별!$H$3:$H$2984,데이터_품목별!$E$3:$E$2984,"52",데이터_품목별!$A$3:$A$2984,"2025.05")+SUMIFS(데이터_품목별!$H$3:$H$2984,데이터_품목별!$E$3:$E$2984,"53",데이터_품목별!$A$3:$A$2984,"2025.05")+SUMIFS(데이터_품목별!$H$3:$H$2984,데이터_품목별!$E$3:$E$2984,"54",데이터_품목별!$A$3:$A$2984,"2025.05")+SUMIFS(데이터_품목별!$H$3:$H$2984,데이터_품목별!$E$3:$E$2984,"55",데이터_품목별!$A$3:$A$2984,"2025.05")+SUMIFS(데이터_품목별!$H$3:$H$2984,데이터_품목별!$E$3:$E$2984,"56",데이터_품목별!$A$3:$A$2984,"2025.05")+SUMIFS(데이터_품목별!$H$3:$H$2984,데이터_품목별!$E$3:$E$2984,"57",데이터_품목별!$A$3:$A$2984,"2025.05")+SUMIFS(데이터_품목별!$H$3:$H$2984,데이터_품목별!$E$3:$E$2984,"58",데이터_품목별!$A$3:$A$2984,"2025.05")+SUMIFS(데이터_품목별!$H$3:$H$2984,데이터_품목별!$E$3:$E$2984,"59",데이터_품목별!$A$3:$A$2984,"2025.05")+SUMIFS(데이터_품목별!$H$3:$H$2984,데이터_품목별!$E$3:$E$2984,"60",데이터_품목별!$A$3:$A$2984,"2025.05")+SUMIFS(데이터_품목별!$H$3:$H$2984,데이터_품목별!$E$3:$E$2984,"61",데이터_품목별!$A$3:$A$2984,"2025.05")+SUMIFS(데이터_품목별!$H$3:$H$2984,데이터_품목별!$E$3:$E$2984,"62",데이터_품목별!$A$3:$A$2984,"2025.05")+SUMIFS(데이터_품목별!$H$3:$H$2984,데이터_품목별!$E$3:$E$2984,"63",데이터_품목별!$A$3:$A$2984,"2025.05")</f>
        <v>806076</v>
      </c>
      <c r="T216" s="55" t="n">
        <f aca="false">SUMIFS(데이터_품목별!$H$3:$H$2984,데이터_품목별!$E$3:$E$2984,"50",데이터_품목별!$A$3:$A$2984,"2025.06")+SUMIFS(데이터_품목별!$H$3:$H$2984,데이터_품목별!$E$3:$E$2984,"51",데이터_품목별!$A$3:$A$2984,"2025.06")+SUMIFS(데이터_품목별!$H$3:$H$2984,데이터_품목별!$E$3:$E$2984,"52",데이터_품목별!$A$3:$A$2984,"2025.06")+SUMIFS(데이터_품목별!$H$3:$H$2984,데이터_품목별!$E$3:$E$2984,"53",데이터_품목별!$A$3:$A$2984,"2025.06")+SUMIFS(데이터_품목별!$H$3:$H$2984,데이터_품목별!$E$3:$E$2984,"54",데이터_품목별!$A$3:$A$2984,"2025.06")+SUMIFS(데이터_품목별!$H$3:$H$2984,데이터_품목별!$E$3:$E$2984,"55",데이터_품목별!$A$3:$A$2984,"2025.06")+SUMIFS(데이터_품목별!$H$3:$H$2984,데이터_품목별!$E$3:$E$2984,"56",데이터_품목별!$A$3:$A$2984,"2025.06")+SUMIFS(데이터_품목별!$H$3:$H$2984,데이터_품목별!$E$3:$E$2984,"57",데이터_품목별!$A$3:$A$2984,"2025.06")+SUMIFS(데이터_품목별!$H$3:$H$2984,데이터_품목별!$E$3:$E$2984,"58",데이터_품목별!$A$3:$A$2984,"2025.06")+SUMIFS(데이터_품목별!$H$3:$H$2984,데이터_품목별!$E$3:$E$2984,"59",데이터_품목별!$A$3:$A$2984,"2025.06")+SUMIFS(데이터_품목별!$H$3:$H$2984,데이터_품목별!$E$3:$E$2984,"60",데이터_품목별!$A$3:$A$2984,"2025.06")+SUMIFS(데이터_품목별!$H$3:$H$2984,데이터_품목별!$E$3:$E$2984,"61",데이터_품목별!$A$3:$A$2984,"2025.06")+SUMIFS(데이터_품목별!$H$3:$H$2984,데이터_품목별!$E$3:$E$2984,"62",데이터_품목별!$A$3:$A$2984,"2025.06")+SUMIFS(데이터_품목별!$H$3:$H$2984,데이터_품목별!$E$3:$E$2984,"63",데이터_품목별!$A$3:$A$2984,"2025.06")</f>
        <v>750517</v>
      </c>
      <c r="U216" s="55" t="n">
        <f aca="false">SUMIFS(데이터_품목별!$H$3:$H$2984,데이터_품목별!$E$3:$E$2984,"50",데이터_품목별!$A$3:$A$2984,"2025.07")+SUMIFS(데이터_품목별!$H$3:$H$2984,데이터_품목별!$E$3:$E$2984,"51",데이터_품목별!$A$3:$A$2984,"2025.07")+SUMIFS(데이터_품목별!$H$3:$H$2984,데이터_품목별!$E$3:$E$2984,"52",데이터_품목별!$A$3:$A$2984,"2025.07")+SUMIFS(데이터_품목별!$H$3:$H$2984,데이터_품목별!$E$3:$E$2984,"53",데이터_품목별!$A$3:$A$2984,"2025.07")+SUMIFS(데이터_품목별!$H$3:$H$2984,데이터_품목별!$E$3:$E$2984,"54",데이터_품목별!$A$3:$A$2984,"2025.07")+SUMIFS(데이터_품목별!$H$3:$H$2984,데이터_품목별!$E$3:$E$2984,"55",데이터_품목별!$A$3:$A$2984,"2025.07")+SUMIFS(데이터_품목별!$H$3:$H$2984,데이터_품목별!$E$3:$E$2984,"56",데이터_품목별!$A$3:$A$2984,"2025.07")+SUMIFS(데이터_품목별!$H$3:$H$2984,데이터_품목별!$E$3:$E$2984,"57",데이터_품목별!$A$3:$A$2984,"2025.07")+SUMIFS(데이터_품목별!$H$3:$H$2984,데이터_품목별!$E$3:$E$2984,"58",데이터_품목별!$A$3:$A$2984,"2025.07")+SUMIFS(데이터_품목별!$H$3:$H$2984,데이터_품목별!$E$3:$E$2984,"59",데이터_품목별!$A$3:$A$2984,"2025.07")+SUMIFS(데이터_품목별!$H$3:$H$2984,데이터_품목별!$E$3:$E$2984,"60",데이터_품목별!$A$3:$A$2984,"2025.07")+SUMIFS(데이터_품목별!$H$3:$H$2984,데이터_품목별!$E$3:$E$2984,"61",데이터_품목별!$A$3:$A$2984,"2025.07")+SUMIFS(데이터_품목별!$H$3:$H$2984,데이터_품목별!$E$3:$E$2984,"62",데이터_품목별!$A$3:$A$2984,"2025.07")+SUMIFS(데이터_품목별!$H$3:$H$2984,데이터_품목별!$E$3:$E$2984,"63",데이터_품목별!$A$3:$A$2984,"2025.07")</f>
        <v>788918</v>
      </c>
      <c r="V216" s="55" t="n">
        <f aca="false">SUMIFS(데이터_품목별!$H$3:$H$2984,데이터_품목별!$E$3:$E$2984,"50",데이터_품목별!$A$3:$A$2984,"2025.08")+SUMIFS(데이터_품목별!$H$3:$H$2984,데이터_품목별!$E$3:$E$2984,"51",데이터_품목별!$A$3:$A$2984,"2025.08")+SUMIFS(데이터_품목별!$H$3:$H$2984,데이터_품목별!$E$3:$E$2984,"52",데이터_품목별!$A$3:$A$2984,"2025.08")+SUMIFS(데이터_품목별!$H$3:$H$2984,데이터_품목별!$E$3:$E$2984,"53",데이터_품목별!$A$3:$A$2984,"2025.08")+SUMIFS(데이터_품목별!$H$3:$H$2984,데이터_품목별!$E$3:$E$2984,"54",데이터_품목별!$A$3:$A$2984,"2025.08")+SUMIFS(데이터_품목별!$H$3:$H$2984,데이터_품목별!$E$3:$E$2984,"55",데이터_품목별!$A$3:$A$2984,"2025.08")+SUMIFS(데이터_품목별!$H$3:$H$2984,데이터_품목별!$E$3:$E$2984,"56",데이터_품목별!$A$3:$A$2984,"2025.08")+SUMIFS(데이터_품목별!$H$3:$H$2984,데이터_품목별!$E$3:$E$2984,"57",데이터_품목별!$A$3:$A$2984,"2025.08")+SUMIFS(데이터_품목별!$H$3:$H$2984,데이터_품목별!$E$3:$E$2984,"58",데이터_품목별!$A$3:$A$2984,"2025.08")+SUMIFS(데이터_품목별!$H$3:$H$2984,데이터_품목별!$E$3:$E$2984,"59",데이터_품목별!$A$3:$A$2984,"2025.08")+SUMIFS(데이터_품목별!$H$3:$H$2984,데이터_품목별!$E$3:$E$2984,"60",데이터_품목별!$A$3:$A$2984,"2025.08")+SUMIFS(데이터_품목별!$H$3:$H$2984,데이터_품목별!$E$3:$E$2984,"61",데이터_품목별!$A$3:$A$2984,"2025.08")+SUMIFS(데이터_품목별!$H$3:$H$2984,데이터_품목별!$E$3:$E$2984,"62",데이터_품목별!$A$3:$A$2984,"2025.08")+SUMIFS(데이터_품목별!$H$3:$H$2984,데이터_품목별!$E$3:$E$2984,"63",데이터_품목별!$A$3:$A$2984,"2025.08")</f>
        <v>653427</v>
      </c>
      <c r="W216" s="55" t="n">
        <f aca="false">SUMIFS(데이터_품목별!$H$3:$H$2984,데이터_품목별!$E$3:$E$2984,"50",데이터_품목별!$A$3:$A$2984,"2025.09")+SUMIFS(데이터_품목별!$H$3:$H$2984,데이터_품목별!$E$3:$E$2984,"51",데이터_품목별!$A$3:$A$2984,"2025.09")+SUMIFS(데이터_품목별!$H$3:$H$2984,데이터_품목별!$E$3:$E$2984,"52",데이터_품목별!$A$3:$A$2984,"2025.09")+SUMIFS(데이터_품목별!$H$3:$H$2984,데이터_품목별!$E$3:$E$2984,"53",데이터_품목별!$A$3:$A$2984,"2025.09")+SUMIFS(데이터_품목별!$H$3:$H$2984,데이터_품목별!$E$3:$E$2984,"54",데이터_품목별!$A$3:$A$2984,"2025.09")+SUMIFS(데이터_품목별!$H$3:$H$2984,데이터_품목별!$E$3:$E$2984,"55",데이터_품목별!$A$3:$A$2984,"2025.09")+SUMIFS(데이터_품목별!$H$3:$H$2984,데이터_품목별!$E$3:$E$2984,"56",데이터_품목별!$A$3:$A$2984,"2025.09")+SUMIFS(데이터_품목별!$H$3:$H$2984,데이터_품목별!$E$3:$E$2984,"57",데이터_품목별!$A$3:$A$2984,"2025.09")+SUMIFS(데이터_품목별!$H$3:$H$2984,데이터_품목별!$E$3:$E$2984,"58",데이터_품목별!$A$3:$A$2984,"2025.09")+SUMIFS(데이터_품목별!$H$3:$H$2984,데이터_품목별!$E$3:$E$2984,"59",데이터_품목별!$A$3:$A$2984,"2025.09")+SUMIFS(데이터_품목별!$H$3:$H$2984,데이터_품목별!$E$3:$E$2984,"60",데이터_품목별!$A$3:$A$2984,"2025.09")+SUMIFS(데이터_품목별!$H$3:$H$2984,데이터_품목별!$E$3:$E$2984,"61",데이터_품목별!$A$3:$A$2984,"2025.09")+SUMIFS(데이터_품목별!$H$3:$H$2984,데이터_품목별!$E$3:$E$2984,"62",데이터_품목별!$A$3:$A$2984,"2025.09")+SUMIFS(데이터_품목별!$H$3:$H$2984,데이터_품목별!$E$3:$E$2984,"63",데이터_품목별!$A$3:$A$2984,"2025.09")</f>
        <v>824159</v>
      </c>
      <c r="X216" s="55" t="n">
        <f aca="false">SUMIFS(데이터_품목별!$H$3:$H$2984,데이터_품목별!$E$3:$E$2984,"50",데이터_품목별!$A$3:$A$2984,"2025.10")+SUMIFS(데이터_품목별!$H$3:$H$2984,데이터_품목별!$E$3:$E$2984,"51",데이터_품목별!$A$3:$A$2984,"2025.10")+SUMIFS(데이터_품목별!$H$3:$H$2984,데이터_품목별!$E$3:$E$2984,"52",데이터_품목별!$A$3:$A$2984,"2025.10")+SUMIFS(데이터_품목별!$H$3:$H$2984,데이터_품목별!$E$3:$E$2984,"53",데이터_품목별!$A$3:$A$2984,"2025.10")+SUMIFS(데이터_품목별!$H$3:$H$2984,데이터_품목별!$E$3:$E$2984,"54",데이터_품목별!$A$3:$A$2984,"2025.10")+SUMIFS(데이터_품목별!$H$3:$H$2984,데이터_품목별!$E$3:$E$2984,"55",데이터_품목별!$A$3:$A$2984,"2025.10")+SUMIFS(데이터_품목별!$H$3:$H$2984,데이터_품목별!$E$3:$E$2984,"56",데이터_품목별!$A$3:$A$2984,"2025.10")+SUMIFS(데이터_품목별!$H$3:$H$2984,데이터_품목별!$E$3:$E$2984,"57",데이터_품목별!$A$3:$A$2984,"2025.10")+SUMIFS(데이터_품목별!$H$3:$H$2984,데이터_품목별!$E$3:$E$2984,"58",데이터_품목별!$A$3:$A$2984,"2025.10")+SUMIFS(데이터_품목별!$H$3:$H$2984,데이터_품목별!$E$3:$E$2984,"59",데이터_품목별!$A$3:$A$2984,"2025.10")+SUMIFS(데이터_품목별!$H$3:$H$2984,데이터_품목별!$E$3:$E$2984,"60",데이터_품목별!$A$3:$A$2984,"2025.10")+SUMIFS(데이터_품목별!$H$3:$H$2984,데이터_품목별!$E$3:$E$2984,"61",데이터_품목별!$A$3:$A$2984,"2025.10")+SUMIFS(데이터_품목별!$H$3:$H$2984,데이터_품목별!$E$3:$E$2984,"62",데이터_품목별!$A$3:$A$2984,"2025.10")+SUMIFS(데이터_품목별!$H$3:$H$2984,데이터_품목별!$E$3:$E$2984,"63",데이터_품목별!$A$3:$A$2984,"2025.10")</f>
        <v>679863</v>
      </c>
      <c r="Y216" s="55" t="n">
        <f aca="false">SUMIFS(데이터_품목별!$H$3:$H$2984,데이터_품목별!$E$3:$E$2984,"50",데이터_품목별!$A$3:$A$2984,"2025.11")+SUMIFS(데이터_품목별!$H$3:$H$2984,데이터_품목별!$E$3:$E$2984,"51",데이터_품목별!$A$3:$A$2984,"2025.11")+SUMIFS(데이터_품목별!$H$3:$H$2984,데이터_품목별!$E$3:$E$2984,"52",데이터_품목별!$A$3:$A$2984,"2025.11")+SUMIFS(데이터_품목별!$H$3:$H$2984,데이터_품목별!$E$3:$E$2984,"53",데이터_품목별!$A$3:$A$2984,"2025.11")+SUMIFS(데이터_품목별!$H$3:$H$2984,데이터_품목별!$E$3:$E$2984,"54",데이터_품목별!$A$3:$A$2984,"2025.11")+SUMIFS(데이터_품목별!$H$3:$H$2984,데이터_품목별!$E$3:$E$2984,"55",데이터_품목별!$A$3:$A$2984,"2025.11")+SUMIFS(데이터_품목별!$H$3:$H$2984,데이터_품목별!$E$3:$E$2984,"56",데이터_품목별!$A$3:$A$2984,"2025.11")+SUMIFS(데이터_품목별!$H$3:$H$2984,데이터_품목별!$E$3:$E$2984,"57",데이터_품목별!$A$3:$A$2984,"2025.11")+SUMIFS(데이터_품목별!$H$3:$H$2984,데이터_품목별!$E$3:$E$2984,"58",데이터_품목별!$A$3:$A$2984,"2025.11")+SUMIFS(데이터_품목별!$H$3:$H$2984,데이터_품목별!$E$3:$E$2984,"59",데이터_품목별!$A$3:$A$2984,"2025.11")+SUMIFS(데이터_품목별!$H$3:$H$2984,데이터_품목별!$E$3:$E$2984,"60",데이터_품목별!$A$3:$A$2984,"2025.11")+SUMIFS(데이터_품목별!$H$3:$H$2984,데이터_품목별!$E$3:$E$2984,"61",데이터_품목별!$A$3:$A$2984,"2025.11")+SUMIFS(데이터_품목별!$H$3:$H$2984,데이터_품목별!$E$3:$E$2984,"62",데이터_품목별!$A$3:$A$2984,"2025.11")+SUMIFS(데이터_품목별!$H$3:$H$2984,데이터_품목별!$E$3:$E$2984,"63",데이터_품목별!$A$3:$A$2984,"2025.11")</f>
        <v>779562</v>
      </c>
      <c r="Z216" s="55" t="n">
        <f aca="false">SUMIFS(데이터_품목별!$H$3:$H$2984,데이터_품목별!$E$3:$E$2984,"50",데이터_품목별!$A$3:$A$2984,"2025.12")+SUMIFS(데이터_품목별!$H$3:$H$2984,데이터_품목별!$E$3:$E$2984,"51",데이터_품목별!$A$3:$A$2984,"2025.12")+SUMIFS(데이터_품목별!$H$3:$H$2984,데이터_품목별!$E$3:$E$2984,"52",데이터_품목별!$A$3:$A$2984,"2025.12")+SUMIFS(데이터_품목별!$H$3:$H$2984,데이터_품목별!$E$3:$E$2984,"53",데이터_품목별!$A$3:$A$2984,"2025.12")+SUMIFS(데이터_품목별!$H$3:$H$2984,데이터_품목별!$E$3:$E$2984,"54",데이터_품목별!$A$3:$A$2984,"2025.12")+SUMIFS(데이터_품목별!$H$3:$H$2984,데이터_품목별!$E$3:$E$2984,"55",데이터_품목별!$A$3:$A$2984,"2025.12")+SUMIFS(데이터_품목별!$H$3:$H$2984,데이터_품목별!$E$3:$E$2984,"56",데이터_품목별!$A$3:$A$2984,"2025.12")+SUMIFS(데이터_품목별!$H$3:$H$2984,데이터_품목별!$E$3:$E$2984,"57",데이터_품목별!$A$3:$A$2984,"2025.12")+SUMIFS(데이터_품목별!$H$3:$H$2984,데이터_품목별!$E$3:$E$2984,"58",데이터_품목별!$A$3:$A$2984,"2025.12")+SUMIFS(데이터_품목별!$H$3:$H$2984,데이터_품목별!$E$3:$E$2984,"59",데이터_품목별!$A$3:$A$2984,"2025.12")+SUMIFS(데이터_품목별!$H$3:$H$2984,데이터_품목별!$E$3:$E$2984,"60",데이터_품목별!$A$3:$A$2984,"2025.12")+SUMIFS(데이터_품목별!$H$3:$H$2984,데이터_품목별!$E$3:$E$2984,"61",데이터_품목별!$A$3:$A$2984,"2025.12")+SUMIFS(데이터_품목별!$H$3:$H$2984,데이터_품목별!$E$3:$E$2984,"62",데이터_품목별!$A$3:$A$2984,"2025.12")+SUMIFS(데이터_품목별!$H$3:$H$2984,데이터_품목별!$E$3:$E$2984,"63",데이터_품목별!$A$3:$A$2984,"2025.12")</f>
        <v>843072</v>
      </c>
      <c r="AA216" s="55" t="n">
        <f aca="false">SUMIFS(데이터_품목별!$H$3:$H$2984,데이터_품목별!$E$3:$E$2984,"50",데이터_품목별!$A$3:$A$2984,"2026.01")+SUMIFS(데이터_품목별!$H$3:$H$2984,데이터_품목별!$E$3:$E$2984,"51",데이터_품목별!$A$3:$A$2984,"2026.01")+SUMIFS(데이터_품목별!$H$3:$H$2984,데이터_품목별!$E$3:$E$2984,"52",데이터_품목별!$A$3:$A$2984,"2026.01")+SUMIFS(데이터_품목별!$H$3:$H$2984,데이터_품목별!$E$3:$E$2984,"53",데이터_품목별!$A$3:$A$2984,"2026.01")+SUMIFS(데이터_품목별!$H$3:$H$2984,데이터_품목별!$E$3:$E$2984,"54",데이터_품목별!$A$3:$A$2984,"2026.01")+SUMIFS(데이터_품목별!$H$3:$H$2984,데이터_품목별!$E$3:$E$2984,"55",데이터_품목별!$A$3:$A$2984,"2026.01")+SUMIFS(데이터_품목별!$H$3:$H$2984,데이터_품목별!$E$3:$E$2984,"56",데이터_품목별!$A$3:$A$2984,"2026.01")+SUMIFS(데이터_품목별!$H$3:$H$2984,데이터_품목별!$E$3:$E$2984,"57",데이터_품목별!$A$3:$A$2984,"2026.01")+SUMIFS(데이터_품목별!$H$3:$H$2984,데이터_품목별!$E$3:$E$2984,"58",데이터_품목별!$A$3:$A$2984,"2026.01")+SUMIFS(데이터_품목별!$H$3:$H$2984,데이터_품목별!$E$3:$E$2984,"59",데이터_품목별!$A$3:$A$2984,"2026.01")+SUMIFS(데이터_품목별!$H$3:$H$2984,데이터_품목별!$E$3:$E$2984,"60",데이터_품목별!$A$3:$A$2984,"2026.01")+SUMIFS(데이터_품목별!$H$3:$H$2984,데이터_품목별!$E$3:$E$2984,"61",데이터_품목별!$A$3:$A$2984,"2026.01")+SUMIFS(데이터_품목별!$H$3:$H$2984,데이터_품목별!$E$3:$E$2984,"62",데이터_품목별!$A$3:$A$2984,"2026.01")+SUMIFS(데이터_품목별!$H$3:$H$2984,데이터_품목별!$E$3:$E$2984,"63",데이터_품목별!$A$3:$A$2984,"2026.01")</f>
        <v>730031</v>
      </c>
      <c r="AB216" s="55" t="n">
        <f aca="false">SUMIFS(데이터_품목별!$H$3:$H$2984,데이터_품목별!$E$3:$E$2984,"50",데이터_품목별!$A$3:$A$2984,"2026.02")+SUMIFS(데이터_품목별!$H$3:$H$2984,데이터_품목별!$E$3:$E$2984,"51",데이터_품목별!$A$3:$A$2984,"2026.02")+SUMIFS(데이터_품목별!$H$3:$H$2984,데이터_품목별!$E$3:$E$2984,"52",데이터_품목별!$A$3:$A$2984,"2026.02")+SUMIFS(데이터_품목별!$H$3:$H$2984,데이터_품목별!$E$3:$E$2984,"53",데이터_품목별!$A$3:$A$2984,"2026.02")+SUMIFS(데이터_품목별!$H$3:$H$2984,데이터_품목별!$E$3:$E$2984,"54",데이터_품목별!$A$3:$A$2984,"2026.02")+SUMIFS(데이터_품목별!$H$3:$H$2984,데이터_품목별!$E$3:$E$2984,"55",데이터_품목별!$A$3:$A$2984,"2026.02")+SUMIFS(데이터_품목별!$H$3:$H$2984,데이터_품목별!$E$3:$E$2984,"56",데이터_품목별!$A$3:$A$2984,"2026.02")+SUMIFS(데이터_품목별!$H$3:$H$2984,데이터_품목별!$E$3:$E$2984,"57",데이터_품목별!$A$3:$A$2984,"2026.02")+SUMIFS(데이터_품목별!$H$3:$H$2984,데이터_품목별!$E$3:$E$2984,"58",데이터_품목별!$A$3:$A$2984,"2026.02")+SUMIFS(데이터_품목별!$H$3:$H$2984,데이터_품목별!$E$3:$E$2984,"59",데이터_품목별!$A$3:$A$2984,"2026.02")+SUMIFS(데이터_품목별!$H$3:$H$2984,데이터_품목별!$E$3:$E$2984,"60",데이터_품목별!$A$3:$A$2984,"2026.02")+SUMIFS(데이터_품목별!$H$3:$H$2984,데이터_품목별!$E$3:$E$2984,"61",데이터_품목별!$A$3:$A$2984,"2026.02")+SUMIFS(데이터_품목별!$H$3:$H$2984,데이터_품목별!$E$3:$E$2984,"62",데이터_품목별!$A$3:$A$2984,"2026.02")+SUMIFS(데이터_품목별!$H$3:$H$2984,데이터_품목별!$E$3:$E$2984,"63",데이터_품목별!$A$3:$A$2984,"2026.02")</f>
        <v>629249</v>
      </c>
      <c r="AC216" s="55" t="n">
        <f aca="false">SUMIFS(데이터_품목별!$H$3:$H$2984,데이터_품목별!$E$3:$E$2984,"50",데이터_품목별!$A$3:$A$2984,"2026.03")+SUMIFS(데이터_품목별!$H$3:$H$2984,데이터_품목별!$E$3:$E$2984,"51",데이터_품목별!$A$3:$A$2984,"2026.03")+SUMIFS(데이터_품목별!$H$3:$H$2984,데이터_품목별!$E$3:$E$2984,"52",데이터_품목별!$A$3:$A$2984,"2026.03")+SUMIFS(데이터_품목별!$H$3:$H$2984,데이터_품목별!$E$3:$E$2984,"53",데이터_품목별!$A$3:$A$2984,"2026.03")+SUMIFS(데이터_품목별!$H$3:$H$2984,데이터_품목별!$E$3:$E$2984,"54",데이터_품목별!$A$3:$A$2984,"2026.03")+SUMIFS(데이터_품목별!$H$3:$H$2984,데이터_품목별!$E$3:$E$2984,"55",데이터_품목별!$A$3:$A$2984,"2026.03")+SUMIFS(데이터_품목별!$H$3:$H$2984,데이터_품목별!$E$3:$E$2984,"56",데이터_품목별!$A$3:$A$2984,"2026.03")+SUMIFS(데이터_품목별!$H$3:$H$2984,데이터_품목별!$E$3:$E$2984,"57",데이터_품목별!$A$3:$A$2984,"2026.03")+SUMIFS(데이터_품목별!$H$3:$H$2984,데이터_품목별!$E$3:$E$2984,"58",데이터_품목별!$A$3:$A$2984,"2026.03")+SUMIFS(데이터_품목별!$H$3:$H$2984,데이터_품목별!$E$3:$E$2984,"59",데이터_품목별!$A$3:$A$2984,"2026.03")+SUMIFS(데이터_품목별!$H$3:$H$2984,데이터_품목별!$E$3:$E$2984,"60",데이터_품목별!$A$3:$A$2984,"2026.03")+SUMIFS(데이터_품목별!$H$3:$H$2984,데이터_품목별!$E$3:$E$2984,"61",데이터_품목별!$A$3:$A$2984,"2026.03")+SUMIFS(데이터_품목별!$H$3:$H$2984,데이터_품목별!$E$3:$E$2984,"62",데이터_품목별!$A$3:$A$2984,"2026.03")+SUMIFS(데이터_품목별!$H$3:$H$2984,데이터_품목별!$E$3:$E$2984,"63",데이터_품목별!$A$3:$A$2984,"2026.03")</f>
        <v>795732</v>
      </c>
      <c r="AD216" s="55" t="n">
        <f aca="false">SUMIFS(데이터_품목별!$H$3:$H$2984,데이터_품목별!$E$3:$E$2984,"50",데이터_품목별!$A$3:$A$2984,"2026.04")+SUMIFS(데이터_품목별!$H$3:$H$2984,데이터_품목별!$E$3:$E$2984,"51",데이터_품목별!$A$3:$A$2984,"2026.04")+SUMIFS(데이터_품목별!$H$3:$H$2984,데이터_품목별!$E$3:$E$2984,"52",데이터_품목별!$A$3:$A$2984,"2026.04")+SUMIFS(데이터_품목별!$H$3:$H$2984,데이터_품목별!$E$3:$E$2984,"53",데이터_품목별!$A$3:$A$2984,"2026.04")+SUMIFS(데이터_품목별!$H$3:$H$2984,데이터_품목별!$E$3:$E$2984,"54",데이터_품목별!$A$3:$A$2984,"2026.04")+SUMIFS(데이터_품목별!$H$3:$H$2984,데이터_품목별!$E$3:$E$2984,"55",데이터_품목별!$A$3:$A$2984,"2026.04")+SUMIFS(데이터_품목별!$H$3:$H$2984,데이터_품목별!$E$3:$E$2984,"56",데이터_품목별!$A$3:$A$2984,"2026.04")+SUMIFS(데이터_품목별!$H$3:$H$2984,데이터_품목별!$E$3:$E$2984,"57",데이터_품목별!$A$3:$A$2984,"2026.04")+SUMIFS(데이터_품목별!$H$3:$H$2984,데이터_품목별!$E$3:$E$2984,"58",데이터_품목별!$A$3:$A$2984,"2026.04")+SUMIFS(데이터_품목별!$H$3:$H$2984,데이터_품목별!$E$3:$E$2984,"59",데이터_품목별!$A$3:$A$2984,"2026.04")+SUMIFS(데이터_품목별!$H$3:$H$2984,데이터_품목별!$E$3:$E$2984,"60",데이터_품목별!$A$3:$A$2984,"2026.04")+SUMIFS(데이터_품목별!$H$3:$H$2984,데이터_품목별!$E$3:$E$2984,"61",데이터_품목별!$A$3:$A$2984,"2026.04")+SUMIFS(데이터_품목별!$H$3:$H$2984,데이터_품목별!$E$3:$E$2984,"62",데이터_품목별!$A$3:$A$2984,"2026.04")+SUMIFS(데이터_품목별!$H$3:$H$2984,데이터_품목별!$E$3:$E$2984,"63",데이터_품목별!$A$3:$A$2984,"2026.04")</f>
        <v>896104</v>
      </c>
      <c r="AE216" s="55" t="n">
        <f aca="false">SUMIFS(데이터_품목별!$H$3:$H$2984,데이터_품목별!$E$3:$E$2984,"50",데이터_품목별!$A$3:$A$2984,"2026.05")+SUMIFS(데이터_품목별!$H$3:$H$2984,데이터_품목별!$E$3:$E$2984,"51",데이터_품목별!$A$3:$A$2984,"2026.05")+SUMIFS(데이터_품목별!$H$3:$H$2984,데이터_품목별!$E$3:$E$2984,"52",데이터_품목별!$A$3:$A$2984,"2026.05")+SUMIFS(데이터_품목별!$H$3:$H$2984,데이터_품목별!$E$3:$E$2984,"53",데이터_품목별!$A$3:$A$2984,"2026.05")+SUMIFS(데이터_품목별!$H$3:$H$2984,데이터_품목별!$E$3:$E$2984,"54",데이터_품목별!$A$3:$A$2984,"2026.05")+SUMIFS(데이터_품목별!$H$3:$H$2984,데이터_품목별!$E$3:$E$2984,"55",데이터_품목별!$A$3:$A$2984,"2026.05")+SUMIFS(데이터_품목별!$H$3:$H$2984,데이터_품목별!$E$3:$E$2984,"56",데이터_품목별!$A$3:$A$2984,"2026.05")+SUMIFS(데이터_품목별!$H$3:$H$2984,데이터_품목별!$E$3:$E$2984,"57",데이터_품목별!$A$3:$A$2984,"2026.05")+SUMIFS(데이터_품목별!$H$3:$H$2984,데이터_품목별!$E$3:$E$2984,"58",데이터_품목별!$A$3:$A$2984,"2026.05")+SUMIFS(데이터_품목별!$H$3:$H$2984,데이터_품목별!$E$3:$E$2984,"59",데이터_품목별!$A$3:$A$2984,"2026.05")+SUMIFS(데이터_품목별!$H$3:$H$2984,데이터_품목별!$E$3:$E$2984,"60",데이터_품목별!$A$3:$A$2984,"2026.05")+SUMIFS(데이터_품목별!$H$3:$H$2984,데이터_품목별!$E$3:$E$2984,"61",데이터_품목별!$A$3:$A$2984,"2026.05")+SUMIFS(데이터_품목별!$H$3:$H$2984,데이터_품목별!$E$3:$E$2984,"62",데이터_품목별!$A$3:$A$2984,"2026.05")+SUMIFS(데이터_품목별!$H$3:$H$2984,데이터_품목별!$E$3:$E$2984,"63",데이터_품목별!$A$3:$A$2984,"2026.05")</f>
        <v>719057</v>
      </c>
      <c r="AF216" s="55" t="n">
        <f aca="false">SUMIFS(데이터_품목별!$H$3:$H$2984,데이터_품목별!$E$3:$E$2984,"50",데이터_품목별!$A$3:$A$2984,"2026.06")+SUMIFS(데이터_품목별!$H$3:$H$2984,데이터_품목별!$E$3:$E$2984,"51",데이터_품목별!$A$3:$A$2984,"2026.06")+SUMIFS(데이터_품목별!$H$3:$H$2984,데이터_품목별!$E$3:$E$2984,"52",데이터_품목별!$A$3:$A$2984,"2026.06")+SUMIFS(데이터_품목별!$H$3:$H$2984,데이터_품목별!$E$3:$E$2984,"53",데이터_품목별!$A$3:$A$2984,"2026.06")+SUMIFS(데이터_품목별!$H$3:$H$2984,데이터_품목별!$E$3:$E$2984,"54",데이터_품목별!$A$3:$A$2984,"2026.06")+SUMIFS(데이터_품목별!$H$3:$H$2984,데이터_품목별!$E$3:$E$2984,"55",데이터_품목별!$A$3:$A$2984,"2026.06")+SUMIFS(데이터_품목별!$H$3:$H$2984,데이터_품목별!$E$3:$E$2984,"56",데이터_품목별!$A$3:$A$2984,"2026.06")+SUMIFS(데이터_품목별!$H$3:$H$2984,데이터_품목별!$E$3:$E$2984,"57",데이터_품목별!$A$3:$A$2984,"2026.06")+SUMIFS(데이터_품목별!$H$3:$H$2984,데이터_품목별!$E$3:$E$2984,"58",데이터_품목별!$A$3:$A$2984,"2026.06")+SUMIFS(데이터_품목별!$H$3:$H$2984,데이터_품목별!$E$3:$E$2984,"59",데이터_품목별!$A$3:$A$2984,"2026.06")+SUMIFS(데이터_품목별!$H$3:$H$2984,데이터_품목별!$E$3:$E$2984,"60",데이터_품목별!$A$3:$A$2984,"2026.06")+SUMIFS(데이터_품목별!$H$3:$H$2984,데이터_품목별!$E$3:$E$2984,"61",데이터_품목별!$A$3:$A$2984,"2026.06")+SUMIFS(데이터_품목별!$H$3:$H$2984,데이터_품목별!$E$3:$E$2984,"62",데이터_품목별!$A$3:$A$2984,"2026.06")+SUMIFS(데이터_품목별!$H$3:$H$2984,데이터_품목별!$E$3:$E$2984,"63",데이터_품목별!$A$3:$A$2984,"2026.06")</f>
        <v>808353</v>
      </c>
      <c r="AG216" s="55" t="n">
        <f aca="false">SUMIFS(데이터_품목별!$H$3:$H$2984,데이터_품목별!$E$3:$E$2984,"50",데이터_품목별!$A$3:$A$2984,"2026.07")+SUMIFS(데이터_품목별!$H$3:$H$2984,데이터_품목별!$E$3:$E$2984,"51",데이터_품목별!$A$3:$A$2984,"2026.07")+SUMIFS(데이터_품목별!$H$3:$H$2984,데이터_품목별!$E$3:$E$2984,"52",데이터_품목별!$A$3:$A$2984,"2026.07")+SUMIFS(데이터_품목별!$H$3:$H$2984,데이터_품목별!$E$3:$E$2984,"53",데이터_품목별!$A$3:$A$2984,"2026.07")+SUMIFS(데이터_품목별!$H$3:$H$2984,데이터_품목별!$E$3:$E$2984,"54",데이터_품목별!$A$3:$A$2984,"2026.07")+SUMIFS(데이터_품목별!$H$3:$H$2984,데이터_품목별!$E$3:$E$2984,"55",데이터_품목별!$A$3:$A$2984,"2026.07")+SUMIFS(데이터_품목별!$H$3:$H$2984,데이터_품목별!$E$3:$E$2984,"56",데이터_품목별!$A$3:$A$2984,"2026.07")+SUMIFS(데이터_품목별!$H$3:$H$2984,데이터_품목별!$E$3:$E$2984,"57",데이터_품목별!$A$3:$A$2984,"2026.07")+SUMIFS(데이터_품목별!$H$3:$H$2984,데이터_품목별!$E$3:$E$2984,"58",데이터_품목별!$A$3:$A$2984,"2026.07")+SUMIFS(데이터_품목별!$H$3:$H$2984,데이터_품목별!$E$3:$E$2984,"59",데이터_품목별!$A$3:$A$2984,"2026.07")+SUMIFS(데이터_품목별!$H$3:$H$2984,데이터_품목별!$E$3:$E$2984,"60",데이터_품목별!$A$3:$A$2984,"2026.07")+SUMIFS(데이터_품목별!$H$3:$H$2984,데이터_품목별!$E$3:$E$2984,"61",데이터_품목별!$A$3:$A$2984,"2026.07")+SUMIFS(데이터_품목별!$H$3:$H$2984,데이터_품목별!$E$3:$E$2984,"62",데이터_품목별!$A$3:$A$2984,"2026.07")+SUMIFS(데이터_품목별!$H$3:$H$2984,데이터_품목별!$E$3:$E$2984,"63",데이터_품목별!$A$3:$A$2984,"2026.07")</f>
        <v>788674</v>
      </c>
    </row>
    <row r="217" customFormat="false" ht="15" hidden="false" customHeight="true" outlineLevel="0" collapsed="false">
      <c r="A217" s="53" t="s">
        <v>19822</v>
      </c>
      <c r="B217" s="46" t="s">
        <v>19823</v>
      </c>
      <c r="C217" s="55" t="n">
        <f aca="false">SUMIFS(데이터_품목별!$H$3:$H$2984,데이터_품목별!$E$3:$E$2984,"64",데이터_품목별!$A$3:$A$2984,"2024.01")+SUMIFS(데이터_품목별!$H$3:$H$2984,데이터_품목별!$E$3:$E$2984,"65",데이터_품목별!$A$3:$A$2984,"2024.01")+SUMIFS(데이터_품목별!$H$3:$H$2984,데이터_품목별!$E$3:$E$2984,"66",데이터_품목별!$A$3:$A$2984,"2024.01")+SUMIFS(데이터_품목별!$H$3:$H$2984,데이터_품목별!$E$3:$E$2984,"67",데이터_품목별!$A$3:$A$2984,"2024.01")</f>
        <v>42776</v>
      </c>
      <c r="D217" s="55" t="n">
        <f aca="false">SUMIFS(데이터_품목별!$H$3:$H$2984,데이터_품목별!$E$3:$E$2984,"64",데이터_품목별!$A$3:$A$2984,"2024.02")+SUMIFS(데이터_품목별!$H$3:$H$2984,데이터_품목별!$E$3:$E$2984,"65",데이터_품목별!$A$3:$A$2984,"2024.02")+SUMIFS(데이터_품목별!$H$3:$H$2984,데이터_품목별!$E$3:$E$2984,"66",데이터_품목별!$A$3:$A$2984,"2024.02")+SUMIFS(데이터_품목별!$H$3:$H$2984,데이터_품목별!$E$3:$E$2984,"67",데이터_품목별!$A$3:$A$2984,"2024.02")</f>
        <v>40255</v>
      </c>
      <c r="E217" s="55" t="n">
        <f aca="false">SUMIFS(데이터_품목별!$H$3:$H$2984,데이터_품목별!$E$3:$E$2984,"64",데이터_품목별!$A$3:$A$2984,"2024.03")+SUMIFS(데이터_품목별!$H$3:$H$2984,데이터_품목별!$E$3:$E$2984,"65",데이터_품목별!$A$3:$A$2984,"2024.03")+SUMIFS(데이터_품목별!$H$3:$H$2984,데이터_품목별!$E$3:$E$2984,"66",데이터_품목별!$A$3:$A$2984,"2024.03")+SUMIFS(데이터_품목별!$H$3:$H$2984,데이터_품목별!$E$3:$E$2984,"67",데이터_품목별!$A$3:$A$2984,"2024.03")</f>
        <v>37130</v>
      </c>
      <c r="F217" s="55" t="n">
        <f aca="false">SUMIFS(데이터_품목별!$H$3:$H$2984,데이터_품목별!$E$3:$E$2984,"64",데이터_품목별!$A$3:$A$2984,"2024.04")+SUMIFS(데이터_품목별!$H$3:$H$2984,데이터_품목별!$E$3:$E$2984,"65",데이터_품목별!$A$3:$A$2984,"2024.04")+SUMIFS(데이터_품목별!$H$3:$H$2984,데이터_품목별!$E$3:$E$2984,"66",데이터_품목별!$A$3:$A$2984,"2024.04")+SUMIFS(데이터_품목별!$H$3:$H$2984,데이터_품목별!$E$3:$E$2984,"67",데이터_품목별!$A$3:$A$2984,"2024.04")</f>
        <v>38161</v>
      </c>
      <c r="G217" s="55" t="n">
        <f aca="false">SUMIFS(데이터_품목별!$H$3:$H$2984,데이터_품목별!$E$3:$E$2984,"64",데이터_품목별!$A$3:$A$2984,"2024.05")+SUMIFS(데이터_품목별!$H$3:$H$2984,데이터_품목별!$E$3:$E$2984,"65",데이터_품목별!$A$3:$A$2984,"2024.05")+SUMIFS(데이터_품목별!$H$3:$H$2984,데이터_품목별!$E$3:$E$2984,"66",데이터_품목별!$A$3:$A$2984,"2024.05")+SUMIFS(데이터_품목별!$H$3:$H$2984,데이터_품목별!$E$3:$E$2984,"67",데이터_품목별!$A$3:$A$2984,"2024.05")</f>
        <v>42848</v>
      </c>
      <c r="H217" s="55" t="n">
        <f aca="false">SUMIFS(데이터_품목별!$H$3:$H$2984,데이터_품목별!$E$3:$E$2984,"64",데이터_품목별!$A$3:$A$2984,"2024.06")+SUMIFS(데이터_품목별!$H$3:$H$2984,데이터_품목별!$E$3:$E$2984,"65",데이터_품목별!$A$3:$A$2984,"2024.06")+SUMIFS(데이터_품목별!$H$3:$H$2984,데이터_품목별!$E$3:$E$2984,"66",데이터_품목별!$A$3:$A$2984,"2024.06")+SUMIFS(데이터_품목별!$H$3:$H$2984,데이터_품목별!$E$3:$E$2984,"67",데이터_품목별!$A$3:$A$2984,"2024.06")</f>
        <v>46343</v>
      </c>
      <c r="I217" s="55" t="n">
        <f aca="false">SUMIFS(데이터_품목별!$H$3:$H$2984,데이터_품목별!$E$3:$E$2984,"64",데이터_품목별!$A$3:$A$2984,"2024.07")+SUMIFS(데이터_품목별!$H$3:$H$2984,데이터_품목별!$E$3:$E$2984,"65",데이터_품목별!$A$3:$A$2984,"2024.07")+SUMIFS(데이터_품목별!$H$3:$H$2984,데이터_품목별!$E$3:$E$2984,"66",데이터_품목별!$A$3:$A$2984,"2024.07")+SUMIFS(데이터_품목별!$H$3:$H$2984,데이터_품목별!$E$3:$E$2984,"67",데이터_품목별!$A$3:$A$2984,"2024.07")</f>
        <v>44341</v>
      </c>
      <c r="J217" s="55" t="n">
        <f aca="false">SUMIFS(데이터_품목별!$H$3:$H$2984,데이터_품목별!$E$3:$E$2984,"64",데이터_품목별!$A$3:$A$2984,"2024.08")+SUMIFS(데이터_품목별!$H$3:$H$2984,데이터_품목별!$E$3:$E$2984,"65",데이터_품목별!$A$3:$A$2984,"2024.08")+SUMIFS(데이터_품목별!$H$3:$H$2984,데이터_품목별!$E$3:$E$2984,"66",데이터_품목별!$A$3:$A$2984,"2024.08")+SUMIFS(데이터_품목별!$H$3:$H$2984,데이터_품목별!$E$3:$E$2984,"67",데이터_품목별!$A$3:$A$2984,"2024.08")</f>
        <v>36803</v>
      </c>
      <c r="K217" s="55" t="n">
        <f aca="false">SUMIFS(데이터_품목별!$H$3:$H$2984,데이터_품목별!$E$3:$E$2984,"64",데이터_품목별!$A$3:$A$2984,"2024.09")+SUMIFS(데이터_품목별!$H$3:$H$2984,데이터_품목별!$E$3:$E$2984,"65",데이터_품목별!$A$3:$A$2984,"2024.09")+SUMIFS(데이터_품목별!$H$3:$H$2984,데이터_품목별!$E$3:$E$2984,"66",데이터_품목별!$A$3:$A$2984,"2024.09")+SUMIFS(데이터_품목별!$H$3:$H$2984,데이터_품목별!$E$3:$E$2984,"67",데이터_품목별!$A$3:$A$2984,"2024.09")</f>
        <v>39731</v>
      </c>
      <c r="L217" s="55" t="n">
        <f aca="false">SUMIFS(데이터_품목별!$H$3:$H$2984,데이터_품목별!$E$3:$E$2984,"64",데이터_품목별!$A$3:$A$2984,"2024.10")+SUMIFS(데이터_품목별!$H$3:$H$2984,데이터_품목별!$E$3:$E$2984,"65",데이터_품목별!$A$3:$A$2984,"2024.10")+SUMIFS(데이터_품목별!$H$3:$H$2984,데이터_품목별!$E$3:$E$2984,"66",데이터_품목별!$A$3:$A$2984,"2024.10")+SUMIFS(데이터_품목별!$H$3:$H$2984,데이터_품목별!$E$3:$E$2984,"67",데이터_품목별!$A$3:$A$2984,"2024.10")</f>
        <v>40126</v>
      </c>
      <c r="M217" s="55" t="n">
        <f aca="false">SUMIFS(데이터_품목별!$H$3:$H$2984,데이터_품목별!$E$3:$E$2984,"64",데이터_품목별!$A$3:$A$2984,"2024.11")+SUMIFS(데이터_품목별!$H$3:$H$2984,데이터_품목별!$E$3:$E$2984,"65",데이터_품목별!$A$3:$A$2984,"2024.11")+SUMIFS(데이터_품목별!$H$3:$H$2984,데이터_품목별!$E$3:$E$2984,"66",데이터_품목별!$A$3:$A$2984,"2024.11")+SUMIFS(데이터_품목별!$H$3:$H$2984,데이터_품목별!$E$3:$E$2984,"67",데이터_품목별!$A$3:$A$2984,"2024.11")</f>
        <v>42020</v>
      </c>
      <c r="N217" s="55" t="n">
        <f aca="false">SUMIFS(데이터_품목별!$H$3:$H$2984,데이터_품목별!$E$3:$E$2984,"64",데이터_품목별!$A$3:$A$2984,"2024.12")+SUMIFS(데이터_품목별!$H$3:$H$2984,데이터_품목별!$E$3:$E$2984,"65",데이터_품목별!$A$3:$A$2984,"2024.12")+SUMIFS(데이터_품목별!$H$3:$H$2984,데이터_품목별!$E$3:$E$2984,"66",데이터_품목별!$A$3:$A$2984,"2024.12")+SUMIFS(데이터_품목별!$H$3:$H$2984,데이터_품목별!$E$3:$E$2984,"67",데이터_품목별!$A$3:$A$2984,"2024.12")</f>
        <v>44304</v>
      </c>
      <c r="O217" s="55" t="n">
        <f aca="false">SUMIFS(데이터_품목별!$H$3:$H$2984,데이터_품목별!$E$3:$E$2984,"64",데이터_품목별!$A$3:$A$2984,"2025.01")+SUMIFS(데이터_품목별!$H$3:$H$2984,데이터_품목별!$E$3:$E$2984,"65",데이터_품목별!$A$3:$A$2984,"2025.01")+SUMIFS(데이터_품목별!$H$3:$H$2984,데이터_품목별!$E$3:$E$2984,"66",데이터_품목별!$A$3:$A$2984,"2025.01")+SUMIFS(데이터_품목별!$H$3:$H$2984,데이터_품목별!$E$3:$E$2984,"67",데이터_품목별!$A$3:$A$2984,"2025.01")</f>
        <v>35303</v>
      </c>
      <c r="P217" s="55" t="n">
        <f aca="false">SUMIFS(데이터_품목별!$H$3:$H$2984,데이터_품목별!$E$3:$E$2984,"64",데이터_품목별!$A$3:$A$2984,"2025.02")+SUMIFS(데이터_품목별!$H$3:$H$2984,데이터_품목별!$E$3:$E$2984,"65",데이터_품목별!$A$3:$A$2984,"2025.02")+SUMIFS(데이터_품목별!$H$3:$H$2984,데이터_품목별!$E$3:$E$2984,"66",데이터_품목별!$A$3:$A$2984,"2025.02")+SUMIFS(데이터_품목별!$H$3:$H$2984,데이터_품목별!$E$3:$E$2984,"67",데이터_품목별!$A$3:$A$2984,"2025.02")</f>
        <v>40876</v>
      </c>
      <c r="Q217" s="55" t="n">
        <f aca="false">SUMIFS(데이터_품목별!$H$3:$H$2984,데이터_품목별!$E$3:$E$2984,"64",데이터_품목별!$A$3:$A$2984,"2025.03")+SUMIFS(데이터_품목별!$H$3:$H$2984,데이터_품목별!$E$3:$E$2984,"65",데이터_품목별!$A$3:$A$2984,"2025.03")+SUMIFS(데이터_품목별!$H$3:$H$2984,데이터_품목별!$E$3:$E$2984,"66",데이터_품목별!$A$3:$A$2984,"2025.03")+SUMIFS(데이터_품목별!$H$3:$H$2984,데이터_품목별!$E$3:$E$2984,"67",데이터_품목별!$A$3:$A$2984,"2025.03")</f>
        <v>40875</v>
      </c>
      <c r="R217" s="55" t="n">
        <f aca="false">SUMIFS(데이터_품목별!$H$3:$H$2984,데이터_품목별!$E$3:$E$2984,"64",데이터_품목별!$A$3:$A$2984,"2025.04")+SUMIFS(데이터_품목별!$H$3:$H$2984,데이터_품목별!$E$3:$E$2984,"65",데이터_품목별!$A$3:$A$2984,"2025.04")+SUMIFS(데이터_품목별!$H$3:$H$2984,데이터_품목별!$E$3:$E$2984,"66",데이터_품목별!$A$3:$A$2984,"2025.04")+SUMIFS(데이터_품목별!$H$3:$H$2984,데이터_품목별!$E$3:$E$2984,"67",데이터_품목별!$A$3:$A$2984,"2025.04")</f>
        <v>49308</v>
      </c>
      <c r="S217" s="55" t="n">
        <f aca="false">SUMIFS(데이터_품목별!$H$3:$H$2984,데이터_품목별!$E$3:$E$2984,"64",데이터_품목별!$A$3:$A$2984,"2025.05")+SUMIFS(데이터_품목별!$H$3:$H$2984,데이터_품목별!$E$3:$E$2984,"65",데이터_품목별!$A$3:$A$2984,"2025.05")+SUMIFS(데이터_품목별!$H$3:$H$2984,데이터_품목별!$E$3:$E$2984,"66",데이터_품목별!$A$3:$A$2984,"2025.05")+SUMIFS(데이터_품목별!$H$3:$H$2984,데이터_품목별!$E$3:$E$2984,"67",데이터_품목별!$A$3:$A$2984,"2025.05")</f>
        <v>41727</v>
      </c>
      <c r="T217" s="55" t="n">
        <f aca="false">SUMIFS(데이터_품목별!$H$3:$H$2984,데이터_품목별!$E$3:$E$2984,"64",데이터_품목별!$A$3:$A$2984,"2025.06")+SUMIFS(데이터_품목별!$H$3:$H$2984,데이터_품목별!$E$3:$E$2984,"65",데이터_품목별!$A$3:$A$2984,"2025.06")+SUMIFS(데이터_품목별!$H$3:$H$2984,데이터_품목별!$E$3:$E$2984,"66",데이터_품목별!$A$3:$A$2984,"2025.06")+SUMIFS(데이터_품목별!$H$3:$H$2984,데이터_품목별!$E$3:$E$2984,"67",데이터_품목별!$A$3:$A$2984,"2025.06")</f>
        <v>44750</v>
      </c>
      <c r="U217" s="55" t="n">
        <f aca="false">SUMIFS(데이터_품목별!$H$3:$H$2984,데이터_품목별!$E$3:$E$2984,"64",데이터_품목별!$A$3:$A$2984,"2025.07")+SUMIFS(데이터_품목별!$H$3:$H$2984,데이터_품목별!$E$3:$E$2984,"65",데이터_품목별!$A$3:$A$2984,"2025.07")+SUMIFS(데이터_품목별!$H$3:$H$2984,데이터_품목별!$E$3:$E$2984,"66",데이터_품목별!$A$3:$A$2984,"2025.07")+SUMIFS(데이터_품목별!$H$3:$H$2984,데이터_품목별!$E$3:$E$2984,"67",데이터_품목별!$A$3:$A$2984,"2025.07")</f>
        <v>42183</v>
      </c>
      <c r="V217" s="55" t="n">
        <f aca="false">SUMIFS(데이터_품목별!$H$3:$H$2984,데이터_품목별!$E$3:$E$2984,"64",데이터_품목별!$A$3:$A$2984,"2025.08")+SUMIFS(데이터_품목별!$H$3:$H$2984,데이터_품목별!$E$3:$E$2984,"65",데이터_품목별!$A$3:$A$2984,"2025.08")+SUMIFS(데이터_품목별!$H$3:$H$2984,데이터_품목별!$E$3:$E$2984,"66",데이터_품목별!$A$3:$A$2984,"2025.08")+SUMIFS(데이터_품목별!$H$3:$H$2984,데이터_품목별!$E$3:$E$2984,"67",데이터_품목별!$A$3:$A$2984,"2025.08")</f>
        <v>34071</v>
      </c>
      <c r="W217" s="55" t="n">
        <f aca="false">SUMIFS(데이터_품목별!$H$3:$H$2984,데이터_품목별!$E$3:$E$2984,"64",데이터_품목별!$A$3:$A$2984,"2025.09")+SUMIFS(데이터_품목별!$H$3:$H$2984,데이터_품목별!$E$3:$E$2984,"65",데이터_품목별!$A$3:$A$2984,"2025.09")+SUMIFS(데이터_품목별!$H$3:$H$2984,데이터_품목별!$E$3:$E$2984,"66",데이터_품목별!$A$3:$A$2984,"2025.09")+SUMIFS(데이터_품목별!$H$3:$H$2984,데이터_품목별!$E$3:$E$2984,"67",데이터_품목별!$A$3:$A$2984,"2025.09")</f>
        <v>46468</v>
      </c>
      <c r="X217" s="55" t="n">
        <f aca="false">SUMIFS(데이터_품목별!$H$3:$H$2984,데이터_품목별!$E$3:$E$2984,"64",데이터_품목별!$A$3:$A$2984,"2025.10")+SUMIFS(데이터_품목별!$H$3:$H$2984,데이터_품목별!$E$3:$E$2984,"65",데이터_품목별!$A$3:$A$2984,"2025.10")+SUMIFS(데이터_품목별!$H$3:$H$2984,데이터_품목별!$E$3:$E$2984,"66",데이터_품목별!$A$3:$A$2984,"2025.10")+SUMIFS(데이터_품목별!$H$3:$H$2984,데이터_품목별!$E$3:$E$2984,"67",데이터_품목별!$A$3:$A$2984,"2025.10")</f>
        <v>38190</v>
      </c>
      <c r="Y217" s="55" t="n">
        <f aca="false">SUMIFS(데이터_품목별!$H$3:$H$2984,데이터_품목별!$E$3:$E$2984,"64",데이터_품목별!$A$3:$A$2984,"2025.11")+SUMIFS(데이터_품목별!$H$3:$H$2984,데이터_품목별!$E$3:$E$2984,"65",데이터_품목별!$A$3:$A$2984,"2025.11")+SUMIFS(데이터_품목별!$H$3:$H$2984,데이터_품목별!$E$3:$E$2984,"66",데이터_품목별!$A$3:$A$2984,"2025.11")+SUMIFS(데이터_품목별!$H$3:$H$2984,데이터_품목별!$E$3:$E$2984,"67",데이터_품목별!$A$3:$A$2984,"2025.11")</f>
        <v>38554</v>
      </c>
      <c r="Z217" s="55" t="n">
        <f aca="false">SUMIFS(데이터_품목별!$H$3:$H$2984,데이터_품목별!$E$3:$E$2984,"64",데이터_품목별!$A$3:$A$2984,"2025.12")+SUMIFS(데이터_품목별!$H$3:$H$2984,데이터_품목별!$E$3:$E$2984,"65",데이터_품목별!$A$3:$A$2984,"2025.12")+SUMIFS(데이터_품목별!$H$3:$H$2984,데이터_품목별!$E$3:$E$2984,"66",데이터_품목별!$A$3:$A$2984,"2025.12")+SUMIFS(데이터_품목별!$H$3:$H$2984,데이터_품목별!$E$3:$E$2984,"67",데이터_품목별!$A$3:$A$2984,"2025.12")</f>
        <v>50426</v>
      </c>
      <c r="AA217" s="55" t="n">
        <f aca="false">SUMIFS(데이터_품목별!$H$3:$H$2984,데이터_품목별!$E$3:$E$2984,"64",데이터_품목별!$A$3:$A$2984,"2026.01")+SUMIFS(데이터_품목별!$H$3:$H$2984,데이터_품목별!$E$3:$E$2984,"65",데이터_품목별!$A$3:$A$2984,"2026.01")+SUMIFS(데이터_품목별!$H$3:$H$2984,데이터_품목별!$E$3:$E$2984,"66",데이터_품목별!$A$3:$A$2984,"2026.01")+SUMIFS(데이터_품목별!$H$3:$H$2984,데이터_품목별!$E$3:$E$2984,"67",데이터_품목별!$A$3:$A$2984,"2026.01")</f>
        <v>40215</v>
      </c>
      <c r="AB217" s="55" t="n">
        <f aca="false">SUMIFS(데이터_품목별!$H$3:$H$2984,데이터_품목별!$E$3:$E$2984,"64",데이터_품목별!$A$3:$A$2984,"2026.02")+SUMIFS(데이터_품목별!$H$3:$H$2984,데이터_품목별!$E$3:$E$2984,"65",데이터_품목별!$A$3:$A$2984,"2026.02")+SUMIFS(데이터_품목별!$H$3:$H$2984,데이터_품목별!$E$3:$E$2984,"66",데이터_품목별!$A$3:$A$2984,"2026.02")+SUMIFS(데이터_품목별!$H$3:$H$2984,데이터_품목별!$E$3:$E$2984,"67",데이터_품목별!$A$3:$A$2984,"2026.02")</f>
        <v>37547</v>
      </c>
      <c r="AC217" s="55" t="n">
        <f aca="false">SUMIFS(데이터_품목별!$H$3:$H$2984,데이터_품목별!$E$3:$E$2984,"64",데이터_품목별!$A$3:$A$2984,"2026.03")+SUMIFS(데이터_품목별!$H$3:$H$2984,데이터_품목별!$E$3:$E$2984,"65",데이터_품목별!$A$3:$A$2984,"2026.03")+SUMIFS(데이터_품목별!$H$3:$H$2984,데이터_품목별!$E$3:$E$2984,"66",데이터_품목별!$A$3:$A$2984,"2026.03")+SUMIFS(데이터_품목별!$H$3:$H$2984,데이터_품목별!$E$3:$E$2984,"67",데이터_품목별!$A$3:$A$2984,"2026.03")</f>
        <v>50829</v>
      </c>
      <c r="AD217" s="55" t="n">
        <f aca="false">SUMIFS(데이터_품목별!$H$3:$H$2984,데이터_품목별!$E$3:$E$2984,"64",데이터_품목별!$A$3:$A$2984,"2026.04")+SUMIFS(데이터_품목별!$H$3:$H$2984,데이터_품목별!$E$3:$E$2984,"65",데이터_품목별!$A$3:$A$2984,"2026.04")+SUMIFS(데이터_품목별!$H$3:$H$2984,데이터_품목별!$E$3:$E$2984,"66",데이터_품목별!$A$3:$A$2984,"2026.04")+SUMIFS(데이터_품목별!$H$3:$H$2984,데이터_품목별!$E$3:$E$2984,"67",데이터_품목별!$A$3:$A$2984,"2026.04")</f>
        <v>56834</v>
      </c>
      <c r="AE217" s="55" t="n">
        <f aca="false">SUMIFS(데이터_품목별!$H$3:$H$2984,데이터_품목별!$E$3:$E$2984,"64",데이터_품목별!$A$3:$A$2984,"2026.05")+SUMIFS(데이터_품목별!$H$3:$H$2984,데이터_품목별!$E$3:$E$2984,"65",데이터_품목별!$A$3:$A$2984,"2026.05")+SUMIFS(데이터_품목별!$H$3:$H$2984,데이터_품목별!$E$3:$E$2984,"66",데이터_품목별!$A$3:$A$2984,"2026.05")+SUMIFS(데이터_품목별!$H$3:$H$2984,데이터_품목별!$E$3:$E$2984,"67",데이터_품목별!$A$3:$A$2984,"2026.05")</f>
        <v>51277</v>
      </c>
      <c r="AF217" s="55" t="n">
        <f aca="false">SUMIFS(데이터_품목별!$H$3:$H$2984,데이터_품목별!$E$3:$E$2984,"64",데이터_품목별!$A$3:$A$2984,"2026.06")+SUMIFS(데이터_품목별!$H$3:$H$2984,데이터_품목별!$E$3:$E$2984,"65",데이터_품목별!$A$3:$A$2984,"2026.06")+SUMIFS(데이터_품목별!$H$3:$H$2984,데이터_품목별!$E$3:$E$2984,"66",데이터_품목별!$A$3:$A$2984,"2026.06")+SUMIFS(데이터_품목별!$H$3:$H$2984,데이터_품목별!$E$3:$E$2984,"67",데이터_품목별!$A$3:$A$2984,"2026.06")</f>
        <v>54831</v>
      </c>
      <c r="AG217" s="55" t="n">
        <f aca="false">SUMIFS(데이터_품목별!$H$3:$H$2984,데이터_품목별!$E$3:$E$2984,"64",데이터_품목별!$A$3:$A$2984,"2026.07")+SUMIFS(데이터_품목별!$H$3:$H$2984,데이터_품목별!$E$3:$E$2984,"65",데이터_품목별!$A$3:$A$2984,"2026.07")+SUMIFS(데이터_품목별!$H$3:$H$2984,데이터_품목별!$E$3:$E$2984,"66",데이터_품목별!$A$3:$A$2984,"2026.07")+SUMIFS(데이터_품목별!$H$3:$H$2984,데이터_품목별!$E$3:$E$2984,"67",데이터_품목별!$A$3:$A$2984,"2026.07")</f>
        <v>50632</v>
      </c>
    </row>
    <row r="218" customFormat="false" ht="15" hidden="false" customHeight="true" outlineLevel="0" collapsed="false">
      <c r="A218" s="53" t="s">
        <v>19824</v>
      </c>
      <c r="B218" s="46" t="s">
        <v>19825</v>
      </c>
      <c r="C218" s="55" t="n">
        <f aca="false">SUMIFS(데이터_품목별!$H$3:$H$2984,데이터_품목별!$E$3:$E$2984,"68",데이터_품목별!$A$3:$A$2984,"2024.01")+SUMIFS(데이터_품목별!$H$3:$H$2984,데이터_품목별!$E$3:$E$2984,"69",데이터_품목별!$A$3:$A$2984,"2024.01")+SUMIFS(데이터_품목별!$H$3:$H$2984,데이터_품목별!$E$3:$E$2984,"70",데이터_품목별!$A$3:$A$2984,"2024.01")</f>
        <v>297053</v>
      </c>
      <c r="D218" s="55" t="n">
        <f aca="false">SUMIFS(데이터_품목별!$H$3:$H$2984,데이터_품목별!$E$3:$E$2984,"68",데이터_품목별!$A$3:$A$2984,"2024.02")+SUMIFS(데이터_품목별!$H$3:$H$2984,데이터_품목별!$E$3:$E$2984,"69",데이터_품목별!$A$3:$A$2984,"2024.02")+SUMIFS(데이터_품목별!$H$3:$H$2984,데이터_품목별!$E$3:$E$2984,"70",데이터_품목별!$A$3:$A$2984,"2024.02")</f>
        <v>249285</v>
      </c>
      <c r="E218" s="55" t="n">
        <f aca="false">SUMIFS(데이터_품목별!$H$3:$H$2984,데이터_품목별!$E$3:$E$2984,"68",데이터_품목별!$A$3:$A$2984,"2024.03")+SUMIFS(데이터_품목별!$H$3:$H$2984,데이터_품목별!$E$3:$E$2984,"69",데이터_품목별!$A$3:$A$2984,"2024.03")+SUMIFS(데이터_품목별!$H$3:$H$2984,데이터_품목별!$E$3:$E$2984,"70",데이터_품목별!$A$3:$A$2984,"2024.03")</f>
        <v>280947</v>
      </c>
      <c r="F218" s="55" t="n">
        <f aca="false">SUMIFS(데이터_품목별!$H$3:$H$2984,데이터_품목별!$E$3:$E$2984,"68",데이터_품목별!$A$3:$A$2984,"2024.04")+SUMIFS(데이터_품목별!$H$3:$H$2984,데이터_품목별!$E$3:$E$2984,"69",데이터_품목별!$A$3:$A$2984,"2024.04")+SUMIFS(데이터_품목별!$H$3:$H$2984,데이터_품목별!$E$3:$E$2984,"70",데이터_품목별!$A$3:$A$2984,"2024.04")</f>
        <v>291974</v>
      </c>
      <c r="G218" s="55" t="n">
        <f aca="false">SUMIFS(데이터_품목별!$H$3:$H$2984,데이터_품목별!$E$3:$E$2984,"68",데이터_품목별!$A$3:$A$2984,"2024.05")+SUMIFS(데이터_품목별!$H$3:$H$2984,데이터_품목별!$E$3:$E$2984,"69",데이터_품목별!$A$3:$A$2984,"2024.05")+SUMIFS(데이터_품목별!$H$3:$H$2984,데이터_품목별!$E$3:$E$2984,"70",데이터_품목별!$A$3:$A$2984,"2024.05")</f>
        <v>295899</v>
      </c>
      <c r="H218" s="55" t="n">
        <f aca="false">SUMIFS(데이터_품목별!$H$3:$H$2984,데이터_품목별!$E$3:$E$2984,"68",데이터_품목별!$A$3:$A$2984,"2024.06")+SUMIFS(데이터_품목별!$H$3:$H$2984,데이터_품목별!$E$3:$E$2984,"69",데이터_품목별!$A$3:$A$2984,"2024.06")+SUMIFS(데이터_품목별!$H$3:$H$2984,데이터_품목별!$E$3:$E$2984,"70",데이터_품목별!$A$3:$A$2984,"2024.06")</f>
        <v>292734</v>
      </c>
      <c r="I218" s="55" t="n">
        <f aca="false">SUMIFS(데이터_품목별!$H$3:$H$2984,데이터_품목별!$E$3:$E$2984,"68",데이터_품목별!$A$3:$A$2984,"2024.07")+SUMIFS(데이터_품목별!$H$3:$H$2984,데이터_품목별!$E$3:$E$2984,"69",데이터_품목별!$A$3:$A$2984,"2024.07")+SUMIFS(데이터_품목별!$H$3:$H$2984,데이터_품목별!$E$3:$E$2984,"70",데이터_품목별!$A$3:$A$2984,"2024.07")</f>
        <v>300693</v>
      </c>
      <c r="J218" s="55" t="n">
        <f aca="false">SUMIFS(데이터_품목별!$H$3:$H$2984,데이터_품목별!$E$3:$E$2984,"68",데이터_품목별!$A$3:$A$2984,"2024.08")+SUMIFS(데이터_품목별!$H$3:$H$2984,데이터_품목별!$E$3:$E$2984,"69",데이터_품목별!$A$3:$A$2984,"2024.08")+SUMIFS(데이터_품목별!$H$3:$H$2984,데이터_품목별!$E$3:$E$2984,"70",데이터_품목별!$A$3:$A$2984,"2024.08")</f>
        <v>279962</v>
      </c>
      <c r="K218" s="55" t="n">
        <f aca="false">SUMIFS(데이터_품목별!$H$3:$H$2984,데이터_품목별!$E$3:$E$2984,"68",데이터_품목별!$A$3:$A$2984,"2024.09")+SUMIFS(데이터_품목별!$H$3:$H$2984,데이터_품목별!$E$3:$E$2984,"69",데이터_품목별!$A$3:$A$2984,"2024.09")+SUMIFS(데이터_품목별!$H$3:$H$2984,데이터_품목별!$E$3:$E$2984,"70",데이터_품목별!$A$3:$A$2984,"2024.09")</f>
        <v>263675</v>
      </c>
      <c r="L218" s="55" t="n">
        <f aca="false">SUMIFS(데이터_품목별!$H$3:$H$2984,데이터_품목별!$E$3:$E$2984,"68",데이터_품목별!$A$3:$A$2984,"2024.10")+SUMIFS(데이터_품목별!$H$3:$H$2984,데이터_품목별!$E$3:$E$2984,"69",데이터_품목별!$A$3:$A$2984,"2024.10")+SUMIFS(데이터_품목별!$H$3:$H$2984,데이터_품목별!$E$3:$E$2984,"70",데이터_품목별!$A$3:$A$2984,"2024.10")</f>
        <v>282919</v>
      </c>
      <c r="M218" s="55" t="n">
        <f aca="false">SUMIFS(데이터_품목별!$H$3:$H$2984,데이터_품목별!$E$3:$E$2984,"68",데이터_품목별!$A$3:$A$2984,"2024.11")+SUMIFS(데이터_품목별!$H$3:$H$2984,데이터_품목별!$E$3:$E$2984,"69",데이터_품목별!$A$3:$A$2984,"2024.11")+SUMIFS(데이터_품목별!$H$3:$H$2984,데이터_품목별!$E$3:$E$2984,"70",데이터_품목별!$A$3:$A$2984,"2024.11")</f>
        <v>269707</v>
      </c>
      <c r="N218" s="55" t="n">
        <f aca="false">SUMIFS(데이터_품목별!$H$3:$H$2984,데이터_품목별!$E$3:$E$2984,"68",데이터_품목별!$A$3:$A$2984,"2024.12")+SUMIFS(데이터_품목별!$H$3:$H$2984,데이터_품목별!$E$3:$E$2984,"69",데이터_품목별!$A$3:$A$2984,"2024.12")+SUMIFS(데이터_품목별!$H$3:$H$2984,데이터_품목별!$E$3:$E$2984,"70",데이터_품목별!$A$3:$A$2984,"2024.12")</f>
        <v>282079</v>
      </c>
      <c r="O218" s="55" t="n">
        <f aca="false">SUMIFS(데이터_품목별!$H$3:$H$2984,데이터_품목별!$E$3:$E$2984,"68",데이터_품목별!$A$3:$A$2984,"2025.01")+SUMIFS(데이터_품목별!$H$3:$H$2984,데이터_품목별!$E$3:$E$2984,"69",데이터_품목별!$A$3:$A$2984,"2025.01")+SUMIFS(데이터_품목별!$H$3:$H$2984,데이터_품목별!$E$3:$E$2984,"70",데이터_품목별!$A$3:$A$2984,"2025.01")</f>
        <v>255149</v>
      </c>
      <c r="P218" s="55" t="n">
        <f aca="false">SUMIFS(데이터_품목별!$H$3:$H$2984,데이터_품목별!$E$3:$E$2984,"68",데이터_품목별!$A$3:$A$2984,"2025.02")+SUMIFS(데이터_품목별!$H$3:$H$2984,데이터_품목별!$E$3:$E$2984,"69",데이터_품목별!$A$3:$A$2984,"2025.02")+SUMIFS(데이터_품목별!$H$3:$H$2984,데이터_품목별!$E$3:$E$2984,"70",데이터_품목별!$A$3:$A$2984,"2025.02")</f>
        <v>261843</v>
      </c>
      <c r="Q218" s="55" t="n">
        <f aca="false">SUMIFS(데이터_품목별!$H$3:$H$2984,데이터_품목별!$E$3:$E$2984,"68",데이터_품목별!$A$3:$A$2984,"2025.03")+SUMIFS(데이터_품목별!$H$3:$H$2984,데이터_품목별!$E$3:$E$2984,"69",데이터_품목별!$A$3:$A$2984,"2025.03")+SUMIFS(데이터_품목별!$H$3:$H$2984,데이터_품목별!$E$3:$E$2984,"70",데이터_품목별!$A$3:$A$2984,"2025.03")</f>
        <v>263238</v>
      </c>
      <c r="R218" s="55" t="n">
        <f aca="false">SUMIFS(데이터_품목별!$H$3:$H$2984,데이터_품목별!$E$3:$E$2984,"68",데이터_품목별!$A$3:$A$2984,"2025.04")+SUMIFS(데이터_품목별!$H$3:$H$2984,데이터_품목별!$E$3:$E$2984,"69",데이터_품목별!$A$3:$A$2984,"2025.04")+SUMIFS(데이터_품목별!$H$3:$H$2984,데이터_품목별!$E$3:$E$2984,"70",데이터_품목별!$A$3:$A$2984,"2025.04")</f>
        <v>297522</v>
      </c>
      <c r="S218" s="55" t="n">
        <f aca="false">SUMIFS(데이터_품목별!$H$3:$H$2984,데이터_품목별!$E$3:$E$2984,"68",데이터_품목별!$A$3:$A$2984,"2025.05")+SUMIFS(데이터_품목별!$H$3:$H$2984,데이터_품목별!$E$3:$E$2984,"69",데이터_품목별!$A$3:$A$2984,"2025.05")+SUMIFS(데이터_품목별!$H$3:$H$2984,데이터_품목별!$E$3:$E$2984,"70",데이터_품목별!$A$3:$A$2984,"2025.05")</f>
        <v>268833</v>
      </c>
      <c r="T218" s="55" t="n">
        <f aca="false">SUMIFS(데이터_품목별!$H$3:$H$2984,데이터_품목별!$E$3:$E$2984,"68",데이터_품목별!$A$3:$A$2984,"2025.06")+SUMIFS(데이터_품목별!$H$3:$H$2984,데이터_품목별!$E$3:$E$2984,"69",데이터_품목별!$A$3:$A$2984,"2025.06")+SUMIFS(데이터_품목별!$H$3:$H$2984,데이터_품목별!$E$3:$E$2984,"70",데이터_품목별!$A$3:$A$2984,"2025.06")</f>
        <v>272354</v>
      </c>
      <c r="U218" s="55" t="n">
        <f aca="false">SUMIFS(데이터_품목별!$H$3:$H$2984,데이터_품목별!$E$3:$E$2984,"68",데이터_품목별!$A$3:$A$2984,"2025.07")+SUMIFS(데이터_품목별!$H$3:$H$2984,데이터_품목별!$E$3:$E$2984,"69",데이터_품목별!$A$3:$A$2984,"2025.07")+SUMIFS(데이터_품목별!$H$3:$H$2984,데이터_품목별!$E$3:$E$2984,"70",데이터_품목별!$A$3:$A$2984,"2025.07")</f>
        <v>286092</v>
      </c>
      <c r="V218" s="55" t="n">
        <f aca="false">SUMIFS(데이터_품목별!$H$3:$H$2984,데이터_품목별!$E$3:$E$2984,"68",데이터_품목별!$A$3:$A$2984,"2025.08")+SUMIFS(데이터_품목별!$H$3:$H$2984,데이터_품목별!$E$3:$E$2984,"69",데이터_품목별!$A$3:$A$2984,"2025.08")+SUMIFS(데이터_품목별!$H$3:$H$2984,데이터_품목별!$E$3:$E$2984,"70",데이터_품목별!$A$3:$A$2984,"2025.08")</f>
        <v>254669</v>
      </c>
      <c r="W218" s="55" t="n">
        <f aca="false">SUMIFS(데이터_품목별!$H$3:$H$2984,데이터_품목별!$E$3:$E$2984,"68",데이터_품목별!$A$3:$A$2984,"2025.09")+SUMIFS(데이터_품목별!$H$3:$H$2984,데이터_품목별!$E$3:$E$2984,"69",데이터_품목별!$A$3:$A$2984,"2025.09")+SUMIFS(데이터_품목별!$H$3:$H$2984,데이터_품목별!$E$3:$E$2984,"70",데이터_품목별!$A$3:$A$2984,"2025.09")</f>
        <v>289688</v>
      </c>
      <c r="X218" s="55" t="n">
        <f aca="false">SUMIFS(데이터_품목별!$H$3:$H$2984,데이터_품목별!$E$3:$E$2984,"68",데이터_품목별!$A$3:$A$2984,"2025.10")+SUMIFS(데이터_품목별!$H$3:$H$2984,데이터_품목별!$E$3:$E$2984,"69",데이터_품목별!$A$3:$A$2984,"2025.10")+SUMIFS(데이터_품목별!$H$3:$H$2984,데이터_품목별!$E$3:$E$2984,"70",데이터_품목별!$A$3:$A$2984,"2025.10")</f>
        <v>253655</v>
      </c>
      <c r="Y218" s="55" t="n">
        <f aca="false">SUMIFS(데이터_품목별!$H$3:$H$2984,데이터_품목별!$E$3:$E$2984,"68",데이터_품목별!$A$3:$A$2984,"2025.11")+SUMIFS(데이터_품목별!$H$3:$H$2984,데이터_품목별!$E$3:$E$2984,"69",데이터_품목별!$A$3:$A$2984,"2025.11")+SUMIFS(데이터_품목별!$H$3:$H$2984,데이터_품목별!$E$3:$E$2984,"70",데이터_품목별!$A$3:$A$2984,"2025.11")</f>
        <v>262779</v>
      </c>
      <c r="Z218" s="55" t="n">
        <f aca="false">SUMIFS(데이터_품목별!$H$3:$H$2984,데이터_품목별!$E$3:$E$2984,"68",데이터_품목별!$A$3:$A$2984,"2025.12")+SUMIFS(데이터_품목별!$H$3:$H$2984,데이터_품목별!$E$3:$E$2984,"69",데이터_품목별!$A$3:$A$2984,"2025.12")+SUMIFS(데이터_품목별!$H$3:$H$2984,데이터_품목별!$E$3:$E$2984,"70",데이터_품목별!$A$3:$A$2984,"2025.12")</f>
        <v>280129</v>
      </c>
      <c r="AA218" s="55" t="n">
        <f aca="false">SUMIFS(데이터_품목별!$H$3:$H$2984,데이터_품목별!$E$3:$E$2984,"68",데이터_품목별!$A$3:$A$2984,"2026.01")+SUMIFS(데이터_품목별!$H$3:$H$2984,데이터_품목별!$E$3:$E$2984,"69",데이터_품목별!$A$3:$A$2984,"2026.01")+SUMIFS(데이터_품목별!$H$3:$H$2984,데이터_품목별!$E$3:$E$2984,"70",데이터_품목별!$A$3:$A$2984,"2026.01")</f>
        <v>255118</v>
      </c>
      <c r="AB218" s="55" t="n">
        <f aca="false">SUMIFS(데이터_품목별!$H$3:$H$2984,데이터_품목별!$E$3:$E$2984,"68",데이터_품목별!$A$3:$A$2984,"2026.02")+SUMIFS(데이터_품목별!$H$3:$H$2984,데이터_품목별!$E$3:$E$2984,"69",데이터_품목별!$A$3:$A$2984,"2026.02")+SUMIFS(데이터_품목별!$H$3:$H$2984,데이터_품목별!$E$3:$E$2984,"70",데이터_품목별!$A$3:$A$2984,"2026.02")</f>
        <v>225979</v>
      </c>
      <c r="AC218" s="55" t="n">
        <f aca="false">SUMIFS(데이터_품목별!$H$3:$H$2984,데이터_품목별!$E$3:$E$2984,"68",데이터_품목별!$A$3:$A$2984,"2026.03")+SUMIFS(데이터_품목별!$H$3:$H$2984,데이터_품목별!$E$3:$E$2984,"69",데이터_품목별!$A$3:$A$2984,"2026.03")+SUMIFS(데이터_품목별!$H$3:$H$2984,데이터_품목별!$E$3:$E$2984,"70",데이터_품목별!$A$3:$A$2984,"2026.03")</f>
        <v>265955</v>
      </c>
      <c r="AD218" s="55" t="n">
        <f aca="false">SUMIFS(데이터_품목별!$H$3:$H$2984,데이터_품목별!$E$3:$E$2984,"68",데이터_품목별!$A$3:$A$2984,"2026.04")+SUMIFS(데이터_품목별!$H$3:$H$2984,데이터_품목별!$E$3:$E$2984,"69",데이터_품목별!$A$3:$A$2984,"2026.04")+SUMIFS(데이터_품목별!$H$3:$H$2984,데이터_품목별!$E$3:$E$2984,"70",데이터_품목별!$A$3:$A$2984,"2026.04")</f>
        <v>282410</v>
      </c>
      <c r="AE218" s="55" t="n">
        <f aca="false">SUMIFS(데이터_품목별!$H$3:$H$2984,데이터_품목별!$E$3:$E$2984,"68",데이터_품목별!$A$3:$A$2984,"2026.05")+SUMIFS(데이터_품목별!$H$3:$H$2984,데이터_품목별!$E$3:$E$2984,"69",데이터_품목별!$A$3:$A$2984,"2026.05")+SUMIFS(데이터_품목별!$H$3:$H$2984,데이터_품목별!$E$3:$E$2984,"70",데이터_품목별!$A$3:$A$2984,"2026.05")</f>
        <v>266042</v>
      </c>
      <c r="AF218" s="55" t="n">
        <f aca="false">SUMIFS(데이터_품목별!$H$3:$H$2984,데이터_품목별!$E$3:$E$2984,"68",데이터_품목별!$A$3:$A$2984,"2026.06")+SUMIFS(데이터_품목별!$H$3:$H$2984,데이터_품목별!$E$3:$E$2984,"69",데이터_품목별!$A$3:$A$2984,"2026.06")+SUMIFS(데이터_품목별!$H$3:$H$2984,데이터_품목별!$E$3:$E$2984,"70",데이터_품목별!$A$3:$A$2984,"2026.06")</f>
        <v>296617</v>
      </c>
      <c r="AG218" s="55" t="n">
        <f aca="false">SUMIFS(데이터_품목별!$H$3:$H$2984,데이터_품목별!$E$3:$E$2984,"68",데이터_품목별!$A$3:$A$2984,"2026.07")+SUMIFS(데이터_품목별!$H$3:$H$2984,데이터_품목별!$E$3:$E$2984,"69",데이터_품목별!$A$3:$A$2984,"2026.07")+SUMIFS(데이터_품목별!$H$3:$H$2984,데이터_품목별!$E$3:$E$2984,"70",데이터_품목별!$A$3:$A$2984,"2026.07")</f>
        <v>290239</v>
      </c>
    </row>
    <row r="219" customFormat="false" ht="15" hidden="false" customHeight="true" outlineLevel="0" collapsed="false">
      <c r="A219" s="53" t="s">
        <v>19826</v>
      </c>
      <c r="B219" s="46" t="s">
        <v>19827</v>
      </c>
      <c r="C219" s="55" t="n">
        <f aca="false">SUMIFS(데이터_품목별!$H$3:$H$2984,데이터_품목별!$E$3:$E$2984,"71",데이터_품목별!$A$3:$A$2984,"2024.01")</f>
        <v>332272</v>
      </c>
      <c r="D219" s="55" t="n">
        <f aca="false">SUMIFS(데이터_품목별!$H$3:$H$2984,데이터_품목별!$E$3:$E$2984,"71",데이터_품목별!$A$3:$A$2984,"2024.02")</f>
        <v>347542</v>
      </c>
      <c r="E219" s="55" t="n">
        <f aca="false">SUMIFS(데이터_품목별!$H$3:$H$2984,데이터_품목별!$E$3:$E$2984,"71",데이터_품목별!$A$3:$A$2984,"2024.03")</f>
        <v>448657</v>
      </c>
      <c r="F219" s="55" t="n">
        <f aca="false">SUMIFS(데이터_품목별!$H$3:$H$2984,데이터_품목별!$E$3:$E$2984,"71",데이터_품목별!$A$3:$A$2984,"2024.04")</f>
        <v>579512</v>
      </c>
      <c r="G219" s="55" t="n">
        <f aca="false">SUMIFS(데이터_품목별!$H$3:$H$2984,데이터_품목별!$E$3:$E$2984,"71",데이터_품목별!$A$3:$A$2984,"2024.05")</f>
        <v>536353</v>
      </c>
      <c r="H219" s="55" t="n">
        <f aca="false">SUMIFS(데이터_품목별!$H$3:$H$2984,데이터_품목별!$E$3:$E$2984,"71",데이터_품목별!$A$3:$A$2984,"2024.06")</f>
        <v>408069</v>
      </c>
      <c r="I219" s="55" t="n">
        <f aca="false">SUMIFS(데이터_품목별!$H$3:$H$2984,데이터_품목별!$E$3:$E$2984,"71",데이터_품목별!$A$3:$A$2984,"2024.07")</f>
        <v>519508</v>
      </c>
      <c r="J219" s="55" t="n">
        <f aca="false">SUMIFS(데이터_품목별!$H$3:$H$2984,데이터_품목별!$E$3:$E$2984,"71",데이터_품목별!$A$3:$A$2984,"2024.08")</f>
        <v>632635</v>
      </c>
      <c r="K219" s="55" t="n">
        <f aca="false">SUMIFS(데이터_품목별!$H$3:$H$2984,데이터_품목별!$E$3:$E$2984,"71",데이터_품목별!$A$3:$A$2984,"2024.09")</f>
        <v>481941</v>
      </c>
      <c r="L219" s="55" t="n">
        <f aca="false">SUMIFS(데이터_품목별!$H$3:$H$2984,데이터_품목별!$E$3:$E$2984,"71",데이터_품목별!$A$3:$A$2984,"2024.10")</f>
        <v>343764</v>
      </c>
      <c r="M219" s="55" t="n">
        <f aca="false">SUMIFS(데이터_품목별!$H$3:$H$2984,데이터_품목별!$E$3:$E$2984,"71",데이터_품목별!$A$3:$A$2984,"2024.11")</f>
        <v>404168</v>
      </c>
      <c r="N219" s="55" t="n">
        <f aca="false">SUMIFS(데이터_품목별!$H$3:$H$2984,데이터_품목별!$E$3:$E$2984,"71",데이터_품목별!$A$3:$A$2984,"2024.12")</f>
        <v>407576</v>
      </c>
      <c r="O219" s="55" t="n">
        <f aca="false">SUMIFS(데이터_품목별!$H$3:$H$2984,데이터_품목별!$E$3:$E$2984,"71",데이터_품목별!$A$3:$A$2984,"2025.01")</f>
        <v>367564</v>
      </c>
      <c r="P219" s="55" t="n">
        <f aca="false">SUMIFS(데이터_품목별!$H$3:$H$2984,데이터_품목별!$E$3:$E$2984,"71",데이터_품목별!$A$3:$A$2984,"2025.02")</f>
        <v>523284</v>
      </c>
      <c r="Q219" s="55" t="n">
        <f aca="false">SUMIFS(데이터_품목별!$H$3:$H$2984,데이터_품목별!$E$3:$E$2984,"71",데이터_품목별!$A$3:$A$2984,"2025.03")</f>
        <v>443632</v>
      </c>
      <c r="R219" s="55" t="n">
        <f aca="false">SUMIFS(데이터_품목별!$H$3:$H$2984,데이터_품목별!$E$3:$E$2984,"71",데이터_품목별!$A$3:$A$2984,"2025.04")</f>
        <v>571993</v>
      </c>
      <c r="S219" s="55" t="n">
        <f aca="false">SUMIFS(데이터_품목별!$H$3:$H$2984,데이터_품목별!$E$3:$E$2984,"71",데이터_품목별!$A$3:$A$2984,"2025.05")</f>
        <v>627794</v>
      </c>
      <c r="T219" s="55" t="n">
        <f aca="false">SUMIFS(데이터_품목별!$H$3:$H$2984,데이터_품목별!$E$3:$E$2984,"71",데이터_품목별!$A$3:$A$2984,"2025.06")</f>
        <v>721336</v>
      </c>
      <c r="U219" s="55" t="n">
        <f aca="false">SUMIFS(데이터_품목별!$H$3:$H$2984,데이터_품목별!$E$3:$E$2984,"71",데이터_품목별!$A$3:$A$2984,"2025.07")</f>
        <v>649964</v>
      </c>
      <c r="V219" s="55" t="n">
        <f aca="false">SUMIFS(데이터_품목별!$H$3:$H$2984,데이터_품목별!$E$3:$E$2984,"71",데이터_품목별!$A$3:$A$2984,"2025.08")</f>
        <v>670346</v>
      </c>
      <c r="W219" s="55" t="n">
        <f aca="false">SUMIFS(데이터_품목별!$H$3:$H$2984,데이터_품목별!$E$3:$E$2984,"71",데이터_품목별!$A$3:$A$2984,"2025.09")</f>
        <v>557555</v>
      </c>
      <c r="X219" s="55" t="n">
        <f aca="false">SUMIFS(데이터_품목별!$H$3:$H$2984,데이터_품목별!$E$3:$E$2984,"71",데이터_품목별!$A$3:$A$2984,"2025.10")</f>
        <v>954140</v>
      </c>
      <c r="Y219" s="55" t="n">
        <f aca="false">SUMIFS(데이터_품목별!$H$3:$H$2984,데이터_품목별!$E$3:$E$2984,"71",데이터_품목별!$A$3:$A$2984,"2025.11")</f>
        <v>1043507</v>
      </c>
      <c r="Z219" s="55" t="n">
        <f aca="false">SUMIFS(데이터_품목별!$H$3:$H$2984,데이터_품목별!$E$3:$E$2984,"71",데이터_품목별!$A$3:$A$2984,"2025.12")</f>
        <v>814015</v>
      </c>
      <c r="AA219" s="55" t="n">
        <f aca="false">SUMIFS(데이터_품목별!$H$3:$H$2984,데이터_품목별!$E$3:$E$2984,"71",데이터_품목별!$A$3:$A$2984,"2026.01")</f>
        <v>902526</v>
      </c>
      <c r="AB219" s="55" t="n">
        <f aca="false">SUMIFS(데이터_품목별!$H$3:$H$2984,데이터_품목별!$E$3:$E$2984,"71",데이터_품목별!$A$3:$A$2984,"2026.02")</f>
        <v>1241165</v>
      </c>
      <c r="AC219" s="55" t="n">
        <f aca="false">SUMIFS(데이터_품목별!$H$3:$H$2984,데이터_품목별!$E$3:$E$2984,"71",데이터_품목별!$A$3:$A$2984,"2026.03")</f>
        <v>1856347</v>
      </c>
      <c r="AD219" s="55" t="n">
        <f aca="false">SUMIFS(데이터_품목별!$H$3:$H$2984,데이터_품목별!$E$3:$E$2984,"71",데이터_품목별!$A$3:$A$2984,"2026.04")</f>
        <v>1442449</v>
      </c>
      <c r="AE219" s="55" t="n">
        <f aca="false">SUMIFS(데이터_품목별!$H$3:$H$2984,데이터_품목별!$E$3:$E$2984,"71",데이터_품목별!$A$3:$A$2984,"2026.05")</f>
        <v>1711971</v>
      </c>
      <c r="AF219" s="55" t="n">
        <f aca="false">SUMIFS(데이터_품목별!$H$3:$H$2984,데이터_품목별!$E$3:$E$2984,"71",데이터_품목별!$A$3:$A$2984,"2026.06")</f>
        <v>1571823</v>
      </c>
      <c r="AG219" s="55" t="n">
        <f aca="false">SUMIFS(데이터_품목별!$H$3:$H$2984,데이터_품목별!$E$3:$E$2984,"71",데이터_품목별!$A$3:$A$2984,"2026.07")</f>
        <v>1228775</v>
      </c>
    </row>
    <row r="220" customFormat="false" ht="15" hidden="false" customHeight="true" outlineLevel="0" collapsed="false">
      <c r="A220" s="53" t="s">
        <v>19828</v>
      </c>
      <c r="B220" s="46" t="s">
        <v>19829</v>
      </c>
      <c r="C220" s="55" t="n">
        <f aca="false">SUMIFS(데이터_품목별!$H$3:$H$2984,데이터_품목별!$E$3:$E$2984,"72",데이터_품목별!$A$3:$A$2984,"2024.01")+SUMIFS(데이터_품목별!$H$3:$H$2984,데이터_품목별!$E$3:$E$2984,"73",데이터_품목별!$A$3:$A$2984,"2024.01")+SUMIFS(데이터_품목별!$H$3:$H$2984,데이터_품목별!$E$3:$E$2984,"74",데이터_품목별!$A$3:$A$2984,"2024.01")+SUMIFS(데이터_품목별!$H$3:$H$2984,데이터_품목별!$E$3:$E$2984,"75",데이터_품목별!$A$3:$A$2984,"2024.01")+SUMIFS(데이터_품목별!$H$3:$H$2984,데이터_품목별!$E$3:$E$2984,"76",데이터_품목별!$A$3:$A$2984,"2024.01")+SUMIFS(데이터_품목별!$H$3:$H$2984,데이터_품목별!$E$3:$E$2984,"78",데이터_품목별!$A$3:$A$2984,"2024.01")+SUMIFS(데이터_품목별!$H$3:$H$2984,데이터_품목별!$E$3:$E$2984,"79",데이터_품목별!$A$3:$A$2984,"2024.01")+SUMIFS(데이터_품목별!$H$3:$H$2984,데이터_품목별!$E$3:$E$2984,"80",데이터_품목별!$A$3:$A$2984,"2024.01")+SUMIFS(데이터_품목별!$H$3:$H$2984,데이터_품목별!$E$3:$E$2984,"81",데이터_품목별!$A$3:$A$2984,"2024.01")+SUMIFS(데이터_품목별!$H$3:$H$2984,데이터_품목별!$E$3:$E$2984,"82",데이터_품목별!$A$3:$A$2984,"2024.01")+SUMIFS(데이터_품목별!$H$3:$H$2984,데이터_품목별!$E$3:$E$2984,"83",데이터_품목별!$A$3:$A$2984,"2024.01")</f>
        <v>4272438</v>
      </c>
      <c r="D220" s="55" t="n">
        <f aca="false">SUMIFS(데이터_품목별!$H$3:$H$2984,데이터_품목별!$E$3:$E$2984,"72",데이터_품목별!$A$3:$A$2984,"2024.02")+SUMIFS(데이터_품목별!$H$3:$H$2984,데이터_품목별!$E$3:$E$2984,"73",데이터_품목별!$A$3:$A$2984,"2024.02")+SUMIFS(데이터_품목별!$H$3:$H$2984,데이터_품목별!$E$3:$E$2984,"74",데이터_품목별!$A$3:$A$2984,"2024.02")+SUMIFS(데이터_품목별!$H$3:$H$2984,데이터_품목별!$E$3:$E$2984,"75",데이터_품목별!$A$3:$A$2984,"2024.02")+SUMIFS(데이터_품목별!$H$3:$H$2984,데이터_품목별!$E$3:$E$2984,"76",데이터_품목별!$A$3:$A$2984,"2024.02")+SUMIFS(데이터_품목별!$H$3:$H$2984,데이터_품목별!$E$3:$E$2984,"78",데이터_품목별!$A$3:$A$2984,"2024.02")+SUMIFS(데이터_품목별!$H$3:$H$2984,데이터_품목별!$E$3:$E$2984,"79",데이터_품목별!$A$3:$A$2984,"2024.02")+SUMIFS(데이터_품목별!$H$3:$H$2984,데이터_품목별!$E$3:$E$2984,"80",데이터_품목별!$A$3:$A$2984,"2024.02")+SUMIFS(데이터_품목별!$H$3:$H$2984,데이터_품목별!$E$3:$E$2984,"81",데이터_품목별!$A$3:$A$2984,"2024.02")+SUMIFS(데이터_품목별!$H$3:$H$2984,데이터_품목별!$E$3:$E$2984,"82",데이터_품목별!$A$3:$A$2984,"2024.02")+SUMIFS(데이터_품목별!$H$3:$H$2984,데이터_품목별!$E$3:$E$2984,"83",데이터_품목별!$A$3:$A$2984,"2024.02")</f>
        <v>4057470</v>
      </c>
      <c r="E220" s="55" t="n">
        <f aca="false">SUMIFS(데이터_품목별!$H$3:$H$2984,데이터_품목별!$E$3:$E$2984,"72",데이터_품목별!$A$3:$A$2984,"2024.03")+SUMIFS(데이터_품목별!$H$3:$H$2984,데이터_품목별!$E$3:$E$2984,"73",데이터_품목별!$A$3:$A$2984,"2024.03")+SUMIFS(데이터_품목별!$H$3:$H$2984,데이터_품목별!$E$3:$E$2984,"74",데이터_품목별!$A$3:$A$2984,"2024.03")+SUMIFS(데이터_품목별!$H$3:$H$2984,데이터_품목별!$E$3:$E$2984,"75",데이터_품목별!$A$3:$A$2984,"2024.03")+SUMIFS(데이터_품목별!$H$3:$H$2984,데이터_품목별!$E$3:$E$2984,"76",데이터_품목별!$A$3:$A$2984,"2024.03")+SUMIFS(데이터_품목별!$H$3:$H$2984,데이터_품목별!$E$3:$E$2984,"78",데이터_품목별!$A$3:$A$2984,"2024.03")+SUMIFS(데이터_품목별!$H$3:$H$2984,데이터_품목별!$E$3:$E$2984,"79",데이터_품목별!$A$3:$A$2984,"2024.03")+SUMIFS(데이터_품목별!$H$3:$H$2984,데이터_품목별!$E$3:$E$2984,"80",데이터_품목별!$A$3:$A$2984,"2024.03")+SUMIFS(데이터_품목별!$H$3:$H$2984,데이터_품목별!$E$3:$E$2984,"81",데이터_품목별!$A$3:$A$2984,"2024.03")+SUMIFS(데이터_품목별!$H$3:$H$2984,데이터_품목별!$E$3:$E$2984,"82",데이터_품목별!$A$3:$A$2984,"2024.03")+SUMIFS(데이터_품목별!$H$3:$H$2984,데이터_품목별!$E$3:$E$2984,"83",데이터_품목별!$A$3:$A$2984,"2024.03")</f>
        <v>4276061</v>
      </c>
      <c r="F220" s="55" t="n">
        <f aca="false">SUMIFS(데이터_품목별!$H$3:$H$2984,데이터_품목별!$E$3:$E$2984,"72",데이터_품목별!$A$3:$A$2984,"2024.04")+SUMIFS(데이터_품목별!$H$3:$H$2984,데이터_품목별!$E$3:$E$2984,"73",데이터_품목별!$A$3:$A$2984,"2024.04")+SUMIFS(데이터_품목별!$H$3:$H$2984,데이터_품목별!$E$3:$E$2984,"74",데이터_품목별!$A$3:$A$2984,"2024.04")+SUMIFS(데이터_품목별!$H$3:$H$2984,데이터_품목별!$E$3:$E$2984,"75",데이터_품목별!$A$3:$A$2984,"2024.04")+SUMIFS(데이터_품목별!$H$3:$H$2984,데이터_품목별!$E$3:$E$2984,"76",데이터_품목별!$A$3:$A$2984,"2024.04")+SUMIFS(데이터_품목별!$H$3:$H$2984,데이터_품목별!$E$3:$E$2984,"78",데이터_품목별!$A$3:$A$2984,"2024.04")+SUMIFS(데이터_품목별!$H$3:$H$2984,데이터_품목별!$E$3:$E$2984,"79",데이터_품목별!$A$3:$A$2984,"2024.04")+SUMIFS(데이터_품목별!$H$3:$H$2984,데이터_품목별!$E$3:$E$2984,"80",데이터_품목별!$A$3:$A$2984,"2024.04")+SUMIFS(데이터_품목별!$H$3:$H$2984,데이터_품목별!$E$3:$E$2984,"81",데이터_품목별!$A$3:$A$2984,"2024.04")+SUMIFS(데이터_품목별!$H$3:$H$2984,데이터_품목별!$E$3:$E$2984,"82",데이터_품목별!$A$3:$A$2984,"2024.04")+SUMIFS(데이터_품목별!$H$3:$H$2984,데이터_품목별!$E$3:$E$2984,"83",데이터_품목별!$A$3:$A$2984,"2024.04")</f>
        <v>4269354</v>
      </c>
      <c r="G220" s="55" t="n">
        <f aca="false">SUMIFS(데이터_품목별!$H$3:$H$2984,데이터_품목별!$E$3:$E$2984,"72",데이터_품목별!$A$3:$A$2984,"2024.05")+SUMIFS(데이터_품목별!$H$3:$H$2984,데이터_품목별!$E$3:$E$2984,"73",데이터_품목별!$A$3:$A$2984,"2024.05")+SUMIFS(데이터_품목별!$H$3:$H$2984,데이터_품목별!$E$3:$E$2984,"74",데이터_품목별!$A$3:$A$2984,"2024.05")+SUMIFS(데이터_품목별!$H$3:$H$2984,데이터_품목별!$E$3:$E$2984,"75",데이터_품목별!$A$3:$A$2984,"2024.05")+SUMIFS(데이터_품목별!$H$3:$H$2984,데이터_품목별!$E$3:$E$2984,"76",데이터_품목별!$A$3:$A$2984,"2024.05")+SUMIFS(데이터_품목별!$H$3:$H$2984,데이터_품목별!$E$3:$E$2984,"78",데이터_품목별!$A$3:$A$2984,"2024.05")+SUMIFS(데이터_품목별!$H$3:$H$2984,데이터_품목별!$E$3:$E$2984,"79",데이터_품목별!$A$3:$A$2984,"2024.05")+SUMIFS(데이터_품목별!$H$3:$H$2984,데이터_품목별!$E$3:$E$2984,"80",데이터_품목별!$A$3:$A$2984,"2024.05")+SUMIFS(데이터_품목별!$H$3:$H$2984,데이터_품목별!$E$3:$E$2984,"81",데이터_품목별!$A$3:$A$2984,"2024.05")+SUMIFS(데이터_품목별!$H$3:$H$2984,데이터_품목별!$E$3:$E$2984,"82",데이터_품목별!$A$3:$A$2984,"2024.05")+SUMIFS(데이터_품목별!$H$3:$H$2984,데이터_품목별!$E$3:$E$2984,"83",데이터_품목별!$A$3:$A$2984,"2024.05")</f>
        <v>4560755</v>
      </c>
      <c r="H220" s="55" t="n">
        <f aca="false">SUMIFS(데이터_품목별!$H$3:$H$2984,데이터_품목별!$E$3:$E$2984,"72",데이터_품목별!$A$3:$A$2984,"2024.06")+SUMIFS(데이터_품목별!$H$3:$H$2984,데이터_품목별!$E$3:$E$2984,"73",데이터_품목별!$A$3:$A$2984,"2024.06")+SUMIFS(데이터_품목별!$H$3:$H$2984,데이터_품목별!$E$3:$E$2984,"74",데이터_품목별!$A$3:$A$2984,"2024.06")+SUMIFS(데이터_품목별!$H$3:$H$2984,데이터_품목별!$E$3:$E$2984,"75",데이터_품목별!$A$3:$A$2984,"2024.06")+SUMIFS(데이터_품목별!$H$3:$H$2984,데이터_품목별!$E$3:$E$2984,"76",데이터_품목별!$A$3:$A$2984,"2024.06")+SUMIFS(데이터_품목별!$H$3:$H$2984,데이터_품목별!$E$3:$E$2984,"78",데이터_품목별!$A$3:$A$2984,"2024.06")+SUMIFS(데이터_품목별!$H$3:$H$2984,데이터_품목별!$E$3:$E$2984,"79",데이터_품목별!$A$3:$A$2984,"2024.06")+SUMIFS(데이터_품목별!$H$3:$H$2984,데이터_품목별!$E$3:$E$2984,"80",데이터_품목별!$A$3:$A$2984,"2024.06")+SUMIFS(데이터_품목별!$H$3:$H$2984,데이터_품목별!$E$3:$E$2984,"81",데이터_품목별!$A$3:$A$2984,"2024.06")+SUMIFS(데이터_품목별!$H$3:$H$2984,데이터_품목별!$E$3:$E$2984,"82",데이터_품목별!$A$3:$A$2984,"2024.06")+SUMIFS(데이터_품목별!$H$3:$H$2984,데이터_품목별!$E$3:$E$2984,"83",데이터_품목별!$A$3:$A$2984,"2024.06")</f>
        <v>4172655</v>
      </c>
      <c r="I220" s="55" t="n">
        <f aca="false">SUMIFS(데이터_품목별!$H$3:$H$2984,데이터_품목별!$E$3:$E$2984,"72",데이터_품목별!$A$3:$A$2984,"2024.07")+SUMIFS(데이터_품목별!$H$3:$H$2984,데이터_품목별!$E$3:$E$2984,"73",데이터_품목별!$A$3:$A$2984,"2024.07")+SUMIFS(데이터_품목별!$H$3:$H$2984,데이터_품목별!$E$3:$E$2984,"74",데이터_품목별!$A$3:$A$2984,"2024.07")+SUMIFS(데이터_품목별!$H$3:$H$2984,데이터_품목별!$E$3:$E$2984,"75",데이터_품목별!$A$3:$A$2984,"2024.07")+SUMIFS(데이터_품목별!$H$3:$H$2984,데이터_품목별!$E$3:$E$2984,"76",데이터_품목별!$A$3:$A$2984,"2024.07")+SUMIFS(데이터_품목별!$H$3:$H$2984,데이터_품목별!$E$3:$E$2984,"78",데이터_품목별!$A$3:$A$2984,"2024.07")+SUMIFS(데이터_품목별!$H$3:$H$2984,데이터_품목별!$E$3:$E$2984,"79",데이터_품목별!$A$3:$A$2984,"2024.07")+SUMIFS(데이터_품목별!$H$3:$H$2984,데이터_품목별!$E$3:$E$2984,"80",데이터_품목별!$A$3:$A$2984,"2024.07")+SUMIFS(데이터_품목별!$H$3:$H$2984,데이터_품목별!$E$3:$E$2984,"81",데이터_품목별!$A$3:$A$2984,"2024.07")+SUMIFS(데이터_품목별!$H$3:$H$2984,데이터_품목별!$E$3:$E$2984,"82",데이터_품목별!$A$3:$A$2984,"2024.07")+SUMIFS(데이터_품목별!$H$3:$H$2984,데이터_품목별!$E$3:$E$2984,"83",데이터_품목별!$A$3:$A$2984,"2024.07")</f>
        <v>4576561</v>
      </c>
      <c r="J220" s="55" t="n">
        <f aca="false">SUMIFS(데이터_품목별!$H$3:$H$2984,데이터_품목별!$E$3:$E$2984,"72",데이터_품목별!$A$3:$A$2984,"2024.08")+SUMIFS(데이터_품목별!$H$3:$H$2984,데이터_품목별!$E$3:$E$2984,"73",데이터_품목별!$A$3:$A$2984,"2024.08")+SUMIFS(데이터_품목별!$H$3:$H$2984,데이터_품목별!$E$3:$E$2984,"74",데이터_품목별!$A$3:$A$2984,"2024.08")+SUMIFS(데이터_품목별!$H$3:$H$2984,데이터_품목별!$E$3:$E$2984,"75",데이터_품목별!$A$3:$A$2984,"2024.08")+SUMIFS(데이터_품목별!$H$3:$H$2984,데이터_품목별!$E$3:$E$2984,"76",데이터_품목별!$A$3:$A$2984,"2024.08")+SUMIFS(데이터_품목별!$H$3:$H$2984,데이터_품목별!$E$3:$E$2984,"78",데이터_품목별!$A$3:$A$2984,"2024.08")+SUMIFS(데이터_품목별!$H$3:$H$2984,데이터_품목별!$E$3:$E$2984,"79",데이터_품목별!$A$3:$A$2984,"2024.08")+SUMIFS(데이터_품목별!$H$3:$H$2984,데이터_품목별!$E$3:$E$2984,"80",데이터_품목별!$A$3:$A$2984,"2024.08")+SUMIFS(데이터_품목별!$H$3:$H$2984,데이터_품목별!$E$3:$E$2984,"81",데이터_품목별!$A$3:$A$2984,"2024.08")+SUMIFS(데이터_품목별!$H$3:$H$2984,데이터_품목별!$E$3:$E$2984,"82",데이터_품목별!$A$3:$A$2984,"2024.08")+SUMIFS(데이터_품목별!$H$3:$H$2984,데이터_품목별!$E$3:$E$2984,"83",데이터_품목별!$A$3:$A$2984,"2024.08")</f>
        <v>4402896</v>
      </c>
      <c r="K220" s="55" t="n">
        <f aca="false">SUMIFS(데이터_품목별!$H$3:$H$2984,데이터_품목별!$E$3:$E$2984,"72",데이터_품목별!$A$3:$A$2984,"2024.09")+SUMIFS(데이터_품목별!$H$3:$H$2984,데이터_품목별!$E$3:$E$2984,"73",데이터_품목별!$A$3:$A$2984,"2024.09")+SUMIFS(데이터_품목별!$H$3:$H$2984,데이터_품목별!$E$3:$E$2984,"74",데이터_품목별!$A$3:$A$2984,"2024.09")+SUMIFS(데이터_품목별!$H$3:$H$2984,데이터_품목별!$E$3:$E$2984,"75",데이터_품목별!$A$3:$A$2984,"2024.09")+SUMIFS(데이터_품목별!$H$3:$H$2984,데이터_품목별!$E$3:$E$2984,"76",데이터_품목별!$A$3:$A$2984,"2024.09")+SUMIFS(데이터_품목별!$H$3:$H$2984,데이터_품목별!$E$3:$E$2984,"78",데이터_품목별!$A$3:$A$2984,"2024.09")+SUMIFS(데이터_품목별!$H$3:$H$2984,데이터_품목별!$E$3:$E$2984,"79",데이터_품목별!$A$3:$A$2984,"2024.09")+SUMIFS(데이터_품목별!$H$3:$H$2984,데이터_품목별!$E$3:$E$2984,"80",데이터_품목별!$A$3:$A$2984,"2024.09")+SUMIFS(데이터_품목별!$H$3:$H$2984,데이터_품목별!$E$3:$E$2984,"81",데이터_품목별!$A$3:$A$2984,"2024.09")+SUMIFS(데이터_품목별!$H$3:$H$2984,데이터_품목별!$E$3:$E$2984,"82",데이터_품목별!$A$3:$A$2984,"2024.09")+SUMIFS(데이터_품목별!$H$3:$H$2984,데이터_품목별!$E$3:$E$2984,"83",데이터_품목별!$A$3:$A$2984,"2024.09")</f>
        <v>4268197</v>
      </c>
      <c r="L220" s="55" t="n">
        <f aca="false">SUMIFS(데이터_품목별!$H$3:$H$2984,데이터_품목별!$E$3:$E$2984,"72",데이터_품목별!$A$3:$A$2984,"2024.10")+SUMIFS(데이터_품목별!$H$3:$H$2984,데이터_품목별!$E$3:$E$2984,"73",데이터_품목별!$A$3:$A$2984,"2024.10")+SUMIFS(데이터_품목별!$H$3:$H$2984,데이터_품목별!$E$3:$E$2984,"74",데이터_품목별!$A$3:$A$2984,"2024.10")+SUMIFS(데이터_품목별!$H$3:$H$2984,데이터_품목별!$E$3:$E$2984,"75",데이터_품목별!$A$3:$A$2984,"2024.10")+SUMIFS(데이터_품목별!$H$3:$H$2984,데이터_품목별!$E$3:$E$2984,"76",데이터_품목별!$A$3:$A$2984,"2024.10")+SUMIFS(데이터_품목별!$H$3:$H$2984,데이터_품목별!$E$3:$E$2984,"78",데이터_품목별!$A$3:$A$2984,"2024.10")+SUMIFS(데이터_품목별!$H$3:$H$2984,데이터_품목별!$E$3:$E$2984,"79",데이터_품목별!$A$3:$A$2984,"2024.10")+SUMIFS(데이터_품목별!$H$3:$H$2984,데이터_품목별!$E$3:$E$2984,"80",데이터_품목별!$A$3:$A$2984,"2024.10")+SUMIFS(데이터_품목별!$H$3:$H$2984,데이터_품목별!$E$3:$E$2984,"81",데이터_품목별!$A$3:$A$2984,"2024.10")+SUMIFS(데이터_품목별!$H$3:$H$2984,데이터_품목별!$E$3:$E$2984,"82",데이터_품목별!$A$3:$A$2984,"2024.10")+SUMIFS(데이터_품목별!$H$3:$H$2984,데이터_품목별!$E$3:$E$2984,"83",데이터_품목별!$A$3:$A$2984,"2024.10")</f>
        <v>4451835</v>
      </c>
      <c r="M220" s="55" t="n">
        <f aca="false">SUMIFS(데이터_품목별!$H$3:$H$2984,데이터_품목별!$E$3:$E$2984,"72",데이터_품목별!$A$3:$A$2984,"2024.11")+SUMIFS(데이터_품목별!$H$3:$H$2984,데이터_품목별!$E$3:$E$2984,"73",데이터_품목별!$A$3:$A$2984,"2024.11")+SUMIFS(데이터_품목별!$H$3:$H$2984,데이터_품목별!$E$3:$E$2984,"74",데이터_품목별!$A$3:$A$2984,"2024.11")+SUMIFS(데이터_품목별!$H$3:$H$2984,데이터_품목별!$E$3:$E$2984,"75",데이터_품목별!$A$3:$A$2984,"2024.11")+SUMIFS(데이터_품목별!$H$3:$H$2984,데이터_품목별!$E$3:$E$2984,"76",데이터_품목별!$A$3:$A$2984,"2024.11")+SUMIFS(데이터_품목별!$H$3:$H$2984,데이터_품목별!$E$3:$E$2984,"78",데이터_품목별!$A$3:$A$2984,"2024.11")+SUMIFS(데이터_품목별!$H$3:$H$2984,데이터_품목별!$E$3:$E$2984,"79",데이터_품목별!$A$3:$A$2984,"2024.11")+SUMIFS(데이터_품목별!$H$3:$H$2984,데이터_품목별!$E$3:$E$2984,"80",데이터_품목별!$A$3:$A$2984,"2024.11")+SUMIFS(데이터_품목별!$H$3:$H$2984,데이터_품목별!$E$3:$E$2984,"81",데이터_품목별!$A$3:$A$2984,"2024.11")+SUMIFS(데이터_품목별!$H$3:$H$2984,데이터_품목별!$E$3:$E$2984,"82",데이터_품목별!$A$3:$A$2984,"2024.11")+SUMIFS(데이터_품목별!$H$3:$H$2984,데이터_품목별!$E$3:$E$2984,"83",데이터_품목별!$A$3:$A$2984,"2024.11")</f>
        <v>4177038</v>
      </c>
      <c r="N220" s="55" t="n">
        <f aca="false">SUMIFS(데이터_품목별!$H$3:$H$2984,데이터_품목별!$E$3:$E$2984,"72",데이터_품목별!$A$3:$A$2984,"2024.12")+SUMIFS(데이터_품목별!$H$3:$H$2984,데이터_품목별!$E$3:$E$2984,"73",데이터_품목별!$A$3:$A$2984,"2024.12")+SUMIFS(데이터_품목별!$H$3:$H$2984,데이터_품목별!$E$3:$E$2984,"74",데이터_품목별!$A$3:$A$2984,"2024.12")+SUMIFS(데이터_품목별!$H$3:$H$2984,데이터_품목별!$E$3:$E$2984,"75",데이터_품목별!$A$3:$A$2984,"2024.12")+SUMIFS(데이터_품목별!$H$3:$H$2984,데이터_품목별!$E$3:$E$2984,"76",데이터_품목별!$A$3:$A$2984,"2024.12")+SUMIFS(데이터_품목별!$H$3:$H$2984,데이터_품목별!$E$3:$E$2984,"78",데이터_품목별!$A$3:$A$2984,"2024.12")+SUMIFS(데이터_품목별!$H$3:$H$2984,데이터_품목별!$E$3:$E$2984,"79",데이터_품목별!$A$3:$A$2984,"2024.12")+SUMIFS(데이터_품목별!$H$3:$H$2984,데이터_품목별!$E$3:$E$2984,"80",데이터_품목별!$A$3:$A$2984,"2024.12")+SUMIFS(데이터_품목별!$H$3:$H$2984,데이터_품목별!$E$3:$E$2984,"81",데이터_품목별!$A$3:$A$2984,"2024.12")+SUMIFS(데이터_품목별!$H$3:$H$2984,데이터_품목별!$E$3:$E$2984,"82",데이터_품목별!$A$3:$A$2984,"2024.12")+SUMIFS(데이터_품목별!$H$3:$H$2984,데이터_품목별!$E$3:$E$2984,"83",데이터_품목별!$A$3:$A$2984,"2024.12")</f>
        <v>4491229</v>
      </c>
      <c r="O220" s="55" t="n">
        <f aca="false">SUMIFS(데이터_품목별!$H$3:$H$2984,데이터_품목별!$E$3:$E$2984,"72",데이터_품목별!$A$3:$A$2984,"2025.01")+SUMIFS(데이터_품목별!$H$3:$H$2984,데이터_품목별!$E$3:$E$2984,"73",데이터_품목별!$A$3:$A$2984,"2025.01")+SUMIFS(데이터_품목별!$H$3:$H$2984,데이터_품목별!$E$3:$E$2984,"74",데이터_품목별!$A$3:$A$2984,"2025.01")+SUMIFS(데이터_품목별!$H$3:$H$2984,데이터_품목별!$E$3:$E$2984,"75",데이터_품목별!$A$3:$A$2984,"2025.01")+SUMIFS(데이터_품목별!$H$3:$H$2984,데이터_품목별!$E$3:$E$2984,"76",데이터_품목별!$A$3:$A$2984,"2025.01")+SUMIFS(데이터_품목별!$H$3:$H$2984,데이터_품목별!$E$3:$E$2984,"78",데이터_품목별!$A$3:$A$2984,"2025.01")+SUMIFS(데이터_품목별!$H$3:$H$2984,데이터_품목별!$E$3:$E$2984,"79",데이터_품목별!$A$3:$A$2984,"2025.01")+SUMIFS(데이터_품목별!$H$3:$H$2984,데이터_품목별!$E$3:$E$2984,"80",데이터_품목별!$A$3:$A$2984,"2025.01")+SUMIFS(데이터_품목별!$H$3:$H$2984,데이터_품목별!$E$3:$E$2984,"81",데이터_품목별!$A$3:$A$2984,"2025.01")+SUMIFS(데이터_품목별!$H$3:$H$2984,데이터_품목별!$E$3:$E$2984,"82",데이터_품목별!$A$3:$A$2984,"2025.01")+SUMIFS(데이터_품목별!$H$3:$H$2984,데이터_품목별!$E$3:$E$2984,"83",데이터_품목별!$A$3:$A$2984,"2025.01")</f>
        <v>3993646</v>
      </c>
      <c r="P220" s="55" t="n">
        <f aca="false">SUMIFS(데이터_품목별!$H$3:$H$2984,데이터_품목별!$E$3:$E$2984,"72",데이터_품목별!$A$3:$A$2984,"2025.02")+SUMIFS(데이터_품목별!$H$3:$H$2984,데이터_품목별!$E$3:$E$2984,"73",데이터_품목별!$A$3:$A$2984,"2025.02")+SUMIFS(데이터_품목별!$H$3:$H$2984,데이터_품목별!$E$3:$E$2984,"74",데이터_품목별!$A$3:$A$2984,"2025.02")+SUMIFS(데이터_품목별!$H$3:$H$2984,데이터_품목별!$E$3:$E$2984,"75",데이터_품목별!$A$3:$A$2984,"2025.02")+SUMIFS(데이터_품목별!$H$3:$H$2984,데이터_품목별!$E$3:$E$2984,"76",데이터_품목별!$A$3:$A$2984,"2025.02")+SUMIFS(데이터_품목별!$H$3:$H$2984,데이터_품목별!$E$3:$E$2984,"78",데이터_품목별!$A$3:$A$2984,"2025.02")+SUMIFS(데이터_품목별!$H$3:$H$2984,데이터_품목별!$E$3:$E$2984,"79",데이터_품목별!$A$3:$A$2984,"2025.02")+SUMIFS(데이터_품목별!$H$3:$H$2984,데이터_품목별!$E$3:$E$2984,"80",데이터_품목별!$A$3:$A$2984,"2025.02")+SUMIFS(데이터_품목별!$H$3:$H$2984,데이터_품목별!$E$3:$E$2984,"81",데이터_품목별!$A$3:$A$2984,"2025.02")+SUMIFS(데이터_품목별!$H$3:$H$2984,데이터_품목별!$E$3:$E$2984,"82",데이터_품목별!$A$3:$A$2984,"2025.02")+SUMIFS(데이터_품목별!$H$3:$H$2984,데이터_품목별!$E$3:$E$2984,"83",데이터_품목별!$A$3:$A$2984,"2025.02")</f>
        <v>4016474</v>
      </c>
      <c r="Q220" s="55" t="n">
        <f aca="false">SUMIFS(데이터_품목별!$H$3:$H$2984,데이터_품목별!$E$3:$E$2984,"72",데이터_품목별!$A$3:$A$2984,"2025.03")+SUMIFS(데이터_품목별!$H$3:$H$2984,데이터_품목별!$E$3:$E$2984,"73",데이터_품목별!$A$3:$A$2984,"2025.03")+SUMIFS(데이터_품목별!$H$3:$H$2984,데이터_품목별!$E$3:$E$2984,"74",데이터_품목별!$A$3:$A$2984,"2025.03")+SUMIFS(데이터_품목별!$H$3:$H$2984,데이터_품목별!$E$3:$E$2984,"75",데이터_품목별!$A$3:$A$2984,"2025.03")+SUMIFS(데이터_품목별!$H$3:$H$2984,데이터_품목별!$E$3:$E$2984,"76",데이터_품목별!$A$3:$A$2984,"2025.03")+SUMIFS(데이터_품목별!$H$3:$H$2984,데이터_품목별!$E$3:$E$2984,"78",데이터_품목별!$A$3:$A$2984,"2025.03")+SUMIFS(데이터_품목별!$H$3:$H$2984,데이터_품목별!$E$3:$E$2984,"79",데이터_품목별!$A$3:$A$2984,"2025.03")+SUMIFS(데이터_품목별!$H$3:$H$2984,데이터_품목별!$E$3:$E$2984,"80",데이터_품목별!$A$3:$A$2984,"2025.03")+SUMIFS(데이터_품목별!$H$3:$H$2984,데이터_품목별!$E$3:$E$2984,"81",데이터_품목별!$A$3:$A$2984,"2025.03")+SUMIFS(데이터_품목별!$H$3:$H$2984,데이터_품목별!$E$3:$E$2984,"82",데이터_품목별!$A$3:$A$2984,"2025.03")+SUMIFS(데이터_품목별!$H$3:$H$2984,데이터_품목별!$E$3:$E$2984,"83",데이터_품목별!$A$3:$A$2984,"2025.03")</f>
        <v>4112252</v>
      </c>
      <c r="R220" s="55" t="n">
        <f aca="false">SUMIFS(데이터_품목별!$H$3:$H$2984,데이터_품목별!$E$3:$E$2984,"72",데이터_품목별!$A$3:$A$2984,"2025.04")+SUMIFS(데이터_품목별!$H$3:$H$2984,데이터_품목별!$E$3:$E$2984,"73",데이터_품목별!$A$3:$A$2984,"2025.04")+SUMIFS(데이터_품목별!$H$3:$H$2984,데이터_품목별!$E$3:$E$2984,"74",데이터_품목별!$A$3:$A$2984,"2025.04")+SUMIFS(데이터_품목별!$H$3:$H$2984,데이터_품목별!$E$3:$E$2984,"75",데이터_품목별!$A$3:$A$2984,"2025.04")+SUMIFS(데이터_품목별!$H$3:$H$2984,데이터_품목별!$E$3:$E$2984,"76",데이터_품목별!$A$3:$A$2984,"2025.04")+SUMIFS(데이터_품목별!$H$3:$H$2984,데이터_품목별!$E$3:$E$2984,"78",데이터_품목별!$A$3:$A$2984,"2025.04")+SUMIFS(데이터_품목별!$H$3:$H$2984,데이터_품목별!$E$3:$E$2984,"79",데이터_품목별!$A$3:$A$2984,"2025.04")+SUMIFS(데이터_품목별!$H$3:$H$2984,데이터_품목별!$E$3:$E$2984,"80",데이터_품목별!$A$3:$A$2984,"2025.04")+SUMIFS(데이터_품목별!$H$3:$H$2984,데이터_품목별!$E$3:$E$2984,"81",데이터_품목별!$A$3:$A$2984,"2025.04")+SUMIFS(데이터_품목별!$H$3:$H$2984,데이터_품목별!$E$3:$E$2984,"82",데이터_품목별!$A$3:$A$2984,"2025.04")+SUMIFS(데이터_품목별!$H$3:$H$2984,데이터_품목별!$E$3:$E$2984,"83",데이터_품목별!$A$3:$A$2984,"2025.04")</f>
        <v>4661331</v>
      </c>
      <c r="S220" s="55" t="n">
        <f aca="false">SUMIFS(데이터_품목별!$H$3:$H$2984,데이터_품목별!$E$3:$E$2984,"72",데이터_품목별!$A$3:$A$2984,"2025.05")+SUMIFS(데이터_품목별!$H$3:$H$2984,데이터_품목별!$E$3:$E$2984,"73",데이터_품목별!$A$3:$A$2984,"2025.05")+SUMIFS(데이터_품목별!$H$3:$H$2984,데이터_품목별!$E$3:$E$2984,"74",데이터_품목별!$A$3:$A$2984,"2025.05")+SUMIFS(데이터_품목별!$H$3:$H$2984,데이터_품목별!$E$3:$E$2984,"75",데이터_품목별!$A$3:$A$2984,"2025.05")+SUMIFS(데이터_품목별!$H$3:$H$2984,데이터_품목별!$E$3:$E$2984,"76",데이터_품목별!$A$3:$A$2984,"2025.05")+SUMIFS(데이터_품목별!$H$3:$H$2984,데이터_품목별!$E$3:$E$2984,"78",데이터_품목별!$A$3:$A$2984,"2025.05")+SUMIFS(데이터_품목별!$H$3:$H$2984,데이터_품목별!$E$3:$E$2984,"79",데이터_품목별!$A$3:$A$2984,"2025.05")+SUMIFS(데이터_품목별!$H$3:$H$2984,데이터_품목별!$E$3:$E$2984,"80",데이터_품목별!$A$3:$A$2984,"2025.05")+SUMIFS(데이터_품목별!$H$3:$H$2984,데이터_품목별!$E$3:$E$2984,"81",데이터_품목별!$A$3:$A$2984,"2025.05")+SUMIFS(데이터_품목별!$H$3:$H$2984,데이터_품목별!$E$3:$E$2984,"82",데이터_품목별!$A$3:$A$2984,"2025.05")+SUMIFS(데이터_품목별!$H$3:$H$2984,데이터_품목별!$E$3:$E$2984,"83",데이터_품목별!$A$3:$A$2984,"2025.05")</f>
        <v>4120140</v>
      </c>
      <c r="T220" s="55" t="n">
        <f aca="false">SUMIFS(데이터_품목별!$H$3:$H$2984,데이터_품목별!$E$3:$E$2984,"72",데이터_품목별!$A$3:$A$2984,"2025.06")+SUMIFS(데이터_품목별!$H$3:$H$2984,데이터_품목별!$E$3:$E$2984,"73",데이터_품목별!$A$3:$A$2984,"2025.06")+SUMIFS(데이터_품목별!$H$3:$H$2984,데이터_품목별!$E$3:$E$2984,"74",데이터_품목별!$A$3:$A$2984,"2025.06")+SUMIFS(데이터_품목별!$H$3:$H$2984,데이터_품목별!$E$3:$E$2984,"75",데이터_품목별!$A$3:$A$2984,"2025.06")+SUMIFS(데이터_품목별!$H$3:$H$2984,데이터_품목별!$E$3:$E$2984,"76",데이터_품목별!$A$3:$A$2984,"2025.06")+SUMIFS(데이터_품목별!$H$3:$H$2984,데이터_품목별!$E$3:$E$2984,"78",데이터_품목별!$A$3:$A$2984,"2025.06")+SUMIFS(데이터_품목별!$H$3:$H$2984,데이터_품목별!$E$3:$E$2984,"79",데이터_품목별!$A$3:$A$2984,"2025.06")+SUMIFS(데이터_품목별!$H$3:$H$2984,데이터_품목별!$E$3:$E$2984,"80",데이터_품목별!$A$3:$A$2984,"2025.06")+SUMIFS(데이터_품목별!$H$3:$H$2984,데이터_품목별!$E$3:$E$2984,"81",데이터_품목별!$A$3:$A$2984,"2025.06")+SUMIFS(데이터_품목별!$H$3:$H$2984,데이터_품목별!$E$3:$E$2984,"82",데이터_품목별!$A$3:$A$2984,"2025.06")+SUMIFS(데이터_품목별!$H$3:$H$2984,데이터_품목별!$E$3:$E$2984,"83",데이터_품목별!$A$3:$A$2984,"2025.06")</f>
        <v>4011324</v>
      </c>
      <c r="U220" s="55" t="n">
        <f aca="false">SUMIFS(데이터_품목별!$H$3:$H$2984,데이터_품목별!$E$3:$E$2984,"72",데이터_품목별!$A$3:$A$2984,"2025.07")+SUMIFS(데이터_품목별!$H$3:$H$2984,데이터_품목별!$E$3:$E$2984,"73",데이터_품목별!$A$3:$A$2984,"2025.07")+SUMIFS(데이터_품목별!$H$3:$H$2984,데이터_품목별!$E$3:$E$2984,"74",데이터_품목별!$A$3:$A$2984,"2025.07")+SUMIFS(데이터_품목별!$H$3:$H$2984,데이터_품목별!$E$3:$E$2984,"75",데이터_품목별!$A$3:$A$2984,"2025.07")+SUMIFS(데이터_품목별!$H$3:$H$2984,데이터_품목별!$E$3:$E$2984,"76",데이터_품목별!$A$3:$A$2984,"2025.07")+SUMIFS(데이터_품목별!$H$3:$H$2984,데이터_품목별!$E$3:$E$2984,"78",데이터_품목별!$A$3:$A$2984,"2025.07")+SUMIFS(데이터_품목별!$H$3:$H$2984,데이터_품목별!$E$3:$E$2984,"79",데이터_품목별!$A$3:$A$2984,"2025.07")+SUMIFS(데이터_품목별!$H$3:$H$2984,데이터_품목별!$E$3:$E$2984,"80",데이터_품목별!$A$3:$A$2984,"2025.07")+SUMIFS(데이터_품목별!$H$3:$H$2984,데이터_품목별!$E$3:$E$2984,"81",데이터_품목별!$A$3:$A$2984,"2025.07")+SUMIFS(데이터_품목별!$H$3:$H$2984,데이터_품목별!$E$3:$E$2984,"82",데이터_품목별!$A$3:$A$2984,"2025.07")+SUMIFS(데이터_품목별!$H$3:$H$2984,데이터_품목별!$E$3:$E$2984,"83",데이터_품목별!$A$3:$A$2984,"2025.07")</f>
        <v>4603311</v>
      </c>
      <c r="V220" s="55" t="n">
        <f aca="false">SUMIFS(데이터_품목별!$H$3:$H$2984,데이터_품목별!$E$3:$E$2984,"72",데이터_품목별!$A$3:$A$2984,"2025.08")+SUMIFS(데이터_품목별!$H$3:$H$2984,데이터_품목별!$E$3:$E$2984,"73",데이터_품목별!$A$3:$A$2984,"2025.08")+SUMIFS(데이터_품목별!$H$3:$H$2984,데이터_품목별!$E$3:$E$2984,"74",데이터_품목별!$A$3:$A$2984,"2025.08")+SUMIFS(데이터_품목별!$H$3:$H$2984,데이터_품목별!$E$3:$E$2984,"75",데이터_품목별!$A$3:$A$2984,"2025.08")+SUMIFS(데이터_품목별!$H$3:$H$2984,데이터_품목별!$E$3:$E$2984,"76",데이터_품목별!$A$3:$A$2984,"2025.08")+SUMIFS(데이터_품목별!$H$3:$H$2984,데이터_품목별!$E$3:$E$2984,"78",데이터_품목별!$A$3:$A$2984,"2025.08")+SUMIFS(데이터_품목별!$H$3:$H$2984,데이터_품목별!$E$3:$E$2984,"79",데이터_품목별!$A$3:$A$2984,"2025.08")+SUMIFS(데이터_품목별!$H$3:$H$2984,데이터_품목별!$E$3:$E$2984,"80",데이터_품목별!$A$3:$A$2984,"2025.08")+SUMIFS(데이터_품목별!$H$3:$H$2984,데이터_품목별!$E$3:$E$2984,"81",데이터_품목별!$A$3:$A$2984,"2025.08")+SUMIFS(데이터_품목별!$H$3:$H$2984,데이터_품목별!$E$3:$E$2984,"82",데이터_품목별!$A$3:$A$2984,"2025.08")+SUMIFS(데이터_품목별!$H$3:$H$2984,데이터_품목별!$E$3:$E$2984,"83",데이터_품목별!$A$3:$A$2984,"2025.08")</f>
        <v>3934505</v>
      </c>
      <c r="W220" s="55" t="n">
        <f aca="false">SUMIFS(데이터_품목별!$H$3:$H$2984,데이터_품목별!$E$3:$E$2984,"72",데이터_품목별!$A$3:$A$2984,"2025.09")+SUMIFS(데이터_품목별!$H$3:$H$2984,데이터_품목별!$E$3:$E$2984,"73",데이터_품목별!$A$3:$A$2984,"2025.09")+SUMIFS(데이터_품목별!$H$3:$H$2984,데이터_품목별!$E$3:$E$2984,"74",데이터_품목별!$A$3:$A$2984,"2025.09")+SUMIFS(데이터_품목별!$H$3:$H$2984,데이터_품목별!$E$3:$E$2984,"75",데이터_품목별!$A$3:$A$2984,"2025.09")+SUMIFS(데이터_품목별!$H$3:$H$2984,데이터_품목별!$E$3:$E$2984,"76",데이터_품목별!$A$3:$A$2984,"2025.09")+SUMIFS(데이터_품목별!$H$3:$H$2984,데이터_품목별!$E$3:$E$2984,"78",데이터_품목별!$A$3:$A$2984,"2025.09")+SUMIFS(데이터_품목별!$H$3:$H$2984,데이터_품목별!$E$3:$E$2984,"79",데이터_품목별!$A$3:$A$2984,"2025.09")+SUMIFS(데이터_품목별!$H$3:$H$2984,데이터_품목별!$E$3:$E$2984,"80",데이터_품목별!$A$3:$A$2984,"2025.09")+SUMIFS(데이터_품목별!$H$3:$H$2984,데이터_품목별!$E$3:$E$2984,"81",데이터_품목별!$A$3:$A$2984,"2025.09")+SUMIFS(데이터_품목별!$H$3:$H$2984,데이터_품목별!$E$3:$E$2984,"82",데이터_품목별!$A$3:$A$2984,"2025.09")+SUMIFS(데이터_품목별!$H$3:$H$2984,데이터_품목별!$E$3:$E$2984,"83",데이터_품목별!$A$3:$A$2984,"2025.09")</f>
        <v>4357043</v>
      </c>
      <c r="X220" s="55" t="n">
        <f aca="false">SUMIFS(데이터_품목별!$H$3:$H$2984,데이터_품목별!$E$3:$E$2984,"72",데이터_품목별!$A$3:$A$2984,"2025.10")+SUMIFS(데이터_품목별!$H$3:$H$2984,데이터_품목별!$E$3:$E$2984,"73",데이터_품목별!$A$3:$A$2984,"2025.10")+SUMIFS(데이터_품목별!$H$3:$H$2984,데이터_품목별!$E$3:$E$2984,"74",데이터_품목별!$A$3:$A$2984,"2025.10")+SUMIFS(데이터_품목별!$H$3:$H$2984,데이터_품목별!$E$3:$E$2984,"75",데이터_품목별!$A$3:$A$2984,"2025.10")+SUMIFS(데이터_품목별!$H$3:$H$2984,데이터_품목별!$E$3:$E$2984,"76",데이터_품목별!$A$3:$A$2984,"2025.10")+SUMIFS(데이터_품목별!$H$3:$H$2984,데이터_품목별!$E$3:$E$2984,"78",데이터_품목별!$A$3:$A$2984,"2025.10")+SUMIFS(데이터_품목별!$H$3:$H$2984,데이터_품목별!$E$3:$E$2984,"79",데이터_품목별!$A$3:$A$2984,"2025.10")+SUMIFS(데이터_품목별!$H$3:$H$2984,데이터_품목별!$E$3:$E$2984,"80",데이터_품목별!$A$3:$A$2984,"2025.10")+SUMIFS(데이터_품목별!$H$3:$H$2984,데이터_품목별!$E$3:$E$2984,"81",데이터_품목별!$A$3:$A$2984,"2025.10")+SUMIFS(데이터_품목별!$H$3:$H$2984,데이터_품목별!$E$3:$E$2984,"82",데이터_품목별!$A$3:$A$2984,"2025.10")+SUMIFS(데이터_품목별!$H$3:$H$2984,데이터_품목별!$E$3:$E$2984,"83",데이터_품목별!$A$3:$A$2984,"2025.10")</f>
        <v>3825568</v>
      </c>
      <c r="Y220" s="55" t="n">
        <f aca="false">SUMIFS(데이터_품목별!$H$3:$H$2984,데이터_품목별!$E$3:$E$2984,"72",데이터_품목별!$A$3:$A$2984,"2025.11")+SUMIFS(데이터_품목별!$H$3:$H$2984,데이터_품목별!$E$3:$E$2984,"73",데이터_품목별!$A$3:$A$2984,"2025.11")+SUMIFS(데이터_품목별!$H$3:$H$2984,데이터_품목별!$E$3:$E$2984,"74",데이터_품목별!$A$3:$A$2984,"2025.11")+SUMIFS(데이터_품목별!$H$3:$H$2984,데이터_품목별!$E$3:$E$2984,"75",데이터_품목별!$A$3:$A$2984,"2025.11")+SUMIFS(데이터_품목별!$H$3:$H$2984,데이터_품목별!$E$3:$E$2984,"76",데이터_품목별!$A$3:$A$2984,"2025.11")+SUMIFS(데이터_품목별!$H$3:$H$2984,데이터_품목별!$E$3:$E$2984,"78",데이터_품목별!$A$3:$A$2984,"2025.11")+SUMIFS(데이터_품목별!$H$3:$H$2984,데이터_품목별!$E$3:$E$2984,"79",데이터_품목별!$A$3:$A$2984,"2025.11")+SUMIFS(데이터_품목별!$H$3:$H$2984,데이터_품목별!$E$3:$E$2984,"80",데이터_품목별!$A$3:$A$2984,"2025.11")+SUMIFS(데이터_품목별!$H$3:$H$2984,데이터_품목별!$E$3:$E$2984,"81",데이터_품목별!$A$3:$A$2984,"2025.11")+SUMIFS(데이터_품목별!$H$3:$H$2984,데이터_품목별!$E$3:$E$2984,"82",데이터_품목별!$A$3:$A$2984,"2025.11")+SUMIFS(데이터_품목별!$H$3:$H$2984,데이터_품목별!$E$3:$E$2984,"83",데이터_품목별!$A$3:$A$2984,"2025.11")</f>
        <v>3886140</v>
      </c>
      <c r="Z220" s="55" t="n">
        <f aca="false">SUMIFS(데이터_품목별!$H$3:$H$2984,데이터_품목별!$E$3:$E$2984,"72",데이터_품목별!$A$3:$A$2984,"2025.12")+SUMIFS(데이터_품목별!$H$3:$H$2984,데이터_품목별!$E$3:$E$2984,"73",데이터_품목별!$A$3:$A$2984,"2025.12")+SUMIFS(데이터_품목별!$H$3:$H$2984,데이터_품목별!$E$3:$E$2984,"74",데이터_품목별!$A$3:$A$2984,"2025.12")+SUMIFS(데이터_품목별!$H$3:$H$2984,데이터_품목별!$E$3:$E$2984,"75",데이터_품목별!$A$3:$A$2984,"2025.12")+SUMIFS(데이터_품목별!$H$3:$H$2984,데이터_품목별!$E$3:$E$2984,"76",데이터_품목별!$A$3:$A$2984,"2025.12")+SUMIFS(데이터_품목별!$H$3:$H$2984,데이터_품목별!$E$3:$E$2984,"78",데이터_품목별!$A$3:$A$2984,"2025.12")+SUMIFS(데이터_품목별!$H$3:$H$2984,데이터_품목별!$E$3:$E$2984,"79",데이터_품목별!$A$3:$A$2984,"2025.12")+SUMIFS(데이터_품목별!$H$3:$H$2984,데이터_품목별!$E$3:$E$2984,"80",데이터_품목별!$A$3:$A$2984,"2025.12")+SUMIFS(데이터_품목별!$H$3:$H$2984,데이터_품목별!$E$3:$E$2984,"81",데이터_품목별!$A$3:$A$2984,"2025.12")+SUMIFS(데이터_품목별!$H$3:$H$2984,데이터_품목별!$E$3:$E$2984,"82",데이터_품목별!$A$3:$A$2984,"2025.12")+SUMIFS(데이터_품목별!$H$3:$H$2984,데이터_품목별!$E$3:$E$2984,"83",데이터_품목별!$A$3:$A$2984,"2025.12")</f>
        <v>4449063</v>
      </c>
      <c r="AA220" s="55" t="n">
        <f aca="false">SUMIFS(데이터_품목별!$H$3:$H$2984,데이터_품목별!$E$3:$E$2984,"72",데이터_품목별!$A$3:$A$2984,"2026.01")+SUMIFS(데이터_품목별!$H$3:$H$2984,데이터_품목별!$E$3:$E$2984,"73",데이터_품목별!$A$3:$A$2984,"2026.01")+SUMIFS(데이터_품목별!$H$3:$H$2984,데이터_품목별!$E$3:$E$2984,"74",데이터_품목별!$A$3:$A$2984,"2026.01")+SUMIFS(데이터_품목별!$H$3:$H$2984,데이터_품목별!$E$3:$E$2984,"75",데이터_품목별!$A$3:$A$2984,"2026.01")+SUMIFS(데이터_품목별!$H$3:$H$2984,데이터_품목별!$E$3:$E$2984,"76",데이터_품목별!$A$3:$A$2984,"2026.01")+SUMIFS(데이터_품목별!$H$3:$H$2984,데이터_품목별!$E$3:$E$2984,"78",데이터_품목별!$A$3:$A$2984,"2026.01")+SUMIFS(데이터_품목별!$H$3:$H$2984,데이터_품목별!$E$3:$E$2984,"79",데이터_품목별!$A$3:$A$2984,"2026.01")+SUMIFS(데이터_품목별!$H$3:$H$2984,데이터_품목별!$E$3:$E$2984,"80",데이터_품목별!$A$3:$A$2984,"2026.01")+SUMIFS(데이터_품목별!$H$3:$H$2984,데이터_품목별!$E$3:$E$2984,"81",데이터_품목별!$A$3:$A$2984,"2026.01")+SUMIFS(데이터_품목별!$H$3:$H$2984,데이터_품목별!$E$3:$E$2984,"82",데이터_품목별!$A$3:$A$2984,"2026.01")+SUMIFS(데이터_품목별!$H$3:$H$2984,데이터_품목별!$E$3:$E$2984,"83",데이터_품목별!$A$3:$A$2984,"2026.01")</f>
        <v>4421818</v>
      </c>
      <c r="AB220" s="55" t="n">
        <f aca="false">SUMIFS(데이터_품목별!$H$3:$H$2984,데이터_품목별!$E$3:$E$2984,"72",데이터_품목별!$A$3:$A$2984,"2026.02")+SUMIFS(데이터_품목별!$H$3:$H$2984,데이터_품목별!$E$3:$E$2984,"73",데이터_품목별!$A$3:$A$2984,"2026.02")+SUMIFS(데이터_품목별!$H$3:$H$2984,데이터_품목별!$E$3:$E$2984,"74",데이터_품목별!$A$3:$A$2984,"2026.02")+SUMIFS(데이터_품목별!$H$3:$H$2984,데이터_품목별!$E$3:$E$2984,"75",데이터_품목별!$A$3:$A$2984,"2026.02")+SUMIFS(데이터_품목별!$H$3:$H$2984,데이터_품목별!$E$3:$E$2984,"76",데이터_품목별!$A$3:$A$2984,"2026.02")+SUMIFS(데이터_품목별!$H$3:$H$2984,데이터_품목별!$E$3:$E$2984,"78",데이터_품목별!$A$3:$A$2984,"2026.02")+SUMIFS(데이터_품목별!$H$3:$H$2984,데이터_품목별!$E$3:$E$2984,"79",데이터_품목별!$A$3:$A$2984,"2026.02")+SUMIFS(데이터_품목별!$H$3:$H$2984,데이터_품목별!$E$3:$E$2984,"80",데이터_품목별!$A$3:$A$2984,"2026.02")+SUMIFS(데이터_품목별!$H$3:$H$2984,데이터_품목별!$E$3:$E$2984,"81",데이터_품목별!$A$3:$A$2984,"2026.02")+SUMIFS(데이터_품목별!$H$3:$H$2984,데이터_품목별!$E$3:$E$2984,"82",데이터_품목별!$A$3:$A$2984,"2026.02")+SUMIFS(데이터_품목별!$H$3:$H$2984,데이터_품목별!$E$3:$E$2984,"83",데이터_품목별!$A$3:$A$2984,"2026.02")</f>
        <v>3946569</v>
      </c>
      <c r="AC220" s="55" t="n">
        <f aca="false">SUMIFS(데이터_품목별!$H$3:$H$2984,데이터_품목별!$E$3:$E$2984,"72",데이터_품목별!$A$3:$A$2984,"2026.03")+SUMIFS(데이터_품목별!$H$3:$H$2984,데이터_품목별!$E$3:$E$2984,"73",데이터_품목별!$A$3:$A$2984,"2026.03")+SUMIFS(데이터_품목별!$H$3:$H$2984,데이터_품목별!$E$3:$E$2984,"74",데이터_품목별!$A$3:$A$2984,"2026.03")+SUMIFS(데이터_품목별!$H$3:$H$2984,데이터_품목별!$E$3:$E$2984,"75",데이터_품목별!$A$3:$A$2984,"2026.03")+SUMIFS(데이터_품목별!$H$3:$H$2984,데이터_품목별!$E$3:$E$2984,"76",데이터_품목별!$A$3:$A$2984,"2026.03")+SUMIFS(데이터_품목별!$H$3:$H$2984,데이터_품목별!$E$3:$E$2984,"78",데이터_품목별!$A$3:$A$2984,"2026.03")+SUMIFS(데이터_품목별!$H$3:$H$2984,데이터_품목별!$E$3:$E$2984,"79",데이터_품목별!$A$3:$A$2984,"2026.03")+SUMIFS(데이터_품목별!$H$3:$H$2984,데이터_품목별!$E$3:$E$2984,"80",데이터_품목별!$A$3:$A$2984,"2026.03")+SUMIFS(데이터_품목별!$H$3:$H$2984,데이터_품목별!$E$3:$E$2984,"81",데이터_품목별!$A$3:$A$2984,"2026.03")+SUMIFS(데이터_품목별!$H$3:$H$2984,데이터_품목별!$E$3:$E$2984,"82",데이터_품목별!$A$3:$A$2984,"2026.03")+SUMIFS(데이터_품목별!$H$3:$H$2984,데이터_품목별!$E$3:$E$2984,"83",데이터_품목별!$A$3:$A$2984,"2026.03")</f>
        <v>4423882</v>
      </c>
      <c r="AD220" s="55" t="n">
        <f aca="false">SUMIFS(데이터_품목별!$H$3:$H$2984,데이터_품목별!$E$3:$E$2984,"72",데이터_품목별!$A$3:$A$2984,"2026.04")+SUMIFS(데이터_품목별!$H$3:$H$2984,데이터_품목별!$E$3:$E$2984,"73",데이터_품목별!$A$3:$A$2984,"2026.04")+SUMIFS(데이터_품목별!$H$3:$H$2984,데이터_품목별!$E$3:$E$2984,"74",데이터_품목별!$A$3:$A$2984,"2026.04")+SUMIFS(데이터_품목별!$H$3:$H$2984,데이터_품목별!$E$3:$E$2984,"75",데이터_품목별!$A$3:$A$2984,"2026.04")+SUMIFS(데이터_품목별!$H$3:$H$2984,데이터_품목별!$E$3:$E$2984,"76",데이터_품목별!$A$3:$A$2984,"2026.04")+SUMIFS(데이터_품목별!$H$3:$H$2984,데이터_품목별!$E$3:$E$2984,"78",데이터_품목별!$A$3:$A$2984,"2026.04")+SUMIFS(데이터_품목별!$H$3:$H$2984,데이터_품목별!$E$3:$E$2984,"79",데이터_품목별!$A$3:$A$2984,"2026.04")+SUMIFS(데이터_품목별!$H$3:$H$2984,데이터_품목별!$E$3:$E$2984,"80",데이터_품목별!$A$3:$A$2984,"2026.04")+SUMIFS(데이터_품목별!$H$3:$H$2984,데이터_품목별!$E$3:$E$2984,"81",데이터_품목별!$A$3:$A$2984,"2026.04")+SUMIFS(데이터_품목별!$H$3:$H$2984,데이터_품목별!$E$3:$E$2984,"82",데이터_품목별!$A$3:$A$2984,"2026.04")+SUMIFS(데이터_품목별!$H$3:$H$2984,데이터_품목별!$E$3:$E$2984,"83",데이터_품목별!$A$3:$A$2984,"2026.04")</f>
        <v>4918769</v>
      </c>
      <c r="AE220" s="55" t="n">
        <f aca="false">SUMIFS(데이터_품목별!$H$3:$H$2984,데이터_품목별!$E$3:$E$2984,"72",데이터_품목별!$A$3:$A$2984,"2026.05")+SUMIFS(데이터_품목별!$H$3:$H$2984,데이터_품목별!$E$3:$E$2984,"73",데이터_품목별!$A$3:$A$2984,"2026.05")+SUMIFS(데이터_품목별!$H$3:$H$2984,데이터_품목별!$E$3:$E$2984,"74",데이터_품목별!$A$3:$A$2984,"2026.05")+SUMIFS(데이터_품목별!$H$3:$H$2984,데이터_품목별!$E$3:$E$2984,"75",데이터_품목별!$A$3:$A$2984,"2026.05")+SUMIFS(데이터_품목별!$H$3:$H$2984,데이터_품목별!$E$3:$E$2984,"76",데이터_품목별!$A$3:$A$2984,"2026.05")+SUMIFS(데이터_품목별!$H$3:$H$2984,데이터_품목별!$E$3:$E$2984,"78",데이터_품목별!$A$3:$A$2984,"2026.05")+SUMIFS(데이터_품목별!$H$3:$H$2984,데이터_품목별!$E$3:$E$2984,"79",데이터_품목별!$A$3:$A$2984,"2026.05")+SUMIFS(데이터_품목별!$H$3:$H$2984,데이터_품목별!$E$3:$E$2984,"80",데이터_품목별!$A$3:$A$2984,"2026.05")+SUMIFS(데이터_품목별!$H$3:$H$2984,데이터_품목별!$E$3:$E$2984,"81",데이터_품목별!$A$3:$A$2984,"2026.05")+SUMIFS(데이터_품목별!$H$3:$H$2984,데이터_품목별!$E$3:$E$2984,"82",데이터_품목별!$A$3:$A$2984,"2026.05")+SUMIFS(데이터_품목별!$H$3:$H$2984,데이터_품목별!$E$3:$E$2984,"83",데이터_품목별!$A$3:$A$2984,"2026.05")</f>
        <v>4602847</v>
      </c>
      <c r="AF220" s="55" t="n">
        <f aca="false">SUMIFS(데이터_품목별!$H$3:$H$2984,데이터_품목별!$E$3:$E$2984,"72",데이터_품목별!$A$3:$A$2984,"2026.06")+SUMIFS(데이터_품목별!$H$3:$H$2984,데이터_품목별!$E$3:$E$2984,"73",데이터_품목별!$A$3:$A$2984,"2026.06")+SUMIFS(데이터_품목별!$H$3:$H$2984,데이터_품목별!$E$3:$E$2984,"74",데이터_품목별!$A$3:$A$2984,"2026.06")+SUMIFS(데이터_품목별!$H$3:$H$2984,데이터_품목별!$E$3:$E$2984,"75",데이터_품목별!$A$3:$A$2984,"2026.06")+SUMIFS(데이터_품목별!$H$3:$H$2984,데이터_품목별!$E$3:$E$2984,"76",데이터_품목별!$A$3:$A$2984,"2026.06")+SUMIFS(데이터_품목별!$H$3:$H$2984,데이터_품목별!$E$3:$E$2984,"78",데이터_품목별!$A$3:$A$2984,"2026.06")+SUMIFS(데이터_품목별!$H$3:$H$2984,데이터_품목별!$E$3:$E$2984,"79",데이터_품목별!$A$3:$A$2984,"2026.06")+SUMIFS(데이터_품목별!$H$3:$H$2984,데이터_품목별!$E$3:$E$2984,"80",데이터_품목별!$A$3:$A$2984,"2026.06")+SUMIFS(데이터_품목별!$H$3:$H$2984,데이터_품목별!$E$3:$E$2984,"81",데이터_품목별!$A$3:$A$2984,"2026.06")+SUMIFS(데이터_품목별!$H$3:$H$2984,데이터_품목별!$E$3:$E$2984,"82",데이터_품목별!$A$3:$A$2984,"2026.06")+SUMIFS(데이터_품목별!$H$3:$H$2984,데이터_품목별!$E$3:$E$2984,"83",데이터_품목별!$A$3:$A$2984,"2026.06")</f>
        <v>4946824</v>
      </c>
      <c r="AG220" s="55" t="n">
        <f aca="false">SUMIFS(데이터_품목별!$H$3:$H$2984,데이터_품목별!$E$3:$E$2984,"72",데이터_품목별!$A$3:$A$2984,"2026.07")+SUMIFS(데이터_품목별!$H$3:$H$2984,데이터_품목별!$E$3:$E$2984,"73",데이터_품목별!$A$3:$A$2984,"2026.07")+SUMIFS(데이터_품목별!$H$3:$H$2984,데이터_품목별!$E$3:$E$2984,"74",데이터_품목별!$A$3:$A$2984,"2026.07")+SUMIFS(데이터_품목별!$H$3:$H$2984,데이터_품목별!$E$3:$E$2984,"75",데이터_품목별!$A$3:$A$2984,"2026.07")+SUMIFS(데이터_품목별!$H$3:$H$2984,데이터_품목별!$E$3:$E$2984,"76",데이터_품목별!$A$3:$A$2984,"2026.07")+SUMIFS(데이터_품목별!$H$3:$H$2984,데이터_품목별!$E$3:$E$2984,"78",데이터_품목별!$A$3:$A$2984,"2026.07")+SUMIFS(데이터_품목별!$H$3:$H$2984,데이터_품목별!$E$3:$E$2984,"79",데이터_품목별!$A$3:$A$2984,"2026.07")+SUMIFS(데이터_품목별!$H$3:$H$2984,데이터_품목별!$E$3:$E$2984,"80",데이터_품목별!$A$3:$A$2984,"2026.07")+SUMIFS(데이터_품목별!$H$3:$H$2984,데이터_품목별!$E$3:$E$2984,"81",데이터_품목별!$A$3:$A$2984,"2026.07")+SUMIFS(데이터_품목별!$H$3:$H$2984,데이터_품목별!$E$3:$E$2984,"82",데이터_품목별!$A$3:$A$2984,"2026.07")+SUMIFS(데이터_품목별!$H$3:$H$2984,데이터_품목별!$E$3:$E$2984,"83",데이터_품목별!$A$3:$A$2984,"2026.07")</f>
        <v>5172117</v>
      </c>
    </row>
    <row r="221" customFormat="false" ht="15" hidden="false" customHeight="true" outlineLevel="0" collapsed="false">
      <c r="A221" s="53" t="s">
        <v>19830</v>
      </c>
      <c r="B221" s="46" t="s">
        <v>19831</v>
      </c>
      <c r="C221" s="55" t="n">
        <f aca="false">SUMIFS(데이터_품목별!$H$3:$H$2984,데이터_품목별!$E$3:$E$2984,"84",데이터_품목별!$A$3:$A$2984,"2024.01")+SUMIFS(데이터_품목별!$H$3:$H$2984,데이터_품목별!$E$3:$E$2984,"85",데이터_품목별!$A$3:$A$2984,"2024.01")</f>
        <v>21073520</v>
      </c>
      <c r="D221" s="55" t="n">
        <f aca="false">SUMIFS(데이터_품목별!$H$3:$H$2984,데이터_품목별!$E$3:$E$2984,"84",데이터_품목별!$A$3:$A$2984,"2024.02")+SUMIFS(데이터_품목별!$H$3:$H$2984,데이터_품목별!$E$3:$E$2984,"85",데이터_품목별!$A$3:$A$2984,"2024.02")</f>
        <v>21392058</v>
      </c>
      <c r="E221" s="55" t="n">
        <f aca="false">SUMIFS(데이터_품목별!$H$3:$H$2984,데이터_품목별!$E$3:$E$2984,"84",데이터_품목별!$A$3:$A$2984,"2024.03")+SUMIFS(데이터_품목별!$H$3:$H$2984,데이터_품목별!$E$3:$E$2984,"85",데이터_품목별!$A$3:$A$2984,"2024.03")</f>
        <v>23670406</v>
      </c>
      <c r="F221" s="55" t="n">
        <f aca="false">SUMIFS(데이터_품목별!$H$3:$H$2984,데이터_품목별!$E$3:$E$2984,"84",데이터_품목별!$A$3:$A$2984,"2024.04")+SUMIFS(데이터_품목별!$H$3:$H$2984,데이터_품목별!$E$3:$E$2984,"85",데이터_품목별!$A$3:$A$2984,"2024.04")</f>
        <v>22197740</v>
      </c>
      <c r="G221" s="55" t="n">
        <f aca="false">SUMIFS(데이터_품목별!$H$3:$H$2984,데이터_품목별!$E$3:$E$2984,"84",데이터_품목별!$A$3:$A$2984,"2024.05")+SUMIFS(데이터_품목별!$H$3:$H$2984,데이터_품목별!$E$3:$E$2984,"85",데이터_품목별!$A$3:$A$2984,"2024.05")</f>
        <v>24060045</v>
      </c>
      <c r="H221" s="55" t="n">
        <f aca="false">SUMIFS(데이터_품목별!$H$3:$H$2984,데이터_품목별!$E$3:$E$2984,"84",데이터_품목별!$A$3:$A$2984,"2024.06")+SUMIFS(데이터_품목별!$H$3:$H$2984,데이터_품목별!$E$3:$E$2984,"85",데이터_품목별!$A$3:$A$2984,"2024.06")</f>
        <v>26119212</v>
      </c>
      <c r="I221" s="55" t="n">
        <f aca="false">SUMIFS(데이터_품목별!$H$3:$H$2984,데이터_품목별!$E$3:$E$2984,"84",데이터_품목별!$A$3:$A$2984,"2024.07")+SUMIFS(데이터_품목별!$H$3:$H$2984,데이터_품목별!$E$3:$E$2984,"85",데이터_품목별!$A$3:$A$2984,"2024.07")</f>
        <v>25194708</v>
      </c>
      <c r="J221" s="55" t="n">
        <f aca="false">SUMIFS(데이터_품목별!$H$3:$H$2984,데이터_품목별!$E$3:$E$2984,"84",데이터_품목별!$A$3:$A$2984,"2024.08")+SUMIFS(데이터_품목별!$H$3:$H$2984,데이터_품목별!$E$3:$E$2984,"85",데이터_품목별!$A$3:$A$2984,"2024.08")</f>
        <v>25038774</v>
      </c>
      <c r="K221" s="55" t="n">
        <f aca="false">SUMIFS(데이터_품목별!$H$3:$H$2984,데이터_품목별!$E$3:$E$2984,"84",데이터_품목별!$A$3:$A$2984,"2024.09")+SUMIFS(데이터_품목별!$H$3:$H$2984,데이터_품목별!$E$3:$E$2984,"85",데이터_품목별!$A$3:$A$2984,"2024.09")</f>
        <v>26631658</v>
      </c>
      <c r="L221" s="55" t="n">
        <f aca="false">SUMIFS(데이터_품목별!$H$3:$H$2984,데이터_품목별!$E$3:$E$2984,"84",데이터_품목별!$A$3:$A$2984,"2024.10")+SUMIFS(데이터_품목별!$H$3:$H$2984,데이터_품목별!$E$3:$E$2984,"85",데이터_품목별!$A$3:$A$2984,"2024.10")</f>
        <v>25273501</v>
      </c>
      <c r="M221" s="55" t="n">
        <f aca="false">SUMIFS(데이터_품목별!$H$3:$H$2984,데이터_품목별!$E$3:$E$2984,"84",데이터_품목별!$A$3:$A$2984,"2024.11")+SUMIFS(데이터_품목별!$H$3:$H$2984,데이터_품목별!$E$3:$E$2984,"85",데이터_품목별!$A$3:$A$2984,"2024.11")</f>
        <v>25065824</v>
      </c>
      <c r="N221" s="55" t="n">
        <f aca="false">SUMIFS(데이터_품목별!$H$3:$H$2984,데이터_품목별!$E$3:$E$2984,"84",데이터_품목별!$A$3:$A$2984,"2024.12")+SUMIFS(데이터_품목별!$H$3:$H$2984,데이터_품목별!$E$3:$E$2984,"85",데이터_품목별!$A$3:$A$2984,"2024.12")</f>
        <v>27639761</v>
      </c>
      <c r="O221" s="55" t="n">
        <f aca="false">SUMIFS(데이터_품목별!$H$3:$H$2984,데이터_품목별!$E$3:$E$2984,"84",데이터_품목별!$A$3:$A$2984,"2025.01")+SUMIFS(데이터_품목별!$H$3:$H$2984,데이터_품목별!$E$3:$E$2984,"85",데이터_품목별!$A$3:$A$2984,"2025.01")</f>
        <v>20205892</v>
      </c>
      <c r="P221" s="55" t="n">
        <f aca="false">SUMIFS(데이터_품목별!$H$3:$H$2984,데이터_품목별!$E$3:$E$2984,"84",데이터_품목별!$A$3:$A$2984,"2025.02")+SUMIFS(데이터_품목별!$H$3:$H$2984,데이터_품목별!$E$3:$E$2984,"85",데이터_품목별!$A$3:$A$2984,"2025.02")</f>
        <v>21099777</v>
      </c>
      <c r="Q221" s="55" t="n">
        <f aca="false">SUMIFS(데이터_품목별!$H$3:$H$2984,데이터_품목별!$E$3:$E$2984,"84",데이터_품목별!$A$3:$A$2984,"2025.03")+SUMIFS(데이터_품목별!$H$3:$H$2984,데이터_품목별!$E$3:$E$2984,"85",데이터_품목별!$A$3:$A$2984,"2025.03")</f>
        <v>25535226</v>
      </c>
      <c r="R221" s="55" t="n">
        <f aca="false">SUMIFS(데이터_품목별!$H$3:$H$2984,데이터_품목별!$E$3:$E$2984,"84",데이터_품목별!$A$3:$A$2984,"2025.04")+SUMIFS(데이터_품목별!$H$3:$H$2984,데이터_품목별!$E$3:$E$2984,"85",데이터_품목별!$A$3:$A$2984,"2025.04")</f>
        <v>24137770</v>
      </c>
      <c r="S221" s="55" t="n">
        <f aca="false">SUMIFS(데이터_품목별!$H$3:$H$2984,데이터_품목별!$E$3:$E$2984,"84",데이터_품목별!$A$3:$A$2984,"2025.05")+SUMIFS(데이터_품목별!$H$3:$H$2984,데이터_품목별!$E$3:$E$2984,"85",데이터_품목별!$A$3:$A$2984,"2025.05")</f>
        <v>25648251</v>
      </c>
      <c r="T221" s="55" t="n">
        <f aca="false">SUMIFS(데이터_품목별!$H$3:$H$2984,데이터_품목별!$E$3:$E$2984,"84",데이터_품목별!$A$3:$A$2984,"2025.06")+SUMIFS(데이터_품목별!$H$3:$H$2984,데이터_품목별!$E$3:$E$2984,"85",데이터_품목별!$A$3:$A$2984,"2025.06")</f>
        <v>26964827</v>
      </c>
      <c r="U221" s="55" t="n">
        <f aca="false">SUMIFS(데이터_품목별!$H$3:$H$2984,데이터_품목별!$E$3:$E$2984,"84",데이터_품목별!$A$3:$A$2984,"2025.07")+SUMIFS(데이터_품목별!$H$3:$H$2984,데이터_품목별!$E$3:$E$2984,"85",데이터_품목별!$A$3:$A$2984,"2025.07")</f>
        <v>27474949</v>
      </c>
      <c r="V221" s="55" t="n">
        <f aca="false">SUMIFS(데이터_품목별!$H$3:$H$2984,데이터_품목별!$E$3:$E$2984,"84",데이터_품목별!$A$3:$A$2984,"2025.08")+SUMIFS(데이터_품목별!$H$3:$H$2984,데이터_품목별!$E$3:$E$2984,"85",데이터_품목별!$A$3:$A$2984,"2025.08")</f>
        <v>26926766</v>
      </c>
      <c r="W221" s="55" t="n">
        <f aca="false">SUMIFS(데이터_품목별!$H$3:$H$2984,데이터_품목별!$E$3:$E$2984,"84",데이터_품목별!$A$3:$A$2984,"2025.09")+SUMIFS(데이터_품목별!$H$3:$H$2984,데이터_품목별!$E$3:$E$2984,"85",데이터_품목별!$A$3:$A$2984,"2025.09")</f>
        <v>30149367</v>
      </c>
      <c r="X221" s="55" t="n">
        <f aca="false">SUMIFS(데이터_품목별!$H$3:$H$2984,데이터_품목별!$E$3:$E$2984,"84",데이터_품목별!$A$3:$A$2984,"2025.10")+SUMIFS(데이터_품목별!$H$3:$H$2984,데이터_품목별!$E$3:$E$2984,"85",데이터_품목별!$A$3:$A$2984,"2025.10")</f>
        <v>27098279</v>
      </c>
      <c r="Y221" s="55" t="n">
        <f aca="false">SUMIFS(데이터_품목별!$H$3:$H$2984,데이터_품목별!$E$3:$E$2984,"84",데이터_품목별!$A$3:$A$2984,"2025.11")+SUMIFS(데이터_품목별!$H$3:$H$2984,데이터_품목별!$E$3:$E$2984,"85",데이터_품목별!$A$3:$A$2984,"2025.11")</f>
        <v>29934030</v>
      </c>
      <c r="Z221" s="55" t="n">
        <f aca="false">SUMIFS(데이터_품목별!$H$3:$H$2984,데이터_품목별!$E$3:$E$2984,"84",데이터_품목별!$A$3:$A$2984,"2025.12")+SUMIFS(데이터_품목별!$H$3:$H$2984,데이터_품목별!$E$3:$E$2984,"85",데이터_품목별!$A$3:$A$2984,"2025.12")</f>
        <v>34921685</v>
      </c>
      <c r="AA221" s="55" t="n">
        <f aca="false">SUMIFS(데이터_품목별!$H$3:$H$2984,데이터_품목별!$E$3:$E$2984,"84",데이터_품목별!$A$3:$A$2984,"2026.01")+SUMIFS(데이터_품목별!$H$3:$H$2984,데이터_품목별!$E$3:$E$2984,"85",데이터_품목별!$A$3:$A$2984,"2026.01")</f>
        <v>33325068</v>
      </c>
      <c r="AB221" s="55" t="n">
        <f aca="false">SUMIFS(데이터_품목별!$H$3:$H$2984,데이터_품목별!$E$3:$E$2984,"84",데이터_품목별!$A$3:$A$2984,"2026.02")+SUMIFS(데이터_품목별!$H$3:$H$2984,데이터_품목별!$E$3:$E$2984,"85",데이터_품목별!$A$3:$A$2984,"2026.02")</f>
        <v>37499920</v>
      </c>
      <c r="AC221" s="55" t="n">
        <f aca="false">SUMIFS(데이터_품목별!$H$3:$H$2984,데이터_품목별!$E$3:$E$2984,"84",데이터_품목별!$A$3:$A$2984,"2026.03")+SUMIFS(데이터_품목별!$H$3:$H$2984,데이터_품목별!$E$3:$E$2984,"85",데이터_품목별!$A$3:$A$2984,"2026.03")</f>
        <v>48346895</v>
      </c>
      <c r="AD221" s="55" t="n">
        <f aca="false">SUMIFS(데이터_품목별!$H$3:$H$2984,데이터_품목별!$E$3:$E$2984,"84",데이터_품목별!$A$3:$A$2984,"2026.04")+SUMIFS(데이터_품목별!$H$3:$H$2984,데이터_품목별!$E$3:$E$2984,"85",데이터_품목별!$A$3:$A$2984,"2026.04")</f>
        <v>47835092</v>
      </c>
      <c r="AE221" s="55" t="n">
        <f aca="false">SUMIFS(데이터_품목별!$H$3:$H$2984,데이터_품목별!$E$3:$E$2984,"84",데이터_품목별!$A$3:$A$2984,"2026.05")+SUMIFS(데이터_품목별!$H$3:$H$2984,데이터_품목별!$E$3:$E$2984,"85",데이터_품목별!$A$3:$A$2984,"2026.05")</f>
        <v>52305547</v>
      </c>
      <c r="AF221" s="55" t="n">
        <f aca="false">SUMIFS(데이터_품목별!$H$3:$H$2984,데이터_품목별!$E$3:$E$2984,"84",데이터_품목별!$A$3:$A$2984,"2026.06")+SUMIFS(데이터_품목별!$H$3:$H$2984,데이터_품목별!$E$3:$E$2984,"85",데이터_품목별!$A$3:$A$2984,"2026.06")</f>
        <v>62632344</v>
      </c>
      <c r="AG221" s="55" t="n">
        <f aca="false">SUMIFS(데이터_품목별!$H$3:$H$2984,데이터_품목별!$E$3:$E$2984,"84",데이터_품목별!$A$3:$A$2984,"2026.07")+SUMIFS(데이터_품목별!$H$3:$H$2984,데이터_품목별!$E$3:$E$2984,"85",데이터_품목별!$A$3:$A$2984,"2026.07")</f>
        <v>59061887</v>
      </c>
    </row>
    <row r="222" customFormat="false" ht="15" hidden="false" customHeight="true" outlineLevel="0" collapsed="false">
      <c r="A222" s="53" t="s">
        <v>19832</v>
      </c>
      <c r="B222" s="46" t="s">
        <v>19833</v>
      </c>
      <c r="C222" s="55" t="n">
        <f aca="false">SUMIFS(데이터_품목별!$H$3:$H$2984,데이터_품목별!$E$3:$E$2984,"86",데이터_품목별!$A$3:$A$2984,"2024.01")+SUMIFS(데이터_품목별!$H$3:$H$2984,데이터_품목별!$E$3:$E$2984,"87",데이터_품목별!$A$3:$A$2984,"2024.01")+SUMIFS(데이터_품목별!$H$3:$H$2984,데이터_품목별!$E$3:$E$2984,"88",데이터_품목별!$A$3:$A$2984,"2024.01")+SUMIFS(데이터_품목별!$H$3:$H$2984,데이터_품목별!$E$3:$E$2984,"89",데이터_품목별!$A$3:$A$2984,"2024.01")</f>
        <v>10715874</v>
      </c>
      <c r="D222" s="55" t="n">
        <f aca="false">SUMIFS(데이터_품목별!$H$3:$H$2984,데이터_품목별!$E$3:$E$2984,"86",데이터_품목별!$A$3:$A$2984,"2024.02")+SUMIFS(데이터_품목별!$H$3:$H$2984,데이터_품목별!$E$3:$E$2984,"87",데이터_품목별!$A$3:$A$2984,"2024.02")+SUMIFS(데이터_품목별!$H$3:$H$2984,데이터_품목별!$E$3:$E$2984,"88",데이터_품목별!$A$3:$A$2984,"2024.02")+SUMIFS(데이터_품목별!$H$3:$H$2984,데이터_품목별!$E$3:$E$2984,"89",데이터_품목별!$A$3:$A$2984,"2024.02")</f>
        <v>8825909</v>
      </c>
      <c r="E222" s="55" t="n">
        <f aca="false">SUMIFS(데이터_품목별!$H$3:$H$2984,데이터_품목별!$E$3:$E$2984,"86",데이터_품목별!$A$3:$A$2984,"2024.03")+SUMIFS(데이터_품목별!$H$3:$H$2984,데이터_품목별!$E$3:$E$2984,"87",데이터_품목별!$A$3:$A$2984,"2024.03")+SUMIFS(데이터_품목별!$H$3:$H$2984,데이터_품목별!$E$3:$E$2984,"88",데이터_품목별!$A$3:$A$2984,"2024.03")+SUMIFS(데이터_품목별!$H$3:$H$2984,데이터_품목별!$E$3:$E$2984,"89",데이터_품목별!$A$3:$A$2984,"2024.03")</f>
        <v>10044799</v>
      </c>
      <c r="F222" s="55" t="n">
        <f aca="false">SUMIFS(데이터_품목별!$H$3:$H$2984,데이터_품목별!$E$3:$E$2984,"86",데이터_품목별!$A$3:$A$2984,"2024.04")+SUMIFS(데이터_품목별!$H$3:$H$2984,데이터_품목별!$E$3:$E$2984,"87",데이터_품목별!$A$3:$A$2984,"2024.04")+SUMIFS(데이터_품목별!$H$3:$H$2984,데이터_품목별!$E$3:$E$2984,"88",데이터_품목별!$A$3:$A$2984,"2024.04")+SUMIFS(데이터_품목별!$H$3:$H$2984,데이터_품목별!$E$3:$E$2984,"89",데이터_품목별!$A$3:$A$2984,"2024.04")</f>
        <v>10253607</v>
      </c>
      <c r="G222" s="55" t="n">
        <f aca="false">SUMIFS(데이터_품목별!$H$3:$H$2984,데이터_품목별!$E$3:$E$2984,"86",데이터_품목별!$A$3:$A$2984,"2024.05")+SUMIFS(데이터_품목별!$H$3:$H$2984,데이터_품목별!$E$3:$E$2984,"87",데이터_품목별!$A$3:$A$2984,"2024.05")+SUMIFS(데이터_품목별!$H$3:$H$2984,데이터_품목별!$E$3:$E$2984,"88",데이터_품목별!$A$3:$A$2984,"2024.05")+SUMIFS(데이터_품목별!$H$3:$H$2984,데이터_품목별!$E$3:$E$2984,"89",데이터_품목별!$A$3:$A$2984,"2024.05")</f>
        <v>10325685</v>
      </c>
      <c r="H222" s="55" t="n">
        <f aca="false">SUMIFS(데이터_품목별!$H$3:$H$2984,데이터_품목별!$E$3:$E$2984,"86",데이터_품목별!$A$3:$A$2984,"2024.06")+SUMIFS(데이터_품목별!$H$3:$H$2984,데이터_품목별!$E$3:$E$2984,"87",데이터_품목별!$A$3:$A$2984,"2024.06")+SUMIFS(데이터_품목별!$H$3:$H$2984,데이터_품목별!$E$3:$E$2984,"88",데이터_품목별!$A$3:$A$2984,"2024.06")+SUMIFS(데이터_품목별!$H$3:$H$2984,데이터_품목별!$E$3:$E$2984,"89",데이터_품목별!$A$3:$A$2984,"2024.06")</f>
        <v>9445305</v>
      </c>
      <c r="I222" s="55" t="n">
        <f aca="false">SUMIFS(데이터_품목별!$H$3:$H$2984,데이터_품목별!$E$3:$E$2984,"86",데이터_품목별!$A$3:$A$2984,"2024.07")+SUMIFS(데이터_품목별!$H$3:$H$2984,데이터_품목별!$E$3:$E$2984,"87",데이터_품목별!$A$3:$A$2984,"2024.07")+SUMIFS(데이터_품목별!$H$3:$H$2984,데이터_품목별!$E$3:$E$2984,"88",데이터_품목별!$A$3:$A$2984,"2024.07")+SUMIFS(데이터_품목별!$H$3:$H$2984,데이터_품목별!$E$3:$E$2984,"89",데이터_품목별!$A$3:$A$2984,"2024.07")</f>
        <v>8621482</v>
      </c>
      <c r="J222" s="55" t="n">
        <f aca="false">SUMIFS(데이터_품목별!$H$3:$H$2984,데이터_품목별!$E$3:$E$2984,"86",데이터_품목별!$A$3:$A$2984,"2024.08")+SUMIFS(데이터_품목별!$H$3:$H$2984,데이터_품목별!$E$3:$E$2984,"87",데이터_품목별!$A$3:$A$2984,"2024.08")+SUMIFS(데이터_품목별!$H$3:$H$2984,데이터_품목별!$E$3:$E$2984,"88",데이터_품목별!$A$3:$A$2984,"2024.08")+SUMIFS(데이터_품목별!$H$3:$H$2984,데이터_품목별!$E$3:$E$2984,"89",데이터_품목별!$A$3:$A$2984,"2024.08")</f>
        <v>9566347</v>
      </c>
      <c r="K222" s="55" t="n">
        <f aca="false">SUMIFS(데이터_품목별!$H$3:$H$2984,데이터_품목별!$E$3:$E$2984,"86",데이터_품목별!$A$3:$A$2984,"2024.09")+SUMIFS(데이터_품목별!$H$3:$H$2984,데이터_품목별!$E$3:$E$2984,"87",데이터_품목별!$A$3:$A$2984,"2024.09")+SUMIFS(데이터_품목별!$H$3:$H$2984,데이터_품목별!$E$3:$E$2984,"88",데이터_품목별!$A$3:$A$2984,"2024.09")+SUMIFS(데이터_품목별!$H$3:$H$2984,데이터_품목별!$E$3:$E$2984,"89",데이터_품목별!$A$3:$A$2984,"2024.09")</f>
        <v>9727498</v>
      </c>
      <c r="L222" s="55" t="n">
        <f aca="false">SUMIFS(데이터_품목별!$H$3:$H$2984,데이터_품목별!$E$3:$E$2984,"86",데이터_품목별!$A$3:$A$2984,"2024.10")+SUMIFS(데이터_품목별!$H$3:$H$2984,데이터_품목별!$E$3:$E$2984,"87",데이터_품목별!$A$3:$A$2984,"2024.10")+SUMIFS(데이터_품목별!$H$3:$H$2984,데이터_품목별!$E$3:$E$2984,"88",데이터_품목별!$A$3:$A$2984,"2024.10")+SUMIFS(데이터_품목별!$H$3:$H$2984,데이터_품목별!$E$3:$E$2984,"89",데이터_품목별!$A$3:$A$2984,"2024.10")</f>
        <v>10309320</v>
      </c>
      <c r="M222" s="55" t="n">
        <f aca="false">SUMIFS(데이터_품목별!$H$3:$H$2984,데이터_품목별!$E$3:$E$2984,"86",데이터_품목별!$A$3:$A$2984,"2024.11")+SUMIFS(데이터_품목별!$H$3:$H$2984,데이터_품목별!$E$3:$E$2984,"87",데이터_품목별!$A$3:$A$2984,"2024.11")+SUMIFS(데이터_품목별!$H$3:$H$2984,데이터_품목별!$E$3:$E$2984,"88",데이터_품목별!$A$3:$A$2984,"2024.11")+SUMIFS(데이터_품목별!$H$3:$H$2984,데이터_품목별!$E$3:$E$2984,"89",데이터_품목별!$A$3:$A$2984,"2024.11")</f>
        <v>9757565</v>
      </c>
      <c r="N222" s="55" t="n">
        <f aca="false">SUMIFS(데이터_품목별!$H$3:$H$2984,데이터_품목별!$E$3:$E$2984,"86",데이터_품목별!$A$3:$A$2984,"2024.12")+SUMIFS(데이터_품목별!$H$3:$H$2984,데이터_품목별!$E$3:$E$2984,"87",데이터_품목별!$A$3:$A$2984,"2024.12")+SUMIFS(데이터_품목별!$H$3:$H$2984,데이터_품목별!$E$3:$E$2984,"88",데이터_품목별!$A$3:$A$2984,"2024.12")+SUMIFS(데이터_품목별!$H$3:$H$2984,데이터_품목별!$E$3:$E$2984,"89",데이터_품목별!$A$3:$A$2984,"2024.12")</f>
        <v>11137278</v>
      </c>
      <c r="O222" s="55" t="n">
        <f aca="false">SUMIFS(데이터_품목별!$H$3:$H$2984,데이터_품목별!$E$3:$E$2984,"86",데이터_품목별!$A$3:$A$2984,"2025.01")+SUMIFS(데이터_품목별!$H$3:$H$2984,데이터_품목별!$E$3:$E$2984,"87",데이터_품목별!$A$3:$A$2984,"2025.01")+SUMIFS(데이터_품목별!$H$3:$H$2984,데이터_품목별!$E$3:$E$2984,"88",데이터_품목별!$A$3:$A$2984,"2025.01")+SUMIFS(데이터_품목별!$H$3:$H$2984,데이터_품목별!$E$3:$E$2984,"89",데이터_품목별!$A$3:$A$2984,"2025.01")</f>
        <v>9264237</v>
      </c>
      <c r="P222" s="55" t="n">
        <f aca="false">SUMIFS(데이터_품목별!$H$3:$H$2984,데이터_품목별!$E$3:$E$2984,"86",데이터_품목별!$A$3:$A$2984,"2025.02")+SUMIFS(데이터_품목별!$H$3:$H$2984,데이터_품목별!$E$3:$E$2984,"87",데이터_품목별!$A$3:$A$2984,"2025.02")+SUMIFS(데이터_품목별!$H$3:$H$2984,데이터_품목별!$E$3:$E$2984,"88",데이터_품목별!$A$3:$A$2984,"2025.02")+SUMIFS(데이터_품목별!$H$3:$H$2984,데이터_품목별!$E$3:$E$2984,"89",데이터_품목별!$A$3:$A$2984,"2025.02")</f>
        <v>9316115</v>
      </c>
      <c r="Q222" s="55" t="n">
        <f aca="false">SUMIFS(데이터_품목별!$H$3:$H$2984,데이터_품목별!$E$3:$E$2984,"86",데이터_품목별!$A$3:$A$2984,"2025.03")+SUMIFS(데이터_품목별!$H$3:$H$2984,데이터_품목별!$E$3:$E$2984,"87",데이터_품목별!$A$3:$A$2984,"2025.03")+SUMIFS(데이터_품목별!$H$3:$H$2984,데이터_품목별!$E$3:$E$2984,"88",데이터_품목별!$A$3:$A$2984,"2025.03")+SUMIFS(데이터_품목별!$H$3:$H$2984,데이터_품목별!$E$3:$E$2984,"89",데이터_품목별!$A$3:$A$2984,"2025.03")</f>
        <v>11346747</v>
      </c>
      <c r="R222" s="55" t="n">
        <f aca="false">SUMIFS(데이터_품목별!$H$3:$H$2984,데이터_품목별!$E$3:$E$2984,"86",데이터_품목별!$A$3:$A$2984,"2025.04")+SUMIFS(데이터_품목별!$H$3:$H$2984,데이터_품목별!$E$3:$E$2984,"87",데이터_품목별!$A$3:$A$2984,"2025.04")+SUMIFS(데이터_품목별!$H$3:$H$2984,데이터_품목별!$E$3:$E$2984,"88",데이터_품목별!$A$3:$A$2984,"2025.04")+SUMIFS(데이터_품목별!$H$3:$H$2984,데이터_품목별!$E$3:$E$2984,"89",데이터_품목별!$A$3:$A$2984,"2025.04")</f>
        <v>10607398</v>
      </c>
      <c r="S222" s="55" t="n">
        <f aca="false">SUMIFS(데이터_품목별!$H$3:$H$2984,데이터_품목별!$E$3:$E$2984,"86",데이터_품목별!$A$3:$A$2984,"2025.05")+SUMIFS(데이터_품목별!$H$3:$H$2984,데이터_품목별!$E$3:$E$2984,"87",데이터_품목별!$A$3:$A$2984,"2025.05")+SUMIFS(데이터_품목별!$H$3:$H$2984,데이터_품목별!$E$3:$E$2984,"88",데이터_품목별!$A$3:$A$2984,"2025.05")+SUMIFS(데이터_품목별!$H$3:$H$2984,데이터_품목별!$E$3:$E$2984,"89",데이터_품목별!$A$3:$A$2984,"2025.05")</f>
        <v>10152098</v>
      </c>
      <c r="T222" s="55" t="n">
        <f aca="false">SUMIFS(데이터_품목별!$H$3:$H$2984,데이터_품목별!$E$3:$E$2984,"86",데이터_품목별!$A$3:$A$2984,"2025.06")+SUMIFS(데이터_품목별!$H$3:$H$2984,데이터_품목별!$E$3:$E$2984,"87",데이터_품목별!$A$3:$A$2984,"2025.06")+SUMIFS(데이터_품목별!$H$3:$H$2984,데이터_품목별!$E$3:$E$2984,"88",데이터_품목별!$A$3:$A$2984,"2025.06")+SUMIFS(데이터_품목별!$H$3:$H$2984,데이터_품목별!$E$3:$E$2984,"89",데이터_품목별!$A$3:$A$2984,"2025.06")</f>
        <v>10762335</v>
      </c>
      <c r="U222" s="55" t="n">
        <f aca="false">SUMIFS(데이터_품목별!$H$3:$H$2984,데이터_품목별!$E$3:$E$2984,"86",데이터_품목별!$A$3:$A$2984,"2025.07")+SUMIFS(데이터_품목별!$H$3:$H$2984,데이터_품목별!$E$3:$E$2984,"87",데이터_품목별!$A$3:$A$2984,"2025.07")+SUMIFS(데이터_품목별!$H$3:$H$2984,데이터_품목별!$E$3:$E$2984,"88",데이터_품목별!$A$3:$A$2984,"2025.07")+SUMIFS(데이터_품목별!$H$3:$H$2984,데이터_품목별!$E$3:$E$2984,"89",데이터_품목별!$A$3:$A$2984,"2025.07")</f>
        <v>9987326</v>
      </c>
      <c r="V222" s="55" t="n">
        <f aca="false">SUMIFS(데이터_품목별!$H$3:$H$2984,데이터_품목별!$E$3:$E$2984,"86",데이터_품목별!$A$3:$A$2984,"2025.08")+SUMIFS(데이터_품목별!$H$3:$H$2984,데이터_품목별!$E$3:$E$2984,"87",데이터_품목별!$A$3:$A$2984,"2025.08")+SUMIFS(데이터_품목별!$H$3:$H$2984,데이터_품목별!$E$3:$E$2984,"88",데이터_품목별!$A$3:$A$2984,"2025.08")+SUMIFS(데이터_품목별!$H$3:$H$2984,데이터_품목별!$E$3:$E$2984,"89",데이터_품목별!$A$3:$A$2984,"2025.08")</f>
        <v>10213574</v>
      </c>
      <c r="W222" s="55" t="n">
        <f aca="false">SUMIFS(데이터_품목별!$H$3:$H$2984,데이터_품목별!$E$3:$E$2984,"86",데이터_품목별!$A$3:$A$2984,"2025.09")+SUMIFS(데이터_품목별!$H$3:$H$2984,데이터_품목별!$E$3:$E$2984,"87",데이터_품목별!$A$3:$A$2984,"2025.09")+SUMIFS(데이터_품목별!$H$3:$H$2984,데이터_품목별!$E$3:$E$2984,"88",데이터_품목별!$A$3:$A$2984,"2025.09")+SUMIFS(데이터_품목별!$H$3:$H$2984,데이터_품목별!$E$3:$E$2984,"89",데이터_품목별!$A$3:$A$2984,"2025.09")</f>
        <v>11521892</v>
      </c>
      <c r="X222" s="55" t="n">
        <f aca="false">SUMIFS(데이터_품목별!$H$3:$H$2984,데이터_품목별!$E$3:$E$2984,"86",데이터_품목별!$A$3:$A$2984,"2025.10")+SUMIFS(데이터_품목별!$H$3:$H$2984,데이터_품목별!$E$3:$E$2984,"87",데이터_품목별!$A$3:$A$2984,"2025.10")+SUMIFS(데이터_품목별!$H$3:$H$2984,데이터_품목별!$E$3:$E$2984,"88",데이터_품목별!$A$3:$A$2984,"2025.10")+SUMIFS(데이터_품목별!$H$3:$H$2984,데이터_품목별!$E$3:$E$2984,"89",데이터_품목별!$A$3:$A$2984,"2025.10")</f>
        <v>11818183</v>
      </c>
      <c r="Y222" s="55" t="n">
        <f aca="false">SUMIFS(데이터_품목별!$H$3:$H$2984,데이터_품목별!$E$3:$E$2984,"86",데이터_품목별!$A$3:$A$2984,"2025.11")+SUMIFS(데이터_품목별!$H$3:$H$2984,데이터_품목별!$E$3:$E$2984,"87",데이터_품목별!$A$3:$A$2984,"2025.11")+SUMIFS(데이터_품목별!$H$3:$H$2984,데이터_품목별!$E$3:$E$2984,"88",데이터_품목별!$A$3:$A$2984,"2025.11")+SUMIFS(데이터_품목별!$H$3:$H$2984,데이터_품목별!$E$3:$E$2984,"89",데이터_품목별!$A$3:$A$2984,"2025.11")</f>
        <v>9821763</v>
      </c>
      <c r="Z222" s="55" t="n">
        <f aca="false">SUMIFS(데이터_품목별!$H$3:$H$2984,데이터_품목별!$E$3:$E$2984,"86",데이터_품목별!$A$3:$A$2984,"2025.12")+SUMIFS(데이터_품목별!$H$3:$H$2984,데이터_품목별!$E$3:$E$2984,"87",데이터_품목별!$A$3:$A$2984,"2025.12")+SUMIFS(데이터_품목별!$H$3:$H$2984,데이터_품목별!$E$3:$E$2984,"88",데이터_품목별!$A$3:$A$2984,"2025.12")+SUMIFS(데이터_품목별!$H$3:$H$2984,데이터_품목별!$E$3:$E$2984,"89",데이터_품목별!$A$3:$A$2984,"2025.12")</f>
        <v>10897215</v>
      </c>
      <c r="AA222" s="55" t="n">
        <f aca="false">SUMIFS(데이터_품목별!$H$3:$H$2984,데이터_품목별!$E$3:$E$2984,"86",데이터_품목별!$A$3:$A$2984,"2026.01")+SUMIFS(데이터_품목별!$H$3:$H$2984,데이터_품목별!$E$3:$E$2984,"87",데이터_품목별!$A$3:$A$2984,"2026.01")+SUMIFS(데이터_품목별!$H$3:$H$2984,데이터_품목별!$E$3:$E$2984,"88",데이터_품목별!$A$3:$A$2984,"2026.01")+SUMIFS(데이터_품목별!$H$3:$H$2984,데이터_품목별!$E$3:$E$2984,"89",데이터_품목별!$A$3:$A$2984,"2026.01")</f>
        <v>10187421</v>
      </c>
      <c r="AB222" s="55" t="n">
        <f aca="false">SUMIFS(데이터_품목별!$H$3:$H$2984,데이터_품목별!$E$3:$E$2984,"86",데이터_품목별!$A$3:$A$2984,"2026.02")+SUMIFS(데이터_품목별!$H$3:$H$2984,데이터_품목별!$E$3:$E$2984,"87",데이터_품목별!$A$3:$A$2984,"2026.02")+SUMIFS(데이터_품목별!$H$3:$H$2984,데이터_품목별!$E$3:$E$2984,"88",데이터_품목별!$A$3:$A$2984,"2026.02")+SUMIFS(데이터_품목별!$H$3:$H$2984,데이터_품목별!$E$3:$E$2984,"89",데이터_품목별!$A$3:$A$2984,"2026.02")</f>
        <v>8481987</v>
      </c>
      <c r="AC222" s="55" t="n">
        <f aca="false">SUMIFS(데이터_품목별!$H$3:$H$2984,데이터_품목별!$E$3:$E$2984,"86",데이터_품목별!$A$3:$A$2984,"2026.03")+SUMIFS(데이터_품목별!$H$3:$H$2984,데이터_품목별!$E$3:$E$2984,"87",데이터_품목별!$A$3:$A$2984,"2026.03")+SUMIFS(데이터_품목별!$H$3:$H$2984,데이터_품목별!$E$3:$E$2984,"88",데이터_품목별!$A$3:$A$2984,"2026.03")+SUMIFS(데이터_품목별!$H$3:$H$2984,데이터_품목별!$E$3:$E$2984,"89",데이터_품목별!$A$3:$A$2984,"2026.03")</f>
        <v>11581610</v>
      </c>
      <c r="AD222" s="55" t="n">
        <f aca="false">SUMIFS(데이터_품목별!$H$3:$H$2984,데이터_품목별!$E$3:$E$2984,"86",데이터_품목별!$A$3:$A$2984,"2026.04")+SUMIFS(데이터_품목별!$H$3:$H$2984,데이터_품목별!$E$3:$E$2984,"87",데이터_품목별!$A$3:$A$2984,"2026.04")+SUMIFS(데이터_품목별!$H$3:$H$2984,데이터_품목별!$E$3:$E$2984,"88",데이터_품목별!$A$3:$A$2984,"2026.04")+SUMIFS(데이터_품목별!$H$3:$H$2984,데이터_품목별!$E$3:$E$2984,"89",데이터_품목별!$A$3:$A$2984,"2026.04")</f>
        <v>10968841</v>
      </c>
      <c r="AE222" s="55" t="n">
        <f aca="false">SUMIFS(데이터_품목별!$H$3:$H$2984,데이터_품목별!$E$3:$E$2984,"86",데이터_품목별!$A$3:$A$2984,"2026.05")+SUMIFS(데이터_품목별!$H$3:$H$2984,데이터_품목별!$E$3:$E$2984,"87",데이터_품목별!$A$3:$A$2984,"2026.05")+SUMIFS(데이터_품목별!$H$3:$H$2984,데이터_품목별!$E$3:$E$2984,"88",데이터_품목별!$A$3:$A$2984,"2026.05")+SUMIFS(데이터_품목별!$H$3:$H$2984,데이터_품목별!$E$3:$E$2984,"89",데이터_품목별!$A$3:$A$2984,"2026.05")</f>
        <v>9915327</v>
      </c>
      <c r="AF222" s="55" t="n">
        <f aca="false">SUMIFS(데이터_품목별!$H$3:$H$2984,데이터_품목별!$E$3:$E$2984,"86",데이터_품목별!$A$3:$A$2984,"2026.06")+SUMIFS(데이터_품목별!$H$3:$H$2984,데이터_품목별!$E$3:$E$2984,"87",데이터_품목별!$A$3:$A$2984,"2026.06")+SUMIFS(데이터_품목별!$H$3:$H$2984,데이터_품목별!$E$3:$E$2984,"88",데이터_품목별!$A$3:$A$2984,"2026.06")+SUMIFS(데이터_품목별!$H$3:$H$2984,데이터_품목별!$E$3:$E$2984,"89",데이터_품목별!$A$3:$A$2984,"2026.06")</f>
        <v>11733625</v>
      </c>
      <c r="AG222" s="55" t="n">
        <f aca="false">SUMIFS(데이터_품목별!$H$3:$H$2984,데이터_품목별!$E$3:$E$2984,"86",데이터_품목별!$A$3:$A$2984,"2026.07")+SUMIFS(데이터_품목별!$H$3:$H$2984,데이터_품목별!$E$3:$E$2984,"87",데이터_품목별!$A$3:$A$2984,"2026.07")+SUMIFS(데이터_품목별!$H$3:$H$2984,데이터_품목별!$E$3:$E$2984,"88",데이터_품목별!$A$3:$A$2984,"2026.07")+SUMIFS(데이터_품목별!$H$3:$H$2984,데이터_품목별!$E$3:$E$2984,"89",데이터_품목별!$A$3:$A$2984,"2026.07")</f>
        <v>11785719</v>
      </c>
    </row>
    <row r="223" customFormat="false" ht="15" hidden="false" customHeight="true" outlineLevel="0" collapsed="false">
      <c r="A223" s="53" t="s">
        <v>19834</v>
      </c>
      <c r="B223" s="46" t="s">
        <v>19835</v>
      </c>
      <c r="C223" s="55" t="n">
        <f aca="false">SUMIFS(데이터_품목별!$H$3:$H$2984,데이터_품목별!$E$3:$E$2984,"90",데이터_품목별!$A$3:$A$2984,"2024.01")+SUMIFS(데이터_품목별!$H$3:$H$2984,데이터_품목별!$E$3:$E$2984,"91",데이터_품목별!$A$3:$A$2984,"2024.01")+SUMIFS(데이터_품목별!$H$3:$H$2984,데이터_품목별!$E$3:$E$2984,"92",데이터_품목별!$A$3:$A$2984,"2024.01")</f>
        <v>1414131</v>
      </c>
      <c r="D223" s="55" t="n">
        <f aca="false">SUMIFS(데이터_품목별!$H$3:$H$2984,데이터_품목별!$E$3:$E$2984,"90",데이터_품목별!$A$3:$A$2984,"2024.02")+SUMIFS(데이터_품목별!$H$3:$H$2984,데이터_품목별!$E$3:$E$2984,"91",데이터_품목별!$A$3:$A$2984,"2024.02")+SUMIFS(데이터_품목별!$H$3:$H$2984,데이터_품목별!$E$3:$E$2984,"92",데이터_품목별!$A$3:$A$2984,"2024.02")</f>
        <v>1374981</v>
      </c>
      <c r="E223" s="55" t="n">
        <f aca="false">SUMIFS(데이터_품목별!$H$3:$H$2984,데이터_품목별!$E$3:$E$2984,"90",데이터_품목별!$A$3:$A$2984,"2024.03")+SUMIFS(데이터_품목별!$H$3:$H$2984,데이터_품목별!$E$3:$E$2984,"91",데이터_품목별!$A$3:$A$2984,"2024.03")+SUMIFS(데이터_품목별!$H$3:$H$2984,데이터_품목별!$E$3:$E$2984,"92",데이터_품목별!$A$3:$A$2984,"2024.03")</f>
        <v>1450730</v>
      </c>
      <c r="F223" s="55" t="n">
        <f aca="false">SUMIFS(데이터_품목별!$H$3:$H$2984,데이터_품목별!$E$3:$E$2984,"90",데이터_품목별!$A$3:$A$2984,"2024.04")+SUMIFS(데이터_품목별!$H$3:$H$2984,데이터_품목별!$E$3:$E$2984,"91",데이터_품목별!$A$3:$A$2984,"2024.04")+SUMIFS(데이터_품목별!$H$3:$H$2984,데이터_품목별!$E$3:$E$2984,"92",데이터_품목별!$A$3:$A$2984,"2024.04")</f>
        <v>1444968</v>
      </c>
      <c r="G223" s="55" t="n">
        <f aca="false">SUMIFS(데이터_품목별!$H$3:$H$2984,데이터_품목별!$E$3:$E$2984,"90",데이터_품목별!$A$3:$A$2984,"2024.05")+SUMIFS(데이터_품목별!$H$3:$H$2984,데이터_품목별!$E$3:$E$2984,"91",데이터_품목별!$A$3:$A$2984,"2024.05")+SUMIFS(데이터_품목별!$H$3:$H$2984,데이터_품목별!$E$3:$E$2984,"92",데이터_품목별!$A$3:$A$2984,"2024.05")</f>
        <v>1472949</v>
      </c>
      <c r="H223" s="55" t="n">
        <f aca="false">SUMIFS(데이터_품목별!$H$3:$H$2984,데이터_품목별!$E$3:$E$2984,"90",데이터_품목별!$A$3:$A$2984,"2024.06")+SUMIFS(데이터_품목별!$H$3:$H$2984,데이터_품목별!$E$3:$E$2984,"91",데이터_품목별!$A$3:$A$2984,"2024.06")+SUMIFS(데이터_품목별!$H$3:$H$2984,데이터_품목별!$E$3:$E$2984,"92",데이터_품목별!$A$3:$A$2984,"2024.06")</f>
        <v>1343816</v>
      </c>
      <c r="I223" s="55" t="n">
        <f aca="false">SUMIFS(데이터_품목별!$H$3:$H$2984,데이터_품목별!$E$3:$E$2984,"90",데이터_품목별!$A$3:$A$2984,"2024.07")+SUMIFS(데이터_품목별!$H$3:$H$2984,데이터_품목별!$E$3:$E$2984,"91",데이터_품목별!$A$3:$A$2984,"2024.07")+SUMIFS(데이터_품목별!$H$3:$H$2984,데이터_품목별!$E$3:$E$2984,"92",데이터_품목별!$A$3:$A$2984,"2024.07")</f>
        <v>1402246</v>
      </c>
      <c r="J223" s="55" t="n">
        <f aca="false">SUMIFS(데이터_품목별!$H$3:$H$2984,데이터_품목별!$E$3:$E$2984,"90",데이터_품목별!$A$3:$A$2984,"2024.08")+SUMIFS(데이터_품목별!$H$3:$H$2984,데이터_품목별!$E$3:$E$2984,"91",데이터_품목별!$A$3:$A$2984,"2024.08")+SUMIFS(데이터_품목별!$H$3:$H$2984,데이터_품목별!$E$3:$E$2984,"92",데이터_품목별!$A$3:$A$2984,"2024.08")</f>
        <v>1393669</v>
      </c>
      <c r="K223" s="55" t="n">
        <f aca="false">SUMIFS(데이터_품목별!$H$3:$H$2984,데이터_품목별!$E$3:$E$2984,"90",데이터_품목별!$A$3:$A$2984,"2024.09")+SUMIFS(데이터_품목별!$H$3:$H$2984,데이터_품목별!$E$3:$E$2984,"91",데이터_품목별!$A$3:$A$2984,"2024.09")+SUMIFS(데이터_품목별!$H$3:$H$2984,데이터_품목별!$E$3:$E$2984,"92",데이터_품목별!$A$3:$A$2984,"2024.09")</f>
        <v>1487681</v>
      </c>
      <c r="L223" s="55" t="n">
        <f aca="false">SUMIFS(데이터_품목별!$H$3:$H$2984,데이터_품목별!$E$3:$E$2984,"90",데이터_품목별!$A$3:$A$2984,"2024.10")+SUMIFS(데이터_품목별!$H$3:$H$2984,데이터_품목별!$E$3:$E$2984,"91",데이터_품목별!$A$3:$A$2984,"2024.10")+SUMIFS(데이터_품목별!$H$3:$H$2984,데이터_품목별!$E$3:$E$2984,"92",데이터_품목별!$A$3:$A$2984,"2024.10")</f>
        <v>1484673</v>
      </c>
      <c r="M223" s="55" t="n">
        <f aca="false">SUMIFS(데이터_품목별!$H$3:$H$2984,데이터_품목별!$E$3:$E$2984,"90",데이터_품목별!$A$3:$A$2984,"2024.11")+SUMIFS(데이터_품목별!$H$3:$H$2984,데이터_품목별!$E$3:$E$2984,"91",데이터_품목별!$A$3:$A$2984,"2024.11")+SUMIFS(데이터_품목별!$H$3:$H$2984,데이터_품목별!$E$3:$E$2984,"92",데이터_품목별!$A$3:$A$2984,"2024.11")</f>
        <v>1434732</v>
      </c>
      <c r="N223" s="55" t="n">
        <f aca="false">SUMIFS(데이터_품목별!$H$3:$H$2984,데이터_품목별!$E$3:$E$2984,"90",데이터_품목별!$A$3:$A$2984,"2024.12")+SUMIFS(데이터_품목별!$H$3:$H$2984,데이터_품목별!$E$3:$E$2984,"91",데이터_품목별!$A$3:$A$2984,"2024.12")+SUMIFS(데이터_품목별!$H$3:$H$2984,데이터_품목별!$E$3:$E$2984,"92",데이터_품목별!$A$3:$A$2984,"2024.12")</f>
        <v>1506843</v>
      </c>
      <c r="O223" s="55" t="n">
        <f aca="false">SUMIFS(데이터_품목별!$H$3:$H$2984,데이터_품목별!$E$3:$E$2984,"90",데이터_품목별!$A$3:$A$2984,"2025.01")+SUMIFS(데이터_품목별!$H$3:$H$2984,데이터_품목별!$E$3:$E$2984,"91",데이터_품목별!$A$3:$A$2984,"2025.01")+SUMIFS(데이터_품목별!$H$3:$H$2984,데이터_품목별!$E$3:$E$2984,"92",데이터_품목별!$A$3:$A$2984,"2025.01")</f>
        <v>1156013</v>
      </c>
      <c r="P223" s="55" t="n">
        <f aca="false">SUMIFS(데이터_품목별!$H$3:$H$2984,데이터_품목별!$E$3:$E$2984,"90",데이터_품목별!$A$3:$A$2984,"2025.02")+SUMIFS(데이터_품목별!$H$3:$H$2984,데이터_품목별!$E$3:$E$2984,"91",데이터_품목별!$A$3:$A$2984,"2025.02")+SUMIFS(데이터_품목별!$H$3:$H$2984,데이터_품목별!$E$3:$E$2984,"92",데이터_품목별!$A$3:$A$2984,"2025.02")</f>
        <v>1429256</v>
      </c>
      <c r="Q223" s="55" t="n">
        <f aca="false">SUMIFS(데이터_품목별!$H$3:$H$2984,데이터_품목별!$E$3:$E$2984,"90",데이터_품목별!$A$3:$A$2984,"2025.03")+SUMIFS(데이터_품목별!$H$3:$H$2984,데이터_품목별!$E$3:$E$2984,"91",데이터_품목별!$A$3:$A$2984,"2025.03")+SUMIFS(데이터_품목별!$H$3:$H$2984,데이터_품목별!$E$3:$E$2984,"92",데이터_품목별!$A$3:$A$2984,"2025.03")</f>
        <v>1401888</v>
      </c>
      <c r="R223" s="55" t="n">
        <f aca="false">SUMIFS(데이터_품목별!$H$3:$H$2984,데이터_품목별!$E$3:$E$2984,"90",데이터_품목별!$A$3:$A$2984,"2025.04")+SUMIFS(데이터_품목별!$H$3:$H$2984,데이터_품목별!$E$3:$E$2984,"91",데이터_품목별!$A$3:$A$2984,"2025.04")+SUMIFS(데이터_품목별!$H$3:$H$2984,데이터_품목별!$E$3:$E$2984,"92",데이터_품목별!$A$3:$A$2984,"2025.04")</f>
        <v>1525693</v>
      </c>
      <c r="S223" s="55" t="n">
        <f aca="false">SUMIFS(데이터_품목별!$H$3:$H$2984,데이터_품목별!$E$3:$E$2984,"90",데이터_품목별!$A$3:$A$2984,"2025.05")+SUMIFS(데이터_품목별!$H$3:$H$2984,데이터_품목별!$E$3:$E$2984,"91",데이터_품목별!$A$3:$A$2984,"2025.05")+SUMIFS(데이터_품목별!$H$3:$H$2984,데이터_품목별!$E$3:$E$2984,"92",데이터_품목별!$A$3:$A$2984,"2025.05")</f>
        <v>1356150</v>
      </c>
      <c r="T223" s="55" t="n">
        <f aca="false">SUMIFS(데이터_품목별!$H$3:$H$2984,데이터_품목별!$E$3:$E$2984,"90",데이터_품목별!$A$3:$A$2984,"2025.06")+SUMIFS(데이터_품목별!$H$3:$H$2984,데이터_품목별!$E$3:$E$2984,"91",데이터_품목별!$A$3:$A$2984,"2025.06")+SUMIFS(데이터_품목별!$H$3:$H$2984,데이터_품목별!$E$3:$E$2984,"92",데이터_품목별!$A$3:$A$2984,"2025.06")</f>
        <v>1532874</v>
      </c>
      <c r="U223" s="55" t="n">
        <f aca="false">SUMIFS(데이터_품목별!$H$3:$H$2984,데이터_품목별!$E$3:$E$2984,"90",데이터_품목별!$A$3:$A$2984,"2025.07")+SUMIFS(데이터_품목별!$H$3:$H$2984,데이터_품목별!$E$3:$E$2984,"91",데이터_품목별!$A$3:$A$2984,"2025.07")+SUMIFS(데이터_품목별!$H$3:$H$2984,데이터_품목별!$E$3:$E$2984,"92",데이터_품목별!$A$3:$A$2984,"2025.07")</f>
        <v>1496890</v>
      </c>
      <c r="V223" s="55" t="n">
        <f aca="false">SUMIFS(데이터_품목별!$H$3:$H$2984,데이터_품목별!$E$3:$E$2984,"90",데이터_품목별!$A$3:$A$2984,"2025.08")+SUMIFS(데이터_품목별!$H$3:$H$2984,데이터_품목별!$E$3:$E$2984,"91",데이터_품목별!$A$3:$A$2984,"2025.08")+SUMIFS(데이터_품목별!$H$3:$H$2984,데이터_품목별!$E$3:$E$2984,"92",데이터_품목별!$A$3:$A$2984,"2025.08")</f>
        <v>1355557</v>
      </c>
      <c r="W223" s="55" t="n">
        <f aca="false">SUMIFS(데이터_품목별!$H$3:$H$2984,데이터_품목별!$E$3:$E$2984,"90",데이터_품목별!$A$3:$A$2984,"2025.09")+SUMIFS(데이터_품목별!$H$3:$H$2984,데이터_품목별!$E$3:$E$2984,"91",데이터_품목별!$A$3:$A$2984,"2025.09")+SUMIFS(데이터_품목별!$H$3:$H$2984,데이터_품목별!$E$3:$E$2984,"92",데이터_품목별!$A$3:$A$2984,"2025.09")</f>
        <v>1635532</v>
      </c>
      <c r="X223" s="55" t="n">
        <f aca="false">SUMIFS(데이터_품목별!$H$3:$H$2984,데이터_품목별!$E$3:$E$2984,"90",데이터_품목별!$A$3:$A$2984,"2025.10")+SUMIFS(데이터_품목별!$H$3:$H$2984,데이터_품목별!$E$3:$E$2984,"91",데이터_품목별!$A$3:$A$2984,"2025.10")+SUMIFS(데이터_품목별!$H$3:$H$2984,데이터_품목별!$E$3:$E$2984,"92",데이터_품목별!$A$3:$A$2984,"2025.10")</f>
        <v>1295977</v>
      </c>
      <c r="Y223" s="55" t="n">
        <f aca="false">SUMIFS(데이터_품목별!$H$3:$H$2984,데이터_품목별!$E$3:$E$2984,"90",데이터_품목별!$A$3:$A$2984,"2025.11")+SUMIFS(데이터_품목별!$H$3:$H$2984,데이터_품목별!$E$3:$E$2984,"91",데이터_품목별!$A$3:$A$2984,"2025.11")+SUMIFS(데이터_품목별!$H$3:$H$2984,데이터_품목별!$E$3:$E$2984,"92",데이터_품목별!$A$3:$A$2984,"2025.11")</f>
        <v>1399849</v>
      </c>
      <c r="Z223" s="55" t="n">
        <f aca="false">SUMIFS(데이터_품목별!$H$3:$H$2984,데이터_품목별!$E$3:$E$2984,"90",데이터_품목별!$A$3:$A$2984,"2025.12")+SUMIFS(데이터_품목별!$H$3:$H$2984,데이터_품목별!$E$3:$E$2984,"91",데이터_품목별!$A$3:$A$2984,"2025.12")+SUMIFS(데이터_품목별!$H$3:$H$2984,데이터_품목별!$E$3:$E$2984,"92",데이터_품목별!$A$3:$A$2984,"2025.12")</f>
        <v>1724434</v>
      </c>
      <c r="AA223" s="55" t="n">
        <f aca="false">SUMIFS(데이터_품목별!$H$3:$H$2984,데이터_품목별!$E$3:$E$2984,"90",데이터_품목별!$A$3:$A$2984,"2026.01")+SUMIFS(데이터_품목별!$H$3:$H$2984,데이터_품목별!$E$3:$E$2984,"91",데이터_품목별!$A$3:$A$2984,"2026.01")+SUMIFS(데이터_품목별!$H$3:$H$2984,데이터_품목별!$E$3:$E$2984,"92",데이터_품목별!$A$3:$A$2984,"2026.01")</f>
        <v>1378967</v>
      </c>
      <c r="AB223" s="55" t="n">
        <f aca="false">SUMIFS(데이터_품목별!$H$3:$H$2984,데이터_품목별!$E$3:$E$2984,"90",데이터_품목별!$A$3:$A$2984,"2026.02")+SUMIFS(데이터_품목별!$H$3:$H$2984,데이터_품목별!$E$3:$E$2984,"91",데이터_품목별!$A$3:$A$2984,"2026.02")+SUMIFS(데이터_품목별!$H$3:$H$2984,데이터_품목별!$E$3:$E$2984,"92",데이터_품목별!$A$3:$A$2984,"2026.02")</f>
        <v>1206691</v>
      </c>
      <c r="AC223" s="55" t="n">
        <f aca="false">SUMIFS(데이터_품목별!$H$3:$H$2984,데이터_품목별!$E$3:$E$2984,"90",데이터_품목별!$A$3:$A$2984,"2026.03")+SUMIFS(데이터_품목별!$H$3:$H$2984,데이터_품목별!$E$3:$E$2984,"91",데이터_품목별!$A$3:$A$2984,"2026.03")+SUMIFS(데이터_품목별!$H$3:$H$2984,데이터_품목별!$E$3:$E$2984,"92",데이터_품목별!$A$3:$A$2984,"2026.03")</f>
        <v>1534324</v>
      </c>
      <c r="AD223" s="55" t="n">
        <f aca="false">SUMIFS(데이터_품목별!$H$3:$H$2984,데이터_품목별!$E$3:$E$2984,"90",데이터_품목별!$A$3:$A$2984,"2026.04")+SUMIFS(데이터_품목별!$H$3:$H$2984,데이터_품목별!$E$3:$E$2984,"91",데이터_품목별!$A$3:$A$2984,"2026.04")+SUMIFS(데이터_품목별!$H$3:$H$2984,데이터_품목별!$E$3:$E$2984,"92",데이터_품목별!$A$3:$A$2984,"2026.04")</f>
        <v>1532227</v>
      </c>
      <c r="AE223" s="55" t="n">
        <f aca="false">SUMIFS(데이터_품목별!$H$3:$H$2984,데이터_품목별!$E$3:$E$2984,"90",데이터_품목별!$A$3:$A$2984,"2026.05")+SUMIFS(데이터_품목별!$H$3:$H$2984,데이터_품목별!$E$3:$E$2984,"91",데이터_품목별!$A$3:$A$2984,"2026.05")+SUMIFS(데이터_품목별!$H$3:$H$2984,데이터_품목별!$E$3:$E$2984,"92",데이터_품목별!$A$3:$A$2984,"2026.05")</f>
        <v>1360205</v>
      </c>
      <c r="AF223" s="55" t="n">
        <f aca="false">SUMIFS(데이터_품목별!$H$3:$H$2984,데이터_품목별!$E$3:$E$2984,"90",데이터_품목별!$A$3:$A$2984,"2026.06")+SUMIFS(데이터_품목별!$H$3:$H$2984,데이터_품목별!$E$3:$E$2984,"91",데이터_품목별!$A$3:$A$2984,"2026.06")+SUMIFS(데이터_품목별!$H$3:$H$2984,데이터_품목별!$E$3:$E$2984,"92",데이터_품목별!$A$3:$A$2984,"2026.06")</f>
        <v>1648346</v>
      </c>
      <c r="AG223" s="55" t="n">
        <f aca="false">SUMIFS(데이터_품목별!$H$3:$H$2984,데이터_품목별!$E$3:$E$2984,"90",데이터_품목별!$A$3:$A$2984,"2026.07")+SUMIFS(데이터_품목별!$H$3:$H$2984,데이터_품목별!$E$3:$E$2984,"91",데이터_품목별!$A$3:$A$2984,"2026.07")+SUMIFS(데이터_품목별!$H$3:$H$2984,데이터_품목별!$E$3:$E$2984,"92",데이터_품목별!$A$3:$A$2984,"2026.07")</f>
        <v>1684035</v>
      </c>
    </row>
    <row r="224" customFormat="false" ht="15" hidden="false" customHeight="true" outlineLevel="0" collapsed="false">
      <c r="A224" s="53" t="s">
        <v>19836</v>
      </c>
      <c r="B224" s="46" t="s">
        <v>19837</v>
      </c>
      <c r="C224" s="55" t="n">
        <f aca="false">SUMIFS(데이터_품목별!$H$3:$H$2984,데이터_품목별!$E$3:$E$2984,"93",데이터_품목별!$A$3:$A$2984,"2024.01")</f>
        <v>153027</v>
      </c>
      <c r="D224" s="55" t="n">
        <f aca="false">SUMIFS(데이터_품목별!$H$3:$H$2984,데이터_품목별!$E$3:$E$2984,"93",데이터_품목별!$A$3:$A$2984,"2024.02")</f>
        <v>75697</v>
      </c>
      <c r="E224" s="55" t="n">
        <f aca="false">SUMIFS(데이터_품목별!$H$3:$H$2984,데이터_품목별!$E$3:$E$2984,"93",데이터_품목별!$A$3:$A$2984,"2024.03")</f>
        <v>23570</v>
      </c>
      <c r="F224" s="55" t="n">
        <f aca="false">SUMIFS(데이터_품목별!$H$3:$H$2984,데이터_품목별!$E$3:$E$2984,"93",데이터_품목별!$A$3:$A$2984,"2024.04")</f>
        <v>279485</v>
      </c>
      <c r="G224" s="55" t="n">
        <f aca="false">SUMIFS(데이터_품목별!$H$3:$H$2984,데이터_품목별!$E$3:$E$2984,"93",데이터_품목별!$A$3:$A$2984,"2024.05")</f>
        <v>75139</v>
      </c>
      <c r="H224" s="55" t="n">
        <f aca="false">SUMIFS(데이터_품목별!$H$3:$H$2984,데이터_품목별!$E$3:$E$2984,"93",데이터_품목별!$A$3:$A$2984,"2024.06")</f>
        <v>368308</v>
      </c>
      <c r="I224" s="55" t="n">
        <f aca="false">SUMIFS(데이터_품목별!$H$3:$H$2984,데이터_품목별!$E$3:$E$2984,"93",데이터_품목별!$A$3:$A$2984,"2024.07")</f>
        <v>244886</v>
      </c>
      <c r="J224" s="55" t="n">
        <f aca="false">SUMIFS(데이터_품목별!$H$3:$H$2984,데이터_품목별!$E$3:$E$2984,"93",데이터_품목별!$A$3:$A$2984,"2024.08")</f>
        <v>318518</v>
      </c>
      <c r="K224" s="55" t="n">
        <f aca="false">SUMIFS(데이터_품목별!$H$3:$H$2984,데이터_품목별!$E$3:$E$2984,"93",데이터_품목별!$A$3:$A$2984,"2024.09")</f>
        <v>458496</v>
      </c>
      <c r="L224" s="55" t="n">
        <f aca="false">SUMIFS(데이터_품목별!$H$3:$H$2984,데이터_품목별!$E$3:$E$2984,"93",데이터_품목별!$A$3:$A$2984,"2024.10")</f>
        <v>188701</v>
      </c>
      <c r="M224" s="55" t="n">
        <f aca="false">SUMIFS(데이터_품목별!$H$3:$H$2984,데이터_품목별!$E$3:$E$2984,"93",데이터_품목별!$A$3:$A$2984,"2024.11")</f>
        <v>218257</v>
      </c>
      <c r="N224" s="55" t="n">
        <f aca="false">SUMIFS(데이터_품목별!$H$3:$H$2984,데이터_품목별!$E$3:$E$2984,"93",데이터_품목별!$A$3:$A$2984,"2024.12")</f>
        <v>282517</v>
      </c>
      <c r="O224" s="55" t="n">
        <f aca="false">SUMIFS(데이터_품목별!$H$3:$H$2984,데이터_품목별!$E$3:$E$2984,"93",데이터_품목별!$A$3:$A$2984,"2025.01")</f>
        <v>131749</v>
      </c>
      <c r="P224" s="55" t="n">
        <f aca="false">SUMIFS(데이터_품목별!$H$3:$H$2984,데이터_품목별!$E$3:$E$2984,"93",데이터_품목별!$A$3:$A$2984,"2025.02")</f>
        <v>285090</v>
      </c>
      <c r="Q224" s="55" t="n">
        <f aca="false">SUMIFS(데이터_품목별!$H$3:$H$2984,데이터_품목별!$E$3:$E$2984,"93",데이터_품목별!$A$3:$A$2984,"2025.03")</f>
        <v>140060</v>
      </c>
      <c r="R224" s="55" t="n">
        <f aca="false">SUMIFS(데이터_품목별!$H$3:$H$2984,데이터_품목별!$E$3:$E$2984,"93",데이터_품목별!$A$3:$A$2984,"2025.04")</f>
        <v>328186</v>
      </c>
      <c r="S224" s="55" t="n">
        <f aca="false">SUMIFS(데이터_품목별!$H$3:$H$2984,데이터_품목별!$E$3:$E$2984,"93",데이터_품목별!$A$3:$A$2984,"2025.05")</f>
        <v>279281</v>
      </c>
      <c r="T224" s="55" t="n">
        <f aca="false">SUMIFS(데이터_품목별!$H$3:$H$2984,데이터_품목별!$E$3:$E$2984,"93",데이터_품목별!$A$3:$A$2984,"2025.06")</f>
        <v>400342</v>
      </c>
      <c r="U224" s="55" t="n">
        <f aca="false">SUMIFS(데이터_품목별!$H$3:$H$2984,데이터_품목별!$E$3:$E$2984,"93",데이터_품목별!$A$3:$A$2984,"2025.07")</f>
        <v>226702</v>
      </c>
      <c r="V224" s="55" t="n">
        <f aca="false">SUMIFS(데이터_품목별!$H$3:$H$2984,데이터_품목별!$E$3:$E$2984,"93",데이터_품목별!$A$3:$A$2984,"2025.08")</f>
        <v>116196</v>
      </c>
      <c r="W224" s="55" t="n">
        <f aca="false">SUMIFS(데이터_품목별!$H$3:$H$2984,데이터_품목별!$E$3:$E$2984,"93",데이터_품목별!$A$3:$A$2984,"2025.09")</f>
        <v>624944</v>
      </c>
      <c r="X224" s="55" t="n">
        <f aca="false">SUMIFS(데이터_품목별!$H$3:$H$2984,데이터_품목별!$E$3:$E$2984,"93",데이터_품목별!$A$3:$A$2984,"2025.10")</f>
        <v>170669</v>
      </c>
      <c r="Y224" s="55" t="n">
        <f aca="false">SUMIFS(데이터_품목별!$H$3:$H$2984,데이터_품목별!$E$3:$E$2984,"93",데이터_품목별!$A$3:$A$2984,"2025.11")</f>
        <v>344118</v>
      </c>
      <c r="Z224" s="55" t="n">
        <f aca="false">SUMIFS(데이터_품목별!$H$3:$H$2984,데이터_품목별!$E$3:$E$2984,"93",데이터_품목별!$A$3:$A$2984,"2025.12")</f>
        <v>282967</v>
      </c>
      <c r="AA224" s="55" t="n">
        <f aca="false">SUMIFS(데이터_품목별!$H$3:$H$2984,데이터_품목별!$E$3:$E$2984,"93",데이터_품목별!$A$3:$A$2984,"2026.01")</f>
        <v>203744</v>
      </c>
      <c r="AB224" s="55" t="n">
        <f aca="false">SUMIFS(데이터_품목별!$H$3:$H$2984,데이터_품목별!$E$3:$E$2984,"93",데이터_품목별!$A$3:$A$2984,"2026.02")</f>
        <v>357141</v>
      </c>
      <c r="AC224" s="55" t="n">
        <f aca="false">SUMIFS(데이터_품목별!$H$3:$H$2984,데이터_품목별!$E$3:$E$2984,"93",데이터_품목별!$A$3:$A$2984,"2026.03")</f>
        <v>332188</v>
      </c>
      <c r="AD224" s="55" t="n">
        <f aca="false">SUMIFS(데이터_품목별!$H$3:$H$2984,데이터_품목별!$E$3:$E$2984,"93",데이터_품목별!$A$3:$A$2984,"2026.04")</f>
        <v>285361</v>
      </c>
      <c r="AE224" s="55" t="n">
        <f aca="false">SUMIFS(데이터_품목별!$H$3:$H$2984,데이터_품목별!$E$3:$E$2984,"93",데이터_품목별!$A$3:$A$2984,"2026.05")</f>
        <v>124558</v>
      </c>
      <c r="AF224" s="55" t="n">
        <f aca="false">SUMIFS(데이터_품목별!$H$3:$H$2984,데이터_품목별!$E$3:$E$2984,"93",데이터_품목별!$A$3:$A$2984,"2026.06")</f>
        <v>229028</v>
      </c>
      <c r="AG224" s="55" t="n">
        <f aca="false">SUMIFS(데이터_품목별!$H$3:$H$2984,데이터_품목별!$E$3:$E$2984,"93",데이터_품목별!$A$3:$A$2984,"2026.07")</f>
        <v>325608</v>
      </c>
    </row>
    <row r="225" customFormat="false" ht="15" hidden="false" customHeight="true" outlineLevel="0" collapsed="false">
      <c r="A225" s="53" t="s">
        <v>19838</v>
      </c>
      <c r="B225" s="46" t="s">
        <v>19839</v>
      </c>
      <c r="C225" s="55" t="n">
        <f aca="false">SUMIFS(데이터_품목별!$H$3:$H$2984,데이터_품목별!$E$3:$E$2984,"94",데이터_품목별!$A$3:$A$2984,"2024.01")+SUMIFS(데이터_품목별!$H$3:$H$2984,데이터_품목별!$E$3:$E$2984,"95",데이터_품목별!$A$3:$A$2984,"2024.01")+SUMIFS(데이터_품목별!$H$3:$H$2984,데이터_품목별!$E$3:$E$2984,"96",데이터_품목별!$A$3:$A$2984,"2024.01")</f>
        <v>192189</v>
      </c>
      <c r="D225" s="55" t="n">
        <f aca="false">SUMIFS(데이터_품목별!$H$3:$H$2984,데이터_품목별!$E$3:$E$2984,"94",데이터_품목별!$A$3:$A$2984,"2024.02")+SUMIFS(데이터_품목별!$H$3:$H$2984,데이터_품목별!$E$3:$E$2984,"95",데이터_품목별!$A$3:$A$2984,"2024.02")+SUMIFS(데이터_품목별!$H$3:$H$2984,데이터_품목별!$E$3:$E$2984,"96",데이터_품목별!$A$3:$A$2984,"2024.02")</f>
        <v>176483</v>
      </c>
      <c r="E225" s="55" t="n">
        <f aca="false">SUMIFS(데이터_품목별!$H$3:$H$2984,데이터_품목별!$E$3:$E$2984,"94",데이터_품목별!$A$3:$A$2984,"2024.03")+SUMIFS(데이터_품목별!$H$3:$H$2984,데이터_품목별!$E$3:$E$2984,"95",데이터_품목별!$A$3:$A$2984,"2024.03")+SUMIFS(데이터_품목별!$H$3:$H$2984,데이터_품목별!$E$3:$E$2984,"96",데이터_품목별!$A$3:$A$2984,"2024.03")</f>
        <v>194090</v>
      </c>
      <c r="F225" s="55" t="n">
        <f aca="false">SUMIFS(데이터_품목별!$H$3:$H$2984,데이터_품목별!$E$3:$E$2984,"94",데이터_품목별!$A$3:$A$2984,"2024.04")+SUMIFS(데이터_품목별!$H$3:$H$2984,데이터_품목별!$E$3:$E$2984,"95",데이터_품목별!$A$3:$A$2984,"2024.04")+SUMIFS(데이터_품목별!$H$3:$H$2984,데이터_품목별!$E$3:$E$2984,"96",데이터_품목별!$A$3:$A$2984,"2024.04")</f>
        <v>201930</v>
      </c>
      <c r="G225" s="55" t="n">
        <f aca="false">SUMIFS(데이터_품목별!$H$3:$H$2984,데이터_품목별!$E$3:$E$2984,"94",데이터_품목별!$A$3:$A$2984,"2024.05")+SUMIFS(데이터_품목별!$H$3:$H$2984,데이터_품목별!$E$3:$E$2984,"95",데이터_품목별!$A$3:$A$2984,"2024.05")+SUMIFS(데이터_품목별!$H$3:$H$2984,데이터_품목별!$E$3:$E$2984,"96",데이터_품목별!$A$3:$A$2984,"2024.05")</f>
        <v>208566</v>
      </c>
      <c r="H225" s="55" t="n">
        <f aca="false">SUMIFS(데이터_품목별!$H$3:$H$2984,데이터_품목별!$E$3:$E$2984,"94",데이터_품목별!$A$3:$A$2984,"2024.06")+SUMIFS(데이터_품목별!$H$3:$H$2984,데이터_품목별!$E$3:$E$2984,"95",데이터_품목별!$A$3:$A$2984,"2024.06")+SUMIFS(데이터_품목별!$H$3:$H$2984,데이터_품목별!$E$3:$E$2984,"96",데이터_품목별!$A$3:$A$2984,"2024.06")</f>
        <v>191546</v>
      </c>
      <c r="I225" s="55" t="n">
        <f aca="false">SUMIFS(데이터_품목별!$H$3:$H$2984,데이터_품목별!$E$3:$E$2984,"94",데이터_품목별!$A$3:$A$2984,"2024.07")+SUMIFS(데이터_품목별!$H$3:$H$2984,데이터_품목별!$E$3:$E$2984,"95",데이터_품목별!$A$3:$A$2984,"2024.07")+SUMIFS(데이터_품목별!$H$3:$H$2984,데이터_품목별!$E$3:$E$2984,"96",데이터_품목별!$A$3:$A$2984,"2024.07")</f>
        <v>211521</v>
      </c>
      <c r="J225" s="55" t="n">
        <f aca="false">SUMIFS(데이터_품목별!$H$3:$H$2984,데이터_품목별!$E$3:$E$2984,"94",데이터_품목별!$A$3:$A$2984,"2024.08")+SUMIFS(데이터_품목별!$H$3:$H$2984,데이터_품목별!$E$3:$E$2984,"95",데이터_품목별!$A$3:$A$2984,"2024.08")+SUMIFS(데이터_품목별!$H$3:$H$2984,데이터_품목별!$E$3:$E$2984,"96",데이터_품목별!$A$3:$A$2984,"2024.08")</f>
        <v>191386</v>
      </c>
      <c r="K225" s="55" t="n">
        <f aca="false">SUMIFS(데이터_품목별!$H$3:$H$2984,데이터_품목별!$E$3:$E$2984,"94",데이터_품목별!$A$3:$A$2984,"2024.09")+SUMIFS(데이터_품목별!$H$3:$H$2984,데이터_품목별!$E$3:$E$2984,"95",데이터_품목별!$A$3:$A$2984,"2024.09")+SUMIFS(데이터_품목별!$H$3:$H$2984,데이터_품목별!$E$3:$E$2984,"96",데이터_품목별!$A$3:$A$2984,"2024.09")</f>
        <v>187985</v>
      </c>
      <c r="L225" s="55" t="n">
        <f aca="false">SUMIFS(데이터_품목별!$H$3:$H$2984,데이터_품목별!$E$3:$E$2984,"94",데이터_품목별!$A$3:$A$2984,"2024.10")+SUMIFS(데이터_품목별!$H$3:$H$2984,데이터_품목별!$E$3:$E$2984,"95",데이터_품목별!$A$3:$A$2984,"2024.10")+SUMIFS(데이터_품목별!$H$3:$H$2984,데이터_품목별!$E$3:$E$2984,"96",데이터_품목별!$A$3:$A$2984,"2024.10")</f>
        <v>217410</v>
      </c>
      <c r="M225" s="55" t="n">
        <f aca="false">SUMIFS(데이터_품목별!$H$3:$H$2984,데이터_품목별!$E$3:$E$2984,"94",데이터_품목별!$A$3:$A$2984,"2024.11")+SUMIFS(데이터_품목별!$H$3:$H$2984,데이터_품목별!$E$3:$E$2984,"95",데이터_품목별!$A$3:$A$2984,"2024.11")+SUMIFS(데이터_품목별!$H$3:$H$2984,데이터_품목별!$E$3:$E$2984,"96",데이터_품목별!$A$3:$A$2984,"2024.11")</f>
        <v>213344</v>
      </c>
      <c r="N225" s="55" t="n">
        <f aca="false">SUMIFS(데이터_품목별!$H$3:$H$2984,데이터_품목별!$E$3:$E$2984,"94",데이터_품목별!$A$3:$A$2984,"2024.12")+SUMIFS(데이터_품목별!$H$3:$H$2984,데이터_품목별!$E$3:$E$2984,"95",데이터_품목별!$A$3:$A$2984,"2024.12")+SUMIFS(데이터_품목별!$H$3:$H$2984,데이터_품목별!$E$3:$E$2984,"96",데이터_품목별!$A$3:$A$2984,"2024.12")</f>
        <v>212521</v>
      </c>
      <c r="O225" s="55" t="n">
        <f aca="false">SUMIFS(데이터_품목별!$H$3:$H$2984,데이터_품목별!$E$3:$E$2984,"94",데이터_품목별!$A$3:$A$2984,"2025.01")+SUMIFS(데이터_품목별!$H$3:$H$2984,데이터_품목별!$E$3:$E$2984,"95",데이터_품목별!$A$3:$A$2984,"2025.01")+SUMIFS(데이터_품목별!$H$3:$H$2984,데이터_품목별!$E$3:$E$2984,"96",데이터_품목별!$A$3:$A$2984,"2025.01")</f>
        <v>168954</v>
      </c>
      <c r="P225" s="55" t="n">
        <f aca="false">SUMIFS(데이터_품목별!$H$3:$H$2984,데이터_품목별!$E$3:$E$2984,"94",데이터_품목별!$A$3:$A$2984,"2025.02")+SUMIFS(데이터_품목별!$H$3:$H$2984,데이터_품목별!$E$3:$E$2984,"95",데이터_품목별!$A$3:$A$2984,"2025.02")+SUMIFS(데이터_품목별!$H$3:$H$2984,데이터_품목별!$E$3:$E$2984,"96",데이터_품목별!$A$3:$A$2984,"2025.02")</f>
        <v>200279</v>
      </c>
      <c r="Q225" s="55" t="n">
        <f aca="false">SUMIFS(데이터_품목별!$H$3:$H$2984,데이터_품목별!$E$3:$E$2984,"94",데이터_품목별!$A$3:$A$2984,"2025.03")+SUMIFS(데이터_품목별!$H$3:$H$2984,데이터_품목별!$E$3:$E$2984,"95",데이터_품목별!$A$3:$A$2984,"2025.03")+SUMIFS(데이터_품목별!$H$3:$H$2984,데이터_품목별!$E$3:$E$2984,"96",데이터_품목별!$A$3:$A$2984,"2025.03")</f>
        <v>201655</v>
      </c>
      <c r="R225" s="55" t="n">
        <f aca="false">SUMIFS(데이터_품목별!$H$3:$H$2984,데이터_품목별!$E$3:$E$2984,"94",데이터_품목별!$A$3:$A$2984,"2025.04")+SUMIFS(데이터_품목별!$H$3:$H$2984,데이터_품목별!$E$3:$E$2984,"95",데이터_품목별!$A$3:$A$2984,"2025.04")+SUMIFS(데이터_품목별!$H$3:$H$2984,데이터_품목별!$E$3:$E$2984,"96",데이터_품목별!$A$3:$A$2984,"2025.04")</f>
        <v>215444</v>
      </c>
      <c r="S225" s="55" t="n">
        <f aca="false">SUMIFS(데이터_품목별!$H$3:$H$2984,데이터_품목별!$E$3:$E$2984,"94",데이터_품목별!$A$3:$A$2984,"2025.05")+SUMIFS(데이터_품목별!$H$3:$H$2984,데이터_품목별!$E$3:$E$2984,"95",데이터_품목별!$A$3:$A$2984,"2025.05")+SUMIFS(데이터_품목별!$H$3:$H$2984,데이터_품목별!$E$3:$E$2984,"96",데이터_품목별!$A$3:$A$2984,"2025.05")</f>
        <v>200639</v>
      </c>
      <c r="T225" s="55" t="n">
        <f aca="false">SUMIFS(데이터_품목별!$H$3:$H$2984,데이터_품목별!$E$3:$E$2984,"94",데이터_품목별!$A$3:$A$2984,"2025.06")+SUMIFS(데이터_품목별!$H$3:$H$2984,데이터_품목별!$E$3:$E$2984,"95",데이터_품목별!$A$3:$A$2984,"2025.06")+SUMIFS(데이터_품목별!$H$3:$H$2984,데이터_품목별!$E$3:$E$2984,"96",데이터_품목별!$A$3:$A$2984,"2025.06")</f>
        <v>197065</v>
      </c>
      <c r="U225" s="55" t="n">
        <f aca="false">SUMIFS(데이터_품목별!$H$3:$H$2984,데이터_품목별!$E$3:$E$2984,"94",데이터_품목별!$A$3:$A$2984,"2025.07")+SUMIFS(데이터_품목별!$H$3:$H$2984,데이터_품목별!$E$3:$E$2984,"95",데이터_품목별!$A$3:$A$2984,"2025.07")+SUMIFS(데이터_품목별!$H$3:$H$2984,데이터_품목별!$E$3:$E$2984,"96",데이터_품목별!$A$3:$A$2984,"2025.07")</f>
        <v>220882</v>
      </c>
      <c r="V225" s="55" t="n">
        <f aca="false">SUMIFS(데이터_품목별!$H$3:$H$2984,데이터_품목별!$E$3:$E$2984,"94",데이터_품목별!$A$3:$A$2984,"2025.08")+SUMIFS(데이터_품목별!$H$3:$H$2984,데이터_품목별!$E$3:$E$2984,"95",데이터_품목별!$A$3:$A$2984,"2025.08")+SUMIFS(데이터_품목별!$H$3:$H$2984,데이터_품목별!$E$3:$E$2984,"96",데이터_품목별!$A$3:$A$2984,"2025.08")</f>
        <v>185841</v>
      </c>
      <c r="W225" s="55" t="n">
        <f aca="false">SUMIFS(데이터_품목별!$H$3:$H$2984,데이터_품목별!$E$3:$E$2984,"94",데이터_품목별!$A$3:$A$2984,"2025.09")+SUMIFS(데이터_품목별!$H$3:$H$2984,데이터_품목별!$E$3:$E$2984,"95",데이터_품목별!$A$3:$A$2984,"2025.09")+SUMIFS(데이터_품목별!$H$3:$H$2984,데이터_품목별!$E$3:$E$2984,"96",데이터_품목별!$A$3:$A$2984,"2025.09")</f>
        <v>232169</v>
      </c>
      <c r="X225" s="55" t="n">
        <f aca="false">SUMIFS(데이터_품목별!$H$3:$H$2984,데이터_품목별!$E$3:$E$2984,"94",데이터_품목별!$A$3:$A$2984,"2025.10")+SUMIFS(데이터_품목별!$H$3:$H$2984,데이터_품목별!$E$3:$E$2984,"95",데이터_품목별!$A$3:$A$2984,"2025.10")+SUMIFS(데이터_품목별!$H$3:$H$2984,데이터_품목별!$E$3:$E$2984,"96",데이터_품목별!$A$3:$A$2984,"2025.10")</f>
        <v>185268</v>
      </c>
      <c r="Y225" s="55" t="n">
        <f aca="false">SUMIFS(데이터_품목별!$H$3:$H$2984,데이터_품목별!$E$3:$E$2984,"94",데이터_품목별!$A$3:$A$2984,"2025.11")+SUMIFS(데이터_품목별!$H$3:$H$2984,데이터_품목별!$E$3:$E$2984,"95",데이터_품목별!$A$3:$A$2984,"2025.11")+SUMIFS(데이터_품목별!$H$3:$H$2984,데이터_품목별!$E$3:$E$2984,"96",데이터_품목별!$A$3:$A$2984,"2025.11")</f>
        <v>204279</v>
      </c>
      <c r="Z225" s="55" t="n">
        <f aca="false">SUMIFS(데이터_품목별!$H$3:$H$2984,데이터_품목별!$E$3:$E$2984,"94",데이터_품목별!$A$3:$A$2984,"2025.12")+SUMIFS(데이터_품목별!$H$3:$H$2984,데이터_품목별!$E$3:$E$2984,"95",데이터_품목별!$A$3:$A$2984,"2025.12")+SUMIFS(데이터_품목별!$H$3:$H$2984,데이터_품목별!$E$3:$E$2984,"96",데이터_품목별!$A$3:$A$2984,"2025.12")</f>
        <v>223426</v>
      </c>
      <c r="AA225" s="55" t="n">
        <f aca="false">SUMIFS(데이터_품목별!$H$3:$H$2984,데이터_품목별!$E$3:$E$2984,"94",데이터_품목별!$A$3:$A$2984,"2026.01")+SUMIFS(데이터_품목별!$H$3:$H$2984,데이터_품목별!$E$3:$E$2984,"95",데이터_품목별!$A$3:$A$2984,"2026.01")+SUMIFS(데이터_품목별!$H$3:$H$2984,데이터_품목별!$E$3:$E$2984,"96",데이터_품목별!$A$3:$A$2984,"2026.01")</f>
        <v>196200</v>
      </c>
      <c r="AB225" s="55" t="n">
        <f aca="false">SUMIFS(데이터_품목별!$H$3:$H$2984,데이터_품목별!$E$3:$E$2984,"94",데이터_품목별!$A$3:$A$2984,"2026.02")+SUMIFS(데이터_품목별!$H$3:$H$2984,데이터_품목별!$E$3:$E$2984,"95",데이터_품목별!$A$3:$A$2984,"2026.02")+SUMIFS(데이터_품목별!$H$3:$H$2984,데이터_품목별!$E$3:$E$2984,"96",데이터_품목별!$A$3:$A$2984,"2026.02")</f>
        <v>180612</v>
      </c>
      <c r="AC225" s="55" t="n">
        <f aca="false">SUMIFS(데이터_품목별!$H$3:$H$2984,데이터_품목별!$E$3:$E$2984,"94",데이터_품목별!$A$3:$A$2984,"2026.03")+SUMIFS(데이터_품목별!$H$3:$H$2984,데이터_품목별!$E$3:$E$2984,"95",데이터_품목별!$A$3:$A$2984,"2026.03")+SUMIFS(데이터_품목별!$H$3:$H$2984,데이터_품목별!$E$3:$E$2984,"96",데이터_품목별!$A$3:$A$2984,"2026.03")</f>
        <v>215445</v>
      </c>
      <c r="AD225" s="55" t="n">
        <f aca="false">SUMIFS(데이터_품목별!$H$3:$H$2984,데이터_품목별!$E$3:$E$2984,"94",데이터_품목별!$A$3:$A$2984,"2026.04")+SUMIFS(데이터_품목별!$H$3:$H$2984,데이터_품목별!$E$3:$E$2984,"95",데이터_품목별!$A$3:$A$2984,"2026.04")+SUMIFS(데이터_품목별!$H$3:$H$2984,데이터_품목별!$E$3:$E$2984,"96",데이터_품목별!$A$3:$A$2984,"2026.04")</f>
        <v>224960</v>
      </c>
      <c r="AE225" s="55" t="n">
        <f aca="false">SUMIFS(데이터_품목별!$H$3:$H$2984,데이터_품목별!$E$3:$E$2984,"94",데이터_품목별!$A$3:$A$2984,"2026.05")+SUMIFS(데이터_품목별!$H$3:$H$2984,데이터_품목별!$E$3:$E$2984,"95",데이터_품목별!$A$3:$A$2984,"2026.05")+SUMIFS(데이터_품목별!$H$3:$H$2984,데이터_품목별!$E$3:$E$2984,"96",데이터_품목별!$A$3:$A$2984,"2026.05")</f>
        <v>198405</v>
      </c>
      <c r="AF225" s="55" t="n">
        <f aca="false">SUMIFS(데이터_품목별!$H$3:$H$2984,데이터_품목별!$E$3:$E$2984,"94",데이터_품목별!$A$3:$A$2984,"2026.06")+SUMIFS(데이터_품목별!$H$3:$H$2984,데이터_품목별!$E$3:$E$2984,"95",데이터_품목별!$A$3:$A$2984,"2026.06")+SUMIFS(데이터_품목별!$H$3:$H$2984,데이터_품목별!$E$3:$E$2984,"96",데이터_품목별!$A$3:$A$2984,"2026.06")</f>
        <v>216824</v>
      </c>
      <c r="AG225" s="55" t="n">
        <f aca="false">SUMIFS(데이터_품목별!$H$3:$H$2984,데이터_품목별!$E$3:$E$2984,"94",데이터_품목별!$A$3:$A$2984,"2026.07")+SUMIFS(데이터_품목별!$H$3:$H$2984,데이터_품목별!$E$3:$E$2984,"95",데이터_품목별!$A$3:$A$2984,"2026.07")+SUMIFS(데이터_품목별!$H$3:$H$2984,데이터_품목별!$E$3:$E$2984,"96",데이터_품목별!$A$3:$A$2984,"2026.07")</f>
        <v>234439</v>
      </c>
    </row>
    <row r="226" customFormat="false" ht="15" hidden="false" customHeight="true" outlineLevel="0" collapsed="false">
      <c r="A226" s="53" t="s">
        <v>19840</v>
      </c>
      <c r="B226" s="46" t="s">
        <v>19841</v>
      </c>
      <c r="C226" s="55" t="n">
        <f aca="false">SUMIFS(데이터_품목별!$H$3:$H$2984,데이터_품목별!$E$3:$E$2984,"97",데이터_품목별!$A$3:$A$2984,"2024.01")</f>
        <v>30149</v>
      </c>
      <c r="D226" s="55" t="n">
        <f aca="false">SUMIFS(데이터_품목별!$H$3:$H$2984,데이터_품목별!$E$3:$E$2984,"97",데이터_품목별!$A$3:$A$2984,"2024.02")</f>
        <v>38501</v>
      </c>
      <c r="E226" s="55" t="n">
        <f aca="false">SUMIFS(데이터_품목별!$H$3:$H$2984,데이터_품목별!$E$3:$E$2984,"97",데이터_품목별!$A$3:$A$2984,"2024.03")</f>
        <v>20572</v>
      </c>
      <c r="F226" s="55" t="n">
        <f aca="false">SUMIFS(데이터_품목별!$H$3:$H$2984,데이터_품목별!$E$3:$E$2984,"97",데이터_품목별!$A$3:$A$2984,"2024.04")</f>
        <v>45739</v>
      </c>
      <c r="G226" s="55" t="n">
        <f aca="false">SUMIFS(데이터_품목별!$H$3:$H$2984,데이터_품목별!$E$3:$E$2984,"97",데이터_품목별!$A$3:$A$2984,"2024.05")</f>
        <v>17073</v>
      </c>
      <c r="H226" s="55" t="n">
        <f aca="false">SUMIFS(데이터_품목별!$H$3:$H$2984,데이터_품목별!$E$3:$E$2984,"97",데이터_품목별!$A$3:$A$2984,"2024.06")</f>
        <v>13778</v>
      </c>
      <c r="I226" s="55" t="n">
        <f aca="false">SUMIFS(데이터_품목별!$H$3:$H$2984,데이터_품목별!$E$3:$E$2984,"97",데이터_품목별!$A$3:$A$2984,"2024.07")</f>
        <v>6695</v>
      </c>
      <c r="J226" s="55" t="n">
        <f aca="false">SUMIFS(데이터_품목별!$H$3:$H$2984,데이터_품목별!$E$3:$E$2984,"97",데이터_품목별!$A$3:$A$2984,"2024.08")</f>
        <v>14718</v>
      </c>
      <c r="K226" s="55" t="n">
        <f aca="false">SUMIFS(데이터_품목별!$H$3:$H$2984,데이터_품목별!$E$3:$E$2984,"97",데이터_품목별!$A$3:$A$2984,"2024.09")</f>
        <v>47307</v>
      </c>
      <c r="L226" s="55" t="n">
        <f aca="false">SUMIFS(데이터_품목별!$H$3:$H$2984,데이터_품목별!$E$3:$E$2984,"97",데이터_품목별!$A$3:$A$2984,"2024.10")</f>
        <v>59511</v>
      </c>
      <c r="M226" s="55" t="n">
        <f aca="false">SUMIFS(데이터_품목별!$H$3:$H$2984,데이터_품목별!$E$3:$E$2984,"97",데이터_품목별!$A$3:$A$2984,"2024.11")</f>
        <v>13667</v>
      </c>
      <c r="N226" s="55" t="n">
        <f aca="false">SUMIFS(데이터_품목별!$H$3:$H$2984,데이터_품목별!$E$3:$E$2984,"97",데이터_품목별!$A$3:$A$2984,"2024.12")</f>
        <v>16463</v>
      </c>
      <c r="O226" s="55" t="n">
        <f aca="false">SUMIFS(데이터_품목별!$H$3:$H$2984,데이터_품목별!$E$3:$E$2984,"97",데이터_품목별!$A$3:$A$2984,"2025.01")</f>
        <v>19833</v>
      </c>
      <c r="P226" s="55" t="n">
        <f aca="false">SUMIFS(데이터_품목별!$H$3:$H$2984,데이터_품목별!$E$3:$E$2984,"97",데이터_품목별!$A$3:$A$2984,"2025.02")</f>
        <v>24943</v>
      </c>
      <c r="Q226" s="55" t="n">
        <f aca="false">SUMIFS(데이터_품목별!$H$3:$H$2984,데이터_품목별!$E$3:$E$2984,"97",데이터_품목별!$A$3:$A$2984,"2025.03")</f>
        <v>17557</v>
      </c>
      <c r="R226" s="55" t="n">
        <f aca="false">SUMIFS(데이터_품목별!$H$3:$H$2984,데이터_품목별!$E$3:$E$2984,"97",데이터_품목별!$A$3:$A$2984,"2025.04")</f>
        <v>44654</v>
      </c>
      <c r="S226" s="55" t="n">
        <f aca="false">SUMIFS(데이터_품목별!$H$3:$H$2984,데이터_품목별!$E$3:$E$2984,"97",데이터_품목별!$A$3:$A$2984,"2025.05")</f>
        <v>27479</v>
      </c>
      <c r="T226" s="55" t="n">
        <f aca="false">SUMIFS(데이터_품목별!$H$3:$H$2984,데이터_품목별!$E$3:$E$2984,"97",데이터_품목별!$A$3:$A$2984,"2025.06")</f>
        <v>8750</v>
      </c>
      <c r="U226" s="55" t="n">
        <f aca="false">SUMIFS(데이터_품목별!$H$3:$H$2984,데이터_품목별!$E$3:$E$2984,"97",데이터_품목별!$A$3:$A$2984,"2025.07")</f>
        <v>36161</v>
      </c>
      <c r="V226" s="55" t="n">
        <f aca="false">SUMIFS(데이터_품목별!$H$3:$H$2984,데이터_품목별!$E$3:$E$2984,"97",데이터_품목별!$A$3:$A$2984,"2025.08")</f>
        <v>14438</v>
      </c>
      <c r="W226" s="55" t="n">
        <f aca="false">SUMIFS(데이터_품목별!$H$3:$H$2984,데이터_품목별!$E$3:$E$2984,"97",데이터_품목별!$A$3:$A$2984,"2025.09")</f>
        <v>95394</v>
      </c>
      <c r="X226" s="55" t="n">
        <f aca="false">SUMIFS(데이터_품목별!$H$3:$H$2984,데이터_품목별!$E$3:$E$2984,"97",데이터_품목별!$A$3:$A$2984,"2025.10")</f>
        <v>33834</v>
      </c>
      <c r="Y226" s="55" t="n">
        <f aca="false">SUMIFS(데이터_품목별!$H$3:$H$2984,데이터_품목별!$E$3:$E$2984,"97",데이터_품목별!$A$3:$A$2984,"2025.11")</f>
        <v>14417</v>
      </c>
      <c r="Z226" s="55" t="n">
        <f aca="false">SUMIFS(데이터_품목별!$H$3:$H$2984,데이터_품목별!$E$3:$E$2984,"97",데이터_품목별!$A$3:$A$2984,"2025.12")</f>
        <v>22587</v>
      </c>
      <c r="AA226" s="55" t="n">
        <f aca="false">SUMIFS(데이터_품목별!$H$3:$H$2984,데이터_품목별!$E$3:$E$2984,"97",데이터_품목별!$A$3:$A$2984,"2026.01")</f>
        <v>21931</v>
      </c>
      <c r="AB226" s="55" t="n">
        <f aca="false">SUMIFS(데이터_품목별!$H$3:$H$2984,데이터_품목별!$E$3:$E$2984,"97",데이터_품목별!$A$3:$A$2984,"2026.02")</f>
        <v>16783</v>
      </c>
      <c r="AC226" s="55" t="n">
        <f aca="false">SUMIFS(데이터_품목별!$H$3:$H$2984,데이터_품목별!$E$3:$E$2984,"97",데이터_품목별!$A$3:$A$2984,"2026.03")</f>
        <v>35026</v>
      </c>
      <c r="AD226" s="55" t="n">
        <f aca="false">SUMIFS(데이터_품목별!$H$3:$H$2984,데이터_품목별!$E$3:$E$2984,"97",데이터_품목별!$A$3:$A$2984,"2026.04")</f>
        <v>13734</v>
      </c>
      <c r="AE226" s="55" t="n">
        <f aca="false">SUMIFS(데이터_품목별!$H$3:$H$2984,데이터_품목별!$E$3:$E$2984,"97",데이터_품목별!$A$3:$A$2984,"2026.05")</f>
        <v>16884</v>
      </c>
      <c r="AF226" s="55" t="n">
        <f aca="false">SUMIFS(데이터_품목별!$H$3:$H$2984,데이터_품목별!$E$3:$E$2984,"97",데이터_품목별!$A$3:$A$2984,"2026.06")</f>
        <v>11400</v>
      </c>
      <c r="AG226" s="55" t="n">
        <f aca="false">SUMIFS(데이터_품목별!$H$3:$H$2984,데이터_품목별!$E$3:$E$2984,"97",데이터_품목별!$A$3:$A$2984,"2026.07")</f>
        <v>15110</v>
      </c>
    </row>
    <row r="227" customFormat="false" ht="15" hidden="false" customHeight="true" outlineLevel="0" collapsed="false">
      <c r="A227" s="56" t="s">
        <v>19842</v>
      </c>
      <c r="B227" s="54" t="s">
        <v>19843</v>
      </c>
      <c r="C227" s="55" t="n">
        <f aca="false">SUMIFS(데이터_품목별!$H$3:$H$2984,데이터_품목별!$E$3:$E$2984,"99",데이터_품목별!$A$3:$A$2984,"2024.01")</f>
        <v>0</v>
      </c>
      <c r="D227" s="55" t="n">
        <f aca="false">SUMIFS(데이터_품목별!$H$3:$H$2984,데이터_품목별!$E$3:$E$2984,"99",데이터_품목별!$A$3:$A$2984,"2024.02")</f>
        <v>0</v>
      </c>
      <c r="E227" s="55" t="n">
        <f aca="false">SUMIFS(데이터_품목별!$H$3:$H$2984,데이터_품목별!$E$3:$E$2984,"99",데이터_품목별!$A$3:$A$2984,"2024.03")</f>
        <v>0</v>
      </c>
      <c r="F227" s="55" t="n">
        <f aca="false">SUMIFS(데이터_품목별!$H$3:$H$2984,데이터_품목별!$E$3:$E$2984,"99",데이터_품목별!$A$3:$A$2984,"2024.04")</f>
        <v>0</v>
      </c>
      <c r="G227" s="55" t="n">
        <f aca="false">SUMIFS(데이터_품목별!$H$3:$H$2984,데이터_품목별!$E$3:$E$2984,"99",데이터_품목별!$A$3:$A$2984,"2024.05")</f>
        <v>0</v>
      </c>
      <c r="H227" s="55" t="n">
        <f aca="false">SUMIFS(데이터_품목별!$H$3:$H$2984,데이터_품목별!$E$3:$E$2984,"99",데이터_품목별!$A$3:$A$2984,"2024.06")</f>
        <v>0</v>
      </c>
      <c r="I227" s="55" t="n">
        <f aca="false">SUMIFS(데이터_품목별!$H$3:$H$2984,데이터_품목별!$E$3:$E$2984,"99",데이터_품목별!$A$3:$A$2984,"2024.07")</f>
        <v>0</v>
      </c>
      <c r="J227" s="55" t="n">
        <f aca="false">SUMIFS(데이터_품목별!$H$3:$H$2984,데이터_품목별!$E$3:$E$2984,"99",데이터_품목별!$A$3:$A$2984,"2024.08")</f>
        <v>0</v>
      </c>
      <c r="K227" s="55" t="n">
        <f aca="false">SUMIFS(데이터_품목별!$H$3:$H$2984,데이터_품목별!$E$3:$E$2984,"99",데이터_품목별!$A$3:$A$2984,"2024.09")</f>
        <v>0</v>
      </c>
      <c r="L227" s="55" t="n">
        <f aca="false">SUMIFS(데이터_품목별!$H$3:$H$2984,데이터_품목별!$E$3:$E$2984,"99",데이터_품목별!$A$3:$A$2984,"2024.10")</f>
        <v>0</v>
      </c>
      <c r="M227" s="55" t="n">
        <f aca="false">SUMIFS(데이터_품목별!$H$3:$H$2984,데이터_품목별!$E$3:$E$2984,"99",데이터_품목별!$A$3:$A$2984,"2024.11")</f>
        <v>0</v>
      </c>
      <c r="N227" s="55" t="n">
        <f aca="false">SUMIFS(데이터_품목별!$H$3:$H$2984,데이터_품목별!$E$3:$E$2984,"99",데이터_품목별!$A$3:$A$2984,"2024.12")</f>
        <v>0</v>
      </c>
      <c r="O227" s="55" t="n">
        <f aca="false">SUMIFS(데이터_품목별!$H$3:$H$2984,데이터_품목별!$E$3:$E$2984,"99",데이터_품목별!$A$3:$A$2984,"2025.01")</f>
        <v>0</v>
      </c>
      <c r="P227" s="55" t="n">
        <f aca="false">SUMIFS(데이터_품목별!$H$3:$H$2984,데이터_품목별!$E$3:$E$2984,"99",데이터_품목별!$A$3:$A$2984,"2025.02")</f>
        <v>0</v>
      </c>
      <c r="Q227" s="55" t="n">
        <f aca="false">SUMIFS(데이터_품목별!$H$3:$H$2984,데이터_품목별!$E$3:$E$2984,"99",데이터_품목별!$A$3:$A$2984,"2025.03")</f>
        <v>0</v>
      </c>
      <c r="R227" s="55" t="n">
        <f aca="false">SUMIFS(데이터_품목별!$H$3:$H$2984,데이터_품목별!$E$3:$E$2984,"99",데이터_품목별!$A$3:$A$2984,"2025.04")</f>
        <v>0</v>
      </c>
      <c r="S227" s="55" t="n">
        <f aca="false">SUMIFS(데이터_품목별!$H$3:$H$2984,데이터_품목별!$E$3:$E$2984,"99",데이터_품목별!$A$3:$A$2984,"2025.05")</f>
        <v>0</v>
      </c>
      <c r="T227" s="55" t="n">
        <f aca="false">SUMIFS(데이터_품목별!$H$3:$H$2984,데이터_품목별!$E$3:$E$2984,"99",데이터_품목별!$A$3:$A$2984,"2025.06")</f>
        <v>0</v>
      </c>
      <c r="U227" s="55" t="n">
        <f aca="false">SUMIFS(데이터_품목별!$H$3:$H$2984,데이터_품목별!$E$3:$E$2984,"99",데이터_품목별!$A$3:$A$2984,"2025.07")</f>
        <v>0</v>
      </c>
      <c r="V227" s="55" t="n">
        <f aca="false">SUMIFS(데이터_품목별!$H$3:$H$2984,데이터_품목별!$E$3:$E$2984,"99",데이터_품목별!$A$3:$A$2984,"2025.08")</f>
        <v>0</v>
      </c>
      <c r="W227" s="55" t="n">
        <f aca="false">SUMIFS(데이터_품목별!$H$3:$H$2984,데이터_품목별!$E$3:$E$2984,"99",데이터_품목별!$A$3:$A$2984,"2025.09")</f>
        <v>0</v>
      </c>
      <c r="X227" s="55" t="n">
        <f aca="false">SUMIFS(데이터_품목별!$H$3:$H$2984,데이터_품목별!$E$3:$E$2984,"99",데이터_품목별!$A$3:$A$2984,"2025.10")</f>
        <v>0</v>
      </c>
      <c r="Y227" s="55" t="n">
        <f aca="false">SUMIFS(데이터_품목별!$H$3:$H$2984,데이터_품목별!$E$3:$E$2984,"99",데이터_품목별!$A$3:$A$2984,"2025.11")</f>
        <v>0</v>
      </c>
      <c r="Z227" s="55" t="n">
        <f aca="false">SUMIFS(데이터_품목별!$H$3:$H$2984,데이터_품목별!$E$3:$E$2984,"99",데이터_품목별!$A$3:$A$2984,"2025.12")</f>
        <v>0</v>
      </c>
      <c r="AA227" s="55" t="n">
        <f aca="false">SUMIFS(데이터_품목별!$H$3:$H$2984,데이터_품목별!$E$3:$E$2984,"99",데이터_품목별!$A$3:$A$2984,"2026.01")</f>
        <v>0</v>
      </c>
      <c r="AB227" s="55" t="n">
        <f aca="false">SUMIFS(데이터_품목별!$H$3:$H$2984,데이터_품목별!$E$3:$E$2984,"99",데이터_품목별!$A$3:$A$2984,"2026.02")</f>
        <v>0</v>
      </c>
      <c r="AC227" s="55" t="n">
        <f aca="false">SUMIFS(데이터_품목별!$H$3:$H$2984,데이터_품목별!$E$3:$E$2984,"99",데이터_품목별!$A$3:$A$2984,"2026.03")</f>
        <v>0</v>
      </c>
      <c r="AD227" s="55" t="n">
        <f aca="false">SUMIFS(데이터_품목별!$H$3:$H$2984,데이터_품목별!$E$3:$E$2984,"99",데이터_품목별!$A$3:$A$2984,"2026.04")</f>
        <v>0</v>
      </c>
      <c r="AE227" s="55" t="n">
        <f aca="false">SUMIFS(데이터_품목별!$H$3:$H$2984,데이터_품목별!$E$3:$E$2984,"99",데이터_품목별!$A$3:$A$2984,"2026.05")</f>
        <v>0</v>
      </c>
      <c r="AF227" s="55" t="n">
        <f aca="false">SUMIFS(데이터_품목별!$H$3:$H$2984,데이터_품목별!$E$3:$E$2984,"99",데이터_품목별!$A$3:$A$2984,"2026.06")</f>
        <v>0</v>
      </c>
      <c r="AG227" s="55" t="n">
        <f aca="false">SUMIFS(데이터_품목별!$H$3:$H$2984,데이터_품목별!$E$3:$E$2984,"99",데이터_품목별!$A$3:$A$2984,"2026.07")</f>
        <v>0</v>
      </c>
    </row>
    <row r="229" customFormat="false" ht="14.25" hidden="false" customHeight="true" outlineLevel="0" collapsed="false">
      <c r="A229" s="23" t="s">
        <v>19844</v>
      </c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customFormat="false" ht="15" hidden="false" customHeight="true" outlineLevel="0" collapsed="false">
      <c r="A230" s="5" t="s">
        <v>19797</v>
      </c>
      <c r="B230" s="5" t="s">
        <v>19663</v>
      </c>
      <c r="C230" s="44" t="s">
        <v>74</v>
      </c>
      <c r="D230" s="44" t="s">
        <v>83</v>
      </c>
      <c r="E230" s="44" t="s">
        <v>92</v>
      </c>
      <c r="F230" s="44" t="s">
        <v>101</v>
      </c>
      <c r="G230" s="44" t="s">
        <v>110</v>
      </c>
      <c r="H230" s="44" t="s">
        <v>119</v>
      </c>
      <c r="I230" s="44" t="s">
        <v>128</v>
      </c>
      <c r="J230" s="44" t="s">
        <v>137</v>
      </c>
      <c r="K230" s="44" t="s">
        <v>146</v>
      </c>
      <c r="L230" s="44" t="s">
        <v>155</v>
      </c>
      <c r="M230" s="44" t="s">
        <v>163</v>
      </c>
      <c r="N230" s="44" t="s">
        <v>171</v>
      </c>
      <c r="O230" s="44" t="s">
        <v>179</v>
      </c>
      <c r="P230" s="44" t="s">
        <v>187</v>
      </c>
      <c r="Q230" s="44" t="s">
        <v>195</v>
      </c>
      <c r="R230" s="44" t="s">
        <v>203</v>
      </c>
      <c r="S230" s="44" t="s">
        <v>211</v>
      </c>
      <c r="T230" s="44" t="s">
        <v>219</v>
      </c>
      <c r="U230" s="44" t="s">
        <v>228</v>
      </c>
      <c r="V230" s="44" t="s">
        <v>236</v>
      </c>
      <c r="W230" s="44" t="s">
        <v>244</v>
      </c>
      <c r="X230" s="44" t="s">
        <v>252</v>
      </c>
      <c r="Y230" s="44" t="s">
        <v>260</v>
      </c>
      <c r="Z230" s="44" t="s">
        <v>268</v>
      </c>
      <c r="AA230" s="44" t="s">
        <v>276</v>
      </c>
      <c r="AB230" s="44" t="s">
        <v>284</v>
      </c>
      <c r="AC230" s="44" t="s">
        <v>293</v>
      </c>
      <c r="AD230" s="44" t="s">
        <v>301</v>
      </c>
      <c r="AE230" s="44" t="s">
        <v>309</v>
      </c>
      <c r="AF230" s="44" t="s">
        <v>317</v>
      </c>
      <c r="AG230" s="44" t="s">
        <v>325</v>
      </c>
    </row>
    <row r="231" customFormat="false" ht="15" hidden="false" customHeight="true" outlineLevel="0" collapsed="false">
      <c r="A231" s="53" t="s">
        <v>19845</v>
      </c>
      <c r="B231" s="46" t="s">
        <v>19846</v>
      </c>
      <c r="C231" s="55" t="n">
        <f aca="false">SUMIFS(데이터_성질별수출!$G$3:$G$653,데이터_성질별수출!$E$3:$E$653,$B231,데이터_성질별수출!$A$3:$A$653,"2024.01")</f>
        <v>861851</v>
      </c>
      <c r="D231" s="55" t="n">
        <f aca="false">SUMIFS(데이터_성질별수출!$G$3:$G$653,데이터_성질별수출!$E$3:$E$653,$B231,데이터_성질별수출!$A$3:$A$653,"2024.02")</f>
        <v>853231</v>
      </c>
      <c r="E231" s="55" t="n">
        <f aca="false">SUMIFS(데이터_성질별수출!$G$3:$G$653,데이터_성질별수출!$E$3:$E$653,$B231,데이터_성질별수출!$A$3:$A$653,"2024.03")</f>
        <v>928955</v>
      </c>
      <c r="F231" s="55" t="n">
        <f aca="false">SUMIFS(데이터_성질별수출!$G$3:$G$653,데이터_성질별수출!$E$3:$E$653,$B231,데이터_성질별수출!$A$3:$A$653,"2024.04")</f>
        <v>1036998</v>
      </c>
      <c r="G231" s="55" t="n">
        <f aca="false">SUMIFS(데이터_성질별수출!$G$3:$G$653,데이터_성질별수출!$E$3:$E$653,$B231,데이터_성질별수출!$A$3:$A$653,"2024.05")</f>
        <v>975287</v>
      </c>
      <c r="H231" s="55" t="n">
        <f aca="false">SUMIFS(데이터_성질별수출!$G$3:$G$653,데이터_성질별수출!$E$3:$E$653,$B231,데이터_성질별수출!$A$3:$A$653,"2024.06")</f>
        <v>938120</v>
      </c>
      <c r="I231" s="55" t="n">
        <f aca="false">SUMIFS(데이터_성질별수출!$G$3:$G$653,데이터_성질별수출!$E$3:$E$653,$B231,데이터_성질별수출!$A$3:$A$653,"2024.07")</f>
        <v>1035638</v>
      </c>
      <c r="J231" s="55" t="n">
        <f aca="false">SUMIFS(데이터_성질별수출!$G$3:$G$653,데이터_성질별수출!$E$3:$E$653,$B231,데이터_성질별수출!$A$3:$A$653,"2024.08")</f>
        <v>929598</v>
      </c>
      <c r="K231" s="55" t="n">
        <f aca="false">SUMIFS(데이터_성질별수출!$G$3:$G$653,데이터_성질별수출!$E$3:$E$653,$B231,데이터_성질별수출!$A$3:$A$653,"2024.09")</f>
        <v>939280</v>
      </c>
      <c r="L231" s="55" t="n">
        <f aca="false">SUMIFS(데이터_성질별수출!$G$3:$G$653,데이터_성질별수출!$E$3:$E$653,$B231,데이터_성질별수출!$A$3:$A$653,"2024.10")</f>
        <v>1036469</v>
      </c>
      <c r="M231" s="55" t="n">
        <f aca="false">SUMIFS(데이터_성질별수출!$G$3:$G$653,데이터_성질별수출!$E$3:$E$653,$B231,데이터_성질별수출!$A$3:$A$653,"2024.11")</f>
        <v>1014150</v>
      </c>
      <c r="N231" s="55" t="n">
        <f aca="false">SUMIFS(데이터_성질별수출!$G$3:$G$653,데이터_성질별수출!$E$3:$E$653,$B231,데이터_성질별수출!$A$3:$A$653,"2024.12")</f>
        <v>1047968</v>
      </c>
      <c r="O231" s="55" t="n">
        <f aca="false">SUMIFS(데이터_성질별수출!$G$3:$G$653,데이터_성질별수출!$E$3:$E$653,$B231,데이터_성질별수출!$A$3:$A$653,"2025.01")</f>
        <v>845494</v>
      </c>
      <c r="P231" s="55" t="n">
        <f aca="false">SUMIFS(데이터_성질별수출!$G$3:$G$653,데이터_성질별수출!$E$3:$E$653,$B231,데이터_성질별수출!$A$3:$A$653,"2025.02")</f>
        <v>999036</v>
      </c>
      <c r="Q231" s="55" t="n">
        <f aca="false">SUMIFS(데이터_성질별수출!$G$3:$G$653,데이터_성질별수출!$E$3:$E$653,$B231,데이터_성질별수출!$A$3:$A$653,"2025.03")</f>
        <v>1007486</v>
      </c>
      <c r="R231" s="55" t="n">
        <f aca="false">SUMIFS(데이터_성질별수출!$G$3:$G$653,데이터_성질별수출!$E$3:$E$653,$B231,데이터_성질별수출!$A$3:$A$653,"2025.04")</f>
        <v>1120286</v>
      </c>
      <c r="S231" s="55" t="n">
        <f aca="false">SUMIFS(데이터_성질별수출!$G$3:$G$653,데이터_성질별수출!$E$3:$E$653,$B231,데이터_성질별수출!$A$3:$A$653,"2025.05")</f>
        <v>1030401</v>
      </c>
      <c r="T231" s="55" t="n">
        <f aca="false">SUMIFS(데이터_성질별수출!$G$3:$G$653,데이터_성질별수출!$E$3:$E$653,$B231,데이터_성질별수출!$A$3:$A$653,"2025.06")</f>
        <v>992676</v>
      </c>
      <c r="U231" s="55" t="n">
        <f aca="false">SUMIFS(데이터_성질별수출!$G$3:$G$653,데이터_성질별수출!$E$3:$E$653,$B231,데이터_성질별수출!$A$3:$A$653,"2025.07")</f>
        <v>1054480</v>
      </c>
      <c r="V231" s="55" t="n">
        <f aca="false">SUMIFS(데이터_성질별수출!$G$3:$G$653,데이터_성질별수출!$E$3:$E$653,$B231,데이터_성질별수출!$A$3:$A$653,"2025.08")</f>
        <v>954742</v>
      </c>
      <c r="W231" s="55" t="n">
        <f aca="false">SUMIFS(데이터_성질별수출!$G$3:$G$653,데이터_성질별수출!$E$3:$E$653,$B231,데이터_성질별수출!$A$3:$A$653,"2025.09")</f>
        <v>1156240</v>
      </c>
      <c r="X231" s="55" t="n">
        <f aca="false">SUMIFS(데이터_성질별수출!$G$3:$G$653,데이터_성질별수출!$E$3:$E$653,$B231,데이터_성질별수출!$A$3:$A$653,"2025.10")</f>
        <v>982583</v>
      </c>
      <c r="Y231" s="55" t="n">
        <f aca="false">SUMIFS(데이터_성질별수출!$G$3:$G$653,데이터_성질별수출!$E$3:$E$653,$B231,데이터_성질별수출!$A$3:$A$653,"2025.11")</f>
        <v>1035914</v>
      </c>
      <c r="Z231" s="55" t="n">
        <f aca="false">SUMIFS(데이터_성질별수출!$G$3:$G$653,데이터_성질별수출!$E$3:$E$653,$B231,데이터_성질별수출!$A$3:$A$653,"2025.12")</f>
        <v>1124957</v>
      </c>
      <c r="AA231" s="55" t="n">
        <f aca="false">SUMIFS(데이터_성질별수출!$G$3:$G$653,데이터_성질별수출!$E$3:$E$653,$B231,데이터_성질별수출!$A$3:$A$653,"2026.01")</f>
        <v>1018552</v>
      </c>
      <c r="AB231" s="55" t="n">
        <f aca="false">SUMIFS(데이터_성질별수출!$G$3:$G$653,데이터_성질별수출!$E$3:$E$653,$B231,데이터_성질별수출!$A$3:$A$653,"2026.02")</f>
        <v>926368</v>
      </c>
      <c r="AC231" s="55" t="n">
        <f aca="false">SUMIFS(데이터_성질별수출!$G$3:$G$653,데이터_성질별수출!$E$3:$E$653,$B231,데이터_성질별수출!$A$3:$A$653,"2026.03")</f>
        <v>1169585</v>
      </c>
      <c r="AD231" s="55" t="n">
        <f aca="false">SUMIFS(데이터_성질별수출!$G$3:$G$653,데이터_성질별수출!$E$3:$E$653,$B231,데이터_성질별수출!$A$3:$A$653,"2026.04")</f>
        <v>1206533</v>
      </c>
      <c r="AE231" s="55" t="n">
        <f aca="false">SUMIFS(데이터_성질별수출!$G$3:$G$653,데이터_성질별수출!$E$3:$E$653,$B231,데이터_성질별수출!$A$3:$A$653,"2026.05")</f>
        <v>1061105</v>
      </c>
      <c r="AF231" s="55" t="n">
        <f aca="false">SUMIFS(데이터_성질별수출!$G$3:$G$653,데이터_성질별수출!$E$3:$E$653,$B231,데이터_성질별수출!$A$3:$A$653,"2026.06")</f>
        <v>1152581</v>
      </c>
      <c r="AG231" s="55" t="n">
        <f aca="false">SUMIFS(데이터_성질별수출!$G$3:$G$653,데이터_성질별수출!$E$3:$E$653,$B231,데이터_성질별수출!$A$3:$A$653,"2026.07")</f>
        <v>1081841</v>
      </c>
    </row>
    <row r="232" customFormat="false" ht="15" hidden="false" customHeight="true" outlineLevel="0" collapsed="false">
      <c r="A232" s="53" t="s">
        <v>19847</v>
      </c>
      <c r="B232" s="46" t="s">
        <v>19848</v>
      </c>
      <c r="C232" s="55" t="n">
        <f aca="false">SUMIFS(데이터_성질별수출!$G$3:$G$653,데이터_성질별수출!$E$3:$E$653,$B232,데이터_성질별수출!$A$3:$A$653,"2024.01")</f>
        <v>5596612</v>
      </c>
      <c r="D232" s="55" t="n">
        <f aca="false">SUMIFS(데이터_성질별수출!$G$3:$G$653,데이터_성질별수출!$E$3:$E$653,$B232,데이터_성질별수출!$A$3:$A$653,"2024.02")</f>
        <v>5192129</v>
      </c>
      <c r="E232" s="55" t="n">
        <f aca="false">SUMIFS(데이터_성질별수출!$G$3:$G$653,데이터_성질별수출!$E$3:$E$653,$B232,데이터_성질별수출!$A$3:$A$653,"2024.03")</f>
        <v>5410466</v>
      </c>
      <c r="F232" s="55" t="n">
        <f aca="false">SUMIFS(데이터_성질별수출!$G$3:$G$653,데이터_성질별수출!$E$3:$E$653,$B232,데이터_성질별수출!$A$3:$A$653,"2024.04")</f>
        <v>5106982</v>
      </c>
      <c r="G232" s="55" t="n">
        <f aca="false">SUMIFS(데이터_성질별수출!$G$3:$G$653,데이터_성질별수출!$E$3:$E$653,$B232,데이터_성질별수출!$A$3:$A$653,"2024.05")</f>
        <v>5465061</v>
      </c>
      <c r="H232" s="55" t="n">
        <f aca="false">SUMIFS(데이터_성질별수출!$G$3:$G$653,데이터_성질별수출!$E$3:$E$653,$B232,데이터_성질별수출!$A$3:$A$653,"2024.06")</f>
        <v>4622158</v>
      </c>
      <c r="I232" s="55" t="n">
        <f aca="false">SUMIFS(데이터_성질별수출!$G$3:$G$653,데이터_성질별수출!$E$3:$E$653,$B232,데이터_성질별수출!$A$3:$A$653,"2024.07")</f>
        <v>5451035</v>
      </c>
      <c r="J232" s="55" t="n">
        <f aca="false">SUMIFS(데이터_성질별수출!$G$3:$G$653,데이터_성질별수출!$E$3:$E$653,$B232,데이터_성질별수출!$A$3:$A$653,"2024.08")</f>
        <v>5373593</v>
      </c>
      <c r="K232" s="55" t="n">
        <f aca="false">SUMIFS(데이터_성질별수출!$G$3:$G$653,데이터_성질별수출!$E$3:$E$653,$B232,데이터_성질별수출!$A$3:$A$653,"2024.09")</f>
        <v>4934553</v>
      </c>
      <c r="L232" s="55" t="n">
        <f aca="false">SUMIFS(데이터_성질별수출!$G$3:$G$653,데이터_성질별수출!$E$3:$E$653,$B232,데이터_성질별수출!$A$3:$A$653,"2024.10")</f>
        <v>4328714</v>
      </c>
      <c r="M232" s="55" t="n">
        <f aca="false">SUMIFS(데이터_성질별수출!$G$3:$G$653,데이터_성질별수출!$E$3:$E$653,$B232,데이터_성질별수출!$A$3:$A$653,"2024.11")</f>
        <v>4489618</v>
      </c>
      <c r="N232" s="55" t="n">
        <f aca="false">SUMIFS(데이터_성질별수출!$G$3:$G$653,데이터_성질별수출!$E$3:$E$653,$B232,데이터_성질별수출!$A$3:$A$653,"2024.12")</f>
        <v>4944064</v>
      </c>
      <c r="O232" s="55" t="n">
        <f aca="false">SUMIFS(데이터_성질별수출!$G$3:$G$653,데이터_성질별수출!$E$3:$E$653,$B232,데이터_성질별수출!$A$3:$A$653,"2025.01")</f>
        <v>4217118</v>
      </c>
      <c r="P232" s="55" t="n">
        <f aca="false">SUMIFS(데이터_성질별수출!$G$3:$G$653,데이터_성질별수출!$E$3:$E$653,$B232,데이터_성질별수출!$A$3:$A$653,"2025.02")</f>
        <v>4637327</v>
      </c>
      <c r="Q232" s="55" t="n">
        <f aca="false">SUMIFS(데이터_성질별수출!$G$3:$G$653,데이터_성질별수출!$E$3:$E$653,$B232,데이터_성질별수출!$A$3:$A$653,"2025.03")</f>
        <v>4081553</v>
      </c>
      <c r="R232" s="55" t="n">
        <f aca="false">SUMIFS(데이터_성질별수출!$G$3:$G$653,데이터_성질별수출!$E$3:$E$653,$B232,데이터_성질별수출!$A$3:$A$653,"2025.04")</f>
        <v>4532206</v>
      </c>
      <c r="S232" s="55" t="n">
        <f aca="false">SUMIFS(데이터_성질별수출!$G$3:$G$653,데이터_성질별수출!$E$3:$E$653,$B232,데이터_성질별수출!$A$3:$A$653,"2025.05")</f>
        <v>4410634</v>
      </c>
      <c r="T232" s="55" t="n">
        <f aca="false">SUMIFS(데이터_성질별수출!$G$3:$G$653,데이터_성질별수출!$E$3:$E$653,$B232,데이터_성질별수출!$A$3:$A$653,"2025.06")</f>
        <v>4633952</v>
      </c>
      <c r="U232" s="55" t="n">
        <f aca="false">SUMIFS(데이터_성질별수출!$G$3:$G$653,데이터_성질별수출!$E$3:$E$653,$B232,데이터_성질별수출!$A$3:$A$653,"2025.07")</f>
        <v>5238632</v>
      </c>
      <c r="V232" s="55" t="n">
        <f aca="false">SUMIFS(데이터_성질별수출!$G$3:$G$653,데이터_성질별수출!$E$3:$E$653,$B232,데이터_성질별수출!$A$3:$A$653,"2025.08")</f>
        <v>4996545</v>
      </c>
      <c r="W232" s="55" t="n">
        <f aca="false">SUMIFS(데이터_성질별수출!$G$3:$G$653,데이터_성질별수출!$E$3:$E$653,$B232,데이터_성질별수출!$A$3:$A$653,"2025.09")</f>
        <v>5082762</v>
      </c>
      <c r="X232" s="55" t="n">
        <f aca="false">SUMIFS(데이터_성질별수출!$G$3:$G$653,데이터_성질별수출!$E$3:$E$653,$B232,데이터_성질별수출!$A$3:$A$653,"2025.10")</f>
        <v>4636820</v>
      </c>
      <c r="Y232" s="55" t="n">
        <f aca="false">SUMIFS(데이터_성질별수출!$G$3:$G$653,데이터_성질별수출!$E$3:$E$653,$B232,데이터_성질별수출!$A$3:$A$653,"2025.11")</f>
        <v>4182136</v>
      </c>
      <c r="Z232" s="55" t="n">
        <f aca="false">SUMIFS(데이터_성질별수출!$G$3:$G$653,데이터_성질별수출!$E$3:$E$653,$B232,데이터_성질별수출!$A$3:$A$653,"2025.12")</f>
        <v>5215225</v>
      </c>
      <c r="AA232" s="55" t="n">
        <f aca="false">SUMIFS(데이터_성질별수출!$G$3:$G$653,데이터_성질별수출!$E$3:$E$653,$B232,데이터_성질별수출!$A$3:$A$653,"2026.01")</f>
        <v>4654223</v>
      </c>
      <c r="AB232" s="55" t="n">
        <f aca="false">SUMIFS(데이터_성질별수출!$G$3:$G$653,데이터_성질별수출!$E$3:$E$653,$B232,데이터_성질별수출!$A$3:$A$653,"2026.02")</f>
        <v>4914885</v>
      </c>
      <c r="AC232" s="55" t="n">
        <f aca="false">SUMIFS(데이터_성질별수출!$G$3:$G$653,데이터_성질별수출!$E$3:$E$653,$B232,데이터_성질별수출!$A$3:$A$653,"2026.03")</f>
        <v>7280697</v>
      </c>
      <c r="AD232" s="55" t="n">
        <f aca="false">SUMIFS(데이터_성질별수출!$G$3:$G$653,데이터_성질별수출!$E$3:$E$653,$B232,데이터_성질별수출!$A$3:$A$653,"2026.04")</f>
        <v>6331952</v>
      </c>
      <c r="AE232" s="55" t="n">
        <f aca="false">SUMIFS(데이터_성질별수출!$G$3:$G$653,데이터_성질별수출!$E$3:$E$653,$B232,데이터_성질별수출!$A$3:$A$653,"2026.05")</f>
        <v>6401394</v>
      </c>
      <c r="AF232" s="55" t="n">
        <f aca="false">SUMIFS(데이터_성질별수출!$G$3:$G$653,데이터_성질별수출!$E$3:$E$653,$B232,데이터_성질별수출!$A$3:$A$653,"2026.06")</f>
        <v>6608418</v>
      </c>
      <c r="AG232" s="55" t="n">
        <f aca="false">SUMIFS(데이터_성질별수출!$G$3:$G$653,데이터_성질별수출!$E$3:$E$653,$B232,데이터_성질별수출!$A$3:$A$653,"2026.07")</f>
        <v>6896402</v>
      </c>
    </row>
    <row r="233" customFormat="false" ht="15" hidden="false" customHeight="true" outlineLevel="0" collapsed="false">
      <c r="A233" s="53" t="s">
        <v>19849</v>
      </c>
      <c r="B233" s="46" t="s">
        <v>19850</v>
      </c>
      <c r="C233" s="55" t="n">
        <f aca="false">SUMIFS(데이터_성질별수출!$G$3:$G$653,데이터_성질별수출!$E$3:$E$653,$B233,데이터_성질별수출!$A$3:$A$653,"2024.01")</f>
        <v>2738143</v>
      </c>
      <c r="D233" s="55" t="n">
        <f aca="false">SUMIFS(데이터_성질별수출!$G$3:$G$653,데이터_성질별수출!$E$3:$E$653,$B233,데이터_성질별수출!$A$3:$A$653,"2024.02")</f>
        <v>2566551</v>
      </c>
      <c r="E233" s="55" t="n">
        <f aca="false">SUMIFS(데이터_성질별수출!$G$3:$G$653,데이터_성질별수출!$E$3:$E$653,$B233,데이터_성질별수출!$A$3:$A$653,"2024.03")</f>
        <v>2787145</v>
      </c>
      <c r="F233" s="55" t="n">
        <f aca="false">SUMIFS(데이터_성질별수출!$G$3:$G$653,데이터_성질별수출!$E$3:$E$653,$B233,데이터_성질별수출!$A$3:$A$653,"2024.04")</f>
        <v>3119443</v>
      </c>
      <c r="G233" s="55" t="n">
        <f aca="false">SUMIFS(데이터_성질별수출!$G$3:$G$653,데이터_성질별수출!$E$3:$E$653,$B233,데이터_성질별수출!$A$3:$A$653,"2024.05")</f>
        <v>3134334</v>
      </c>
      <c r="H233" s="55" t="n">
        <f aca="false">SUMIFS(데이터_성질별수출!$G$3:$G$653,데이터_성질별수출!$E$3:$E$653,$B233,데이터_성질별수출!$A$3:$A$653,"2024.06")</f>
        <v>2809892</v>
      </c>
      <c r="I233" s="55" t="n">
        <f aca="false">SUMIFS(데이터_성질별수출!$G$3:$G$653,데이터_성질별수출!$E$3:$E$653,$B233,데이터_성질별수출!$A$3:$A$653,"2024.07")</f>
        <v>3073707</v>
      </c>
      <c r="J233" s="55" t="n">
        <f aca="false">SUMIFS(데이터_성질별수출!$G$3:$G$653,데이터_성질별수출!$E$3:$E$653,$B233,데이터_성질별수출!$A$3:$A$653,"2024.08")</f>
        <v>2859876</v>
      </c>
      <c r="K233" s="55" t="n">
        <f aca="false">SUMIFS(데이터_성질별수출!$G$3:$G$653,데이터_성질별수출!$E$3:$E$653,$B233,데이터_성질별수출!$A$3:$A$653,"2024.09")</f>
        <v>2708171</v>
      </c>
      <c r="L233" s="55" t="n">
        <f aca="false">SUMIFS(데이터_성질별수출!$G$3:$G$653,데이터_성질별수출!$E$3:$E$653,$B233,데이터_성질별수출!$A$3:$A$653,"2024.10")</f>
        <v>2763713</v>
      </c>
      <c r="M233" s="55" t="n">
        <f aca="false">SUMIFS(데이터_성질별수출!$G$3:$G$653,데이터_성질별수출!$E$3:$E$653,$B233,데이터_성질별수출!$A$3:$A$653,"2024.11")</f>
        <v>2826443</v>
      </c>
      <c r="N233" s="55" t="n">
        <f aca="false">SUMIFS(데이터_성질별수출!$G$3:$G$653,데이터_성질별수출!$E$3:$E$653,$B233,데이터_성질별수출!$A$3:$A$653,"2024.12")</f>
        <v>2796674</v>
      </c>
      <c r="O233" s="55" t="n">
        <f aca="false">SUMIFS(데이터_성질별수출!$G$3:$G$653,데이터_성질별수출!$E$3:$E$653,$B233,데이터_성질별수출!$A$3:$A$653,"2025.01")</f>
        <v>2443890</v>
      </c>
      <c r="P233" s="55" t="n">
        <f aca="false">SUMIFS(데이터_성질별수출!$G$3:$G$653,데이터_성질별수출!$E$3:$E$653,$B233,데이터_성질별수출!$A$3:$A$653,"2025.02")</f>
        <v>2843243</v>
      </c>
      <c r="Q233" s="55" t="n">
        <f aca="false">SUMIFS(데이터_성질별수출!$G$3:$G$653,데이터_성질별수출!$E$3:$E$653,$B233,데이터_성질별수출!$A$3:$A$653,"2025.03")</f>
        <v>2767033</v>
      </c>
      <c r="R233" s="55" t="n">
        <f aca="false">SUMIFS(데이터_성질별수출!$G$3:$G$653,데이터_성질별수출!$E$3:$E$653,$B233,데이터_성질별수출!$A$3:$A$653,"2025.04")</f>
        <v>3148358</v>
      </c>
      <c r="S233" s="55" t="n">
        <f aca="false">SUMIFS(데이터_성질별수출!$G$3:$G$653,데이터_성질별수출!$E$3:$E$653,$B233,데이터_성질별수출!$A$3:$A$653,"2025.05")</f>
        <v>3029705</v>
      </c>
      <c r="T233" s="55" t="n">
        <f aca="false">SUMIFS(데이터_성질별수출!$G$3:$G$653,데이터_성질별수출!$E$3:$E$653,$B233,데이터_성질별수출!$A$3:$A$653,"2025.06")</f>
        <v>2963407</v>
      </c>
      <c r="U233" s="55" t="n">
        <f aca="false">SUMIFS(데이터_성질별수출!$G$3:$G$653,데이터_성질별수출!$E$3:$E$653,$B233,데이터_성질별수출!$A$3:$A$653,"2025.07")</f>
        <v>3056603</v>
      </c>
      <c r="V233" s="55" t="n">
        <f aca="false">SUMIFS(데이터_성질별수출!$G$3:$G$653,데이터_성질별수출!$E$3:$E$653,$B233,데이터_성질별수출!$A$3:$A$653,"2025.08")</f>
        <v>2683825</v>
      </c>
      <c r="W233" s="55" t="n">
        <f aca="false">SUMIFS(데이터_성질별수출!$G$3:$G$653,데이터_성질별수출!$E$3:$E$653,$B233,데이터_성질별수출!$A$3:$A$653,"2025.09")</f>
        <v>3031835</v>
      </c>
      <c r="X233" s="55" t="n">
        <f aca="false">SUMIFS(데이터_성질별수출!$G$3:$G$653,데이터_성질별수출!$E$3:$E$653,$B233,데이터_성질별수출!$A$3:$A$653,"2025.10")</f>
        <v>2949713</v>
      </c>
      <c r="Y233" s="55" t="n">
        <f aca="false">SUMIFS(데이터_성질별수출!$G$3:$G$653,데이터_성질별수출!$E$3:$E$653,$B233,데이터_성질별수출!$A$3:$A$653,"2025.11")</f>
        <v>3211353</v>
      </c>
      <c r="Z233" s="55" t="n">
        <f aca="false">SUMIFS(데이터_성질별수출!$G$3:$G$653,데이터_성질별수출!$E$3:$E$653,$B233,데이터_성질별수출!$A$3:$A$653,"2025.12")</f>
        <v>3167101</v>
      </c>
      <c r="AA233" s="55" t="n">
        <f aca="false">SUMIFS(데이터_성질별수출!$G$3:$G$653,데이터_성질별수출!$E$3:$E$653,$B233,데이터_성질별수출!$A$3:$A$653,"2026.01")</f>
        <v>3082056</v>
      </c>
      <c r="AB233" s="55" t="n">
        <f aca="false">SUMIFS(데이터_성질별수출!$G$3:$G$653,데이터_성질별수출!$E$3:$E$653,$B233,데이터_성질별수출!$A$3:$A$653,"2026.02")</f>
        <v>3096567</v>
      </c>
      <c r="AC233" s="55" t="n">
        <f aca="false">SUMIFS(데이터_성질별수출!$G$3:$G$653,데이터_성질별수출!$E$3:$E$653,$B233,데이터_성질별수출!$A$3:$A$653,"2026.03")</f>
        <v>4111292</v>
      </c>
      <c r="AD233" s="55" t="n">
        <f aca="false">SUMIFS(데이터_성질별수출!$G$3:$G$653,데이터_성질별수출!$E$3:$E$653,$B233,데이터_성질별수출!$A$3:$A$653,"2026.04")</f>
        <v>3895477</v>
      </c>
      <c r="AE233" s="55" t="n">
        <f aca="false">SUMIFS(데이터_성질별수출!$G$3:$G$653,데이터_성질별수출!$E$3:$E$653,$B233,데이터_성질별수출!$A$3:$A$653,"2026.05")</f>
        <v>3869333</v>
      </c>
      <c r="AF233" s="55" t="n">
        <f aca="false">SUMIFS(데이터_성질별수출!$G$3:$G$653,데이터_성질별수출!$E$3:$E$653,$B233,데이터_성질별수출!$A$3:$A$653,"2026.06")</f>
        <v>4060373</v>
      </c>
      <c r="AG233" s="55" t="n">
        <f aca="false">SUMIFS(데이터_성질별수출!$G$3:$G$653,데이터_성질별수출!$E$3:$E$653,$B233,데이터_성질별수출!$A$3:$A$653,"2026.07")</f>
        <v>3778039</v>
      </c>
    </row>
    <row r="234" customFormat="false" ht="15" hidden="false" customHeight="true" outlineLevel="0" collapsed="false">
      <c r="A234" s="53" t="s">
        <v>19851</v>
      </c>
      <c r="B234" s="54" t="s">
        <v>15032</v>
      </c>
      <c r="C234" s="55" t="n">
        <f aca="false">SUMIFS(데이터_성질별수출!$G$3:$G$653,데이터_성질별수출!$E$3:$E$653,$B234,데이터_성질별수출!$A$3:$A$653,"2024.01")</f>
        <v>94714</v>
      </c>
      <c r="D234" s="55" t="n">
        <f aca="false">SUMIFS(데이터_성질별수출!$G$3:$G$653,데이터_성질별수출!$E$3:$E$653,$B234,데이터_성질별수출!$A$3:$A$653,"2024.02")</f>
        <v>83514</v>
      </c>
      <c r="E234" s="55" t="n">
        <f aca="false">SUMIFS(데이터_성질별수출!$G$3:$G$653,데이터_성질별수출!$E$3:$E$653,$B234,데이터_성질별수출!$A$3:$A$653,"2024.03")</f>
        <v>91364</v>
      </c>
      <c r="F234" s="55" t="n">
        <f aca="false">SUMIFS(데이터_성질별수출!$G$3:$G$653,데이터_성질별수출!$E$3:$E$653,$B234,데이터_성질별수출!$A$3:$A$653,"2024.04")</f>
        <v>97972</v>
      </c>
      <c r="G234" s="55" t="n">
        <f aca="false">SUMIFS(데이터_성질별수출!$G$3:$G$653,데이터_성질별수출!$E$3:$E$653,$B234,데이터_성질별수출!$A$3:$A$653,"2024.05")</f>
        <v>94565</v>
      </c>
      <c r="H234" s="55" t="n">
        <f aca="false">SUMIFS(데이터_성질별수출!$G$3:$G$653,데이터_성질별수출!$E$3:$E$653,$B234,데이터_성질별수출!$A$3:$A$653,"2024.06")</f>
        <v>87722</v>
      </c>
      <c r="I234" s="55" t="n">
        <f aca="false">SUMIFS(데이터_성질별수출!$G$3:$G$653,데이터_성질별수출!$E$3:$E$653,$B234,데이터_성질별수출!$A$3:$A$653,"2024.07")</f>
        <v>91884</v>
      </c>
      <c r="J234" s="55" t="n">
        <f aca="false">SUMIFS(데이터_성질별수출!$G$3:$G$653,데이터_성질별수출!$E$3:$E$653,$B234,데이터_성질별수출!$A$3:$A$653,"2024.08")</f>
        <v>87790</v>
      </c>
      <c r="K234" s="55" t="n">
        <f aca="false">SUMIFS(데이터_성질별수출!$G$3:$G$653,데이터_성질별수출!$E$3:$E$653,$B234,데이터_성질별수출!$A$3:$A$653,"2024.09")</f>
        <v>82621</v>
      </c>
      <c r="L234" s="55" t="n">
        <f aca="false">SUMIFS(데이터_성질별수출!$G$3:$G$653,데이터_성질별수출!$E$3:$E$653,$B234,데이터_성질별수출!$A$3:$A$653,"2024.10")</f>
        <v>83776</v>
      </c>
      <c r="M234" s="55" t="n">
        <f aca="false">SUMIFS(데이터_성질별수출!$G$3:$G$653,데이터_성질별수출!$E$3:$E$653,$B234,데이터_성질별수출!$A$3:$A$653,"2024.11")</f>
        <v>80443</v>
      </c>
      <c r="N234" s="55" t="n">
        <f aca="false">SUMIFS(데이터_성질별수출!$G$3:$G$653,데이터_성질별수출!$E$3:$E$653,$B234,데이터_성질별수출!$A$3:$A$653,"2024.12")</f>
        <v>84401</v>
      </c>
      <c r="O234" s="55" t="n">
        <f aca="false">SUMIFS(데이터_성질별수출!$G$3:$G$653,데이터_성질별수출!$E$3:$E$653,$B234,데이터_성질별수출!$A$3:$A$653,"2025.01")</f>
        <v>77004</v>
      </c>
      <c r="P234" s="55" t="n">
        <f aca="false">SUMIFS(데이터_성질별수출!$G$3:$G$653,데이터_성질별수출!$E$3:$E$653,$B234,데이터_성질별수출!$A$3:$A$653,"2025.02")</f>
        <v>89985</v>
      </c>
      <c r="Q234" s="55" t="n">
        <f aca="false">SUMIFS(데이터_성질별수출!$G$3:$G$653,데이터_성질별수출!$E$3:$E$653,$B234,데이터_성질별수출!$A$3:$A$653,"2025.03")</f>
        <v>83447</v>
      </c>
      <c r="R234" s="55" t="n">
        <f aca="false">SUMIFS(데이터_성질별수출!$G$3:$G$653,데이터_성질별수출!$E$3:$E$653,$B234,데이터_성질별수출!$A$3:$A$653,"2025.04")</f>
        <v>95271</v>
      </c>
      <c r="S234" s="55" t="n">
        <f aca="false">SUMIFS(데이터_성질별수출!$G$3:$G$653,데이터_성질별수출!$E$3:$E$653,$B234,데이터_성질별수출!$A$3:$A$653,"2025.05")</f>
        <v>81431</v>
      </c>
      <c r="T234" s="55" t="n">
        <f aca="false">SUMIFS(데이터_성질별수출!$G$3:$G$653,데이터_성질별수출!$E$3:$E$653,$B234,데이터_성질별수출!$A$3:$A$653,"2025.06")</f>
        <v>69428</v>
      </c>
      <c r="U234" s="55" t="n">
        <f aca="false">SUMIFS(데이터_성질별수출!$G$3:$G$653,데이터_성질별수출!$E$3:$E$653,$B234,데이터_성질별수출!$A$3:$A$653,"2025.07")</f>
        <v>78073</v>
      </c>
      <c r="V234" s="55" t="n">
        <f aca="false">SUMIFS(데이터_성질별수출!$G$3:$G$653,데이터_성질별수출!$E$3:$E$653,$B234,데이터_성질별수출!$A$3:$A$653,"2025.08")</f>
        <v>70526</v>
      </c>
      <c r="W234" s="55" t="n">
        <f aca="false">SUMIFS(데이터_성질별수출!$G$3:$G$653,데이터_성질별수출!$E$3:$E$653,$B234,데이터_성질별수출!$A$3:$A$653,"2025.09")</f>
        <v>86826</v>
      </c>
      <c r="X234" s="55" t="n">
        <f aca="false">SUMIFS(데이터_성질별수출!$G$3:$G$653,데이터_성질별수출!$E$3:$E$653,$B234,데이터_성질별수출!$A$3:$A$653,"2025.10")</f>
        <v>69889</v>
      </c>
      <c r="Y234" s="55" t="n">
        <f aca="false">SUMIFS(데이터_성질별수출!$G$3:$G$653,데이터_성질별수출!$E$3:$E$653,$B234,데이터_성질별수출!$A$3:$A$653,"2025.11")</f>
        <v>75207</v>
      </c>
      <c r="Z234" s="55" t="n">
        <f aca="false">SUMIFS(데이터_성질별수출!$G$3:$G$653,데이터_성질별수출!$E$3:$E$653,$B234,데이터_성질별수출!$A$3:$A$653,"2025.12")</f>
        <v>81994</v>
      </c>
      <c r="AA234" s="55" t="n">
        <f aca="false">SUMIFS(데이터_성질별수출!$G$3:$G$653,데이터_성질별수출!$E$3:$E$653,$B234,데이터_성질별수출!$A$3:$A$653,"2026.01")</f>
        <v>81834</v>
      </c>
      <c r="AB234" s="55" t="n">
        <f aca="false">SUMIFS(데이터_성질별수출!$G$3:$G$653,데이터_성질별수출!$E$3:$E$653,$B234,데이터_성질별수출!$A$3:$A$653,"2026.02")</f>
        <v>73506</v>
      </c>
      <c r="AC234" s="55" t="n">
        <f aca="false">SUMIFS(데이터_성질별수출!$G$3:$G$653,데이터_성질별수출!$E$3:$E$653,$B234,데이터_성질별수출!$A$3:$A$653,"2026.03")</f>
        <v>91453</v>
      </c>
      <c r="AD234" s="55" t="n">
        <f aca="false">SUMIFS(데이터_성질별수출!$G$3:$G$653,데이터_성질별수출!$E$3:$E$653,$B234,데이터_성질별수출!$A$3:$A$653,"2026.04")</f>
        <v>90653</v>
      </c>
      <c r="AE234" s="55" t="n">
        <f aca="false">SUMIFS(데이터_성질별수출!$G$3:$G$653,데이터_성질별수출!$E$3:$E$653,$B234,데이터_성질별수출!$A$3:$A$653,"2026.05")</f>
        <v>76424</v>
      </c>
      <c r="AF234" s="55" t="n">
        <f aca="false">SUMIFS(데이터_성질별수출!$G$3:$G$653,데이터_성질별수출!$E$3:$E$653,$B234,데이터_성질별수출!$A$3:$A$653,"2026.06")</f>
        <v>79180</v>
      </c>
      <c r="AG234" s="55" t="n">
        <f aca="false">SUMIFS(데이터_성질별수출!$G$3:$G$653,데이터_성질별수출!$E$3:$E$653,$B234,데이터_성질별수출!$A$3:$A$653,"2026.07")</f>
        <v>77156</v>
      </c>
    </row>
    <row r="235" customFormat="false" ht="15" hidden="false" customHeight="true" outlineLevel="0" collapsed="false">
      <c r="A235" s="53" t="s">
        <v>19852</v>
      </c>
      <c r="B235" s="54" t="s">
        <v>15035</v>
      </c>
      <c r="C235" s="55" t="n">
        <f aca="false">SUMIFS(데이터_성질별수출!$G$3:$G$653,데이터_성질별수출!$E$3:$E$653,$B235,데이터_성질별수출!$A$3:$A$653,"2024.01")</f>
        <v>72562</v>
      </c>
      <c r="D235" s="55" t="n">
        <f aca="false">SUMIFS(데이터_성질별수출!$G$3:$G$653,데이터_성질별수출!$E$3:$E$653,$B235,데이터_성질별수출!$A$3:$A$653,"2024.02")</f>
        <v>67359</v>
      </c>
      <c r="E235" s="55" t="n">
        <f aca="false">SUMIFS(데이터_성질별수출!$G$3:$G$653,데이터_성질별수출!$E$3:$E$653,$B235,데이터_성질별수출!$A$3:$A$653,"2024.03")</f>
        <v>73271</v>
      </c>
      <c r="F235" s="55" t="n">
        <f aca="false">SUMIFS(데이터_성질별수출!$G$3:$G$653,데이터_성질별수출!$E$3:$E$653,$B235,데이터_성질별수출!$A$3:$A$653,"2024.04")</f>
        <v>78308</v>
      </c>
      <c r="G235" s="55" t="n">
        <f aca="false">SUMIFS(데이터_성질별수출!$G$3:$G$653,데이터_성질별수출!$E$3:$E$653,$B235,데이터_성질별수출!$A$3:$A$653,"2024.05")</f>
        <v>75399</v>
      </c>
      <c r="H235" s="55" t="n">
        <f aca="false">SUMIFS(데이터_성질별수출!$G$3:$G$653,데이터_성질별수출!$E$3:$E$653,$B235,데이터_성질별수출!$A$3:$A$653,"2024.06")</f>
        <v>70190</v>
      </c>
      <c r="I235" s="55" t="n">
        <f aca="false">SUMIFS(데이터_성질별수출!$G$3:$G$653,데이터_성질별수출!$E$3:$E$653,$B235,데이터_성질별수출!$A$3:$A$653,"2024.07")</f>
        <v>71326</v>
      </c>
      <c r="J235" s="55" t="n">
        <f aca="false">SUMIFS(데이터_성질별수출!$G$3:$G$653,데이터_성질별수출!$E$3:$E$653,$B235,데이터_성질별수출!$A$3:$A$653,"2024.08")</f>
        <v>60140</v>
      </c>
      <c r="K235" s="55" t="n">
        <f aca="false">SUMIFS(데이터_성질별수출!$G$3:$G$653,데이터_성질별수출!$E$3:$E$653,$B235,데이터_성질별수출!$A$3:$A$653,"2024.09")</f>
        <v>61636</v>
      </c>
      <c r="L235" s="55" t="n">
        <f aca="false">SUMIFS(데이터_성질별수출!$G$3:$G$653,데이터_성질별수출!$E$3:$E$653,$B235,데이터_성질별수출!$A$3:$A$653,"2024.10")</f>
        <v>65883</v>
      </c>
      <c r="M235" s="55" t="n">
        <f aca="false">SUMIFS(데이터_성질별수출!$G$3:$G$653,데이터_성질별수출!$E$3:$E$653,$B235,데이터_성질별수출!$A$3:$A$653,"2024.11")</f>
        <v>65296</v>
      </c>
      <c r="N235" s="55" t="n">
        <f aca="false">SUMIFS(데이터_성질별수출!$G$3:$G$653,데이터_성질별수출!$E$3:$E$653,$B235,데이터_성질별수출!$A$3:$A$653,"2024.12")</f>
        <v>68370</v>
      </c>
      <c r="O235" s="55" t="n">
        <f aca="false">SUMIFS(데이터_성질별수출!$G$3:$G$653,데이터_성질별수출!$E$3:$E$653,$B235,데이터_성질별수출!$A$3:$A$653,"2025.01")</f>
        <v>58470</v>
      </c>
      <c r="P235" s="55" t="n">
        <f aca="false">SUMIFS(데이터_성질별수출!$G$3:$G$653,데이터_성질별수출!$E$3:$E$653,$B235,데이터_성질별수출!$A$3:$A$653,"2025.02")</f>
        <v>64958</v>
      </c>
      <c r="Q235" s="55" t="n">
        <f aca="false">SUMIFS(데이터_성질별수출!$G$3:$G$653,데이터_성질별수출!$E$3:$E$653,$B235,데이터_성질별수출!$A$3:$A$653,"2025.03")</f>
        <v>61952</v>
      </c>
      <c r="R235" s="55" t="n">
        <f aca="false">SUMIFS(데이터_성질별수출!$G$3:$G$653,데이터_성질별수출!$E$3:$E$653,$B235,데이터_성질별수출!$A$3:$A$653,"2025.04")</f>
        <v>70373</v>
      </c>
      <c r="S235" s="55" t="n">
        <f aca="false">SUMIFS(데이터_성질별수출!$G$3:$G$653,데이터_성질별수출!$E$3:$E$653,$B235,데이터_성질별수출!$A$3:$A$653,"2025.05")</f>
        <v>68160</v>
      </c>
      <c r="T235" s="55" t="n">
        <f aca="false">SUMIFS(데이터_성질별수출!$G$3:$G$653,데이터_성질별수출!$E$3:$E$653,$B235,데이터_성질별수출!$A$3:$A$653,"2025.06")</f>
        <v>61158</v>
      </c>
      <c r="U235" s="55" t="n">
        <f aca="false">SUMIFS(데이터_성질별수출!$G$3:$G$653,데이터_성질별수출!$E$3:$E$653,$B235,데이터_성질별수출!$A$3:$A$653,"2025.07")</f>
        <v>61635</v>
      </c>
      <c r="V235" s="55" t="n">
        <f aca="false">SUMIFS(데이터_성질별수출!$G$3:$G$653,데이터_성질별수출!$E$3:$E$653,$B235,데이터_성질별수출!$A$3:$A$653,"2025.08")</f>
        <v>52844</v>
      </c>
      <c r="W235" s="55" t="n">
        <f aca="false">SUMIFS(데이터_성질별수출!$G$3:$G$653,데이터_성질별수출!$E$3:$E$653,$B235,데이터_성질별수출!$A$3:$A$653,"2025.09")</f>
        <v>60604</v>
      </c>
      <c r="X235" s="55" t="n">
        <f aca="false">SUMIFS(데이터_성질별수출!$G$3:$G$653,데이터_성질별수출!$E$3:$E$653,$B235,데이터_성질별수출!$A$3:$A$653,"2025.10")</f>
        <v>56424</v>
      </c>
      <c r="Y235" s="55" t="n">
        <f aca="false">SUMIFS(데이터_성질별수출!$G$3:$G$653,데이터_성질별수출!$E$3:$E$653,$B235,데이터_성질별수출!$A$3:$A$653,"2025.11")</f>
        <v>57459</v>
      </c>
      <c r="Z235" s="55" t="n">
        <f aca="false">SUMIFS(데이터_성질별수출!$G$3:$G$653,데이터_성질별수출!$E$3:$E$653,$B235,데이터_성질별수출!$A$3:$A$653,"2025.12")</f>
        <v>62419</v>
      </c>
      <c r="AA235" s="55" t="n">
        <f aca="false">SUMIFS(데이터_성질별수출!$G$3:$G$653,데이터_성질별수출!$E$3:$E$653,$B235,데이터_성질별수출!$A$3:$A$653,"2026.01")</f>
        <v>59575</v>
      </c>
      <c r="AB235" s="55" t="n">
        <f aca="false">SUMIFS(데이터_성질별수출!$G$3:$G$653,데이터_성질별수출!$E$3:$E$653,$B235,데이터_성질별수출!$A$3:$A$653,"2026.02")</f>
        <v>55539</v>
      </c>
      <c r="AC235" s="55" t="n">
        <f aca="false">SUMIFS(데이터_성질별수출!$G$3:$G$653,데이터_성질별수출!$E$3:$E$653,$B235,데이터_성질별수출!$A$3:$A$653,"2026.03")</f>
        <v>66796</v>
      </c>
      <c r="AD235" s="55" t="n">
        <f aca="false">SUMIFS(데이터_성질별수출!$G$3:$G$653,데이터_성질별수출!$E$3:$E$653,$B235,데이터_성질별수출!$A$3:$A$653,"2026.04")</f>
        <v>74276</v>
      </c>
      <c r="AE235" s="55" t="n">
        <f aca="false">SUMIFS(데이터_성질별수출!$G$3:$G$653,데이터_성질별수출!$E$3:$E$653,$B235,데이터_성질별수출!$A$3:$A$653,"2026.05")</f>
        <v>63203</v>
      </c>
      <c r="AF235" s="55" t="n">
        <f aca="false">SUMIFS(데이터_성질별수출!$G$3:$G$653,데이터_성질별수출!$E$3:$E$653,$B235,데이터_성질별수출!$A$3:$A$653,"2026.06")</f>
        <v>65475</v>
      </c>
      <c r="AG235" s="55" t="n">
        <f aca="false">SUMIFS(데이터_성질별수출!$G$3:$G$653,데이터_성질별수출!$E$3:$E$653,$B235,데이터_성질별수출!$A$3:$A$653,"2026.07")</f>
        <v>66017</v>
      </c>
    </row>
    <row r="236" customFormat="false" ht="15" hidden="false" customHeight="true" outlineLevel="0" collapsed="false">
      <c r="A236" s="53" t="s">
        <v>19853</v>
      </c>
      <c r="B236" s="54" t="s">
        <v>15038</v>
      </c>
      <c r="C236" s="55" t="n">
        <f aca="false">SUMIFS(데이터_성질별수출!$G$3:$G$653,데이터_성질별수출!$E$3:$E$653,$B236,데이터_성질별수출!$A$3:$A$653,"2024.01")</f>
        <v>292221</v>
      </c>
      <c r="D236" s="55" t="n">
        <f aca="false">SUMIFS(데이터_성질별수출!$G$3:$G$653,데이터_성질별수출!$E$3:$E$653,$B236,데이터_성질별수출!$A$3:$A$653,"2024.02")</f>
        <v>287868</v>
      </c>
      <c r="E236" s="55" t="n">
        <f aca="false">SUMIFS(데이터_성질별수출!$G$3:$G$653,데이터_성질별수출!$E$3:$E$653,$B236,데이터_성질별수출!$A$3:$A$653,"2024.03")</f>
        <v>299002</v>
      </c>
      <c r="F236" s="55" t="n">
        <f aca="false">SUMIFS(데이터_성질별수출!$G$3:$G$653,데이터_성질별수출!$E$3:$E$653,$B236,데이터_성질별수출!$A$3:$A$653,"2024.04")</f>
        <v>329510</v>
      </c>
      <c r="G236" s="55" t="n">
        <f aca="false">SUMIFS(데이터_성질별수출!$G$3:$G$653,데이터_성질별수출!$E$3:$E$653,$B236,데이터_성질별수출!$A$3:$A$653,"2024.05")</f>
        <v>336529</v>
      </c>
      <c r="H236" s="55" t="n">
        <f aca="false">SUMIFS(데이터_성질별수출!$G$3:$G$653,데이터_성질별수출!$E$3:$E$653,$B236,데이터_성질별수출!$A$3:$A$653,"2024.06")</f>
        <v>301150</v>
      </c>
      <c r="I236" s="55" t="n">
        <f aca="false">SUMIFS(데이터_성질별수출!$G$3:$G$653,데이터_성질별수출!$E$3:$E$653,$B236,데이터_성질별수출!$A$3:$A$653,"2024.07")</f>
        <v>315023</v>
      </c>
      <c r="J236" s="55" t="n">
        <f aca="false">SUMIFS(데이터_성질별수출!$G$3:$G$653,데이터_성질별수출!$E$3:$E$653,$B236,데이터_성질별수출!$A$3:$A$653,"2024.08")</f>
        <v>279043</v>
      </c>
      <c r="K236" s="55" t="n">
        <f aca="false">SUMIFS(데이터_성질별수출!$G$3:$G$653,데이터_성질별수출!$E$3:$E$653,$B236,데이터_성질별수출!$A$3:$A$653,"2024.09")</f>
        <v>280989</v>
      </c>
      <c r="L236" s="55" t="n">
        <f aca="false">SUMIFS(데이터_성질별수출!$G$3:$G$653,데이터_성질별수출!$E$3:$E$653,$B236,데이터_성질별수출!$A$3:$A$653,"2024.10")</f>
        <v>294747</v>
      </c>
      <c r="M236" s="55" t="n">
        <f aca="false">SUMIFS(데이터_성질별수출!$G$3:$G$653,데이터_성질별수출!$E$3:$E$653,$B236,데이터_성질별수출!$A$3:$A$653,"2024.11")</f>
        <v>331516</v>
      </c>
      <c r="N236" s="55" t="n">
        <f aca="false">SUMIFS(데이터_성질별수출!$G$3:$G$653,데이터_성질별수출!$E$3:$E$653,$B236,데이터_성질별수출!$A$3:$A$653,"2024.12")</f>
        <v>311593</v>
      </c>
      <c r="O236" s="55" t="n">
        <f aca="false">SUMIFS(데이터_성질별수출!$G$3:$G$653,데이터_성질별수출!$E$3:$E$653,$B236,데이터_성질별수출!$A$3:$A$653,"2025.01")</f>
        <v>259146</v>
      </c>
      <c r="P236" s="55" t="n">
        <f aca="false">SUMIFS(데이터_성질별수출!$G$3:$G$653,데이터_성질별수출!$E$3:$E$653,$B236,데이터_성질별수출!$A$3:$A$653,"2025.02")</f>
        <v>283260</v>
      </c>
      <c r="Q236" s="55" t="n">
        <f aca="false">SUMIFS(데이터_성질별수출!$G$3:$G$653,데이터_성질별수출!$E$3:$E$653,$B236,데이터_성질별수출!$A$3:$A$653,"2025.03")</f>
        <v>282964</v>
      </c>
      <c r="R236" s="55" t="n">
        <f aca="false">SUMIFS(데이터_성질별수출!$G$3:$G$653,데이터_성질별수출!$E$3:$E$653,$B236,데이터_성질별수출!$A$3:$A$653,"2025.04")</f>
        <v>312143</v>
      </c>
      <c r="S236" s="55" t="n">
        <f aca="false">SUMIFS(데이터_성질별수출!$G$3:$G$653,데이터_성질별수출!$E$3:$E$653,$B236,데이터_성질별수출!$A$3:$A$653,"2025.05")</f>
        <v>284602</v>
      </c>
      <c r="T236" s="55" t="n">
        <f aca="false">SUMIFS(데이터_성질별수출!$G$3:$G$653,데이터_성질별수출!$E$3:$E$653,$B236,데이터_성질별수출!$A$3:$A$653,"2025.06")</f>
        <v>267923</v>
      </c>
      <c r="U236" s="55" t="n">
        <f aca="false">SUMIFS(데이터_성질별수출!$G$3:$G$653,데이터_성질별수출!$E$3:$E$653,$B236,데이터_성질별수출!$A$3:$A$653,"2025.07")</f>
        <v>295501</v>
      </c>
      <c r="V236" s="55" t="n">
        <f aca="false">SUMIFS(데이터_성질별수출!$G$3:$G$653,데이터_성질별수출!$E$3:$E$653,$B236,데이터_성질별수출!$A$3:$A$653,"2025.08")</f>
        <v>234377</v>
      </c>
      <c r="W236" s="55" t="n">
        <f aca="false">SUMIFS(데이터_성질별수출!$G$3:$G$653,데이터_성질별수출!$E$3:$E$653,$B236,데이터_성질별수출!$A$3:$A$653,"2025.09")</f>
        <v>297769</v>
      </c>
      <c r="X236" s="55" t="n">
        <f aca="false">SUMIFS(데이터_성질별수출!$G$3:$G$653,데이터_성질별수출!$E$3:$E$653,$B236,데이터_성질별수출!$A$3:$A$653,"2025.10")</f>
        <v>240323</v>
      </c>
      <c r="Y236" s="55" t="n">
        <f aca="false">SUMIFS(데이터_성질별수출!$G$3:$G$653,데이터_성질별수출!$E$3:$E$653,$B236,데이터_성질별수출!$A$3:$A$653,"2025.11")</f>
        <v>278451</v>
      </c>
      <c r="Z236" s="55" t="n">
        <f aca="false">SUMIFS(데이터_성질별수출!$G$3:$G$653,데이터_성질별수출!$E$3:$E$653,$B236,데이터_성질별수출!$A$3:$A$653,"2025.12")</f>
        <v>309823</v>
      </c>
      <c r="AA236" s="55" t="n">
        <f aca="false">SUMIFS(데이터_성질별수출!$G$3:$G$653,데이터_성질별수출!$E$3:$E$653,$B236,데이터_성질별수출!$A$3:$A$653,"2026.01")</f>
        <v>275298</v>
      </c>
      <c r="AB236" s="55" t="n">
        <f aca="false">SUMIFS(데이터_성질별수출!$G$3:$G$653,데이터_성질별수출!$E$3:$E$653,$B236,데이터_성질별수출!$A$3:$A$653,"2026.02")</f>
        <v>221534</v>
      </c>
      <c r="AC236" s="55" t="n">
        <f aca="false">SUMIFS(데이터_성질별수출!$G$3:$G$653,데이터_성질별수출!$E$3:$E$653,$B236,데이터_성질별수출!$A$3:$A$653,"2026.03")</f>
        <v>271710</v>
      </c>
      <c r="AD236" s="55" t="n">
        <f aca="false">SUMIFS(데이터_성질별수출!$G$3:$G$653,데이터_성질별수출!$E$3:$E$653,$B236,데이터_성질별수출!$A$3:$A$653,"2026.04")</f>
        <v>311911</v>
      </c>
      <c r="AE236" s="55" t="n">
        <f aca="false">SUMIFS(데이터_성질별수출!$G$3:$G$653,데이터_성질별수출!$E$3:$E$653,$B236,데이터_성질별수출!$A$3:$A$653,"2026.05")</f>
        <v>254533</v>
      </c>
      <c r="AF236" s="55" t="n">
        <f aca="false">SUMIFS(데이터_성질별수출!$G$3:$G$653,데이터_성질별수출!$E$3:$E$653,$B236,데이터_성질별수출!$A$3:$A$653,"2026.06")</f>
        <v>282353</v>
      </c>
      <c r="AG236" s="55" t="n">
        <f aca="false">SUMIFS(데이터_성질별수출!$G$3:$G$653,데이터_성질별수출!$E$3:$E$653,$B236,데이터_성질별수출!$A$3:$A$653,"2026.07")</f>
        <v>298501</v>
      </c>
    </row>
    <row r="237" customFormat="false" ht="15" hidden="false" customHeight="true" outlineLevel="0" collapsed="false">
      <c r="A237" s="53" t="s">
        <v>19854</v>
      </c>
      <c r="B237" s="54" t="s">
        <v>15041</v>
      </c>
      <c r="C237" s="55" t="n">
        <f aca="false">SUMIFS(데이터_성질별수출!$G$3:$G$653,데이터_성질별수출!$E$3:$E$653,$B237,데이터_성질별수출!$A$3:$A$653,"2024.01")</f>
        <v>183169</v>
      </c>
      <c r="D237" s="55" t="n">
        <f aca="false">SUMIFS(데이터_성질별수출!$G$3:$G$653,데이터_성질별수출!$E$3:$E$653,$B237,데이터_성질별수출!$A$3:$A$653,"2024.02")</f>
        <v>192533</v>
      </c>
      <c r="E237" s="55" t="n">
        <f aca="false">SUMIFS(데이터_성질별수출!$G$3:$G$653,데이터_성질별수출!$E$3:$E$653,$B237,데이터_성질별수출!$A$3:$A$653,"2024.03")</f>
        <v>192329</v>
      </c>
      <c r="F237" s="55" t="n">
        <f aca="false">SUMIFS(데이터_성질별수출!$G$3:$G$653,데이터_성질별수출!$E$3:$E$653,$B237,데이터_성질별수출!$A$3:$A$653,"2024.04")</f>
        <v>212715</v>
      </c>
      <c r="G237" s="55" t="n">
        <f aca="false">SUMIFS(데이터_성질별수출!$G$3:$G$653,데이터_성질별수출!$E$3:$E$653,$B237,데이터_성질별수출!$A$3:$A$653,"2024.05")</f>
        <v>219371</v>
      </c>
      <c r="H237" s="55" t="n">
        <f aca="false">SUMIFS(데이터_성질별수출!$G$3:$G$653,데이터_성질별수출!$E$3:$E$653,$B237,데이터_성질별수출!$A$3:$A$653,"2024.06")</f>
        <v>196552</v>
      </c>
      <c r="I237" s="55" t="n">
        <f aca="false">SUMIFS(데이터_성질별수출!$G$3:$G$653,데이터_성질별수출!$E$3:$E$653,$B237,데이터_성질별수출!$A$3:$A$653,"2024.07")</f>
        <v>197081</v>
      </c>
      <c r="J237" s="55" t="n">
        <f aca="false">SUMIFS(데이터_성질별수출!$G$3:$G$653,데이터_성질별수출!$E$3:$E$653,$B237,데이터_성질별수출!$A$3:$A$653,"2024.08")</f>
        <v>175707</v>
      </c>
      <c r="K237" s="55" t="n">
        <f aca="false">SUMIFS(데이터_성질별수출!$G$3:$G$653,데이터_성질별수출!$E$3:$E$653,$B237,데이터_성질별수출!$A$3:$A$653,"2024.09")</f>
        <v>179477</v>
      </c>
      <c r="L237" s="55" t="n">
        <f aca="false">SUMIFS(데이터_성질별수출!$G$3:$G$653,데이터_성질별수출!$E$3:$E$653,$B237,데이터_성질별수출!$A$3:$A$653,"2024.10")</f>
        <v>186467</v>
      </c>
      <c r="M237" s="55" t="n">
        <f aca="false">SUMIFS(데이터_성질별수출!$G$3:$G$653,데이터_성질별수출!$E$3:$E$653,$B237,데이터_성질별수출!$A$3:$A$653,"2024.11")</f>
        <v>202634</v>
      </c>
      <c r="N237" s="55" t="n">
        <f aca="false">SUMIFS(데이터_성질별수출!$G$3:$G$653,데이터_성질별수출!$E$3:$E$653,$B237,데이터_성질별수출!$A$3:$A$653,"2024.12")</f>
        <v>191103</v>
      </c>
      <c r="O237" s="55" t="n">
        <f aca="false">SUMIFS(데이터_성질별수출!$G$3:$G$653,데이터_성질별수출!$E$3:$E$653,$B237,데이터_성질별수출!$A$3:$A$653,"2025.01")</f>
        <v>158212</v>
      </c>
      <c r="P237" s="55" t="n">
        <f aca="false">SUMIFS(데이터_성질별수출!$G$3:$G$653,데이터_성질별수출!$E$3:$E$653,$B237,데이터_성질별수출!$A$3:$A$653,"2025.02")</f>
        <v>177504</v>
      </c>
      <c r="Q237" s="55" t="n">
        <f aca="false">SUMIFS(데이터_성질별수출!$G$3:$G$653,데이터_성질별수출!$E$3:$E$653,$B237,데이터_성질별수출!$A$3:$A$653,"2025.03")</f>
        <v>184304</v>
      </c>
      <c r="R237" s="55" t="n">
        <f aca="false">SUMIFS(데이터_성질별수출!$G$3:$G$653,데이터_성질별수출!$E$3:$E$653,$B237,데이터_성질별수출!$A$3:$A$653,"2025.04")</f>
        <v>208059</v>
      </c>
      <c r="S237" s="55" t="n">
        <f aca="false">SUMIFS(데이터_성질별수출!$G$3:$G$653,데이터_성질별수출!$E$3:$E$653,$B237,데이터_성질별수출!$A$3:$A$653,"2025.05")</f>
        <v>189050</v>
      </c>
      <c r="T237" s="55" t="n">
        <f aca="false">SUMIFS(데이터_성질별수출!$G$3:$G$653,데이터_성질별수출!$E$3:$E$653,$B237,데이터_성질별수출!$A$3:$A$653,"2025.06")</f>
        <v>183363</v>
      </c>
      <c r="U237" s="55" t="n">
        <f aca="false">SUMIFS(데이터_성질별수출!$G$3:$G$653,데이터_성질별수출!$E$3:$E$653,$B237,데이터_성질별수출!$A$3:$A$653,"2025.07")</f>
        <v>180643</v>
      </c>
      <c r="V237" s="55" t="n">
        <f aca="false">SUMIFS(데이터_성질별수출!$G$3:$G$653,데이터_성질별수출!$E$3:$E$653,$B237,데이터_성질별수출!$A$3:$A$653,"2025.08")</f>
        <v>148333</v>
      </c>
      <c r="W237" s="55" t="n">
        <f aca="false">SUMIFS(데이터_성질별수출!$G$3:$G$653,데이터_성질별수출!$E$3:$E$653,$B237,데이터_성질별수출!$A$3:$A$653,"2025.09")</f>
        <v>192634</v>
      </c>
      <c r="X237" s="55" t="n">
        <f aca="false">SUMIFS(데이터_성질별수출!$G$3:$G$653,데이터_성질별수출!$E$3:$E$653,$B237,데이터_성질별수출!$A$3:$A$653,"2025.10")</f>
        <v>150173</v>
      </c>
      <c r="Y237" s="55" t="n">
        <f aca="false">SUMIFS(데이터_성질별수출!$G$3:$G$653,데이터_성질별수출!$E$3:$E$653,$B237,데이터_성질별수출!$A$3:$A$653,"2025.11")</f>
        <v>162683</v>
      </c>
      <c r="Z237" s="55" t="n">
        <f aca="false">SUMIFS(데이터_성질별수출!$G$3:$G$653,데이터_성질별수출!$E$3:$E$653,$B237,데이터_성질별수출!$A$3:$A$653,"2025.12")</f>
        <v>187873</v>
      </c>
      <c r="AA237" s="55" t="n">
        <f aca="false">SUMIFS(데이터_성질별수출!$G$3:$G$653,데이터_성질별수출!$E$3:$E$653,$B237,데이터_성질별수출!$A$3:$A$653,"2026.01")</f>
        <v>159996</v>
      </c>
      <c r="AB237" s="55" t="n">
        <f aca="false">SUMIFS(데이터_성질별수출!$G$3:$G$653,데이터_성질별수출!$E$3:$E$653,$B237,데이터_성질별수출!$A$3:$A$653,"2026.02")</f>
        <v>142303</v>
      </c>
      <c r="AC237" s="55" t="n">
        <f aca="false">SUMIFS(데이터_성질별수출!$G$3:$G$653,데이터_성질별수출!$E$3:$E$653,$B237,데이터_성질별수출!$A$3:$A$653,"2026.03")</f>
        <v>178529</v>
      </c>
      <c r="AD237" s="55" t="n">
        <f aca="false">SUMIFS(데이터_성질별수출!$G$3:$G$653,데이터_성질별수출!$E$3:$E$653,$B237,데이터_성질별수출!$A$3:$A$653,"2026.04")</f>
        <v>195708</v>
      </c>
      <c r="AE237" s="55" t="n">
        <f aca="false">SUMIFS(데이터_성질별수출!$G$3:$G$653,데이터_성질별수출!$E$3:$E$653,$B237,데이터_성질별수출!$A$3:$A$653,"2026.05")</f>
        <v>156237</v>
      </c>
      <c r="AF237" s="55" t="n">
        <f aca="false">SUMIFS(데이터_성질별수출!$G$3:$G$653,데이터_성질별수출!$E$3:$E$653,$B237,데이터_성질별수출!$A$3:$A$653,"2026.06")</f>
        <v>182081</v>
      </c>
      <c r="AG237" s="55" t="n">
        <f aca="false">SUMIFS(데이터_성질별수출!$G$3:$G$653,데이터_성질별수출!$E$3:$E$653,$B237,데이터_성질별수출!$A$3:$A$653,"2026.07")</f>
        <v>184656</v>
      </c>
    </row>
    <row r="238" customFormat="false" ht="15" hidden="false" customHeight="true" outlineLevel="0" collapsed="false">
      <c r="A238" s="53" t="s">
        <v>19855</v>
      </c>
      <c r="B238" s="54" t="s">
        <v>15044</v>
      </c>
      <c r="C238" s="55" t="n">
        <f aca="false">SUMIFS(데이터_성질별수출!$G$3:$G$653,데이터_성질별수출!$E$3:$E$653,$B238,데이터_성질별수출!$A$3:$A$653,"2024.01")</f>
        <v>166152</v>
      </c>
      <c r="D238" s="55" t="n">
        <f aca="false">SUMIFS(데이터_성질별수출!$G$3:$G$653,데이터_성질별수출!$E$3:$E$653,$B238,데이터_성질별수출!$A$3:$A$653,"2024.02")</f>
        <v>134531</v>
      </c>
      <c r="E238" s="55" t="n">
        <f aca="false">SUMIFS(데이터_성질별수출!$G$3:$G$653,데이터_성질별수출!$E$3:$E$653,$B238,데이터_성질별수출!$A$3:$A$653,"2024.03")</f>
        <v>154470</v>
      </c>
      <c r="F238" s="55" t="n">
        <f aca="false">SUMIFS(데이터_성질별수출!$G$3:$G$653,데이터_성질별수출!$E$3:$E$653,$B238,데이터_성질별수출!$A$3:$A$653,"2024.04")</f>
        <v>159754</v>
      </c>
      <c r="G238" s="55" t="n">
        <f aca="false">SUMIFS(데이터_성질별수출!$G$3:$G$653,데이터_성질별수출!$E$3:$E$653,$B238,데이터_성질별수출!$A$3:$A$653,"2024.05")</f>
        <v>172054</v>
      </c>
      <c r="H238" s="55" t="n">
        <f aca="false">SUMIFS(데이터_성질별수출!$G$3:$G$653,데이터_성질별수출!$E$3:$E$653,$B238,데이터_성질별수출!$A$3:$A$653,"2024.06")</f>
        <v>160527</v>
      </c>
      <c r="I238" s="55" t="n">
        <f aca="false">SUMIFS(데이터_성질별수출!$G$3:$G$653,데이터_성질별수출!$E$3:$E$653,$B238,데이터_성질별수출!$A$3:$A$653,"2024.07")</f>
        <v>155386</v>
      </c>
      <c r="J238" s="55" t="n">
        <f aca="false">SUMIFS(데이터_성질별수출!$G$3:$G$653,데이터_성질별수출!$E$3:$E$653,$B238,데이터_성질별수출!$A$3:$A$653,"2024.08")</f>
        <v>137210</v>
      </c>
      <c r="K238" s="55" t="n">
        <f aca="false">SUMIFS(데이터_성질별수출!$G$3:$G$653,데이터_성질별수출!$E$3:$E$653,$B238,데이터_성질별수출!$A$3:$A$653,"2024.09")</f>
        <v>149036</v>
      </c>
      <c r="L238" s="55" t="n">
        <f aca="false">SUMIFS(데이터_성질별수출!$G$3:$G$653,데이터_성질별수출!$E$3:$E$653,$B238,데이터_성질별수출!$A$3:$A$653,"2024.10")</f>
        <v>169441</v>
      </c>
      <c r="M238" s="55" t="n">
        <f aca="false">SUMIFS(데이터_성질별수출!$G$3:$G$653,데이터_성질별수출!$E$3:$E$653,$B238,데이터_성질별수출!$A$3:$A$653,"2024.11")</f>
        <v>190426</v>
      </c>
      <c r="N238" s="55" t="n">
        <f aca="false">SUMIFS(데이터_성질별수출!$G$3:$G$653,데이터_성질별수출!$E$3:$E$653,$B238,데이터_성질별수출!$A$3:$A$653,"2024.12")</f>
        <v>182146</v>
      </c>
      <c r="O238" s="55" t="n">
        <f aca="false">SUMIFS(데이터_성질별수출!$G$3:$G$653,데이터_성질별수출!$E$3:$E$653,$B238,데이터_성질별수출!$A$3:$A$653,"2025.01")</f>
        <v>125396</v>
      </c>
      <c r="P238" s="55" t="n">
        <f aca="false">SUMIFS(데이터_성질별수출!$G$3:$G$653,데이터_성질별수출!$E$3:$E$653,$B238,데이터_성질별수출!$A$3:$A$653,"2025.02")</f>
        <v>140020</v>
      </c>
      <c r="Q238" s="55" t="n">
        <f aca="false">SUMIFS(데이터_성질별수출!$G$3:$G$653,데이터_성질별수출!$E$3:$E$653,$B238,데이터_성질별수출!$A$3:$A$653,"2025.03")</f>
        <v>151966</v>
      </c>
      <c r="R238" s="55" t="n">
        <f aca="false">SUMIFS(데이터_성질별수출!$G$3:$G$653,데이터_성질별수출!$E$3:$E$653,$B238,데이터_성질별수출!$A$3:$A$653,"2025.04")</f>
        <v>165402</v>
      </c>
      <c r="S238" s="55" t="n">
        <f aca="false">SUMIFS(데이터_성질별수출!$G$3:$G$653,데이터_성질별수출!$E$3:$E$653,$B238,데이터_성질별수출!$A$3:$A$653,"2025.05")</f>
        <v>169252</v>
      </c>
      <c r="T238" s="55" t="n">
        <f aca="false">SUMIFS(데이터_성질별수출!$G$3:$G$653,데이터_성질별수출!$E$3:$E$653,$B238,데이터_성질별수출!$A$3:$A$653,"2025.06")</f>
        <v>161652</v>
      </c>
      <c r="U238" s="55" t="n">
        <f aca="false">SUMIFS(데이터_성질별수출!$G$3:$G$653,데이터_성질별수출!$E$3:$E$653,$B238,데이터_성질별수출!$A$3:$A$653,"2025.07")</f>
        <v>157969</v>
      </c>
      <c r="V238" s="55" t="n">
        <f aca="false">SUMIFS(데이터_성질별수출!$G$3:$G$653,데이터_성질별수출!$E$3:$E$653,$B238,데이터_성질별수출!$A$3:$A$653,"2025.08")</f>
        <v>138589</v>
      </c>
      <c r="W238" s="55" t="n">
        <f aca="false">SUMIFS(데이터_성질별수출!$G$3:$G$653,데이터_성질별수출!$E$3:$E$653,$B238,데이터_성질별수출!$A$3:$A$653,"2025.09")</f>
        <v>175374</v>
      </c>
      <c r="X238" s="55" t="n">
        <f aca="false">SUMIFS(데이터_성질별수출!$G$3:$G$653,데이터_성질별수출!$E$3:$E$653,$B238,데이터_성질별수출!$A$3:$A$653,"2025.10")</f>
        <v>153647</v>
      </c>
      <c r="Y238" s="55" t="n">
        <f aca="false">SUMIFS(데이터_성질별수출!$G$3:$G$653,데이터_성질별수출!$E$3:$E$653,$B238,데이터_성질별수출!$A$3:$A$653,"2025.11")</f>
        <v>195650</v>
      </c>
      <c r="Z238" s="55" t="n">
        <f aca="false">SUMIFS(데이터_성질별수출!$G$3:$G$653,데이터_성질별수출!$E$3:$E$653,$B238,데이터_성질별수출!$A$3:$A$653,"2025.12")</f>
        <v>195433</v>
      </c>
      <c r="AA238" s="55" t="n">
        <f aca="false">SUMIFS(데이터_성질별수출!$G$3:$G$653,데이터_성질별수출!$E$3:$E$653,$B238,데이터_성질별수출!$A$3:$A$653,"2026.01")</f>
        <v>145729</v>
      </c>
      <c r="AB238" s="55" t="n">
        <f aca="false">SUMIFS(데이터_성질별수출!$G$3:$G$653,데이터_성질별수출!$E$3:$E$653,$B238,데이터_성질별수출!$A$3:$A$653,"2026.02")</f>
        <v>128724</v>
      </c>
      <c r="AC238" s="55" t="n">
        <f aca="false">SUMIFS(데이터_성질별수출!$G$3:$G$653,데이터_성질별수출!$E$3:$E$653,$B238,데이터_성질별수출!$A$3:$A$653,"2026.03")</f>
        <v>178394</v>
      </c>
      <c r="AD238" s="55" t="n">
        <f aca="false">SUMIFS(데이터_성질별수출!$G$3:$G$653,데이터_성질별수출!$E$3:$E$653,$B238,데이터_성질별수출!$A$3:$A$653,"2026.04")</f>
        <v>217836</v>
      </c>
      <c r="AE238" s="55" t="n">
        <f aca="false">SUMIFS(데이터_성질별수출!$G$3:$G$653,데이터_성질별수출!$E$3:$E$653,$B238,데이터_성질별수출!$A$3:$A$653,"2026.05")</f>
        <v>162835</v>
      </c>
      <c r="AF238" s="55" t="n">
        <f aca="false">SUMIFS(데이터_성질별수출!$G$3:$G$653,데이터_성질별수출!$E$3:$E$653,$B238,데이터_성질별수출!$A$3:$A$653,"2026.06")</f>
        <v>191947</v>
      </c>
      <c r="AG238" s="55" t="n">
        <f aca="false">SUMIFS(데이터_성질별수출!$G$3:$G$653,데이터_성질별수출!$E$3:$E$653,$B238,데이터_성질별수출!$A$3:$A$653,"2026.07")</f>
        <v>162057</v>
      </c>
    </row>
    <row r="239" customFormat="false" ht="15" hidden="false" customHeight="true" outlineLevel="0" collapsed="false">
      <c r="A239" s="53" t="s">
        <v>19856</v>
      </c>
      <c r="B239" s="54" t="s">
        <v>15046</v>
      </c>
      <c r="C239" s="55" t="n">
        <f aca="false">SUMIFS(데이터_성질별수출!$G$3:$G$653,데이터_성질별수출!$E$3:$E$653,$B239,데이터_성질별수출!$A$3:$A$653,"2024.01")</f>
        <v>94566</v>
      </c>
      <c r="D239" s="55" t="n">
        <f aca="false">SUMIFS(데이터_성질별수출!$G$3:$G$653,데이터_성질별수출!$E$3:$E$653,$B239,데이터_성질별수출!$A$3:$A$653,"2024.02")</f>
        <v>87931</v>
      </c>
      <c r="E239" s="55" t="n">
        <f aca="false">SUMIFS(데이터_성질별수출!$G$3:$G$653,데이터_성질별수출!$E$3:$E$653,$B239,데이터_성질별수출!$A$3:$A$653,"2024.03")</f>
        <v>97356</v>
      </c>
      <c r="F239" s="55" t="n">
        <f aca="false">SUMIFS(데이터_성질별수출!$G$3:$G$653,데이터_성질별수출!$E$3:$E$653,$B239,데이터_성질별수출!$A$3:$A$653,"2024.04")</f>
        <v>100550</v>
      </c>
      <c r="G239" s="55" t="n">
        <f aca="false">SUMIFS(데이터_성질별수출!$G$3:$G$653,데이터_성질별수출!$E$3:$E$653,$B239,데이터_성질별수출!$A$3:$A$653,"2024.05")</f>
        <v>102027</v>
      </c>
      <c r="H239" s="55" t="n">
        <f aca="false">SUMIFS(데이터_성질별수출!$G$3:$G$653,데이터_성질별수출!$E$3:$E$653,$B239,데이터_성질별수출!$A$3:$A$653,"2024.06")</f>
        <v>91673</v>
      </c>
      <c r="I239" s="55" t="n">
        <f aca="false">SUMIFS(데이터_성질별수출!$G$3:$G$653,데이터_성질별수출!$E$3:$E$653,$B239,데이터_성질별수출!$A$3:$A$653,"2024.07")</f>
        <v>103871</v>
      </c>
      <c r="J239" s="55" t="n">
        <f aca="false">SUMIFS(데이터_성질별수출!$G$3:$G$653,데이터_성질별수출!$E$3:$E$653,$B239,데이터_성질별수출!$A$3:$A$653,"2024.08")</f>
        <v>100609</v>
      </c>
      <c r="K239" s="55" t="n">
        <f aca="false">SUMIFS(데이터_성질별수출!$G$3:$G$653,데이터_성질별수출!$E$3:$E$653,$B239,데이터_성질별수출!$A$3:$A$653,"2024.09")</f>
        <v>93227</v>
      </c>
      <c r="L239" s="55" t="n">
        <f aca="false">SUMIFS(데이터_성질별수출!$G$3:$G$653,데이터_성질별수출!$E$3:$E$653,$B239,데이터_성질별수출!$A$3:$A$653,"2024.10")</f>
        <v>110208</v>
      </c>
      <c r="M239" s="55" t="n">
        <f aca="false">SUMIFS(데이터_성질별수출!$G$3:$G$653,데이터_성질별수출!$E$3:$E$653,$B239,데이터_성질별수출!$A$3:$A$653,"2024.11")</f>
        <v>103201</v>
      </c>
      <c r="N239" s="55" t="n">
        <f aca="false">SUMIFS(데이터_성질별수출!$G$3:$G$653,데이터_성질별수출!$E$3:$E$653,$B239,데이터_성질별수출!$A$3:$A$653,"2024.12")</f>
        <v>100267</v>
      </c>
      <c r="O239" s="55" t="n">
        <f aca="false">SUMIFS(데이터_성질별수출!$G$3:$G$653,데이터_성질별수출!$E$3:$E$653,$B239,데이터_성질별수출!$A$3:$A$653,"2025.01")</f>
        <v>81070</v>
      </c>
      <c r="P239" s="55" t="n">
        <f aca="false">SUMIFS(데이터_성질별수출!$G$3:$G$653,데이터_성질별수출!$E$3:$E$653,$B239,데이터_성질별수출!$A$3:$A$653,"2025.02")</f>
        <v>93249</v>
      </c>
      <c r="Q239" s="55" t="n">
        <f aca="false">SUMIFS(데이터_성질별수출!$G$3:$G$653,데이터_성질별수출!$E$3:$E$653,$B239,데이터_성질별수출!$A$3:$A$653,"2025.03")</f>
        <v>102054</v>
      </c>
      <c r="R239" s="55" t="n">
        <f aca="false">SUMIFS(데이터_성질별수출!$G$3:$G$653,데이터_성질별수출!$E$3:$E$653,$B239,데이터_성질별수출!$A$3:$A$653,"2025.04")</f>
        <v>105406</v>
      </c>
      <c r="S239" s="55" t="n">
        <f aca="false">SUMIFS(데이터_성질별수출!$G$3:$G$653,데이터_성질별수출!$E$3:$E$653,$B239,데이터_성질별수출!$A$3:$A$653,"2025.05")</f>
        <v>96349</v>
      </c>
      <c r="T239" s="55" t="n">
        <f aca="false">SUMIFS(데이터_성질별수출!$G$3:$G$653,데이터_성질별수출!$E$3:$E$653,$B239,데이터_성질별수출!$A$3:$A$653,"2025.06")</f>
        <v>95539</v>
      </c>
      <c r="U239" s="55" t="n">
        <f aca="false">SUMIFS(데이터_성질별수출!$G$3:$G$653,데이터_성질별수출!$E$3:$E$653,$B239,데이터_성질별수출!$A$3:$A$653,"2025.07")</f>
        <v>107535</v>
      </c>
      <c r="V239" s="55" t="n">
        <f aca="false">SUMIFS(데이터_성질별수출!$G$3:$G$653,데이터_성질별수출!$E$3:$E$653,$B239,데이터_성질별수출!$A$3:$A$653,"2025.08")</f>
        <v>91898</v>
      </c>
      <c r="W239" s="55" t="n">
        <f aca="false">SUMIFS(데이터_성질별수출!$G$3:$G$653,데이터_성질별수출!$E$3:$E$653,$B239,데이터_성질별수출!$A$3:$A$653,"2025.09")</f>
        <v>107136</v>
      </c>
      <c r="X239" s="55" t="n">
        <f aca="false">SUMIFS(데이터_성질별수출!$G$3:$G$653,데이터_성질별수출!$E$3:$E$653,$B239,데이터_성질별수출!$A$3:$A$653,"2025.10")</f>
        <v>84319</v>
      </c>
      <c r="Y239" s="55" t="n">
        <f aca="false">SUMIFS(데이터_성질별수출!$G$3:$G$653,데이터_성질별수출!$E$3:$E$653,$B239,데이터_성질별수출!$A$3:$A$653,"2025.11")</f>
        <v>92810</v>
      </c>
      <c r="Z239" s="55" t="n">
        <f aca="false">SUMIFS(데이터_성질별수출!$G$3:$G$653,데이터_성질별수출!$E$3:$E$653,$B239,데이터_성질별수출!$A$3:$A$653,"2025.12")</f>
        <v>111019</v>
      </c>
      <c r="AA239" s="55" t="n">
        <f aca="false">SUMIFS(데이터_성질별수출!$G$3:$G$653,데이터_성질별수출!$E$3:$E$653,$B239,데이터_성질별수출!$A$3:$A$653,"2026.01")</f>
        <v>94526</v>
      </c>
      <c r="AB239" s="55" t="n">
        <f aca="false">SUMIFS(데이터_성질별수출!$G$3:$G$653,데이터_성질별수출!$E$3:$E$653,$B239,데이터_성질별수출!$A$3:$A$653,"2026.02")</f>
        <v>80045</v>
      </c>
      <c r="AC239" s="55" t="n">
        <f aca="false">SUMIFS(데이터_성질별수출!$G$3:$G$653,데이터_성질별수출!$E$3:$E$653,$B239,데이터_성질별수출!$A$3:$A$653,"2026.03")</f>
        <v>99911</v>
      </c>
      <c r="AD239" s="55" t="n">
        <f aca="false">SUMIFS(데이터_성질별수출!$G$3:$G$653,데이터_성질별수출!$E$3:$E$653,$B239,데이터_성질별수출!$A$3:$A$653,"2026.04")</f>
        <v>109054</v>
      </c>
      <c r="AE239" s="55" t="n">
        <f aca="false">SUMIFS(데이터_성질별수출!$G$3:$G$653,데이터_성질별수출!$E$3:$E$653,$B239,데이터_성질별수출!$A$3:$A$653,"2026.05")</f>
        <v>87103</v>
      </c>
      <c r="AF239" s="55" t="n">
        <f aca="false">SUMIFS(데이터_성질별수출!$G$3:$G$653,데이터_성질별수출!$E$3:$E$653,$B239,데이터_성질별수출!$A$3:$A$653,"2026.06")</f>
        <v>95170</v>
      </c>
      <c r="AG239" s="55" t="n">
        <f aca="false">SUMIFS(데이터_성질별수출!$G$3:$G$653,데이터_성질별수출!$E$3:$E$653,$B239,데이터_성질별수출!$A$3:$A$653,"2026.07")</f>
        <v>111673</v>
      </c>
    </row>
    <row r="240" customFormat="false" ht="15" hidden="false" customHeight="true" outlineLevel="0" collapsed="false">
      <c r="A240" s="53" t="s">
        <v>408</v>
      </c>
      <c r="B240" s="54" t="s">
        <v>15049</v>
      </c>
      <c r="C240" s="55" t="n">
        <f aca="false">SUMIFS(데이터_성질별수출!$G$3:$G$653,데이터_성질별수출!$E$3:$E$653,$B240,데이터_성질별수출!$A$3:$A$653,"2024.01")</f>
        <v>432552</v>
      </c>
      <c r="D240" s="55" t="n">
        <f aca="false">SUMIFS(데이터_성질별수출!$G$3:$G$653,데이터_성질별수출!$E$3:$E$653,$B240,데이터_성질별수출!$A$3:$A$653,"2024.02")</f>
        <v>392673</v>
      </c>
      <c r="E240" s="55" t="n">
        <f aca="false">SUMIFS(데이터_성질별수출!$G$3:$G$653,데이터_성질별수출!$E$3:$E$653,$B240,데이터_성질별수출!$A$3:$A$653,"2024.03")</f>
        <v>418480</v>
      </c>
      <c r="F240" s="55" t="n">
        <f aca="false">SUMIFS(데이터_성질별수출!$G$3:$G$653,데이터_성질별수출!$E$3:$E$653,$B240,데이터_성질별수출!$A$3:$A$653,"2024.04")</f>
        <v>442402</v>
      </c>
      <c r="G240" s="55" t="n">
        <f aca="false">SUMIFS(데이터_성질별수출!$G$3:$G$653,데이터_성질별수출!$E$3:$E$653,$B240,데이터_성질별수출!$A$3:$A$653,"2024.05")</f>
        <v>482295</v>
      </c>
      <c r="H240" s="55" t="n">
        <f aca="false">SUMIFS(데이터_성질별수출!$G$3:$G$653,데이터_성질별수출!$E$3:$E$653,$B240,데이터_성질별수출!$A$3:$A$653,"2024.06")</f>
        <v>443004</v>
      </c>
      <c r="I240" s="55" t="n">
        <f aca="false">SUMIFS(데이터_성질별수출!$G$3:$G$653,데이터_성질별수출!$E$3:$E$653,$B240,데이터_성질별수출!$A$3:$A$653,"2024.07")</f>
        <v>496133</v>
      </c>
      <c r="J240" s="55" t="n">
        <f aca="false">SUMIFS(데이터_성질별수출!$G$3:$G$653,데이터_성질별수출!$E$3:$E$653,$B240,데이터_성질별수출!$A$3:$A$653,"2024.08")</f>
        <v>393930</v>
      </c>
      <c r="K240" s="55" t="n">
        <f aca="false">SUMIFS(데이터_성질별수출!$G$3:$G$653,데이터_성질별수출!$E$3:$E$653,$B240,데이터_성질별수출!$A$3:$A$653,"2024.09")</f>
        <v>346236</v>
      </c>
      <c r="L240" s="55" t="n">
        <f aca="false">SUMIFS(데이터_성질별수출!$G$3:$G$653,데이터_성질별수출!$E$3:$E$653,$B240,데이터_성질별수출!$A$3:$A$653,"2024.10")</f>
        <v>376538</v>
      </c>
      <c r="M240" s="55" t="n">
        <f aca="false">SUMIFS(데이터_성질별수출!$G$3:$G$653,데이터_성질별수출!$E$3:$E$653,$B240,데이터_성질별수출!$A$3:$A$653,"2024.11")</f>
        <v>397070</v>
      </c>
      <c r="N240" s="55" t="n">
        <f aca="false">SUMIFS(데이터_성질별수출!$G$3:$G$653,데이터_성질별수출!$E$3:$E$653,$B240,데이터_성질별수출!$A$3:$A$653,"2024.12")</f>
        <v>401706</v>
      </c>
      <c r="O240" s="55" t="n">
        <f aca="false">SUMIFS(데이터_성질별수출!$G$3:$G$653,데이터_성질별수출!$E$3:$E$653,$B240,데이터_성질별수출!$A$3:$A$653,"2025.01")</f>
        <v>381884</v>
      </c>
      <c r="P240" s="55" t="n">
        <f aca="false">SUMIFS(데이터_성질별수출!$G$3:$G$653,데이터_성질별수출!$E$3:$E$653,$B240,데이터_성질별수출!$A$3:$A$653,"2025.02")</f>
        <v>413496</v>
      </c>
      <c r="Q240" s="55" t="n">
        <f aca="false">SUMIFS(데이터_성질별수출!$G$3:$G$653,데이터_성질별수출!$E$3:$E$653,$B240,데이터_성질별수출!$A$3:$A$653,"2025.03")</f>
        <v>418959</v>
      </c>
      <c r="R240" s="55" t="n">
        <f aca="false">SUMIFS(데이터_성질별수출!$G$3:$G$653,데이터_성질별수출!$E$3:$E$653,$B240,데이터_성질별수출!$A$3:$A$653,"2025.04")</f>
        <v>464042</v>
      </c>
      <c r="S240" s="55" t="n">
        <f aca="false">SUMIFS(데이터_성질별수출!$G$3:$G$653,데이터_성질별수출!$E$3:$E$653,$B240,데이터_성질별수출!$A$3:$A$653,"2025.05")</f>
        <v>460739</v>
      </c>
      <c r="T240" s="55" t="n">
        <f aca="false">SUMIFS(데이터_성질별수출!$G$3:$G$653,데이터_성질별수출!$E$3:$E$653,$B240,데이터_성질별수출!$A$3:$A$653,"2025.06")</f>
        <v>424242</v>
      </c>
      <c r="U240" s="55" t="n">
        <f aca="false">SUMIFS(데이터_성질별수출!$G$3:$G$653,데이터_성질별수출!$E$3:$E$653,$B240,데이터_성질별수출!$A$3:$A$653,"2025.07")</f>
        <v>428978</v>
      </c>
      <c r="V240" s="55" t="n">
        <f aca="false">SUMIFS(데이터_성질별수출!$G$3:$G$653,데이터_성질별수출!$E$3:$E$653,$B240,데이터_성질별수출!$A$3:$A$653,"2025.08")</f>
        <v>325645</v>
      </c>
      <c r="W240" s="55" t="n">
        <f aca="false">SUMIFS(데이터_성질별수출!$G$3:$G$653,데이터_성질별수출!$E$3:$E$653,$B240,데이터_성질별수출!$A$3:$A$653,"2025.09")</f>
        <v>374780</v>
      </c>
      <c r="X240" s="55" t="n">
        <f aca="false">SUMIFS(데이터_성질별수출!$G$3:$G$653,데이터_성질별수출!$E$3:$E$653,$B240,데이터_성질별수출!$A$3:$A$653,"2025.10")</f>
        <v>320184</v>
      </c>
      <c r="Y240" s="55" t="n">
        <f aca="false">SUMIFS(데이터_성질별수출!$G$3:$G$653,데이터_성질별수출!$E$3:$E$653,$B240,데이터_성질별수출!$A$3:$A$653,"2025.11")</f>
        <v>334273</v>
      </c>
      <c r="Z240" s="55" t="n">
        <f aca="false">SUMIFS(데이터_성질별수출!$G$3:$G$653,데이터_성질별수출!$E$3:$E$653,$B240,데이터_성질별수출!$A$3:$A$653,"2025.12")</f>
        <v>405025</v>
      </c>
      <c r="AA240" s="55" t="n">
        <f aca="false">SUMIFS(데이터_성질별수출!$G$3:$G$653,데이터_성질별수출!$E$3:$E$653,$B240,데이터_성질별수출!$A$3:$A$653,"2026.01")</f>
        <v>401578</v>
      </c>
      <c r="AB240" s="55" t="n">
        <f aca="false">SUMIFS(데이터_성질별수출!$G$3:$G$653,데이터_성질별수출!$E$3:$E$653,$B240,데이터_성질별수출!$A$3:$A$653,"2026.02")</f>
        <v>344400</v>
      </c>
      <c r="AC240" s="55" t="n">
        <f aca="false">SUMIFS(데이터_성질별수출!$G$3:$G$653,데이터_성질별수출!$E$3:$E$653,$B240,데이터_성질별수출!$A$3:$A$653,"2026.03")</f>
        <v>411282</v>
      </c>
      <c r="AD240" s="55" t="n">
        <f aca="false">SUMIFS(데이터_성질별수출!$G$3:$G$653,데이터_성질별수출!$E$3:$E$653,$B240,데이터_성질별수출!$A$3:$A$653,"2026.04")</f>
        <v>441930</v>
      </c>
      <c r="AE240" s="55" t="n">
        <f aca="false">SUMIFS(데이터_성질별수출!$G$3:$G$653,데이터_성질별수출!$E$3:$E$653,$B240,데이터_성질별수출!$A$3:$A$653,"2026.05")</f>
        <v>448961</v>
      </c>
      <c r="AF240" s="55" t="n">
        <f aca="false">SUMIFS(데이터_성질별수출!$G$3:$G$653,데이터_성질별수출!$E$3:$E$653,$B240,데이터_성질별수출!$A$3:$A$653,"2026.06")</f>
        <v>485126</v>
      </c>
      <c r="AG240" s="55" t="n">
        <f aca="false">SUMIFS(데이터_성질별수출!$G$3:$G$653,데이터_성질별수출!$E$3:$E$653,$B240,데이터_성질별수출!$A$3:$A$653,"2026.07")</f>
        <v>485169</v>
      </c>
    </row>
    <row r="241" customFormat="false" ht="15" hidden="false" customHeight="true" outlineLevel="0" collapsed="false">
      <c r="A241" s="53" t="s">
        <v>415</v>
      </c>
      <c r="B241" s="54" t="s">
        <v>15051</v>
      </c>
      <c r="C241" s="55" t="n">
        <f aca="false">SUMIFS(데이터_성질별수출!$G$3:$G$653,데이터_성질별수출!$E$3:$E$653,$B241,데이터_성질별수출!$A$3:$A$653,"2024.01")</f>
        <v>196258</v>
      </c>
      <c r="D241" s="55" t="n">
        <f aca="false">SUMIFS(데이터_성질별수출!$G$3:$G$653,데이터_성질별수출!$E$3:$E$653,$B241,데이터_성질별수출!$A$3:$A$653,"2024.02")</f>
        <v>199678</v>
      </c>
      <c r="E241" s="55" t="n">
        <f aca="false">SUMIFS(데이터_성질별수출!$G$3:$G$653,데이터_성질별수출!$E$3:$E$653,$B241,데이터_성질별수출!$A$3:$A$653,"2024.03")</f>
        <v>176733</v>
      </c>
      <c r="F241" s="55" t="n">
        <f aca="false">SUMIFS(데이터_성질별수출!$G$3:$G$653,데이터_성질별수출!$E$3:$E$653,$B241,데이터_성질별수출!$A$3:$A$653,"2024.04")</f>
        <v>246870</v>
      </c>
      <c r="G241" s="55" t="n">
        <f aca="false">SUMIFS(데이터_성질별수출!$G$3:$G$653,데이터_성질별수출!$E$3:$E$653,$B241,데이터_성질별수출!$A$3:$A$653,"2024.05")</f>
        <v>376118</v>
      </c>
      <c r="H241" s="55" t="n">
        <f aca="false">SUMIFS(데이터_성질별수출!$G$3:$G$653,데이터_성질별수출!$E$3:$E$653,$B241,데이터_성질별수출!$A$3:$A$653,"2024.06")</f>
        <v>272507</v>
      </c>
      <c r="I241" s="55" t="n">
        <f aca="false">SUMIFS(데이터_성질별수출!$G$3:$G$653,데이터_성질별수출!$E$3:$E$653,$B241,데이터_성질별수출!$A$3:$A$653,"2024.07")</f>
        <v>374409</v>
      </c>
      <c r="J241" s="55" t="n">
        <f aca="false">SUMIFS(데이터_성질별수출!$G$3:$G$653,데이터_성질별수출!$E$3:$E$653,$B241,데이터_성질별수출!$A$3:$A$653,"2024.08")</f>
        <v>332597</v>
      </c>
      <c r="K241" s="55" t="n">
        <f aca="false">SUMIFS(데이터_성질별수출!$G$3:$G$653,데이터_성질별수출!$E$3:$E$653,$B241,데이터_성질별수출!$A$3:$A$653,"2024.09")</f>
        <v>317311</v>
      </c>
      <c r="L241" s="55" t="n">
        <f aca="false">SUMIFS(데이터_성질별수출!$G$3:$G$653,데이터_성질별수출!$E$3:$E$653,$B241,데이터_성질별수출!$A$3:$A$653,"2024.10")</f>
        <v>218033</v>
      </c>
      <c r="M241" s="55" t="n">
        <f aca="false">SUMIFS(데이터_성질별수출!$G$3:$G$653,데이터_성질별수출!$E$3:$E$653,$B241,데이터_성질별수출!$A$3:$A$653,"2024.11")</f>
        <v>272277</v>
      </c>
      <c r="N241" s="55" t="n">
        <f aca="false">SUMIFS(데이터_성질별수출!$G$3:$G$653,데이터_성질별수출!$E$3:$E$653,$B241,데이터_성질별수출!$A$3:$A$653,"2024.12")</f>
        <v>267903</v>
      </c>
      <c r="O241" s="55" t="n">
        <f aca="false">SUMIFS(데이터_성질별수출!$G$3:$G$653,데이터_성질별수출!$E$3:$E$653,$B241,데이터_성질별수출!$A$3:$A$653,"2025.01")</f>
        <v>267386</v>
      </c>
      <c r="P241" s="55" t="n">
        <f aca="false">SUMIFS(데이터_성질별수출!$G$3:$G$653,데이터_성질별수출!$E$3:$E$653,$B241,데이터_성질별수출!$A$3:$A$653,"2025.02")</f>
        <v>343477</v>
      </c>
      <c r="Q241" s="55" t="n">
        <f aca="false">SUMIFS(데이터_성질별수출!$G$3:$G$653,데이터_성질별수출!$E$3:$E$653,$B241,데이터_성질별수출!$A$3:$A$653,"2025.03")</f>
        <v>285405</v>
      </c>
      <c r="R241" s="55" t="n">
        <f aca="false">SUMIFS(데이터_성질별수출!$G$3:$G$653,데이터_성질별수출!$E$3:$E$653,$B241,데이터_성질별수출!$A$3:$A$653,"2025.04")</f>
        <v>419455</v>
      </c>
      <c r="S241" s="55" t="n">
        <f aca="false">SUMIFS(데이터_성질별수출!$G$3:$G$653,데이터_성질별수출!$E$3:$E$653,$B241,데이터_성질별수출!$A$3:$A$653,"2025.05")</f>
        <v>469846</v>
      </c>
      <c r="T241" s="55" t="n">
        <f aca="false">SUMIFS(데이터_성질별수출!$G$3:$G$653,데이터_성질별수출!$E$3:$E$653,$B241,데이터_성질별수출!$A$3:$A$653,"2025.06")</f>
        <v>535201</v>
      </c>
      <c r="U241" s="55" t="n">
        <f aca="false">SUMIFS(데이터_성질별수출!$G$3:$G$653,데이터_성질별수출!$E$3:$E$653,$B241,데이터_성질별수출!$A$3:$A$653,"2025.07")</f>
        <v>472994</v>
      </c>
      <c r="V241" s="55" t="n">
        <f aca="false">SUMIFS(데이터_성질별수출!$G$3:$G$653,데이터_성질별수출!$E$3:$E$653,$B241,데이터_성질별수출!$A$3:$A$653,"2025.08")</f>
        <v>491288</v>
      </c>
      <c r="W241" s="55" t="n">
        <f aca="false">SUMIFS(데이터_성질별수출!$G$3:$G$653,데이터_성질별수출!$E$3:$E$653,$B241,데이터_성질별수출!$A$3:$A$653,"2025.09")</f>
        <v>380169</v>
      </c>
      <c r="X241" s="55" t="n">
        <f aca="false">SUMIFS(데이터_성질별수출!$G$3:$G$653,데이터_성질별수출!$E$3:$E$653,$B241,데이터_성질별수출!$A$3:$A$653,"2025.10")</f>
        <v>561464</v>
      </c>
      <c r="Y241" s="55" t="n">
        <f aca="false">SUMIFS(데이터_성질별수출!$G$3:$G$653,데이터_성질별수출!$E$3:$E$653,$B241,데이터_성질별수출!$A$3:$A$653,"2025.11")</f>
        <v>597065</v>
      </c>
      <c r="Z241" s="55" t="n">
        <f aca="false">SUMIFS(데이터_성질별수출!$G$3:$G$653,데이터_성질별수출!$E$3:$E$653,$B241,데이터_성질별수출!$A$3:$A$653,"2025.12")</f>
        <v>490209</v>
      </c>
      <c r="AA241" s="55" t="n">
        <f aca="false">SUMIFS(데이터_성질별수출!$G$3:$G$653,데이터_성질별수출!$E$3:$E$653,$B241,데이터_성질별수출!$A$3:$A$653,"2026.01")</f>
        <v>701882</v>
      </c>
      <c r="AB241" s="55" t="n">
        <f aca="false">SUMIFS(데이터_성질별수출!$G$3:$G$653,데이터_성질별수출!$E$3:$E$653,$B241,데이터_성질별수출!$A$3:$A$653,"2026.02")</f>
        <v>995740</v>
      </c>
      <c r="AC241" s="55" t="n">
        <f aca="false">SUMIFS(데이터_성질별수출!$G$3:$G$653,데이터_성질별수출!$E$3:$E$653,$B241,데이터_성질별수출!$A$3:$A$653,"2026.03")</f>
        <v>1538992</v>
      </c>
      <c r="AD241" s="55" t="n">
        <f aca="false">SUMIFS(데이터_성질별수출!$G$3:$G$653,데이터_성질별수출!$E$3:$E$653,$B241,데이터_성질별수출!$A$3:$A$653,"2026.04")</f>
        <v>1162460</v>
      </c>
      <c r="AE241" s="55" t="n">
        <f aca="false">SUMIFS(데이터_성질별수출!$G$3:$G$653,데이터_성질별수출!$E$3:$E$653,$B241,데이터_성질별수출!$A$3:$A$653,"2026.05")</f>
        <v>1476718</v>
      </c>
      <c r="AF241" s="55" t="n">
        <f aca="false">SUMIFS(데이터_성질별수출!$G$3:$G$653,데이터_성질별수출!$E$3:$E$653,$B241,데이터_성질별수출!$A$3:$A$653,"2026.06")</f>
        <v>1382987</v>
      </c>
      <c r="AG241" s="55" t="n">
        <f aca="false">SUMIFS(데이터_성질별수출!$G$3:$G$653,데이터_성질별수출!$E$3:$E$653,$B241,데이터_성질별수출!$A$3:$A$653,"2026.07")</f>
        <v>1011215</v>
      </c>
    </row>
    <row r="242" customFormat="false" ht="15" hidden="false" customHeight="true" outlineLevel="0" collapsed="false">
      <c r="A242" s="53" t="s">
        <v>422</v>
      </c>
      <c r="B242" s="54" t="s">
        <v>15054</v>
      </c>
      <c r="C242" s="55" t="n">
        <f aca="false">SUMIFS(데이터_성질별수출!$G$3:$G$653,데이터_성질별수출!$E$3:$E$653,$B242,데이터_성질별수출!$A$3:$A$653,"2024.01")</f>
        <v>220807</v>
      </c>
      <c r="D242" s="55" t="n">
        <f aca="false">SUMIFS(데이터_성질별수출!$G$3:$G$653,데이터_성질별수출!$E$3:$E$653,$B242,데이터_성질별수출!$A$3:$A$653,"2024.02")</f>
        <v>188211</v>
      </c>
      <c r="E242" s="55" t="n">
        <f aca="false">SUMIFS(데이터_성질별수출!$G$3:$G$653,데이터_성질별수출!$E$3:$E$653,$B242,데이터_성질별수출!$A$3:$A$653,"2024.03")</f>
        <v>199421</v>
      </c>
      <c r="F242" s="55" t="n">
        <f aca="false">SUMIFS(데이터_성질별수출!$G$3:$G$653,데이터_성질별수출!$E$3:$E$653,$B242,데이터_성질별수출!$A$3:$A$653,"2024.04")</f>
        <v>213583</v>
      </c>
      <c r="G242" s="55" t="n">
        <f aca="false">SUMIFS(데이터_성질별수출!$G$3:$G$653,데이터_성질별수출!$E$3:$E$653,$B242,데이터_성질별수출!$A$3:$A$653,"2024.05")</f>
        <v>219572</v>
      </c>
      <c r="H242" s="55" t="n">
        <f aca="false">SUMIFS(데이터_성질별수출!$G$3:$G$653,데이터_성질별수출!$E$3:$E$653,$B242,데이터_성질별수출!$A$3:$A$653,"2024.06")</f>
        <v>207037</v>
      </c>
      <c r="I242" s="55" t="n">
        <f aca="false">SUMIFS(데이터_성질별수출!$G$3:$G$653,데이터_성질별수출!$E$3:$E$653,$B242,데이터_성질별수출!$A$3:$A$653,"2024.07")</f>
        <v>223156</v>
      </c>
      <c r="J242" s="55" t="n">
        <f aca="false">SUMIFS(데이터_성질별수출!$G$3:$G$653,데이터_성질별수출!$E$3:$E$653,$B242,데이터_성질별수출!$A$3:$A$653,"2024.08")</f>
        <v>208809</v>
      </c>
      <c r="K242" s="55" t="n">
        <f aca="false">SUMIFS(데이터_성질별수출!$G$3:$G$653,데이터_성질별수출!$E$3:$E$653,$B242,데이터_성질별수출!$A$3:$A$653,"2024.09")</f>
        <v>197325</v>
      </c>
      <c r="L242" s="55" t="n">
        <f aca="false">SUMIFS(데이터_성질별수출!$G$3:$G$653,데이터_성질별수출!$E$3:$E$653,$B242,데이터_성질별수출!$A$3:$A$653,"2024.10")</f>
        <v>213180</v>
      </c>
      <c r="M242" s="55" t="n">
        <f aca="false">SUMIFS(데이터_성질별수출!$G$3:$G$653,데이터_성질별수출!$E$3:$E$653,$B242,데이터_성질별수출!$A$3:$A$653,"2024.11")</f>
        <v>201483</v>
      </c>
      <c r="N242" s="55" t="n">
        <f aca="false">SUMIFS(데이터_성질별수출!$G$3:$G$653,데이터_성질별수출!$E$3:$E$653,$B242,데이터_성질별수출!$A$3:$A$653,"2024.12")</f>
        <v>210605</v>
      </c>
      <c r="O242" s="55" t="n">
        <f aca="false">SUMIFS(데이터_성질별수출!$G$3:$G$653,데이터_성질별수출!$E$3:$E$653,$B242,데이터_성질별수출!$A$3:$A$653,"2025.01")</f>
        <v>192040</v>
      </c>
      <c r="P242" s="55" t="n">
        <f aca="false">SUMIFS(데이터_성질별수출!$G$3:$G$653,데이터_성질별수출!$E$3:$E$653,$B242,데이터_성질별수출!$A$3:$A$653,"2025.02")</f>
        <v>198937</v>
      </c>
      <c r="Q242" s="55" t="n">
        <f aca="false">SUMIFS(데이터_성질별수출!$G$3:$G$653,데이터_성질별수출!$E$3:$E$653,$B242,데이터_성질별수출!$A$3:$A$653,"2025.03")</f>
        <v>195080</v>
      </c>
      <c r="R242" s="55" t="n">
        <f aca="false">SUMIFS(데이터_성질별수출!$G$3:$G$653,데이터_성질별수출!$E$3:$E$653,$B242,데이터_성질별수출!$A$3:$A$653,"2025.04")</f>
        <v>223645</v>
      </c>
      <c r="S242" s="55" t="n">
        <f aca="false">SUMIFS(데이터_성질별수출!$G$3:$G$653,데이터_성질별수출!$E$3:$E$653,$B242,데이터_성질별수출!$A$3:$A$653,"2025.05")</f>
        <v>205487</v>
      </c>
      <c r="T242" s="55" t="n">
        <f aca="false">SUMIFS(데이터_성질별수출!$G$3:$G$653,데이터_성질별수출!$E$3:$E$653,$B242,데이터_성질별수출!$A$3:$A$653,"2025.06")</f>
        <v>202554</v>
      </c>
      <c r="U242" s="55" t="n">
        <f aca="false">SUMIFS(데이터_성질별수출!$G$3:$G$653,데이터_성질별수출!$E$3:$E$653,$B242,데이터_성질별수출!$A$3:$A$653,"2025.07")</f>
        <v>219904</v>
      </c>
      <c r="V242" s="55" t="n">
        <f aca="false">SUMIFS(데이터_성질별수출!$G$3:$G$653,데이터_성질별수출!$E$3:$E$653,$B242,데이터_성질별수출!$A$3:$A$653,"2025.08")</f>
        <v>200229</v>
      </c>
      <c r="W242" s="55" t="n">
        <f aca="false">SUMIFS(데이터_성질별수출!$G$3:$G$653,데이터_성질별수출!$E$3:$E$653,$B242,데이터_성질별수출!$A$3:$A$653,"2025.09")</f>
        <v>217241</v>
      </c>
      <c r="X242" s="55" t="n">
        <f aca="false">SUMIFS(데이터_성질별수출!$G$3:$G$653,데이터_성질별수출!$E$3:$E$653,$B242,데이터_성질별수출!$A$3:$A$653,"2025.10")</f>
        <v>199948</v>
      </c>
      <c r="Y242" s="55" t="n">
        <f aca="false">SUMIFS(데이터_성질별수출!$G$3:$G$653,데이터_성질별수출!$E$3:$E$653,$B242,데이터_성질별수출!$A$3:$A$653,"2025.11")</f>
        <v>194095</v>
      </c>
      <c r="Z242" s="55" t="n">
        <f aca="false">SUMIFS(데이터_성질별수출!$G$3:$G$653,데이터_성질별수출!$E$3:$E$653,$B242,데이터_성질별수출!$A$3:$A$653,"2025.12")</f>
        <v>214106</v>
      </c>
      <c r="AA242" s="55" t="n">
        <f aca="false">SUMIFS(데이터_성질별수출!$G$3:$G$653,데이터_성질별수출!$E$3:$E$653,$B242,데이터_성질별수출!$A$3:$A$653,"2026.01")</f>
        <v>181453</v>
      </c>
      <c r="AB242" s="55" t="n">
        <f aca="false">SUMIFS(데이터_성질별수출!$G$3:$G$653,데이터_성질별수출!$E$3:$E$653,$B242,데이터_성질별수출!$A$3:$A$653,"2026.02")</f>
        <v>159026</v>
      </c>
      <c r="AC242" s="55" t="n">
        <f aca="false">SUMIFS(데이터_성질별수출!$G$3:$G$653,데이터_성질별수출!$E$3:$E$653,$B242,데이터_성질별수출!$A$3:$A$653,"2026.03")</f>
        <v>187937</v>
      </c>
      <c r="AD242" s="55" t="n">
        <f aca="false">SUMIFS(데이터_성질별수출!$G$3:$G$653,데이터_성질별수출!$E$3:$E$653,$B242,데이터_성질별수출!$A$3:$A$653,"2026.04")</f>
        <v>189118</v>
      </c>
      <c r="AE242" s="55" t="n">
        <f aca="false">SUMIFS(데이터_성질별수출!$G$3:$G$653,데이터_성질별수출!$E$3:$E$653,$B242,데이터_성질별수출!$A$3:$A$653,"2026.05")</f>
        <v>180349</v>
      </c>
      <c r="AF242" s="55" t="n">
        <f aca="false">SUMIFS(데이터_성질별수출!$G$3:$G$653,데이터_성질별수출!$E$3:$E$653,$B242,데이터_성질별수출!$A$3:$A$653,"2026.06")</f>
        <v>204808</v>
      </c>
      <c r="AG242" s="55" t="n">
        <f aca="false">SUMIFS(데이터_성질별수출!$G$3:$G$653,데이터_성질별수출!$E$3:$E$653,$B242,데이터_성질별수출!$A$3:$A$653,"2026.07")</f>
        <v>199569</v>
      </c>
    </row>
    <row r="243" customFormat="false" ht="15" hidden="false" customHeight="true" outlineLevel="0" collapsed="false">
      <c r="A243" s="53" t="s">
        <v>429</v>
      </c>
      <c r="B243" s="54" t="s">
        <v>15057</v>
      </c>
      <c r="C243" s="55" t="n">
        <f aca="false">SUMIFS(데이터_성질별수출!$G$3:$G$653,데이터_성질별수출!$E$3:$E$653,$B243,데이터_성질별수출!$A$3:$A$653,"2024.01")</f>
        <v>45543</v>
      </c>
      <c r="D243" s="55" t="n">
        <f aca="false">SUMIFS(데이터_성질별수출!$G$3:$G$653,데이터_성질별수출!$E$3:$E$653,$B243,데이터_성질별수출!$A$3:$A$653,"2024.02")</f>
        <v>41225</v>
      </c>
      <c r="E243" s="55" t="n">
        <f aca="false">SUMIFS(데이터_성질별수출!$G$3:$G$653,데이터_성질별수출!$E$3:$E$653,$B243,데이터_성질별수출!$A$3:$A$653,"2024.03")</f>
        <v>47791</v>
      </c>
      <c r="F243" s="55" t="n">
        <f aca="false">SUMIFS(데이터_성질별수출!$G$3:$G$653,데이터_성질별수출!$E$3:$E$653,$B243,데이터_성질별수출!$A$3:$A$653,"2024.04")</f>
        <v>46361</v>
      </c>
      <c r="G243" s="55" t="n">
        <f aca="false">SUMIFS(데이터_성질별수출!$G$3:$G$653,데이터_성질별수출!$E$3:$E$653,$B243,데이터_성질별수출!$A$3:$A$653,"2024.05")</f>
        <v>46762</v>
      </c>
      <c r="H243" s="55" t="n">
        <f aca="false">SUMIFS(데이터_성질별수출!$G$3:$G$653,데이터_성질별수출!$E$3:$E$653,$B243,데이터_성질별수출!$A$3:$A$653,"2024.06")</f>
        <v>50304</v>
      </c>
      <c r="I243" s="55" t="n">
        <f aca="false">SUMIFS(데이터_성질별수출!$G$3:$G$653,데이터_성질별수출!$E$3:$E$653,$B243,데이터_성질별수출!$A$3:$A$653,"2024.07")</f>
        <v>51807</v>
      </c>
      <c r="J243" s="55" t="n">
        <f aca="false">SUMIFS(데이터_성질별수출!$G$3:$G$653,데이터_성질별수출!$E$3:$E$653,$B243,데이터_성질별수출!$A$3:$A$653,"2024.08")</f>
        <v>43816</v>
      </c>
      <c r="K243" s="55" t="n">
        <f aca="false">SUMIFS(데이터_성질별수출!$G$3:$G$653,데이터_성질별수출!$E$3:$E$653,$B243,데이터_성질별수출!$A$3:$A$653,"2024.09")</f>
        <v>46176</v>
      </c>
      <c r="L243" s="55" t="n">
        <f aca="false">SUMIFS(데이터_성질별수출!$G$3:$G$653,데이터_성질별수출!$E$3:$E$653,$B243,데이터_성질별수출!$A$3:$A$653,"2024.10")</f>
        <v>51830</v>
      </c>
      <c r="M243" s="55" t="n">
        <f aca="false">SUMIFS(데이터_성질별수출!$G$3:$G$653,데이터_성질별수출!$E$3:$E$653,$B243,데이터_성질별수출!$A$3:$A$653,"2024.11")</f>
        <v>48759</v>
      </c>
      <c r="N243" s="55" t="n">
        <f aca="false">SUMIFS(데이터_성질별수출!$G$3:$G$653,데이터_성질별수출!$E$3:$E$653,$B243,데이터_성질별수출!$A$3:$A$653,"2024.12")</f>
        <v>56697</v>
      </c>
      <c r="O243" s="55" t="n">
        <f aca="false">SUMIFS(데이터_성질별수출!$G$3:$G$653,데이터_성질별수출!$E$3:$E$653,$B243,데이터_성질별수출!$A$3:$A$653,"2025.01")</f>
        <v>43560</v>
      </c>
      <c r="P243" s="55" t="n">
        <f aca="false">SUMIFS(데이터_성질별수출!$G$3:$G$653,데이터_성질별수출!$E$3:$E$653,$B243,데이터_성질별수출!$A$3:$A$653,"2025.02")</f>
        <v>48516</v>
      </c>
      <c r="Q243" s="55" t="n">
        <f aca="false">SUMIFS(데이터_성질별수출!$G$3:$G$653,데이터_성질별수출!$E$3:$E$653,$B243,데이터_성질별수출!$A$3:$A$653,"2025.03")</f>
        <v>49110</v>
      </c>
      <c r="R243" s="55" t="n">
        <f aca="false">SUMIFS(데이터_성질별수출!$G$3:$G$653,데이터_성질별수출!$E$3:$E$653,$B243,데이터_성질별수출!$A$3:$A$653,"2025.04")</f>
        <v>51276</v>
      </c>
      <c r="S243" s="55" t="n">
        <f aca="false">SUMIFS(데이터_성질별수출!$G$3:$G$653,데이터_성질별수출!$E$3:$E$653,$B243,데이터_성질별수출!$A$3:$A$653,"2025.05")</f>
        <v>50437</v>
      </c>
      <c r="T243" s="55" t="n">
        <f aca="false">SUMIFS(데이터_성질별수출!$G$3:$G$653,데이터_성질별수출!$E$3:$E$653,$B243,데이터_성질별수출!$A$3:$A$653,"2025.06")</f>
        <v>56899</v>
      </c>
      <c r="U243" s="55" t="n">
        <f aca="false">SUMIFS(데이터_성질별수출!$G$3:$G$653,데이터_성질별수출!$E$3:$E$653,$B243,데이터_성질별수출!$A$3:$A$653,"2025.07")</f>
        <v>56421</v>
      </c>
      <c r="V243" s="55" t="n">
        <f aca="false">SUMIFS(데이터_성질별수출!$G$3:$G$653,데이터_성질별수출!$E$3:$E$653,$B243,데이터_성질별수출!$A$3:$A$653,"2025.08")</f>
        <v>48331</v>
      </c>
      <c r="W243" s="55" t="n">
        <f aca="false">SUMIFS(데이터_성질별수출!$G$3:$G$653,데이터_성질별수출!$E$3:$E$653,$B243,데이터_성질별수출!$A$3:$A$653,"2025.09")</f>
        <v>67873</v>
      </c>
      <c r="X243" s="55" t="n">
        <f aca="false">SUMIFS(데이터_성질별수출!$G$3:$G$653,데이터_성질별수출!$E$3:$E$653,$B243,데이터_성질별수출!$A$3:$A$653,"2025.10")</f>
        <v>49895</v>
      </c>
      <c r="Y243" s="55" t="n">
        <f aca="false">SUMIFS(데이터_성질별수출!$G$3:$G$653,데이터_성질별수출!$E$3:$E$653,$B243,데이터_성질별수출!$A$3:$A$653,"2025.11")</f>
        <v>56309</v>
      </c>
      <c r="Z243" s="55" t="n">
        <f aca="false">SUMIFS(데이터_성질별수출!$G$3:$G$653,데이터_성질별수출!$E$3:$E$653,$B243,데이터_성질별수출!$A$3:$A$653,"2025.12")</f>
        <v>58457</v>
      </c>
      <c r="AA243" s="55" t="n">
        <f aca="false">SUMIFS(데이터_성질별수출!$G$3:$G$653,데이터_성질별수출!$E$3:$E$653,$B243,데이터_성질별수출!$A$3:$A$653,"2026.01")</f>
        <v>54068</v>
      </c>
      <c r="AB243" s="55" t="n">
        <f aca="false">SUMIFS(데이터_성질별수출!$G$3:$G$653,데이터_성질별수출!$E$3:$E$653,$B243,데이터_성질별수출!$A$3:$A$653,"2026.02")</f>
        <v>57507</v>
      </c>
      <c r="AC243" s="55" t="n">
        <f aca="false">SUMIFS(데이터_성질별수출!$G$3:$G$653,데이터_성질별수출!$E$3:$E$653,$B243,데이터_성질별수출!$A$3:$A$653,"2026.03")</f>
        <v>63099</v>
      </c>
      <c r="AD243" s="55" t="n">
        <f aca="false">SUMIFS(데이터_성질별수출!$G$3:$G$653,데이터_성질별수출!$E$3:$E$653,$B243,데이터_성질별수출!$A$3:$A$653,"2026.04")</f>
        <v>63109</v>
      </c>
      <c r="AE243" s="55" t="n">
        <f aca="false">SUMIFS(데이터_성질별수출!$G$3:$G$653,데이터_성질별수출!$E$3:$E$653,$B243,데이터_성질별수출!$A$3:$A$653,"2026.05")</f>
        <v>61502</v>
      </c>
      <c r="AF243" s="55" t="n">
        <f aca="false">SUMIFS(데이터_성질별수출!$G$3:$G$653,데이터_성질별수출!$E$3:$E$653,$B243,데이터_성질별수출!$A$3:$A$653,"2026.06")</f>
        <v>71410</v>
      </c>
      <c r="AG243" s="55" t="n">
        <f aca="false">SUMIFS(데이터_성질별수출!$G$3:$G$653,데이터_성질별수출!$E$3:$E$653,$B243,데이터_성질별수출!$A$3:$A$653,"2026.07")</f>
        <v>68493</v>
      </c>
    </row>
    <row r="244" customFormat="false" ht="15" hidden="false" customHeight="true" outlineLevel="0" collapsed="false">
      <c r="A244" s="53" t="s">
        <v>436</v>
      </c>
      <c r="B244" s="54" t="s">
        <v>15060</v>
      </c>
      <c r="C244" s="55" t="n">
        <f aca="false">SUMIFS(데이터_성질별수출!$G$3:$G$653,데이터_성질별수출!$E$3:$E$653,$B244,데이터_성질별수출!$A$3:$A$653,"2024.01")</f>
        <v>939597</v>
      </c>
      <c r="D244" s="55" t="n">
        <f aca="false">SUMIFS(데이터_성질별수출!$G$3:$G$653,데이터_성질별수출!$E$3:$E$653,$B244,데이터_성질별수출!$A$3:$A$653,"2024.02")</f>
        <v>891029</v>
      </c>
      <c r="E244" s="55" t="n">
        <f aca="false">SUMIFS(데이터_성질별수출!$G$3:$G$653,데이터_성질별수출!$E$3:$E$653,$B244,데이터_성질별수출!$A$3:$A$653,"2024.03")</f>
        <v>1036927</v>
      </c>
      <c r="F244" s="55" t="n">
        <f aca="false">SUMIFS(데이터_성질별수출!$G$3:$G$653,데이터_성질별수출!$E$3:$E$653,$B244,데이터_성질별수출!$A$3:$A$653,"2024.04")</f>
        <v>1191419</v>
      </c>
      <c r="G244" s="55" t="n">
        <f aca="false">SUMIFS(데이터_성질별수출!$G$3:$G$653,데이터_성질별수출!$E$3:$E$653,$B244,데이터_성질별수출!$A$3:$A$653,"2024.05")</f>
        <v>1009640</v>
      </c>
      <c r="H244" s="55" t="n">
        <f aca="false">SUMIFS(데이터_성질별수출!$G$3:$G$653,데이터_성질별수출!$E$3:$E$653,$B244,데이터_성질별수출!$A$3:$A$653,"2024.06")</f>
        <v>929225</v>
      </c>
      <c r="I244" s="55" t="n">
        <f aca="false">SUMIFS(데이터_성질별수출!$G$3:$G$653,데이터_성질별수출!$E$3:$E$653,$B244,데이터_성질별수출!$A$3:$A$653,"2024.07")</f>
        <v>993632</v>
      </c>
      <c r="J244" s="55" t="n">
        <f aca="false">SUMIFS(데이터_성질별수출!$G$3:$G$653,데이터_성질별수출!$E$3:$E$653,$B244,데이터_성질별수출!$A$3:$A$653,"2024.08")</f>
        <v>1040224</v>
      </c>
      <c r="K244" s="55" t="n">
        <f aca="false">SUMIFS(데이터_성질별수출!$G$3:$G$653,데이터_성질별수출!$E$3:$E$653,$B244,데이터_성질별수출!$A$3:$A$653,"2024.09")</f>
        <v>954138</v>
      </c>
      <c r="L244" s="55" t="n">
        <f aca="false">SUMIFS(데이터_성질별수출!$G$3:$G$653,데이터_성질별수출!$E$3:$E$653,$B244,데이터_성질별수출!$A$3:$A$653,"2024.10")</f>
        <v>993610</v>
      </c>
      <c r="M244" s="55" t="n">
        <f aca="false">SUMIFS(데이터_성질별수출!$G$3:$G$653,데이터_성질별수출!$E$3:$E$653,$B244,데이터_성질별수출!$A$3:$A$653,"2024.11")</f>
        <v>933339</v>
      </c>
      <c r="N244" s="55" t="n">
        <f aca="false">SUMIFS(데이터_성질별수출!$G$3:$G$653,데이터_성질별수출!$E$3:$E$653,$B244,데이터_성질별수출!$A$3:$A$653,"2024.12")</f>
        <v>921881</v>
      </c>
      <c r="O244" s="55" t="n">
        <f aca="false">SUMIFS(데이터_성질별수출!$G$3:$G$653,데이터_성질별수출!$E$3:$E$653,$B244,데이터_성질별수출!$A$3:$A$653,"2025.01")</f>
        <v>799722</v>
      </c>
      <c r="P244" s="55" t="n">
        <f aca="false">SUMIFS(데이터_성질별수출!$G$3:$G$653,데이터_성질별수출!$E$3:$E$653,$B244,데이터_성질별수출!$A$3:$A$653,"2025.02")</f>
        <v>989840</v>
      </c>
      <c r="Q244" s="55" t="n">
        <f aca="false">SUMIFS(데이터_성질별수출!$G$3:$G$653,데이터_성질별수출!$E$3:$E$653,$B244,데이터_성질별수출!$A$3:$A$653,"2025.03")</f>
        <v>951791</v>
      </c>
      <c r="R244" s="55" t="n">
        <f aca="false">SUMIFS(데이터_성질별수출!$G$3:$G$653,데이터_성질별수출!$E$3:$E$653,$B244,데이터_성질별수출!$A$3:$A$653,"2025.04")</f>
        <v>1033287</v>
      </c>
      <c r="S244" s="55" t="n">
        <f aca="false">SUMIFS(데이터_성질별수출!$G$3:$G$653,데이터_성질별수출!$E$3:$E$653,$B244,데이터_성질별수출!$A$3:$A$653,"2025.05")</f>
        <v>954354</v>
      </c>
      <c r="T244" s="55" t="n">
        <f aca="false">SUMIFS(데이터_성질별수출!$G$3:$G$653,데이터_성질별수출!$E$3:$E$653,$B244,데이터_성질별수출!$A$3:$A$653,"2025.06")</f>
        <v>905447</v>
      </c>
      <c r="U244" s="55" t="n">
        <f aca="false">SUMIFS(데이터_성질별수출!$G$3:$G$653,데이터_성질별수출!$E$3:$E$653,$B244,데이터_성질별수출!$A$3:$A$653,"2025.07")</f>
        <v>996950</v>
      </c>
      <c r="V244" s="55" t="n">
        <f aca="false">SUMIFS(데이터_성질별수출!$G$3:$G$653,데이터_성질별수출!$E$3:$E$653,$B244,데이터_성질별수출!$A$3:$A$653,"2025.08")</f>
        <v>881765</v>
      </c>
      <c r="W244" s="55" t="n">
        <f aca="false">SUMIFS(데이터_성질별수출!$G$3:$G$653,데이터_성질별수출!$E$3:$E$653,$B244,데이터_성질별수출!$A$3:$A$653,"2025.09")</f>
        <v>1071430</v>
      </c>
      <c r="X244" s="55" t="n">
        <f aca="false">SUMIFS(데이터_성질별수출!$G$3:$G$653,데이터_성질별수출!$E$3:$E$653,$B244,데이터_성질별수출!$A$3:$A$653,"2025.10")</f>
        <v>1063447</v>
      </c>
      <c r="Y244" s="55" t="n">
        <f aca="false">SUMIFS(데이터_성질별수출!$G$3:$G$653,데이터_성질별수출!$E$3:$E$653,$B244,데이터_성질별수출!$A$3:$A$653,"2025.11")</f>
        <v>1167352</v>
      </c>
      <c r="Z244" s="55" t="n">
        <f aca="false">SUMIFS(데이터_성질별수출!$G$3:$G$653,데이터_성질별수출!$E$3:$E$653,$B244,데이터_성질별수출!$A$3:$A$653,"2025.12")</f>
        <v>1050743</v>
      </c>
      <c r="AA244" s="55" t="n">
        <f aca="false">SUMIFS(데이터_성질별수출!$G$3:$G$653,데이터_성질별수출!$E$3:$E$653,$B244,데이터_성질별수출!$A$3:$A$653,"2026.01")</f>
        <v>926117</v>
      </c>
      <c r="AB244" s="55" t="n">
        <f aca="false">SUMIFS(데이터_성질별수출!$G$3:$G$653,데이터_성질별수출!$E$3:$E$653,$B244,데이터_성질별수출!$A$3:$A$653,"2026.02")</f>
        <v>838242</v>
      </c>
      <c r="AC244" s="55" t="n">
        <f aca="false">SUMIFS(데이터_성질별수출!$G$3:$G$653,데이터_성질별수출!$E$3:$E$653,$B244,데이터_성질별수출!$A$3:$A$653,"2026.03")</f>
        <v>1023190</v>
      </c>
      <c r="AD244" s="55" t="n">
        <f aca="false">SUMIFS(데이터_성질별수출!$G$3:$G$653,데이터_성질별수출!$E$3:$E$653,$B244,데이터_성질별수출!$A$3:$A$653,"2026.04")</f>
        <v>1039421</v>
      </c>
      <c r="AE244" s="55" t="n">
        <f aca="false">SUMIFS(데이터_성질별수출!$G$3:$G$653,데이터_성질별수출!$E$3:$E$653,$B244,데이터_성질별수출!$A$3:$A$653,"2026.05")</f>
        <v>901466</v>
      </c>
      <c r="AF244" s="55" t="n">
        <f aca="false">SUMIFS(데이터_성질별수출!$G$3:$G$653,데이터_성질별수출!$E$3:$E$653,$B244,데이터_성질별수출!$A$3:$A$653,"2026.06")</f>
        <v>1019834</v>
      </c>
      <c r="AG244" s="55" t="n">
        <f aca="false">SUMIFS(데이터_성질별수출!$G$3:$G$653,데이터_성질별수출!$E$3:$E$653,$B244,데이터_성질별수출!$A$3:$A$653,"2026.07")</f>
        <v>1113531</v>
      </c>
    </row>
    <row r="245" customFormat="false" ht="15" hidden="false" customHeight="true" outlineLevel="0" collapsed="false">
      <c r="A245" s="53" t="s">
        <v>443</v>
      </c>
      <c r="B245" s="46" t="s">
        <v>19857</v>
      </c>
      <c r="C245" s="55" t="n">
        <f aca="false">SUMIFS(데이터_성질별수출!$G$3:$G$653,데이터_성질별수출!$E$3:$E$653,$B245,데이터_성질별수출!$A$3:$A$653,"2024.01")</f>
        <v>45513218</v>
      </c>
      <c r="D245" s="55" t="n">
        <f aca="false">SUMIFS(데이터_성질별수출!$G$3:$G$653,데이터_성질별수출!$E$3:$E$653,$B245,데이터_성질별수출!$A$3:$A$653,"2024.02")</f>
        <v>43464479</v>
      </c>
      <c r="E245" s="55" t="n">
        <f aca="false">SUMIFS(데이터_성질별수출!$G$3:$G$653,데이터_성질별수출!$E$3:$E$653,$B245,데이터_성질별수출!$A$3:$A$653,"2024.03")</f>
        <v>47391743</v>
      </c>
      <c r="F245" s="55" t="n">
        <f aca="false">SUMIFS(데이터_성질별수출!$G$3:$G$653,데이터_성질별수출!$E$3:$E$653,$B245,데이터_성질별수출!$A$3:$A$653,"2024.04")</f>
        <v>46884877</v>
      </c>
      <c r="G245" s="55" t="n">
        <f aca="false">SUMIFS(데이터_성질별수출!$G$3:$G$653,데이터_성질별수출!$E$3:$E$653,$B245,데이터_성질별수출!$A$3:$A$653,"2024.05")</f>
        <v>48445875</v>
      </c>
      <c r="H245" s="55" t="n">
        <f aca="false">SUMIFS(데이터_성질별수출!$G$3:$G$653,데이터_성질별수출!$E$3:$E$653,$B245,데이터_성질별수출!$A$3:$A$653,"2024.06")</f>
        <v>48971465</v>
      </c>
      <c r="I245" s="55" t="n">
        <f aca="false">SUMIFS(데이터_성질별수출!$G$3:$G$653,데이터_성질별수출!$E$3:$E$653,$B245,데이터_성질별수출!$A$3:$A$653,"2024.07")</f>
        <v>47898408</v>
      </c>
      <c r="J245" s="55" t="n">
        <f aca="false">SUMIFS(데이터_성질별수출!$G$3:$G$653,데이터_성질별수출!$E$3:$E$653,$B245,데이터_성질별수출!$A$3:$A$653,"2024.08")</f>
        <v>48479858</v>
      </c>
      <c r="K245" s="55" t="n">
        <f aca="false">SUMIFS(데이터_성질별수출!$G$3:$G$653,데이터_성질별수출!$E$3:$E$653,$B245,데이터_성질별수출!$A$3:$A$653,"2024.09")</f>
        <v>49962689</v>
      </c>
      <c r="L245" s="55" t="n">
        <f aca="false">SUMIFS(데이터_성질별수출!$G$3:$G$653,데이터_성질별수출!$E$3:$E$653,$B245,데이터_성질별수출!$A$3:$A$653,"2024.10")</f>
        <v>49371296</v>
      </c>
      <c r="M245" s="55" t="n">
        <f aca="false">SUMIFS(데이터_성질별수출!$G$3:$G$653,데이터_성질별수출!$E$3:$E$653,$B245,데이터_성질별수출!$A$3:$A$653,"2024.11")</f>
        <v>47958418</v>
      </c>
      <c r="N245" s="55" t="n">
        <f aca="false">SUMIFS(데이터_성질별수출!$G$3:$G$653,데이터_성질별수출!$E$3:$E$653,$B245,데이터_성질별수출!$A$3:$A$653,"2024.12")</f>
        <v>52570544</v>
      </c>
      <c r="O245" s="55" t="n">
        <f aca="false">SUMIFS(데이터_성질별수출!$G$3:$G$653,데이터_성질별수출!$E$3:$E$653,$B245,데이터_성질별수출!$A$3:$A$653,"2025.01")</f>
        <v>41670482</v>
      </c>
      <c r="P245" s="55" t="n">
        <f aca="false">SUMIFS(데이터_성질별수출!$G$3:$G$653,데이터_성질별수출!$E$3:$E$653,$B245,데이터_성질별수출!$A$3:$A$653,"2025.02")</f>
        <v>43812695</v>
      </c>
      <c r="Q245" s="55" t="n">
        <f aca="false">SUMIFS(데이터_성질별수출!$G$3:$G$653,데이터_성질별수출!$E$3:$E$653,$B245,데이터_성질별수출!$A$3:$A$653,"2025.03")</f>
        <v>50208489</v>
      </c>
      <c r="R245" s="55" t="n">
        <f aca="false">SUMIFS(데이터_성질별수출!$G$3:$G$653,데이터_성질별수출!$E$3:$E$653,$B245,데이터_성질별수출!$A$3:$A$653,"2025.04")</f>
        <v>49234895</v>
      </c>
      <c r="S245" s="55" t="n">
        <f aca="false">SUMIFS(데이터_성질별수출!$G$3:$G$653,데이터_성질별수출!$E$3:$E$653,$B245,데이터_성질별수출!$A$3:$A$653,"2025.05")</f>
        <v>48790323</v>
      </c>
      <c r="T245" s="55" t="n">
        <f aca="false">SUMIFS(데이터_성질별수출!$G$3:$G$653,데이터_성질별수출!$E$3:$E$653,$B245,데이터_성질별수출!$A$3:$A$653,"2025.06")</f>
        <v>51243762</v>
      </c>
      <c r="U245" s="55" t="n">
        <f aca="false">SUMIFS(데이터_성질별수출!$G$3:$G$653,데이터_성질별수출!$E$3:$E$653,$B245,데이터_성질별수출!$A$3:$A$653,"2025.07")</f>
        <v>51374607</v>
      </c>
      <c r="V245" s="55" t="n">
        <f aca="false">SUMIFS(데이터_성질별수출!$G$3:$G$653,데이터_성질별수출!$E$3:$E$653,$B245,데이터_성질별수출!$A$3:$A$653,"2025.08")</f>
        <v>49624221</v>
      </c>
      <c r="W245" s="55" t="n">
        <f aca="false">SUMIFS(데이터_성질별수출!$G$3:$G$653,데이터_성질별수출!$E$3:$E$653,$B245,데이터_성질별수출!$A$3:$A$653,"2025.09")</f>
        <v>56633281</v>
      </c>
      <c r="X245" s="55" t="n">
        <f aca="false">SUMIFS(데이터_성질별수출!$G$3:$G$653,데이터_성질별수출!$E$3:$E$653,$B245,데이터_성질별수출!$A$3:$A$653,"2025.10")</f>
        <v>50942462</v>
      </c>
      <c r="Y245" s="55" t="n">
        <f aca="false">SUMIFS(데이터_성질별수출!$G$3:$G$653,데이터_성질별수출!$E$3:$E$653,$B245,데이터_성질별수출!$A$3:$A$653,"2025.11")</f>
        <v>52323214</v>
      </c>
      <c r="Z245" s="55" t="n">
        <f aca="false">SUMIFS(데이터_성질별수출!$G$3:$G$653,데이터_성질별수출!$E$3:$E$653,$B245,데이터_성질별수출!$A$3:$A$653,"2025.12")</f>
        <v>60006340</v>
      </c>
      <c r="AA245" s="55" t="n">
        <f aca="false">SUMIFS(데이터_성질별수출!$G$3:$G$653,데이터_성질별수출!$E$3:$E$653,$B245,데이터_성질별수출!$A$3:$A$653,"2026.01")</f>
        <v>57089106</v>
      </c>
      <c r="AB245" s="55" t="n">
        <f aca="false">SUMIFS(데이터_성질별수출!$G$3:$G$653,데이터_성질별수출!$E$3:$E$653,$B245,데이터_성질별수출!$A$3:$A$653,"2026.02")</f>
        <v>58704727</v>
      </c>
      <c r="AC245" s="55" t="n">
        <f aca="false">SUMIFS(데이터_성질별수출!$G$3:$G$653,데이터_성질별수출!$E$3:$E$653,$B245,데이터_성질별수출!$A$3:$A$653,"2026.03")</f>
        <v>74771554</v>
      </c>
      <c r="AD245" s="55" t="n">
        <f aca="false">SUMIFS(데이터_성질별수출!$G$3:$G$653,데이터_성질별수출!$E$3:$E$653,$B245,데이터_성질별수출!$A$3:$A$653,"2026.04")</f>
        <v>74317921</v>
      </c>
      <c r="AE245" s="55" t="n">
        <f aca="false">SUMIFS(데이터_성질별수출!$G$3:$G$653,데이터_성질별수출!$E$3:$E$653,$B245,데이터_성질별수출!$A$3:$A$653,"2026.05")</f>
        <v>76244252</v>
      </c>
      <c r="AF245" s="55" t="n">
        <f aca="false">SUMIFS(데이터_성질별수출!$G$3:$G$653,데이터_성질별수출!$E$3:$E$653,$B245,데이터_성질별수출!$A$3:$A$653,"2026.06")</f>
        <v>90134786</v>
      </c>
      <c r="AG245" s="55" t="n">
        <f aca="false">SUMIFS(데이터_성질별수출!$G$3:$G$653,데이터_성질별수출!$E$3:$E$653,$B245,데이터_성질별수출!$A$3:$A$653,"2026.07")</f>
        <v>87202818</v>
      </c>
    </row>
    <row r="246" customFormat="false" ht="15" hidden="false" customHeight="true" outlineLevel="0" collapsed="false">
      <c r="A246" s="53" t="s">
        <v>450</v>
      </c>
      <c r="B246" s="54" t="s">
        <v>15066</v>
      </c>
      <c r="C246" s="55" t="n">
        <f aca="false">SUMIFS(데이터_성질별수출!$G$3:$G$653,데이터_성질별수출!$E$3:$E$653,$B246,데이터_성질별수출!$A$3:$A$653,"2024.01")</f>
        <v>7120850</v>
      </c>
      <c r="D246" s="55" t="n">
        <f aca="false">SUMIFS(데이터_성질별수출!$G$3:$G$653,데이터_성질별수출!$E$3:$E$653,$B246,데이터_성질별수출!$A$3:$A$653,"2024.02")</f>
        <v>7006963</v>
      </c>
      <c r="E246" s="55" t="n">
        <f aca="false">SUMIFS(데이터_성질별수출!$G$3:$G$653,데이터_성질별수출!$E$3:$E$653,$B246,데이터_성질별수출!$A$3:$A$653,"2024.03")</f>
        <v>7094482</v>
      </c>
      <c r="F246" s="55" t="n">
        <f aca="false">SUMIFS(데이터_성질별수출!$G$3:$G$653,데이터_성질별수출!$E$3:$E$653,$B246,데이터_성질별수출!$A$3:$A$653,"2024.04")</f>
        <v>7565509</v>
      </c>
      <c r="G246" s="55" t="n">
        <f aca="false">SUMIFS(데이터_성질별수출!$G$3:$G$653,데이터_성질별수출!$E$3:$E$653,$B246,데이터_성질별수출!$A$3:$A$653,"2024.05")</f>
        <v>7205886</v>
      </c>
      <c r="H246" s="55" t="n">
        <f aca="false">SUMIFS(데이터_성질별수출!$G$3:$G$653,데이터_성질별수출!$E$3:$E$653,$B246,데이터_성질별수출!$A$3:$A$653,"2024.06")</f>
        <v>6898380</v>
      </c>
      <c r="I246" s="55" t="n">
        <f aca="false">SUMIFS(데이터_성질별수출!$G$3:$G$653,데이터_성질별수출!$E$3:$E$653,$B246,데이터_성질별수출!$A$3:$A$653,"2024.07")</f>
        <v>7186133</v>
      </c>
      <c r="J246" s="55" t="n">
        <f aca="false">SUMIFS(데이터_성질별수출!$G$3:$G$653,데이터_성질별수출!$E$3:$E$653,$B246,데이터_성질별수출!$A$3:$A$653,"2024.08")</f>
        <v>7043811</v>
      </c>
      <c r="K246" s="55" t="n">
        <f aca="false">SUMIFS(데이터_성질별수출!$G$3:$G$653,데이터_성질별수출!$E$3:$E$653,$B246,데이터_성질별수출!$A$3:$A$653,"2024.09")</f>
        <v>6548541</v>
      </c>
      <c r="L246" s="55" t="n">
        <f aca="false">SUMIFS(데이터_성질별수출!$G$3:$G$653,데이터_성질별수출!$E$3:$E$653,$B246,데이터_성질별수출!$A$3:$A$653,"2024.10")</f>
        <v>6714217</v>
      </c>
      <c r="M246" s="55" t="n">
        <f aca="false">SUMIFS(데이터_성질별수출!$G$3:$G$653,데이터_성질별수출!$E$3:$E$653,$B246,데이터_성질별수출!$A$3:$A$653,"2024.11")</f>
        <v>6427064</v>
      </c>
      <c r="N246" s="55" t="n">
        <f aca="false">SUMIFS(데이터_성질별수출!$G$3:$G$653,데이터_성질별수출!$E$3:$E$653,$B246,데이터_성질별수출!$A$3:$A$653,"2024.12")</f>
        <v>6771468</v>
      </c>
      <c r="O246" s="55" t="n">
        <f aca="false">SUMIFS(데이터_성질별수출!$G$3:$G$653,데이터_성질별수출!$E$3:$E$653,$B246,데이터_성질별수출!$A$3:$A$653,"2025.01")</f>
        <v>6185060</v>
      </c>
      <c r="P246" s="55" t="n">
        <f aca="false">SUMIFS(데이터_성질별수출!$G$3:$G$653,데이터_성질별수출!$E$3:$E$653,$B246,데이터_성질별수출!$A$3:$A$653,"2025.02")</f>
        <v>6730305</v>
      </c>
      <c r="Q246" s="55" t="n">
        <f aca="false">SUMIFS(데이터_성질별수출!$G$3:$G$653,데이터_성질별수출!$E$3:$E$653,$B246,데이터_성질별수출!$A$3:$A$653,"2025.03")</f>
        <v>6674941</v>
      </c>
      <c r="R246" s="55" t="n">
        <f aca="false">SUMIFS(데이터_성질별수출!$G$3:$G$653,데이터_성질별수출!$E$3:$E$653,$B246,데이터_성질별수출!$A$3:$A$653,"2025.04")</f>
        <v>6959463</v>
      </c>
      <c r="S246" s="55" t="n">
        <f aca="false">SUMIFS(데이터_성질별수출!$G$3:$G$653,데이터_성질별수출!$E$3:$E$653,$B246,데이터_성질별수출!$A$3:$A$653,"2025.05")</f>
        <v>6315526</v>
      </c>
      <c r="T246" s="55" t="n">
        <f aca="false">SUMIFS(데이터_성질별수출!$G$3:$G$653,데이터_성질별수출!$E$3:$E$653,$B246,데이터_성질별수출!$A$3:$A$653,"2025.06")</f>
        <v>6649574</v>
      </c>
      <c r="U246" s="55" t="n">
        <f aca="false">SUMIFS(데이터_성질별수출!$G$3:$G$653,데이터_성질별수출!$E$3:$E$653,$B246,데이터_성질별수출!$A$3:$A$653,"2025.07")</f>
        <v>6699693</v>
      </c>
      <c r="V246" s="55" t="n">
        <f aca="false">SUMIFS(데이터_성질별수출!$G$3:$G$653,데이터_성질별수출!$E$3:$E$653,$B246,데이터_성질별수출!$A$3:$A$653,"2025.08")</f>
        <v>6276342</v>
      </c>
      <c r="W246" s="55" t="n">
        <f aca="false">SUMIFS(데이터_성질별수출!$G$3:$G$653,데이터_성질별수출!$E$3:$E$653,$B246,데이터_성질별수출!$A$3:$A$653,"2025.09")</f>
        <v>7224691</v>
      </c>
      <c r="X246" s="55" t="n">
        <f aca="false">SUMIFS(데이터_성질별수출!$G$3:$G$653,데이터_성질별수출!$E$3:$E$653,$B246,데이터_성질별수출!$A$3:$A$653,"2025.10")</f>
        <v>5826215</v>
      </c>
      <c r="Y246" s="55" t="n">
        <f aca="false">SUMIFS(데이터_성질별수출!$G$3:$G$653,데이터_성질별수출!$E$3:$E$653,$B246,데이터_성질별수출!$A$3:$A$653,"2025.11")</f>
        <v>6022876</v>
      </c>
      <c r="Z246" s="55" t="n">
        <f aca="false">SUMIFS(데이터_성질별수출!$G$3:$G$653,데이터_성질별수출!$E$3:$E$653,$B246,데이터_성질별수출!$A$3:$A$653,"2025.12")</f>
        <v>6774079</v>
      </c>
      <c r="AA246" s="55" t="n">
        <f aca="false">SUMIFS(데이터_성질별수출!$G$3:$G$653,데이터_성질별수출!$E$3:$E$653,$B246,데이터_성질별수출!$A$3:$A$653,"2026.01")</f>
        <v>6584897</v>
      </c>
      <c r="AB246" s="55" t="n">
        <f aca="false">SUMIFS(데이터_성질별수출!$G$3:$G$653,데이터_성질별수출!$E$3:$E$653,$B246,데이터_성질별수출!$A$3:$A$653,"2026.02")</f>
        <v>6279361</v>
      </c>
      <c r="AC246" s="55" t="n">
        <f aca="false">SUMIFS(데이터_성질별수출!$G$3:$G$653,데이터_성질별수출!$E$3:$E$653,$B246,데이터_성질별수출!$A$3:$A$653,"2026.03")</f>
        <v>7361871</v>
      </c>
      <c r="AD246" s="55" t="n">
        <f aca="false">SUMIFS(데이터_성질별수출!$G$3:$G$653,데이터_성질별수출!$E$3:$E$653,$B246,데이터_성질별수출!$A$3:$A$653,"2026.04")</f>
        <v>7717531</v>
      </c>
      <c r="AE246" s="55" t="n">
        <f aca="false">SUMIFS(데이터_성질별수출!$G$3:$G$653,데이터_성질별수출!$E$3:$E$653,$B246,데이터_성질별수출!$A$3:$A$653,"2026.05")</f>
        <v>6994558</v>
      </c>
      <c r="AF246" s="55" t="n">
        <f aca="false">SUMIFS(데이터_성질별수출!$G$3:$G$653,데이터_성질별수출!$E$3:$E$653,$B246,데이터_성질별수출!$A$3:$A$653,"2026.06")</f>
        <v>7870038</v>
      </c>
      <c r="AG246" s="55" t="n">
        <f aca="false">SUMIFS(데이터_성질별수출!$G$3:$G$653,데이터_성질별수출!$E$3:$E$653,$B246,데이터_성질별수출!$A$3:$A$653,"2026.07")</f>
        <v>7980842</v>
      </c>
    </row>
    <row r="247" customFormat="false" ht="15" hidden="false" customHeight="true" outlineLevel="0" collapsed="false">
      <c r="A247" s="53" t="s">
        <v>457</v>
      </c>
      <c r="B247" s="54" t="s">
        <v>15069</v>
      </c>
      <c r="C247" s="55" t="n">
        <f aca="false">SUMIFS(데이터_성질별수출!$G$3:$G$653,데이터_성질별수출!$E$3:$E$653,$B247,데이터_성질별수출!$A$3:$A$653,"2024.01")</f>
        <v>4038358</v>
      </c>
      <c r="D247" s="55" t="n">
        <f aca="false">SUMIFS(데이터_성질별수출!$G$3:$G$653,데이터_성질별수출!$E$3:$E$653,$B247,데이터_성질별수출!$A$3:$A$653,"2024.02")</f>
        <v>3855480</v>
      </c>
      <c r="E247" s="55" t="n">
        <f aca="false">SUMIFS(데이터_성질별수출!$G$3:$G$653,데이터_성질별수출!$E$3:$E$653,$B247,데이터_성질별수출!$A$3:$A$653,"2024.03")</f>
        <v>4088495</v>
      </c>
      <c r="F247" s="55" t="n">
        <f aca="false">SUMIFS(데이터_성질별수출!$G$3:$G$653,데이터_성질별수출!$E$3:$E$653,$B247,데이터_성질별수출!$A$3:$A$653,"2024.04")</f>
        <v>4043924</v>
      </c>
      <c r="G247" s="55" t="n">
        <f aca="false">SUMIFS(데이터_성질별수출!$G$3:$G$653,데이터_성질별수출!$E$3:$E$653,$B247,데이터_성질별수출!$A$3:$A$653,"2024.05")</f>
        <v>4187795</v>
      </c>
      <c r="H247" s="55" t="n">
        <f aca="false">SUMIFS(데이터_성질별수출!$G$3:$G$653,데이터_성질별수출!$E$3:$E$653,$B247,데이터_성질별수출!$A$3:$A$653,"2024.06")</f>
        <v>3802935</v>
      </c>
      <c r="I247" s="55" t="n">
        <f aca="false">SUMIFS(데이터_성질별수출!$G$3:$G$653,데이터_성질별수출!$E$3:$E$653,$B247,데이터_성질별수출!$A$3:$A$653,"2024.07")</f>
        <v>4164877</v>
      </c>
      <c r="J247" s="55" t="n">
        <f aca="false">SUMIFS(데이터_성질별수출!$G$3:$G$653,데이터_성질별수출!$E$3:$E$653,$B247,데이터_성질별수출!$A$3:$A$653,"2024.08")</f>
        <v>4035867</v>
      </c>
      <c r="K247" s="55" t="n">
        <f aca="false">SUMIFS(데이터_성질별수출!$G$3:$G$653,데이터_성질별수출!$E$3:$E$653,$B247,데이터_성질별수출!$A$3:$A$653,"2024.09")</f>
        <v>3908378</v>
      </c>
      <c r="L247" s="55" t="n">
        <f aca="false">SUMIFS(데이터_성질별수출!$G$3:$G$653,데이터_성질별수출!$E$3:$E$653,$B247,데이터_성질별수출!$A$3:$A$653,"2024.10")</f>
        <v>4074297</v>
      </c>
      <c r="M247" s="55" t="n">
        <f aca="false">SUMIFS(데이터_성질별수출!$G$3:$G$653,데이터_성질별수출!$E$3:$E$653,$B247,데이터_성질별수출!$A$3:$A$653,"2024.11")</f>
        <v>3872988</v>
      </c>
      <c r="N247" s="55" t="n">
        <f aca="false">SUMIFS(데이터_성질별수출!$G$3:$G$653,데이터_성질별수출!$E$3:$E$653,$B247,데이터_성질별수출!$A$3:$A$653,"2024.12")</f>
        <v>4093382</v>
      </c>
      <c r="O247" s="55" t="n">
        <f aca="false">SUMIFS(데이터_성질별수출!$G$3:$G$653,데이터_성질별수출!$E$3:$E$653,$B247,데이터_성질별수출!$A$3:$A$653,"2025.01")</f>
        <v>3731804</v>
      </c>
      <c r="P247" s="55" t="n">
        <f aca="false">SUMIFS(데이터_성질별수출!$G$3:$G$653,데이터_성질별수출!$E$3:$E$653,$B247,데이터_성질별수출!$A$3:$A$653,"2025.02")</f>
        <v>3778184</v>
      </c>
      <c r="Q247" s="55" t="n">
        <f aca="false">SUMIFS(데이터_성질별수출!$G$3:$G$653,데이터_성질별수출!$E$3:$E$653,$B247,데이터_성질별수출!$A$3:$A$653,"2025.03")</f>
        <v>3874596</v>
      </c>
      <c r="R247" s="55" t="n">
        <f aca="false">SUMIFS(데이터_성질별수출!$G$3:$G$653,데이터_성질별수출!$E$3:$E$653,$B247,데이터_성질별수출!$A$3:$A$653,"2025.04")</f>
        <v>4360393</v>
      </c>
      <c r="S247" s="55" t="n">
        <f aca="false">SUMIFS(데이터_성질별수출!$G$3:$G$653,데이터_성질별수출!$E$3:$E$653,$B247,데이터_성질별수출!$A$3:$A$653,"2025.05")</f>
        <v>3789307</v>
      </c>
      <c r="T247" s="55" t="n">
        <f aca="false">SUMIFS(데이터_성질별수출!$G$3:$G$653,데이터_성질별수출!$E$3:$E$653,$B247,데이터_성질별수출!$A$3:$A$653,"2025.06")</f>
        <v>3694192</v>
      </c>
      <c r="U247" s="55" t="n">
        <f aca="false">SUMIFS(데이터_성질별수출!$G$3:$G$653,데이터_성질별수출!$E$3:$E$653,$B247,데이터_성질별수출!$A$3:$A$653,"2025.07")</f>
        <v>4188696</v>
      </c>
      <c r="V247" s="55" t="n">
        <f aca="false">SUMIFS(데이터_성질별수출!$G$3:$G$653,데이터_성질별수출!$E$3:$E$653,$B247,데이터_성질별수출!$A$3:$A$653,"2025.08")</f>
        <v>3560149</v>
      </c>
      <c r="W247" s="55" t="n">
        <f aca="false">SUMIFS(데이터_성질별수출!$G$3:$G$653,데이터_성질별수출!$E$3:$E$653,$B247,데이터_성질별수출!$A$3:$A$653,"2025.09")</f>
        <v>4010790</v>
      </c>
      <c r="X247" s="55" t="n">
        <f aca="false">SUMIFS(데이터_성질별수출!$G$3:$G$653,데이터_성질별수출!$E$3:$E$653,$B247,데이터_성질별수출!$A$3:$A$653,"2025.10")</f>
        <v>3497302</v>
      </c>
      <c r="Y247" s="55" t="n">
        <f aca="false">SUMIFS(데이터_성질별수출!$G$3:$G$653,데이터_성질별수출!$E$3:$E$653,$B247,데이터_성질별수출!$A$3:$A$653,"2025.11")</f>
        <v>3480452</v>
      </c>
      <c r="Z247" s="55" t="n">
        <f aca="false">SUMIFS(데이터_성질별수출!$G$3:$G$653,데이터_성질별수출!$E$3:$E$653,$B247,데이터_성질별수출!$A$3:$A$653,"2025.12")</f>
        <v>4021349</v>
      </c>
      <c r="AA247" s="55" t="n">
        <f aca="false">SUMIFS(데이터_성질별수출!$G$3:$G$653,데이터_성질별수출!$E$3:$E$653,$B247,데이터_성질별수출!$A$3:$A$653,"2026.01")</f>
        <v>4072186</v>
      </c>
      <c r="AB247" s="55" t="n">
        <f aca="false">SUMIFS(데이터_성질별수출!$G$3:$G$653,데이터_성질별수출!$E$3:$E$653,$B247,데이터_성질별수출!$A$3:$A$653,"2026.02")</f>
        <v>3678524</v>
      </c>
      <c r="AC247" s="55" t="n">
        <f aca="false">SUMIFS(데이터_성질별수출!$G$3:$G$653,데이터_성질별수출!$E$3:$E$653,$B247,데이터_성질별수출!$A$3:$A$653,"2026.03")</f>
        <v>4107993</v>
      </c>
      <c r="AD247" s="55" t="n">
        <f aca="false">SUMIFS(데이터_성질별수출!$G$3:$G$653,데이터_성질별수출!$E$3:$E$653,$B247,데이터_성질별수출!$A$3:$A$653,"2026.04")</f>
        <v>4322292</v>
      </c>
      <c r="AE247" s="55" t="n">
        <f aca="false">SUMIFS(데이터_성질별수출!$G$3:$G$653,데이터_성질별수출!$E$3:$E$653,$B247,데이터_성질별수출!$A$3:$A$653,"2026.05")</f>
        <v>4041314</v>
      </c>
      <c r="AF247" s="55" t="n">
        <f aca="false">SUMIFS(데이터_성질별수출!$G$3:$G$653,데이터_성질별수출!$E$3:$E$653,$B247,데이터_성질별수출!$A$3:$A$653,"2026.06")</f>
        <v>4351286</v>
      </c>
      <c r="AG247" s="55" t="n">
        <f aca="false">SUMIFS(데이터_성질별수출!$G$3:$G$653,데이터_성질별수출!$E$3:$E$653,$B247,데이터_성질별수출!$A$3:$A$653,"2026.07")</f>
        <v>4661963</v>
      </c>
    </row>
    <row r="248" customFormat="false" ht="15" hidden="false" customHeight="true" outlineLevel="0" collapsed="false">
      <c r="A248" s="53" t="s">
        <v>464</v>
      </c>
      <c r="B248" s="54" t="s">
        <v>15072</v>
      </c>
      <c r="C248" s="55" t="n">
        <f aca="false">SUMIFS(데이터_성질별수출!$G$3:$G$653,데이터_성질별수출!$E$3:$E$653,$B248,데이터_성질별수출!$A$3:$A$653,"2024.01")</f>
        <v>5908987</v>
      </c>
      <c r="D248" s="55" t="n">
        <f aca="false">SUMIFS(데이터_성질별수출!$G$3:$G$653,데이터_성질별수출!$E$3:$E$653,$B248,데이터_성질별수출!$A$3:$A$653,"2024.02")</f>
        <v>5911105</v>
      </c>
      <c r="E248" s="55" t="n">
        <f aca="false">SUMIFS(데이터_성질별수출!$G$3:$G$653,데이터_성질별수출!$E$3:$E$653,$B248,데이터_성질별수출!$A$3:$A$653,"2024.03")</f>
        <v>5975535</v>
      </c>
      <c r="F248" s="55" t="n">
        <f aca="false">SUMIFS(데이터_성질별수출!$G$3:$G$653,데이터_성질별수출!$E$3:$E$653,$B248,데이터_성질별수출!$A$3:$A$653,"2024.04")</f>
        <v>6330074</v>
      </c>
      <c r="G248" s="55" t="n">
        <f aca="false">SUMIFS(데이터_성질별수출!$G$3:$G$653,데이터_성질별수출!$E$3:$E$653,$B248,데이터_성질별수출!$A$3:$A$653,"2024.05")</f>
        <v>6193310</v>
      </c>
      <c r="H248" s="55" t="n">
        <f aca="false">SUMIFS(데이터_성질별수출!$G$3:$G$653,데이터_성질별수출!$E$3:$E$653,$B248,데이터_성질별수출!$A$3:$A$653,"2024.06")</f>
        <v>5993618</v>
      </c>
      <c r="I248" s="55" t="n">
        <f aca="false">SUMIFS(데이터_성질별수출!$G$3:$G$653,데이터_성질별수출!$E$3:$E$653,$B248,데이터_성질별수출!$A$3:$A$653,"2024.07")</f>
        <v>6908720</v>
      </c>
      <c r="J248" s="55" t="n">
        <f aca="false">SUMIFS(데이터_성질별수출!$G$3:$G$653,데이터_성질별수출!$E$3:$E$653,$B248,데이터_성질별수출!$A$3:$A$653,"2024.08")</f>
        <v>5736433</v>
      </c>
      <c r="K248" s="55" t="n">
        <f aca="false">SUMIFS(데이터_성질별수출!$G$3:$G$653,데이터_성질별수출!$E$3:$E$653,$B248,데이터_성질별수출!$A$3:$A$653,"2024.09")</f>
        <v>5636524</v>
      </c>
      <c r="L248" s="55" t="n">
        <f aca="false">SUMIFS(데이터_성질별수출!$G$3:$G$653,데이터_성질별수출!$E$3:$E$653,$B248,데이터_성질별수출!$A$3:$A$653,"2024.10")</f>
        <v>5720320</v>
      </c>
      <c r="M248" s="55" t="n">
        <f aca="false">SUMIFS(데이터_성질별수출!$G$3:$G$653,데이터_성질별수출!$E$3:$E$653,$B248,데이터_성질별수출!$A$3:$A$653,"2024.11")</f>
        <v>5902942</v>
      </c>
      <c r="N248" s="55" t="n">
        <f aca="false">SUMIFS(데이터_성질별수출!$G$3:$G$653,데이터_성질별수출!$E$3:$E$653,$B248,데이터_성질별수출!$A$3:$A$653,"2024.12")</f>
        <v>6218296</v>
      </c>
      <c r="O248" s="55" t="n">
        <f aca="false">SUMIFS(데이터_성질별수출!$G$3:$G$653,데이터_성질별수출!$E$3:$E$653,$B248,데이터_성질별수출!$A$3:$A$653,"2025.01")</f>
        <v>4881354</v>
      </c>
      <c r="P248" s="55" t="n">
        <f aca="false">SUMIFS(데이터_성질별수출!$G$3:$G$653,데이터_성질별수출!$E$3:$E$653,$B248,데이터_성질별수출!$A$3:$A$653,"2025.02")</f>
        <v>5679089</v>
      </c>
      <c r="Q248" s="55" t="n">
        <f aca="false">SUMIFS(데이터_성질별수출!$G$3:$G$653,데이터_성질별수출!$E$3:$E$653,$B248,데이터_성질별수출!$A$3:$A$653,"2025.03")</f>
        <v>6050031</v>
      </c>
      <c r="R248" s="55" t="n">
        <f aca="false">SUMIFS(데이터_성질별수출!$G$3:$G$653,데이터_성질별수출!$E$3:$E$653,$B248,데이터_성질별수출!$A$3:$A$653,"2025.04")</f>
        <v>6411232</v>
      </c>
      <c r="S248" s="55" t="n">
        <f aca="false">SUMIFS(데이터_성질별수출!$G$3:$G$653,데이터_성질별수출!$E$3:$E$653,$B248,데이터_성질별수출!$A$3:$A$653,"2025.05")</f>
        <v>5874413</v>
      </c>
      <c r="T248" s="55" t="n">
        <f aca="false">SUMIFS(데이터_성질별수출!$G$3:$G$653,데이터_성질별수출!$E$3:$E$653,$B248,데이터_성질별수출!$A$3:$A$653,"2025.06")</f>
        <v>6030989</v>
      </c>
      <c r="U248" s="55" t="n">
        <f aca="false">SUMIFS(데이터_성질별수출!$G$3:$G$653,데이터_성질별수출!$E$3:$E$653,$B248,데이터_성질별수출!$A$3:$A$653,"2025.07")</f>
        <v>6328940</v>
      </c>
      <c r="V248" s="55" t="n">
        <f aca="false">SUMIFS(데이터_성질별수출!$G$3:$G$653,데이터_성질별수출!$E$3:$E$653,$B248,데이터_성질별수출!$A$3:$A$653,"2025.08")</f>
        <v>5245973</v>
      </c>
      <c r="W248" s="55" t="n">
        <f aca="false">SUMIFS(데이터_성질별수출!$G$3:$G$653,데이터_성질별수출!$E$3:$E$653,$B248,데이터_성질별수출!$A$3:$A$653,"2025.09")</f>
        <v>6199108</v>
      </c>
      <c r="X248" s="55" t="n">
        <f aca="false">SUMIFS(데이터_성질별수출!$G$3:$G$653,데이터_성질별수출!$E$3:$E$653,$B248,데이터_성질별수출!$A$3:$A$653,"2025.10")</f>
        <v>5008382</v>
      </c>
      <c r="Y248" s="55" t="n">
        <f aca="false">SUMIFS(데이터_성질별수출!$G$3:$G$653,데이터_성질별수출!$E$3:$E$653,$B248,데이터_성질별수출!$A$3:$A$653,"2025.11")</f>
        <v>5822852</v>
      </c>
      <c r="Z248" s="55" t="n">
        <f aca="false">SUMIFS(데이터_성질별수출!$G$3:$G$653,데이터_성질별수출!$E$3:$E$653,$B248,데이터_성질별수출!$A$3:$A$653,"2025.12")</f>
        <v>6393682</v>
      </c>
      <c r="AA248" s="55" t="n">
        <f aca="false">SUMIFS(데이터_성질별수출!$G$3:$G$653,데이터_성질별수출!$E$3:$E$653,$B248,데이터_성질별수출!$A$3:$A$653,"2026.01")</f>
        <v>5421604</v>
      </c>
      <c r="AB248" s="55" t="n">
        <f aca="false">SUMIFS(데이터_성질별수출!$G$3:$G$653,데이터_성질별수출!$E$3:$E$653,$B248,데이터_성질별수출!$A$3:$A$653,"2026.02")</f>
        <v>4904769</v>
      </c>
      <c r="AC248" s="55" t="n">
        <f aca="false">SUMIFS(데이터_성질별수출!$G$3:$G$653,데이터_성질별수출!$E$3:$E$653,$B248,데이터_성질별수출!$A$3:$A$653,"2026.03")</f>
        <v>6033664</v>
      </c>
      <c r="AD248" s="55" t="n">
        <f aca="false">SUMIFS(데이터_성질별수출!$G$3:$G$653,데이터_성질별수출!$E$3:$E$653,$B248,데이터_성질별수출!$A$3:$A$653,"2026.04")</f>
        <v>6269944</v>
      </c>
      <c r="AE248" s="55" t="n">
        <f aca="false">SUMIFS(데이터_성질별수출!$G$3:$G$653,데이터_성질별수출!$E$3:$E$653,$B248,데이터_성질별수출!$A$3:$A$653,"2026.05")</f>
        <v>5585218</v>
      </c>
      <c r="AF248" s="55" t="n">
        <f aca="false">SUMIFS(데이터_성질별수출!$G$3:$G$653,데이터_성질별수출!$E$3:$E$653,$B248,데이터_성질별수출!$A$3:$A$653,"2026.06")</f>
        <v>6547312</v>
      </c>
      <c r="AG248" s="55" t="n">
        <f aca="false">SUMIFS(데이터_성질별수출!$G$3:$G$653,데이터_성질별수출!$E$3:$E$653,$B248,데이터_성질별수출!$A$3:$A$653,"2026.07")</f>
        <v>6861427</v>
      </c>
    </row>
    <row r="249" customFormat="false" ht="15" hidden="false" customHeight="true" outlineLevel="0" collapsed="false">
      <c r="A249" s="53" t="s">
        <v>471</v>
      </c>
      <c r="B249" s="54" t="s">
        <v>15075</v>
      </c>
      <c r="C249" s="55" t="n">
        <f aca="false">SUMIFS(데이터_성질별수출!$G$3:$G$653,데이터_성질별수출!$E$3:$E$653,$B249,데이터_성질별수출!$A$3:$A$653,"2024.01")</f>
        <v>15941237</v>
      </c>
      <c r="D249" s="55" t="n">
        <f aca="false">SUMIFS(데이터_성질별수출!$G$3:$G$653,데이터_성질별수출!$E$3:$E$653,$B249,데이터_성질별수출!$A$3:$A$653,"2024.02")</f>
        <v>16240903</v>
      </c>
      <c r="E249" s="55" t="n">
        <f aca="false">SUMIFS(데이터_성질별수출!$G$3:$G$653,데이터_성질별수출!$E$3:$E$653,$B249,데이터_성질별수출!$A$3:$A$653,"2024.03")</f>
        <v>18465510</v>
      </c>
      <c r="F249" s="55" t="n">
        <f aca="false">SUMIFS(데이터_성질별수출!$G$3:$G$653,데이터_성질별수출!$E$3:$E$653,$B249,데이터_성질별수출!$A$3:$A$653,"2024.04")</f>
        <v>16640970</v>
      </c>
      <c r="G249" s="55" t="n">
        <f aca="false">SUMIFS(데이터_성질별수출!$G$3:$G$653,데이터_성질별수출!$E$3:$E$653,$B249,데이터_성질별수출!$A$3:$A$653,"2024.05")</f>
        <v>18659897</v>
      </c>
      <c r="H249" s="55" t="n">
        <f aca="false">SUMIFS(데이터_성질별수출!$G$3:$G$653,데이터_성질별수출!$E$3:$E$653,$B249,데이터_성질별수출!$A$3:$A$653,"2024.06")</f>
        <v>20880679</v>
      </c>
      <c r="I249" s="55" t="n">
        <f aca="false">SUMIFS(데이터_성질별수출!$G$3:$G$653,데이터_성질별수출!$E$3:$E$653,$B249,데이터_성질별수출!$A$3:$A$653,"2024.07")</f>
        <v>19061503</v>
      </c>
      <c r="J249" s="55" t="n">
        <f aca="false">SUMIFS(데이터_성질별수출!$G$3:$G$653,데이터_성질별수출!$E$3:$E$653,$B249,데이터_성질별수출!$A$3:$A$653,"2024.08")</f>
        <v>20177487</v>
      </c>
      <c r="K249" s="55" t="n">
        <f aca="false">SUMIFS(데이터_성질별수출!$G$3:$G$653,데이터_성질별수출!$E$3:$E$653,$B249,데이터_성질별수출!$A$3:$A$653,"2024.09")</f>
        <v>21993953</v>
      </c>
      <c r="L249" s="55" t="n">
        <f aca="false">SUMIFS(데이터_성질별수출!$G$3:$G$653,데이터_성질별수출!$E$3:$E$653,$B249,데이터_성질별수출!$A$3:$A$653,"2024.10")</f>
        <v>20471723</v>
      </c>
      <c r="M249" s="55" t="n">
        <f aca="false">SUMIFS(데이터_성질별수출!$G$3:$G$653,데이터_성질별수출!$E$3:$E$653,$B249,데이터_성질별수출!$A$3:$A$653,"2024.11")</f>
        <v>20062945</v>
      </c>
      <c r="N249" s="55" t="n">
        <f aca="false">SUMIFS(데이터_성질별수출!$G$3:$G$653,데이터_성질별수출!$E$3:$E$653,$B249,데이터_성질별수출!$A$3:$A$653,"2024.12")</f>
        <v>22354371</v>
      </c>
      <c r="O249" s="55" t="n">
        <f aca="false">SUMIFS(데이터_성질별수출!$G$3:$G$653,데이터_성질별수출!$E$3:$E$653,$B249,데이터_성질별수출!$A$3:$A$653,"2025.01")</f>
        <v>16025153</v>
      </c>
      <c r="P249" s="55" t="n">
        <f aca="false">SUMIFS(데이터_성질별수출!$G$3:$G$653,데이터_성질별수출!$E$3:$E$653,$B249,데이터_성질별수출!$A$3:$A$653,"2025.02")</f>
        <v>16319141</v>
      </c>
      <c r="Q249" s="55" t="n">
        <f aca="false">SUMIFS(데이터_성질별수출!$G$3:$G$653,데이터_성질별수출!$E$3:$E$653,$B249,데이터_성질별수출!$A$3:$A$653,"2025.03")</f>
        <v>20350815</v>
      </c>
      <c r="R249" s="55" t="n">
        <f aca="false">SUMIFS(데이터_성질별수출!$G$3:$G$653,데이터_성질별수출!$E$3:$E$653,$B249,데이터_성질별수출!$A$3:$A$653,"2025.04")</f>
        <v>18681042</v>
      </c>
      <c r="S249" s="55" t="n">
        <f aca="false">SUMIFS(데이터_성질별수출!$G$3:$G$653,데이터_성질별수출!$E$3:$E$653,$B249,데이터_성질별수출!$A$3:$A$653,"2025.05")</f>
        <v>20664289</v>
      </c>
      <c r="T249" s="55" t="n">
        <f aca="false">SUMIFS(데이터_성질별수출!$G$3:$G$653,데이터_성질별수출!$E$3:$E$653,$B249,데이터_성질별수출!$A$3:$A$653,"2025.06")</f>
        <v>21960767</v>
      </c>
      <c r="U249" s="55" t="n">
        <f aca="false">SUMIFS(데이터_성질별수출!$G$3:$G$653,데이터_성질별수출!$E$3:$E$653,$B249,데이터_성질별수출!$A$3:$A$653,"2025.07")</f>
        <v>22054413</v>
      </c>
      <c r="V249" s="55" t="n">
        <f aca="false">SUMIFS(데이터_성질별수출!$G$3:$G$653,데이터_성질별수출!$E$3:$E$653,$B249,데이터_성질별수출!$A$3:$A$653,"2025.08")</f>
        <v>22635594</v>
      </c>
      <c r="W249" s="55" t="n">
        <f aca="false">SUMIFS(데이터_성질별수출!$G$3:$G$653,데이터_성질별수출!$E$3:$E$653,$B249,데이터_성질별수출!$A$3:$A$653,"2025.09")</f>
        <v>25056049</v>
      </c>
      <c r="X249" s="55" t="n">
        <f aca="false">SUMIFS(데이터_성질별수출!$G$3:$G$653,데이터_성질별수출!$E$3:$E$653,$B249,데이터_성질별수출!$A$3:$A$653,"2025.10")</f>
        <v>23014194</v>
      </c>
      <c r="Y249" s="55" t="n">
        <f aca="false">SUMIFS(데이터_성질별수출!$G$3:$G$653,데이터_성질별수출!$E$3:$E$653,$B249,데이터_성질별수출!$A$3:$A$653,"2025.11")</f>
        <v>25157276</v>
      </c>
      <c r="Z249" s="55" t="n">
        <f aca="false">SUMIFS(데이터_성질별수출!$G$3:$G$653,데이터_성질별수출!$E$3:$E$653,$B249,데이터_성질별수출!$A$3:$A$653,"2025.12")</f>
        <v>29671643</v>
      </c>
      <c r="AA249" s="55" t="n">
        <f aca="false">SUMIFS(데이터_성질별수출!$G$3:$G$653,데이터_성질별수출!$E$3:$E$653,$B249,데이터_성질별수출!$A$3:$A$653,"2026.01")</f>
        <v>28840619</v>
      </c>
      <c r="AB249" s="55" t="n">
        <f aca="false">SUMIFS(데이터_성질별수출!$G$3:$G$653,데이터_성질별수출!$E$3:$E$653,$B249,데이터_성질별수출!$A$3:$A$653,"2026.02")</f>
        <v>33394046</v>
      </c>
      <c r="AC249" s="55" t="n">
        <f aca="false">SUMIFS(데이터_성질별수출!$G$3:$G$653,데이터_성질별수출!$E$3:$E$653,$B249,데이터_성질별수출!$A$3:$A$653,"2026.03")</f>
        <v>43273534</v>
      </c>
      <c r="AD249" s="55" t="n">
        <f aca="false">SUMIFS(데이터_성질별수출!$G$3:$G$653,데이터_성질별수출!$E$3:$E$653,$B249,데이터_성질별수출!$A$3:$A$653,"2026.04")</f>
        <v>42506536</v>
      </c>
      <c r="AE249" s="55" t="n">
        <f aca="false">SUMIFS(데이터_성질별수출!$G$3:$G$653,데이터_성질별수출!$E$3:$E$653,$B249,데이터_성질별수출!$A$3:$A$653,"2026.05")</f>
        <v>47618590</v>
      </c>
      <c r="AF249" s="55" t="n">
        <f aca="false">SUMIFS(데이터_성질별수출!$G$3:$G$653,데이터_성질별수출!$E$3:$E$653,$B249,데이터_성질별수출!$A$3:$A$653,"2026.06")</f>
        <v>57127600</v>
      </c>
      <c r="AG249" s="55" t="n">
        <f aca="false">SUMIFS(데이터_성질별수출!$G$3:$G$653,데이터_성질별수출!$E$3:$E$653,$B249,데이터_성질별수출!$A$3:$A$653,"2026.07")</f>
        <v>53312084</v>
      </c>
    </row>
    <row r="250" customFormat="false" ht="15" hidden="false" customHeight="true" outlineLevel="0" collapsed="false">
      <c r="A250" s="53" t="s">
        <v>478</v>
      </c>
      <c r="B250" s="54" t="s">
        <v>15078</v>
      </c>
      <c r="C250" s="55" t="n">
        <f aca="false">SUMIFS(데이터_성질별수출!$G$3:$G$653,데이터_성질별수출!$E$3:$E$653,$B250,데이터_성질별수출!$A$3:$A$653,"2024.01")</f>
        <v>10760159</v>
      </c>
      <c r="D250" s="55" t="n">
        <f aca="false">SUMIFS(데이터_성질별수출!$G$3:$G$653,데이터_성질별수출!$E$3:$E$653,$B250,데이터_성질별수출!$A$3:$A$653,"2024.02")</f>
        <v>9064732</v>
      </c>
      <c r="E250" s="55" t="n">
        <f aca="false">SUMIFS(데이터_성질별수출!$G$3:$G$653,데이터_성질별수출!$E$3:$E$653,$B250,데이터_성질별수출!$A$3:$A$653,"2024.03")</f>
        <v>10303783</v>
      </c>
      <c r="F250" s="55" t="n">
        <f aca="false">SUMIFS(데이터_성질별수출!$G$3:$G$653,데이터_성질별수출!$E$3:$E$653,$B250,데이터_성질별수출!$A$3:$A$653,"2024.04")</f>
        <v>10494776</v>
      </c>
      <c r="G250" s="55" t="n">
        <f aca="false">SUMIFS(데이터_성질별수출!$G$3:$G$653,데이터_성질별수출!$E$3:$E$653,$B250,데이터_성질별수출!$A$3:$A$653,"2024.05")</f>
        <v>10582428</v>
      </c>
      <c r="H250" s="55" t="n">
        <f aca="false">SUMIFS(데이터_성질별수출!$G$3:$G$653,데이터_성질별수출!$E$3:$E$653,$B250,데이터_성질별수출!$A$3:$A$653,"2024.06")</f>
        <v>9662518</v>
      </c>
      <c r="I250" s="55" t="n">
        <f aca="false">SUMIFS(데이터_성질별수출!$G$3:$G$653,데이터_성질별수출!$E$3:$E$653,$B250,데이터_성질별수출!$A$3:$A$653,"2024.07")</f>
        <v>8669854</v>
      </c>
      <c r="J250" s="55" t="n">
        <f aca="false">SUMIFS(데이터_성질별수출!$G$3:$G$653,데이터_성질별수출!$E$3:$E$653,$B250,데이터_성질별수출!$A$3:$A$653,"2024.08")</f>
        <v>9764559</v>
      </c>
      <c r="K250" s="55" t="n">
        <f aca="false">SUMIFS(데이터_성질별수출!$G$3:$G$653,데이터_성질별수출!$E$3:$E$653,$B250,데이터_성질별수출!$A$3:$A$653,"2024.09")</f>
        <v>9692967</v>
      </c>
      <c r="L250" s="55" t="n">
        <f aca="false">SUMIFS(데이터_성질별수출!$G$3:$G$653,데이터_성질별수출!$E$3:$E$653,$B250,데이터_성질별수출!$A$3:$A$653,"2024.10")</f>
        <v>10495595</v>
      </c>
      <c r="M250" s="55" t="n">
        <f aca="false">SUMIFS(데이터_성질별수출!$G$3:$G$653,데이터_성질별수출!$E$3:$E$653,$B250,데이터_성질별수출!$A$3:$A$653,"2024.11")</f>
        <v>9977654</v>
      </c>
      <c r="N250" s="55" t="n">
        <f aca="false">SUMIFS(데이터_성질별수출!$G$3:$G$653,데이터_성질별수출!$E$3:$E$653,$B250,데이터_성질별수출!$A$3:$A$653,"2024.12")</f>
        <v>11116518</v>
      </c>
      <c r="O250" s="55" t="n">
        <f aca="false">SUMIFS(데이터_성질별수출!$G$3:$G$653,데이터_성질별수출!$E$3:$E$653,$B250,데이터_성질별수출!$A$3:$A$653,"2025.01")</f>
        <v>9319434</v>
      </c>
      <c r="P250" s="55" t="n">
        <f aca="false">SUMIFS(데이터_성질별수출!$G$3:$G$653,데이터_성질별수출!$E$3:$E$653,$B250,데이터_성질별수출!$A$3:$A$653,"2025.02")</f>
        <v>9576774</v>
      </c>
      <c r="Q250" s="55" t="n">
        <f aca="false">SUMIFS(데이터_성질별수출!$G$3:$G$653,데이터_성질별수출!$E$3:$E$653,$B250,데이터_성질별수출!$A$3:$A$653,"2025.03")</f>
        <v>11399373</v>
      </c>
      <c r="R250" s="55" t="n">
        <f aca="false">SUMIFS(데이터_성질별수출!$G$3:$G$653,데이터_성질별수출!$E$3:$E$653,$B250,데이터_성질별수출!$A$3:$A$653,"2025.04")</f>
        <v>10715839</v>
      </c>
      <c r="S250" s="55" t="n">
        <f aca="false">SUMIFS(데이터_성질별수출!$G$3:$G$653,데이터_성질별수출!$E$3:$E$653,$B250,데이터_성질별수출!$A$3:$A$653,"2025.05")</f>
        <v>10376891</v>
      </c>
      <c r="T250" s="55" t="n">
        <f aca="false">SUMIFS(데이터_성질별수출!$G$3:$G$653,데이터_성질별수출!$E$3:$E$653,$B250,데이터_성질별수출!$A$3:$A$653,"2025.06")</f>
        <v>10712362</v>
      </c>
      <c r="U250" s="55" t="n">
        <f aca="false">SUMIFS(데이터_성질별수출!$G$3:$G$653,데이터_성질별수출!$E$3:$E$653,$B250,데이터_성질별수출!$A$3:$A$653,"2025.07")</f>
        <v>10047917</v>
      </c>
      <c r="V250" s="55" t="n">
        <f aca="false">SUMIFS(데이터_성질별수출!$G$3:$G$653,데이터_성질별수출!$E$3:$E$653,$B250,데이터_성질별수출!$A$3:$A$653,"2025.08")</f>
        <v>10380351</v>
      </c>
      <c r="W250" s="55" t="n">
        <f aca="false">SUMIFS(데이터_성질별수출!$G$3:$G$653,데이터_성질별수출!$E$3:$E$653,$B250,데이터_성질별수출!$A$3:$A$653,"2025.09")</f>
        <v>11419883</v>
      </c>
      <c r="X250" s="55" t="n">
        <f aca="false">SUMIFS(데이터_성질별수출!$G$3:$G$653,데이터_성질별수출!$E$3:$E$653,$B250,데이터_성질별수출!$A$3:$A$653,"2025.10")</f>
        <v>11989564</v>
      </c>
      <c r="Y250" s="55" t="n">
        <f aca="false">SUMIFS(데이터_성질별수출!$G$3:$G$653,데이터_성질별수출!$E$3:$E$653,$B250,데이터_성질별수출!$A$3:$A$653,"2025.11")</f>
        <v>9965178</v>
      </c>
      <c r="Z250" s="55" t="n">
        <f aca="false">SUMIFS(데이터_성질별수출!$G$3:$G$653,데이터_성질별수출!$E$3:$E$653,$B250,데이터_성질별수출!$A$3:$A$653,"2025.12")</f>
        <v>11067554</v>
      </c>
      <c r="AA250" s="55" t="n">
        <f aca="false">SUMIFS(데이터_성질별수출!$G$3:$G$653,데이터_성질별수출!$E$3:$E$653,$B250,데이터_성질별수출!$A$3:$A$653,"2026.01")</f>
        <v>10361778</v>
      </c>
      <c r="AB250" s="55" t="n">
        <f aca="false">SUMIFS(데이터_성질별수출!$G$3:$G$653,데이터_성질별수출!$E$3:$E$653,$B250,데이터_성질별수출!$A$3:$A$653,"2026.02")</f>
        <v>8608748</v>
      </c>
      <c r="AC250" s="55" t="n">
        <f aca="false">SUMIFS(데이터_성질별수출!$G$3:$G$653,데이터_성질별수출!$E$3:$E$653,$B250,데이터_성질별수출!$A$3:$A$653,"2026.03")</f>
        <v>11782023</v>
      </c>
      <c r="AD250" s="55" t="n">
        <f aca="false">SUMIFS(데이터_성질별수출!$G$3:$G$653,데이터_성질별수출!$E$3:$E$653,$B250,데이터_성질별수출!$A$3:$A$653,"2026.04")</f>
        <v>11192081</v>
      </c>
      <c r="AE250" s="55" t="n">
        <f aca="false">SUMIFS(데이터_성질별수출!$G$3:$G$653,데이터_성질별수출!$E$3:$E$653,$B250,데이터_성질별수출!$A$3:$A$653,"2026.05")</f>
        <v>10090952</v>
      </c>
      <c r="AF250" s="55" t="n">
        <f aca="false">SUMIFS(데이터_성질별수출!$G$3:$G$653,데이터_성질별수출!$E$3:$E$653,$B250,데이터_성질별수출!$A$3:$A$653,"2026.06")</f>
        <v>11460161</v>
      </c>
      <c r="AG250" s="55" t="n">
        <f aca="false">SUMIFS(데이터_성질별수출!$G$3:$G$653,데이터_성질별수출!$E$3:$E$653,$B250,데이터_성질별수출!$A$3:$A$653,"2026.07")</f>
        <v>11661068</v>
      </c>
    </row>
    <row r="251" customFormat="false" ht="15" hidden="false" customHeight="true" outlineLevel="0" collapsed="false">
      <c r="A251" s="53" t="s">
        <v>485</v>
      </c>
      <c r="B251" s="54" t="s">
        <v>15081</v>
      </c>
      <c r="C251" s="55" t="n">
        <f aca="false">SUMIFS(데이터_성질별수출!$G$3:$G$653,데이터_성질별수출!$E$3:$E$653,$B251,데이터_성질별수출!$A$3:$A$653,"2024.01")</f>
        <v>1743627</v>
      </c>
      <c r="D251" s="55" t="n">
        <f aca="false">SUMIFS(데이터_성질별수출!$G$3:$G$653,데이터_성질별수출!$E$3:$E$653,$B251,데이터_성질별수출!$A$3:$A$653,"2024.02")</f>
        <v>1385297</v>
      </c>
      <c r="E251" s="55" t="n">
        <f aca="false">SUMIFS(데이터_성질별수출!$G$3:$G$653,데이터_성질별수출!$E$3:$E$653,$B251,데이터_성질별수출!$A$3:$A$653,"2024.03")</f>
        <v>1463938</v>
      </c>
      <c r="F251" s="55" t="n">
        <f aca="false">SUMIFS(데이터_성질별수출!$G$3:$G$653,데이터_성질별수출!$E$3:$E$653,$B251,데이터_성질별수출!$A$3:$A$653,"2024.04")</f>
        <v>1809623</v>
      </c>
      <c r="G251" s="55" t="n">
        <f aca="false">SUMIFS(데이터_성질별수출!$G$3:$G$653,데이터_성질별수출!$E$3:$E$653,$B251,데이터_성질별수출!$A$3:$A$653,"2024.05")</f>
        <v>1616560</v>
      </c>
      <c r="H251" s="55" t="n">
        <f aca="false">SUMIFS(데이터_성질별수출!$G$3:$G$653,데이터_성질별수출!$E$3:$E$653,$B251,데이터_성질별수출!$A$3:$A$653,"2024.06")</f>
        <v>1733335</v>
      </c>
      <c r="I251" s="55" t="n">
        <f aca="false">SUMIFS(데이터_성질별수출!$G$3:$G$653,데이터_성질별수출!$E$3:$E$653,$B251,데이터_성질별수출!$A$3:$A$653,"2024.07")</f>
        <v>1907321</v>
      </c>
      <c r="J251" s="55" t="n">
        <f aca="false">SUMIFS(데이터_성질별수출!$G$3:$G$653,데이터_성질별수출!$E$3:$E$653,$B251,데이터_성질별수출!$A$3:$A$653,"2024.08")</f>
        <v>1721700</v>
      </c>
      <c r="K251" s="55" t="n">
        <f aca="false">SUMIFS(데이터_성질별수출!$G$3:$G$653,데이터_성질별수출!$E$3:$E$653,$B251,데이터_성질별수출!$A$3:$A$653,"2024.09")</f>
        <v>2182327</v>
      </c>
      <c r="L251" s="55" t="n">
        <f aca="false">SUMIFS(데이터_성질별수출!$G$3:$G$653,데이터_성질별수출!$E$3:$E$653,$B251,데이터_성질별수출!$A$3:$A$653,"2024.10")</f>
        <v>1895144</v>
      </c>
      <c r="M251" s="55" t="n">
        <f aca="false">SUMIFS(데이터_성질별수출!$G$3:$G$653,데이터_성질별수출!$E$3:$E$653,$B251,데이터_성질별수출!$A$3:$A$653,"2024.11")</f>
        <v>1714826</v>
      </c>
      <c r="N251" s="55" t="n">
        <f aca="false">SUMIFS(데이터_성질별수출!$G$3:$G$653,데이터_성질별수출!$E$3:$E$653,$B251,데이터_성질별수출!$A$3:$A$653,"2024.12")</f>
        <v>2016508</v>
      </c>
      <c r="O251" s="55" t="n">
        <f aca="false">SUMIFS(데이터_성질별수출!$G$3:$G$653,데이터_성질별수출!$E$3:$E$653,$B251,데이터_성질별수출!$A$3:$A$653,"2025.01")</f>
        <v>1527677</v>
      </c>
      <c r="P251" s="55" t="n">
        <f aca="false">SUMIFS(데이터_성질별수출!$G$3:$G$653,데이터_성질별수출!$E$3:$E$653,$B251,데이터_성질별수출!$A$3:$A$653,"2025.02")</f>
        <v>1729202</v>
      </c>
      <c r="Q251" s="55" t="n">
        <f aca="false">SUMIFS(데이터_성질별수출!$G$3:$G$653,데이터_성질별수출!$E$3:$E$653,$B251,데이터_성질별수출!$A$3:$A$653,"2025.03")</f>
        <v>1858734</v>
      </c>
      <c r="R251" s="55" t="n">
        <f aca="false">SUMIFS(데이터_성질별수출!$G$3:$G$653,데이터_성질별수출!$E$3:$E$653,$B251,데이터_성질별수출!$A$3:$A$653,"2025.04")</f>
        <v>2106925</v>
      </c>
      <c r="S251" s="55" t="n">
        <f aca="false">SUMIFS(데이터_성질별수출!$G$3:$G$653,데이터_성질별수출!$E$3:$E$653,$B251,데이터_성질별수출!$A$3:$A$653,"2025.05")</f>
        <v>1769896</v>
      </c>
      <c r="T251" s="55" t="n">
        <f aca="false">SUMIFS(데이터_성질별수출!$G$3:$G$653,데이터_성질별수출!$E$3:$E$653,$B251,데이터_성질별수출!$A$3:$A$653,"2025.06")</f>
        <v>2195878</v>
      </c>
      <c r="U251" s="55" t="n">
        <f aca="false">SUMIFS(데이터_성질별수출!$G$3:$G$653,데이터_성질별수출!$E$3:$E$653,$B251,데이터_성질별수출!$A$3:$A$653,"2025.07")</f>
        <v>2054949</v>
      </c>
      <c r="V251" s="55" t="n">
        <f aca="false">SUMIFS(데이터_성질별수출!$G$3:$G$653,데이터_성질별수출!$E$3:$E$653,$B251,데이터_성질별수출!$A$3:$A$653,"2025.08")</f>
        <v>1525811</v>
      </c>
      <c r="W251" s="55" t="n">
        <f aca="false">SUMIFS(데이터_성질별수출!$G$3:$G$653,데이터_성질별수출!$E$3:$E$653,$B251,데이터_성질별수출!$A$3:$A$653,"2025.09")</f>
        <v>2722758</v>
      </c>
      <c r="X251" s="55" t="n">
        <f aca="false">SUMIFS(데이터_성질별수출!$G$3:$G$653,데이터_성질별수출!$E$3:$E$653,$B251,데이터_성질별수출!$A$3:$A$653,"2025.10")</f>
        <v>1606805</v>
      </c>
      <c r="Y251" s="55" t="n">
        <f aca="false">SUMIFS(데이터_성질별수출!$G$3:$G$653,데이터_성질별수출!$E$3:$E$653,$B251,데이터_성질별수출!$A$3:$A$653,"2025.11")</f>
        <v>1874581</v>
      </c>
      <c r="Z251" s="55" t="n">
        <f aca="false">SUMIFS(데이터_성질별수출!$G$3:$G$653,데이터_성질별수출!$E$3:$E$653,$B251,데이터_성질별수출!$A$3:$A$653,"2025.12")</f>
        <v>2078034</v>
      </c>
      <c r="AA251" s="55" t="n">
        <f aca="false">SUMIFS(데이터_성질별수출!$G$3:$G$653,데이터_성질별수출!$E$3:$E$653,$B251,데이터_성질별수출!$A$3:$A$653,"2026.01")</f>
        <v>1808021</v>
      </c>
      <c r="AB251" s="55" t="n">
        <f aca="false">SUMIFS(데이터_성질별수출!$G$3:$G$653,데이터_성질별수출!$E$3:$E$653,$B251,데이터_성질별수출!$A$3:$A$653,"2026.02")</f>
        <v>1839279</v>
      </c>
      <c r="AC251" s="55" t="n">
        <f aca="false">SUMIFS(데이터_성질별수출!$G$3:$G$653,데이터_성질별수출!$E$3:$E$653,$B251,데이터_성질별수출!$A$3:$A$653,"2026.03")</f>
        <v>2212470</v>
      </c>
      <c r="AD251" s="55" t="n">
        <f aca="false">SUMIFS(데이터_성질별수출!$G$3:$G$653,데이터_성질별수출!$E$3:$E$653,$B251,데이터_성질별수출!$A$3:$A$653,"2026.04")</f>
        <v>2309537</v>
      </c>
      <c r="AE251" s="55" t="n">
        <f aca="false">SUMIFS(데이터_성질별수출!$G$3:$G$653,데이터_성질별수출!$E$3:$E$653,$B251,데이터_성질별수출!$A$3:$A$653,"2026.05")</f>
        <v>1913620</v>
      </c>
      <c r="AF251" s="55" t="n">
        <f aca="false">SUMIFS(데이터_성질별수출!$G$3:$G$653,데이터_성질별수출!$E$3:$E$653,$B251,데이터_성질별수출!$A$3:$A$653,"2026.06")</f>
        <v>2778389</v>
      </c>
      <c r="AG251" s="55" t="n">
        <f aca="false">SUMIFS(데이터_성질별수출!$G$3:$G$653,데이터_성질별수출!$E$3:$E$653,$B251,데이터_성질별수출!$A$3:$A$653,"2026.07")</f>
        <v>2725433</v>
      </c>
    </row>
    <row r="253" customFormat="false" ht="14.25" hidden="false" customHeight="true" outlineLevel="0" collapsed="false">
      <c r="A253" s="23" t="s">
        <v>19858</v>
      </c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customFormat="false" ht="15" hidden="false" customHeight="true" outlineLevel="0" collapsed="false">
      <c r="A254" s="5" t="s">
        <v>19797</v>
      </c>
      <c r="B254" s="5" t="s">
        <v>19663</v>
      </c>
      <c r="C254" s="44" t="s">
        <v>74</v>
      </c>
      <c r="D254" s="44" t="s">
        <v>83</v>
      </c>
      <c r="E254" s="44" t="s">
        <v>92</v>
      </c>
      <c r="F254" s="44" t="s">
        <v>101</v>
      </c>
      <c r="G254" s="44" t="s">
        <v>110</v>
      </c>
      <c r="H254" s="44" t="s">
        <v>119</v>
      </c>
      <c r="I254" s="44" t="s">
        <v>128</v>
      </c>
      <c r="J254" s="44" t="s">
        <v>137</v>
      </c>
      <c r="K254" s="44" t="s">
        <v>146</v>
      </c>
      <c r="L254" s="44" t="s">
        <v>155</v>
      </c>
      <c r="M254" s="44" t="s">
        <v>163</v>
      </c>
      <c r="N254" s="44" t="s">
        <v>171</v>
      </c>
      <c r="O254" s="44" t="s">
        <v>179</v>
      </c>
      <c r="P254" s="44" t="s">
        <v>187</v>
      </c>
      <c r="Q254" s="44" t="s">
        <v>195</v>
      </c>
      <c r="R254" s="44" t="s">
        <v>203</v>
      </c>
      <c r="S254" s="44" t="s">
        <v>211</v>
      </c>
      <c r="T254" s="44" t="s">
        <v>219</v>
      </c>
      <c r="U254" s="44" t="s">
        <v>228</v>
      </c>
      <c r="V254" s="44" t="s">
        <v>236</v>
      </c>
      <c r="W254" s="44" t="s">
        <v>244</v>
      </c>
      <c r="X254" s="44" t="s">
        <v>252</v>
      </c>
      <c r="Y254" s="44" t="s">
        <v>260</v>
      </c>
      <c r="Z254" s="44" t="s">
        <v>268</v>
      </c>
      <c r="AA254" s="44" t="s">
        <v>276</v>
      </c>
      <c r="AB254" s="44" t="s">
        <v>284</v>
      </c>
      <c r="AC254" s="44" t="s">
        <v>293</v>
      </c>
      <c r="AD254" s="44" t="s">
        <v>301</v>
      </c>
      <c r="AE254" s="44" t="s">
        <v>309</v>
      </c>
      <c r="AF254" s="44" t="s">
        <v>317</v>
      </c>
      <c r="AG254" s="44" t="s">
        <v>325</v>
      </c>
    </row>
    <row r="255" customFormat="false" ht="15" hidden="false" customHeight="true" outlineLevel="0" collapsed="false">
      <c r="A255" s="53" t="s">
        <v>19845</v>
      </c>
      <c r="B255" s="46" t="s">
        <v>19859</v>
      </c>
      <c r="C255" s="55" t="n">
        <f aca="false">SUMIFS(데이터_성질별수입!$G$3:$G$627,데이터_성질별수입!$E$3:$E$627,$B255,데이터_성질별수입!$A$3:$A$627,"2024.01")</f>
        <v>8746306</v>
      </c>
      <c r="D255" s="55" t="n">
        <f aca="false">SUMIFS(데이터_성질별수입!$G$3:$G$627,데이터_성질별수입!$E$3:$E$627,$B255,데이터_성질별수입!$A$3:$A$627,"2024.02")</f>
        <v>7298230</v>
      </c>
      <c r="E255" s="55" t="n">
        <f aca="false">SUMIFS(데이터_성질별수입!$G$3:$G$627,데이터_성질별수입!$E$3:$E$627,$B255,데이터_성질별수입!$A$3:$A$627,"2024.03")</f>
        <v>8439273</v>
      </c>
      <c r="F255" s="55" t="n">
        <f aca="false">SUMIFS(데이터_성질별수입!$G$3:$G$627,데이터_성질별수입!$E$3:$E$627,$B255,데이터_성질별수입!$A$3:$A$627,"2024.04")</f>
        <v>9347061</v>
      </c>
      <c r="G255" s="55" t="n">
        <f aca="false">SUMIFS(데이터_성질별수입!$G$3:$G$627,데이터_성질별수입!$E$3:$E$627,$B255,데이터_성질별수입!$A$3:$A$627,"2024.05")</f>
        <v>8648107</v>
      </c>
      <c r="H255" s="55" t="n">
        <f aca="false">SUMIFS(데이터_성질별수입!$G$3:$G$627,데이터_성질별수입!$E$3:$E$627,$B255,데이터_성질별수입!$A$3:$A$627,"2024.06")</f>
        <v>7885031</v>
      </c>
      <c r="I255" s="55" t="n">
        <f aca="false">SUMIFS(데이터_성질별수입!$G$3:$G$627,데이터_성질별수입!$E$3:$E$627,$B255,데이터_성질별수입!$A$3:$A$627,"2024.07")</f>
        <v>8866181</v>
      </c>
      <c r="J255" s="55" t="n">
        <f aca="false">SUMIFS(데이터_성질별수입!$G$3:$G$627,데이터_성질별수입!$E$3:$E$627,$B255,데이터_성질별수입!$A$3:$A$627,"2024.08")</f>
        <v>8620712</v>
      </c>
      <c r="K255" s="55" t="n">
        <f aca="false">SUMIFS(데이터_성질별수입!$G$3:$G$627,데이터_성질별수입!$E$3:$E$627,$B255,데이터_성질별수입!$A$3:$A$627,"2024.09")</f>
        <v>8247497</v>
      </c>
      <c r="L255" s="55" t="n">
        <f aca="false">SUMIFS(데이터_성질별수입!$G$3:$G$627,데이터_성질별수입!$E$3:$E$627,$B255,데이터_성질별수입!$A$3:$A$627,"2024.10")</f>
        <v>9250533</v>
      </c>
      <c r="M255" s="55" t="n">
        <f aca="false">SUMIFS(데이터_성질별수입!$G$3:$G$627,데이터_성질별수입!$E$3:$E$627,$B255,데이터_성질별수입!$A$3:$A$627,"2024.11")</f>
        <v>7824985</v>
      </c>
      <c r="N255" s="55" t="n">
        <f aca="false">SUMIFS(데이터_성질별수입!$G$3:$G$627,데이터_성질별수입!$E$3:$E$627,$B255,데이터_성질별수입!$A$3:$A$627,"2024.12")</f>
        <v>8244538</v>
      </c>
      <c r="O255" s="55" t="n">
        <f aca="false">SUMIFS(데이터_성질별수입!$G$3:$G$627,데이터_성질별수입!$E$3:$E$627,$B255,데이터_성질별수입!$A$3:$A$627,"2025.01")</f>
        <v>7849288</v>
      </c>
      <c r="P255" s="55" t="n">
        <f aca="false">SUMIFS(데이터_성질별수입!$G$3:$G$627,데이터_성질별수입!$E$3:$E$627,$B255,데이터_성질별수입!$A$3:$A$627,"2025.02")</f>
        <v>8154330</v>
      </c>
      <c r="Q255" s="55" t="n">
        <f aca="false">SUMIFS(데이터_성질별수입!$G$3:$G$627,데이터_성질별수입!$E$3:$E$627,$B255,데이터_성질별수입!$A$3:$A$627,"2025.03")</f>
        <v>9042514</v>
      </c>
      <c r="R255" s="55" t="n">
        <f aca="false">SUMIFS(데이터_성질별수입!$G$3:$G$627,데이터_성질별수입!$E$3:$E$627,$B255,데이터_성질별수입!$A$3:$A$627,"2025.04")</f>
        <v>9152082</v>
      </c>
      <c r="S255" s="55" t="n">
        <f aca="false">SUMIFS(데이터_성질별수입!$G$3:$G$627,데이터_성질별수입!$E$3:$E$627,$B255,데이터_성질별수입!$A$3:$A$627,"2025.05")</f>
        <v>8683826</v>
      </c>
      <c r="T255" s="55" t="n">
        <f aca="false">SUMIFS(데이터_성질별수입!$G$3:$G$627,데이터_성질별수입!$E$3:$E$627,$B255,데이터_성질별수입!$A$3:$A$627,"2025.06")</f>
        <v>8488832</v>
      </c>
      <c r="U255" s="55" t="n">
        <f aca="false">SUMIFS(데이터_성질별수입!$G$3:$G$627,데이터_성질별수입!$E$3:$E$627,$B255,데이터_성질별수입!$A$3:$A$627,"2025.07")</f>
        <v>9240972</v>
      </c>
      <c r="V255" s="55" t="n">
        <f aca="false">SUMIFS(데이터_성질별수입!$G$3:$G$627,데이터_성질별수입!$E$3:$E$627,$B255,데이터_성질별수입!$A$3:$A$627,"2025.08")</f>
        <v>8738428</v>
      </c>
      <c r="W255" s="55" t="n">
        <f aca="false">SUMIFS(데이터_성질별수입!$G$3:$G$627,데이터_성질별수입!$E$3:$E$627,$B255,데이터_성질별수입!$A$3:$A$627,"2025.09")</f>
        <v>10080962</v>
      </c>
      <c r="X255" s="55" t="n">
        <f aca="false">SUMIFS(데이터_성질별수입!$G$3:$G$627,데이터_성질별수입!$E$3:$E$627,$B255,데이터_성질별수입!$A$3:$A$627,"2025.10")</f>
        <v>10179995</v>
      </c>
      <c r="Y255" s="55" t="n">
        <f aca="false">SUMIFS(데이터_성질별수입!$G$3:$G$627,데이터_성질별수입!$E$3:$E$627,$B255,데이터_성질별수입!$A$3:$A$627,"2025.11")</f>
        <v>9381754</v>
      </c>
      <c r="Z255" s="55" t="n">
        <f aca="false">SUMIFS(데이터_성질별수입!$G$3:$G$627,데이터_성질별수입!$E$3:$E$627,$B255,데이터_성질별수입!$A$3:$A$627,"2025.12")</f>
        <v>9720377</v>
      </c>
      <c r="AA255" s="55" t="n">
        <f aca="false">SUMIFS(데이터_성질별수입!$G$3:$G$627,데이터_성질별수입!$E$3:$E$627,$B255,데이터_성질별수입!$A$3:$A$627,"2026.01")</f>
        <v>10025439</v>
      </c>
      <c r="AB255" s="55" t="n">
        <f aca="false">SUMIFS(데이터_성질별수입!$G$3:$G$627,데이터_성질별수입!$E$3:$E$627,$B255,데이터_성질별수입!$A$3:$A$627,"2026.02")</f>
        <v>9273669</v>
      </c>
      <c r="AC255" s="55" t="n">
        <f aca="false">SUMIFS(데이터_성질별수입!$G$3:$G$627,데이터_성질별수입!$E$3:$E$627,$B255,데이터_성질별수입!$A$3:$A$627,"2026.03")</f>
        <v>9243250</v>
      </c>
      <c r="AD255" s="55" t="n">
        <f aca="false">SUMIFS(데이터_성질별수입!$G$3:$G$627,데이터_성질별수입!$E$3:$E$627,$B255,데이터_성질별수입!$A$3:$A$627,"2026.04")</f>
        <v>9616391</v>
      </c>
      <c r="AE255" s="55" t="n">
        <f aca="false">SUMIFS(데이터_성질별수입!$G$3:$G$627,데이터_성질별수입!$E$3:$E$627,$B255,데이터_성질별수입!$A$3:$A$627,"2026.05")</f>
        <v>8836336</v>
      </c>
      <c r="AF255" s="55" t="n">
        <f aca="false">SUMIFS(데이터_성질별수입!$G$3:$G$627,데이터_성질별수입!$E$3:$E$627,$B255,데이터_성질별수입!$A$3:$A$627,"2026.06")</f>
        <v>9874771</v>
      </c>
      <c r="AG255" s="55" t="n">
        <f aca="false">SUMIFS(데이터_성질별수입!$G$3:$G$627,데이터_성질별수입!$E$3:$E$627,$B255,데이터_성질별수입!$A$3:$A$627,"2026.07")</f>
        <v>8959525</v>
      </c>
    </row>
    <row r="256" customFormat="false" ht="15" hidden="false" customHeight="true" outlineLevel="0" collapsed="false">
      <c r="A256" s="53" t="s">
        <v>19847</v>
      </c>
      <c r="B256" s="54" t="s">
        <v>16341</v>
      </c>
      <c r="C256" s="55" t="n">
        <f aca="false">SUMIFS(데이터_성질별수입!$G$3:$G$627,데이터_성질별수입!$E$3:$E$627,$B256,데이터_성질별수입!$A$3:$A$627,"2024.01")</f>
        <v>832333</v>
      </c>
      <c r="D256" s="55" t="n">
        <f aca="false">SUMIFS(데이터_성질별수입!$G$3:$G$627,데이터_성질별수입!$E$3:$E$627,$B256,데이터_성질별수입!$A$3:$A$627,"2024.02")</f>
        <v>682289</v>
      </c>
      <c r="E256" s="55" t="n">
        <f aca="false">SUMIFS(데이터_성질별수입!$G$3:$G$627,데이터_성질별수입!$E$3:$E$627,$B256,데이터_성질별수입!$A$3:$A$627,"2024.03")</f>
        <v>716422</v>
      </c>
      <c r="F256" s="55" t="n">
        <f aca="false">SUMIFS(데이터_성질별수입!$G$3:$G$627,데이터_성질별수입!$E$3:$E$627,$B256,데이터_성질별수입!$A$3:$A$627,"2024.04")</f>
        <v>777287</v>
      </c>
      <c r="G256" s="55" t="n">
        <f aca="false">SUMIFS(데이터_성질별수입!$G$3:$G$627,데이터_성질별수입!$E$3:$E$627,$B256,데이터_성질별수입!$A$3:$A$627,"2024.05")</f>
        <v>792732</v>
      </c>
      <c r="H256" s="55" t="n">
        <f aca="false">SUMIFS(데이터_성질별수입!$G$3:$G$627,데이터_성질별수입!$E$3:$E$627,$B256,데이터_성질별수입!$A$3:$A$627,"2024.06")</f>
        <v>684270</v>
      </c>
      <c r="I256" s="55" t="n">
        <f aca="false">SUMIFS(데이터_성질별수입!$G$3:$G$627,데이터_성질별수입!$E$3:$E$627,$B256,데이터_성질별수입!$A$3:$A$627,"2024.07")</f>
        <v>731796</v>
      </c>
      <c r="J256" s="55" t="n">
        <f aca="false">SUMIFS(데이터_성질별수입!$G$3:$G$627,데이터_성질별수입!$E$3:$E$627,$B256,데이터_성질별수입!$A$3:$A$627,"2024.08")</f>
        <v>689821</v>
      </c>
      <c r="K256" s="55" t="n">
        <f aca="false">SUMIFS(데이터_성질별수입!$G$3:$G$627,데이터_성질별수입!$E$3:$E$627,$B256,데이터_성질별수입!$A$3:$A$627,"2024.09")</f>
        <v>626853</v>
      </c>
      <c r="L256" s="55" t="n">
        <f aca="false">SUMIFS(데이터_성질별수입!$G$3:$G$627,데이터_성질별수입!$E$3:$E$627,$B256,데이터_성질별수입!$A$3:$A$627,"2024.10")</f>
        <v>774895</v>
      </c>
      <c r="M256" s="55" t="n">
        <f aca="false">SUMIFS(데이터_성질별수입!$G$3:$G$627,데이터_성질별수입!$E$3:$E$627,$B256,데이터_성질별수입!$A$3:$A$627,"2024.11")</f>
        <v>692969</v>
      </c>
      <c r="N256" s="55" t="n">
        <f aca="false">SUMIFS(데이터_성질별수입!$G$3:$G$627,데이터_성질별수입!$E$3:$E$627,$B256,데이터_성질별수입!$A$3:$A$627,"2024.12")</f>
        <v>663272</v>
      </c>
      <c r="O256" s="55" t="n">
        <f aca="false">SUMIFS(데이터_성질별수입!$G$3:$G$627,데이터_성질별수입!$E$3:$E$627,$B256,데이터_성질별수입!$A$3:$A$627,"2025.01")</f>
        <v>643319</v>
      </c>
      <c r="P256" s="55" t="n">
        <f aca="false">SUMIFS(데이터_성질별수입!$G$3:$G$627,데이터_성질별수입!$E$3:$E$627,$B256,데이터_성질별수입!$A$3:$A$627,"2025.02")</f>
        <v>701281</v>
      </c>
      <c r="Q256" s="55" t="n">
        <f aca="false">SUMIFS(데이터_성질별수입!$G$3:$G$627,데이터_성질별수입!$E$3:$E$627,$B256,데이터_성질별수입!$A$3:$A$627,"2025.03")</f>
        <v>592488</v>
      </c>
      <c r="R256" s="55" t="n">
        <f aca="false">SUMIFS(데이터_성질별수입!$G$3:$G$627,데이터_성질별수입!$E$3:$E$627,$B256,데이터_성질별수입!$A$3:$A$627,"2025.04")</f>
        <v>687616</v>
      </c>
      <c r="S256" s="55" t="n">
        <f aca="false">SUMIFS(데이터_성질별수입!$G$3:$G$627,데이터_성질별수입!$E$3:$E$627,$B256,데이터_성질별수입!$A$3:$A$627,"2025.05")</f>
        <v>663010</v>
      </c>
      <c r="T256" s="55" t="n">
        <f aca="false">SUMIFS(데이터_성질별수입!$G$3:$G$627,데이터_성질별수입!$E$3:$E$627,$B256,데이터_성질별수입!$A$3:$A$627,"2025.06")</f>
        <v>686135</v>
      </c>
      <c r="U256" s="55" t="n">
        <f aca="false">SUMIFS(데이터_성질별수입!$G$3:$G$627,데이터_성질별수입!$E$3:$E$627,$B256,데이터_성질별수입!$A$3:$A$627,"2025.07")</f>
        <v>619623</v>
      </c>
      <c r="V256" s="55" t="n">
        <f aca="false">SUMIFS(데이터_성질별수입!$G$3:$G$627,데이터_성질별수입!$E$3:$E$627,$B256,데이터_성질별수입!$A$3:$A$627,"2025.08")</f>
        <v>620231</v>
      </c>
      <c r="W256" s="55" t="n">
        <f aca="false">SUMIFS(데이터_성질별수입!$G$3:$G$627,데이터_성질별수입!$E$3:$E$627,$B256,데이터_성질별수입!$A$3:$A$627,"2025.09")</f>
        <v>679874</v>
      </c>
      <c r="X256" s="55" t="n">
        <f aca="false">SUMIFS(데이터_성질별수입!$G$3:$G$627,데이터_성질별수입!$E$3:$E$627,$B256,데이터_성질별수입!$A$3:$A$627,"2025.10")</f>
        <v>649392</v>
      </c>
      <c r="Y256" s="55" t="n">
        <f aca="false">SUMIFS(데이터_성질별수입!$G$3:$G$627,데이터_성질별수입!$E$3:$E$627,$B256,데이터_성질별수입!$A$3:$A$627,"2025.11")</f>
        <v>614851</v>
      </c>
      <c r="Z256" s="55" t="n">
        <f aca="false">SUMIFS(데이터_성질별수입!$G$3:$G$627,데이터_성질별수입!$E$3:$E$627,$B256,데이터_성질별수입!$A$3:$A$627,"2025.12")</f>
        <v>724958</v>
      </c>
      <c r="AA256" s="55" t="n">
        <f aca="false">SUMIFS(데이터_성질별수입!$G$3:$G$627,데이터_성질별수입!$E$3:$E$627,$B256,데이터_성질별수입!$A$3:$A$627,"2026.01")</f>
        <v>666519</v>
      </c>
      <c r="AB256" s="55" t="n">
        <f aca="false">SUMIFS(데이터_성질별수입!$G$3:$G$627,데이터_성질별수입!$E$3:$E$627,$B256,데이터_성질별수입!$A$3:$A$627,"2026.02")</f>
        <v>606179</v>
      </c>
      <c r="AC256" s="55" t="n">
        <f aca="false">SUMIFS(데이터_성질별수입!$G$3:$G$627,데이터_성질별수입!$E$3:$E$627,$B256,데이터_성질별수입!$A$3:$A$627,"2026.03")</f>
        <v>671019</v>
      </c>
      <c r="AD256" s="55" t="n">
        <f aca="false">SUMIFS(데이터_성질별수입!$G$3:$G$627,데이터_성질별수입!$E$3:$E$627,$B256,데이터_성질별수입!$A$3:$A$627,"2026.04")</f>
        <v>718989</v>
      </c>
      <c r="AE256" s="55" t="n">
        <f aca="false">SUMIFS(데이터_성질별수입!$G$3:$G$627,데이터_성질별수입!$E$3:$E$627,$B256,데이터_성질별수입!$A$3:$A$627,"2026.05")</f>
        <v>628717</v>
      </c>
      <c r="AF256" s="55" t="n">
        <f aca="false">SUMIFS(데이터_성질별수입!$G$3:$G$627,데이터_성질별수입!$E$3:$E$627,$B256,데이터_성질별수입!$A$3:$A$627,"2026.06")</f>
        <v>659174</v>
      </c>
      <c r="AG256" s="55" t="n">
        <f aca="false">SUMIFS(데이터_성질별수입!$G$3:$G$627,데이터_성질별수입!$E$3:$E$627,$B256,데이터_성질별수입!$A$3:$A$627,"2026.07")</f>
        <v>761327</v>
      </c>
    </row>
    <row r="257" customFormat="false" ht="15" hidden="false" customHeight="true" outlineLevel="0" collapsed="false">
      <c r="A257" s="53" t="s">
        <v>19849</v>
      </c>
      <c r="B257" s="54" t="s">
        <v>16344</v>
      </c>
      <c r="C257" s="55" t="n">
        <f aca="false">SUMIFS(데이터_성질별수입!$G$3:$G$627,데이터_성질별수입!$E$3:$E$627,$B257,데이터_성질별수입!$A$3:$A$627,"2024.01")</f>
        <v>2556100</v>
      </c>
      <c r="D257" s="55" t="n">
        <f aca="false">SUMIFS(데이터_성질별수입!$G$3:$G$627,데이터_성질별수입!$E$3:$E$627,$B257,데이터_성질별수입!$A$3:$A$627,"2024.02")</f>
        <v>1955487</v>
      </c>
      <c r="E257" s="55" t="n">
        <f aca="false">SUMIFS(데이터_성질별수입!$G$3:$G$627,데이터_성질별수입!$E$3:$E$627,$B257,데이터_성질별수입!$A$3:$A$627,"2024.03")</f>
        <v>2397087</v>
      </c>
      <c r="F257" s="55" t="n">
        <f aca="false">SUMIFS(데이터_성질별수입!$G$3:$G$627,데이터_성질별수입!$E$3:$E$627,$B257,데이터_성질별수입!$A$3:$A$627,"2024.04")</f>
        <v>2488386</v>
      </c>
      <c r="G257" s="55" t="n">
        <f aca="false">SUMIFS(데이터_성질별수입!$G$3:$G$627,데이터_성질별수입!$E$3:$E$627,$B257,데이터_성질별수입!$A$3:$A$627,"2024.05")</f>
        <v>2429083</v>
      </c>
      <c r="H257" s="55" t="n">
        <f aca="false">SUMIFS(데이터_성질별수입!$G$3:$G$627,데이터_성질별수입!$E$3:$E$627,$B257,데이터_성질별수입!$A$3:$A$627,"2024.06")</f>
        <v>2209788</v>
      </c>
      <c r="I257" s="55" t="n">
        <f aca="false">SUMIFS(데이터_성질별수입!$G$3:$G$627,데이터_성질별수입!$E$3:$E$627,$B257,데이터_성질별수입!$A$3:$A$627,"2024.07")</f>
        <v>2395173</v>
      </c>
      <c r="J257" s="55" t="n">
        <f aca="false">SUMIFS(데이터_성질별수입!$G$3:$G$627,데이터_성질별수입!$E$3:$E$627,$B257,데이터_성질별수입!$A$3:$A$627,"2024.08")</f>
        <v>2247806</v>
      </c>
      <c r="K257" s="55" t="n">
        <f aca="false">SUMIFS(데이터_성질별수입!$G$3:$G$627,데이터_성질별수입!$E$3:$E$627,$B257,데이터_성질별수입!$A$3:$A$627,"2024.09")</f>
        <v>2159811</v>
      </c>
      <c r="L257" s="55" t="n">
        <f aca="false">SUMIFS(데이터_성질별수입!$G$3:$G$627,데이터_성질별수입!$E$3:$E$627,$B257,데이터_성질별수입!$A$3:$A$627,"2024.10")</f>
        <v>2491762</v>
      </c>
      <c r="M257" s="55" t="n">
        <f aca="false">SUMIFS(데이터_성질별수입!$G$3:$G$627,데이터_성질별수입!$E$3:$E$627,$B257,데이터_성질별수입!$A$3:$A$627,"2024.11")</f>
        <v>2173200</v>
      </c>
      <c r="N257" s="55" t="n">
        <f aca="false">SUMIFS(데이터_성질별수입!$G$3:$G$627,데이터_성질별수입!$E$3:$E$627,$B257,데이터_성질별수입!$A$3:$A$627,"2024.12")</f>
        <v>2226458</v>
      </c>
      <c r="O257" s="55" t="n">
        <f aca="false">SUMIFS(데이터_성질별수입!$G$3:$G$627,데이터_성질별수입!$E$3:$E$627,$B257,데이터_성질별수입!$A$3:$A$627,"2025.01")</f>
        <v>2372620</v>
      </c>
      <c r="P257" s="55" t="n">
        <f aca="false">SUMIFS(데이터_성질별수입!$G$3:$G$627,데이터_성질별수입!$E$3:$E$627,$B257,데이터_성질별수입!$A$3:$A$627,"2025.02")</f>
        <v>2265269</v>
      </c>
      <c r="Q257" s="55" t="n">
        <f aca="false">SUMIFS(데이터_성질별수입!$G$3:$G$627,데이터_성질별수입!$E$3:$E$627,$B257,데이터_성질별수입!$A$3:$A$627,"2025.03")</f>
        <v>2446236</v>
      </c>
      <c r="R257" s="55" t="n">
        <f aca="false">SUMIFS(데이터_성질별수입!$G$3:$G$627,데이터_성질별수입!$E$3:$E$627,$B257,데이터_성질별수입!$A$3:$A$627,"2025.04")</f>
        <v>2583255</v>
      </c>
      <c r="S257" s="55" t="n">
        <f aca="false">SUMIFS(데이터_성질별수입!$G$3:$G$627,데이터_성질별수입!$E$3:$E$627,$B257,데이터_성질별수입!$A$3:$A$627,"2025.05")</f>
        <v>2481612</v>
      </c>
      <c r="T257" s="55" t="n">
        <f aca="false">SUMIFS(데이터_성질별수입!$G$3:$G$627,데이터_성질별수입!$E$3:$E$627,$B257,데이터_성질별수입!$A$3:$A$627,"2025.06")</f>
        <v>2449845</v>
      </c>
      <c r="U257" s="55" t="n">
        <f aca="false">SUMIFS(데이터_성질별수입!$G$3:$G$627,데이터_성질별수입!$E$3:$E$627,$B257,데이터_성질별수입!$A$3:$A$627,"2025.07")</f>
        <v>2600087</v>
      </c>
      <c r="V257" s="55" t="n">
        <f aca="false">SUMIFS(데이터_성질별수입!$G$3:$G$627,데이터_성질별수입!$E$3:$E$627,$B257,데이터_성질별수입!$A$3:$A$627,"2025.08")</f>
        <v>2363958</v>
      </c>
      <c r="W257" s="55" t="n">
        <f aca="false">SUMIFS(데이터_성질별수입!$G$3:$G$627,데이터_성질별수입!$E$3:$E$627,$B257,데이터_성질별수입!$A$3:$A$627,"2025.09")</f>
        <v>2621488</v>
      </c>
      <c r="X257" s="55" t="n">
        <f aca="false">SUMIFS(데이터_성질별수입!$G$3:$G$627,데이터_성질별수입!$E$3:$E$627,$B257,데이터_성질별수입!$A$3:$A$627,"2025.10")</f>
        <v>2221998</v>
      </c>
      <c r="Y257" s="55" t="n">
        <f aca="false">SUMIFS(데이터_성질별수입!$G$3:$G$627,데이터_성질별수입!$E$3:$E$627,$B257,데이터_성질별수입!$A$3:$A$627,"2025.11")</f>
        <v>2206759</v>
      </c>
      <c r="Z257" s="55" t="n">
        <f aca="false">SUMIFS(데이터_성질별수입!$G$3:$G$627,데이터_성질별수입!$E$3:$E$627,$B257,데이터_성질별수입!$A$3:$A$627,"2025.12")</f>
        <v>2479785</v>
      </c>
      <c r="AA257" s="55" t="n">
        <f aca="false">SUMIFS(데이터_성질별수입!$G$3:$G$627,데이터_성질별수입!$E$3:$E$627,$B257,데이터_성질별수입!$A$3:$A$627,"2026.01")</f>
        <v>2960981</v>
      </c>
      <c r="AB257" s="55" t="n">
        <f aca="false">SUMIFS(데이터_성질별수입!$G$3:$G$627,데이터_성질별수입!$E$3:$E$627,$B257,데이터_성질별수입!$A$3:$A$627,"2026.02")</f>
        <v>2184307</v>
      </c>
      <c r="AC257" s="55" t="n">
        <f aca="false">SUMIFS(데이터_성질별수입!$G$3:$G$627,데이터_성질별수입!$E$3:$E$627,$B257,데이터_성질별수입!$A$3:$A$627,"2026.03")</f>
        <v>2696633</v>
      </c>
      <c r="AD257" s="55" t="n">
        <f aca="false">SUMIFS(데이터_성질별수입!$G$3:$G$627,데이터_성질별수입!$E$3:$E$627,$B257,데이터_성질별수입!$A$3:$A$627,"2026.04")</f>
        <v>2615745</v>
      </c>
      <c r="AE257" s="55" t="n">
        <f aca="false">SUMIFS(데이터_성질별수입!$G$3:$G$627,데이터_성질별수입!$E$3:$E$627,$B257,데이터_성질별수입!$A$3:$A$627,"2026.05")</f>
        <v>2385630</v>
      </c>
      <c r="AF257" s="55" t="n">
        <f aca="false">SUMIFS(데이터_성질별수입!$G$3:$G$627,데이터_성질별수입!$E$3:$E$627,$B257,데이터_성질별수입!$A$3:$A$627,"2026.06")</f>
        <v>2527323</v>
      </c>
      <c r="AG257" s="55" t="n">
        <f aca="false">SUMIFS(데이터_성질별수입!$G$3:$G$627,데이터_성질별수입!$E$3:$E$627,$B257,데이터_성질별수입!$A$3:$A$627,"2026.07")</f>
        <v>2487369</v>
      </c>
    </row>
    <row r="258" customFormat="false" ht="15" hidden="false" customHeight="true" outlineLevel="0" collapsed="false">
      <c r="A258" s="53" t="s">
        <v>19851</v>
      </c>
      <c r="B258" s="54" t="s">
        <v>16347</v>
      </c>
      <c r="C258" s="55" t="n">
        <f aca="false">SUMIFS(데이터_성질별수입!$G$3:$G$627,데이터_성질별수입!$E$3:$E$627,$B258,데이터_성질별수입!$A$3:$A$627,"2024.01")</f>
        <v>3142554</v>
      </c>
      <c r="D258" s="55" t="n">
        <f aca="false">SUMIFS(데이터_성질별수입!$G$3:$G$627,데이터_성질별수입!$E$3:$E$627,$B258,데이터_성질별수입!$A$3:$A$627,"2024.02")</f>
        <v>2855422</v>
      </c>
      <c r="E258" s="55" t="n">
        <f aca="false">SUMIFS(데이터_성질별수입!$G$3:$G$627,데이터_성질별수입!$E$3:$E$627,$B258,데이터_성질별수입!$A$3:$A$627,"2024.03")</f>
        <v>3282106</v>
      </c>
      <c r="F258" s="55" t="n">
        <f aca="false">SUMIFS(데이터_성질별수입!$G$3:$G$627,데이터_성질별수입!$E$3:$E$627,$B258,데이터_성질별수입!$A$3:$A$627,"2024.04")</f>
        <v>4024343</v>
      </c>
      <c r="G258" s="55" t="n">
        <f aca="false">SUMIFS(데이터_성질별수입!$G$3:$G$627,데이터_성질별수입!$E$3:$E$627,$B258,데이터_성질별수입!$A$3:$A$627,"2024.05")</f>
        <v>3631375</v>
      </c>
      <c r="H258" s="55" t="n">
        <f aca="false">SUMIFS(데이터_성질별수입!$G$3:$G$627,데이터_성질별수입!$E$3:$E$627,$B258,데이터_성질별수입!$A$3:$A$627,"2024.06")</f>
        <v>3245337</v>
      </c>
      <c r="I258" s="55" t="n">
        <f aca="false">SUMIFS(데이터_성질별수입!$G$3:$G$627,데이터_성질별수입!$E$3:$E$627,$B258,데이터_성질별수입!$A$3:$A$627,"2024.07")</f>
        <v>3647347</v>
      </c>
      <c r="J258" s="55" t="n">
        <f aca="false">SUMIFS(데이터_성질별수입!$G$3:$G$627,데이터_성질별수입!$E$3:$E$627,$B258,데이터_성질별수입!$A$3:$A$627,"2024.08")</f>
        <v>3416862</v>
      </c>
      <c r="K258" s="55" t="n">
        <f aca="false">SUMIFS(데이터_성질별수입!$G$3:$G$627,데이터_성질별수입!$E$3:$E$627,$B258,데이터_성질별수입!$A$3:$A$627,"2024.09")</f>
        <v>3082309</v>
      </c>
      <c r="L258" s="55" t="n">
        <f aca="false">SUMIFS(데이터_성질별수입!$G$3:$G$627,데이터_성질별수입!$E$3:$E$627,$B258,데이터_성질별수입!$A$3:$A$627,"2024.10")</f>
        <v>3606527</v>
      </c>
      <c r="M258" s="55" t="n">
        <f aca="false">SUMIFS(데이터_성질별수입!$G$3:$G$627,데이터_성질별수입!$E$3:$E$627,$B258,데이터_성질별수입!$A$3:$A$627,"2024.11")</f>
        <v>3100702</v>
      </c>
      <c r="N258" s="55" t="n">
        <f aca="false">SUMIFS(데이터_성질별수입!$G$3:$G$627,데이터_성질별수입!$E$3:$E$627,$B258,데이터_성질별수입!$A$3:$A$627,"2024.12")</f>
        <v>3342165</v>
      </c>
      <c r="O258" s="55" t="n">
        <f aca="false">SUMIFS(데이터_성질별수입!$G$3:$G$627,데이터_성질별수입!$E$3:$E$627,$B258,데이터_성질별수입!$A$3:$A$627,"2025.01")</f>
        <v>2849514</v>
      </c>
      <c r="P258" s="55" t="n">
        <f aca="false">SUMIFS(데이터_성질별수입!$G$3:$G$627,데이터_성질별수입!$E$3:$E$627,$B258,데이터_성질별수입!$A$3:$A$627,"2025.02")</f>
        <v>3376191</v>
      </c>
      <c r="Q258" s="55" t="n">
        <f aca="false">SUMIFS(데이터_성질별수입!$G$3:$G$627,데이터_성질별수입!$E$3:$E$627,$B258,데이터_성질별수입!$A$3:$A$627,"2025.03")</f>
        <v>3881049</v>
      </c>
      <c r="R258" s="55" t="n">
        <f aca="false">SUMIFS(데이터_성질별수입!$G$3:$G$627,데이터_성질별수입!$E$3:$E$627,$B258,데이터_성질별수입!$A$3:$A$627,"2025.04")</f>
        <v>3892083</v>
      </c>
      <c r="S258" s="55" t="n">
        <f aca="false">SUMIFS(데이터_성질별수입!$G$3:$G$627,데이터_성질별수입!$E$3:$E$627,$B258,데이터_성질별수입!$A$3:$A$627,"2025.05")</f>
        <v>3860979</v>
      </c>
      <c r="T258" s="55" t="n">
        <f aca="false">SUMIFS(데이터_성질별수입!$G$3:$G$627,데이터_성질별수입!$E$3:$E$627,$B258,데이터_성질별수입!$A$3:$A$627,"2025.06")</f>
        <v>3563716</v>
      </c>
      <c r="U258" s="55" t="n">
        <f aca="false">SUMIFS(데이터_성질별수입!$G$3:$G$627,데이터_성질별수입!$E$3:$E$627,$B258,데이터_성질별수입!$A$3:$A$627,"2025.07")</f>
        <v>3963751</v>
      </c>
      <c r="V258" s="55" t="n">
        <f aca="false">SUMIFS(데이터_성질별수입!$G$3:$G$627,데이터_성질별수입!$E$3:$E$627,$B258,데이터_성질별수입!$A$3:$A$627,"2025.08")</f>
        <v>3638708</v>
      </c>
      <c r="W258" s="55" t="n">
        <f aca="false">SUMIFS(데이터_성질별수입!$G$3:$G$627,데이터_성질별수입!$E$3:$E$627,$B258,데이터_성질별수입!$A$3:$A$627,"2025.09")</f>
        <v>4324412</v>
      </c>
      <c r="X258" s="55" t="n">
        <f aca="false">SUMIFS(데이터_성질별수입!$G$3:$G$627,데이터_성질별수입!$E$3:$E$627,$B258,데이터_성질별수입!$A$3:$A$627,"2025.10")</f>
        <v>5184001</v>
      </c>
      <c r="Y258" s="55" t="n">
        <f aca="false">SUMIFS(데이터_성질별수입!$G$3:$G$627,데이터_성질별수입!$E$3:$E$627,$B258,데이터_성질별수입!$A$3:$A$627,"2025.11")</f>
        <v>4708086</v>
      </c>
      <c r="Z258" s="55" t="n">
        <f aca="false">SUMIFS(데이터_성질별수입!$G$3:$G$627,데이터_성질별수입!$E$3:$E$627,$B258,데이터_성질별수입!$A$3:$A$627,"2025.12")</f>
        <v>4373815</v>
      </c>
      <c r="AA258" s="55" t="n">
        <f aca="false">SUMIFS(데이터_성질별수입!$G$3:$G$627,데이터_성질별수입!$E$3:$E$627,$B258,데이터_성질별수입!$A$3:$A$627,"2026.01")</f>
        <v>4347447</v>
      </c>
      <c r="AB258" s="55" t="n">
        <f aca="false">SUMIFS(데이터_성질별수입!$G$3:$G$627,데이터_성질별수입!$E$3:$E$627,$B258,데이터_성질별수입!$A$3:$A$627,"2026.02")</f>
        <v>4571702</v>
      </c>
      <c r="AC258" s="55" t="n">
        <f aca="false">SUMIFS(데이터_성질별수입!$G$3:$G$627,데이터_성질별수입!$E$3:$E$627,$B258,데이터_성질별수입!$A$3:$A$627,"2026.03")</f>
        <v>3858739</v>
      </c>
      <c r="AD258" s="55" t="n">
        <f aca="false">SUMIFS(데이터_성질별수입!$G$3:$G$627,데이터_성질별수입!$E$3:$E$627,$B258,데이터_성질별수입!$A$3:$A$627,"2026.04")</f>
        <v>4190378</v>
      </c>
      <c r="AE258" s="55" t="n">
        <f aca="false">SUMIFS(데이터_성질별수입!$G$3:$G$627,데이터_성질별수입!$E$3:$E$627,$B258,데이터_성질별수입!$A$3:$A$627,"2026.05")</f>
        <v>4027523</v>
      </c>
      <c r="AF258" s="55" t="n">
        <f aca="false">SUMIFS(데이터_성질별수입!$G$3:$G$627,데이터_성질별수입!$E$3:$E$627,$B258,데이터_성질별수입!$A$3:$A$627,"2026.06")</f>
        <v>4670794</v>
      </c>
      <c r="AG258" s="55" t="n">
        <f aca="false">SUMIFS(데이터_성질별수입!$G$3:$G$627,데이터_성질별수입!$E$3:$E$627,$B258,데이터_성질별수입!$A$3:$A$627,"2026.07")</f>
        <v>3703259</v>
      </c>
    </row>
    <row r="259" customFormat="false" ht="15" hidden="false" customHeight="true" outlineLevel="0" collapsed="false">
      <c r="A259" s="53" t="s">
        <v>19852</v>
      </c>
      <c r="B259" s="54" t="s">
        <v>16350</v>
      </c>
      <c r="C259" s="55" t="n">
        <f aca="false">SUMIFS(데이터_성질별수입!$G$3:$G$627,데이터_성질별수입!$E$3:$E$627,$B259,데이터_성질별수입!$A$3:$A$627,"2024.01")</f>
        <v>2215318</v>
      </c>
      <c r="D259" s="55" t="n">
        <f aca="false">SUMIFS(데이터_성질별수입!$G$3:$G$627,데이터_성질별수입!$E$3:$E$627,$B259,데이터_성질별수입!$A$3:$A$627,"2024.02")</f>
        <v>1805032</v>
      </c>
      <c r="E259" s="55" t="n">
        <f aca="false">SUMIFS(데이터_성질별수입!$G$3:$G$627,데이터_성질별수입!$E$3:$E$627,$B259,데이터_성질별수입!$A$3:$A$627,"2024.03")</f>
        <v>2043657</v>
      </c>
      <c r="F259" s="55" t="n">
        <f aca="false">SUMIFS(데이터_성질별수입!$G$3:$G$627,데이터_성질별수입!$E$3:$E$627,$B259,데이터_성질별수입!$A$3:$A$627,"2024.04")</f>
        <v>2057045</v>
      </c>
      <c r="G259" s="55" t="n">
        <f aca="false">SUMIFS(데이터_성질별수입!$G$3:$G$627,데이터_성질별수입!$E$3:$E$627,$B259,데이터_성질별수입!$A$3:$A$627,"2024.05")</f>
        <v>1794917</v>
      </c>
      <c r="H259" s="55" t="n">
        <f aca="false">SUMIFS(데이터_성질별수입!$G$3:$G$627,데이터_성질별수입!$E$3:$E$627,$B259,데이터_성질별수입!$A$3:$A$627,"2024.06")</f>
        <v>1745636</v>
      </c>
      <c r="I259" s="55" t="n">
        <f aca="false">SUMIFS(데이터_성질별수입!$G$3:$G$627,데이터_성질별수입!$E$3:$E$627,$B259,데이터_성질별수입!$A$3:$A$627,"2024.07")</f>
        <v>2091865</v>
      </c>
      <c r="J259" s="55" t="n">
        <f aca="false">SUMIFS(데이터_성질별수입!$G$3:$G$627,데이터_성질별수입!$E$3:$E$627,$B259,데이터_성질별수입!$A$3:$A$627,"2024.08")</f>
        <v>2266224</v>
      </c>
      <c r="K259" s="55" t="n">
        <f aca="false">SUMIFS(데이터_성질별수입!$G$3:$G$627,데이터_성질별수입!$E$3:$E$627,$B259,데이터_성질별수입!$A$3:$A$627,"2024.09")</f>
        <v>2378524</v>
      </c>
      <c r="L259" s="55" t="n">
        <f aca="false">SUMIFS(데이터_성질별수입!$G$3:$G$627,데이터_성질별수입!$E$3:$E$627,$B259,데이터_성질별수입!$A$3:$A$627,"2024.10")</f>
        <v>2377349</v>
      </c>
      <c r="M259" s="55" t="n">
        <f aca="false">SUMIFS(데이터_성질별수입!$G$3:$G$627,데이터_성질별수입!$E$3:$E$627,$B259,데이터_성질별수입!$A$3:$A$627,"2024.11")</f>
        <v>1858113</v>
      </c>
      <c r="N259" s="55" t="n">
        <f aca="false">SUMIFS(데이터_성질별수입!$G$3:$G$627,데이터_성질별수입!$E$3:$E$627,$B259,데이터_성질별수입!$A$3:$A$627,"2024.12")</f>
        <v>2012643</v>
      </c>
      <c r="O259" s="55" t="n">
        <f aca="false">SUMIFS(데이터_성질별수입!$G$3:$G$627,데이터_성질별수입!$E$3:$E$627,$B259,데이터_성질별수입!$A$3:$A$627,"2025.01")</f>
        <v>1983835</v>
      </c>
      <c r="P259" s="55" t="n">
        <f aca="false">SUMIFS(데이터_성질별수입!$G$3:$G$627,데이터_성질별수입!$E$3:$E$627,$B259,데이터_성질별수입!$A$3:$A$627,"2025.02")</f>
        <v>1811590</v>
      </c>
      <c r="Q259" s="55" t="n">
        <f aca="false">SUMIFS(데이터_성질별수입!$G$3:$G$627,데이터_성질별수입!$E$3:$E$627,$B259,데이터_성질별수입!$A$3:$A$627,"2025.03")</f>
        <v>2122740</v>
      </c>
      <c r="R259" s="55" t="n">
        <f aca="false">SUMIFS(데이터_성질별수입!$G$3:$G$627,데이터_성질별수입!$E$3:$E$627,$B259,데이터_성질별수입!$A$3:$A$627,"2025.04")</f>
        <v>1989128</v>
      </c>
      <c r="S259" s="55" t="n">
        <f aca="false">SUMIFS(데이터_성질별수입!$G$3:$G$627,데이터_성질별수입!$E$3:$E$627,$B259,데이터_성질별수입!$A$3:$A$627,"2025.05")</f>
        <v>1678225</v>
      </c>
      <c r="T259" s="55" t="n">
        <f aca="false">SUMIFS(데이터_성질별수입!$G$3:$G$627,데이터_성질별수입!$E$3:$E$627,$B259,데이터_성질별수입!$A$3:$A$627,"2025.06")</f>
        <v>1789136</v>
      </c>
      <c r="U259" s="55" t="n">
        <f aca="false">SUMIFS(데이터_성질별수입!$G$3:$G$627,데이터_성질별수입!$E$3:$E$627,$B259,데이터_성질별수입!$A$3:$A$627,"2025.07")</f>
        <v>2057511</v>
      </c>
      <c r="V259" s="55" t="n">
        <f aca="false">SUMIFS(데이터_성질별수입!$G$3:$G$627,데이터_성질별수입!$E$3:$E$627,$B259,데이터_성질별수입!$A$3:$A$627,"2025.08")</f>
        <v>2115532</v>
      </c>
      <c r="W259" s="55" t="n">
        <f aca="false">SUMIFS(데이터_성질별수입!$G$3:$G$627,데이터_성질별수입!$E$3:$E$627,$B259,데이터_성질별수입!$A$3:$A$627,"2025.09")</f>
        <v>2455188</v>
      </c>
      <c r="X259" s="55" t="n">
        <f aca="false">SUMIFS(데이터_성질별수입!$G$3:$G$627,데이터_성질별수입!$E$3:$E$627,$B259,데이터_성질별수입!$A$3:$A$627,"2025.10")</f>
        <v>2124603</v>
      </c>
      <c r="Y259" s="55" t="n">
        <f aca="false">SUMIFS(데이터_성질별수입!$G$3:$G$627,데이터_성질별수입!$E$3:$E$627,$B259,데이터_성질별수입!$A$3:$A$627,"2025.11")</f>
        <v>1852059</v>
      </c>
      <c r="Z259" s="55" t="n">
        <f aca="false">SUMIFS(데이터_성질별수입!$G$3:$G$627,데이터_성질별수입!$E$3:$E$627,$B259,데이터_성질별수입!$A$3:$A$627,"2025.12")</f>
        <v>2141819</v>
      </c>
      <c r="AA259" s="55" t="n">
        <f aca="false">SUMIFS(데이터_성질별수입!$G$3:$G$627,데이터_성질별수입!$E$3:$E$627,$B259,데이터_성질별수입!$A$3:$A$627,"2026.01")</f>
        <v>2050491</v>
      </c>
      <c r="AB259" s="55" t="n">
        <f aca="false">SUMIFS(데이터_성질별수입!$G$3:$G$627,데이터_성질별수입!$E$3:$E$627,$B259,데이터_성질별수입!$A$3:$A$627,"2026.02")</f>
        <v>1911482</v>
      </c>
      <c r="AC259" s="55" t="n">
        <f aca="false">SUMIFS(데이터_성질별수입!$G$3:$G$627,데이터_성질별수입!$E$3:$E$627,$B259,데이터_성질별수입!$A$3:$A$627,"2026.03")</f>
        <v>2016859</v>
      </c>
      <c r="AD259" s="55" t="n">
        <f aca="false">SUMIFS(데이터_성질별수입!$G$3:$G$627,데이터_성질별수입!$E$3:$E$627,$B259,데이터_성질별수입!$A$3:$A$627,"2026.04")</f>
        <v>2091279</v>
      </c>
      <c r="AE259" s="55" t="n">
        <f aca="false">SUMIFS(데이터_성질별수입!$G$3:$G$627,데이터_성질별수입!$E$3:$E$627,$B259,데이터_성질별수입!$A$3:$A$627,"2026.05")</f>
        <v>1794465</v>
      </c>
      <c r="AF259" s="55" t="n">
        <f aca="false">SUMIFS(데이터_성질별수입!$G$3:$G$627,데이터_성질별수입!$E$3:$E$627,$B259,데이터_성질별수입!$A$3:$A$627,"2026.06")</f>
        <v>2017479</v>
      </c>
      <c r="AG259" s="55" t="n">
        <f aca="false">SUMIFS(데이터_성질별수입!$G$3:$G$627,데이터_성질별수입!$E$3:$E$627,$B259,데이터_성질별수입!$A$3:$A$627,"2026.07")</f>
        <v>2007570</v>
      </c>
    </row>
    <row r="260" customFormat="false" ht="15" hidden="false" customHeight="true" outlineLevel="0" collapsed="false">
      <c r="A260" s="53" t="s">
        <v>19853</v>
      </c>
      <c r="B260" s="54" t="s">
        <v>16353</v>
      </c>
      <c r="C260" s="55" t="n">
        <f aca="false">SUMIFS(데이터_성질별수입!$G$3:$G$627,데이터_성질별수입!$E$3:$E$627,$B260,데이터_성질별수입!$A$3:$A$627,"2024.01")</f>
        <v>0</v>
      </c>
      <c r="D260" s="55" t="n">
        <f aca="false">SUMIFS(데이터_성질별수입!$G$3:$G$627,데이터_성질별수입!$E$3:$E$627,$B260,데이터_성질별수입!$A$3:$A$627,"2024.02")</f>
        <v>0</v>
      </c>
      <c r="E260" s="55" t="n">
        <f aca="false">SUMIFS(데이터_성질별수입!$G$3:$G$627,데이터_성질별수입!$E$3:$E$627,$B260,데이터_성질별수입!$A$3:$A$627,"2024.03")</f>
        <v>0</v>
      </c>
      <c r="F260" s="55" t="n">
        <f aca="false">SUMIFS(데이터_성질별수입!$G$3:$G$627,데이터_성질별수입!$E$3:$E$627,$B260,데이터_성질별수입!$A$3:$A$627,"2024.04")</f>
        <v>0</v>
      </c>
      <c r="G260" s="55" t="n">
        <f aca="false">SUMIFS(데이터_성질별수입!$G$3:$G$627,데이터_성질별수입!$E$3:$E$627,$B260,데이터_성질별수입!$A$3:$A$627,"2024.05")</f>
        <v>0</v>
      </c>
      <c r="H260" s="55" t="n">
        <f aca="false">SUMIFS(데이터_성질별수입!$G$3:$G$627,데이터_성질별수입!$E$3:$E$627,$B260,데이터_성질별수입!$A$3:$A$627,"2024.06")</f>
        <v>0</v>
      </c>
      <c r="I260" s="55" t="n">
        <f aca="false">SUMIFS(데이터_성질별수입!$G$3:$G$627,데이터_성질별수입!$E$3:$E$627,$B260,데이터_성질별수입!$A$3:$A$627,"2024.07")</f>
        <v>0</v>
      </c>
      <c r="J260" s="55" t="n">
        <f aca="false">SUMIFS(데이터_성질별수입!$G$3:$G$627,데이터_성질별수입!$E$3:$E$627,$B260,데이터_성질별수입!$A$3:$A$627,"2024.08")</f>
        <v>0</v>
      </c>
      <c r="K260" s="55" t="n">
        <f aca="false">SUMIFS(데이터_성질별수입!$G$3:$G$627,데이터_성질별수입!$E$3:$E$627,$B260,데이터_성질별수입!$A$3:$A$627,"2024.09")</f>
        <v>0</v>
      </c>
      <c r="L260" s="55" t="n">
        <f aca="false">SUMIFS(데이터_성질별수입!$G$3:$G$627,데이터_성질별수입!$E$3:$E$627,$B260,데이터_성질별수입!$A$3:$A$627,"2024.10")</f>
        <v>0</v>
      </c>
      <c r="M260" s="55" t="n">
        <f aca="false">SUMIFS(데이터_성질별수입!$G$3:$G$627,데이터_성질별수입!$E$3:$E$627,$B260,데이터_성질별수입!$A$3:$A$627,"2024.11")</f>
        <v>0</v>
      </c>
      <c r="N260" s="55" t="n">
        <f aca="false">SUMIFS(데이터_성질별수입!$G$3:$G$627,데이터_성질별수입!$E$3:$E$627,$B260,데이터_성질별수입!$A$3:$A$627,"2024.12")</f>
        <v>0</v>
      </c>
      <c r="O260" s="55" t="n">
        <f aca="false">SUMIFS(데이터_성질별수입!$G$3:$G$627,데이터_성질별수입!$E$3:$E$627,$B260,데이터_성질별수입!$A$3:$A$627,"2025.01")</f>
        <v>0</v>
      </c>
      <c r="P260" s="55" t="n">
        <f aca="false">SUMIFS(데이터_성질별수입!$G$3:$G$627,데이터_성질별수입!$E$3:$E$627,$B260,데이터_성질별수입!$A$3:$A$627,"2025.02")</f>
        <v>0</v>
      </c>
      <c r="Q260" s="55" t="n">
        <f aca="false">SUMIFS(데이터_성질별수입!$G$3:$G$627,데이터_성질별수입!$E$3:$E$627,$B260,데이터_성질별수입!$A$3:$A$627,"2025.03")</f>
        <v>0</v>
      </c>
      <c r="R260" s="55" t="n">
        <f aca="false">SUMIFS(데이터_성질별수입!$G$3:$G$627,데이터_성질별수입!$E$3:$E$627,$B260,데이터_성질별수입!$A$3:$A$627,"2025.04")</f>
        <v>0</v>
      </c>
      <c r="S260" s="55" t="n">
        <f aca="false">SUMIFS(데이터_성질별수입!$G$3:$G$627,데이터_성질별수입!$E$3:$E$627,$B260,데이터_성질별수입!$A$3:$A$627,"2025.05")</f>
        <v>0</v>
      </c>
      <c r="T260" s="55" t="n">
        <f aca="false">SUMIFS(데이터_성질별수입!$G$3:$G$627,데이터_성질별수입!$E$3:$E$627,$B260,데이터_성질별수입!$A$3:$A$627,"2025.06")</f>
        <v>0</v>
      </c>
      <c r="U260" s="55" t="n">
        <f aca="false">SUMIFS(데이터_성질별수입!$G$3:$G$627,데이터_성질별수입!$E$3:$E$627,$B260,데이터_성질별수입!$A$3:$A$627,"2025.07")</f>
        <v>0</v>
      </c>
      <c r="V260" s="55" t="n">
        <f aca="false">SUMIFS(데이터_성질별수입!$G$3:$G$627,데이터_성질별수입!$E$3:$E$627,$B260,데이터_성질별수입!$A$3:$A$627,"2025.08")</f>
        <v>0</v>
      </c>
      <c r="W260" s="55" t="n">
        <f aca="false">SUMIFS(데이터_성질별수입!$G$3:$G$627,데이터_성질별수입!$E$3:$E$627,$B260,데이터_성질별수입!$A$3:$A$627,"2025.09")</f>
        <v>0</v>
      </c>
      <c r="X260" s="55" t="n">
        <f aca="false">SUMIFS(데이터_성질별수입!$G$3:$G$627,데이터_성질별수입!$E$3:$E$627,$B260,데이터_성질별수입!$A$3:$A$627,"2025.10")</f>
        <v>0</v>
      </c>
      <c r="Y260" s="55" t="n">
        <f aca="false">SUMIFS(데이터_성질별수입!$G$3:$G$627,데이터_성질별수입!$E$3:$E$627,$B260,데이터_성질별수입!$A$3:$A$627,"2025.11")</f>
        <v>0</v>
      </c>
      <c r="Z260" s="55" t="n">
        <f aca="false">SUMIFS(데이터_성질별수입!$G$3:$G$627,데이터_성질별수입!$E$3:$E$627,$B260,데이터_성질별수입!$A$3:$A$627,"2025.12")</f>
        <v>0</v>
      </c>
      <c r="AA260" s="55" t="n">
        <f aca="false">SUMIFS(데이터_성질별수입!$G$3:$G$627,데이터_성질별수입!$E$3:$E$627,$B260,데이터_성질별수입!$A$3:$A$627,"2026.01")</f>
        <v>0</v>
      </c>
      <c r="AB260" s="55" t="n">
        <f aca="false">SUMIFS(데이터_성질별수입!$G$3:$G$627,데이터_성질별수입!$E$3:$E$627,$B260,데이터_성질별수입!$A$3:$A$627,"2026.02")</f>
        <v>0</v>
      </c>
      <c r="AC260" s="55" t="n">
        <f aca="false">SUMIFS(데이터_성질별수입!$G$3:$G$627,데이터_성질별수입!$E$3:$E$627,$B260,데이터_성질별수입!$A$3:$A$627,"2026.03")</f>
        <v>0</v>
      </c>
      <c r="AD260" s="55" t="n">
        <f aca="false">SUMIFS(데이터_성질별수입!$G$3:$G$627,데이터_성질별수입!$E$3:$E$627,$B260,데이터_성질별수입!$A$3:$A$627,"2026.04")</f>
        <v>0</v>
      </c>
      <c r="AE260" s="55" t="n">
        <f aca="false">SUMIFS(데이터_성질별수입!$G$3:$G$627,데이터_성질별수입!$E$3:$E$627,$B260,데이터_성질별수입!$A$3:$A$627,"2026.05")</f>
        <v>0</v>
      </c>
      <c r="AF260" s="55" t="n">
        <f aca="false">SUMIFS(데이터_성질별수입!$G$3:$G$627,데이터_성질별수입!$E$3:$E$627,$B260,데이터_성질별수입!$A$3:$A$627,"2026.06")</f>
        <v>0</v>
      </c>
      <c r="AG260" s="55" t="n">
        <f aca="false">SUMIFS(데이터_성질별수입!$G$3:$G$627,데이터_성질별수입!$E$3:$E$627,$B260,데이터_성질별수입!$A$3:$A$627,"2026.07")</f>
        <v>0</v>
      </c>
    </row>
    <row r="261" customFormat="false" ht="15" hidden="false" customHeight="true" outlineLevel="0" collapsed="false">
      <c r="A261" s="53" t="s">
        <v>19854</v>
      </c>
      <c r="B261" s="46" t="s">
        <v>19860</v>
      </c>
      <c r="C261" s="55" t="n">
        <f aca="false">SUMIFS(데이터_성질별수입!$G$3:$G$627,데이터_성질별수입!$E$3:$E$627,$B261,데이터_성질별수입!$A$3:$A$627,"2024.01")</f>
        <v>28106321</v>
      </c>
      <c r="D261" s="55" t="n">
        <f aca="false">SUMIFS(데이터_성질별수입!$G$3:$G$627,데이터_성질별수입!$E$3:$E$627,$B261,데이터_성질별수입!$A$3:$A$627,"2024.02")</f>
        <v>24864662</v>
      </c>
      <c r="E261" s="55" t="n">
        <f aca="false">SUMIFS(데이터_성질별수입!$G$3:$G$627,데이터_성질별수입!$E$3:$E$627,$B261,데이터_성질별수입!$A$3:$A$627,"2024.03")</f>
        <v>25792586</v>
      </c>
      <c r="F261" s="55" t="n">
        <f aca="false">SUMIFS(데이터_성질별수입!$G$3:$G$627,데이터_성질별수입!$E$3:$E$627,$B261,데이터_성질별수입!$A$3:$A$627,"2024.04")</f>
        <v>27567785</v>
      </c>
      <c r="G261" s="55" t="n">
        <f aca="false">SUMIFS(데이터_성질별수입!$G$3:$G$627,데이터_성질별수입!$E$3:$E$627,$B261,데이터_성질별수입!$A$3:$A$627,"2024.05")</f>
        <v>27005809</v>
      </c>
      <c r="H261" s="55" t="n">
        <f aca="false">SUMIFS(데이터_성질별수입!$G$3:$G$627,데이터_성질별수입!$E$3:$E$627,$B261,데이터_성질별수입!$A$3:$A$627,"2024.06")</f>
        <v>23953834</v>
      </c>
      <c r="I261" s="55" t="n">
        <f aca="false">SUMIFS(데이터_성질별수입!$G$3:$G$627,데이터_성질별수입!$E$3:$E$627,$B261,데이터_성질별수입!$A$3:$A$627,"2024.07")</f>
        <v>25696113</v>
      </c>
      <c r="J261" s="55" t="n">
        <f aca="false">SUMIFS(데이터_성질별수입!$G$3:$G$627,데이터_성질별수입!$E$3:$E$627,$B261,데이터_성질별수입!$A$3:$A$627,"2024.08")</f>
        <v>27175717</v>
      </c>
      <c r="K261" s="55" t="n">
        <f aca="false">SUMIFS(데이터_성질별수입!$G$3:$G$627,데이터_성질별수입!$E$3:$E$627,$B261,데이터_성질별수입!$A$3:$A$627,"2024.09")</f>
        <v>24388559</v>
      </c>
      <c r="L261" s="55" t="n">
        <f aca="false">SUMIFS(데이터_성질별수입!$G$3:$G$627,데이터_성질별수입!$E$3:$E$627,$B261,데이터_성질별수입!$A$3:$A$627,"2024.10")</f>
        <v>25204179</v>
      </c>
      <c r="M261" s="55" t="n">
        <f aca="false">SUMIFS(데이터_성질별수입!$G$3:$G$627,데이터_성질별수입!$E$3:$E$627,$B261,데이터_성질별수입!$A$3:$A$627,"2024.11")</f>
        <v>23730222</v>
      </c>
      <c r="N261" s="55" t="n">
        <f aca="false">SUMIFS(데이터_성질별수입!$G$3:$G$627,데이터_성질별수입!$E$3:$E$627,$B261,데이터_성질별수입!$A$3:$A$627,"2024.12")</f>
        <v>24801745</v>
      </c>
      <c r="O261" s="55" t="n">
        <f aca="false">SUMIFS(데이터_성질별수입!$G$3:$G$627,데이터_성질별수입!$E$3:$E$627,$B261,데이터_성질별수입!$A$3:$A$627,"2025.01")</f>
        <v>25519184</v>
      </c>
      <c r="P261" s="55" t="n">
        <f aca="false">SUMIFS(데이터_성질별수입!$G$3:$G$627,데이터_성질별수입!$E$3:$E$627,$B261,데이터_성질별수입!$A$3:$A$627,"2025.02")</f>
        <v>22604209</v>
      </c>
      <c r="Q261" s="55" t="n">
        <f aca="false">SUMIFS(데이터_성질별수입!$G$3:$G$627,데이터_성질별수입!$E$3:$E$627,$B261,데이터_성질별수입!$A$3:$A$627,"2025.03")</f>
        <v>23875142</v>
      </c>
      <c r="R261" s="55" t="n">
        <f aca="false">SUMIFS(데이터_성질별수입!$G$3:$G$627,데이터_성질별수입!$E$3:$E$627,$B261,데이터_성질별수입!$A$3:$A$627,"2025.04")</f>
        <v>24616883</v>
      </c>
      <c r="S261" s="55" t="n">
        <f aca="false">SUMIFS(데이터_성질별수입!$G$3:$G$627,데이터_성질별수입!$E$3:$E$627,$B261,데이터_성질별수입!$A$3:$A$627,"2025.05")</f>
        <v>23319698</v>
      </c>
      <c r="T261" s="55" t="n">
        <f aca="false">SUMIFS(데이터_성질별수입!$G$3:$G$627,데이터_성질별수입!$E$3:$E$627,$B261,데이터_성질별수입!$A$3:$A$627,"2025.06")</f>
        <v>22509706</v>
      </c>
      <c r="U261" s="55" t="n">
        <f aca="false">SUMIFS(데이터_성질별수입!$G$3:$G$627,데이터_성질별수입!$E$3:$E$627,$B261,데이터_성질별수입!$A$3:$A$627,"2025.07")</f>
        <v>24495339</v>
      </c>
      <c r="V261" s="55" t="n">
        <f aca="false">SUMIFS(데이터_성질별수입!$G$3:$G$627,데이터_성질별수입!$E$3:$E$627,$B261,데이터_성질별수입!$A$3:$A$627,"2025.08")</f>
        <v>24284869</v>
      </c>
      <c r="W261" s="55" t="n">
        <f aca="false">SUMIFS(데이터_성질별수입!$G$3:$G$627,데이터_성질별수입!$E$3:$E$627,$B261,데이터_성질별수입!$A$3:$A$627,"2025.09")</f>
        <v>24488105</v>
      </c>
      <c r="X261" s="55" t="n">
        <f aca="false">SUMIFS(데이터_성질별수입!$G$3:$G$627,데이터_성질별수입!$E$3:$E$627,$B261,데이터_성질별수입!$A$3:$A$627,"2025.10")</f>
        <v>23570523</v>
      </c>
      <c r="Y261" s="55" t="n">
        <f aca="false">SUMIFS(데이터_성질별수입!$G$3:$G$627,데이터_성질별수입!$E$3:$E$627,$B261,데이터_성질별수입!$A$3:$A$627,"2025.11")</f>
        <v>21849251</v>
      </c>
      <c r="Z261" s="55" t="n">
        <f aca="false">SUMIFS(데이터_성질별수입!$G$3:$G$627,데이터_성질별수입!$E$3:$E$627,$B261,데이터_성질별수입!$A$3:$A$627,"2025.12")</f>
        <v>24558340</v>
      </c>
      <c r="AA261" s="55" t="n">
        <f aca="false">SUMIFS(데이터_성질별수입!$G$3:$G$627,데이터_성질별수입!$E$3:$E$627,$B261,데이터_성질별수입!$A$3:$A$627,"2026.01")</f>
        <v>25446510</v>
      </c>
      <c r="AB261" s="55" t="n">
        <f aca="false">SUMIFS(데이터_성질별수입!$G$3:$G$627,데이터_성질별수입!$E$3:$E$627,$B261,데이터_성질별수입!$A$3:$A$627,"2026.02")</f>
        <v>22237363</v>
      </c>
      <c r="AC261" s="55" t="n">
        <f aca="false">SUMIFS(데이터_성질별수입!$G$3:$G$627,데이터_성질별수입!$E$3:$E$627,$B261,데이터_성질별수입!$A$3:$A$627,"2026.03")</f>
        <v>26198227</v>
      </c>
      <c r="AD261" s="55" t="n">
        <f aca="false">SUMIFS(데이터_성질별수입!$G$3:$G$627,데이터_성질별수입!$E$3:$E$627,$B261,데이터_성질별수입!$A$3:$A$627,"2026.04")</f>
        <v>27622728</v>
      </c>
      <c r="AE261" s="55" t="n">
        <f aca="false">SUMIFS(데이터_성질별수입!$G$3:$G$627,데이터_성질별수입!$E$3:$E$627,$B261,데이터_성질별수입!$A$3:$A$627,"2026.05")</f>
        <v>28424410</v>
      </c>
      <c r="AF261" s="55" t="n">
        <f aca="false">SUMIFS(데이터_성질별수입!$G$3:$G$627,데이터_성질별수입!$E$3:$E$627,$B261,데이터_성질별수입!$A$3:$A$627,"2026.06")</f>
        <v>29348553</v>
      </c>
      <c r="AG261" s="55" t="n">
        <f aca="false">SUMIFS(데이터_성질별수입!$G$3:$G$627,데이터_성질별수입!$E$3:$E$627,$B261,데이터_성질별수입!$A$3:$A$627,"2026.07")</f>
        <v>31627152</v>
      </c>
    </row>
    <row r="262" customFormat="false" ht="15" hidden="false" customHeight="true" outlineLevel="0" collapsed="false">
      <c r="A262" s="53" t="s">
        <v>19855</v>
      </c>
      <c r="B262" s="54" t="s">
        <v>16357</v>
      </c>
      <c r="C262" s="55" t="n">
        <f aca="false">SUMIFS(데이터_성질별수입!$G$3:$G$627,데이터_성질별수입!$E$3:$E$627,$B262,데이터_성질별수입!$A$3:$A$627,"2024.01")</f>
        <v>15672843</v>
      </c>
      <c r="D262" s="55" t="n">
        <f aca="false">SUMIFS(데이터_성질별수입!$G$3:$G$627,데이터_성질별수입!$E$3:$E$627,$B262,데이터_성질별수입!$A$3:$A$627,"2024.02")</f>
        <v>13878524</v>
      </c>
      <c r="E262" s="55" t="n">
        <f aca="false">SUMIFS(데이터_성질별수입!$G$3:$G$627,데이터_성질별수입!$E$3:$E$627,$B262,데이터_성질별수입!$A$3:$A$627,"2024.03")</f>
        <v>13173120</v>
      </c>
      <c r="F262" s="55" t="n">
        <f aca="false">SUMIFS(데이터_성질별수입!$G$3:$G$627,데이터_성질별수입!$E$3:$E$627,$B262,데이터_성질별수입!$A$3:$A$627,"2024.04")</f>
        <v>14386216</v>
      </c>
      <c r="G262" s="55" t="n">
        <f aca="false">SUMIFS(데이터_성질별수입!$G$3:$G$627,데이터_성질별수입!$E$3:$E$627,$B262,데이터_성질별수입!$A$3:$A$627,"2024.05")</f>
        <v>13807374</v>
      </c>
      <c r="H262" s="55" t="n">
        <f aca="false">SUMIFS(데이터_성질별수입!$G$3:$G$627,데이터_성질별수입!$E$3:$E$627,$B262,데이터_성질별수입!$A$3:$A$627,"2024.06")</f>
        <v>12219931</v>
      </c>
      <c r="I262" s="55" t="n">
        <f aca="false">SUMIFS(데이터_성질별수입!$G$3:$G$627,데이터_성질별수입!$E$3:$E$627,$B262,데이터_성질별수입!$A$3:$A$627,"2024.07")</f>
        <v>12996682</v>
      </c>
      <c r="J262" s="55" t="n">
        <f aca="false">SUMIFS(데이터_성질별수입!$G$3:$G$627,데이터_성질별수입!$E$3:$E$627,$B262,데이터_성질별수입!$A$3:$A$627,"2024.08")</f>
        <v>14761245</v>
      </c>
      <c r="K262" s="55" t="n">
        <f aca="false">SUMIFS(데이터_성질별수입!$G$3:$G$627,데이터_성질별수입!$E$3:$E$627,$B262,데이터_성질별수입!$A$3:$A$627,"2024.09")</f>
        <v>12401360</v>
      </c>
      <c r="L262" s="55" t="n">
        <f aca="false">SUMIFS(데이터_성질별수입!$G$3:$G$627,데이터_성질별수입!$E$3:$E$627,$B262,데이터_성질별수입!$A$3:$A$627,"2024.10")</f>
        <v>13104076</v>
      </c>
      <c r="M262" s="55" t="n">
        <f aca="false">SUMIFS(데이터_성질별수입!$G$3:$G$627,데이터_성질별수입!$E$3:$E$627,$B262,데이터_성질별수입!$A$3:$A$627,"2024.11")</f>
        <v>12501414</v>
      </c>
      <c r="N262" s="55" t="n">
        <f aca="false">SUMIFS(데이터_성질별수입!$G$3:$G$627,데이터_성질별수입!$E$3:$E$627,$B262,데이터_성질별수입!$A$3:$A$627,"2024.12")</f>
        <v>12723479</v>
      </c>
      <c r="O262" s="55" t="n">
        <f aca="false">SUMIFS(데이터_성질별수입!$G$3:$G$627,데이터_성질별수입!$E$3:$E$627,$B262,데이터_성질별수입!$A$3:$A$627,"2025.01")</f>
        <v>13823720</v>
      </c>
      <c r="P262" s="55" t="n">
        <f aca="false">SUMIFS(데이터_성질별수입!$G$3:$G$627,데이터_성질별수입!$E$3:$E$627,$B262,데이터_성질별수입!$A$3:$A$627,"2025.02")</f>
        <v>11351346</v>
      </c>
      <c r="Q262" s="55" t="n">
        <f aca="false">SUMIFS(데이터_성질별수입!$G$3:$G$627,데이터_성질별수입!$E$3:$E$627,$B262,데이터_성질별수입!$A$3:$A$627,"2025.03")</f>
        <v>11998732</v>
      </c>
      <c r="R262" s="55" t="n">
        <f aca="false">SUMIFS(데이터_성질별수입!$G$3:$G$627,데이터_성질별수입!$E$3:$E$627,$B262,데이터_성질별수입!$A$3:$A$627,"2025.04")</f>
        <v>11796678</v>
      </c>
      <c r="S262" s="55" t="n">
        <f aca="false">SUMIFS(데이터_성질별수입!$G$3:$G$627,데이터_성질별수입!$E$3:$E$627,$B262,데이터_성질별수입!$A$3:$A$627,"2025.05")</f>
        <v>11659316</v>
      </c>
      <c r="T262" s="55" t="n">
        <f aca="false">SUMIFS(데이터_성질별수입!$G$3:$G$627,데이터_성질별수입!$E$3:$E$627,$B262,데이터_성질별수입!$A$3:$A$627,"2025.06")</f>
        <v>10103709</v>
      </c>
      <c r="U262" s="55" t="n">
        <f aca="false">SUMIFS(데이터_성질별수입!$G$3:$G$627,데이터_성질별수입!$E$3:$E$627,$B262,데이터_성질별수입!$A$3:$A$627,"2025.07")</f>
        <v>11640603</v>
      </c>
      <c r="V262" s="55" t="n">
        <f aca="false">SUMIFS(데이터_성질별수입!$G$3:$G$627,데이터_성질별수입!$E$3:$E$627,$B262,데이터_성질별수입!$A$3:$A$627,"2025.08")</f>
        <v>12748240</v>
      </c>
      <c r="W262" s="55" t="n">
        <f aca="false">SUMIFS(데이터_성질별수입!$G$3:$G$627,데이터_성질별수입!$E$3:$E$627,$B262,데이터_성질별수입!$A$3:$A$627,"2025.09")</f>
        <v>11279609</v>
      </c>
      <c r="X262" s="55" t="n">
        <f aca="false">SUMIFS(데이터_성질별수입!$G$3:$G$627,데이터_성질별수입!$E$3:$E$627,$B262,데이터_성질별수입!$A$3:$A$627,"2025.10")</f>
        <v>11823082</v>
      </c>
      <c r="Y262" s="55" t="n">
        <f aca="false">SUMIFS(데이터_성질별수입!$G$3:$G$627,데이터_성질별수입!$E$3:$E$627,$B262,데이터_성질별수입!$A$3:$A$627,"2025.11")</f>
        <v>10222433</v>
      </c>
      <c r="Z262" s="55" t="n">
        <f aca="false">SUMIFS(데이터_성질별수입!$G$3:$G$627,데이터_성질별수입!$E$3:$E$627,$B262,데이터_성질별수입!$A$3:$A$627,"2025.12")</f>
        <v>11212688</v>
      </c>
      <c r="AA262" s="55" t="n">
        <f aca="false">SUMIFS(데이터_성질별수입!$G$3:$G$627,데이터_성질별수입!$E$3:$E$627,$B262,데이터_성질별수입!$A$3:$A$627,"2026.01")</f>
        <v>11983830</v>
      </c>
      <c r="AB262" s="55" t="n">
        <f aca="false">SUMIFS(데이터_성질별수입!$G$3:$G$627,데이터_성질별수입!$E$3:$E$627,$B262,데이터_성질별수입!$A$3:$A$627,"2026.02")</f>
        <v>10888628</v>
      </c>
      <c r="AC262" s="55" t="n">
        <f aca="false">SUMIFS(데이터_성질별수입!$G$3:$G$627,데이터_성질별수입!$E$3:$E$627,$B262,데이터_성질별수입!$A$3:$A$627,"2026.03")</f>
        <v>11600059</v>
      </c>
      <c r="AD262" s="55" t="n">
        <f aca="false">SUMIFS(데이터_성질별수입!$G$3:$G$627,데이터_성질별수입!$E$3:$E$627,$B262,데이터_성질별수입!$A$3:$A$627,"2026.04")</f>
        <v>12581224</v>
      </c>
      <c r="AE262" s="55" t="n">
        <f aca="false">SUMIFS(데이터_성질별수입!$G$3:$G$627,데이터_성질별수입!$E$3:$E$627,$B262,데이터_성질별수입!$A$3:$A$627,"2026.05")</f>
        <v>14292320</v>
      </c>
      <c r="AF262" s="55" t="n">
        <f aca="false">SUMIFS(데이터_성질별수입!$G$3:$G$627,데이터_성질별수입!$E$3:$E$627,$B262,데이터_성질별수입!$A$3:$A$627,"2026.06")</f>
        <v>14281133</v>
      </c>
      <c r="AG262" s="55" t="n">
        <f aca="false">SUMIFS(데이터_성질별수입!$G$3:$G$627,데이터_성질별수입!$E$3:$E$627,$B262,데이터_성질별수입!$A$3:$A$627,"2026.07")</f>
        <v>16215924</v>
      </c>
    </row>
    <row r="263" customFormat="false" ht="15" hidden="false" customHeight="true" outlineLevel="0" collapsed="false">
      <c r="A263" s="53" t="s">
        <v>19856</v>
      </c>
      <c r="B263" s="54" t="s">
        <v>16360</v>
      </c>
      <c r="C263" s="55" t="n">
        <f aca="false">SUMIFS(데이터_성질별수입!$G$3:$G$627,데이터_성질별수입!$E$3:$E$627,$B263,데이터_성질별수입!$A$3:$A$627,"2024.01")</f>
        <v>2296169</v>
      </c>
      <c r="D263" s="55" t="n">
        <f aca="false">SUMIFS(데이터_성질별수입!$G$3:$G$627,데이터_성질별수입!$E$3:$E$627,$B263,데이터_성질별수입!$A$3:$A$627,"2024.02")</f>
        <v>2000434</v>
      </c>
      <c r="E263" s="55" t="n">
        <f aca="false">SUMIFS(데이터_성질별수입!$G$3:$G$627,데이터_성질별수입!$E$3:$E$627,$B263,데이터_성질별수입!$A$3:$A$627,"2024.03")</f>
        <v>1867943</v>
      </c>
      <c r="F263" s="55" t="n">
        <f aca="false">SUMIFS(데이터_성질별수입!$G$3:$G$627,데이터_성질별수입!$E$3:$E$627,$B263,데이터_성질별수입!$A$3:$A$627,"2024.04")</f>
        <v>2308620</v>
      </c>
      <c r="G263" s="55" t="n">
        <f aca="false">SUMIFS(데이터_성질별수입!$G$3:$G$627,데이터_성질별수입!$E$3:$E$627,$B263,데이터_성질별수입!$A$3:$A$627,"2024.05")</f>
        <v>2354923</v>
      </c>
      <c r="H263" s="55" t="n">
        <f aca="false">SUMIFS(데이터_성질별수입!$G$3:$G$627,데이터_성질별수입!$E$3:$E$627,$B263,데이터_성질별수입!$A$3:$A$627,"2024.06")</f>
        <v>2176225</v>
      </c>
      <c r="I263" s="55" t="n">
        <f aca="false">SUMIFS(데이터_성질별수입!$G$3:$G$627,데이터_성질별수입!$E$3:$E$627,$B263,데이터_성질별수입!$A$3:$A$627,"2024.07")</f>
        <v>2442975</v>
      </c>
      <c r="J263" s="55" t="n">
        <f aca="false">SUMIFS(데이터_성질별수입!$G$3:$G$627,데이터_성질별수입!$E$3:$E$627,$B263,데이터_성질별수입!$A$3:$A$627,"2024.08")</f>
        <v>2058860</v>
      </c>
      <c r="K263" s="55" t="n">
        <f aca="false">SUMIFS(데이터_성질별수입!$G$3:$G$627,데이터_성질별수입!$E$3:$E$627,$B263,데이터_성질별수입!$A$3:$A$627,"2024.09")</f>
        <v>2330770</v>
      </c>
      <c r="L263" s="55" t="n">
        <f aca="false">SUMIFS(데이터_성질별수입!$G$3:$G$627,데이터_성질별수입!$E$3:$E$627,$B263,데이터_성질별수입!$A$3:$A$627,"2024.10")</f>
        <v>2110975</v>
      </c>
      <c r="M263" s="55" t="n">
        <f aca="false">SUMIFS(데이터_성질별수입!$G$3:$G$627,데이터_성질별수입!$E$3:$E$627,$B263,데이터_성질별수입!$A$3:$A$627,"2024.11")</f>
        <v>1864608</v>
      </c>
      <c r="N263" s="55" t="n">
        <f aca="false">SUMIFS(데이터_성질별수입!$G$3:$G$627,데이터_성질별수입!$E$3:$E$627,$B263,데이터_성질별수입!$A$3:$A$627,"2024.12")</f>
        <v>2129265</v>
      </c>
      <c r="O263" s="55" t="n">
        <f aca="false">SUMIFS(데이터_성질별수입!$G$3:$G$627,데이터_성질별수입!$E$3:$E$627,$B263,데이터_성질별수입!$A$3:$A$627,"2025.01")</f>
        <v>2419240</v>
      </c>
      <c r="P263" s="55" t="n">
        <f aca="false">SUMIFS(데이터_성질별수입!$G$3:$G$627,데이터_성질별수입!$E$3:$E$627,$B263,데이터_성질별수입!$A$3:$A$627,"2025.02")</f>
        <v>1845386</v>
      </c>
      <c r="Q263" s="55" t="n">
        <f aca="false">SUMIFS(데이터_성질별수입!$G$3:$G$627,데이터_성질별수입!$E$3:$E$627,$B263,데이터_성질별수입!$A$3:$A$627,"2025.03")</f>
        <v>2132587</v>
      </c>
      <c r="R263" s="55" t="n">
        <f aca="false">SUMIFS(데이터_성질별수입!$G$3:$G$627,데이터_성질별수입!$E$3:$E$627,$B263,데이터_성질별수입!$A$3:$A$627,"2025.04")</f>
        <v>2440364</v>
      </c>
      <c r="S263" s="55" t="n">
        <f aca="false">SUMIFS(데이터_성질별수입!$G$3:$G$627,데이터_성질별수입!$E$3:$E$627,$B263,데이터_성질별수입!$A$3:$A$627,"2025.05")</f>
        <v>2015017</v>
      </c>
      <c r="T263" s="55" t="n">
        <f aca="false">SUMIFS(데이터_성질별수입!$G$3:$G$627,데이터_성질별수입!$E$3:$E$627,$B263,데이터_성질별수입!$A$3:$A$627,"2025.06")</f>
        <v>2684929</v>
      </c>
      <c r="U263" s="55" t="n">
        <f aca="false">SUMIFS(데이터_성질별수입!$G$3:$G$627,데이터_성질별수입!$E$3:$E$627,$B263,데이터_성질별수입!$A$3:$A$627,"2025.07")</f>
        <v>2389217</v>
      </c>
      <c r="V263" s="55" t="n">
        <f aca="false">SUMIFS(데이터_성질별수입!$G$3:$G$627,데이터_성질별수입!$E$3:$E$627,$B263,데이터_성질별수입!$A$3:$A$627,"2025.08")</f>
        <v>2177439</v>
      </c>
      <c r="W263" s="55" t="n">
        <f aca="false">SUMIFS(데이터_성질별수입!$G$3:$G$627,데이터_성질별수입!$E$3:$E$627,$B263,데이터_성질별수입!$A$3:$A$627,"2025.09")</f>
        <v>2547377</v>
      </c>
      <c r="X263" s="55" t="n">
        <f aca="false">SUMIFS(데이터_성질별수입!$G$3:$G$627,데이터_성질별수입!$E$3:$E$627,$B263,데이터_성질별수입!$A$3:$A$627,"2025.10")</f>
        <v>2531598</v>
      </c>
      <c r="Y263" s="55" t="n">
        <f aca="false">SUMIFS(데이터_성질별수입!$G$3:$G$627,데이터_성질별수입!$E$3:$E$627,$B263,데이터_성질별수입!$A$3:$A$627,"2025.11")</f>
        <v>2280580</v>
      </c>
      <c r="Z263" s="55" t="n">
        <f aca="false">SUMIFS(데이터_성질별수입!$G$3:$G$627,데이터_성질별수입!$E$3:$E$627,$B263,데이터_성질별수입!$A$3:$A$627,"2025.12")</f>
        <v>2546895</v>
      </c>
      <c r="AA263" s="55" t="n">
        <f aca="false">SUMIFS(데이터_성질별수입!$G$3:$G$627,데이터_성질별수입!$E$3:$E$627,$B263,데이터_성질별수입!$A$3:$A$627,"2026.01")</f>
        <v>3257631</v>
      </c>
      <c r="AB263" s="55" t="n">
        <f aca="false">SUMIFS(데이터_성질별수입!$G$3:$G$627,데이터_성질별수입!$E$3:$E$627,$B263,데이터_성질별수입!$A$3:$A$627,"2026.02")</f>
        <v>2341918</v>
      </c>
      <c r="AC263" s="55" t="n">
        <f aca="false">SUMIFS(데이터_성질별수입!$G$3:$G$627,데이터_성질별수입!$E$3:$E$627,$B263,데이터_성질별수입!$A$3:$A$627,"2026.03")</f>
        <v>2949586</v>
      </c>
      <c r="AD263" s="55" t="n">
        <f aca="false">SUMIFS(데이터_성질별수입!$G$3:$G$627,데이터_성질별수입!$E$3:$E$627,$B263,데이터_성질별수입!$A$3:$A$627,"2026.04")</f>
        <v>3124043</v>
      </c>
      <c r="AE263" s="55" t="n">
        <f aca="false">SUMIFS(데이터_성질별수입!$G$3:$G$627,데이터_성질별수입!$E$3:$E$627,$B263,데이터_성질별수입!$A$3:$A$627,"2026.05")</f>
        <v>2602652</v>
      </c>
      <c r="AF263" s="55" t="n">
        <f aca="false">SUMIFS(데이터_성질별수입!$G$3:$G$627,데이터_성질별수입!$E$3:$E$627,$B263,데이터_성질별수입!$A$3:$A$627,"2026.06")</f>
        <v>2659923</v>
      </c>
      <c r="AG263" s="55" t="n">
        <f aca="false">SUMIFS(데이터_성질별수입!$G$3:$G$627,데이터_성질별수입!$E$3:$E$627,$B263,데이터_성질별수입!$A$3:$A$627,"2026.07")</f>
        <v>3331889</v>
      </c>
    </row>
    <row r="264" customFormat="false" ht="15" hidden="false" customHeight="true" outlineLevel="0" collapsed="false">
      <c r="A264" s="53" t="s">
        <v>408</v>
      </c>
      <c r="B264" s="54" t="s">
        <v>16363</v>
      </c>
      <c r="C264" s="55" t="n">
        <f aca="false">SUMIFS(데이터_성질별수입!$G$3:$G$627,데이터_성질별수입!$E$3:$E$627,$B264,데이터_성질별수입!$A$3:$A$627,"2024.01")</f>
        <v>593012</v>
      </c>
      <c r="D264" s="55" t="n">
        <f aca="false">SUMIFS(데이터_성질별수입!$G$3:$G$627,데이터_성질별수입!$E$3:$E$627,$B264,데이터_성질별수입!$A$3:$A$627,"2024.02")</f>
        <v>552849</v>
      </c>
      <c r="E264" s="55" t="n">
        <f aca="false">SUMIFS(데이터_성질별수입!$G$3:$G$627,데이터_성질별수입!$E$3:$E$627,$B264,데이터_성질별수입!$A$3:$A$627,"2024.03")</f>
        <v>533011</v>
      </c>
      <c r="F264" s="55" t="n">
        <f aca="false">SUMIFS(데이터_성질별수입!$G$3:$G$627,데이터_성질별수입!$E$3:$E$627,$B264,데이터_성질별수입!$A$3:$A$627,"2024.04")</f>
        <v>620120</v>
      </c>
      <c r="G264" s="55" t="n">
        <f aca="false">SUMIFS(데이터_성질별수입!$G$3:$G$627,데이터_성질별수입!$E$3:$E$627,$B264,데이터_성질별수입!$A$3:$A$627,"2024.05")</f>
        <v>586732</v>
      </c>
      <c r="H264" s="55" t="n">
        <f aca="false">SUMIFS(데이터_성질별수입!$G$3:$G$627,데이터_성질별수입!$E$3:$E$627,$B264,데이터_성질별수입!$A$3:$A$627,"2024.06")</f>
        <v>567482</v>
      </c>
      <c r="I264" s="55" t="n">
        <f aca="false">SUMIFS(데이터_성질별수입!$G$3:$G$627,데이터_성질별수입!$E$3:$E$627,$B264,데이터_성질별수입!$A$3:$A$627,"2024.07")</f>
        <v>550318</v>
      </c>
      <c r="J264" s="55" t="n">
        <f aca="false">SUMIFS(데이터_성질별수입!$G$3:$G$627,데이터_성질별수입!$E$3:$E$627,$B264,데이터_성질별수입!$A$3:$A$627,"2024.08")</f>
        <v>640493</v>
      </c>
      <c r="K264" s="55" t="n">
        <f aca="false">SUMIFS(데이터_성질별수입!$G$3:$G$627,데이터_성질별수입!$E$3:$E$627,$B264,데이터_성질별수입!$A$3:$A$627,"2024.09")</f>
        <v>578758</v>
      </c>
      <c r="L264" s="55" t="n">
        <f aca="false">SUMIFS(데이터_성질별수입!$G$3:$G$627,데이터_성질별수입!$E$3:$E$627,$B264,데이터_성질별수입!$A$3:$A$627,"2024.10")</f>
        <v>592735</v>
      </c>
      <c r="M264" s="55" t="n">
        <f aca="false">SUMIFS(데이터_성질별수입!$G$3:$G$627,데이터_성질별수입!$E$3:$E$627,$B264,데이터_성질별수입!$A$3:$A$627,"2024.11")</f>
        <v>538579</v>
      </c>
      <c r="N264" s="55" t="n">
        <f aca="false">SUMIFS(데이터_성질별수입!$G$3:$G$627,데이터_성질별수입!$E$3:$E$627,$B264,데이터_성질별수입!$A$3:$A$627,"2024.12")</f>
        <v>602808</v>
      </c>
      <c r="O264" s="55" t="n">
        <f aca="false">SUMIFS(데이터_성질별수입!$G$3:$G$627,데이터_성질별수입!$E$3:$E$627,$B264,데이터_성질별수입!$A$3:$A$627,"2025.01")</f>
        <v>585445</v>
      </c>
      <c r="P264" s="55" t="n">
        <f aca="false">SUMIFS(데이터_성질별수입!$G$3:$G$627,데이터_성질별수입!$E$3:$E$627,$B264,데이터_성질별수입!$A$3:$A$627,"2025.02")</f>
        <v>564356</v>
      </c>
      <c r="Q264" s="55" t="n">
        <f aca="false">SUMIFS(데이터_성질별수입!$G$3:$G$627,데이터_성질별수입!$E$3:$E$627,$B264,데이터_성질별수입!$A$3:$A$627,"2025.03")</f>
        <v>568712</v>
      </c>
      <c r="R264" s="55" t="n">
        <f aca="false">SUMIFS(데이터_성질별수입!$G$3:$G$627,데이터_성질별수입!$E$3:$E$627,$B264,데이터_성질별수입!$A$3:$A$627,"2025.04")</f>
        <v>591656</v>
      </c>
      <c r="S264" s="55" t="n">
        <f aca="false">SUMIFS(데이터_성질별수입!$G$3:$G$627,데이터_성질별수입!$E$3:$E$627,$B264,데이터_성질별수입!$A$3:$A$627,"2025.05")</f>
        <v>536423</v>
      </c>
      <c r="T264" s="55" t="n">
        <f aca="false">SUMIFS(데이터_성질별수입!$G$3:$G$627,데이터_성질별수입!$E$3:$E$627,$B264,데이터_성질별수입!$A$3:$A$627,"2025.06")</f>
        <v>536677</v>
      </c>
      <c r="U264" s="55" t="n">
        <f aca="false">SUMIFS(데이터_성질별수입!$G$3:$G$627,데이터_성질별수입!$E$3:$E$627,$B264,데이터_성질별수입!$A$3:$A$627,"2025.07")</f>
        <v>542366</v>
      </c>
      <c r="V264" s="55" t="n">
        <f aca="false">SUMIFS(데이터_성질별수입!$G$3:$G$627,데이터_성질별수입!$E$3:$E$627,$B264,데이터_성질별수입!$A$3:$A$627,"2025.08")</f>
        <v>483070</v>
      </c>
      <c r="W264" s="55" t="n">
        <f aca="false">SUMIFS(데이터_성질별수입!$G$3:$G$627,데이터_성질별수입!$E$3:$E$627,$B264,데이터_성질별수입!$A$3:$A$627,"2025.09")</f>
        <v>505385</v>
      </c>
      <c r="X264" s="55" t="n">
        <f aca="false">SUMIFS(데이터_성질별수입!$G$3:$G$627,데이터_성질별수입!$E$3:$E$627,$B264,데이터_성질별수입!$A$3:$A$627,"2025.10")</f>
        <v>479366</v>
      </c>
      <c r="Y264" s="55" t="n">
        <f aca="false">SUMIFS(데이터_성질별수입!$G$3:$G$627,데이터_성질별수입!$E$3:$E$627,$B264,데이터_성질별수입!$A$3:$A$627,"2025.11")</f>
        <v>458138</v>
      </c>
      <c r="Z264" s="55" t="n">
        <f aca="false">SUMIFS(데이터_성질별수입!$G$3:$G$627,데이터_성질별수입!$E$3:$E$627,$B264,데이터_성질별수입!$A$3:$A$627,"2025.12")</f>
        <v>533769</v>
      </c>
      <c r="AA264" s="55" t="n">
        <f aca="false">SUMIFS(데이터_성질별수입!$G$3:$G$627,데이터_성질별수입!$E$3:$E$627,$B264,데이터_성질별수입!$A$3:$A$627,"2026.01")</f>
        <v>502100</v>
      </c>
      <c r="AB264" s="55" t="n">
        <f aca="false">SUMIFS(데이터_성질별수입!$G$3:$G$627,데이터_성질별수입!$E$3:$E$627,$B264,데이터_성질별수입!$A$3:$A$627,"2026.02")</f>
        <v>427991</v>
      </c>
      <c r="AC264" s="55" t="n">
        <f aca="false">SUMIFS(데이터_성질별수입!$G$3:$G$627,데이터_성질별수입!$E$3:$E$627,$B264,데이터_성질별수입!$A$3:$A$627,"2026.03")</f>
        <v>462386</v>
      </c>
      <c r="AD264" s="55" t="n">
        <f aca="false">SUMIFS(데이터_성질별수입!$G$3:$G$627,데이터_성질별수입!$E$3:$E$627,$B264,데이터_성질별수입!$A$3:$A$627,"2026.04")</f>
        <v>501918</v>
      </c>
      <c r="AE264" s="55" t="n">
        <f aca="false">SUMIFS(데이터_성질별수입!$G$3:$G$627,데이터_성질별수입!$E$3:$E$627,$B264,데이터_성질별수입!$A$3:$A$627,"2026.05")</f>
        <v>477322</v>
      </c>
      <c r="AF264" s="55" t="n">
        <f aca="false">SUMIFS(데이터_성질별수입!$G$3:$G$627,데이터_성질별수입!$E$3:$E$627,$B264,데이터_성질별수입!$A$3:$A$627,"2026.06")</f>
        <v>541438</v>
      </c>
      <c r="AG264" s="55" t="n">
        <f aca="false">SUMIFS(데이터_성질별수입!$G$3:$G$627,데이터_성질별수입!$E$3:$E$627,$B264,데이터_성질별수입!$A$3:$A$627,"2026.07")</f>
        <v>510215</v>
      </c>
    </row>
    <row r="265" customFormat="false" ht="15" hidden="false" customHeight="true" outlineLevel="0" collapsed="false">
      <c r="A265" s="53" t="s">
        <v>415</v>
      </c>
      <c r="B265" s="54" t="s">
        <v>16366</v>
      </c>
      <c r="C265" s="55" t="n">
        <f aca="false">SUMIFS(데이터_성질별수입!$G$3:$G$627,데이터_성질별수입!$E$3:$E$627,$B265,데이터_성질별수입!$A$3:$A$627,"2024.01")</f>
        <v>123085</v>
      </c>
      <c r="D265" s="55" t="n">
        <f aca="false">SUMIFS(데이터_성질별수입!$G$3:$G$627,데이터_성질별수입!$E$3:$E$627,$B265,데이터_성질별수입!$A$3:$A$627,"2024.02")</f>
        <v>138879</v>
      </c>
      <c r="E265" s="55" t="n">
        <f aca="false">SUMIFS(데이터_성질별수입!$G$3:$G$627,데이터_성질별수입!$E$3:$E$627,$B265,데이터_성질별수입!$A$3:$A$627,"2024.03")</f>
        <v>160411</v>
      </c>
      <c r="F265" s="55" t="n">
        <f aca="false">SUMIFS(데이터_성질별수입!$G$3:$G$627,데이터_성질별수입!$E$3:$E$627,$B265,데이터_성질별수입!$A$3:$A$627,"2024.04")</f>
        <v>179381</v>
      </c>
      <c r="G265" s="55" t="n">
        <f aca="false">SUMIFS(데이터_성질별수입!$G$3:$G$627,데이터_성질별수입!$E$3:$E$627,$B265,데이터_성질별수입!$A$3:$A$627,"2024.05")</f>
        <v>164459</v>
      </c>
      <c r="H265" s="55" t="n">
        <f aca="false">SUMIFS(데이터_성질별수입!$G$3:$G$627,데이터_성질별수입!$E$3:$E$627,$B265,데이터_성질별수입!$A$3:$A$627,"2024.06")</f>
        <v>154770</v>
      </c>
      <c r="I265" s="55" t="n">
        <f aca="false">SUMIFS(데이터_성질별수입!$G$3:$G$627,데이터_성질별수입!$E$3:$E$627,$B265,데이터_성질별수입!$A$3:$A$627,"2024.07")</f>
        <v>157605</v>
      </c>
      <c r="J265" s="55" t="n">
        <f aca="false">SUMIFS(데이터_성질별수입!$G$3:$G$627,데이터_성질별수입!$E$3:$E$627,$B265,데이터_성질별수입!$A$3:$A$627,"2024.08")</f>
        <v>171776</v>
      </c>
      <c r="K265" s="55" t="n">
        <f aca="false">SUMIFS(데이터_성질별수입!$G$3:$G$627,데이터_성질별수입!$E$3:$E$627,$B265,데이터_성질별수입!$A$3:$A$627,"2024.09")</f>
        <v>141786</v>
      </c>
      <c r="L265" s="55" t="n">
        <f aca="false">SUMIFS(데이터_성질별수입!$G$3:$G$627,데이터_성질별수입!$E$3:$E$627,$B265,데이터_성질별수입!$A$3:$A$627,"2024.10")</f>
        <v>171410</v>
      </c>
      <c r="M265" s="55" t="n">
        <f aca="false">SUMIFS(데이터_성질별수입!$G$3:$G$627,데이터_성질별수입!$E$3:$E$627,$B265,데이터_성질별수입!$A$3:$A$627,"2024.11")</f>
        <v>125169</v>
      </c>
      <c r="N265" s="55" t="n">
        <f aca="false">SUMIFS(데이터_성질별수입!$G$3:$G$627,데이터_성질별수입!$E$3:$E$627,$B265,데이터_성질별수입!$A$3:$A$627,"2024.12")</f>
        <v>168010</v>
      </c>
      <c r="O265" s="55" t="n">
        <f aca="false">SUMIFS(데이터_성질별수입!$G$3:$G$627,데이터_성질별수입!$E$3:$E$627,$B265,데이터_성질별수입!$A$3:$A$627,"2025.01")</f>
        <v>169802</v>
      </c>
      <c r="P265" s="55" t="n">
        <f aca="false">SUMIFS(데이터_성질별수입!$G$3:$G$627,데이터_성질별수입!$E$3:$E$627,$B265,데이터_성질별수입!$A$3:$A$627,"2025.02")</f>
        <v>175950</v>
      </c>
      <c r="Q265" s="55" t="n">
        <f aca="false">SUMIFS(데이터_성질별수입!$G$3:$G$627,데이터_성질별수입!$E$3:$E$627,$B265,데이터_성질별수입!$A$3:$A$627,"2025.03")</f>
        <v>196713</v>
      </c>
      <c r="R265" s="55" t="n">
        <f aca="false">SUMIFS(데이터_성질별수입!$G$3:$G$627,데이터_성질별수입!$E$3:$E$627,$B265,데이터_성질별수입!$A$3:$A$627,"2025.04")</f>
        <v>243955</v>
      </c>
      <c r="S265" s="55" t="n">
        <f aca="false">SUMIFS(데이터_성질별수입!$G$3:$G$627,데이터_성질별수입!$E$3:$E$627,$B265,데이터_성질별수입!$A$3:$A$627,"2025.05")</f>
        <v>221117</v>
      </c>
      <c r="T265" s="55" t="n">
        <f aca="false">SUMIFS(데이터_성질별수입!$G$3:$G$627,데이터_성질별수입!$E$3:$E$627,$B265,데이터_성질별수입!$A$3:$A$627,"2025.06")</f>
        <v>219456</v>
      </c>
      <c r="U265" s="55" t="n">
        <f aca="false">SUMIFS(데이터_성질별수입!$G$3:$G$627,데이터_성질별수입!$E$3:$E$627,$B265,데이터_성질별수입!$A$3:$A$627,"2025.07")</f>
        <v>197361</v>
      </c>
      <c r="V265" s="55" t="n">
        <f aca="false">SUMIFS(데이터_성질별수입!$G$3:$G$627,데이터_성질별수입!$E$3:$E$627,$B265,데이터_성질별수입!$A$3:$A$627,"2025.08")</f>
        <v>222056</v>
      </c>
      <c r="W265" s="55" t="n">
        <f aca="false">SUMIFS(데이터_성질별수입!$G$3:$G$627,데이터_성질별수입!$E$3:$E$627,$B265,데이터_성질별수입!$A$3:$A$627,"2025.09")</f>
        <v>197889</v>
      </c>
      <c r="X265" s="55" t="n">
        <f aca="false">SUMIFS(데이터_성질별수입!$G$3:$G$627,데이터_성질별수입!$E$3:$E$627,$B265,데이터_성질별수입!$A$3:$A$627,"2025.10")</f>
        <v>188933</v>
      </c>
      <c r="Y265" s="55" t="n">
        <f aca="false">SUMIFS(데이터_성질별수입!$G$3:$G$627,데이터_성질별수입!$E$3:$E$627,$B265,데이터_성질별수입!$A$3:$A$627,"2025.11")</f>
        <v>215598</v>
      </c>
      <c r="Z265" s="55" t="n">
        <f aca="false">SUMIFS(데이터_성질별수입!$G$3:$G$627,데이터_성질별수입!$E$3:$E$627,$B265,데이터_성질별수입!$A$3:$A$627,"2025.12")</f>
        <v>220196</v>
      </c>
      <c r="AA265" s="55" t="n">
        <f aca="false">SUMIFS(데이터_성질별수입!$G$3:$G$627,데이터_성질별수입!$E$3:$E$627,$B265,데이터_성질별수입!$A$3:$A$627,"2026.01")</f>
        <v>219924</v>
      </c>
      <c r="AB265" s="55" t="n">
        <f aca="false">SUMIFS(데이터_성질별수입!$G$3:$G$627,데이터_성질별수입!$E$3:$E$627,$B265,데이터_성질별수입!$A$3:$A$627,"2026.02")</f>
        <v>161239</v>
      </c>
      <c r="AC265" s="55" t="n">
        <f aca="false">SUMIFS(데이터_성질별수입!$G$3:$G$627,데이터_성질별수입!$E$3:$E$627,$B265,데이터_성질별수입!$A$3:$A$627,"2026.03")</f>
        <v>238481</v>
      </c>
      <c r="AD265" s="55" t="n">
        <f aca="false">SUMIFS(데이터_성질별수입!$G$3:$G$627,데이터_성질별수입!$E$3:$E$627,$B265,데이터_성질별수입!$A$3:$A$627,"2026.04")</f>
        <v>251652</v>
      </c>
      <c r="AE265" s="55" t="n">
        <f aca="false">SUMIFS(데이터_성질별수입!$G$3:$G$627,데이터_성질별수입!$E$3:$E$627,$B265,데이터_성질별수입!$A$3:$A$627,"2026.05")</f>
        <v>210506</v>
      </c>
      <c r="AF265" s="55" t="n">
        <f aca="false">SUMIFS(데이터_성질별수입!$G$3:$G$627,데이터_성질별수입!$E$3:$E$627,$B265,데이터_성질별수입!$A$3:$A$627,"2026.06")</f>
        <v>284407</v>
      </c>
      <c r="AG265" s="55" t="n">
        <f aca="false">SUMIFS(데이터_성질별수입!$G$3:$G$627,데이터_성질별수입!$E$3:$E$627,$B265,데이터_성질별수입!$A$3:$A$627,"2026.07")</f>
        <v>302258</v>
      </c>
    </row>
    <row r="266" customFormat="false" ht="15" hidden="false" customHeight="true" outlineLevel="0" collapsed="false">
      <c r="A266" s="53" t="s">
        <v>422</v>
      </c>
      <c r="B266" s="54" t="s">
        <v>16369</v>
      </c>
      <c r="C266" s="55" t="n">
        <f aca="false">SUMIFS(데이터_성질별수입!$G$3:$G$627,데이터_성질별수입!$E$3:$E$627,$B266,데이터_성질별수입!$A$3:$A$627,"2024.01")</f>
        <v>317721</v>
      </c>
      <c r="D266" s="55" t="n">
        <f aca="false">SUMIFS(데이터_성질별수입!$G$3:$G$627,데이터_성질별수입!$E$3:$E$627,$B266,데이터_성질별수입!$A$3:$A$627,"2024.02")</f>
        <v>264024</v>
      </c>
      <c r="E266" s="55" t="n">
        <f aca="false">SUMIFS(데이터_성질별수입!$G$3:$G$627,데이터_성질별수입!$E$3:$E$627,$B266,데이터_성질별수입!$A$3:$A$627,"2024.03")</f>
        <v>323476</v>
      </c>
      <c r="F266" s="55" t="n">
        <f aca="false">SUMIFS(데이터_성질별수입!$G$3:$G$627,데이터_성질별수입!$E$3:$E$627,$B266,데이터_성질별수입!$A$3:$A$627,"2024.04")</f>
        <v>355093</v>
      </c>
      <c r="G266" s="55" t="n">
        <f aca="false">SUMIFS(데이터_성질별수입!$G$3:$G$627,데이터_성질별수입!$E$3:$E$627,$B266,데이터_성질별수입!$A$3:$A$627,"2024.05")</f>
        <v>349051</v>
      </c>
      <c r="H266" s="55" t="n">
        <f aca="false">SUMIFS(데이터_성질별수입!$G$3:$G$627,데이터_성질별수입!$E$3:$E$627,$B266,데이터_성질별수입!$A$3:$A$627,"2024.06")</f>
        <v>306953</v>
      </c>
      <c r="I266" s="55" t="n">
        <f aca="false">SUMIFS(데이터_성질별수입!$G$3:$G$627,데이터_성질별수입!$E$3:$E$627,$B266,데이터_성질별수입!$A$3:$A$627,"2024.07")</f>
        <v>338930</v>
      </c>
      <c r="J266" s="55" t="n">
        <f aca="false">SUMIFS(데이터_성질별수입!$G$3:$G$627,데이터_성질별수입!$E$3:$E$627,$B266,데이터_성질별수입!$A$3:$A$627,"2024.08")</f>
        <v>309530</v>
      </c>
      <c r="K266" s="55" t="n">
        <f aca="false">SUMIFS(데이터_성질별수입!$G$3:$G$627,데이터_성질별수입!$E$3:$E$627,$B266,데이터_성질별수입!$A$3:$A$627,"2024.09")</f>
        <v>301900</v>
      </c>
      <c r="L266" s="55" t="n">
        <f aca="false">SUMIFS(데이터_성질별수입!$G$3:$G$627,데이터_성질별수입!$E$3:$E$627,$B266,데이터_성질별수입!$A$3:$A$627,"2024.10")</f>
        <v>321985</v>
      </c>
      <c r="M266" s="55" t="n">
        <f aca="false">SUMIFS(데이터_성질별수입!$G$3:$G$627,데이터_성질별수입!$E$3:$E$627,$B266,데이터_성질별수입!$A$3:$A$627,"2024.11")</f>
        <v>298193</v>
      </c>
      <c r="N266" s="55" t="n">
        <f aca="false">SUMIFS(데이터_성질별수입!$G$3:$G$627,데이터_성질별수입!$E$3:$E$627,$B266,데이터_성질별수입!$A$3:$A$627,"2024.12")</f>
        <v>316678</v>
      </c>
      <c r="O266" s="55" t="n">
        <f aca="false">SUMIFS(데이터_성질별수입!$G$3:$G$627,데이터_성질별수입!$E$3:$E$627,$B266,데이터_성질별수입!$A$3:$A$627,"2025.01")</f>
        <v>281807</v>
      </c>
      <c r="P266" s="55" t="n">
        <f aca="false">SUMIFS(데이터_성질별수입!$G$3:$G$627,데이터_성질별수입!$E$3:$E$627,$B266,데이터_성질별수입!$A$3:$A$627,"2025.02")</f>
        <v>280686</v>
      </c>
      <c r="Q266" s="55" t="n">
        <f aca="false">SUMIFS(데이터_성질별수입!$G$3:$G$627,데이터_성질별수입!$E$3:$E$627,$B266,데이터_성질별수입!$A$3:$A$627,"2025.03")</f>
        <v>316594</v>
      </c>
      <c r="R266" s="55" t="n">
        <f aca="false">SUMIFS(데이터_성질별수입!$G$3:$G$627,데이터_성질별수입!$E$3:$E$627,$B266,데이터_성질별수입!$A$3:$A$627,"2025.04")</f>
        <v>340662</v>
      </c>
      <c r="S266" s="55" t="n">
        <f aca="false">SUMIFS(데이터_성질별수입!$G$3:$G$627,데이터_성질별수입!$E$3:$E$627,$B266,데이터_성질별수입!$A$3:$A$627,"2025.05")</f>
        <v>309931</v>
      </c>
      <c r="T266" s="55" t="n">
        <f aca="false">SUMIFS(데이터_성질별수입!$G$3:$G$627,데이터_성질별수입!$E$3:$E$627,$B266,데이터_성질별수입!$A$3:$A$627,"2025.06")</f>
        <v>301660</v>
      </c>
      <c r="U266" s="55" t="n">
        <f aca="false">SUMIFS(데이터_성질별수입!$G$3:$G$627,데이터_성질별수입!$E$3:$E$627,$B266,데이터_성질별수입!$A$3:$A$627,"2025.07")</f>
        <v>311900</v>
      </c>
      <c r="V266" s="55" t="n">
        <f aca="false">SUMIFS(데이터_성질별수입!$G$3:$G$627,데이터_성질별수입!$E$3:$E$627,$B266,데이터_성질별수입!$A$3:$A$627,"2025.08")</f>
        <v>267587</v>
      </c>
      <c r="W266" s="55" t="n">
        <f aca="false">SUMIFS(데이터_성질별수입!$G$3:$G$627,데이터_성질별수입!$E$3:$E$627,$B266,데이터_성질별수입!$A$3:$A$627,"2025.09")</f>
        <v>315288</v>
      </c>
      <c r="X266" s="55" t="n">
        <f aca="false">SUMIFS(데이터_성질별수입!$G$3:$G$627,데이터_성질별수입!$E$3:$E$627,$B266,데이터_성질별수입!$A$3:$A$627,"2025.10")</f>
        <v>274696</v>
      </c>
      <c r="Y266" s="55" t="n">
        <f aca="false">SUMIFS(데이터_성질별수입!$G$3:$G$627,데이터_성질별수입!$E$3:$E$627,$B266,데이터_성질별수입!$A$3:$A$627,"2025.11")</f>
        <v>283886</v>
      </c>
      <c r="Z266" s="55" t="n">
        <f aca="false">SUMIFS(데이터_성질별수입!$G$3:$G$627,데이터_성질별수입!$E$3:$E$627,$B266,데이터_성질별수입!$A$3:$A$627,"2025.12")</f>
        <v>317990</v>
      </c>
      <c r="AA266" s="55" t="n">
        <f aca="false">SUMIFS(데이터_성질별수입!$G$3:$G$627,데이터_성질별수입!$E$3:$E$627,$B266,데이터_성질별수입!$A$3:$A$627,"2026.01")</f>
        <v>283326</v>
      </c>
      <c r="AB266" s="55" t="n">
        <f aca="false">SUMIFS(데이터_성질별수입!$G$3:$G$627,데이터_성질별수입!$E$3:$E$627,$B266,데이터_성질별수입!$A$3:$A$627,"2026.02")</f>
        <v>246677</v>
      </c>
      <c r="AC266" s="55" t="n">
        <f aca="false">SUMIFS(데이터_성질별수입!$G$3:$G$627,데이터_성질별수입!$E$3:$E$627,$B266,데이터_성질별수입!$A$3:$A$627,"2026.03")</f>
        <v>300938</v>
      </c>
      <c r="AD266" s="55" t="n">
        <f aca="false">SUMIFS(데이터_성질별수입!$G$3:$G$627,데이터_성질별수입!$E$3:$E$627,$B266,데이터_성질별수입!$A$3:$A$627,"2026.04")</f>
        <v>334959</v>
      </c>
      <c r="AE266" s="55" t="n">
        <f aca="false">SUMIFS(데이터_성질별수입!$G$3:$G$627,데이터_성질별수입!$E$3:$E$627,$B266,데이터_성질별수입!$A$3:$A$627,"2026.05")</f>
        <v>310370</v>
      </c>
      <c r="AF266" s="55" t="n">
        <f aca="false">SUMIFS(데이터_성질별수입!$G$3:$G$627,데이터_성질별수입!$E$3:$E$627,$B266,데이터_성질별수입!$A$3:$A$627,"2026.06")</f>
        <v>352467</v>
      </c>
      <c r="AG266" s="55" t="n">
        <f aca="false">SUMIFS(데이터_성질별수입!$G$3:$G$627,데이터_성질별수입!$E$3:$E$627,$B266,데이터_성질별수입!$A$3:$A$627,"2026.07")</f>
        <v>316673</v>
      </c>
    </row>
    <row r="267" customFormat="false" ht="15" hidden="false" customHeight="true" outlineLevel="0" collapsed="false">
      <c r="A267" s="53" t="s">
        <v>429</v>
      </c>
      <c r="B267" s="54" t="s">
        <v>16372</v>
      </c>
      <c r="C267" s="55" t="n">
        <f aca="false">SUMIFS(데이터_성질별수입!$G$3:$G$627,데이터_성질별수입!$E$3:$E$627,$B267,데이터_성질별수입!$A$3:$A$627,"2024.01")</f>
        <v>4818698</v>
      </c>
      <c r="D267" s="55" t="n">
        <f aca="false">SUMIFS(데이터_성질별수입!$G$3:$G$627,데이터_성질별수입!$E$3:$E$627,$B267,데이터_성질별수입!$A$3:$A$627,"2024.02")</f>
        <v>4264103</v>
      </c>
      <c r="E267" s="55" t="n">
        <f aca="false">SUMIFS(데이터_성질별수입!$G$3:$G$627,데이터_성질별수입!$E$3:$E$627,$B267,데이터_성질별수입!$A$3:$A$627,"2024.03")</f>
        <v>5011344</v>
      </c>
      <c r="F267" s="55" t="n">
        <f aca="false">SUMIFS(데이터_성질별수입!$G$3:$G$627,데이터_성질별수입!$E$3:$E$627,$B267,데이터_성질별수입!$A$3:$A$627,"2024.04")</f>
        <v>4974192</v>
      </c>
      <c r="G267" s="55" t="n">
        <f aca="false">SUMIFS(데이터_성질별수입!$G$3:$G$627,데이터_성질별수입!$E$3:$E$627,$B267,데이터_성질별수입!$A$3:$A$627,"2024.05")</f>
        <v>4762775</v>
      </c>
      <c r="H267" s="55" t="n">
        <f aca="false">SUMIFS(데이터_성질별수입!$G$3:$G$627,데이터_성질별수입!$E$3:$E$627,$B267,데이터_성질별수입!$A$3:$A$627,"2024.06")</f>
        <v>4421575</v>
      </c>
      <c r="I267" s="55" t="n">
        <f aca="false">SUMIFS(데이터_성질별수입!$G$3:$G$627,데이터_성질별수입!$E$3:$E$627,$B267,데이터_성질별수입!$A$3:$A$627,"2024.07")</f>
        <v>4857250</v>
      </c>
      <c r="J267" s="55" t="n">
        <f aca="false">SUMIFS(데이터_성질별수입!$G$3:$G$627,데이터_성질별수입!$E$3:$E$627,$B267,데이터_성질별수입!$A$3:$A$627,"2024.08")</f>
        <v>4671279</v>
      </c>
      <c r="K267" s="55" t="n">
        <f aca="false">SUMIFS(데이터_성질별수입!$G$3:$G$627,데이터_성질별수입!$E$3:$E$627,$B267,데이터_성질별수입!$A$3:$A$627,"2024.09")</f>
        <v>4600934</v>
      </c>
      <c r="L267" s="55" t="n">
        <f aca="false">SUMIFS(데이터_성질별수입!$G$3:$G$627,데이터_성질별수입!$E$3:$E$627,$B267,데이터_성질별수입!$A$3:$A$627,"2024.10")</f>
        <v>4588012</v>
      </c>
      <c r="M267" s="55" t="n">
        <f aca="false">SUMIFS(데이터_성질별수입!$G$3:$G$627,데이터_성질별수입!$E$3:$E$627,$B267,데이터_성질별수입!$A$3:$A$627,"2024.11")</f>
        <v>4100211</v>
      </c>
      <c r="N267" s="55" t="n">
        <f aca="false">SUMIFS(데이터_성질별수입!$G$3:$G$627,데이터_성질별수입!$E$3:$E$627,$B267,데이터_성질별수입!$A$3:$A$627,"2024.12")</f>
        <v>4384247</v>
      </c>
      <c r="O267" s="55" t="n">
        <f aca="false">SUMIFS(데이터_성질별수입!$G$3:$G$627,데이터_성질별수입!$E$3:$E$627,$B267,데이터_성질별수입!$A$3:$A$627,"2025.01")</f>
        <v>4268893</v>
      </c>
      <c r="P267" s="55" t="n">
        <f aca="false">SUMIFS(데이터_성질별수입!$G$3:$G$627,데이터_성질별수입!$E$3:$E$627,$B267,데이터_성질별수입!$A$3:$A$627,"2025.02")</f>
        <v>4462698</v>
      </c>
      <c r="Q267" s="55" t="n">
        <f aca="false">SUMIFS(데이터_성질별수입!$G$3:$G$627,데이터_성질별수입!$E$3:$E$627,$B267,데이터_성질별수입!$A$3:$A$627,"2025.03")</f>
        <v>4369341</v>
      </c>
      <c r="R267" s="55" t="n">
        <f aca="false">SUMIFS(데이터_성질별수입!$G$3:$G$627,데이터_성질별수입!$E$3:$E$627,$B267,데이터_성질별수입!$A$3:$A$627,"2025.04")</f>
        <v>4701164</v>
      </c>
      <c r="S267" s="55" t="n">
        <f aca="false">SUMIFS(데이터_성질별수입!$G$3:$G$627,데이터_성질별수입!$E$3:$E$627,$B267,데이터_성질별수입!$A$3:$A$627,"2025.05")</f>
        <v>4363947</v>
      </c>
      <c r="T267" s="55" t="n">
        <f aca="false">SUMIFS(데이터_성질별수입!$G$3:$G$627,데이터_성질별수입!$E$3:$E$627,$B267,데이터_성질별수입!$A$3:$A$627,"2025.06")</f>
        <v>4452289</v>
      </c>
      <c r="U267" s="55" t="n">
        <f aca="false">SUMIFS(데이터_성질별수입!$G$3:$G$627,데이터_성질별수입!$E$3:$E$627,$B267,데이터_성질별수입!$A$3:$A$627,"2025.07")</f>
        <v>4858142</v>
      </c>
      <c r="V267" s="55" t="n">
        <f aca="false">SUMIFS(데이터_성질별수입!$G$3:$G$627,데이터_성질별수입!$E$3:$E$627,$B267,데이터_성질별수입!$A$3:$A$627,"2025.08")</f>
        <v>4324224</v>
      </c>
      <c r="W267" s="55" t="n">
        <f aca="false">SUMIFS(데이터_성질별수입!$G$3:$G$627,데이터_성질별수입!$E$3:$E$627,$B267,데이터_성질별수입!$A$3:$A$627,"2025.09")</f>
        <v>5072213</v>
      </c>
      <c r="X267" s="55" t="n">
        <f aca="false">SUMIFS(데이터_성질별수입!$G$3:$G$627,데이터_성질별수입!$E$3:$E$627,$B267,데이터_성질별수입!$A$3:$A$627,"2025.10")</f>
        <v>4238406</v>
      </c>
      <c r="Y267" s="55" t="n">
        <f aca="false">SUMIFS(데이터_성질별수입!$G$3:$G$627,데이터_성질별수입!$E$3:$E$627,$B267,데이터_성질별수입!$A$3:$A$627,"2025.11")</f>
        <v>4329691</v>
      </c>
      <c r="Z267" s="55" t="n">
        <f aca="false">SUMIFS(데이터_성질별수입!$G$3:$G$627,데이터_성질별수입!$E$3:$E$627,$B267,데이터_성질별수입!$A$3:$A$627,"2025.12")</f>
        <v>5045262</v>
      </c>
      <c r="AA267" s="55" t="n">
        <f aca="false">SUMIFS(데이터_성질별수입!$G$3:$G$627,데이터_성질별수입!$E$3:$E$627,$B267,데이터_성질별수입!$A$3:$A$627,"2026.01")</f>
        <v>4486555</v>
      </c>
      <c r="AB267" s="55" t="n">
        <f aca="false">SUMIFS(데이터_성질별수입!$G$3:$G$627,데이터_성질별수입!$E$3:$E$627,$B267,데이터_성질별수입!$A$3:$A$627,"2026.02")</f>
        <v>4216160</v>
      </c>
      <c r="AC267" s="55" t="n">
        <f aca="false">SUMIFS(데이터_성질별수입!$G$3:$G$627,데이터_성질별수입!$E$3:$E$627,$B267,데이터_성질별수입!$A$3:$A$627,"2026.03")</f>
        <v>5285912</v>
      </c>
      <c r="AD267" s="55" t="n">
        <f aca="false">SUMIFS(데이터_성질별수입!$G$3:$G$627,데이터_성질별수입!$E$3:$E$627,$B267,데이터_성질별수입!$A$3:$A$627,"2026.04")</f>
        <v>5711336</v>
      </c>
      <c r="AE267" s="55" t="n">
        <f aca="false">SUMIFS(데이터_성질별수입!$G$3:$G$627,데이터_성질별수입!$E$3:$E$627,$B267,데이터_성질별수입!$A$3:$A$627,"2026.05")</f>
        <v>5563663</v>
      </c>
      <c r="AF267" s="55" t="n">
        <f aca="false">SUMIFS(데이터_성질별수입!$G$3:$G$627,데이터_성질별수입!$E$3:$E$627,$B267,데이터_성질별수입!$A$3:$A$627,"2026.06")</f>
        <v>5733065</v>
      </c>
      <c r="AG267" s="55" t="n">
        <f aca="false">SUMIFS(데이터_성질별수입!$G$3:$G$627,데이터_성질별수입!$E$3:$E$627,$B267,데이터_성질별수입!$A$3:$A$627,"2026.07")</f>
        <v>5650336</v>
      </c>
    </row>
    <row r="268" customFormat="false" ht="15" hidden="false" customHeight="true" outlineLevel="0" collapsed="false">
      <c r="A268" s="53" t="s">
        <v>436</v>
      </c>
      <c r="B268" s="54" t="s">
        <v>16375</v>
      </c>
      <c r="C268" s="55" t="n">
        <f aca="false">SUMIFS(데이터_성질별수입!$G$3:$G$627,데이터_성질별수입!$E$3:$E$627,$B268,데이터_성질별수입!$A$3:$A$627,"2024.01")</f>
        <v>1756547</v>
      </c>
      <c r="D268" s="55" t="n">
        <f aca="false">SUMIFS(데이터_성질별수입!$G$3:$G$627,데이터_성질별수입!$E$3:$E$627,$B268,데이터_성질별수입!$A$3:$A$627,"2024.02")</f>
        <v>1604529</v>
      </c>
      <c r="E268" s="55" t="n">
        <f aca="false">SUMIFS(데이터_성질별수입!$G$3:$G$627,데이터_성질별수입!$E$3:$E$627,$B268,데이터_성질별수입!$A$3:$A$627,"2024.03")</f>
        <v>1872098</v>
      </c>
      <c r="F268" s="55" t="n">
        <f aca="false">SUMIFS(데이터_성질별수입!$G$3:$G$627,데이터_성질별수입!$E$3:$E$627,$B268,데이터_성질별수입!$A$3:$A$627,"2024.04")</f>
        <v>1877195</v>
      </c>
      <c r="G268" s="55" t="n">
        <f aca="false">SUMIFS(데이터_성질별수입!$G$3:$G$627,데이터_성질별수입!$E$3:$E$627,$B268,데이터_성질별수입!$A$3:$A$627,"2024.05")</f>
        <v>1872914</v>
      </c>
      <c r="H268" s="55" t="n">
        <f aca="false">SUMIFS(데이터_성질별수입!$G$3:$G$627,데이터_성질별수입!$E$3:$E$627,$B268,데이터_성질별수입!$A$3:$A$627,"2024.06")</f>
        <v>1546972</v>
      </c>
      <c r="I268" s="55" t="n">
        <f aca="false">SUMIFS(데이터_성질별수입!$G$3:$G$627,데이터_성질별수입!$E$3:$E$627,$B268,데이터_성질별수입!$A$3:$A$627,"2024.07")</f>
        <v>1594693</v>
      </c>
      <c r="J268" s="55" t="n">
        <f aca="false">SUMIFS(데이터_성질별수입!$G$3:$G$627,데이터_성질별수입!$E$3:$E$627,$B268,데이터_성질별수입!$A$3:$A$627,"2024.08")</f>
        <v>1682099</v>
      </c>
      <c r="K268" s="55" t="n">
        <f aca="false">SUMIFS(데이터_성질별수입!$G$3:$G$627,데이터_성질별수입!$E$3:$E$627,$B268,데이터_성질별수입!$A$3:$A$627,"2024.09")</f>
        <v>1525633</v>
      </c>
      <c r="L268" s="55" t="n">
        <f aca="false">SUMIFS(데이터_성질별수입!$G$3:$G$627,데이터_성질별수입!$E$3:$E$627,$B268,데이터_성질별수입!$A$3:$A$627,"2024.10")</f>
        <v>1657394</v>
      </c>
      <c r="M268" s="55" t="n">
        <f aca="false">SUMIFS(데이터_성질별수입!$G$3:$G$627,데이터_성질별수입!$E$3:$E$627,$B268,데이터_성질별수입!$A$3:$A$627,"2024.11")</f>
        <v>1751854</v>
      </c>
      <c r="N268" s="55" t="n">
        <f aca="false">SUMIFS(데이터_성질별수입!$G$3:$G$627,데이터_성질별수입!$E$3:$E$627,$B268,데이터_성질별수입!$A$3:$A$627,"2024.12")</f>
        <v>1748246</v>
      </c>
      <c r="O268" s="55" t="n">
        <f aca="false">SUMIFS(데이터_성질별수입!$G$3:$G$627,데이터_성질별수입!$E$3:$E$627,$B268,데이터_성질별수입!$A$3:$A$627,"2025.01")</f>
        <v>1548329</v>
      </c>
      <c r="P268" s="55" t="n">
        <f aca="false">SUMIFS(데이터_성질별수입!$G$3:$G$627,데이터_성질별수입!$E$3:$E$627,$B268,데이터_성질별수입!$A$3:$A$627,"2025.02")</f>
        <v>1377832</v>
      </c>
      <c r="Q268" s="55" t="n">
        <f aca="false">SUMIFS(데이터_성질별수입!$G$3:$G$627,데이터_성질별수입!$E$3:$E$627,$B268,데이터_성질별수입!$A$3:$A$627,"2025.03")</f>
        <v>1691660</v>
      </c>
      <c r="R268" s="55" t="n">
        <f aca="false">SUMIFS(데이터_성질별수입!$G$3:$G$627,데이터_성질별수입!$E$3:$E$627,$B268,데이터_성질별수입!$A$3:$A$627,"2025.04")</f>
        <v>1624400</v>
      </c>
      <c r="S268" s="55" t="n">
        <f aca="false">SUMIFS(데이터_성질별수입!$G$3:$G$627,데이터_성질별수입!$E$3:$E$627,$B268,데이터_성질별수입!$A$3:$A$627,"2025.05")</f>
        <v>1508266</v>
      </c>
      <c r="T268" s="55" t="n">
        <f aca="false">SUMIFS(데이터_성질별수입!$G$3:$G$627,데이터_성질별수입!$E$3:$E$627,$B268,데이터_성질별수입!$A$3:$A$627,"2025.06")</f>
        <v>1455944</v>
      </c>
      <c r="U268" s="55" t="n">
        <f aca="false">SUMIFS(데이터_성질별수입!$G$3:$G$627,데이터_성질별수입!$E$3:$E$627,$B268,데이터_성질별수입!$A$3:$A$627,"2025.07")</f>
        <v>1637837</v>
      </c>
      <c r="V268" s="55" t="n">
        <f aca="false">SUMIFS(데이터_성질별수입!$G$3:$G$627,데이터_성질별수입!$E$3:$E$627,$B268,데이터_성질별수입!$A$3:$A$627,"2025.08")</f>
        <v>1459699</v>
      </c>
      <c r="W268" s="55" t="n">
        <f aca="false">SUMIFS(데이터_성질별수입!$G$3:$G$627,데이터_성질별수입!$E$3:$E$627,$B268,데이터_성질별수입!$A$3:$A$627,"2025.09")</f>
        <v>1597331</v>
      </c>
      <c r="X268" s="55" t="n">
        <f aca="false">SUMIFS(데이터_성질별수입!$G$3:$G$627,데이터_성질별수입!$E$3:$E$627,$B268,데이터_성질별수입!$A$3:$A$627,"2025.10")</f>
        <v>1335280</v>
      </c>
      <c r="Y268" s="55" t="n">
        <f aca="false">SUMIFS(데이터_성질별수입!$G$3:$G$627,데이터_성질별수입!$E$3:$E$627,$B268,데이터_성질별수입!$A$3:$A$627,"2025.11")</f>
        <v>1326376</v>
      </c>
      <c r="Z268" s="55" t="n">
        <f aca="false">SUMIFS(데이터_성질별수입!$G$3:$G$627,데이터_성질별수입!$E$3:$E$627,$B268,데이터_성질별수입!$A$3:$A$627,"2025.12")</f>
        <v>1627440</v>
      </c>
      <c r="AA268" s="55" t="n">
        <f aca="false">SUMIFS(데이터_성질별수입!$G$3:$G$627,데이터_성질별수입!$E$3:$E$627,$B268,데이터_성질별수입!$A$3:$A$627,"2026.01")</f>
        <v>1354633</v>
      </c>
      <c r="AB268" s="55" t="n">
        <f aca="false">SUMIFS(데이터_성질별수입!$G$3:$G$627,데이터_성질별수입!$E$3:$E$627,$B268,데이터_성질별수입!$A$3:$A$627,"2026.02")</f>
        <v>1321394</v>
      </c>
      <c r="AC268" s="55" t="n">
        <f aca="false">SUMIFS(데이터_성질별수입!$G$3:$G$627,데이터_성질별수입!$E$3:$E$627,$B268,데이터_성질별수입!$A$3:$A$627,"2026.03")</f>
        <v>1537356</v>
      </c>
      <c r="AD268" s="55" t="n">
        <f aca="false">SUMIFS(데이터_성질별수입!$G$3:$G$627,데이터_성질별수입!$E$3:$E$627,$B268,데이터_성질별수입!$A$3:$A$627,"2026.04")</f>
        <v>1553202</v>
      </c>
      <c r="AE268" s="55" t="n">
        <f aca="false">SUMIFS(데이터_성질별수입!$G$3:$G$627,데이터_성질별수입!$E$3:$E$627,$B268,데이터_성질별수입!$A$3:$A$627,"2026.05")</f>
        <v>1508549</v>
      </c>
      <c r="AF268" s="55" t="n">
        <f aca="false">SUMIFS(데이터_성질별수입!$G$3:$G$627,데이터_성질별수입!$E$3:$E$627,$B268,데이터_성질별수입!$A$3:$A$627,"2026.06")</f>
        <v>1621422</v>
      </c>
      <c r="AG268" s="55" t="n">
        <f aca="false">SUMIFS(데이터_성질별수입!$G$3:$G$627,데이터_성질별수입!$E$3:$E$627,$B268,데이터_성질별수입!$A$3:$A$627,"2026.07")</f>
        <v>1602807</v>
      </c>
    </row>
    <row r="269" customFormat="false" ht="15" hidden="false" customHeight="true" outlineLevel="0" collapsed="false">
      <c r="A269" s="53" t="s">
        <v>443</v>
      </c>
      <c r="B269" s="54" t="s">
        <v>16378</v>
      </c>
      <c r="C269" s="55" t="n">
        <f aca="false">SUMIFS(데이터_성질별수입!$G$3:$G$627,데이터_성질별수입!$E$3:$E$627,$B269,데이터_성질별수입!$A$3:$A$627,"2024.01")</f>
        <v>1231291</v>
      </c>
      <c r="D269" s="55" t="n">
        <f aca="false">SUMIFS(데이터_성질별수입!$G$3:$G$627,데이터_성질별수입!$E$3:$E$627,$B269,데이터_성질별수입!$A$3:$A$627,"2024.02")</f>
        <v>1136337</v>
      </c>
      <c r="E269" s="55" t="n">
        <f aca="false">SUMIFS(데이터_성질별수입!$G$3:$G$627,데이터_성질별수입!$E$3:$E$627,$B269,데이터_성질별수입!$A$3:$A$627,"2024.03")</f>
        <v>1343145</v>
      </c>
      <c r="F269" s="55" t="n">
        <f aca="false">SUMIFS(데이터_성질별수입!$G$3:$G$627,데이터_성질별수입!$E$3:$E$627,$B269,데이터_성질별수입!$A$3:$A$627,"2024.04")</f>
        <v>1407159</v>
      </c>
      <c r="G269" s="55" t="n">
        <f aca="false">SUMIFS(데이터_성질별수입!$G$3:$G$627,데이터_성질별수입!$E$3:$E$627,$B269,데이터_성질별수입!$A$3:$A$627,"2024.05")</f>
        <v>1459060</v>
      </c>
      <c r="H269" s="55" t="n">
        <f aca="false">SUMIFS(데이터_성질별수입!$G$3:$G$627,데이터_성질별수입!$E$3:$E$627,$B269,데이터_성질별수입!$A$3:$A$627,"2024.06")</f>
        <v>1316080</v>
      </c>
      <c r="I269" s="55" t="n">
        <f aca="false">SUMIFS(데이터_성질별수입!$G$3:$G$627,데이터_성질별수입!$E$3:$E$627,$B269,데이터_성질별수입!$A$3:$A$627,"2024.07")</f>
        <v>1418845</v>
      </c>
      <c r="J269" s="55" t="n">
        <f aca="false">SUMIFS(데이터_성질별수입!$G$3:$G$627,데이터_성질별수입!$E$3:$E$627,$B269,데이터_성질별수입!$A$3:$A$627,"2024.08")</f>
        <v>1277918</v>
      </c>
      <c r="K269" s="55" t="n">
        <f aca="false">SUMIFS(데이터_성질별수입!$G$3:$G$627,데이터_성질별수입!$E$3:$E$627,$B269,데이터_성질별수입!$A$3:$A$627,"2024.09")</f>
        <v>1247446</v>
      </c>
      <c r="L269" s="55" t="n">
        <f aca="false">SUMIFS(데이터_성질별수입!$G$3:$G$627,데이터_성질별수입!$E$3:$E$627,$B269,데이터_성질별수입!$A$3:$A$627,"2024.10")</f>
        <v>1366274</v>
      </c>
      <c r="M269" s="55" t="n">
        <f aca="false">SUMIFS(데이터_성질별수입!$G$3:$G$627,데이터_성질별수입!$E$3:$E$627,$B269,데이터_성질별수입!$A$3:$A$627,"2024.11")</f>
        <v>1304746</v>
      </c>
      <c r="N269" s="55" t="n">
        <f aca="false">SUMIFS(데이터_성질별수입!$G$3:$G$627,데이터_성질별수입!$E$3:$E$627,$B269,데이터_성질별수입!$A$3:$A$627,"2024.12")</f>
        <v>1389767</v>
      </c>
      <c r="O269" s="55" t="n">
        <f aca="false">SUMIFS(데이터_성질별수입!$G$3:$G$627,데이터_성질별수입!$E$3:$E$627,$B269,데이터_성질별수입!$A$3:$A$627,"2025.01")</f>
        <v>1264142</v>
      </c>
      <c r="P269" s="55" t="n">
        <f aca="false">SUMIFS(데이터_성질별수입!$G$3:$G$627,데이터_성질별수입!$E$3:$E$627,$B269,데이터_성질별수입!$A$3:$A$627,"2025.02")</f>
        <v>1184062</v>
      </c>
      <c r="Q269" s="55" t="n">
        <f aca="false">SUMIFS(데이터_성질별수입!$G$3:$G$627,데이터_성질별수입!$E$3:$E$627,$B269,데이터_성질별수입!$A$3:$A$627,"2025.03")</f>
        <v>1364857</v>
      </c>
      <c r="R269" s="55" t="n">
        <f aca="false">SUMIFS(데이터_성질별수입!$G$3:$G$627,데이터_성질별수입!$E$3:$E$627,$B269,데이터_성질별수입!$A$3:$A$627,"2025.04")</f>
        <v>1490383</v>
      </c>
      <c r="S269" s="55" t="n">
        <f aca="false">SUMIFS(데이터_성질별수입!$G$3:$G$627,데이터_성질별수입!$E$3:$E$627,$B269,데이터_성질별수입!$A$3:$A$627,"2025.05")</f>
        <v>1431735</v>
      </c>
      <c r="T269" s="55" t="n">
        <f aca="false">SUMIFS(데이터_성질별수입!$G$3:$G$627,데이터_성질별수입!$E$3:$E$627,$B269,데이터_성질별수입!$A$3:$A$627,"2025.06")</f>
        <v>1426853</v>
      </c>
      <c r="U269" s="55" t="n">
        <f aca="false">SUMIFS(데이터_성질별수입!$G$3:$G$627,데이터_성질별수입!$E$3:$E$627,$B269,데이터_성질별수입!$A$3:$A$627,"2025.07")</f>
        <v>1511079</v>
      </c>
      <c r="V269" s="55" t="n">
        <f aca="false">SUMIFS(데이터_성질별수입!$G$3:$G$627,데이터_성질별수입!$E$3:$E$627,$B269,데이터_성질별수입!$A$3:$A$627,"2025.08")</f>
        <v>1344714</v>
      </c>
      <c r="W269" s="55" t="n">
        <f aca="false">SUMIFS(데이터_성질별수입!$G$3:$G$627,데이터_성질별수입!$E$3:$E$627,$B269,데이터_성질별수입!$A$3:$A$627,"2025.09")</f>
        <v>1533531</v>
      </c>
      <c r="X269" s="55" t="n">
        <f aca="false">SUMIFS(데이터_성질별수입!$G$3:$G$627,데이터_성질별수입!$E$3:$E$627,$B269,데이터_성질별수입!$A$3:$A$627,"2025.10")</f>
        <v>1284576</v>
      </c>
      <c r="Y269" s="55" t="n">
        <f aca="false">SUMIFS(데이터_성질별수입!$G$3:$G$627,데이터_성질별수입!$E$3:$E$627,$B269,데이터_성질별수입!$A$3:$A$627,"2025.11")</f>
        <v>1404628</v>
      </c>
      <c r="Z269" s="55" t="n">
        <f aca="false">SUMIFS(데이터_성질별수입!$G$3:$G$627,데이터_성질별수입!$E$3:$E$627,$B269,데이터_성질별수입!$A$3:$A$627,"2025.12")</f>
        <v>1555044</v>
      </c>
      <c r="AA269" s="55" t="n">
        <f aca="false">SUMIFS(데이터_성질별수입!$G$3:$G$627,데이터_성질별수입!$E$3:$E$627,$B269,데이터_성질별수입!$A$3:$A$627,"2026.01")</f>
        <v>1766282</v>
      </c>
      <c r="AB269" s="55" t="n">
        <f aca="false">SUMIFS(데이터_성질별수입!$G$3:$G$627,데이터_성질별수입!$E$3:$E$627,$B269,데이터_성질별수입!$A$3:$A$627,"2026.02")</f>
        <v>1460865</v>
      </c>
      <c r="AC269" s="55" t="n">
        <f aca="false">SUMIFS(데이터_성질별수입!$G$3:$G$627,데이터_성질별수입!$E$3:$E$627,$B269,데이터_성질별수입!$A$3:$A$627,"2026.03")</f>
        <v>1966091</v>
      </c>
      <c r="AD269" s="55" t="n">
        <f aca="false">SUMIFS(데이터_성질별수입!$G$3:$G$627,데이터_성질별수입!$E$3:$E$627,$B269,데이터_성질별수입!$A$3:$A$627,"2026.04")</f>
        <v>2054856</v>
      </c>
      <c r="AE269" s="55" t="n">
        <f aca="false">SUMIFS(데이터_성질별수입!$G$3:$G$627,데이터_성질별수입!$E$3:$E$627,$B269,데이터_성질별수입!$A$3:$A$627,"2026.05")</f>
        <v>2042257</v>
      </c>
      <c r="AF269" s="55" t="n">
        <f aca="false">SUMIFS(데이터_성질별수입!$G$3:$G$627,데이터_성질별수입!$E$3:$E$627,$B269,데이터_성질별수입!$A$3:$A$627,"2026.06")</f>
        <v>2475660</v>
      </c>
      <c r="AG269" s="55" t="n">
        <f aca="false">SUMIFS(데이터_성질별수입!$G$3:$G$627,데이터_성질별수입!$E$3:$E$627,$B269,데이터_성질별수입!$A$3:$A$627,"2026.07")</f>
        <v>2223256</v>
      </c>
    </row>
    <row r="270" customFormat="false" ht="15" hidden="false" customHeight="true" outlineLevel="0" collapsed="false">
      <c r="A270" s="53" t="s">
        <v>450</v>
      </c>
      <c r="B270" s="54" t="s">
        <v>16381</v>
      </c>
      <c r="C270" s="55" t="n">
        <f aca="false">SUMIFS(데이터_성질별수입!$G$3:$G$627,데이터_성질별수입!$E$3:$E$627,$B270,데이터_성질별수입!$A$3:$A$627,"2024.01")</f>
        <v>1296954</v>
      </c>
      <c r="D270" s="55" t="n">
        <f aca="false">SUMIFS(데이터_성질별수입!$G$3:$G$627,데이터_성질별수입!$E$3:$E$627,$B270,데이터_성질별수입!$A$3:$A$627,"2024.02")</f>
        <v>1024983</v>
      </c>
      <c r="E270" s="55" t="n">
        <f aca="false">SUMIFS(데이터_성질별수입!$G$3:$G$627,데이터_성질별수입!$E$3:$E$627,$B270,데이터_성질별수입!$A$3:$A$627,"2024.03")</f>
        <v>1508038</v>
      </c>
      <c r="F270" s="55" t="n">
        <f aca="false">SUMIFS(데이터_성질별수입!$G$3:$G$627,데이터_성질별수입!$E$3:$E$627,$B270,데이터_성질별수입!$A$3:$A$627,"2024.04")</f>
        <v>1459809</v>
      </c>
      <c r="G270" s="55" t="n">
        <f aca="false">SUMIFS(데이터_성질별수입!$G$3:$G$627,데이터_성질별수입!$E$3:$E$627,$B270,데이터_성질별수입!$A$3:$A$627,"2024.05")</f>
        <v>1648523</v>
      </c>
      <c r="H270" s="55" t="n">
        <f aca="false">SUMIFS(데이터_성질별수입!$G$3:$G$627,데이터_성질별수입!$E$3:$E$627,$B270,데이터_성질별수입!$A$3:$A$627,"2024.06")</f>
        <v>1243845</v>
      </c>
      <c r="I270" s="55" t="n">
        <f aca="false">SUMIFS(데이터_성질별수입!$G$3:$G$627,데이터_성질별수입!$E$3:$E$627,$B270,데이터_성질별수입!$A$3:$A$627,"2024.07")</f>
        <v>1338816</v>
      </c>
      <c r="J270" s="55" t="n">
        <f aca="false">SUMIFS(데이터_성질별수입!$G$3:$G$627,데이터_성질별수입!$E$3:$E$627,$B270,데이터_성질별수입!$A$3:$A$627,"2024.08")</f>
        <v>1602518</v>
      </c>
      <c r="K270" s="55" t="n">
        <f aca="false">SUMIFS(데이터_성질별수입!$G$3:$G$627,데이터_성질별수입!$E$3:$E$627,$B270,데이터_성질별수입!$A$3:$A$627,"2024.09")</f>
        <v>1259973</v>
      </c>
      <c r="L270" s="55" t="n">
        <f aca="false">SUMIFS(데이터_성질별수입!$G$3:$G$627,데이터_성질별수입!$E$3:$E$627,$B270,데이터_성질별수입!$A$3:$A$627,"2024.10")</f>
        <v>1291318</v>
      </c>
      <c r="M270" s="55" t="n">
        <f aca="false">SUMIFS(데이터_성질별수입!$G$3:$G$627,데이터_성질별수입!$E$3:$E$627,$B270,데이터_성질별수입!$A$3:$A$627,"2024.11")</f>
        <v>1245448</v>
      </c>
      <c r="N270" s="55" t="n">
        <f aca="false">SUMIFS(데이터_성질별수입!$G$3:$G$627,데이터_성질별수입!$E$3:$E$627,$B270,데이터_성질별수입!$A$3:$A$627,"2024.12")</f>
        <v>1339245</v>
      </c>
      <c r="O270" s="55" t="n">
        <f aca="false">SUMIFS(데이터_성질별수입!$G$3:$G$627,데이터_성질별수입!$E$3:$E$627,$B270,데이터_성질별수입!$A$3:$A$627,"2025.01")</f>
        <v>1157806</v>
      </c>
      <c r="P270" s="55" t="n">
        <f aca="false">SUMIFS(데이터_성질별수입!$G$3:$G$627,데이터_성질별수입!$E$3:$E$627,$B270,데이터_성질별수입!$A$3:$A$627,"2025.02")</f>
        <v>1361894</v>
      </c>
      <c r="Q270" s="55" t="n">
        <f aca="false">SUMIFS(데이터_성질별수입!$G$3:$G$627,데이터_성질별수입!$E$3:$E$627,$B270,데이터_성질별수입!$A$3:$A$627,"2025.03")</f>
        <v>1235946</v>
      </c>
      <c r="R270" s="55" t="n">
        <f aca="false">SUMIFS(데이터_성질별수입!$G$3:$G$627,데이터_성질별수입!$E$3:$E$627,$B270,데이터_성질별수입!$A$3:$A$627,"2025.04")</f>
        <v>1387620</v>
      </c>
      <c r="S270" s="55" t="n">
        <f aca="false">SUMIFS(데이터_성질별수입!$G$3:$G$627,데이터_성질별수입!$E$3:$E$627,$B270,데이터_성질별수입!$A$3:$A$627,"2025.05")</f>
        <v>1273946</v>
      </c>
      <c r="T270" s="55" t="n">
        <f aca="false">SUMIFS(데이터_성질별수입!$G$3:$G$627,데이터_성질별수입!$E$3:$E$627,$B270,데이터_성질별수입!$A$3:$A$627,"2025.06")</f>
        <v>1328190</v>
      </c>
      <c r="U270" s="55" t="n">
        <f aca="false">SUMIFS(데이터_성질별수입!$G$3:$G$627,데이터_성질별수입!$E$3:$E$627,$B270,데이터_성질별수입!$A$3:$A$627,"2025.07")</f>
        <v>1406834</v>
      </c>
      <c r="V270" s="55" t="n">
        <f aca="false">SUMIFS(데이터_성질별수입!$G$3:$G$627,데이터_성질별수입!$E$3:$E$627,$B270,데이터_성질별수입!$A$3:$A$627,"2025.08")</f>
        <v>1257842</v>
      </c>
      <c r="W270" s="55" t="n">
        <f aca="false">SUMIFS(데이터_성질별수입!$G$3:$G$627,데이터_성질별수입!$E$3:$E$627,$B270,데이터_성질별수입!$A$3:$A$627,"2025.09")</f>
        <v>1439481</v>
      </c>
      <c r="X270" s="55" t="n">
        <f aca="false">SUMIFS(데이터_성질별수입!$G$3:$G$627,데이터_성질별수입!$E$3:$E$627,$B270,데이터_성질별수입!$A$3:$A$627,"2025.10")</f>
        <v>1414586</v>
      </c>
      <c r="Y270" s="55" t="n">
        <f aca="false">SUMIFS(데이터_성질별수입!$G$3:$G$627,데이터_성질별수입!$E$3:$E$627,$B270,데이터_성질별수입!$A$3:$A$627,"2025.11")</f>
        <v>1327921</v>
      </c>
      <c r="Z270" s="55" t="n">
        <f aca="false">SUMIFS(데이터_성질별수입!$G$3:$G$627,데이터_성질별수입!$E$3:$E$627,$B270,데이터_성질별수입!$A$3:$A$627,"2025.12")</f>
        <v>1499055</v>
      </c>
      <c r="AA270" s="55" t="n">
        <f aca="false">SUMIFS(데이터_성질별수입!$G$3:$G$627,데이터_성질별수입!$E$3:$E$627,$B270,데이터_성질별수입!$A$3:$A$627,"2026.01")</f>
        <v>1592229</v>
      </c>
      <c r="AB270" s="55" t="n">
        <f aca="false">SUMIFS(데이터_성질별수입!$G$3:$G$627,데이터_성질별수입!$E$3:$E$627,$B270,데이터_성질별수입!$A$3:$A$627,"2026.02")</f>
        <v>1172490</v>
      </c>
      <c r="AC270" s="55" t="n">
        <f aca="false">SUMIFS(데이터_성질별수입!$G$3:$G$627,데이터_성질별수입!$E$3:$E$627,$B270,데이터_성질별수입!$A$3:$A$627,"2026.03")</f>
        <v>1857419</v>
      </c>
      <c r="AD270" s="55" t="n">
        <f aca="false">SUMIFS(데이터_성질별수입!$G$3:$G$627,데이터_성질별수입!$E$3:$E$627,$B270,데이터_성질별수입!$A$3:$A$627,"2026.04")</f>
        <v>1509538</v>
      </c>
      <c r="AE270" s="55" t="n">
        <f aca="false">SUMIFS(데이터_성질별수입!$G$3:$G$627,데이터_성질별수입!$E$3:$E$627,$B270,데이터_성질별수입!$A$3:$A$627,"2026.05")</f>
        <v>1416772</v>
      </c>
      <c r="AF270" s="55" t="n">
        <f aca="false">SUMIFS(데이터_성질별수입!$G$3:$G$627,데이터_성질별수입!$E$3:$E$627,$B270,데이터_성질별수입!$A$3:$A$627,"2026.06")</f>
        <v>1399037</v>
      </c>
      <c r="AG270" s="55" t="n">
        <f aca="false">SUMIFS(데이터_성질별수입!$G$3:$G$627,데이터_성질별수입!$E$3:$E$627,$B270,데이터_성질별수입!$A$3:$A$627,"2026.07")</f>
        <v>1473795</v>
      </c>
    </row>
    <row r="271" customFormat="false" ht="15" hidden="false" customHeight="true" outlineLevel="0" collapsed="false">
      <c r="A271" s="53" t="s">
        <v>457</v>
      </c>
      <c r="B271" s="46" t="s">
        <v>19861</v>
      </c>
      <c r="C271" s="55" t="n">
        <f aca="false">SUMIFS(데이터_성질별수입!$G$3:$G$627,데이터_성질별수입!$E$3:$E$627,$B271,데이터_성질별수입!$A$3:$A$627,"2024.01")</f>
        <v>17621984</v>
      </c>
      <c r="D271" s="55" t="n">
        <f aca="false">SUMIFS(데이터_성질별수입!$G$3:$G$627,데이터_성질별수입!$E$3:$E$627,$B271,데이터_성질별수입!$A$3:$A$627,"2024.02")</f>
        <v>16058968</v>
      </c>
      <c r="E271" s="55" t="n">
        <f aca="false">SUMIFS(데이터_성질별수입!$G$3:$G$627,데이터_성질별수입!$E$3:$E$627,$B271,데이터_성질별수입!$A$3:$A$627,"2024.03")</f>
        <v>17881046</v>
      </c>
      <c r="F271" s="55" t="n">
        <f aca="false">SUMIFS(데이터_성질별수입!$G$3:$G$627,데이터_성질별수입!$E$3:$E$627,$B271,데이터_성질별수입!$A$3:$A$627,"2024.04")</f>
        <v>17906335</v>
      </c>
      <c r="G271" s="55" t="n">
        <f aca="false">SUMIFS(데이터_성질별수입!$G$3:$G$627,데이터_성질별수입!$E$3:$E$627,$B271,데이터_성질별수입!$A$3:$A$627,"2024.05")</f>
        <v>17479022</v>
      </c>
      <c r="H271" s="55" t="n">
        <f aca="false">SUMIFS(데이터_성질별수입!$G$3:$G$627,데이터_성질별수입!$E$3:$E$627,$B271,데이터_성질별수입!$A$3:$A$627,"2024.06")</f>
        <v>17251329</v>
      </c>
      <c r="I271" s="55" t="n">
        <f aca="false">SUMIFS(데이터_성질별수입!$G$3:$G$627,데이터_성질별수입!$E$3:$E$627,$B271,데이터_성질별수입!$A$3:$A$627,"2024.07")</f>
        <v>19276448</v>
      </c>
      <c r="J271" s="55" t="n">
        <f aca="false">SUMIFS(데이터_성질별수입!$G$3:$G$627,데이터_성질별수입!$E$3:$E$627,$B271,데이터_성질별수입!$A$3:$A$627,"2024.08")</f>
        <v>18258464</v>
      </c>
      <c r="K271" s="55" t="n">
        <f aca="false">SUMIFS(데이터_성질별수입!$G$3:$G$627,데이터_성질별수입!$E$3:$E$627,$B271,데이터_성질별수입!$A$3:$A$627,"2024.09")</f>
        <v>19466868</v>
      </c>
      <c r="L271" s="55" t="n">
        <f aca="false">SUMIFS(데이터_성질별수입!$G$3:$G$627,데이터_성질별수입!$E$3:$E$627,$B271,데이터_성질별수입!$A$3:$A$627,"2024.10")</f>
        <v>19876876</v>
      </c>
      <c r="M271" s="55" t="n">
        <f aca="false">SUMIFS(데이터_성질별수입!$G$3:$G$627,데이터_성질별수입!$E$3:$E$627,$B271,데이터_성질별수입!$A$3:$A$627,"2024.11")</f>
        <v>19163786</v>
      </c>
      <c r="N271" s="55" t="n">
        <f aca="false">SUMIFS(데이터_성질별수입!$G$3:$G$627,데이터_성질별수입!$E$3:$E$627,$B271,데이터_성질별수입!$A$3:$A$627,"2024.12")</f>
        <v>21820098</v>
      </c>
      <c r="O271" s="55" t="n">
        <f aca="false">SUMIFS(데이터_성질별수입!$G$3:$G$627,데이터_성질별수입!$E$3:$E$627,$B271,데이터_성질별수입!$A$3:$A$627,"2025.01")</f>
        <v>17803820</v>
      </c>
      <c r="P271" s="55" t="n">
        <f aca="false">SUMIFS(데이터_성질별수입!$G$3:$G$627,데이터_성질별수입!$E$3:$E$627,$B271,데이터_성질별수입!$A$3:$A$627,"2025.02")</f>
        <v>17570203</v>
      </c>
      <c r="Q271" s="55" t="n">
        <f aca="false">SUMIFS(데이터_성질별수입!$G$3:$G$627,데이터_성질별수입!$E$3:$E$627,$B271,데이터_성질별수입!$A$3:$A$627,"2025.03")</f>
        <v>20423375</v>
      </c>
      <c r="R271" s="55" t="n">
        <f aca="false">SUMIFS(데이터_성질별수입!$G$3:$G$627,데이터_성질별수입!$E$3:$E$627,$B271,데이터_성질별수입!$A$3:$A$627,"2025.04")</f>
        <v>19463751</v>
      </c>
      <c r="S271" s="55" t="n">
        <f aca="false">SUMIFS(데이터_성질별수입!$G$3:$G$627,데이터_성질별수입!$E$3:$E$627,$B271,데이터_성질별수입!$A$3:$A$627,"2025.05")</f>
        <v>18341591</v>
      </c>
      <c r="T271" s="55" t="n">
        <f aca="false">SUMIFS(데이터_성질별수입!$G$3:$G$627,데이터_성질별수입!$E$3:$E$627,$B271,데이터_성질별수입!$A$3:$A$627,"2025.06")</f>
        <v>19827208</v>
      </c>
      <c r="U271" s="55" t="n">
        <f aca="false">SUMIFS(데이터_성질별수입!$G$3:$G$627,데이터_성질별수입!$E$3:$E$627,$B271,데이터_성질별수입!$A$3:$A$627,"2025.07")</f>
        <v>20474060</v>
      </c>
      <c r="V271" s="55" t="n">
        <f aca="false">SUMIFS(데이터_성질별수입!$G$3:$G$627,데이터_성질별수입!$E$3:$E$627,$B271,데이터_성질별수입!$A$3:$A$627,"2025.08")</f>
        <v>18833326</v>
      </c>
      <c r="W271" s="55" t="n">
        <f aca="false">SUMIFS(데이터_성질별수입!$G$3:$G$627,데이터_성질별수입!$E$3:$E$627,$B271,데이터_성질별수입!$A$3:$A$627,"2025.09")</f>
        <v>21850546</v>
      </c>
      <c r="X271" s="55" t="n">
        <f aca="false">SUMIFS(데이터_성질별수입!$G$3:$G$627,데이터_성질별수입!$E$3:$E$627,$B271,데이터_성질별수입!$A$3:$A$627,"2025.10")</f>
        <v>19760310</v>
      </c>
      <c r="Y271" s="55" t="n">
        <f aca="false">SUMIFS(데이터_성질별수입!$G$3:$G$627,데이터_성질별수입!$E$3:$E$627,$B271,데이터_성질별수입!$A$3:$A$627,"2025.11")</f>
        <v>20053600</v>
      </c>
      <c r="Z271" s="55" t="n">
        <f aca="false">SUMIFS(데이터_성질별수입!$G$3:$G$627,데이터_성질별수입!$E$3:$E$627,$B271,데이터_성질별수입!$A$3:$A$627,"2025.12")</f>
        <v>23088968</v>
      </c>
      <c r="AA271" s="55" t="n">
        <f aca="false">SUMIFS(데이터_성질별수입!$G$3:$G$627,데이터_성질별수입!$E$3:$E$627,$B271,데이터_성질별수입!$A$3:$A$627,"2026.01")</f>
        <v>21671520</v>
      </c>
      <c r="AB271" s="55" t="n">
        <f aca="false">SUMIFS(데이터_성질별수입!$G$3:$G$627,데이터_성질별수입!$E$3:$E$627,$B271,데이터_성질별수입!$A$3:$A$627,"2026.02")</f>
        <v>20422881</v>
      </c>
      <c r="AC271" s="55" t="n">
        <f aca="false">SUMIFS(데이터_성질별수입!$G$3:$G$627,데이터_성질별수입!$E$3:$E$627,$B271,데이터_성질별수입!$A$3:$A$627,"2026.03")</f>
        <v>25311968</v>
      </c>
      <c r="AD271" s="55" t="n">
        <f aca="false">SUMIFS(데이터_성질별수입!$G$3:$G$627,데이터_성질별수입!$E$3:$E$627,$B271,데이터_성질별수입!$A$3:$A$627,"2026.04")</f>
        <v>24865788</v>
      </c>
      <c r="AE271" s="55" t="n">
        <f aca="false">SUMIFS(데이터_성질별수입!$G$3:$G$627,데이터_성질별수입!$E$3:$E$627,$B271,데이터_성질별수입!$A$3:$A$627,"2026.05")</f>
        <v>23487604</v>
      </c>
      <c r="AF271" s="55" t="n">
        <f aca="false">SUMIFS(데이터_성질별수입!$G$3:$G$627,데이터_성질별수입!$E$3:$E$627,$B271,데이터_성질별수입!$A$3:$A$627,"2026.06")</f>
        <v>26828263</v>
      </c>
      <c r="AG271" s="55" t="n">
        <f aca="false">SUMIFS(데이터_성질별수입!$G$3:$G$627,데이터_성질별수입!$E$3:$E$627,$B271,데이터_성질별수입!$A$3:$A$627,"2026.07")</f>
        <v>27980796</v>
      </c>
    </row>
    <row r="272" customFormat="false" ht="15" hidden="false" customHeight="true" outlineLevel="0" collapsed="false">
      <c r="A272" s="53" t="s">
        <v>464</v>
      </c>
      <c r="B272" s="54" t="s">
        <v>16387</v>
      </c>
      <c r="C272" s="55" t="n">
        <f aca="false">SUMIFS(데이터_성질별수입!$G$3:$G$627,데이터_성질별수입!$E$3:$E$627,$B272,데이터_성질별수입!$A$3:$A$627,"2024.01")</f>
        <v>5383081</v>
      </c>
      <c r="D272" s="55" t="n">
        <f aca="false">SUMIFS(데이터_성질별수입!$G$3:$G$627,데이터_성질별수입!$E$3:$E$627,$B272,데이터_성질별수입!$A$3:$A$627,"2024.02")</f>
        <v>5008836</v>
      </c>
      <c r="E272" s="55" t="n">
        <f aca="false">SUMIFS(데이터_성질별수입!$G$3:$G$627,데이터_성질별수입!$E$3:$E$627,$B272,데이터_성질별수입!$A$3:$A$627,"2024.03")</f>
        <v>5618553</v>
      </c>
      <c r="F272" s="55" t="n">
        <f aca="false">SUMIFS(데이터_성질별수입!$G$3:$G$627,데이터_성질별수입!$E$3:$E$627,$B272,데이터_성질별수입!$A$3:$A$627,"2024.04")</f>
        <v>5552261</v>
      </c>
      <c r="G272" s="55" t="n">
        <f aca="false">SUMIFS(데이터_성질별수입!$G$3:$G$627,데이터_성질별수입!$E$3:$E$627,$B272,데이터_성질별수입!$A$3:$A$627,"2024.05")</f>
        <v>5346222</v>
      </c>
      <c r="H272" s="55" t="n">
        <f aca="false">SUMIFS(데이터_성질별수입!$G$3:$G$627,데이터_성질별수입!$E$3:$E$627,$B272,데이터_성질별수입!$A$3:$A$627,"2024.06")</f>
        <v>5414602</v>
      </c>
      <c r="I272" s="55" t="n">
        <f aca="false">SUMIFS(데이터_성질별수입!$G$3:$G$627,데이터_성질별수입!$E$3:$E$627,$B272,데이터_성질별수입!$A$3:$A$627,"2024.07")</f>
        <v>5429277</v>
      </c>
      <c r="J272" s="55" t="n">
        <f aca="false">SUMIFS(데이터_성질별수입!$G$3:$G$627,데이터_성질별수입!$E$3:$E$627,$B272,데이터_성질별수입!$A$3:$A$627,"2024.08")</f>
        <v>5218741</v>
      </c>
      <c r="K272" s="55" t="n">
        <f aca="false">SUMIFS(데이터_성질별수입!$G$3:$G$627,데이터_성질별수입!$E$3:$E$627,$B272,데이터_성질별수입!$A$3:$A$627,"2024.09")</f>
        <v>6244362</v>
      </c>
      <c r="L272" s="55" t="n">
        <f aca="false">SUMIFS(데이터_성질별수입!$G$3:$G$627,데이터_성질별수입!$E$3:$E$627,$B272,데이터_성질별수입!$A$3:$A$627,"2024.10")</f>
        <v>5704640</v>
      </c>
      <c r="M272" s="55" t="n">
        <f aca="false">SUMIFS(데이터_성질별수입!$G$3:$G$627,데이터_성질별수입!$E$3:$E$627,$B272,데이터_성질별수입!$A$3:$A$627,"2024.11")</f>
        <v>5968520</v>
      </c>
      <c r="N272" s="55" t="n">
        <f aca="false">SUMIFS(데이터_성질별수입!$G$3:$G$627,데이터_성질별수입!$E$3:$E$627,$B272,데이터_성질별수입!$A$3:$A$627,"2024.12")</f>
        <v>6944616</v>
      </c>
      <c r="O272" s="55" t="n">
        <f aca="false">SUMIFS(데이터_성질별수입!$G$3:$G$627,데이터_성질별수입!$E$3:$E$627,$B272,데이터_성질별수입!$A$3:$A$627,"2025.01")</f>
        <v>5178154</v>
      </c>
      <c r="P272" s="55" t="n">
        <f aca="false">SUMIFS(데이터_성질별수입!$G$3:$G$627,데이터_성질별수입!$E$3:$E$627,$B272,데이터_성질별수입!$A$3:$A$627,"2025.02")</f>
        <v>5984752</v>
      </c>
      <c r="Q272" s="55" t="n">
        <f aca="false">SUMIFS(데이터_성질별수입!$G$3:$G$627,데이터_성질별수입!$E$3:$E$627,$B272,데이터_성질별수입!$A$3:$A$627,"2025.03")</f>
        <v>7266393</v>
      </c>
      <c r="R272" s="55" t="n">
        <f aca="false">SUMIFS(데이터_성질별수입!$G$3:$G$627,데이터_성질별수입!$E$3:$E$627,$B272,데이터_성질별수입!$A$3:$A$627,"2025.04")</f>
        <v>6254302</v>
      </c>
      <c r="S272" s="55" t="n">
        <f aca="false">SUMIFS(데이터_성질별수입!$G$3:$G$627,데이터_성질별수입!$E$3:$E$627,$B272,데이터_성질별수입!$A$3:$A$627,"2025.05")</f>
        <v>5659076</v>
      </c>
      <c r="T272" s="55" t="n">
        <f aca="false">SUMIFS(데이터_성질별수입!$G$3:$G$627,데이터_성질별수입!$E$3:$E$627,$B272,데이터_성질별수입!$A$3:$A$627,"2025.06")</f>
        <v>6526829</v>
      </c>
      <c r="U272" s="55" t="n">
        <f aca="false">SUMIFS(데이터_성질별수입!$G$3:$G$627,데이터_성질별수입!$E$3:$E$627,$B272,데이터_성질별수입!$A$3:$A$627,"2025.07")</f>
        <v>6187723</v>
      </c>
      <c r="V272" s="55" t="n">
        <f aca="false">SUMIFS(데이터_성질별수입!$G$3:$G$627,데이터_성질별수입!$E$3:$E$627,$B272,데이터_성질별수입!$A$3:$A$627,"2025.08")</f>
        <v>5496474</v>
      </c>
      <c r="W272" s="55" t="n">
        <f aca="false">SUMIFS(데이터_성질별수입!$G$3:$G$627,데이터_성질별수입!$E$3:$E$627,$B272,데이터_성질별수입!$A$3:$A$627,"2025.09")</f>
        <v>7178815</v>
      </c>
      <c r="X272" s="55" t="n">
        <f aca="false">SUMIFS(데이터_성질별수입!$G$3:$G$627,데이터_성질별수입!$E$3:$E$627,$B272,데이터_성질별수입!$A$3:$A$627,"2025.10")</f>
        <v>5800581</v>
      </c>
      <c r="Y272" s="55" t="n">
        <f aca="false">SUMIFS(데이터_성질별수입!$G$3:$G$627,데이터_성질별수입!$E$3:$E$627,$B272,데이터_성질별수입!$A$3:$A$627,"2025.11")</f>
        <v>6183232</v>
      </c>
      <c r="Z272" s="55" t="n">
        <f aca="false">SUMIFS(데이터_성질별수입!$G$3:$G$627,데이터_성질별수입!$E$3:$E$627,$B272,데이터_성질별수입!$A$3:$A$627,"2025.12")</f>
        <v>7366924</v>
      </c>
      <c r="AA272" s="55" t="n">
        <f aca="false">SUMIFS(데이터_성질별수입!$G$3:$G$627,데이터_성질별수입!$E$3:$E$627,$B272,데이터_성질별수입!$A$3:$A$627,"2026.01")</f>
        <v>6808687</v>
      </c>
      <c r="AB272" s="55" t="n">
        <f aca="false">SUMIFS(데이터_성질별수입!$G$3:$G$627,데이터_성질별수입!$E$3:$E$627,$B272,데이터_성질별수입!$A$3:$A$627,"2026.02")</f>
        <v>6714180</v>
      </c>
      <c r="AC272" s="55" t="n">
        <f aca="false">SUMIFS(데이터_성질별수입!$G$3:$G$627,데이터_성질별수입!$E$3:$E$627,$B272,데이터_성질별수입!$A$3:$A$627,"2026.03")</f>
        <v>8030035</v>
      </c>
      <c r="AD272" s="55" t="n">
        <f aca="false">SUMIFS(데이터_성질별수입!$G$3:$G$627,데이터_성질별수입!$E$3:$E$627,$B272,데이터_성질별수입!$A$3:$A$627,"2026.04")</f>
        <v>7551789</v>
      </c>
      <c r="AE272" s="55" t="n">
        <f aca="false">SUMIFS(데이터_성질별수입!$G$3:$G$627,데이터_성질별수입!$E$3:$E$627,$B272,데이터_성질별수입!$A$3:$A$627,"2026.05")</f>
        <v>6901204</v>
      </c>
      <c r="AF272" s="55" t="n">
        <f aca="false">SUMIFS(데이터_성질별수입!$G$3:$G$627,데이터_성질별수입!$E$3:$E$627,$B272,데이터_성질별수입!$A$3:$A$627,"2026.06")</f>
        <v>7798768</v>
      </c>
      <c r="AG272" s="55" t="n">
        <f aca="false">SUMIFS(데이터_성질별수입!$G$3:$G$627,데이터_성질별수입!$E$3:$E$627,$B272,데이터_성질별수입!$A$3:$A$627,"2026.07")</f>
        <v>7784623</v>
      </c>
    </row>
    <row r="273" customFormat="false" ht="15" hidden="false" customHeight="true" outlineLevel="0" collapsed="false">
      <c r="A273" s="53" t="s">
        <v>471</v>
      </c>
      <c r="B273" s="54" t="s">
        <v>16390</v>
      </c>
      <c r="C273" s="55" t="n">
        <f aca="false">SUMIFS(데이터_성질별수입!$G$3:$G$627,데이터_성질별수입!$E$3:$E$627,$B273,데이터_성질별수입!$A$3:$A$627,"2024.01")</f>
        <v>11111630</v>
      </c>
      <c r="D273" s="55" t="n">
        <f aca="false">SUMIFS(데이터_성질별수입!$G$3:$G$627,데이터_성질별수입!$E$3:$E$627,$B273,데이터_성질별수입!$A$3:$A$627,"2024.02")</f>
        <v>9743606</v>
      </c>
      <c r="E273" s="55" t="n">
        <f aca="false">SUMIFS(데이터_성질별수입!$G$3:$G$627,데이터_성질별수입!$E$3:$E$627,$B273,데이터_성질별수입!$A$3:$A$627,"2024.03")</f>
        <v>10804135</v>
      </c>
      <c r="F273" s="55" t="n">
        <f aca="false">SUMIFS(데이터_성질별수입!$G$3:$G$627,데이터_성질별수입!$E$3:$E$627,$B273,데이터_성질별수입!$A$3:$A$627,"2024.04")</f>
        <v>10860388</v>
      </c>
      <c r="G273" s="55" t="n">
        <f aca="false">SUMIFS(데이터_성질별수입!$G$3:$G$627,데이터_성질별수입!$E$3:$E$627,$B273,데이터_성질별수입!$A$3:$A$627,"2024.05")</f>
        <v>10876249</v>
      </c>
      <c r="H273" s="55" t="n">
        <f aca="false">SUMIFS(데이터_성질별수입!$G$3:$G$627,데이터_성질별수입!$E$3:$E$627,$B273,데이터_성질별수입!$A$3:$A$627,"2024.06")</f>
        <v>10307120</v>
      </c>
      <c r="I273" s="55" t="n">
        <f aca="false">SUMIFS(데이터_성질별수입!$G$3:$G$627,데이터_성질별수입!$E$3:$E$627,$B273,데이터_성질별수입!$A$3:$A$627,"2024.07")</f>
        <v>11410795</v>
      </c>
      <c r="J273" s="55" t="n">
        <f aca="false">SUMIFS(데이터_성질별수입!$G$3:$G$627,데이터_성질별수입!$E$3:$E$627,$B273,데이터_성질별수입!$A$3:$A$627,"2024.08")</f>
        <v>11203230</v>
      </c>
      <c r="K273" s="55" t="n">
        <f aca="false">SUMIFS(데이터_성질별수입!$G$3:$G$627,데이터_성질별수입!$E$3:$E$627,$B273,데이터_성질별수입!$A$3:$A$627,"2024.09")</f>
        <v>11959608</v>
      </c>
      <c r="L273" s="55" t="n">
        <f aca="false">SUMIFS(데이터_성질별수입!$G$3:$G$627,데이터_성질별수입!$E$3:$E$627,$B273,데이터_성질별수입!$A$3:$A$627,"2024.10")</f>
        <v>12759834</v>
      </c>
      <c r="M273" s="55" t="n">
        <f aca="false">SUMIFS(데이터_성질별수입!$G$3:$G$627,데이터_성질별수입!$E$3:$E$627,$B273,데이터_성질별수입!$A$3:$A$627,"2024.11")</f>
        <v>11814771</v>
      </c>
      <c r="N273" s="55" t="n">
        <f aca="false">SUMIFS(데이터_성질별수입!$G$3:$G$627,데이터_성질별수입!$E$3:$E$627,$B273,데이터_성질별수입!$A$3:$A$627,"2024.12")</f>
        <v>12571289</v>
      </c>
      <c r="O273" s="55" t="n">
        <f aca="false">SUMIFS(데이터_성질별수입!$G$3:$G$627,데이터_성질별수입!$E$3:$E$627,$B273,데이터_성질별수입!$A$3:$A$627,"2025.01")</f>
        <v>11255615</v>
      </c>
      <c r="P273" s="55" t="n">
        <f aca="false">SUMIFS(데이터_성질별수입!$G$3:$G$627,데이터_성질별수입!$E$3:$E$627,$B273,데이터_성질별수입!$A$3:$A$627,"2025.02")</f>
        <v>10262919</v>
      </c>
      <c r="Q273" s="55" t="n">
        <f aca="false">SUMIFS(데이터_성질별수입!$G$3:$G$627,데이터_성질별수입!$E$3:$E$627,$B273,데이터_성질별수입!$A$3:$A$627,"2025.03")</f>
        <v>11749931</v>
      </c>
      <c r="R273" s="55" t="n">
        <f aca="false">SUMIFS(데이터_성질별수입!$G$3:$G$627,데이터_성질별수입!$E$3:$E$627,$B273,데이터_성질별수입!$A$3:$A$627,"2025.04")</f>
        <v>11451922</v>
      </c>
      <c r="S273" s="55" t="n">
        <f aca="false">SUMIFS(데이터_성질별수입!$G$3:$G$627,데이터_성질별수입!$E$3:$E$627,$B273,데이터_성질별수입!$A$3:$A$627,"2025.05")</f>
        <v>10949630</v>
      </c>
      <c r="T273" s="55" t="n">
        <f aca="false">SUMIFS(데이터_성질별수입!$G$3:$G$627,데이터_성질별수입!$E$3:$E$627,$B273,데이터_성질별수입!$A$3:$A$627,"2025.06")</f>
        <v>11630417</v>
      </c>
      <c r="U273" s="55" t="n">
        <f aca="false">SUMIFS(데이터_성질별수입!$G$3:$G$627,데이터_성질별수입!$E$3:$E$627,$B273,데이터_성질별수입!$A$3:$A$627,"2025.07")</f>
        <v>12579341</v>
      </c>
      <c r="V273" s="55" t="n">
        <f aca="false">SUMIFS(데이터_성질별수입!$G$3:$G$627,데이터_성질별수입!$E$3:$E$627,$B273,데이터_성질별수입!$A$3:$A$627,"2025.08")</f>
        <v>12079553</v>
      </c>
      <c r="W273" s="55" t="n">
        <f aca="false">SUMIFS(데이터_성질별수입!$G$3:$G$627,데이터_성질별수입!$E$3:$E$627,$B273,데이터_성질별수입!$A$3:$A$627,"2025.09")</f>
        <v>13130410</v>
      </c>
      <c r="X273" s="55" t="n">
        <f aca="false">SUMIFS(데이터_성질별수입!$G$3:$G$627,데이터_성질별수입!$E$3:$E$627,$B273,데이터_성질별수입!$A$3:$A$627,"2025.10")</f>
        <v>12344526</v>
      </c>
      <c r="Y273" s="55" t="n">
        <f aca="false">SUMIFS(데이터_성질별수입!$G$3:$G$627,데이터_성질별수입!$E$3:$E$627,$B273,데이터_성질별수입!$A$3:$A$627,"2025.11")</f>
        <v>12203271</v>
      </c>
      <c r="Z273" s="55" t="n">
        <f aca="false">SUMIFS(데이터_성질별수입!$G$3:$G$627,데이터_성질별수입!$E$3:$E$627,$B273,데이터_성질별수입!$A$3:$A$627,"2025.12")</f>
        <v>14149043</v>
      </c>
      <c r="AA273" s="55" t="n">
        <f aca="false">SUMIFS(데이터_성질별수입!$G$3:$G$627,데이터_성질별수입!$E$3:$E$627,$B273,데이터_성질별수입!$A$3:$A$627,"2026.01")</f>
        <v>13445934</v>
      </c>
      <c r="AB273" s="55" t="n">
        <f aca="false">SUMIFS(데이터_성질별수입!$G$3:$G$627,데이터_성질별수입!$E$3:$E$627,$B273,데이터_성질별수입!$A$3:$A$627,"2026.02")</f>
        <v>12458999</v>
      </c>
      <c r="AC273" s="55" t="n">
        <f aca="false">SUMIFS(데이터_성질별수입!$G$3:$G$627,데이터_성질별수입!$E$3:$E$627,$B273,데이터_성질별수입!$A$3:$A$627,"2026.03")</f>
        <v>15380690</v>
      </c>
      <c r="AD273" s="55" t="n">
        <f aca="false">SUMIFS(데이터_성질별수입!$G$3:$G$627,데이터_성질별수입!$E$3:$E$627,$B273,데이터_성질별수입!$A$3:$A$627,"2026.04")</f>
        <v>15474206</v>
      </c>
      <c r="AE273" s="55" t="n">
        <f aca="false">SUMIFS(데이터_성질별수입!$G$3:$G$627,데이터_성질별수입!$E$3:$E$627,$B273,데이터_성질별수입!$A$3:$A$627,"2026.05")</f>
        <v>14885302</v>
      </c>
      <c r="AF273" s="55" t="n">
        <f aca="false">SUMIFS(데이터_성질별수입!$G$3:$G$627,데이터_성질별수입!$E$3:$E$627,$B273,데이터_성질별수입!$A$3:$A$627,"2026.06")</f>
        <v>17292037</v>
      </c>
      <c r="AG273" s="55" t="n">
        <f aca="false">SUMIFS(데이터_성질별수입!$G$3:$G$627,데이터_성질별수입!$E$3:$E$627,$B273,데이터_성질별수입!$A$3:$A$627,"2026.07")</f>
        <v>17759882</v>
      </c>
    </row>
    <row r="274" customFormat="false" ht="15" hidden="false" customHeight="true" outlineLevel="0" collapsed="false">
      <c r="A274" s="53" t="s">
        <v>478</v>
      </c>
      <c r="B274" s="54" t="s">
        <v>16393</v>
      </c>
      <c r="C274" s="55" t="n">
        <f aca="false">SUMIFS(데이터_성질별수입!$G$3:$G$627,데이터_성질별수입!$E$3:$E$627,$B274,데이터_성질별수입!$A$3:$A$627,"2024.01")</f>
        <v>932636</v>
      </c>
      <c r="D274" s="55" t="n">
        <f aca="false">SUMIFS(데이터_성질별수입!$G$3:$G$627,데이터_성질별수입!$E$3:$E$627,$B274,데이터_성질별수입!$A$3:$A$627,"2024.02")</f>
        <v>1126039</v>
      </c>
      <c r="E274" s="55" t="n">
        <f aca="false">SUMIFS(데이터_성질별수입!$G$3:$G$627,데이터_성질별수입!$E$3:$E$627,$B274,데이터_성질별수입!$A$3:$A$627,"2024.03")</f>
        <v>1250503</v>
      </c>
      <c r="F274" s="55" t="n">
        <f aca="false">SUMIFS(데이터_성질별수입!$G$3:$G$627,데이터_성질별수입!$E$3:$E$627,$B274,데이터_성질별수입!$A$3:$A$627,"2024.04")</f>
        <v>1256888</v>
      </c>
      <c r="G274" s="55" t="n">
        <f aca="false">SUMIFS(데이터_성질별수입!$G$3:$G$627,데이터_성질별수입!$E$3:$E$627,$B274,데이터_성질별수입!$A$3:$A$627,"2024.05")</f>
        <v>1004011</v>
      </c>
      <c r="H274" s="55" t="n">
        <f aca="false">SUMIFS(데이터_성질별수입!$G$3:$G$627,데이터_성질별수입!$E$3:$E$627,$B274,데이터_성질별수입!$A$3:$A$627,"2024.06")</f>
        <v>1306585</v>
      </c>
      <c r="I274" s="55" t="n">
        <f aca="false">SUMIFS(데이터_성질별수입!$G$3:$G$627,데이터_성질별수입!$E$3:$E$627,$B274,데이터_성질별수입!$A$3:$A$627,"2024.07")</f>
        <v>2195637</v>
      </c>
      <c r="J274" s="55" t="n">
        <f aca="false">SUMIFS(데이터_성질별수입!$G$3:$G$627,데이터_성질별수입!$E$3:$E$627,$B274,데이터_성질별수입!$A$3:$A$627,"2024.08")</f>
        <v>1598233</v>
      </c>
      <c r="K274" s="55" t="n">
        <f aca="false">SUMIFS(데이터_성질별수입!$G$3:$G$627,데이터_성질별수입!$E$3:$E$627,$B274,데이터_성질별수입!$A$3:$A$627,"2024.09")</f>
        <v>1060456</v>
      </c>
      <c r="L274" s="55" t="n">
        <f aca="false">SUMIFS(데이터_성질별수입!$G$3:$G$627,데이터_성질별수입!$E$3:$E$627,$B274,데이터_성질별수입!$A$3:$A$627,"2024.10")</f>
        <v>1198360</v>
      </c>
      <c r="M274" s="55" t="n">
        <f aca="false">SUMIFS(데이터_성질별수입!$G$3:$G$627,데이터_성질별수입!$E$3:$E$627,$B274,데이터_성질별수입!$A$3:$A$627,"2024.11")</f>
        <v>1211384</v>
      </c>
      <c r="N274" s="55" t="n">
        <f aca="false">SUMIFS(데이터_성질별수입!$G$3:$G$627,데이터_성질별수입!$E$3:$E$627,$B274,데이터_성질별수입!$A$3:$A$627,"2024.12")</f>
        <v>2119086</v>
      </c>
      <c r="O274" s="55" t="n">
        <f aca="false">SUMIFS(데이터_성질별수입!$G$3:$G$627,데이터_성질별수입!$E$3:$E$627,$B274,데이터_성질별수입!$A$3:$A$627,"2025.01")</f>
        <v>1167447</v>
      </c>
      <c r="P274" s="55" t="n">
        <f aca="false">SUMIFS(데이터_성질별수입!$G$3:$G$627,데이터_성질별수입!$E$3:$E$627,$B274,데이터_성질별수입!$A$3:$A$627,"2025.02")</f>
        <v>1118570</v>
      </c>
      <c r="Q274" s="55" t="n">
        <f aca="false">SUMIFS(데이터_성질별수입!$G$3:$G$627,데이터_성질별수입!$E$3:$E$627,$B274,데이터_성질별수입!$A$3:$A$627,"2025.03")</f>
        <v>1211676</v>
      </c>
      <c r="R274" s="55" t="n">
        <f aca="false">SUMIFS(데이터_성질별수입!$G$3:$G$627,데이터_성질별수입!$E$3:$E$627,$B274,데이터_성질별수입!$A$3:$A$627,"2025.04")</f>
        <v>1520810</v>
      </c>
      <c r="S274" s="55" t="n">
        <f aca="false">SUMIFS(데이터_성질별수입!$G$3:$G$627,데이터_성질별수입!$E$3:$E$627,$B274,데이터_성질별수입!$A$3:$A$627,"2025.05")</f>
        <v>1475458</v>
      </c>
      <c r="T274" s="55" t="n">
        <f aca="false">SUMIFS(데이터_성질별수입!$G$3:$G$627,데이터_성질별수입!$E$3:$E$627,$B274,데이터_성질별수입!$A$3:$A$627,"2025.06")</f>
        <v>1416476</v>
      </c>
      <c r="U274" s="55" t="n">
        <f aca="false">SUMIFS(데이터_성질별수입!$G$3:$G$627,데이터_성질별수입!$E$3:$E$627,$B274,데이터_성질별수입!$A$3:$A$627,"2025.07")</f>
        <v>1455022</v>
      </c>
      <c r="V274" s="55" t="n">
        <f aca="false">SUMIFS(데이터_성질별수입!$G$3:$G$627,데이터_성질별수입!$E$3:$E$627,$B274,데이터_성질별수입!$A$3:$A$627,"2025.08")</f>
        <v>1005463</v>
      </c>
      <c r="W274" s="55" t="n">
        <f aca="false">SUMIFS(데이터_성질별수입!$G$3:$G$627,데이터_성질별수입!$E$3:$E$627,$B274,데이터_성질별수입!$A$3:$A$627,"2025.09")</f>
        <v>1322418</v>
      </c>
      <c r="X274" s="55" t="n">
        <f aca="false">SUMIFS(데이터_성질별수입!$G$3:$G$627,데이터_성질별수입!$E$3:$E$627,$B274,데이터_성질별수입!$A$3:$A$627,"2025.10")</f>
        <v>1431756</v>
      </c>
      <c r="Y274" s="55" t="n">
        <f aca="false">SUMIFS(데이터_성질별수입!$G$3:$G$627,데이터_성질별수입!$E$3:$E$627,$B274,데이터_성질별수입!$A$3:$A$627,"2025.11")</f>
        <v>1459814</v>
      </c>
      <c r="Z274" s="55" t="n">
        <f aca="false">SUMIFS(데이터_성질별수입!$G$3:$G$627,데이터_성질별수입!$E$3:$E$627,$B274,데이터_성질별수입!$A$3:$A$627,"2025.12")</f>
        <v>1349564</v>
      </c>
      <c r="AA274" s="55" t="n">
        <f aca="false">SUMIFS(데이터_성질별수입!$G$3:$G$627,데이터_성질별수입!$E$3:$E$627,$B274,데이터_성질별수입!$A$3:$A$627,"2026.01")</f>
        <v>1228066</v>
      </c>
      <c r="AB274" s="55" t="n">
        <f aca="false">SUMIFS(데이터_성질별수입!$G$3:$G$627,데이터_성질별수입!$E$3:$E$627,$B274,데이터_성질별수입!$A$3:$A$627,"2026.02")</f>
        <v>1054136</v>
      </c>
      <c r="AC274" s="55" t="n">
        <f aca="false">SUMIFS(데이터_성질별수입!$G$3:$G$627,데이터_성질별수입!$E$3:$E$627,$B274,데이터_성질별수입!$A$3:$A$627,"2026.03")</f>
        <v>1633092</v>
      </c>
      <c r="AD274" s="55" t="n">
        <f aca="false">SUMIFS(데이터_성질별수입!$G$3:$G$627,데이터_성질별수입!$E$3:$E$627,$B274,데이터_성질별수입!$A$3:$A$627,"2026.04")</f>
        <v>1589297</v>
      </c>
      <c r="AE274" s="55" t="n">
        <f aca="false">SUMIFS(데이터_성질별수입!$G$3:$G$627,데이터_성질별수입!$E$3:$E$627,$B274,데이터_성질별수입!$A$3:$A$627,"2026.05")</f>
        <v>1471599</v>
      </c>
      <c r="AF274" s="55" t="n">
        <f aca="false">SUMIFS(데이터_성질별수입!$G$3:$G$627,데이터_성질별수입!$E$3:$E$627,$B274,데이터_성질별수입!$A$3:$A$627,"2026.06")</f>
        <v>1461784</v>
      </c>
      <c r="AG274" s="55" t="n">
        <f aca="false">SUMIFS(데이터_성질별수입!$G$3:$G$627,데이터_성질별수입!$E$3:$E$627,$B274,데이터_성질별수입!$A$3:$A$627,"2026.07")</f>
        <v>2189673</v>
      </c>
    </row>
    <row r="275" customFormat="false" ht="15" hidden="false" customHeight="true" outlineLevel="0" collapsed="false">
      <c r="A275" s="53" t="s">
        <v>485</v>
      </c>
      <c r="B275" s="54" t="s">
        <v>16396</v>
      </c>
      <c r="C275" s="55" t="n">
        <f aca="false">SUMIFS(데이터_성질별수입!$G$3:$G$627,데이터_성질별수입!$E$3:$E$627,$B275,데이터_성질별수입!$A$3:$A$627,"2024.01")</f>
        <v>194637</v>
      </c>
      <c r="D275" s="55" t="n">
        <f aca="false">SUMIFS(데이터_성질별수입!$G$3:$G$627,데이터_성질별수입!$E$3:$E$627,$B275,데이터_성질별수입!$A$3:$A$627,"2024.02")</f>
        <v>180487</v>
      </c>
      <c r="E275" s="55" t="n">
        <f aca="false">SUMIFS(데이터_성질별수입!$G$3:$G$627,데이터_성질별수입!$E$3:$E$627,$B275,데이터_성질별수입!$A$3:$A$627,"2024.03")</f>
        <v>207855</v>
      </c>
      <c r="F275" s="55" t="n">
        <f aca="false">SUMIFS(데이터_성질별수입!$G$3:$G$627,데이터_성질별수입!$E$3:$E$627,$B275,데이터_성질별수입!$A$3:$A$627,"2024.04")</f>
        <v>236799</v>
      </c>
      <c r="G275" s="55" t="n">
        <f aca="false">SUMIFS(데이터_성질별수입!$G$3:$G$627,데이터_성질별수입!$E$3:$E$627,$B275,데이터_성질별수입!$A$3:$A$627,"2024.05")</f>
        <v>252539</v>
      </c>
      <c r="H275" s="55" t="n">
        <f aca="false">SUMIFS(데이터_성질별수입!$G$3:$G$627,데이터_성질별수입!$E$3:$E$627,$B275,데이터_성질별수입!$A$3:$A$627,"2024.06")</f>
        <v>223022</v>
      </c>
      <c r="I275" s="55" t="n">
        <f aca="false">SUMIFS(데이터_성질별수입!$G$3:$G$627,데이터_성질별수입!$E$3:$E$627,$B275,데이터_성질별수입!$A$3:$A$627,"2024.07")</f>
        <v>240740</v>
      </c>
      <c r="J275" s="55" t="n">
        <f aca="false">SUMIFS(데이터_성질별수입!$G$3:$G$627,데이터_성질별수입!$E$3:$E$627,$B275,데이터_성질별수입!$A$3:$A$627,"2024.08")</f>
        <v>238260</v>
      </c>
      <c r="K275" s="55" t="n">
        <f aca="false">SUMIFS(데이터_성질별수입!$G$3:$G$627,데이터_성질별수입!$E$3:$E$627,$B275,데이터_성질별수입!$A$3:$A$627,"2024.09")</f>
        <v>202441</v>
      </c>
      <c r="L275" s="55" t="n">
        <f aca="false">SUMIFS(데이터_성질별수입!$G$3:$G$627,데이터_성질별수입!$E$3:$E$627,$B275,데이터_성질별수입!$A$3:$A$627,"2024.10")</f>
        <v>214041</v>
      </c>
      <c r="M275" s="55" t="n">
        <f aca="false">SUMIFS(데이터_성질별수입!$G$3:$G$627,데이터_성질별수입!$E$3:$E$627,$B275,데이터_성질별수입!$A$3:$A$627,"2024.11")</f>
        <v>169112</v>
      </c>
      <c r="N275" s="55" t="n">
        <f aca="false">SUMIFS(데이터_성질별수입!$G$3:$G$627,데이터_성질별수입!$E$3:$E$627,$B275,데이터_성질별수입!$A$3:$A$627,"2024.12")</f>
        <v>185106</v>
      </c>
      <c r="O275" s="55" t="n">
        <f aca="false">SUMIFS(데이터_성질별수입!$G$3:$G$627,데이터_성질별수입!$E$3:$E$627,$B275,데이터_성질별수입!$A$3:$A$627,"2025.01")</f>
        <v>202604</v>
      </c>
      <c r="P275" s="55" t="n">
        <f aca="false">SUMIFS(데이터_성질별수입!$G$3:$G$627,데이터_성질별수입!$E$3:$E$627,$B275,데이터_성질별수입!$A$3:$A$627,"2025.02")</f>
        <v>203962</v>
      </c>
      <c r="Q275" s="55" t="n">
        <f aca="false">SUMIFS(데이터_성질별수입!$G$3:$G$627,데이터_성질별수입!$E$3:$E$627,$B275,데이터_성질별수입!$A$3:$A$627,"2025.03")</f>
        <v>195375</v>
      </c>
      <c r="R275" s="55" t="n">
        <f aca="false">SUMIFS(데이터_성질별수입!$G$3:$G$627,데이터_성질별수입!$E$3:$E$627,$B275,데이터_성질별수입!$A$3:$A$627,"2025.04")</f>
        <v>236718</v>
      </c>
      <c r="S275" s="55" t="n">
        <f aca="false">SUMIFS(데이터_성질별수입!$G$3:$G$627,데이터_성질별수입!$E$3:$E$627,$B275,데이터_성질별수입!$A$3:$A$627,"2025.05")</f>
        <v>257428</v>
      </c>
      <c r="T275" s="55" t="n">
        <f aca="false">SUMIFS(데이터_성질별수입!$G$3:$G$627,데이터_성질별수입!$E$3:$E$627,$B275,데이터_성질별수입!$A$3:$A$627,"2025.06")</f>
        <v>253487</v>
      </c>
      <c r="U275" s="55" t="n">
        <f aca="false">SUMIFS(데이터_성질별수입!$G$3:$G$627,데이터_성질별수입!$E$3:$E$627,$B275,데이터_성질별수입!$A$3:$A$627,"2025.07")</f>
        <v>251974</v>
      </c>
      <c r="V275" s="55" t="n">
        <f aca="false">SUMIFS(데이터_성질별수입!$G$3:$G$627,데이터_성질별수입!$E$3:$E$627,$B275,데이터_성질별수입!$A$3:$A$627,"2025.08")</f>
        <v>251836</v>
      </c>
      <c r="W275" s="55" t="n">
        <f aca="false">SUMIFS(데이터_성질별수입!$G$3:$G$627,데이터_성질별수입!$E$3:$E$627,$B275,데이터_성질별수입!$A$3:$A$627,"2025.09")</f>
        <v>218904</v>
      </c>
      <c r="X275" s="55" t="n">
        <f aca="false">SUMIFS(데이터_성질별수입!$G$3:$G$627,데이터_성질별수입!$E$3:$E$627,$B275,데이터_성질별수입!$A$3:$A$627,"2025.10")</f>
        <v>183447</v>
      </c>
      <c r="Y275" s="55" t="n">
        <f aca="false">SUMIFS(데이터_성질별수입!$G$3:$G$627,데이터_성질별수입!$E$3:$E$627,$B275,데이터_성질별수입!$A$3:$A$627,"2025.11")</f>
        <v>207281</v>
      </c>
      <c r="Z275" s="55" t="n">
        <f aca="false">SUMIFS(데이터_성질별수입!$G$3:$G$627,데이터_성질별수입!$E$3:$E$627,$B275,데이터_성질별수입!$A$3:$A$627,"2025.12")</f>
        <v>223437</v>
      </c>
      <c r="AA275" s="55" t="n">
        <f aca="false">SUMIFS(데이터_성질별수입!$G$3:$G$627,데이터_성질별수입!$E$3:$E$627,$B275,데이터_성질별수입!$A$3:$A$627,"2026.01")</f>
        <v>188833</v>
      </c>
      <c r="AB275" s="55" t="n">
        <f aca="false">SUMIFS(데이터_성질별수입!$G$3:$G$627,데이터_성질별수입!$E$3:$E$627,$B275,데이터_성질별수입!$A$3:$A$627,"2026.02")</f>
        <v>195567</v>
      </c>
      <c r="AC275" s="55" t="n">
        <f aca="false">SUMIFS(데이터_성질별수입!$G$3:$G$627,데이터_성질별수입!$E$3:$E$627,$B275,데이터_성질별수입!$A$3:$A$627,"2026.03")</f>
        <v>268151</v>
      </c>
      <c r="AD275" s="55" t="n">
        <f aca="false">SUMIFS(데이터_성질별수입!$G$3:$G$627,데이터_성질별수입!$E$3:$E$627,$B275,데이터_성질별수입!$A$3:$A$627,"2026.04")</f>
        <v>250497</v>
      </c>
      <c r="AE275" s="55" t="n">
        <f aca="false">SUMIFS(데이터_성질별수입!$G$3:$G$627,데이터_성질별수입!$E$3:$E$627,$B275,데이터_성질별수입!$A$3:$A$627,"2026.05")</f>
        <v>229499</v>
      </c>
      <c r="AF275" s="55" t="n">
        <f aca="false">SUMIFS(데이터_성질별수입!$G$3:$G$627,데이터_성질별수입!$E$3:$E$627,$B275,데이터_성질별수입!$A$3:$A$627,"2026.06")</f>
        <v>275673</v>
      </c>
      <c r="AG275" s="55" t="n">
        <f aca="false">SUMIFS(데이터_성질별수입!$G$3:$G$627,데이터_성질별수입!$E$3:$E$627,$B275,데이터_성질별수입!$A$3:$A$627,"2026.07")</f>
        <v>246617</v>
      </c>
    </row>
    <row r="277" customFormat="false" ht="14.25" hidden="false" customHeight="true" outlineLevel="0" collapsed="false">
      <c r="A277" s="23" t="s">
        <v>19862</v>
      </c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customFormat="false" ht="15" hidden="false" customHeight="true" outlineLevel="0" collapsed="false">
      <c r="A278" s="5" t="s">
        <v>19797</v>
      </c>
      <c r="B278" s="5" t="s">
        <v>19663</v>
      </c>
      <c r="C278" s="44" t="s">
        <v>74</v>
      </c>
      <c r="D278" s="44" t="s">
        <v>83</v>
      </c>
      <c r="E278" s="44" t="s">
        <v>92</v>
      </c>
      <c r="F278" s="44" t="s">
        <v>101</v>
      </c>
      <c r="G278" s="44" t="s">
        <v>110</v>
      </c>
      <c r="H278" s="44" t="s">
        <v>119</v>
      </c>
      <c r="I278" s="44" t="s">
        <v>128</v>
      </c>
      <c r="J278" s="44" t="s">
        <v>137</v>
      </c>
      <c r="K278" s="44" t="s">
        <v>146</v>
      </c>
      <c r="L278" s="44" t="s">
        <v>155</v>
      </c>
      <c r="M278" s="44" t="s">
        <v>163</v>
      </c>
      <c r="N278" s="44" t="s">
        <v>171</v>
      </c>
      <c r="O278" s="44" t="s">
        <v>179</v>
      </c>
      <c r="P278" s="44" t="s">
        <v>187</v>
      </c>
      <c r="Q278" s="44" t="s">
        <v>195</v>
      </c>
      <c r="R278" s="44" t="s">
        <v>203</v>
      </c>
      <c r="S278" s="44" t="s">
        <v>211</v>
      </c>
      <c r="T278" s="44" t="s">
        <v>219</v>
      </c>
      <c r="U278" s="44" t="s">
        <v>228</v>
      </c>
      <c r="V278" s="44" t="s">
        <v>236</v>
      </c>
      <c r="W278" s="44" t="s">
        <v>244</v>
      </c>
      <c r="X278" s="44" t="s">
        <v>252</v>
      </c>
      <c r="Y278" s="44" t="s">
        <v>260</v>
      </c>
      <c r="Z278" s="44" t="s">
        <v>268</v>
      </c>
      <c r="AA278" s="44" t="s">
        <v>276</v>
      </c>
      <c r="AB278" s="44" t="s">
        <v>284</v>
      </c>
      <c r="AC278" s="44" t="s">
        <v>293</v>
      </c>
      <c r="AD278" s="44" t="s">
        <v>301</v>
      </c>
      <c r="AE278" s="44" t="s">
        <v>309</v>
      </c>
      <c r="AF278" s="44" t="s">
        <v>317</v>
      </c>
      <c r="AG278" s="44" t="s">
        <v>325</v>
      </c>
    </row>
    <row r="279" customFormat="false" ht="15" hidden="false" customHeight="true" outlineLevel="0" collapsed="false">
      <c r="A279" s="53" t="s">
        <v>19845</v>
      </c>
      <c r="B279" s="46" t="s">
        <v>19863</v>
      </c>
      <c r="C279" s="55" t="n">
        <f aca="false">SUMIFS(데이터_신성질별!$G$3:$G$529,데이터_신성질별!$E$3:$E$529,$B279,데이터_신성질별!$A$3:$A$529,"2024.01")</f>
        <v>8679299</v>
      </c>
      <c r="D279" s="55" t="n">
        <f aca="false">SUMIFS(데이터_신성질별!$G$3:$G$529,데이터_신성질별!$E$3:$E$529,$B279,데이터_신성질별!$A$3:$A$529,"2024.02")</f>
        <v>7463027</v>
      </c>
      <c r="E279" s="55" t="n">
        <f aca="false">SUMIFS(데이터_신성질별!$G$3:$G$529,데이터_신성질별!$E$3:$E$529,$B279,데이터_신성질별!$A$3:$A$529,"2024.03")</f>
        <v>8578703</v>
      </c>
      <c r="F279" s="55" t="n">
        <f aca="false">SUMIFS(데이터_신성질별!$G$3:$G$529,데이터_신성질별!$E$3:$E$529,$B279,데이터_신성질별!$A$3:$A$529,"2024.04")</f>
        <v>9284516</v>
      </c>
      <c r="G279" s="55" t="n">
        <f aca="false">SUMIFS(데이터_신성질별!$G$3:$G$529,데이터_신성질별!$E$3:$E$529,$B279,데이터_신성질별!$A$3:$A$529,"2024.05")</f>
        <v>8857146</v>
      </c>
      <c r="H279" s="55" t="n">
        <f aca="false">SUMIFS(데이터_신성질별!$G$3:$G$529,데이터_신성질별!$E$3:$E$529,$B279,데이터_신성질별!$A$3:$A$529,"2024.06")</f>
        <v>8389368</v>
      </c>
      <c r="I279" s="55" t="n">
        <f aca="false">SUMIFS(데이터_신성질별!$G$3:$G$529,데이터_신성질별!$E$3:$E$529,$B279,데이터_신성질별!$A$3:$A$529,"2024.07")</f>
        <v>7835923</v>
      </c>
      <c r="J279" s="55" t="n">
        <f aca="false">SUMIFS(데이터_신성질별!$G$3:$G$529,데이터_신성질별!$E$3:$E$529,$B279,데이터_신성질별!$A$3:$A$529,"2024.08")</f>
        <v>7246561</v>
      </c>
      <c r="K279" s="55" t="n">
        <f aca="false">SUMIFS(데이터_신성질별!$G$3:$G$529,데이터_신성질별!$E$3:$E$529,$B279,데이터_신성질별!$A$3:$A$529,"2024.09")</f>
        <v>7731284</v>
      </c>
      <c r="L279" s="55" t="n">
        <f aca="false">SUMIFS(데이터_신성질별!$G$3:$G$529,데이터_신성질별!$E$3:$E$529,$B279,데이터_신성질별!$A$3:$A$529,"2024.10")</f>
        <v>8663202</v>
      </c>
      <c r="M279" s="55" t="n">
        <f aca="false">SUMIFS(데이터_신성질별!$G$3:$G$529,데이터_신성질별!$E$3:$E$529,$B279,데이터_신성질별!$A$3:$A$529,"2024.11")</f>
        <v>7995465</v>
      </c>
      <c r="N279" s="55" t="n">
        <f aca="false">SUMIFS(데이터_신성질별!$G$3:$G$529,데이터_신성질별!$E$3:$E$529,$B279,데이터_신성질별!$A$3:$A$529,"2024.12")</f>
        <v>8442231</v>
      </c>
      <c r="O279" s="55" t="n">
        <f aca="false">SUMIFS(데이터_신성질별!$G$3:$G$529,데이터_신성질별!$E$3:$E$529,$B279,데이터_신성질별!$A$3:$A$529,"2025.01")</f>
        <v>6837296</v>
      </c>
      <c r="P279" s="55" t="n">
        <f aca="false">SUMIFS(데이터_신성질별!$G$3:$G$529,데이터_신성질별!$E$3:$E$529,$B279,데이터_신성질별!$A$3:$A$529,"2025.02")</f>
        <v>8228531</v>
      </c>
      <c r="Q279" s="55" t="n">
        <f aca="false">SUMIFS(데이터_신성질별!$G$3:$G$529,데이터_신성질별!$E$3:$E$529,$B279,데이터_신성질별!$A$3:$A$529,"2025.03")</f>
        <v>8401761</v>
      </c>
      <c r="R279" s="55" t="n">
        <f aca="false">SUMIFS(데이터_신성질별!$G$3:$G$529,데이터_신성질별!$E$3:$E$529,$B279,데이터_신성질별!$A$3:$A$529,"2025.04")</f>
        <v>8915915</v>
      </c>
      <c r="S279" s="55" t="n">
        <f aca="false">SUMIFS(데이터_신성질별!$G$3:$G$529,데이터_신성질별!$E$3:$E$529,$B279,데이터_신성질별!$A$3:$A$529,"2025.05")</f>
        <v>8287531</v>
      </c>
      <c r="T279" s="55" t="n">
        <f aca="false">SUMIFS(데이터_신성질별!$G$3:$G$529,데이터_신성질별!$E$3:$E$529,$B279,데이터_신성질별!$A$3:$A$529,"2025.06")</f>
        <v>8216283</v>
      </c>
      <c r="U279" s="55" t="n">
        <f aca="false">SUMIFS(데이터_신성질별!$G$3:$G$529,데이터_신성질별!$E$3:$E$529,$B279,데이터_신성질별!$A$3:$A$529,"2025.07")</f>
        <v>8020782</v>
      </c>
      <c r="V279" s="55" t="n">
        <f aca="false">SUMIFS(데이터_신성질별!$G$3:$G$529,데이터_신성질별!$E$3:$E$529,$B279,데이터_신성질별!$A$3:$A$529,"2025.08")</f>
        <v>7242562</v>
      </c>
      <c r="W279" s="55" t="n">
        <f aca="false">SUMIFS(데이터_신성질별!$G$3:$G$529,데이터_신성질별!$E$3:$E$529,$B279,데이터_신성질별!$A$3:$A$529,"2025.09")</f>
        <v>8625008</v>
      </c>
      <c r="X279" s="55" t="n">
        <f aca="false">SUMIFS(데이터_신성질별!$G$3:$G$529,데이터_신성질별!$E$3:$E$529,$B279,데이터_신성질별!$A$3:$A$529,"2025.10")</f>
        <v>7573129</v>
      </c>
      <c r="Y279" s="55" t="n">
        <f aca="false">SUMIFS(데이터_신성질별!$G$3:$G$529,데이터_신성질별!$E$3:$E$529,$B279,데이터_신성질별!$A$3:$A$529,"2025.11")</f>
        <v>8343363</v>
      </c>
      <c r="Z279" s="55" t="n">
        <f aca="false">SUMIFS(데이터_신성질별!$G$3:$G$529,데이터_신성질별!$E$3:$E$529,$B279,데이터_신성질별!$A$3:$A$529,"2025.12")</f>
        <v>8057411</v>
      </c>
      <c r="AA279" s="55" t="n">
        <f aca="false">SUMIFS(데이터_신성질별!$G$3:$G$529,데이터_신성질별!$E$3:$E$529,$B279,데이터_신성질별!$A$3:$A$529,"2026.01")</f>
        <v>7671931</v>
      </c>
      <c r="AB279" s="55" t="n">
        <f aca="false">SUMIFS(데이터_신성질별!$G$3:$G$529,데이터_신성질별!$E$3:$E$529,$B279,데이터_신성질별!$A$3:$A$529,"2026.02")</f>
        <v>6598332</v>
      </c>
      <c r="AC279" s="55" t="n">
        <f aca="false">SUMIFS(데이터_신성질별!$G$3:$G$529,데이터_신성질별!$E$3:$E$529,$B279,데이터_신성질별!$A$3:$A$529,"2026.03")</f>
        <v>8402972</v>
      </c>
      <c r="AD279" s="55" t="n">
        <f aca="false">SUMIFS(데이터_신성질별!$G$3:$G$529,데이터_신성질별!$E$3:$E$529,$B279,데이터_신성질별!$A$3:$A$529,"2026.04")</f>
        <v>8692026</v>
      </c>
      <c r="AE279" s="55" t="n">
        <f aca="false">SUMIFS(데이터_신성질별!$G$3:$G$529,데이터_신성질별!$E$3:$E$529,$B279,데이터_신성질별!$A$3:$A$529,"2026.05")</f>
        <v>7818478</v>
      </c>
      <c r="AF279" s="55" t="n">
        <f aca="false">SUMIFS(데이터_신성질별!$G$3:$G$529,데이터_신성질별!$E$3:$E$529,$B279,데이터_신성질별!$A$3:$A$529,"2026.06")</f>
        <v>8762452</v>
      </c>
      <c r="AG279" s="55" t="n">
        <f aca="false">SUMIFS(데이터_신성질별!$G$3:$G$529,데이터_신성질별!$E$3:$E$529,$B279,데이터_신성질별!$A$3:$A$529,"2026.07")</f>
        <v>8749031</v>
      </c>
    </row>
    <row r="280" customFormat="false" ht="15" hidden="false" customHeight="true" outlineLevel="0" collapsed="false">
      <c r="A280" s="53" t="s">
        <v>19847</v>
      </c>
      <c r="B280" s="54" t="s">
        <v>17604</v>
      </c>
      <c r="C280" s="55" t="n">
        <f aca="false">SUMIFS(데이터_신성질별!$G$3:$G$529,데이터_신성질별!$E$3:$E$529,$B280,데이터_신성질별!$A$3:$A$529,"2024.01")</f>
        <v>810359</v>
      </c>
      <c r="D280" s="55" t="n">
        <f aca="false">SUMIFS(데이터_신성질별!$G$3:$G$529,데이터_신성질별!$E$3:$E$529,$B280,데이터_신성질별!$A$3:$A$529,"2024.02")</f>
        <v>798960</v>
      </c>
      <c r="E280" s="55" t="n">
        <f aca="false">SUMIFS(데이터_신성질별!$G$3:$G$529,데이터_신성질별!$E$3:$E$529,$B280,데이터_신성질별!$A$3:$A$529,"2024.03")</f>
        <v>879948</v>
      </c>
      <c r="F280" s="55" t="n">
        <f aca="false">SUMIFS(데이터_신성질별!$G$3:$G$529,데이터_신성질별!$E$3:$E$529,$B280,데이터_신성질별!$A$3:$A$529,"2024.04")</f>
        <v>993472</v>
      </c>
      <c r="G280" s="55" t="n">
        <f aca="false">SUMIFS(데이터_신성질별!$G$3:$G$529,데이터_신성질별!$E$3:$E$529,$B280,데이터_신성질별!$A$3:$A$529,"2024.05")</f>
        <v>918339</v>
      </c>
      <c r="H280" s="55" t="n">
        <f aca="false">SUMIFS(데이터_신성질별!$G$3:$G$529,데이터_신성질별!$E$3:$E$529,$B280,데이터_신성질별!$A$3:$A$529,"2024.06")</f>
        <v>882056</v>
      </c>
      <c r="I280" s="55" t="n">
        <f aca="false">SUMIFS(데이터_신성질별!$G$3:$G$529,데이터_신성질별!$E$3:$E$529,$B280,데이터_신성질별!$A$3:$A$529,"2024.07")</f>
        <v>949194</v>
      </c>
      <c r="J280" s="55" t="n">
        <f aca="false">SUMIFS(데이터_신성질별!$G$3:$G$529,데이터_신성질별!$E$3:$E$529,$B280,데이터_신성질별!$A$3:$A$529,"2024.08")</f>
        <v>864881</v>
      </c>
      <c r="K280" s="55" t="n">
        <f aca="false">SUMIFS(데이터_신성질별!$G$3:$G$529,데이터_신성질별!$E$3:$E$529,$B280,데이터_신성질별!$A$3:$A$529,"2024.09")</f>
        <v>882584</v>
      </c>
      <c r="L280" s="55" t="n">
        <f aca="false">SUMIFS(데이터_신성질별!$G$3:$G$529,데이터_신성질별!$E$3:$E$529,$B280,데이터_신성질별!$A$3:$A$529,"2024.10")</f>
        <v>980393</v>
      </c>
      <c r="M280" s="55" t="n">
        <f aca="false">SUMIFS(데이터_신성질별!$G$3:$G$529,데이터_신성질별!$E$3:$E$529,$B280,데이터_신성질별!$A$3:$A$529,"2024.11")</f>
        <v>960465</v>
      </c>
      <c r="N280" s="55" t="n">
        <f aca="false">SUMIFS(데이터_신성질별!$G$3:$G$529,데이터_신성질별!$E$3:$E$529,$B280,데이터_신성질별!$A$3:$A$529,"2024.12")</f>
        <v>969904</v>
      </c>
      <c r="O280" s="55" t="n">
        <f aca="false">SUMIFS(데이터_신성질별!$G$3:$G$529,데이터_신성질별!$E$3:$E$529,$B280,데이터_신성질별!$A$3:$A$529,"2025.01")</f>
        <v>769987</v>
      </c>
      <c r="P280" s="55" t="n">
        <f aca="false">SUMIFS(데이터_신성질별!$G$3:$G$529,데이터_신성질별!$E$3:$E$529,$B280,데이터_신성질별!$A$3:$A$529,"2025.02")</f>
        <v>937313</v>
      </c>
      <c r="Q280" s="55" t="n">
        <f aca="false">SUMIFS(데이터_신성질별!$G$3:$G$529,데이터_신성질별!$E$3:$E$529,$B280,데이터_신성질별!$A$3:$A$529,"2025.03")</f>
        <v>948596</v>
      </c>
      <c r="R280" s="55" t="n">
        <f aca="false">SUMIFS(데이터_신성질별!$G$3:$G$529,데이터_신성질별!$E$3:$E$529,$B280,데이터_신성질별!$A$3:$A$529,"2025.04")</f>
        <v>1044605</v>
      </c>
      <c r="S280" s="55" t="n">
        <f aca="false">SUMIFS(데이터_신성질별!$G$3:$G$529,데이터_신성질별!$E$3:$E$529,$B280,데이터_신성질별!$A$3:$A$529,"2025.05")</f>
        <v>953955</v>
      </c>
      <c r="T280" s="55" t="n">
        <f aca="false">SUMIFS(데이터_신성질별!$G$3:$G$529,데이터_신성질별!$E$3:$E$529,$B280,데이터_신성질별!$A$3:$A$529,"2025.06")</f>
        <v>909840</v>
      </c>
      <c r="U280" s="55" t="n">
        <f aca="false">SUMIFS(데이터_신성질별!$G$3:$G$529,데이터_신성질별!$E$3:$E$529,$B280,데이터_신성질별!$A$3:$A$529,"2025.07")</f>
        <v>978427</v>
      </c>
      <c r="V280" s="55" t="n">
        <f aca="false">SUMIFS(데이터_신성질별!$G$3:$G$529,데이터_신성질별!$E$3:$E$529,$B280,데이터_신성질별!$A$3:$A$529,"2025.08")</f>
        <v>890643</v>
      </c>
      <c r="W280" s="55" t="n">
        <f aca="false">SUMIFS(데이터_신성질별!$G$3:$G$529,데이터_신성질별!$E$3:$E$529,$B280,데이터_신성질별!$A$3:$A$529,"2025.09")</f>
        <v>1095948</v>
      </c>
      <c r="X280" s="55" t="n">
        <f aca="false">SUMIFS(데이터_신성질별!$G$3:$G$529,데이터_신성질별!$E$3:$E$529,$B280,데이터_신성질별!$A$3:$A$529,"2025.10")</f>
        <v>903089</v>
      </c>
      <c r="Y280" s="55" t="n">
        <f aca="false">SUMIFS(데이터_신성질별!$G$3:$G$529,데이터_신성질별!$E$3:$E$529,$B280,데이터_신성질별!$A$3:$A$529,"2025.11")</f>
        <v>979278</v>
      </c>
      <c r="Z280" s="55" t="n">
        <f aca="false">SUMIFS(데이터_신성질별!$G$3:$G$529,데이터_신성질별!$E$3:$E$529,$B280,데이터_신성질별!$A$3:$A$529,"2025.12")</f>
        <v>1066226</v>
      </c>
      <c r="AA280" s="55" t="n">
        <f aca="false">SUMIFS(데이터_신성질별!$G$3:$G$529,데이터_신성질별!$E$3:$E$529,$B280,데이터_신성질별!$A$3:$A$529,"2026.01")</f>
        <v>974471</v>
      </c>
      <c r="AB280" s="55" t="n">
        <f aca="false">SUMIFS(데이터_신성질별!$G$3:$G$529,데이터_신성질별!$E$3:$E$529,$B280,데이터_신성질별!$A$3:$A$529,"2026.02")</f>
        <v>884224</v>
      </c>
      <c r="AC280" s="55" t="n">
        <f aca="false">SUMIFS(데이터_신성질별!$G$3:$G$529,데이터_신성질별!$E$3:$E$529,$B280,데이터_신성질별!$A$3:$A$529,"2026.03")</f>
        <v>1097568</v>
      </c>
      <c r="AD280" s="55" t="n">
        <f aca="false">SUMIFS(데이터_신성질별!$G$3:$G$529,데이터_신성질별!$E$3:$E$529,$B280,데이터_신성질별!$A$3:$A$529,"2026.04")</f>
        <v>1142829</v>
      </c>
      <c r="AE280" s="55" t="n">
        <f aca="false">SUMIFS(데이터_신성질별!$G$3:$G$529,데이터_신성질별!$E$3:$E$529,$B280,데이터_신성질별!$A$3:$A$529,"2026.05")</f>
        <v>974774</v>
      </c>
      <c r="AF280" s="55" t="n">
        <f aca="false">SUMIFS(데이터_신성질별!$G$3:$G$529,데이터_신성질별!$E$3:$E$529,$B280,데이터_신성질별!$A$3:$A$529,"2026.06")</f>
        <v>1070206</v>
      </c>
      <c r="AG280" s="55" t="n">
        <f aca="false">SUMIFS(데이터_신성질별!$G$3:$G$529,데이터_신성질별!$E$3:$E$529,$B280,데이터_신성질별!$A$3:$A$529,"2026.07")</f>
        <v>1020785</v>
      </c>
    </row>
    <row r="281" customFormat="false" ht="15" hidden="false" customHeight="true" outlineLevel="0" collapsed="false">
      <c r="A281" s="53" t="s">
        <v>19849</v>
      </c>
      <c r="B281" s="54" t="s">
        <v>17609</v>
      </c>
      <c r="C281" s="55" t="n">
        <f aca="false">SUMIFS(데이터_신성질별!$G$3:$G$529,데이터_신성질별!$E$3:$E$529,$B281,데이터_신성질별!$A$3:$A$529,"2024.01")</f>
        <v>6352080</v>
      </c>
      <c r="D281" s="55" t="n">
        <f aca="false">SUMIFS(데이터_신성질별!$G$3:$G$529,데이터_신성질별!$E$3:$E$529,$B281,데이터_신성질별!$A$3:$A$529,"2024.02")</f>
        <v>5305583</v>
      </c>
      <c r="E281" s="55" t="n">
        <f aca="false">SUMIFS(데이터_신성질별!$G$3:$G$529,데이터_신성질별!$E$3:$E$529,$B281,데이터_신성질별!$A$3:$A$529,"2024.03")</f>
        <v>6235551</v>
      </c>
      <c r="F281" s="55" t="n">
        <f aca="false">SUMIFS(데이터_신성질별!$G$3:$G$529,데이터_신성질별!$E$3:$E$529,$B281,데이터_신성질별!$A$3:$A$529,"2024.04")</f>
        <v>6701236</v>
      </c>
      <c r="G281" s="55" t="n">
        <f aca="false">SUMIFS(데이터_신성질별!$G$3:$G$529,데이터_신성질별!$E$3:$E$529,$B281,데이터_신성질별!$A$3:$A$529,"2024.05")</f>
        <v>6261792</v>
      </c>
      <c r="H281" s="55" t="n">
        <f aca="false">SUMIFS(데이터_신성질별!$G$3:$G$529,데이터_신성질별!$E$3:$E$529,$B281,데이터_신성질별!$A$3:$A$529,"2024.06")</f>
        <v>5970552</v>
      </c>
      <c r="I281" s="55" t="n">
        <f aca="false">SUMIFS(데이터_신성질별!$G$3:$G$529,데이터_신성질별!$E$3:$E$529,$B281,데이터_신성질별!$A$3:$A$529,"2024.07")</f>
        <v>5276699</v>
      </c>
      <c r="J281" s="55" t="n">
        <f aca="false">SUMIFS(데이터_신성질별!$G$3:$G$529,데이터_신성질별!$E$3:$E$529,$B281,데이터_신성질별!$A$3:$A$529,"2024.08")</f>
        <v>4917244</v>
      </c>
      <c r="K281" s="55" t="n">
        <f aca="false">SUMIFS(데이터_신성질별!$G$3:$G$529,데이터_신성질별!$E$3:$E$529,$B281,데이터_신성질별!$A$3:$A$529,"2024.09")</f>
        <v>5309388</v>
      </c>
      <c r="L281" s="55" t="n">
        <f aca="false">SUMIFS(데이터_신성질별!$G$3:$G$529,데이터_신성질별!$E$3:$E$529,$B281,데이터_신성질별!$A$3:$A$529,"2024.10")</f>
        <v>5961539</v>
      </c>
      <c r="M281" s="55" t="n">
        <f aca="false">SUMIFS(데이터_신성질별!$G$3:$G$529,데이터_신성질별!$E$3:$E$529,$B281,데이터_신성질별!$A$3:$A$529,"2024.11")</f>
        <v>5390536</v>
      </c>
      <c r="N281" s="55" t="n">
        <f aca="false">SUMIFS(데이터_신성질별!$G$3:$G$529,데이터_신성질별!$E$3:$E$529,$B281,데이터_신성질별!$A$3:$A$529,"2024.12")</f>
        <v>5856150</v>
      </c>
      <c r="O281" s="55" t="n">
        <f aca="false">SUMIFS(데이터_신성질별!$G$3:$G$529,데이터_신성질별!$E$3:$E$529,$B281,데이터_신성질별!$A$3:$A$529,"2025.01")</f>
        <v>4694972</v>
      </c>
      <c r="P281" s="55" t="n">
        <f aca="false">SUMIFS(데이터_신성질별!$G$3:$G$529,데이터_신성질별!$E$3:$E$529,$B281,데이터_신성질별!$A$3:$A$529,"2025.02")</f>
        <v>5722405</v>
      </c>
      <c r="Q281" s="55" t="n">
        <f aca="false">SUMIFS(데이터_신성질별!$G$3:$G$529,데이터_신성질별!$E$3:$E$529,$B281,데이터_신성질별!$A$3:$A$529,"2025.03")</f>
        <v>5800591</v>
      </c>
      <c r="R281" s="55" t="n">
        <f aca="false">SUMIFS(데이터_신성질별!$G$3:$G$529,데이터_신성질별!$E$3:$E$529,$B281,데이터_신성질별!$A$3:$A$529,"2025.04")</f>
        <v>6054444</v>
      </c>
      <c r="S281" s="55" t="n">
        <f aca="false">SUMIFS(데이터_신성질별!$G$3:$G$529,데이터_신성질별!$E$3:$E$529,$B281,데이터_신성질별!$A$3:$A$529,"2025.05")</f>
        <v>5604303</v>
      </c>
      <c r="T281" s="55" t="n">
        <f aca="false">SUMIFS(데이터_신성질별!$G$3:$G$529,데이터_신성질별!$E$3:$E$529,$B281,데이터_신성질별!$A$3:$A$529,"2025.06")</f>
        <v>5635718</v>
      </c>
      <c r="U281" s="55" t="n">
        <f aca="false">SUMIFS(데이터_신성질별!$G$3:$G$529,데이터_신성질별!$E$3:$E$529,$B281,데이터_신성질별!$A$3:$A$529,"2025.07")</f>
        <v>5324181</v>
      </c>
      <c r="V281" s="55" t="n">
        <f aca="false">SUMIFS(데이터_신성질별!$G$3:$G$529,데이터_신성질별!$E$3:$E$529,$B281,데이터_신성질별!$A$3:$A$529,"2025.08")</f>
        <v>4920612</v>
      </c>
      <c r="W281" s="55" t="n">
        <f aca="false">SUMIFS(데이터_신성질별!$G$3:$G$529,데이터_신성질별!$E$3:$E$529,$B281,데이터_신성질별!$A$3:$A$529,"2025.09")</f>
        <v>5683299</v>
      </c>
      <c r="X281" s="55" t="n">
        <f aca="false">SUMIFS(데이터_신성질별!$G$3:$G$529,데이터_신성질별!$E$3:$E$529,$B281,데이터_신성질별!$A$3:$A$529,"2025.10")</f>
        <v>5162546</v>
      </c>
      <c r="Y281" s="55" t="n">
        <f aca="false">SUMIFS(데이터_신성질별!$G$3:$G$529,데이터_신성질별!$E$3:$E$529,$B281,데이터_신성질별!$A$3:$A$529,"2025.11")</f>
        <v>5750801</v>
      </c>
      <c r="Z281" s="55" t="n">
        <f aca="false">SUMIFS(데이터_신성질별!$G$3:$G$529,데이터_신성질별!$E$3:$E$529,$B281,데이터_신성질별!$A$3:$A$529,"2025.12")</f>
        <v>5196881</v>
      </c>
      <c r="AA281" s="55" t="n">
        <f aca="false">SUMIFS(데이터_신성질별!$G$3:$G$529,데이터_신성질별!$E$3:$E$529,$B281,데이터_신성질별!$A$3:$A$529,"2026.01")</f>
        <v>5005260</v>
      </c>
      <c r="AB281" s="55" t="n">
        <f aca="false">SUMIFS(데이터_신성질별!$G$3:$G$529,데이터_신성질별!$E$3:$E$529,$B281,데이터_신성질별!$A$3:$A$529,"2026.02")</f>
        <v>4228150</v>
      </c>
      <c r="AC281" s="55" t="n">
        <f aca="false">SUMIFS(데이터_신성질별!$G$3:$G$529,데이터_신성질별!$E$3:$E$529,$B281,데이터_신성질별!$A$3:$A$529,"2026.03")</f>
        <v>5399350</v>
      </c>
      <c r="AD281" s="55" t="n">
        <f aca="false">SUMIFS(데이터_신성질별!$G$3:$G$529,데이터_신성질별!$E$3:$E$529,$B281,데이터_신성질별!$A$3:$A$529,"2026.04")</f>
        <v>5383793</v>
      </c>
      <c r="AE281" s="55" t="n">
        <f aca="false">SUMIFS(데이터_신성질별!$G$3:$G$529,데이터_신성질별!$E$3:$E$529,$B281,데이터_신성질별!$A$3:$A$529,"2026.05")</f>
        <v>4926332</v>
      </c>
      <c r="AF281" s="55" t="n">
        <f aca="false">SUMIFS(데이터_신성질별!$G$3:$G$529,데이터_신성질별!$E$3:$E$529,$B281,데이터_신성질별!$A$3:$A$529,"2026.06")</f>
        <v>5522573</v>
      </c>
      <c r="AG281" s="55" t="n">
        <f aca="false">SUMIFS(데이터_신성질별!$G$3:$G$529,데이터_신성질별!$E$3:$E$529,$B281,데이터_신성질별!$A$3:$A$529,"2026.07")</f>
        <v>5560337</v>
      </c>
    </row>
    <row r="282" customFormat="false" ht="15" hidden="false" customHeight="true" outlineLevel="0" collapsed="false">
      <c r="A282" s="53" t="s">
        <v>19851</v>
      </c>
      <c r="B282" s="54" t="s">
        <v>17614</v>
      </c>
      <c r="C282" s="55" t="n">
        <f aca="false">SUMIFS(데이터_신성질별!$G$3:$G$529,데이터_신성질별!$E$3:$E$529,$B282,데이터_신성질별!$A$3:$A$529,"2024.01")</f>
        <v>1512572</v>
      </c>
      <c r="D282" s="55" t="n">
        <f aca="false">SUMIFS(데이터_신성질별!$G$3:$G$529,데이터_신성질별!$E$3:$E$529,$B282,데이터_신성질별!$A$3:$A$529,"2024.02")</f>
        <v>1354601</v>
      </c>
      <c r="E282" s="55" t="n">
        <f aca="false">SUMIFS(데이터_신성질별!$G$3:$G$529,데이터_신성질별!$E$3:$E$529,$B282,데이터_신성질별!$A$3:$A$529,"2024.03")</f>
        <v>1459749</v>
      </c>
      <c r="F282" s="55" t="n">
        <f aca="false">SUMIFS(데이터_신성질별!$G$3:$G$529,데이터_신성질별!$E$3:$E$529,$B282,데이터_신성질별!$A$3:$A$529,"2024.04")</f>
        <v>1587201</v>
      </c>
      <c r="G282" s="55" t="n">
        <f aca="false">SUMIFS(데이터_신성질별!$G$3:$G$529,데이터_신성질별!$E$3:$E$529,$B282,데이터_신성질별!$A$3:$A$529,"2024.05")</f>
        <v>1674154</v>
      </c>
      <c r="H282" s="55" t="n">
        <f aca="false">SUMIFS(데이터_신성질별!$G$3:$G$529,데이터_신성질별!$E$3:$E$529,$B282,데이터_신성질별!$A$3:$A$529,"2024.06")</f>
        <v>1533466</v>
      </c>
      <c r="I282" s="55" t="n">
        <f aca="false">SUMIFS(데이터_신성질별!$G$3:$G$529,데이터_신성질별!$E$3:$E$529,$B282,데이터_신성질별!$A$3:$A$529,"2024.07")</f>
        <v>1605808</v>
      </c>
      <c r="J282" s="55" t="n">
        <f aca="false">SUMIFS(데이터_신성질별!$G$3:$G$529,데이터_신성질별!$E$3:$E$529,$B282,데이터_신성질별!$A$3:$A$529,"2024.08")</f>
        <v>1461153</v>
      </c>
      <c r="K282" s="55" t="n">
        <f aca="false">SUMIFS(데이터_신성질별!$G$3:$G$529,데이터_신성질별!$E$3:$E$529,$B282,데이터_신성질별!$A$3:$A$529,"2024.09")</f>
        <v>1537137</v>
      </c>
      <c r="L282" s="55" t="n">
        <f aca="false">SUMIFS(데이터_신성질별!$G$3:$G$529,데이터_신성질별!$E$3:$E$529,$B282,데이터_신성질별!$A$3:$A$529,"2024.10")</f>
        <v>1719257</v>
      </c>
      <c r="M282" s="55" t="n">
        <f aca="false">SUMIFS(데이터_신성질별!$G$3:$G$529,데이터_신성질별!$E$3:$E$529,$B282,데이터_신성질별!$A$3:$A$529,"2024.11")</f>
        <v>1642288</v>
      </c>
      <c r="N282" s="55" t="n">
        <f aca="false">SUMIFS(데이터_신성질별!$G$3:$G$529,데이터_신성질별!$E$3:$E$529,$B282,데이터_신성질별!$A$3:$A$529,"2024.12")</f>
        <v>1612886</v>
      </c>
      <c r="O282" s="55" t="n">
        <f aca="false">SUMIFS(데이터_신성질별!$G$3:$G$529,데이터_신성질별!$E$3:$E$529,$B282,데이터_신성질별!$A$3:$A$529,"2025.01")</f>
        <v>1369159</v>
      </c>
      <c r="P282" s="55" t="n">
        <f aca="false">SUMIFS(데이터_신성질별!$G$3:$G$529,데이터_신성질별!$E$3:$E$529,$B282,데이터_신성질별!$A$3:$A$529,"2025.02")</f>
        <v>1565336</v>
      </c>
      <c r="Q282" s="55" t="n">
        <f aca="false">SUMIFS(데이터_신성질별!$G$3:$G$529,데이터_신성질별!$E$3:$E$529,$B282,데이터_신성질별!$A$3:$A$529,"2025.03")</f>
        <v>1649781</v>
      </c>
      <c r="R282" s="55" t="n">
        <f aca="false">SUMIFS(데이터_신성질별!$G$3:$G$529,데이터_신성질별!$E$3:$E$529,$B282,데이터_신성질별!$A$3:$A$529,"2025.04")</f>
        <v>1814143</v>
      </c>
      <c r="S282" s="55" t="n">
        <f aca="false">SUMIFS(데이터_신성질별!$G$3:$G$529,데이터_신성질별!$E$3:$E$529,$B282,데이터_신성질별!$A$3:$A$529,"2025.05")</f>
        <v>1726953</v>
      </c>
      <c r="T282" s="55" t="n">
        <f aca="false">SUMIFS(데이터_신성질별!$G$3:$G$529,데이터_신성질별!$E$3:$E$529,$B282,데이터_신성질별!$A$3:$A$529,"2025.06")</f>
        <v>1667614</v>
      </c>
      <c r="U282" s="55" t="n">
        <f aca="false">SUMIFS(데이터_신성질별!$G$3:$G$529,데이터_신성질별!$E$3:$E$529,$B282,데이터_신성질별!$A$3:$A$529,"2025.07")</f>
        <v>1713676</v>
      </c>
      <c r="V282" s="55" t="n">
        <f aca="false">SUMIFS(데이터_신성질별!$G$3:$G$529,데이터_신성질별!$E$3:$E$529,$B282,데이터_신성질별!$A$3:$A$529,"2025.08")</f>
        <v>1428577</v>
      </c>
      <c r="W282" s="55" t="n">
        <f aca="false">SUMIFS(데이터_신성질별!$G$3:$G$529,데이터_신성질별!$E$3:$E$529,$B282,데이터_신성질별!$A$3:$A$529,"2025.09")</f>
        <v>1843675</v>
      </c>
      <c r="X282" s="55" t="n">
        <f aca="false">SUMIFS(데이터_신성질별!$G$3:$G$529,데이터_신성질별!$E$3:$E$529,$B282,데이터_신성질별!$A$3:$A$529,"2025.10")</f>
        <v>1505792</v>
      </c>
      <c r="Y282" s="55" t="n">
        <f aca="false">SUMIFS(데이터_신성질별!$G$3:$G$529,데이터_신성질별!$E$3:$E$529,$B282,데이터_신성질별!$A$3:$A$529,"2025.11")</f>
        <v>1611449</v>
      </c>
      <c r="Z282" s="55" t="n">
        <f aca="false">SUMIFS(데이터_신성질별!$G$3:$G$529,데이터_신성질별!$E$3:$E$529,$B282,데이터_신성질별!$A$3:$A$529,"2025.12")</f>
        <v>1791266</v>
      </c>
      <c r="AA282" s="55" t="n">
        <f aca="false">SUMIFS(데이터_신성질별!$G$3:$G$529,데이터_신성질별!$E$3:$E$529,$B282,데이터_신성질별!$A$3:$A$529,"2026.01")</f>
        <v>1688959</v>
      </c>
      <c r="AB282" s="55" t="n">
        <f aca="false">SUMIFS(데이터_신성질별!$G$3:$G$529,데이터_신성질별!$E$3:$E$529,$B282,데이터_신성질별!$A$3:$A$529,"2026.02")</f>
        <v>1482909</v>
      </c>
      <c r="AC282" s="55" t="n">
        <f aca="false">SUMIFS(데이터_신성질별!$G$3:$G$529,데이터_신성질별!$E$3:$E$529,$B282,데이터_신성질별!$A$3:$A$529,"2026.03")</f>
        <v>1902412</v>
      </c>
      <c r="AD282" s="55" t="n">
        <f aca="false">SUMIFS(데이터_신성질별!$G$3:$G$529,데이터_신성질별!$E$3:$E$529,$B282,데이터_신성질별!$A$3:$A$529,"2026.04")</f>
        <v>2162912</v>
      </c>
      <c r="AE282" s="55" t="n">
        <f aca="false">SUMIFS(데이터_신성질별!$G$3:$G$529,데이터_신성질별!$E$3:$E$529,$B282,데이터_신성질별!$A$3:$A$529,"2026.05")</f>
        <v>1914940</v>
      </c>
      <c r="AF282" s="55" t="n">
        <f aca="false">SUMIFS(데이터_신성질별!$G$3:$G$529,데이터_신성질별!$E$3:$E$529,$B282,데이터_신성질별!$A$3:$A$529,"2026.06")</f>
        <v>2166222</v>
      </c>
      <c r="AG282" s="55" t="n">
        <f aca="false">SUMIFS(데이터_신성질별!$G$3:$G$529,데이터_신성질별!$E$3:$E$529,$B282,데이터_신성질별!$A$3:$A$529,"2026.07")</f>
        <v>2163797</v>
      </c>
    </row>
    <row r="283" customFormat="false" ht="15" hidden="false" customHeight="true" outlineLevel="0" collapsed="false">
      <c r="A283" s="53" t="s">
        <v>19852</v>
      </c>
      <c r="B283" s="54" t="s">
        <v>17619</v>
      </c>
      <c r="C283" s="55" t="n">
        <f aca="false">SUMIFS(데이터_신성질별!$G$3:$G$529,데이터_신성질별!$E$3:$E$529,$B283,데이터_신성질별!$A$3:$A$529,"2024.01")</f>
        <v>4289</v>
      </c>
      <c r="D283" s="55" t="n">
        <f aca="false">SUMIFS(데이터_신성질별!$G$3:$G$529,데이터_신성질별!$E$3:$E$529,$B283,데이터_신성질별!$A$3:$A$529,"2024.02")</f>
        <v>3883</v>
      </c>
      <c r="E283" s="55" t="n">
        <f aca="false">SUMIFS(데이터_신성질별!$G$3:$G$529,데이터_신성질별!$E$3:$E$529,$B283,데이터_신성질별!$A$3:$A$529,"2024.03")</f>
        <v>3454</v>
      </c>
      <c r="F283" s="55" t="n">
        <f aca="false">SUMIFS(데이터_신성질별!$G$3:$G$529,데이터_신성질별!$E$3:$E$529,$B283,데이터_신성질별!$A$3:$A$529,"2024.04")</f>
        <v>2607</v>
      </c>
      <c r="G283" s="55" t="n">
        <f aca="false">SUMIFS(데이터_신성질별!$G$3:$G$529,데이터_신성질별!$E$3:$E$529,$B283,데이터_신성질별!$A$3:$A$529,"2024.05")</f>
        <v>2861</v>
      </c>
      <c r="H283" s="55" t="n">
        <f aca="false">SUMIFS(데이터_신성질별!$G$3:$G$529,데이터_신성질별!$E$3:$E$529,$B283,데이터_신성질별!$A$3:$A$529,"2024.06")</f>
        <v>3294</v>
      </c>
      <c r="I283" s="55" t="n">
        <f aca="false">SUMIFS(데이터_신성질별!$G$3:$G$529,데이터_신성질별!$E$3:$E$529,$B283,데이터_신성질별!$A$3:$A$529,"2024.07")</f>
        <v>4221</v>
      </c>
      <c r="J283" s="55" t="n">
        <f aca="false">SUMIFS(데이터_신성질별!$G$3:$G$529,데이터_신성질별!$E$3:$E$529,$B283,데이터_신성질별!$A$3:$A$529,"2024.08")</f>
        <v>3283</v>
      </c>
      <c r="K283" s="55" t="n">
        <f aca="false">SUMIFS(데이터_신성질별!$G$3:$G$529,데이터_신성질별!$E$3:$E$529,$B283,데이터_신성질별!$A$3:$A$529,"2024.09")</f>
        <v>2175</v>
      </c>
      <c r="L283" s="55" t="n">
        <f aca="false">SUMIFS(데이터_신성질별!$G$3:$G$529,데이터_신성질별!$E$3:$E$529,$B283,데이터_신성질별!$A$3:$A$529,"2024.10")</f>
        <v>2014</v>
      </c>
      <c r="M283" s="55" t="n">
        <f aca="false">SUMIFS(데이터_신성질별!$G$3:$G$529,데이터_신성질별!$E$3:$E$529,$B283,데이터_신성질별!$A$3:$A$529,"2024.11")</f>
        <v>2176</v>
      </c>
      <c r="N283" s="55" t="n">
        <f aca="false">SUMIFS(데이터_신성질별!$G$3:$G$529,데이터_신성질별!$E$3:$E$529,$B283,데이터_신성질별!$A$3:$A$529,"2024.12")</f>
        <v>3290</v>
      </c>
      <c r="O283" s="55" t="n">
        <f aca="false">SUMIFS(데이터_신성질별!$G$3:$G$529,데이터_신성질별!$E$3:$E$529,$B283,데이터_신성질별!$A$3:$A$529,"2025.01")</f>
        <v>3178</v>
      </c>
      <c r="P283" s="55" t="n">
        <f aca="false">SUMIFS(데이터_신성질별!$G$3:$G$529,데이터_신성질별!$E$3:$E$529,$B283,데이터_신성질별!$A$3:$A$529,"2025.02")</f>
        <v>3476</v>
      </c>
      <c r="Q283" s="55" t="n">
        <f aca="false">SUMIFS(데이터_신성질별!$G$3:$G$529,데이터_신성질별!$E$3:$E$529,$B283,데이터_신성질별!$A$3:$A$529,"2025.03")</f>
        <v>2793</v>
      </c>
      <c r="R283" s="55" t="n">
        <f aca="false">SUMIFS(데이터_신성질별!$G$3:$G$529,데이터_신성질별!$E$3:$E$529,$B283,데이터_신성질별!$A$3:$A$529,"2025.04")</f>
        <v>2722</v>
      </c>
      <c r="S283" s="55" t="n">
        <f aca="false">SUMIFS(데이터_신성질별!$G$3:$G$529,데이터_신성질별!$E$3:$E$529,$B283,데이터_신성질별!$A$3:$A$529,"2025.05")</f>
        <v>2319</v>
      </c>
      <c r="T283" s="55" t="n">
        <f aca="false">SUMIFS(데이터_신성질별!$G$3:$G$529,데이터_신성질별!$E$3:$E$529,$B283,데이터_신성질별!$A$3:$A$529,"2025.06")</f>
        <v>3111</v>
      </c>
      <c r="U283" s="55" t="n">
        <f aca="false">SUMIFS(데이터_신성질별!$G$3:$G$529,데이터_신성질별!$E$3:$E$529,$B283,데이터_신성질별!$A$3:$A$529,"2025.07")</f>
        <v>4498</v>
      </c>
      <c r="V283" s="55" t="n">
        <f aca="false">SUMIFS(데이터_신성질별!$G$3:$G$529,데이터_신성질별!$E$3:$E$529,$B283,데이터_신성질별!$A$3:$A$529,"2025.08")</f>
        <v>2731</v>
      </c>
      <c r="W283" s="55" t="n">
        <f aca="false">SUMIFS(데이터_신성질별!$G$3:$G$529,데이터_신성질별!$E$3:$E$529,$B283,데이터_신성질별!$A$3:$A$529,"2025.09")</f>
        <v>2086</v>
      </c>
      <c r="X283" s="55" t="n">
        <f aca="false">SUMIFS(데이터_신성질별!$G$3:$G$529,데이터_신성질별!$E$3:$E$529,$B283,데이터_신성질별!$A$3:$A$529,"2025.10")</f>
        <v>1702</v>
      </c>
      <c r="Y283" s="55" t="n">
        <f aca="false">SUMIFS(데이터_신성질별!$G$3:$G$529,데이터_신성질별!$E$3:$E$529,$B283,데이터_신성질별!$A$3:$A$529,"2025.11")</f>
        <v>1835</v>
      </c>
      <c r="Z283" s="55" t="n">
        <f aca="false">SUMIFS(데이터_신성질별!$G$3:$G$529,데이터_신성질별!$E$3:$E$529,$B283,데이터_신성질별!$A$3:$A$529,"2025.12")</f>
        <v>3039</v>
      </c>
      <c r="AA283" s="55" t="n">
        <f aca="false">SUMIFS(데이터_신성질별!$G$3:$G$529,데이터_신성질별!$E$3:$E$529,$B283,데이터_신성질별!$A$3:$A$529,"2026.01")</f>
        <v>3241</v>
      </c>
      <c r="AB283" s="55" t="n">
        <f aca="false">SUMIFS(데이터_신성질별!$G$3:$G$529,데이터_신성질별!$E$3:$E$529,$B283,데이터_신성질별!$A$3:$A$529,"2026.02")</f>
        <v>3050</v>
      </c>
      <c r="AC283" s="55" t="n">
        <f aca="false">SUMIFS(데이터_신성질별!$G$3:$G$529,데이터_신성질별!$E$3:$E$529,$B283,데이터_신성질별!$A$3:$A$529,"2026.03")</f>
        <v>3641</v>
      </c>
      <c r="AD283" s="55" t="n">
        <f aca="false">SUMIFS(데이터_신성질별!$G$3:$G$529,데이터_신성질별!$E$3:$E$529,$B283,데이터_신성질별!$A$3:$A$529,"2026.04")</f>
        <v>2491</v>
      </c>
      <c r="AE283" s="55" t="n">
        <f aca="false">SUMIFS(데이터_신성질별!$G$3:$G$529,데이터_신성질별!$E$3:$E$529,$B283,데이터_신성질별!$A$3:$A$529,"2026.05")</f>
        <v>2432</v>
      </c>
      <c r="AF283" s="55" t="n">
        <f aca="false">SUMIFS(데이터_신성질별!$G$3:$G$529,데이터_신성질별!$E$3:$E$529,$B283,데이터_신성질별!$A$3:$A$529,"2026.06")</f>
        <v>3451</v>
      </c>
      <c r="AG283" s="55" t="n">
        <f aca="false">SUMIFS(데이터_신성질별!$G$3:$G$529,데이터_신성질별!$E$3:$E$529,$B283,데이터_신성질별!$A$3:$A$529,"2026.07")</f>
        <v>4113</v>
      </c>
    </row>
    <row r="284" customFormat="false" ht="15" hidden="false" customHeight="true" outlineLevel="0" collapsed="false">
      <c r="A284" s="53" t="s">
        <v>19853</v>
      </c>
      <c r="B284" s="46" t="s">
        <v>19864</v>
      </c>
      <c r="C284" s="55" t="n">
        <f aca="false">SUMIFS(데이터_신성질별!$G$3:$G$529,데이터_신성질별!$E$3:$E$529,$B284,데이터_신성질별!$A$3:$A$529,"2024.01")</f>
        <v>17436372</v>
      </c>
      <c r="D284" s="55" t="n">
        <f aca="false">SUMIFS(데이터_신성질별!$G$3:$G$529,데이터_신성질별!$E$3:$E$529,$B284,데이터_신성질별!$A$3:$A$529,"2024.02")</f>
        <v>16695241</v>
      </c>
      <c r="E284" s="55" t="n">
        <f aca="false">SUMIFS(데이터_신성질별!$G$3:$G$529,데이터_신성질별!$E$3:$E$529,$B284,데이터_신성질별!$A$3:$A$529,"2024.03")</f>
        <v>17230521</v>
      </c>
      <c r="F284" s="55" t="n">
        <f aca="false">SUMIFS(데이터_신성질별!$G$3:$G$529,데이터_신성질별!$E$3:$E$529,$B284,데이터_신성질별!$A$3:$A$529,"2024.04")</f>
        <v>17464076</v>
      </c>
      <c r="G284" s="55" t="n">
        <f aca="false">SUMIFS(데이터_신성질별!$G$3:$G$529,데이터_신성질별!$E$3:$E$529,$B284,데이터_신성질별!$A$3:$A$529,"2024.05")</f>
        <v>17751761</v>
      </c>
      <c r="H284" s="55" t="n">
        <f aca="false">SUMIFS(데이터_신성질별!$G$3:$G$529,데이터_신성질별!$E$3:$E$529,$B284,데이터_신성질별!$A$3:$A$529,"2024.06")</f>
        <v>16038910</v>
      </c>
      <c r="I284" s="55" t="n">
        <f aca="false">SUMIFS(데이터_신성질별!$G$3:$G$529,데이터_신성질별!$E$3:$E$529,$B284,데이터_신성질별!$A$3:$A$529,"2024.07")</f>
        <v>17689412</v>
      </c>
      <c r="J284" s="55" t="n">
        <f aca="false">SUMIFS(데이터_신성질별!$G$3:$G$529,데이터_신성질별!$E$3:$E$529,$B284,데이터_신성질별!$A$3:$A$529,"2024.08")</f>
        <v>17208861</v>
      </c>
      <c r="K284" s="55" t="n">
        <f aca="false">SUMIFS(데이터_신성질별!$G$3:$G$529,데이터_신성질별!$E$3:$E$529,$B284,데이터_신성질별!$A$3:$A$529,"2024.09")</f>
        <v>16067859</v>
      </c>
      <c r="L284" s="55" t="n">
        <f aca="false">SUMIFS(데이터_신성질별!$G$3:$G$529,데이터_신성질별!$E$3:$E$529,$B284,데이터_신성질별!$A$3:$A$529,"2024.10")</f>
        <v>15740462</v>
      </c>
      <c r="M284" s="55" t="n">
        <f aca="false">SUMIFS(데이터_신성질별!$G$3:$G$529,데이터_신성질별!$E$3:$E$529,$B284,데이터_신성질별!$A$3:$A$529,"2024.11")</f>
        <v>15574442</v>
      </c>
      <c r="N284" s="55" t="n">
        <f aca="false">SUMIFS(데이터_신성질별!$G$3:$G$529,데이터_신성질별!$E$3:$E$529,$B284,데이터_신성질별!$A$3:$A$529,"2024.12")</f>
        <v>16555544</v>
      </c>
      <c r="O284" s="55" t="n">
        <f aca="false">SUMIFS(데이터_신성질별!$G$3:$G$529,데이터_신성질별!$E$3:$E$529,$B284,데이터_신성질별!$A$3:$A$529,"2025.01")</f>
        <v>14770147</v>
      </c>
      <c r="P284" s="55" t="n">
        <f aca="false">SUMIFS(데이터_신성질별!$G$3:$G$529,데이터_신성질별!$E$3:$E$529,$B284,데이터_신성질별!$A$3:$A$529,"2025.02")</f>
        <v>16029324</v>
      </c>
      <c r="Q284" s="55" t="n">
        <f aca="false">SUMIFS(데이터_신성질별!$G$3:$G$529,데이터_신성질별!$E$3:$E$529,$B284,데이터_신성질별!$A$3:$A$529,"2025.03")</f>
        <v>15375651</v>
      </c>
      <c r="R284" s="55" t="n">
        <f aca="false">SUMIFS(데이터_신성질별!$G$3:$G$529,데이터_신성질별!$E$3:$E$529,$B284,데이터_신성질별!$A$3:$A$529,"2025.04")</f>
        <v>16732501</v>
      </c>
      <c r="S284" s="55" t="n">
        <f aca="false">SUMIFS(데이터_신성질별!$G$3:$G$529,데이터_신성질별!$E$3:$E$529,$B284,데이터_신성질별!$A$3:$A$529,"2025.05")</f>
        <v>15509215</v>
      </c>
      <c r="T284" s="55" t="n">
        <f aca="false">SUMIFS(데이터_신성질별!$G$3:$G$529,데이터_신성질별!$E$3:$E$529,$B284,데이터_신성질별!$A$3:$A$529,"2025.06")</f>
        <v>16023552</v>
      </c>
      <c r="U284" s="55" t="n">
        <f aca="false">SUMIFS(데이터_신성질별!$G$3:$G$529,데이터_신성질별!$E$3:$E$529,$B284,데이터_신성질별!$A$3:$A$529,"2025.07")</f>
        <v>17071052</v>
      </c>
      <c r="V284" s="55" t="n">
        <f aca="false">SUMIFS(데이터_신성질별!$G$3:$G$529,데이터_신성질별!$E$3:$E$529,$B284,데이터_신성질별!$A$3:$A$529,"2025.08")</f>
        <v>15767753</v>
      </c>
      <c r="W284" s="55" t="n">
        <f aca="false">SUMIFS(데이터_신성질별!$G$3:$G$529,데이터_신성질별!$E$3:$E$529,$B284,데이터_신성질별!$A$3:$A$529,"2025.09")</f>
        <v>17227677</v>
      </c>
      <c r="X284" s="55" t="n">
        <f aca="false">SUMIFS(데이터_신성질별!$G$3:$G$529,데이터_신성질별!$E$3:$E$529,$B284,데이터_신성질별!$A$3:$A$529,"2025.10")</f>
        <v>15011770</v>
      </c>
      <c r="Y284" s="55" t="n">
        <f aca="false">SUMIFS(데이터_신성질별!$G$3:$G$529,데이터_신성질별!$E$3:$E$529,$B284,데이터_신성질별!$A$3:$A$529,"2025.11")</f>
        <v>14758355</v>
      </c>
      <c r="Z284" s="55" t="n">
        <f aca="false">SUMIFS(데이터_신성질별!$G$3:$G$529,데이터_신성질별!$E$3:$E$529,$B284,데이터_신성질별!$A$3:$A$529,"2025.12")</f>
        <v>17036478</v>
      </c>
      <c r="AA284" s="55" t="n">
        <f aca="false">SUMIFS(데이터_신성질별!$G$3:$G$529,데이터_신성질별!$E$3:$E$529,$B284,데이터_신성질별!$A$3:$A$529,"2026.01")</f>
        <v>16383039</v>
      </c>
      <c r="AB284" s="55" t="n">
        <f aca="false">SUMIFS(데이터_신성질별!$G$3:$G$529,데이터_신성질별!$E$3:$E$529,$B284,데이터_신성질별!$A$3:$A$529,"2026.02")</f>
        <v>16305033</v>
      </c>
      <c r="AC284" s="55" t="n">
        <f aca="false">SUMIFS(데이터_신성질별!$G$3:$G$529,데이터_신성질별!$E$3:$E$529,$B284,데이터_신성질별!$A$3:$A$529,"2026.03")</f>
        <v>20857696</v>
      </c>
      <c r="AD284" s="55" t="n">
        <f aca="false">SUMIFS(데이터_신성질별!$G$3:$G$529,데이터_신성질별!$E$3:$E$529,$B284,데이터_신성질별!$A$3:$A$529,"2026.04")</f>
        <v>20089347</v>
      </c>
      <c r="AE284" s="55" t="n">
        <f aca="false">SUMIFS(데이터_신성질별!$G$3:$G$529,데이터_신성질별!$E$3:$E$529,$B284,데이터_신성질별!$A$3:$A$529,"2026.05")</f>
        <v>19373529</v>
      </c>
      <c r="AF284" s="55" t="n">
        <f aca="false">SUMIFS(데이터_신성질별!$G$3:$G$529,데이터_신성질별!$E$3:$E$529,$B284,데이터_신성질별!$A$3:$A$529,"2026.06")</f>
        <v>20737509</v>
      </c>
      <c r="AG284" s="55" t="n">
        <f aca="false">SUMIFS(데이터_신성질별!$G$3:$G$529,데이터_신성질별!$E$3:$E$529,$B284,데이터_신성질별!$A$3:$A$529,"2026.07")</f>
        <v>20962899</v>
      </c>
    </row>
    <row r="285" customFormat="false" ht="15" hidden="false" customHeight="true" outlineLevel="0" collapsed="false">
      <c r="A285" s="53" t="s">
        <v>19854</v>
      </c>
      <c r="B285" s="54" t="s">
        <v>17627</v>
      </c>
      <c r="C285" s="55" t="n">
        <f aca="false">SUMIFS(데이터_신성질별!$G$3:$G$529,데이터_신성질별!$E$3:$E$529,$B285,데이터_신성질별!$A$3:$A$529,"2024.01")</f>
        <v>435996</v>
      </c>
      <c r="D285" s="55" t="n">
        <f aca="false">SUMIFS(데이터_신성질별!$G$3:$G$529,데이터_신성질별!$E$3:$E$529,$B285,데이터_신성질별!$A$3:$A$529,"2024.02")</f>
        <v>419191</v>
      </c>
      <c r="E285" s="55" t="n">
        <f aca="false">SUMIFS(데이터_신성질별!$G$3:$G$529,데이터_신성질별!$E$3:$E$529,$B285,데이터_신성질별!$A$3:$A$529,"2024.03")</f>
        <v>434929</v>
      </c>
      <c r="F285" s="55" t="n">
        <f aca="false">SUMIFS(데이터_신성질별!$G$3:$G$529,데이터_신성질별!$E$3:$E$529,$B285,데이터_신성질별!$A$3:$A$529,"2024.04")</f>
        <v>471336</v>
      </c>
      <c r="G285" s="55" t="n">
        <f aca="false">SUMIFS(데이터_신성질별!$G$3:$G$529,데이터_신성질별!$E$3:$E$529,$B285,데이터_신성질별!$A$3:$A$529,"2024.05")</f>
        <v>462643</v>
      </c>
      <c r="H285" s="55" t="n">
        <f aca="false">SUMIFS(데이터_신성질별!$G$3:$G$529,데이터_신성질별!$E$3:$E$529,$B285,데이터_신성질별!$A$3:$A$529,"2024.06")</f>
        <v>432593</v>
      </c>
      <c r="I285" s="55" t="n">
        <f aca="false">SUMIFS(데이터_신성질별!$G$3:$G$529,데이터_신성질별!$E$3:$E$529,$B285,데이터_신성질별!$A$3:$A$529,"2024.07")</f>
        <v>492029</v>
      </c>
      <c r="J285" s="55" t="n">
        <f aca="false">SUMIFS(데이터_신성질별!$G$3:$G$529,데이터_신성질별!$E$3:$E$529,$B285,데이터_신성질별!$A$3:$A$529,"2024.08")</f>
        <v>427344</v>
      </c>
      <c r="K285" s="55" t="n">
        <f aca="false">SUMIFS(데이터_신성질별!$G$3:$G$529,데이터_신성질별!$E$3:$E$529,$B285,데이터_신성질별!$A$3:$A$529,"2024.09")</f>
        <v>415497</v>
      </c>
      <c r="L285" s="55" t="n">
        <f aca="false">SUMIFS(데이터_신성질별!$G$3:$G$529,데이터_신성질별!$E$3:$E$529,$B285,데이터_신성질별!$A$3:$A$529,"2024.10")</f>
        <v>441320</v>
      </c>
      <c r="M285" s="55" t="n">
        <f aca="false">SUMIFS(데이터_신성질별!$G$3:$G$529,데이터_신성질별!$E$3:$E$529,$B285,데이터_신성질별!$A$3:$A$529,"2024.11")</f>
        <v>413627</v>
      </c>
      <c r="N285" s="55" t="n">
        <f aca="false">SUMIFS(데이터_신성질별!$G$3:$G$529,데이터_신성질별!$E$3:$E$529,$B285,데이터_신성질별!$A$3:$A$529,"2024.12")</f>
        <v>460057</v>
      </c>
      <c r="O285" s="55" t="n">
        <f aca="false">SUMIFS(데이터_신성질별!$G$3:$G$529,데이터_신성질별!$E$3:$E$529,$B285,데이터_신성질별!$A$3:$A$529,"2025.01")</f>
        <v>419822</v>
      </c>
      <c r="P285" s="55" t="n">
        <f aca="false">SUMIFS(데이터_신성질별!$G$3:$G$529,데이터_신성질별!$E$3:$E$529,$B285,데이터_신성질별!$A$3:$A$529,"2025.02")</f>
        <v>450589</v>
      </c>
      <c r="Q285" s="55" t="n">
        <f aca="false">SUMIFS(데이터_신성질별!$G$3:$G$529,데이터_신성질별!$E$3:$E$529,$B285,데이터_신성질별!$A$3:$A$529,"2025.03")</f>
        <v>440957</v>
      </c>
      <c r="R285" s="55" t="n">
        <f aca="false">SUMIFS(데이터_신성질별!$G$3:$G$529,데이터_신성질별!$E$3:$E$529,$B285,데이터_신성질별!$A$3:$A$529,"2025.04")</f>
        <v>472049</v>
      </c>
      <c r="S285" s="55" t="n">
        <f aca="false">SUMIFS(데이터_신성질별!$G$3:$G$529,데이터_신성질별!$E$3:$E$529,$B285,데이터_신성질별!$A$3:$A$529,"2025.05")</f>
        <v>430895</v>
      </c>
      <c r="T285" s="55" t="n">
        <f aca="false">SUMIFS(데이터_신성질별!$G$3:$G$529,데이터_신성질별!$E$3:$E$529,$B285,데이터_신성질별!$A$3:$A$529,"2025.06")</f>
        <v>438017</v>
      </c>
      <c r="U285" s="55" t="n">
        <f aca="false">SUMIFS(데이터_신성질별!$G$3:$G$529,데이터_신성질별!$E$3:$E$529,$B285,데이터_신성질별!$A$3:$A$529,"2025.07")</f>
        <v>466523</v>
      </c>
      <c r="V285" s="55" t="n">
        <f aca="false">SUMIFS(데이터_신성질별!$G$3:$G$529,데이터_신성질별!$E$3:$E$529,$B285,데이터_신성질별!$A$3:$A$529,"2025.08")</f>
        <v>399875</v>
      </c>
      <c r="W285" s="55" t="n">
        <f aca="false">SUMIFS(데이터_신성질별!$G$3:$G$529,데이터_신성질별!$E$3:$E$529,$B285,데이터_신성질별!$A$3:$A$529,"2025.09")</f>
        <v>449419</v>
      </c>
      <c r="X285" s="55" t="n">
        <f aca="false">SUMIFS(데이터_신성질별!$G$3:$G$529,데이터_신성질별!$E$3:$E$529,$B285,데이터_신성질별!$A$3:$A$529,"2025.10")</f>
        <v>414616</v>
      </c>
      <c r="Y285" s="55" t="n">
        <f aca="false">SUMIFS(데이터_신성질별!$G$3:$G$529,데이터_신성질별!$E$3:$E$529,$B285,데이터_신성질별!$A$3:$A$529,"2025.11")</f>
        <v>408533</v>
      </c>
      <c r="Z285" s="55" t="n">
        <f aca="false">SUMIFS(데이터_신성질별!$G$3:$G$529,데이터_신성질별!$E$3:$E$529,$B285,데이터_신성질별!$A$3:$A$529,"2025.12")</f>
        <v>452478</v>
      </c>
      <c r="AA285" s="55" t="n">
        <f aca="false">SUMIFS(데이터_신성질별!$G$3:$G$529,데이터_신성질별!$E$3:$E$529,$B285,데이터_신성질별!$A$3:$A$529,"2026.01")</f>
        <v>417054</v>
      </c>
      <c r="AB285" s="55" t="n">
        <f aca="false">SUMIFS(데이터_신성질별!$G$3:$G$529,데이터_신성질별!$E$3:$E$529,$B285,데이터_신성질별!$A$3:$A$529,"2026.02")</f>
        <v>362450</v>
      </c>
      <c r="AC285" s="55" t="n">
        <f aca="false">SUMIFS(데이터_신성질별!$G$3:$G$529,데이터_신성질별!$E$3:$E$529,$B285,데이터_신성질별!$A$3:$A$529,"2026.03")</f>
        <v>474814</v>
      </c>
      <c r="AD285" s="55" t="n">
        <f aca="false">SUMIFS(데이터_신성질별!$G$3:$G$529,데이터_신성질별!$E$3:$E$529,$B285,데이터_신성질별!$A$3:$A$529,"2026.04")</f>
        <v>483456</v>
      </c>
      <c r="AE285" s="55" t="n">
        <f aca="false">SUMIFS(데이터_신성질별!$G$3:$G$529,데이터_신성질별!$E$3:$E$529,$B285,데이터_신성질별!$A$3:$A$529,"2026.05")</f>
        <v>441975</v>
      </c>
      <c r="AF285" s="55" t="n">
        <f aca="false">SUMIFS(데이터_신성질별!$G$3:$G$529,데이터_신성질별!$E$3:$E$529,$B285,데이터_신성질별!$A$3:$A$529,"2026.06")</f>
        <v>479072</v>
      </c>
      <c r="AG285" s="55" t="n">
        <f aca="false">SUMIFS(데이터_신성질별!$G$3:$G$529,데이터_신성질별!$E$3:$E$529,$B285,데이터_신성질별!$A$3:$A$529,"2026.07")</f>
        <v>483744</v>
      </c>
    </row>
    <row r="286" customFormat="false" ht="15" hidden="false" customHeight="true" outlineLevel="0" collapsed="false">
      <c r="A286" s="53" t="s">
        <v>19855</v>
      </c>
      <c r="B286" s="54" t="s">
        <v>17632</v>
      </c>
      <c r="C286" s="55" t="n">
        <f aca="false">SUMIFS(데이터_신성질별!$G$3:$G$529,데이터_신성질별!$E$3:$E$529,$B286,데이터_신성질별!$A$3:$A$529,"2024.01")</f>
        <v>613936</v>
      </c>
      <c r="D286" s="55" t="n">
        <f aca="false">SUMIFS(데이터_신성질별!$G$3:$G$529,데이터_신성질별!$E$3:$E$529,$B286,데이터_신성질별!$A$3:$A$529,"2024.02")</f>
        <v>601139</v>
      </c>
      <c r="E286" s="55" t="n">
        <f aca="false">SUMIFS(데이터_신성질별!$G$3:$G$529,데이터_신성질별!$E$3:$E$529,$B286,데이터_신성질별!$A$3:$A$529,"2024.03")</f>
        <v>627177</v>
      </c>
      <c r="F286" s="55" t="n">
        <f aca="false">SUMIFS(데이터_신성질별!$G$3:$G$529,데이터_신성질별!$E$3:$E$529,$B286,데이터_신성질별!$A$3:$A$529,"2024.04")</f>
        <v>682936</v>
      </c>
      <c r="G286" s="55" t="n">
        <f aca="false">SUMIFS(데이터_신성질별!$G$3:$G$529,데이터_신성질별!$E$3:$E$529,$B286,데이터_신성질별!$A$3:$A$529,"2024.05")</f>
        <v>692122</v>
      </c>
      <c r="H286" s="55" t="n">
        <f aca="false">SUMIFS(데이터_신성질별!$G$3:$G$529,데이터_신성질별!$E$3:$E$529,$B286,데이터_신성질별!$A$3:$A$529,"2024.06")</f>
        <v>621067</v>
      </c>
      <c r="I286" s="55" t="n">
        <f aca="false">SUMIFS(데이터_신성질별!$G$3:$G$529,데이터_신성질별!$E$3:$E$529,$B286,데이터_신성질별!$A$3:$A$529,"2024.07")</f>
        <v>640215</v>
      </c>
      <c r="J286" s="55" t="n">
        <f aca="false">SUMIFS(데이터_신성질별!$G$3:$G$529,데이터_신성질별!$E$3:$E$529,$B286,데이터_신성질별!$A$3:$A$529,"2024.08")</f>
        <v>573304</v>
      </c>
      <c r="K286" s="55" t="n">
        <f aca="false">SUMIFS(데이터_신성질별!$G$3:$G$529,데이터_신성질별!$E$3:$E$529,$B286,데이터_신성질별!$A$3:$A$529,"2024.09")</f>
        <v>571601</v>
      </c>
      <c r="L286" s="55" t="n">
        <f aca="false">SUMIFS(데이터_신성질별!$G$3:$G$529,데이터_신성질별!$E$3:$E$529,$B286,데이터_신성질별!$A$3:$A$529,"2024.10")</f>
        <v>600092</v>
      </c>
      <c r="M286" s="55" t="n">
        <f aca="false">SUMIFS(데이터_신성질별!$G$3:$G$529,데이터_신성질별!$E$3:$E$529,$B286,데이터_신성질별!$A$3:$A$529,"2024.11")</f>
        <v>644576</v>
      </c>
      <c r="N286" s="55" t="n">
        <f aca="false">SUMIFS(데이터_신성질별!$G$3:$G$529,데이터_신성질별!$E$3:$E$529,$B286,데이터_신성질별!$A$3:$A$529,"2024.12")</f>
        <v>621501</v>
      </c>
      <c r="O286" s="55" t="n">
        <f aca="false">SUMIFS(데이터_신성질별!$G$3:$G$529,데이터_신성질별!$E$3:$E$529,$B286,데이터_신성질별!$A$3:$A$529,"2025.01")</f>
        <v>522157</v>
      </c>
      <c r="P286" s="55" t="n">
        <f aca="false">SUMIFS(데이터_신성질별!$G$3:$G$529,데이터_신성질별!$E$3:$E$529,$B286,데이터_신성질별!$A$3:$A$529,"2025.02")</f>
        <v>583737</v>
      </c>
      <c r="Q286" s="55" t="n">
        <f aca="false">SUMIFS(데이터_신성질별!$G$3:$G$529,데이터_신성질별!$E$3:$E$529,$B286,데이터_신성질별!$A$3:$A$529,"2025.03")</f>
        <v>579228</v>
      </c>
      <c r="R286" s="55" t="n">
        <f aca="false">SUMIFS(데이터_신성질별!$G$3:$G$529,데이터_신성질별!$E$3:$E$529,$B286,데이터_신성질별!$A$3:$A$529,"2025.04")</f>
        <v>649050</v>
      </c>
      <c r="S286" s="55" t="n">
        <f aca="false">SUMIFS(데이터_신성질별!$G$3:$G$529,데이터_신성질별!$E$3:$E$529,$B286,데이터_신성질별!$A$3:$A$529,"2025.05")</f>
        <v>588150</v>
      </c>
      <c r="T286" s="55" t="n">
        <f aca="false">SUMIFS(데이터_신성질별!$G$3:$G$529,데이터_신성질별!$E$3:$E$529,$B286,데이터_신성질별!$A$3:$A$529,"2025.06")</f>
        <v>550815</v>
      </c>
      <c r="U286" s="55" t="n">
        <f aca="false">SUMIFS(데이터_신성질별!$G$3:$G$529,데이터_신성질별!$E$3:$E$529,$B286,데이터_신성질별!$A$3:$A$529,"2025.07")</f>
        <v>582466</v>
      </c>
      <c r="V286" s="55" t="n">
        <f aca="false">SUMIFS(데이터_신성질별!$G$3:$G$529,데이터_신성질별!$E$3:$E$529,$B286,데이터_신성질별!$A$3:$A$529,"2025.08")</f>
        <v>478766</v>
      </c>
      <c r="W286" s="55" t="n">
        <f aca="false">SUMIFS(데이터_신성질별!$G$3:$G$529,데이터_신성질별!$E$3:$E$529,$B286,데이터_신성질별!$A$3:$A$529,"2025.09")</f>
        <v>607073</v>
      </c>
      <c r="X286" s="55" t="n">
        <f aca="false">SUMIFS(데이터_신성질별!$G$3:$G$529,데이터_신성질별!$E$3:$E$529,$B286,데이터_신성질별!$A$3:$A$529,"2025.10")</f>
        <v>492889</v>
      </c>
      <c r="Y286" s="55" t="n">
        <f aca="false">SUMIFS(데이터_신성질별!$G$3:$G$529,데이터_신성질별!$E$3:$E$529,$B286,데이터_신성질별!$A$3:$A$529,"2025.11")</f>
        <v>548470</v>
      </c>
      <c r="Z286" s="55" t="n">
        <f aca="false">SUMIFS(데이터_신성질별!$G$3:$G$529,데이터_신성질별!$E$3:$E$529,$B286,데이터_신성질별!$A$3:$A$529,"2025.12")</f>
        <v>608409</v>
      </c>
      <c r="AA286" s="55" t="n">
        <f aca="false">SUMIFS(데이터_신성질별!$G$3:$G$529,데이터_신성질별!$E$3:$E$529,$B286,데이터_신성질별!$A$3:$A$529,"2026.01")</f>
        <v>546437</v>
      </c>
      <c r="AB286" s="55" t="n">
        <f aca="false">SUMIFS(데이터_신성질별!$G$3:$G$529,데이터_신성질별!$E$3:$E$529,$B286,데이터_신성질별!$A$3:$A$529,"2026.02")</f>
        <v>468104</v>
      </c>
      <c r="AC286" s="55" t="n">
        <f aca="false">SUMIFS(데이터_신성질별!$G$3:$G$529,데이터_신성질별!$E$3:$E$529,$B286,데이터_신성질별!$A$3:$A$529,"2026.03")</f>
        <v>574999</v>
      </c>
      <c r="AD286" s="55" t="n">
        <f aca="false">SUMIFS(데이터_신성질별!$G$3:$G$529,데이터_신성질별!$E$3:$E$529,$B286,데이터_신성질별!$A$3:$A$529,"2026.04")</f>
        <v>634737</v>
      </c>
      <c r="AE286" s="55" t="n">
        <f aca="false">SUMIFS(데이터_신성질별!$G$3:$G$529,데이터_신성질별!$E$3:$E$529,$B286,데이터_신성질별!$A$3:$A$529,"2026.05")</f>
        <v>524092</v>
      </c>
      <c r="AF286" s="55" t="n">
        <f aca="false">SUMIFS(데이터_신성질별!$G$3:$G$529,데이터_신성질별!$E$3:$E$529,$B286,데이터_신성질별!$A$3:$A$529,"2026.06")</f>
        <v>577982</v>
      </c>
      <c r="AG286" s="55" t="n">
        <f aca="false">SUMIFS(데이터_신성질별!$G$3:$G$529,데이터_신성질별!$E$3:$E$529,$B286,데이터_신성질별!$A$3:$A$529,"2026.07")</f>
        <v>593803</v>
      </c>
    </row>
    <row r="287" customFormat="false" ht="15" hidden="false" customHeight="true" outlineLevel="0" collapsed="false">
      <c r="A287" s="53" t="s">
        <v>19856</v>
      </c>
      <c r="B287" s="54" t="s">
        <v>17637</v>
      </c>
      <c r="C287" s="55" t="n">
        <f aca="false">SUMIFS(데이터_신성질별!$G$3:$G$529,데이터_신성질별!$E$3:$E$529,$B287,데이터_신성질별!$A$3:$A$529,"2024.01")</f>
        <v>5478639</v>
      </c>
      <c r="D287" s="55" t="n">
        <f aca="false">SUMIFS(데이터_신성질별!$G$3:$G$529,데이터_신성질별!$E$3:$E$529,$B287,데이터_신성질별!$A$3:$A$529,"2024.02")</f>
        <v>5096884</v>
      </c>
      <c r="E287" s="55" t="n">
        <f aca="false">SUMIFS(데이터_신성질별!$G$3:$G$529,데이터_신성질별!$E$3:$E$529,$B287,데이터_신성질별!$A$3:$A$529,"2024.03")</f>
        <v>5257705</v>
      </c>
      <c r="F287" s="55" t="n">
        <f aca="false">SUMIFS(데이터_신성질별!$G$3:$G$529,데이터_신성질별!$E$3:$E$529,$B287,데이터_신성질별!$A$3:$A$529,"2024.04")</f>
        <v>5006457</v>
      </c>
      <c r="G287" s="55" t="n">
        <f aca="false">SUMIFS(데이터_신성질별!$G$3:$G$529,데이터_신성질별!$E$3:$E$529,$B287,데이터_신성질별!$A$3:$A$529,"2024.05")</f>
        <v>5329632</v>
      </c>
      <c r="H287" s="55" t="n">
        <f aca="false">SUMIFS(데이터_신성질별!$G$3:$G$529,데이터_신성질별!$E$3:$E$529,$B287,데이터_신성질별!$A$3:$A$529,"2024.06")</f>
        <v>4405107</v>
      </c>
      <c r="I287" s="55" t="n">
        <f aca="false">SUMIFS(데이터_신성질별!$G$3:$G$529,데이터_신성질별!$E$3:$E$529,$B287,데이터_신성질별!$A$3:$A$529,"2024.07")</f>
        <v>5294645</v>
      </c>
      <c r="J287" s="55" t="n">
        <f aca="false">SUMIFS(데이터_신성질별!$G$3:$G$529,데이터_신성질별!$E$3:$E$529,$B287,데이터_신성질별!$A$3:$A$529,"2024.08")</f>
        <v>5154127</v>
      </c>
      <c r="K287" s="55" t="n">
        <f aca="false">SUMIFS(데이터_신성질별!$G$3:$G$529,데이터_신성질별!$E$3:$E$529,$B287,데이터_신성질별!$A$3:$A$529,"2024.09")</f>
        <v>4757062</v>
      </c>
      <c r="L287" s="55" t="n">
        <f aca="false">SUMIFS(데이터_신성질별!$G$3:$G$529,데이터_신성질별!$E$3:$E$529,$B287,데이터_신성질별!$A$3:$A$529,"2024.10")</f>
        <v>4004845</v>
      </c>
      <c r="M287" s="55" t="n">
        <f aca="false">SUMIFS(데이터_신성질별!$G$3:$G$529,데이터_신성질별!$E$3:$E$529,$B287,데이터_신성질별!$A$3:$A$529,"2024.11")</f>
        <v>4334527</v>
      </c>
      <c r="N287" s="55" t="n">
        <f aca="false">SUMIFS(데이터_신성질별!$G$3:$G$529,데이터_신성질별!$E$3:$E$529,$B287,데이터_신성질별!$A$3:$A$529,"2024.12")</f>
        <v>4699907</v>
      </c>
      <c r="O287" s="55" t="n">
        <f aca="false">SUMIFS(데이터_신성질별!$G$3:$G$529,데이터_신성질별!$E$3:$E$529,$B287,데이터_신성질별!$A$3:$A$529,"2025.01")</f>
        <v>4080925</v>
      </c>
      <c r="P287" s="55" t="n">
        <f aca="false">SUMIFS(데이터_신성질별!$G$3:$G$529,데이터_신성질별!$E$3:$E$529,$B287,데이터_신성질별!$A$3:$A$529,"2025.02")</f>
        <v>4587814</v>
      </c>
      <c r="Q287" s="55" t="n">
        <f aca="false">SUMIFS(데이터_신성질별!$G$3:$G$529,데이터_신성질별!$E$3:$E$529,$B287,데이터_신성질별!$A$3:$A$529,"2025.03")</f>
        <v>3990034</v>
      </c>
      <c r="R287" s="55" t="n">
        <f aca="false">SUMIFS(데이터_신성질별!$G$3:$G$529,데이터_신성질별!$E$3:$E$529,$B287,데이터_신성질별!$A$3:$A$529,"2025.04")</f>
        <v>4530019</v>
      </c>
      <c r="S287" s="55" t="n">
        <f aca="false">SUMIFS(데이터_신성질별!$G$3:$G$529,데이터_신성질별!$E$3:$E$529,$B287,데이터_신성질별!$A$3:$A$529,"2025.05")</f>
        <v>4484429</v>
      </c>
      <c r="T287" s="55" t="n">
        <f aca="false">SUMIFS(데이터_신성질별!$G$3:$G$529,데이터_신성질별!$E$3:$E$529,$B287,데이터_신성질별!$A$3:$A$529,"2025.06")</f>
        <v>4760980</v>
      </c>
      <c r="U287" s="55" t="n">
        <f aca="false">SUMIFS(데이터_신성질별!$G$3:$G$529,데이터_신성질별!$E$3:$E$529,$B287,데이터_신성질별!$A$3:$A$529,"2025.07")</f>
        <v>5198328</v>
      </c>
      <c r="V287" s="55" t="n">
        <f aca="false">SUMIFS(데이터_신성질별!$G$3:$G$529,데이터_신성질별!$E$3:$E$529,$B287,데이터_신성질별!$A$3:$A$529,"2025.08")</f>
        <v>5053234</v>
      </c>
      <c r="W287" s="55" t="n">
        <f aca="false">SUMIFS(데이터_신성질별!$G$3:$G$529,데이터_신성질별!$E$3:$E$529,$B287,데이터_신성질별!$A$3:$A$529,"2025.09")</f>
        <v>5071416</v>
      </c>
      <c r="X287" s="55" t="n">
        <f aca="false">SUMIFS(데이터_신성질별!$G$3:$G$529,데이터_신성질별!$E$3:$E$529,$B287,데이터_신성질별!$A$3:$A$529,"2025.10")</f>
        <v>4846658</v>
      </c>
      <c r="Y287" s="55" t="n">
        <f aca="false">SUMIFS(데이터_신성질별!$G$3:$G$529,데이터_신성질별!$E$3:$E$529,$B287,데이터_신성질별!$A$3:$A$529,"2025.11")</f>
        <v>4341906</v>
      </c>
      <c r="Z287" s="55" t="n">
        <f aca="false">SUMIFS(데이터_신성질별!$G$3:$G$529,데이터_신성질별!$E$3:$E$529,$B287,데이터_신성질별!$A$3:$A$529,"2025.12")</f>
        <v>5243949</v>
      </c>
      <c r="AA287" s="55" t="n">
        <f aca="false">SUMIFS(데이터_신성질별!$G$3:$G$529,데이터_신성질별!$E$3:$E$529,$B287,데이터_신성질별!$A$3:$A$529,"2026.01")</f>
        <v>4965073</v>
      </c>
      <c r="AB287" s="55" t="n">
        <f aca="false">SUMIFS(데이터_신성질별!$G$3:$G$529,데이터_신성질별!$E$3:$E$529,$B287,데이터_신성질별!$A$3:$A$529,"2026.02")</f>
        <v>5569123</v>
      </c>
      <c r="AC287" s="55" t="n">
        <f aca="false">SUMIFS(데이터_신성질별!$G$3:$G$529,데이터_신성질별!$E$3:$E$529,$B287,데이터_신성질별!$A$3:$A$529,"2026.03")</f>
        <v>8406373</v>
      </c>
      <c r="AD287" s="55" t="n">
        <f aca="false">SUMIFS(데이터_신성질별!$G$3:$G$529,데이터_신성질별!$E$3:$E$529,$B287,데이터_신성질별!$A$3:$A$529,"2026.04")</f>
        <v>6735380</v>
      </c>
      <c r="AE287" s="55" t="n">
        <f aca="false">SUMIFS(데이터_신성질별!$G$3:$G$529,데이터_신성질별!$E$3:$E$529,$B287,데이터_신성질별!$A$3:$A$529,"2026.05")</f>
        <v>7223537</v>
      </c>
      <c r="AF287" s="55" t="n">
        <f aca="false">SUMIFS(데이터_신성질별!$G$3:$G$529,데이터_신성질별!$E$3:$E$529,$B287,데이터_신성질별!$A$3:$A$529,"2026.06")</f>
        <v>7332370</v>
      </c>
      <c r="AG287" s="55" t="n">
        <f aca="false">SUMIFS(데이터_신성질별!$G$3:$G$529,데이터_신성질별!$E$3:$E$529,$B287,데이터_신성질별!$A$3:$A$529,"2026.07")</f>
        <v>7297526</v>
      </c>
    </row>
    <row r="288" customFormat="false" ht="15" hidden="false" customHeight="true" outlineLevel="0" collapsed="false">
      <c r="A288" s="53" t="s">
        <v>408</v>
      </c>
      <c r="B288" s="54" t="s">
        <v>17642</v>
      </c>
      <c r="C288" s="55" t="n">
        <f aca="false">SUMIFS(데이터_신성질별!$G$3:$G$529,데이터_신성질별!$E$3:$E$529,$B288,데이터_신성질별!$A$3:$A$529,"2024.01")</f>
        <v>3358972</v>
      </c>
      <c r="D288" s="55" t="n">
        <f aca="false">SUMIFS(데이터_신성질별!$G$3:$G$529,데이터_신성질별!$E$3:$E$529,$B288,데이터_신성질별!$A$3:$A$529,"2024.02")</f>
        <v>3167040</v>
      </c>
      <c r="E288" s="55" t="n">
        <f aca="false">SUMIFS(데이터_신성질별!$G$3:$G$529,데이터_신성질별!$E$3:$E$529,$B288,데이터_신성질별!$A$3:$A$529,"2024.03")</f>
        <v>3343185</v>
      </c>
      <c r="F288" s="55" t="n">
        <f aca="false">SUMIFS(데이터_신성질별!$G$3:$G$529,데이터_신성질별!$E$3:$E$529,$B288,데이터_신성질별!$A$3:$A$529,"2024.04")</f>
        <v>3266573</v>
      </c>
      <c r="G288" s="55" t="n">
        <f aca="false">SUMIFS(데이터_신성질별!$G$3:$G$529,데이터_신성질별!$E$3:$E$529,$B288,데이터_신성질별!$A$3:$A$529,"2024.05")</f>
        <v>3570820</v>
      </c>
      <c r="H288" s="55" t="n">
        <f aca="false">SUMIFS(데이터_신성질별!$G$3:$G$529,데이터_신성질별!$E$3:$E$529,$B288,데이터_신성질별!$A$3:$A$529,"2024.06")</f>
        <v>3246251</v>
      </c>
      <c r="I288" s="55" t="n">
        <f aca="false">SUMIFS(데이터_신성질별!$G$3:$G$529,데이터_신성질별!$E$3:$E$529,$B288,데이터_신성질별!$A$3:$A$529,"2024.07")</f>
        <v>3595447</v>
      </c>
      <c r="J288" s="55" t="n">
        <f aca="false">SUMIFS(데이터_신성질별!$G$3:$G$529,데이터_신성질별!$E$3:$E$529,$B288,데이터_신성질별!$A$3:$A$529,"2024.08")</f>
        <v>3512860</v>
      </c>
      <c r="K288" s="55" t="n">
        <f aca="false">SUMIFS(데이터_신성질별!$G$3:$G$529,데이터_신성질별!$E$3:$E$529,$B288,데이터_신성질별!$A$3:$A$529,"2024.09")</f>
        <v>3355087</v>
      </c>
      <c r="L288" s="55" t="n">
        <f aca="false">SUMIFS(데이터_신성질별!$G$3:$G$529,데이터_신성질별!$E$3:$E$529,$B288,데이터_신성질별!$A$3:$A$529,"2024.10")</f>
        <v>3480561</v>
      </c>
      <c r="M288" s="55" t="n">
        <f aca="false">SUMIFS(데이터_신성질별!$G$3:$G$529,데이터_신성질별!$E$3:$E$529,$B288,데이터_신성질별!$A$3:$A$529,"2024.11")</f>
        <v>3320696</v>
      </c>
      <c r="N288" s="55" t="n">
        <f aca="false">SUMIFS(데이터_신성질별!$G$3:$G$529,데이터_신성질별!$E$3:$E$529,$B288,데이터_신성질별!$A$3:$A$529,"2024.12")</f>
        <v>3583450</v>
      </c>
      <c r="O288" s="55" t="n">
        <f aca="false">SUMIFS(데이터_신성질별!$G$3:$G$529,데이터_신성질별!$E$3:$E$529,$B288,데이터_신성질별!$A$3:$A$529,"2025.01")</f>
        <v>3130056</v>
      </c>
      <c r="P288" s="55" t="n">
        <f aca="false">SUMIFS(데이터_신성질별!$G$3:$G$529,데이터_신성질별!$E$3:$E$529,$B288,데이터_신성질별!$A$3:$A$529,"2025.02")</f>
        <v>3184279</v>
      </c>
      <c r="Q288" s="55" t="n">
        <f aca="false">SUMIFS(데이터_신성질별!$G$3:$G$529,데이터_신성질별!$E$3:$E$529,$B288,데이터_신성질별!$A$3:$A$529,"2025.03")</f>
        <v>3234465</v>
      </c>
      <c r="R288" s="55" t="n">
        <f aca="false">SUMIFS(데이터_신성질별!$G$3:$G$529,데이터_신성질별!$E$3:$E$529,$B288,데이터_신성질별!$A$3:$A$529,"2025.04")</f>
        <v>3652150</v>
      </c>
      <c r="S288" s="55" t="n">
        <f aca="false">SUMIFS(데이터_신성질별!$G$3:$G$529,데이터_신성질별!$E$3:$E$529,$B288,데이터_신성질별!$A$3:$A$529,"2025.05")</f>
        <v>3297358</v>
      </c>
      <c r="T288" s="55" t="n">
        <f aca="false">SUMIFS(데이터_신성질별!$G$3:$G$529,데이터_신성질별!$E$3:$E$529,$B288,데이터_신성질별!$A$3:$A$529,"2025.06")</f>
        <v>3221602</v>
      </c>
      <c r="U288" s="55" t="n">
        <f aca="false">SUMIFS(데이터_신성질별!$G$3:$G$529,데이터_신성질별!$E$3:$E$529,$B288,데이터_신성질별!$A$3:$A$529,"2025.07")</f>
        <v>3680098</v>
      </c>
      <c r="V288" s="55" t="n">
        <f aca="false">SUMIFS(데이터_신성질별!$G$3:$G$529,데이터_신성질별!$E$3:$E$529,$B288,데이터_신성질별!$A$3:$A$529,"2025.08")</f>
        <v>3186384</v>
      </c>
      <c r="W288" s="55" t="n">
        <f aca="false">SUMIFS(데이터_신성질별!$G$3:$G$529,데이터_신성질별!$E$3:$E$529,$B288,데이터_신성질별!$A$3:$A$529,"2025.09")</f>
        <v>3496294</v>
      </c>
      <c r="X288" s="55" t="n">
        <f aca="false">SUMIFS(데이터_신성질별!$G$3:$G$529,데이터_신성질별!$E$3:$E$529,$B288,데이터_신성질별!$A$3:$A$529,"2025.10")</f>
        <v>3113957</v>
      </c>
      <c r="Y288" s="55" t="n">
        <f aca="false">SUMIFS(데이터_신성질별!$G$3:$G$529,데이터_신성질별!$E$3:$E$529,$B288,데이터_신성질별!$A$3:$A$529,"2025.11")</f>
        <v>3099768</v>
      </c>
      <c r="Z288" s="55" t="n">
        <f aca="false">SUMIFS(데이터_신성질별!$G$3:$G$529,데이터_신성질별!$E$3:$E$529,$B288,데이터_신성질별!$A$3:$A$529,"2025.12")</f>
        <v>3604534</v>
      </c>
      <c r="AA288" s="55" t="n">
        <f aca="false">SUMIFS(데이터_신성질별!$G$3:$G$529,데이터_신성질별!$E$3:$E$529,$B288,데이터_신성질별!$A$3:$A$529,"2026.01")</f>
        <v>3502462</v>
      </c>
      <c r="AB288" s="55" t="n">
        <f aca="false">SUMIFS(데이터_신성질별!$G$3:$G$529,데이터_신성질별!$E$3:$E$529,$B288,데이터_신성질별!$A$3:$A$529,"2026.02")</f>
        <v>3259378</v>
      </c>
      <c r="AC288" s="55" t="n">
        <f aca="false">SUMIFS(데이터_신성질별!$G$3:$G$529,데이터_신성질별!$E$3:$E$529,$B288,데이터_신성질별!$A$3:$A$529,"2026.03")</f>
        <v>3576759</v>
      </c>
      <c r="AD288" s="55" t="n">
        <f aca="false">SUMIFS(데이터_신성질별!$G$3:$G$529,데이터_신성질별!$E$3:$E$529,$B288,데이터_신성질별!$A$3:$A$529,"2026.04")</f>
        <v>4020760</v>
      </c>
      <c r="AE288" s="55" t="n">
        <f aca="false">SUMIFS(데이터_신성질별!$G$3:$G$529,데이터_신성질별!$E$3:$E$529,$B288,데이터_신성질별!$A$3:$A$529,"2026.05")</f>
        <v>3767266</v>
      </c>
      <c r="AF288" s="55" t="n">
        <f aca="false">SUMIFS(데이터_신성질별!$G$3:$G$529,데이터_신성질별!$E$3:$E$529,$B288,데이터_신성질별!$A$3:$A$529,"2026.06")</f>
        <v>4036403</v>
      </c>
      <c r="AG288" s="55" t="n">
        <f aca="false">SUMIFS(데이터_신성질별!$G$3:$G$529,데이터_신성질별!$E$3:$E$529,$B288,데이터_신성질별!$A$3:$A$529,"2026.07")</f>
        <v>4137091</v>
      </c>
    </row>
    <row r="289" customFormat="false" ht="15" hidden="false" customHeight="true" outlineLevel="0" collapsed="false">
      <c r="A289" s="53" t="s">
        <v>415</v>
      </c>
      <c r="B289" s="54" t="s">
        <v>17647</v>
      </c>
      <c r="C289" s="55" t="n">
        <f aca="false">SUMIFS(데이터_신성질별!$G$3:$G$529,데이터_신성질별!$E$3:$E$529,$B289,데이터_신성질별!$A$3:$A$529,"2024.01")</f>
        <v>7536310</v>
      </c>
      <c r="D289" s="55" t="n">
        <f aca="false">SUMIFS(데이터_신성질별!$G$3:$G$529,데이터_신성질별!$E$3:$E$529,$B289,데이터_신성질별!$A$3:$A$529,"2024.02")</f>
        <v>7400218</v>
      </c>
      <c r="E289" s="55" t="n">
        <f aca="false">SUMIFS(데이터_신성질별!$G$3:$G$529,데이터_신성질별!$E$3:$E$529,$B289,데이터_신성질별!$A$3:$A$529,"2024.03")</f>
        <v>7556822</v>
      </c>
      <c r="F289" s="55" t="n">
        <f aca="false">SUMIFS(데이터_신성질별!$G$3:$G$529,데이터_신성질별!$E$3:$E$529,$B289,데이터_신성질별!$A$3:$A$529,"2024.04")</f>
        <v>8024778</v>
      </c>
      <c r="G289" s="55" t="n">
        <f aca="false">SUMIFS(데이터_신성질별!$G$3:$G$529,데이터_신성질별!$E$3:$E$529,$B289,데이터_신성질별!$A$3:$A$529,"2024.05")</f>
        <v>7685707</v>
      </c>
      <c r="H289" s="55" t="n">
        <f aca="false">SUMIFS(데이터_신성질별!$G$3:$G$529,데이터_신성질별!$E$3:$E$529,$B289,데이터_신성질별!$A$3:$A$529,"2024.06")</f>
        <v>7323360</v>
      </c>
      <c r="I289" s="55" t="n">
        <f aca="false">SUMIFS(데이터_신성질별!$G$3:$G$529,데이터_신성질별!$E$3:$E$529,$B289,데이터_신성질별!$A$3:$A$529,"2024.07")</f>
        <v>7655024</v>
      </c>
      <c r="J289" s="55" t="n">
        <f aca="false">SUMIFS(데이터_신성질별!$G$3:$G$529,데이터_신성질별!$E$3:$E$529,$B289,데이터_신성질별!$A$3:$A$529,"2024.08")</f>
        <v>7530158</v>
      </c>
      <c r="K289" s="55" t="n">
        <f aca="false">SUMIFS(데이터_신성질별!$G$3:$G$529,데이터_신성질별!$E$3:$E$529,$B289,데이터_신성질별!$A$3:$A$529,"2024.09")</f>
        <v>6959327</v>
      </c>
      <c r="L289" s="55" t="n">
        <f aca="false">SUMIFS(데이터_신성질별!$G$3:$G$529,데이터_신성질별!$E$3:$E$529,$B289,데이터_신성질별!$A$3:$A$529,"2024.10")</f>
        <v>7203963</v>
      </c>
      <c r="M289" s="55" t="n">
        <f aca="false">SUMIFS(데이터_신성질별!$G$3:$G$529,데이터_신성질별!$E$3:$E$529,$B289,데이터_신성질별!$A$3:$A$529,"2024.11")</f>
        <v>6851506</v>
      </c>
      <c r="N289" s="55" t="n">
        <f aca="false">SUMIFS(데이터_신성질별!$G$3:$G$529,데이터_신성질별!$E$3:$E$529,$B289,데이터_신성질별!$A$3:$A$529,"2024.12")</f>
        <v>7178162</v>
      </c>
      <c r="O289" s="55" t="n">
        <f aca="false">SUMIFS(데이터_신성질별!$G$3:$G$529,데이터_신성질별!$E$3:$E$529,$B289,데이터_신성질별!$A$3:$A$529,"2025.01")</f>
        <v>6605881</v>
      </c>
      <c r="P289" s="55" t="n">
        <f aca="false">SUMIFS(데이터_신성질별!$G$3:$G$529,데이터_신성질별!$E$3:$E$529,$B289,데이터_신성질별!$A$3:$A$529,"2025.02")</f>
        <v>7210289</v>
      </c>
      <c r="Q289" s="55" t="n">
        <f aca="false">SUMIFS(데이터_신성질별!$G$3:$G$529,데이터_신성질별!$E$3:$E$529,$B289,데이터_신성질별!$A$3:$A$529,"2025.03")</f>
        <v>7120177</v>
      </c>
      <c r="R289" s="55" t="n">
        <f aca="false">SUMIFS(데이터_신성질별!$G$3:$G$529,데이터_신성질별!$E$3:$E$529,$B289,데이터_신성질별!$A$3:$A$529,"2025.04")</f>
        <v>7419857</v>
      </c>
      <c r="S289" s="55" t="n">
        <f aca="false">SUMIFS(데이터_신성질별!$G$3:$G$529,데이터_신성질별!$E$3:$E$529,$B289,데이터_신성질별!$A$3:$A$529,"2025.05")</f>
        <v>6699114</v>
      </c>
      <c r="T289" s="55" t="n">
        <f aca="false">SUMIFS(데이터_신성질별!$G$3:$G$529,데이터_신성질별!$E$3:$E$529,$B289,데이터_신성질별!$A$3:$A$529,"2025.06")</f>
        <v>7044112</v>
      </c>
      <c r="U289" s="55" t="n">
        <f aca="false">SUMIFS(데이터_신성질별!$G$3:$G$529,데이터_신성질별!$E$3:$E$529,$B289,데이터_신성질별!$A$3:$A$529,"2025.07")</f>
        <v>7134248</v>
      </c>
      <c r="V289" s="55" t="n">
        <f aca="false">SUMIFS(데이터_신성질별!$G$3:$G$529,데이터_신성질별!$E$3:$E$529,$B289,데이터_신성질별!$A$3:$A$529,"2025.08")</f>
        <v>6642206</v>
      </c>
      <c r="W289" s="55" t="n">
        <f aca="false">SUMIFS(데이터_신성질별!$G$3:$G$529,데이터_신성질별!$E$3:$E$529,$B289,데이터_신성질별!$A$3:$A$529,"2025.09")</f>
        <v>7595794</v>
      </c>
      <c r="X289" s="55" t="n">
        <f aca="false">SUMIFS(데이터_신성질별!$G$3:$G$529,데이터_신성질별!$E$3:$E$529,$B289,데이터_신성질별!$A$3:$A$529,"2025.10")</f>
        <v>6137008</v>
      </c>
      <c r="Y289" s="55" t="n">
        <f aca="false">SUMIFS(데이터_신성질별!$G$3:$G$529,데이터_신성질별!$E$3:$E$529,$B289,데이터_신성질별!$A$3:$A$529,"2025.11")</f>
        <v>6352290</v>
      </c>
      <c r="Z289" s="55" t="n">
        <f aca="false">SUMIFS(데이터_신성질별!$G$3:$G$529,데이터_신성질별!$E$3:$E$529,$B289,데이터_신성질별!$A$3:$A$529,"2025.12")</f>
        <v>7118330</v>
      </c>
      <c r="AA289" s="55" t="n">
        <f aca="false">SUMIFS(데이터_신성질별!$G$3:$G$529,데이터_신성질별!$E$3:$E$529,$B289,데이터_신성질별!$A$3:$A$529,"2026.01")</f>
        <v>6944019</v>
      </c>
      <c r="AB289" s="55" t="n">
        <f aca="false">SUMIFS(데이터_신성질별!$G$3:$G$529,데이터_신성질별!$E$3:$E$529,$B289,데이터_신성질별!$A$3:$A$529,"2026.02")</f>
        <v>6639199</v>
      </c>
      <c r="AC289" s="55" t="n">
        <f aca="false">SUMIFS(데이터_신성질별!$G$3:$G$529,데이터_신성질별!$E$3:$E$529,$B289,데이터_신성질별!$A$3:$A$529,"2026.03")</f>
        <v>7799370</v>
      </c>
      <c r="AD289" s="55" t="n">
        <f aca="false">SUMIFS(데이터_신성질별!$G$3:$G$529,데이터_신성질별!$E$3:$E$529,$B289,데이터_신성질별!$A$3:$A$529,"2026.04")</f>
        <v>8205105</v>
      </c>
      <c r="AE289" s="55" t="n">
        <f aca="false">SUMIFS(데이터_신성질별!$G$3:$G$529,데이터_신성질별!$E$3:$E$529,$B289,데이터_신성질별!$A$3:$A$529,"2026.05")</f>
        <v>7407806</v>
      </c>
      <c r="AF289" s="55" t="n">
        <f aca="false">SUMIFS(데이터_신성질별!$G$3:$G$529,데이터_신성질별!$E$3:$E$529,$B289,데이터_신성질별!$A$3:$A$529,"2026.06")</f>
        <v>8299470</v>
      </c>
      <c r="AG289" s="55" t="n">
        <f aca="false">SUMIFS(데이터_신성질별!$G$3:$G$529,데이터_신성질별!$E$3:$E$529,$B289,데이터_신성질별!$A$3:$A$529,"2026.07")</f>
        <v>8437709</v>
      </c>
    </row>
    <row r="290" customFormat="false" ht="15" hidden="false" customHeight="true" outlineLevel="0" collapsed="false">
      <c r="A290" s="53" t="s">
        <v>422</v>
      </c>
      <c r="B290" s="54" t="s">
        <v>17652</v>
      </c>
      <c r="C290" s="55" t="n">
        <f aca="false">SUMIFS(데이터_신성질별!$G$3:$G$529,데이터_신성질별!$E$3:$E$529,$B290,데이터_신성질별!$A$3:$A$529,"2024.01")</f>
        <v>12520</v>
      </c>
      <c r="D290" s="55" t="n">
        <f aca="false">SUMIFS(데이터_신성질별!$G$3:$G$529,데이터_신성질별!$E$3:$E$529,$B290,데이터_신성질별!$A$3:$A$529,"2024.02")</f>
        <v>10768</v>
      </c>
      <c r="E290" s="55" t="n">
        <f aca="false">SUMIFS(데이터_신성질별!$G$3:$G$529,데이터_신성질별!$E$3:$E$529,$B290,데이터_신성질별!$A$3:$A$529,"2024.03")</f>
        <v>10703</v>
      </c>
      <c r="F290" s="55" t="n">
        <f aca="false">SUMIFS(데이터_신성질별!$G$3:$G$529,데이터_신성질별!$E$3:$E$529,$B290,데이터_신성질별!$A$3:$A$529,"2024.04")</f>
        <v>11996</v>
      </c>
      <c r="G290" s="55" t="n">
        <f aca="false">SUMIFS(데이터_신성질별!$G$3:$G$529,데이터_신성질별!$E$3:$E$529,$B290,데이터_신성질별!$A$3:$A$529,"2024.05")</f>
        <v>10837</v>
      </c>
      <c r="H290" s="55" t="n">
        <f aca="false">SUMIFS(데이터_신성질별!$G$3:$G$529,데이터_신성질별!$E$3:$E$529,$B290,데이터_신성질별!$A$3:$A$529,"2024.06")</f>
        <v>10532</v>
      </c>
      <c r="I290" s="55" t="n">
        <f aca="false">SUMIFS(데이터_신성질별!$G$3:$G$529,데이터_신성질별!$E$3:$E$529,$B290,데이터_신성질별!$A$3:$A$529,"2024.07")</f>
        <v>12052</v>
      </c>
      <c r="J290" s="55" t="n">
        <f aca="false">SUMIFS(데이터_신성질별!$G$3:$G$529,데이터_신성질별!$E$3:$E$529,$B290,데이터_신성질별!$A$3:$A$529,"2024.08")</f>
        <v>11068</v>
      </c>
      <c r="K290" s="55" t="n">
        <f aca="false">SUMIFS(데이터_신성질별!$G$3:$G$529,데이터_신성질별!$E$3:$E$529,$B290,데이터_신성질별!$A$3:$A$529,"2024.09")</f>
        <v>9286</v>
      </c>
      <c r="L290" s="55" t="n">
        <f aca="false">SUMIFS(데이터_신성질별!$G$3:$G$529,데이터_신성질별!$E$3:$E$529,$B290,데이터_신성질별!$A$3:$A$529,"2024.10")</f>
        <v>9680</v>
      </c>
      <c r="M290" s="55" t="n">
        <f aca="false">SUMIFS(데이터_신성질별!$G$3:$G$529,데이터_신성질별!$E$3:$E$529,$B290,데이터_신성질별!$A$3:$A$529,"2024.11")</f>
        <v>9510</v>
      </c>
      <c r="N290" s="55" t="n">
        <f aca="false">SUMIFS(데이터_신성질별!$G$3:$G$529,데이터_신성질별!$E$3:$E$529,$B290,데이터_신성질별!$A$3:$A$529,"2024.12")</f>
        <v>12465</v>
      </c>
      <c r="O290" s="55" t="n">
        <f aca="false">SUMIFS(데이터_신성질별!$G$3:$G$529,데이터_신성질별!$E$3:$E$529,$B290,데이터_신성질별!$A$3:$A$529,"2025.01")</f>
        <v>11305</v>
      </c>
      <c r="P290" s="55" t="n">
        <f aca="false">SUMIFS(데이터_신성질별!$G$3:$G$529,데이터_신성질별!$E$3:$E$529,$B290,데이터_신성질별!$A$3:$A$529,"2025.02")</f>
        <v>12616</v>
      </c>
      <c r="Q290" s="55" t="n">
        <f aca="false">SUMIFS(데이터_신성질별!$G$3:$G$529,데이터_신성질별!$E$3:$E$529,$B290,데이터_신성질별!$A$3:$A$529,"2025.03")</f>
        <v>10791</v>
      </c>
      <c r="R290" s="55" t="n">
        <f aca="false">SUMIFS(데이터_신성질별!$G$3:$G$529,데이터_신성질별!$E$3:$E$529,$B290,데이터_신성질별!$A$3:$A$529,"2025.04")</f>
        <v>9375</v>
      </c>
      <c r="S290" s="55" t="n">
        <f aca="false">SUMIFS(데이터_신성질별!$G$3:$G$529,데이터_신성질별!$E$3:$E$529,$B290,데이터_신성질별!$A$3:$A$529,"2025.05")</f>
        <v>9269</v>
      </c>
      <c r="T290" s="55" t="n">
        <f aca="false">SUMIFS(데이터_신성질별!$G$3:$G$529,데이터_신성질별!$E$3:$E$529,$B290,데이터_신성질별!$A$3:$A$529,"2025.06")</f>
        <v>8026</v>
      </c>
      <c r="U290" s="55" t="n">
        <f aca="false">SUMIFS(데이터_신성질별!$G$3:$G$529,데이터_신성질별!$E$3:$E$529,$B290,데이터_신성질별!$A$3:$A$529,"2025.07")</f>
        <v>9390</v>
      </c>
      <c r="V290" s="55" t="n">
        <f aca="false">SUMIFS(데이터_신성질별!$G$3:$G$529,데이터_신성질별!$E$3:$E$529,$B290,데이터_신성질별!$A$3:$A$529,"2025.08")</f>
        <v>7288</v>
      </c>
      <c r="W290" s="55" t="n">
        <f aca="false">SUMIFS(데이터_신성질별!$G$3:$G$529,데이터_신성질별!$E$3:$E$529,$B290,데이터_신성질별!$A$3:$A$529,"2025.09")</f>
        <v>7681</v>
      </c>
      <c r="X290" s="55" t="n">
        <f aca="false">SUMIFS(데이터_신성질별!$G$3:$G$529,데이터_신성질별!$E$3:$E$529,$B290,데이터_신성질별!$A$3:$A$529,"2025.10")</f>
        <v>6642</v>
      </c>
      <c r="Y290" s="55" t="n">
        <f aca="false">SUMIFS(데이터_신성질별!$G$3:$G$529,데이터_신성질별!$E$3:$E$529,$B290,데이터_신성질별!$A$3:$A$529,"2025.11")</f>
        <v>7388</v>
      </c>
      <c r="Z290" s="55" t="n">
        <f aca="false">SUMIFS(데이터_신성질별!$G$3:$G$529,데이터_신성질별!$E$3:$E$529,$B290,데이터_신성질별!$A$3:$A$529,"2025.12")</f>
        <v>8778</v>
      </c>
      <c r="AA290" s="55" t="n">
        <f aca="false">SUMIFS(데이터_신성질별!$G$3:$G$529,데이터_신성질별!$E$3:$E$529,$B290,데이터_신성질별!$A$3:$A$529,"2026.01")</f>
        <v>7994</v>
      </c>
      <c r="AB290" s="55" t="n">
        <f aca="false">SUMIFS(데이터_신성질별!$G$3:$G$529,데이터_신성질별!$E$3:$E$529,$B290,데이터_신성질별!$A$3:$A$529,"2026.02")</f>
        <v>6779</v>
      </c>
      <c r="AC290" s="55" t="n">
        <f aca="false">SUMIFS(데이터_신성질별!$G$3:$G$529,데이터_신성질별!$E$3:$E$529,$B290,데이터_신성질별!$A$3:$A$529,"2026.03")</f>
        <v>25382</v>
      </c>
      <c r="AD290" s="55" t="n">
        <f aca="false">SUMIFS(데이터_신성질별!$G$3:$G$529,데이터_신성질별!$E$3:$E$529,$B290,데이터_신성질별!$A$3:$A$529,"2026.04")</f>
        <v>9909</v>
      </c>
      <c r="AE290" s="55" t="n">
        <f aca="false">SUMIFS(데이터_신성질별!$G$3:$G$529,데이터_신성질별!$E$3:$E$529,$B290,데이터_신성질별!$A$3:$A$529,"2026.05")</f>
        <v>8854</v>
      </c>
      <c r="AF290" s="55" t="n">
        <f aca="false">SUMIFS(데이터_신성질별!$G$3:$G$529,데이터_신성질별!$E$3:$E$529,$B290,데이터_신성질별!$A$3:$A$529,"2026.06")</f>
        <v>12211</v>
      </c>
      <c r="AG290" s="55" t="n">
        <f aca="false">SUMIFS(데이터_신성질별!$G$3:$G$529,데이터_신성질별!$E$3:$E$529,$B290,데이터_신성질별!$A$3:$A$529,"2026.07")</f>
        <v>13026</v>
      </c>
    </row>
    <row r="291" customFormat="false" ht="15" hidden="false" customHeight="true" outlineLevel="0" collapsed="false">
      <c r="A291" s="53" t="s">
        <v>429</v>
      </c>
      <c r="B291" s="46" t="s">
        <v>19865</v>
      </c>
      <c r="C291" s="55" t="n">
        <f aca="false">SUMIFS(데이터_신성질별!$G$3:$G$529,데이터_신성질별!$E$3:$E$529,$B291,데이터_신성질별!$A$3:$A$529,"2024.01")</f>
        <v>28594152</v>
      </c>
      <c r="D291" s="55" t="n">
        <f aca="false">SUMIFS(데이터_신성질별!$G$3:$G$529,데이터_신성질별!$E$3:$E$529,$B291,데이터_신성질별!$A$3:$A$529,"2024.02")</f>
        <v>27918122</v>
      </c>
      <c r="E291" s="55" t="n">
        <f aca="false">SUMIFS(데이터_신성질별!$G$3:$G$529,데이터_신성질별!$E$3:$E$529,$B291,데이터_신성질별!$A$3:$A$529,"2024.03")</f>
        <v>30709085</v>
      </c>
      <c r="F291" s="55" t="n">
        <f aca="false">SUMIFS(데이터_신성질별!$G$3:$G$529,데이터_신성질별!$E$3:$E$529,$B291,데이터_신성질별!$A$3:$A$529,"2024.04")</f>
        <v>29399707</v>
      </c>
      <c r="G291" s="55" t="n">
        <f aca="false">SUMIFS(데이터_신성질별!$G$3:$G$529,데이터_신성질별!$E$3:$E$529,$B291,데이터_신성질별!$A$3:$A$529,"2024.05")</f>
        <v>31411650</v>
      </c>
      <c r="H291" s="55" t="n">
        <f aca="false">SUMIFS(데이터_신성질별!$G$3:$G$529,데이터_신성질별!$E$3:$E$529,$B291,데이터_신성질별!$A$3:$A$529,"2024.06")</f>
        <v>32913356</v>
      </c>
      <c r="I291" s="55" t="n">
        <f aca="false">SUMIFS(데이터_신성질별!$G$3:$G$529,데이터_신성질별!$E$3:$E$529,$B291,데이터_신성질별!$A$3:$A$529,"2024.07")</f>
        <v>31933452</v>
      </c>
      <c r="J291" s="55" t="n">
        <f aca="false">SUMIFS(데이터_신성질별!$G$3:$G$529,데이터_신성질별!$E$3:$E$529,$B291,데이터_신성질별!$A$3:$A$529,"2024.08")</f>
        <v>33187502</v>
      </c>
      <c r="K291" s="55" t="n">
        <f aca="false">SUMIFS(데이터_신성질별!$G$3:$G$529,데이터_신성질별!$E$3:$E$529,$B291,데이터_신성질별!$A$3:$A$529,"2024.09")</f>
        <v>34745551</v>
      </c>
      <c r="L291" s="55" t="n">
        <f aca="false">SUMIFS(데이터_신성질별!$G$3:$G$529,데이터_신성질별!$E$3:$E$529,$B291,데이터_신성질별!$A$3:$A$529,"2024.10")</f>
        <v>33096529</v>
      </c>
      <c r="M291" s="55" t="n">
        <f aca="false">SUMIFS(데이터_신성질별!$G$3:$G$529,데이터_신성질별!$E$3:$E$529,$B291,데이터_신성질별!$A$3:$A$529,"2024.11")</f>
        <v>32718722</v>
      </c>
      <c r="N291" s="55" t="n">
        <f aca="false">SUMIFS(데이터_신성질별!$G$3:$G$529,데이터_신성질별!$E$3:$E$529,$B291,데이터_신성질별!$A$3:$A$529,"2024.12")</f>
        <v>36361475</v>
      </c>
      <c r="O291" s="55" t="n">
        <f aca="false">SUMIFS(데이터_신성질별!$G$3:$G$529,데이터_신성질별!$E$3:$E$529,$B291,데이터_신성질별!$A$3:$A$529,"2025.01")</f>
        <v>27569540</v>
      </c>
      <c r="P291" s="55" t="n">
        <f aca="false">SUMIFS(데이터_신성질별!$G$3:$G$529,데이터_신성질별!$E$3:$E$529,$B291,데이터_신성질별!$A$3:$A$529,"2025.02")</f>
        <v>28034447</v>
      </c>
      <c r="Q291" s="55" t="n">
        <f aca="false">SUMIFS(데이터_신성질별!$G$3:$G$529,데이터_신성질별!$E$3:$E$529,$B291,데이터_신성질별!$A$3:$A$529,"2025.03")</f>
        <v>34287150</v>
      </c>
      <c r="R291" s="55" t="n">
        <f aca="false">SUMIFS(데이터_신성질별!$G$3:$G$529,데이터_신성질별!$E$3:$E$529,$B291,데이터_신성질별!$A$3:$A$529,"2025.04")</f>
        <v>32387330</v>
      </c>
      <c r="S291" s="55" t="n">
        <f aca="false">SUMIFS(데이터_신성질별!$G$3:$G$529,데이터_신성질별!$E$3:$E$529,$B291,데이터_신성질별!$A$3:$A$529,"2025.05")</f>
        <v>33464317</v>
      </c>
      <c r="T291" s="55" t="n">
        <f aca="false">SUMIFS(데이터_신성질별!$G$3:$G$529,데이터_신성질별!$E$3:$E$529,$B291,데이터_신성질별!$A$3:$A$529,"2025.06")</f>
        <v>35593962</v>
      </c>
      <c r="U291" s="55" t="n">
        <f aca="false">SUMIFS(데이터_신성질별!$G$3:$G$529,데이터_신성질별!$E$3:$E$529,$B291,데이터_신성질별!$A$3:$A$529,"2025.07")</f>
        <v>35632489</v>
      </c>
      <c r="V291" s="55" t="n">
        <f aca="false">SUMIFS(데이터_신성질별!$G$3:$G$529,데이터_신성질별!$E$3:$E$529,$B291,데이터_신성질별!$A$3:$A$529,"2025.08")</f>
        <v>35249017</v>
      </c>
      <c r="W291" s="55" t="n">
        <f aca="false">SUMIFS(데이터_신성질별!$G$3:$G$529,데이터_신성질별!$E$3:$E$529,$B291,데이터_신성질별!$A$3:$A$529,"2025.09")</f>
        <v>40051433</v>
      </c>
      <c r="X291" s="55" t="n">
        <f aca="false">SUMIFS(데이터_신성질별!$G$3:$G$529,데이터_신성질별!$E$3:$E$529,$B291,데이터_신성질별!$A$3:$A$529,"2025.10")</f>
        <v>36926679</v>
      </c>
      <c r="Y291" s="55" t="n">
        <f aca="false">SUMIFS(데이터_신성질별!$G$3:$G$529,데이터_신성질별!$E$3:$E$529,$B291,데이터_신성질별!$A$3:$A$529,"2025.11")</f>
        <v>37650901</v>
      </c>
      <c r="Z291" s="55" t="n">
        <f aca="false">SUMIFS(데이터_신성질별!$G$3:$G$529,데이터_신성질별!$E$3:$E$529,$B291,데이터_신성질별!$A$3:$A$529,"2025.12")</f>
        <v>44419736</v>
      </c>
      <c r="AA291" s="55" t="n">
        <f aca="false">SUMIFS(데이터_신성질별!$G$3:$G$529,데이터_신성질별!$E$3:$E$529,$B291,데이터_신성질별!$A$3:$A$529,"2026.01")</f>
        <v>41788967</v>
      </c>
      <c r="AB291" s="55" t="n">
        <f aca="false">SUMIFS(데이터_신성질별!$G$3:$G$529,데이터_신성질별!$E$3:$E$529,$B291,데이터_신성질별!$A$3:$A$529,"2026.02")</f>
        <v>44739182</v>
      </c>
      <c r="AC291" s="55" t="n">
        <f aca="false">SUMIFS(데이터_신성질별!$G$3:$G$529,데이터_신성질별!$E$3:$E$529,$B291,데이터_신성질별!$A$3:$A$529,"2026.03")</f>
        <v>58072460</v>
      </c>
      <c r="AD291" s="55" t="n">
        <f aca="false">SUMIFS(데이터_신성질별!$G$3:$G$529,데이터_신성질별!$E$3:$E$529,$B291,데이터_신성질별!$A$3:$A$529,"2026.04")</f>
        <v>56970510</v>
      </c>
      <c r="AE291" s="55" t="n">
        <f aca="false">SUMIFS(데이터_신성질별!$G$3:$G$529,데이터_신성질별!$E$3:$E$529,$B291,데이터_신성질별!$A$3:$A$529,"2026.05")</f>
        <v>60384076</v>
      </c>
      <c r="AF291" s="55" t="n">
        <f aca="false">SUMIFS(데이터_신성질별!$G$3:$G$529,데이터_신성질별!$E$3:$E$529,$B291,데이터_신성질별!$A$3:$A$529,"2026.06")</f>
        <v>72456198</v>
      </c>
      <c r="AG291" s="55" t="n">
        <f aca="false">SUMIFS(데이터_신성질별!$G$3:$G$529,데이터_신성질별!$E$3:$E$529,$B291,데이터_신성질별!$A$3:$A$529,"2026.07")</f>
        <v>69247169</v>
      </c>
    </row>
    <row r="292" customFormat="false" ht="15" hidden="false" customHeight="true" outlineLevel="0" collapsed="false">
      <c r="A292" s="53" t="s">
        <v>436</v>
      </c>
      <c r="B292" s="54" t="s">
        <v>17662</v>
      </c>
      <c r="C292" s="55" t="n">
        <f aca="false">SUMIFS(데이터_신성질별!$G$3:$G$529,데이터_신성질별!$E$3:$E$529,$B292,데이터_신성질별!$A$3:$A$529,"2024.01")</f>
        <v>5981050</v>
      </c>
      <c r="D292" s="55" t="n">
        <f aca="false">SUMIFS(데이터_신성질별!$G$3:$G$529,데이터_신성질별!$E$3:$E$529,$B292,데이터_신성질별!$A$3:$A$529,"2024.02")</f>
        <v>5103018</v>
      </c>
      <c r="E292" s="55" t="n">
        <f aca="false">SUMIFS(데이터_신성질별!$G$3:$G$529,데이터_신성질별!$E$3:$E$529,$B292,데이터_신성질별!$A$3:$A$529,"2024.03")</f>
        <v>5602097</v>
      </c>
      <c r="F292" s="55" t="n">
        <f aca="false">SUMIFS(데이터_신성질별!$G$3:$G$529,데이터_신성질별!$E$3:$E$529,$B292,데이터_신성질별!$A$3:$A$529,"2024.04")</f>
        <v>5516298</v>
      </c>
      <c r="G292" s="55" t="n">
        <f aca="false">SUMIFS(데이터_신성질별!$G$3:$G$529,데이터_신성질별!$E$3:$E$529,$B292,데이터_신성질별!$A$3:$A$529,"2024.05")</f>
        <v>5805916</v>
      </c>
      <c r="H292" s="55" t="n">
        <f aca="false">SUMIFS(데이터_신성질별!$G$3:$G$529,데이터_신성질별!$E$3:$E$529,$B292,데이터_신성질별!$A$3:$A$529,"2024.06")</f>
        <v>5078499</v>
      </c>
      <c r="I292" s="55" t="n">
        <f aca="false">SUMIFS(데이터_신성질별!$G$3:$G$529,데이터_신성질별!$E$3:$E$529,$B292,데이터_신성질별!$A$3:$A$529,"2024.07")</f>
        <v>5084743</v>
      </c>
      <c r="J292" s="55" t="n">
        <f aca="false">SUMIFS(데이터_신성질별!$G$3:$G$529,데이터_신성질별!$E$3:$E$529,$B292,데이터_신성질별!$A$3:$A$529,"2024.08")</f>
        <v>6482408</v>
      </c>
      <c r="K292" s="55" t="n">
        <f aca="false">SUMIFS(데이터_신성질별!$G$3:$G$529,데이터_신성질별!$E$3:$E$529,$B292,데이터_신성질별!$A$3:$A$529,"2024.09")</f>
        <v>6032293</v>
      </c>
      <c r="L292" s="55" t="n">
        <f aca="false">SUMIFS(데이터_신성질별!$G$3:$G$529,데이터_신성질별!$E$3:$E$529,$B292,데이터_신성질별!$A$3:$A$529,"2024.10")</f>
        <v>6059047</v>
      </c>
      <c r="M292" s="55" t="n">
        <f aca="false">SUMIFS(데이터_신성질별!$G$3:$G$529,데이터_신성질별!$E$3:$E$529,$B292,데이터_신성질별!$A$3:$A$529,"2024.11")</f>
        <v>5888413</v>
      </c>
      <c r="N292" s="55" t="n">
        <f aca="false">SUMIFS(데이터_신성질별!$G$3:$G$529,데이터_신성질별!$E$3:$E$529,$B292,데이터_신성질별!$A$3:$A$529,"2024.12")</f>
        <v>6809089</v>
      </c>
      <c r="O292" s="55" t="n">
        <f aca="false">SUMIFS(데이터_신성질별!$G$3:$G$529,데이터_신성질별!$E$3:$E$529,$B292,데이터_신성질별!$A$3:$A$529,"2025.01")</f>
        <v>5948237</v>
      </c>
      <c r="P292" s="55" t="n">
        <f aca="false">SUMIFS(데이터_신성질별!$G$3:$G$529,데이터_신성질별!$E$3:$E$529,$B292,데이터_신성질별!$A$3:$A$529,"2025.02")</f>
        <v>5243443</v>
      </c>
      <c r="Q292" s="55" t="n">
        <f aca="false">SUMIFS(데이터_신성질별!$G$3:$G$529,데이터_신성질별!$E$3:$E$529,$B292,데이터_신성질별!$A$3:$A$529,"2025.03")</f>
        <v>7179975</v>
      </c>
      <c r="R292" s="55" t="n">
        <f aca="false">SUMIFS(데이터_신성질별!$G$3:$G$529,데이터_신성질별!$E$3:$E$529,$B292,데이터_신성질별!$A$3:$A$529,"2025.04")</f>
        <v>6453424</v>
      </c>
      <c r="S292" s="55" t="n">
        <f aca="false">SUMIFS(데이터_신성질별!$G$3:$G$529,데이터_신성질별!$E$3:$E$529,$B292,데이터_신성질별!$A$3:$A$529,"2025.05")</f>
        <v>6096544</v>
      </c>
      <c r="T292" s="55" t="n">
        <f aca="false">SUMIFS(데이터_신성질별!$G$3:$G$529,데이터_신성질별!$E$3:$E$529,$B292,데이터_신성질별!$A$3:$A$529,"2025.06")</f>
        <v>6730734</v>
      </c>
      <c r="U292" s="55" t="n">
        <f aca="false">SUMIFS(데이터_신성질별!$G$3:$G$529,데이터_신성질별!$E$3:$E$529,$B292,데이터_신성질별!$A$3:$A$529,"2025.07")</f>
        <v>6379323</v>
      </c>
      <c r="V292" s="55" t="n">
        <f aca="false">SUMIFS(데이터_신성질별!$G$3:$G$529,데이터_신성질별!$E$3:$E$529,$B292,데이터_신성질별!$A$3:$A$529,"2025.08")</f>
        <v>6824572</v>
      </c>
      <c r="W292" s="55" t="n">
        <f aca="false">SUMIFS(데이터_신성질별!$G$3:$G$529,데이터_신성질별!$E$3:$E$529,$B292,데이터_신성질별!$A$3:$A$529,"2025.09")</f>
        <v>7671160</v>
      </c>
      <c r="X292" s="55" t="n">
        <f aca="false">SUMIFS(데이터_신성질별!$G$3:$G$529,데이터_신성질별!$E$3:$E$529,$B292,데이터_신성질별!$A$3:$A$529,"2025.10")</f>
        <v>8337096</v>
      </c>
      <c r="Y292" s="55" t="n">
        <f aca="false">SUMIFS(데이터_신성질별!$G$3:$G$529,데이터_신성질별!$E$3:$E$529,$B292,데이터_신성질별!$A$3:$A$529,"2025.11")</f>
        <v>5879927</v>
      </c>
      <c r="Z292" s="55" t="n">
        <f aca="false">SUMIFS(데이터_신성질별!$G$3:$G$529,데이터_신성질별!$E$3:$E$529,$B292,데이터_신성질별!$A$3:$A$529,"2025.12")</f>
        <v>7428207</v>
      </c>
      <c r="AA292" s="55" t="n">
        <f aca="false">SUMIFS(데이터_신성질별!$G$3:$G$529,데이터_신성질별!$E$3:$E$529,$B292,데이터_신성질별!$A$3:$A$529,"2026.01")</f>
        <v>6678955</v>
      </c>
      <c r="AB292" s="55" t="n">
        <f aca="false">SUMIFS(데이터_신성질별!$G$3:$G$529,데이터_신성질별!$E$3:$E$529,$B292,데이터_신성질별!$A$3:$A$529,"2026.02")</f>
        <v>5681103</v>
      </c>
      <c r="AC292" s="55" t="n">
        <f aca="false">SUMIFS(데이터_신성질별!$G$3:$G$529,데이터_신성질별!$E$3:$E$529,$B292,데이터_신성질별!$A$3:$A$529,"2026.03")</f>
        <v>7938060</v>
      </c>
      <c r="AD292" s="55" t="n">
        <f aca="false">SUMIFS(데이터_신성질별!$G$3:$G$529,데이터_신성질별!$E$3:$E$529,$B292,데이터_신성질별!$A$3:$A$529,"2026.04")</f>
        <v>7210420</v>
      </c>
      <c r="AE292" s="55" t="n">
        <f aca="false">SUMIFS(데이터_신성질별!$G$3:$G$529,데이터_신성질별!$E$3:$E$529,$B292,데이터_신성질별!$A$3:$A$529,"2026.05")</f>
        <v>6396274</v>
      </c>
      <c r="AF292" s="55" t="n">
        <f aca="false">SUMIFS(데이터_신성질별!$G$3:$G$529,데이터_신성질별!$E$3:$E$529,$B292,데이터_신성질별!$A$3:$A$529,"2026.06")</f>
        <v>7782611</v>
      </c>
      <c r="AG292" s="55" t="n">
        <f aca="false">SUMIFS(데이터_신성질별!$G$3:$G$529,데이터_신성질별!$E$3:$E$529,$B292,데이터_신성질별!$A$3:$A$529,"2026.07")</f>
        <v>8015260</v>
      </c>
    </row>
    <row r="293" customFormat="false" ht="15" hidden="false" customHeight="true" outlineLevel="0" collapsed="false">
      <c r="A293" s="53" t="s">
        <v>443</v>
      </c>
      <c r="B293" s="54" t="s">
        <v>17667</v>
      </c>
      <c r="C293" s="55" t="n">
        <f aca="false">SUMIFS(데이터_신성질별!$G$3:$G$529,데이터_신성질별!$E$3:$E$529,$B293,데이터_신성질별!$A$3:$A$529,"2024.01")</f>
        <v>8592906</v>
      </c>
      <c r="D293" s="55" t="n">
        <f aca="false">SUMIFS(데이터_신성질별!$G$3:$G$529,데이터_신성질별!$E$3:$E$529,$B293,데이터_신성질별!$A$3:$A$529,"2024.02")</f>
        <v>8669058</v>
      </c>
      <c r="E293" s="55" t="n">
        <f aca="false">SUMIFS(데이터_신성질별!$G$3:$G$529,데이터_신성질별!$E$3:$E$529,$B293,데이터_신성질별!$A$3:$A$529,"2024.03")</f>
        <v>8774099</v>
      </c>
      <c r="F293" s="55" t="n">
        <f aca="false">SUMIFS(데이터_신성질별!$G$3:$G$529,데이터_신성질별!$E$3:$E$529,$B293,데이터_신성질별!$A$3:$A$529,"2024.04")</f>
        <v>9276130</v>
      </c>
      <c r="G293" s="55" t="n">
        <f aca="false">SUMIFS(데이터_신성질별!$G$3:$G$529,데이터_신성질별!$E$3:$E$529,$B293,데이터_신성질별!$A$3:$A$529,"2024.05")</f>
        <v>9013094</v>
      </c>
      <c r="H293" s="55" t="n">
        <f aca="false">SUMIFS(데이터_신성질별!$G$3:$G$529,데이터_신성질별!$E$3:$E$529,$B293,데이터_신성질별!$A$3:$A$529,"2024.06")</f>
        <v>9185715</v>
      </c>
      <c r="I293" s="55" t="n">
        <f aca="false">SUMIFS(데이터_신성질별!$G$3:$G$529,데이터_신성질별!$E$3:$E$529,$B293,데이터_신성질별!$A$3:$A$529,"2024.07")</f>
        <v>9916416</v>
      </c>
      <c r="J293" s="55" t="n">
        <f aca="false">SUMIFS(데이터_신성질별!$G$3:$G$529,데이터_신성질별!$E$3:$E$529,$B293,데이터_신성질별!$A$3:$A$529,"2024.08")</f>
        <v>8472722</v>
      </c>
      <c r="K293" s="55" t="n">
        <f aca="false">SUMIFS(데이터_신성질별!$G$3:$G$529,데이터_신성질별!$E$3:$E$529,$B293,데이터_신성질별!$A$3:$A$529,"2024.09")</f>
        <v>8774784</v>
      </c>
      <c r="L293" s="55" t="n">
        <f aca="false">SUMIFS(데이터_신성질별!$G$3:$G$529,데이터_신성질별!$E$3:$E$529,$B293,데이터_신성질별!$A$3:$A$529,"2024.10")</f>
        <v>8649573</v>
      </c>
      <c r="M293" s="55" t="n">
        <f aca="false">SUMIFS(데이터_신성질별!$G$3:$G$529,데이터_신성질별!$E$3:$E$529,$B293,데이터_신성질별!$A$3:$A$529,"2024.11")</f>
        <v>8633313</v>
      </c>
      <c r="N293" s="55" t="n">
        <f aca="false">SUMIFS(데이터_신성질별!$G$3:$G$529,데이터_신성질별!$E$3:$E$529,$B293,데이터_신성질별!$A$3:$A$529,"2024.12")</f>
        <v>9408759</v>
      </c>
      <c r="O293" s="55" t="n">
        <f aca="false">SUMIFS(데이터_신성질별!$G$3:$G$529,데이터_신성질별!$E$3:$E$529,$B293,데이터_신성질별!$A$3:$A$529,"2025.01")</f>
        <v>7258462</v>
      </c>
      <c r="P293" s="55" t="n">
        <f aca="false">SUMIFS(데이터_신성질별!$G$3:$G$529,데이터_신성질별!$E$3:$E$529,$B293,데이터_신성질별!$A$3:$A$529,"2025.02")</f>
        <v>8545422</v>
      </c>
      <c r="Q293" s="55" t="n">
        <f aca="false">SUMIFS(데이터_신성질별!$G$3:$G$529,데이터_신성질별!$E$3:$E$529,$B293,데이터_신성질별!$A$3:$A$529,"2025.03")</f>
        <v>8891991</v>
      </c>
      <c r="R293" s="55" t="n">
        <f aca="false">SUMIFS(데이터_신성질별!$G$3:$G$529,데이터_신성질별!$E$3:$E$529,$B293,데이터_신성질별!$A$3:$A$529,"2025.04")</f>
        <v>9531754</v>
      </c>
      <c r="S293" s="55" t="n">
        <f aca="false">SUMIFS(데이터_신성질별!$G$3:$G$529,데이터_신성질별!$E$3:$E$529,$B293,데이터_신성질별!$A$3:$A$529,"2025.05")</f>
        <v>8620642</v>
      </c>
      <c r="T293" s="55" t="n">
        <f aca="false">SUMIFS(데이터_신성질별!$G$3:$G$529,데이터_신성질별!$E$3:$E$529,$B293,데이터_신성질별!$A$3:$A$529,"2025.06")</f>
        <v>9107125</v>
      </c>
      <c r="U293" s="55" t="n">
        <f aca="false">SUMIFS(데이터_신성질별!$G$3:$G$529,데이터_신성질별!$E$3:$E$529,$B293,데이터_신성질별!$A$3:$A$529,"2025.07")</f>
        <v>9402707</v>
      </c>
      <c r="V293" s="55" t="n">
        <f aca="false">SUMIFS(데이터_신성질별!$G$3:$G$529,데이터_신성질별!$E$3:$E$529,$B293,데이터_신성질별!$A$3:$A$529,"2025.08")</f>
        <v>7579464</v>
      </c>
      <c r="W293" s="55" t="n">
        <f aca="false">SUMIFS(데이터_신성질별!$G$3:$G$529,데이터_신성질별!$E$3:$E$529,$B293,데이터_신성질별!$A$3:$A$529,"2025.09")</f>
        <v>9547730</v>
      </c>
      <c r="X293" s="55" t="n">
        <f aca="false">SUMIFS(데이터_신성질별!$G$3:$G$529,데이터_신성질별!$E$3:$E$529,$B293,데이터_신성질별!$A$3:$A$529,"2025.10")</f>
        <v>7328621</v>
      </c>
      <c r="Y293" s="55" t="n">
        <f aca="false">SUMIFS(데이터_신성질별!$G$3:$G$529,데이터_신성질별!$E$3:$E$529,$B293,데이터_신성질별!$A$3:$A$529,"2025.11")</f>
        <v>8603995</v>
      </c>
      <c r="Z293" s="55" t="n">
        <f aca="false">SUMIFS(데이터_신성질별!$G$3:$G$529,데이터_신성질별!$E$3:$E$529,$B293,데이터_신성질별!$A$3:$A$529,"2025.12")</f>
        <v>9557538</v>
      </c>
      <c r="AA293" s="55" t="n">
        <f aca="false">SUMIFS(데이터_신성질별!$G$3:$G$529,데이터_신성질별!$E$3:$E$529,$B293,데이터_신성질별!$A$3:$A$529,"2026.01")</f>
        <v>8195778</v>
      </c>
      <c r="AB293" s="55" t="n">
        <f aca="false">SUMIFS(데이터_신성질별!$G$3:$G$529,데이터_신성질별!$E$3:$E$529,$B293,데이터_신성질별!$A$3:$A$529,"2026.02")</f>
        <v>7476200</v>
      </c>
      <c r="AC293" s="55" t="n">
        <f aca="false">SUMIFS(데이터_신성질별!$G$3:$G$529,데이터_신성질별!$E$3:$E$529,$B293,데이터_신성질별!$A$3:$A$529,"2026.03")</f>
        <v>9292951</v>
      </c>
      <c r="AD293" s="55" t="n">
        <f aca="false">SUMIFS(데이터_신성질별!$G$3:$G$529,데이터_신성질별!$E$3:$E$529,$B293,데이터_신성질별!$A$3:$A$529,"2026.04")</f>
        <v>9432934</v>
      </c>
      <c r="AE293" s="55" t="n">
        <f aca="false">SUMIFS(데이터_신성질별!$G$3:$G$529,데이터_신성질별!$E$3:$E$529,$B293,데이터_신성질별!$A$3:$A$529,"2026.05")</f>
        <v>8429178</v>
      </c>
      <c r="AF293" s="55" t="n">
        <f aca="false">SUMIFS(데이터_신성질별!$G$3:$G$529,데이터_신성질별!$E$3:$E$529,$B293,데이터_신성질별!$A$3:$A$529,"2026.06")</f>
        <v>9881074</v>
      </c>
      <c r="AG293" s="55" t="n">
        <f aca="false">SUMIFS(데이터_신성질별!$G$3:$G$529,데이터_신성질별!$E$3:$E$529,$B293,데이터_신성질별!$A$3:$A$529,"2026.07")</f>
        <v>10437690</v>
      </c>
    </row>
    <row r="294" customFormat="false" ht="15" hidden="false" customHeight="true" outlineLevel="0" collapsed="false">
      <c r="A294" s="53" t="s">
        <v>450</v>
      </c>
      <c r="B294" s="54" t="s">
        <v>17672</v>
      </c>
      <c r="C294" s="55" t="n">
        <f aca="false">SUMIFS(데이터_신성질별!$G$3:$G$529,데이터_신성질별!$E$3:$E$529,$B294,데이터_신성질별!$A$3:$A$529,"2024.01")</f>
        <v>3114163</v>
      </c>
      <c r="D294" s="55" t="n">
        <f aca="false">SUMIFS(데이터_신성질별!$G$3:$G$529,데이터_신성질별!$E$3:$E$529,$B294,데이터_신성질별!$A$3:$A$529,"2024.02")</f>
        <v>2808720</v>
      </c>
      <c r="E294" s="55" t="n">
        <f aca="false">SUMIFS(데이터_신성질별!$G$3:$G$529,데이터_신성질별!$E$3:$E$529,$B294,데이터_신성질별!$A$3:$A$529,"2024.03")</f>
        <v>3232430</v>
      </c>
      <c r="F294" s="55" t="n">
        <f aca="false">SUMIFS(데이터_신성질별!$G$3:$G$529,데이터_신성질별!$E$3:$E$529,$B294,데이터_신성질별!$A$3:$A$529,"2024.04")</f>
        <v>3144964</v>
      </c>
      <c r="G294" s="55" t="n">
        <f aca="false">SUMIFS(데이터_신성질별!$G$3:$G$529,데이터_신성질별!$E$3:$E$529,$B294,데이터_신성질별!$A$3:$A$529,"2024.05")</f>
        <v>3707430</v>
      </c>
      <c r="H294" s="55" t="n">
        <f aca="false">SUMIFS(데이터_신성질별!$G$3:$G$529,데이터_신성질별!$E$3:$E$529,$B294,데이터_신성질별!$A$3:$A$529,"2024.06")</f>
        <v>3790198</v>
      </c>
      <c r="I294" s="55" t="n">
        <f aca="false">SUMIFS(데이터_신성질별!$G$3:$G$529,데이터_신성질별!$E$3:$E$529,$B294,데이터_신성질별!$A$3:$A$529,"2024.07")</f>
        <v>4153118</v>
      </c>
      <c r="J294" s="55" t="n">
        <f aca="false">SUMIFS(데이터_신성질별!$G$3:$G$529,데이터_신성질별!$E$3:$E$529,$B294,데이터_신성질별!$A$3:$A$529,"2024.08")</f>
        <v>4877249</v>
      </c>
      <c r="K294" s="55" t="n">
        <f aca="false">SUMIFS(데이터_신성질별!$G$3:$G$529,데이터_신성질별!$E$3:$E$529,$B294,데이터_신성질별!$A$3:$A$529,"2024.09")</f>
        <v>4926301</v>
      </c>
      <c r="L294" s="55" t="n">
        <f aca="false">SUMIFS(데이터_신성질별!$G$3:$G$529,데이터_신성질별!$E$3:$E$529,$B294,데이터_신성질별!$A$3:$A$529,"2024.10")</f>
        <v>4421318</v>
      </c>
      <c r="M294" s="55" t="n">
        <f aca="false">SUMIFS(데이터_신성질별!$G$3:$G$529,데이터_신성질별!$E$3:$E$529,$B294,데이터_신성질별!$A$3:$A$529,"2024.11")</f>
        <v>4343246</v>
      </c>
      <c r="N294" s="55" t="n">
        <f aca="false">SUMIFS(데이터_신성질별!$G$3:$G$529,데이터_신성질별!$E$3:$E$529,$B294,데이터_신성질별!$A$3:$A$529,"2024.12")</f>
        <v>4136134</v>
      </c>
      <c r="O294" s="55" t="n">
        <f aca="false">SUMIFS(데이터_신성질별!$G$3:$G$529,데이터_신성질별!$E$3:$E$529,$B294,데이터_신성질별!$A$3:$A$529,"2025.01")</f>
        <v>2960976</v>
      </c>
      <c r="P294" s="55" t="n">
        <f aca="false">SUMIFS(데이터_신성질별!$G$3:$G$529,데이터_신성질별!$E$3:$E$529,$B294,데이터_신성질별!$A$3:$A$529,"2025.02")</f>
        <v>3197859</v>
      </c>
      <c r="Q294" s="55" t="n">
        <f aca="false">SUMIFS(데이터_신성질별!$G$3:$G$529,데이터_신성질별!$E$3:$E$529,$B294,데이터_신성질별!$A$3:$A$529,"2025.03")</f>
        <v>3719157</v>
      </c>
      <c r="R294" s="55" t="n">
        <f aca="false">SUMIFS(데이터_신성질별!$G$3:$G$529,데이터_신성질별!$E$3:$E$529,$B294,데이터_신성질별!$A$3:$A$529,"2025.04")</f>
        <v>3238072</v>
      </c>
      <c r="S294" s="55" t="n">
        <f aca="false">SUMIFS(데이터_신성질별!$G$3:$G$529,데이터_신성질별!$E$3:$E$529,$B294,데이터_신성질별!$A$3:$A$529,"2025.05")</f>
        <v>3514373</v>
      </c>
      <c r="T294" s="55" t="n">
        <f aca="false">SUMIFS(데이터_신성질별!$G$3:$G$529,데이터_신성질별!$E$3:$E$529,$B294,데이터_신성질별!$A$3:$A$529,"2025.06")</f>
        <v>3295580</v>
      </c>
      <c r="U294" s="55" t="n">
        <f aca="false">SUMIFS(데이터_신성질별!$G$3:$G$529,데이터_신성질별!$E$3:$E$529,$B294,데이터_신성질별!$A$3:$A$529,"2025.07")</f>
        <v>3534929</v>
      </c>
      <c r="V294" s="55" t="n">
        <f aca="false">SUMIFS(데이터_신성질별!$G$3:$G$529,데이터_신성질별!$E$3:$E$529,$B294,데이터_신성질별!$A$3:$A$529,"2025.08")</f>
        <v>4225294</v>
      </c>
      <c r="W294" s="55" t="n">
        <f aca="false">SUMIFS(데이터_신성질별!$G$3:$G$529,데이터_신성질별!$E$3:$E$529,$B294,데이터_신성질별!$A$3:$A$529,"2025.09")</f>
        <v>4619191</v>
      </c>
      <c r="X294" s="55" t="n">
        <f aca="false">SUMIFS(데이터_신성질별!$G$3:$G$529,데이터_신성질별!$E$3:$E$529,$B294,데이터_신성질별!$A$3:$A$529,"2025.10")</f>
        <v>4120522</v>
      </c>
      <c r="Y294" s="55" t="n">
        <f aca="false">SUMIFS(데이터_신성질별!$G$3:$G$529,데이터_신성질별!$E$3:$E$529,$B294,데이터_신성질별!$A$3:$A$529,"2025.11")</f>
        <v>4413268</v>
      </c>
      <c r="Z294" s="55" t="n">
        <f aca="false">SUMIFS(데이터_신성질별!$G$3:$G$529,데이터_신성질별!$E$3:$E$529,$B294,데이터_신성질별!$A$3:$A$529,"2025.12")</f>
        <v>5051752</v>
      </c>
      <c r="AA294" s="55" t="n">
        <f aca="false">SUMIFS(데이터_신성질별!$G$3:$G$529,데이터_신성질별!$E$3:$E$529,$B294,데이터_신성질별!$A$3:$A$529,"2026.01")</f>
        <v>4797650</v>
      </c>
      <c r="AB294" s="55" t="n">
        <f aca="false">SUMIFS(데이터_신성질별!$G$3:$G$529,데이터_신성질별!$E$3:$E$529,$B294,데이터_신성질별!$A$3:$A$529,"2026.02")</f>
        <v>5117377</v>
      </c>
      <c r="AC294" s="55" t="n">
        <f aca="false">SUMIFS(데이터_신성질별!$G$3:$G$529,데이터_신성질별!$E$3:$E$529,$B294,데이터_신성질별!$A$3:$A$529,"2026.03")</f>
        <v>6460687</v>
      </c>
      <c r="AD294" s="55" t="n">
        <f aca="false">SUMIFS(데이터_신성질별!$G$3:$G$529,데이터_신성질별!$E$3:$E$529,$B294,데이터_신성질별!$A$3:$A$529,"2026.04")</f>
        <v>6821884</v>
      </c>
      <c r="AE294" s="55" t="n">
        <f aca="false">SUMIFS(데이터_신성질별!$G$3:$G$529,데이터_신성질별!$E$3:$E$529,$B294,데이터_신성질별!$A$3:$A$529,"2026.05")</f>
        <v>6917946</v>
      </c>
      <c r="AF294" s="55" t="n">
        <f aca="false">SUMIFS(데이터_신성질별!$G$3:$G$529,데이터_신성질별!$E$3:$E$529,$B294,데이터_신성질별!$A$3:$A$529,"2026.06")</f>
        <v>8325417</v>
      </c>
      <c r="AG294" s="55" t="n">
        <f aca="false">SUMIFS(데이터_신성질별!$G$3:$G$529,데이터_신성질별!$E$3:$E$529,$B294,데이터_신성질별!$A$3:$A$529,"2026.07")</f>
        <v>8032683</v>
      </c>
    </row>
    <row r="295" customFormat="false" ht="15" hidden="false" customHeight="true" outlineLevel="0" collapsed="false">
      <c r="A295" s="53" t="s">
        <v>457</v>
      </c>
      <c r="B295" s="54" t="s">
        <v>17677</v>
      </c>
      <c r="C295" s="55" t="n">
        <f aca="false">SUMIFS(데이터_신성질별!$G$3:$G$529,데이터_신성질별!$E$3:$E$529,$B295,데이터_신성질별!$A$3:$A$529,"2024.01")</f>
        <v>10906032</v>
      </c>
      <c r="D295" s="55" t="n">
        <f aca="false">SUMIFS(데이터_신성질별!$G$3:$G$529,데이터_신성질별!$E$3:$E$529,$B295,데이터_신성질별!$A$3:$A$529,"2024.02")</f>
        <v>11337326</v>
      </c>
      <c r="E295" s="55" t="n">
        <f aca="false">SUMIFS(데이터_신성질별!$G$3:$G$529,데이터_신성질별!$E$3:$E$529,$B295,데이터_신성질별!$A$3:$A$529,"2024.03")</f>
        <v>13100458</v>
      </c>
      <c r="F295" s="55" t="n">
        <f aca="false">SUMIFS(데이터_신성질별!$G$3:$G$529,데이터_신성질별!$E$3:$E$529,$B295,데이터_신성질별!$A$3:$A$529,"2024.04")</f>
        <v>11462315</v>
      </c>
      <c r="G295" s="55" t="n">
        <f aca="false">SUMIFS(데이터_신성질별!$G$3:$G$529,데이터_신성질별!$E$3:$E$529,$B295,데이터_신성질별!$A$3:$A$529,"2024.05")</f>
        <v>12885210</v>
      </c>
      <c r="H295" s="55" t="n">
        <f aca="false">SUMIFS(데이터_신성질별!$G$3:$G$529,데이터_신성질별!$E$3:$E$529,$B295,데이터_신성질별!$A$3:$A$529,"2024.06")</f>
        <v>14858944</v>
      </c>
      <c r="I295" s="55" t="n">
        <f aca="false">SUMIFS(데이터_신성질별!$G$3:$G$529,데이터_신성질별!$E$3:$E$529,$B295,데이터_신성질별!$A$3:$A$529,"2024.07")</f>
        <v>12779175</v>
      </c>
      <c r="J295" s="55" t="n">
        <f aca="false">SUMIFS(데이터_신성질별!$G$3:$G$529,데이터_신성질별!$E$3:$E$529,$B295,데이터_신성질별!$A$3:$A$529,"2024.08")</f>
        <v>13355124</v>
      </c>
      <c r="K295" s="55" t="n">
        <f aca="false">SUMIFS(데이터_신성질별!$G$3:$G$529,데이터_신성질별!$E$3:$E$529,$B295,데이터_신성질별!$A$3:$A$529,"2024.09")</f>
        <v>15012173</v>
      </c>
      <c r="L295" s="55" t="n">
        <f aca="false">SUMIFS(데이터_신성질별!$G$3:$G$529,데이터_신성질별!$E$3:$E$529,$B295,데이터_신성질별!$A$3:$A$529,"2024.10")</f>
        <v>13966592</v>
      </c>
      <c r="M295" s="55" t="n">
        <f aca="false">SUMIFS(데이터_신성질별!$G$3:$G$529,데이터_신성질별!$E$3:$E$529,$B295,데이터_신성질별!$A$3:$A$529,"2024.11")</f>
        <v>13853750</v>
      </c>
      <c r="N295" s="55" t="n">
        <f aca="false">SUMIFS(데이터_신성질별!$G$3:$G$529,데이터_신성질별!$E$3:$E$529,$B295,데이터_신성질별!$A$3:$A$529,"2024.12")</f>
        <v>16007494</v>
      </c>
      <c r="O295" s="55" t="n">
        <f aca="false">SUMIFS(데이터_신성질별!$G$3:$G$529,데이터_신성질별!$E$3:$E$529,$B295,데이터_신성질별!$A$3:$A$529,"2025.01")</f>
        <v>11401866</v>
      </c>
      <c r="P295" s="55" t="n">
        <f aca="false">SUMIFS(데이터_신성질별!$G$3:$G$529,데이터_신성질별!$E$3:$E$529,$B295,데이터_신성질별!$A$3:$A$529,"2025.02")</f>
        <v>11047722</v>
      </c>
      <c r="Q295" s="55" t="n">
        <f aca="false">SUMIFS(데이터_신성질별!$G$3:$G$529,데이터_신성질별!$E$3:$E$529,$B295,데이터_신성질별!$A$3:$A$529,"2025.03")</f>
        <v>14496027</v>
      </c>
      <c r="R295" s="55" t="n">
        <f aca="false">SUMIFS(데이터_신성질별!$G$3:$G$529,데이터_신성질별!$E$3:$E$529,$B295,데이터_신성질별!$A$3:$A$529,"2025.04")</f>
        <v>13164080</v>
      </c>
      <c r="S295" s="55" t="n">
        <f aca="false">SUMIFS(데이터_신성질별!$G$3:$G$529,데이터_신성질별!$E$3:$E$529,$B295,데이터_신성질별!$A$3:$A$529,"2025.05")</f>
        <v>15232758</v>
      </c>
      <c r="T295" s="55" t="n">
        <f aca="false">SUMIFS(데이터_신성질별!$G$3:$G$529,데이터_신성질별!$E$3:$E$529,$B295,데이터_신성질별!$A$3:$A$529,"2025.06")</f>
        <v>16460523</v>
      </c>
      <c r="U295" s="55" t="n">
        <f aca="false">SUMIFS(데이터_신성질별!$G$3:$G$529,데이터_신성질별!$E$3:$E$529,$B295,데이터_신성질별!$A$3:$A$529,"2025.07")</f>
        <v>16315529</v>
      </c>
      <c r="V295" s="55" t="n">
        <f aca="false">SUMIFS(데이터_신성질별!$G$3:$G$529,데이터_신성질별!$E$3:$E$529,$B295,데이터_신성질별!$A$3:$A$529,"2025.08")</f>
        <v>16619686</v>
      </c>
      <c r="W295" s="55" t="n">
        <f aca="false">SUMIFS(데이터_신성질별!$G$3:$G$529,데이터_신성질별!$E$3:$E$529,$B295,데이터_신성질별!$A$3:$A$529,"2025.09")</f>
        <v>18213352</v>
      </c>
      <c r="X295" s="55" t="n">
        <f aca="false">SUMIFS(데이터_신성질별!$G$3:$G$529,데이터_신성질별!$E$3:$E$529,$B295,데이터_신성질별!$A$3:$A$529,"2025.10")</f>
        <v>17140440</v>
      </c>
      <c r="Y295" s="55" t="n">
        <f aca="false">SUMIFS(데이터_신성질별!$G$3:$G$529,데이터_신성질별!$E$3:$E$529,$B295,데이터_신성질별!$A$3:$A$529,"2025.11")</f>
        <v>18753711</v>
      </c>
      <c r="Z295" s="55" t="n">
        <f aca="false">SUMIFS(데이터_신성질별!$G$3:$G$529,데이터_신성질별!$E$3:$E$529,$B295,데이터_신성질별!$A$3:$A$529,"2025.12")</f>
        <v>22382239</v>
      </c>
      <c r="AA295" s="55" t="n">
        <f aca="false">SUMIFS(데이터_신성질별!$G$3:$G$529,데이터_신성질별!$E$3:$E$529,$B295,데이터_신성질별!$A$3:$A$529,"2026.01")</f>
        <v>22116584</v>
      </c>
      <c r="AB295" s="55" t="n">
        <f aca="false">SUMIFS(데이터_신성질별!$G$3:$G$529,데이터_신성질별!$E$3:$E$529,$B295,데이터_신성질별!$A$3:$A$529,"2026.02")</f>
        <v>26464502</v>
      </c>
      <c r="AC295" s="55" t="n">
        <f aca="false">SUMIFS(데이터_신성질별!$G$3:$G$529,데이터_신성질별!$E$3:$E$529,$B295,데이터_신성질별!$A$3:$A$529,"2026.03")</f>
        <v>34380761</v>
      </c>
      <c r="AD295" s="55" t="n">
        <f aca="false">SUMIFS(데이터_신성질별!$G$3:$G$529,데이터_신성질별!$E$3:$E$529,$B295,데이터_신성질별!$A$3:$A$529,"2026.04")</f>
        <v>33505272</v>
      </c>
      <c r="AE295" s="55" t="n">
        <f aca="false">SUMIFS(데이터_신성질별!$G$3:$G$529,데이터_신성질별!$E$3:$E$529,$B295,데이터_신성질별!$A$3:$A$529,"2026.05")</f>
        <v>38640678</v>
      </c>
      <c r="AF295" s="55" t="n">
        <f aca="false">SUMIFS(데이터_신성질별!$G$3:$G$529,데이터_신성질별!$E$3:$E$529,$B295,데이터_신성질별!$A$3:$A$529,"2026.06")</f>
        <v>46467096</v>
      </c>
      <c r="AG295" s="55" t="n">
        <f aca="false">SUMIFS(데이터_신성질별!$G$3:$G$529,데이터_신성질별!$E$3:$E$529,$B295,데이터_신성질별!$A$3:$A$529,"2026.07")</f>
        <v>42761535</v>
      </c>
    </row>
    <row r="297" customFormat="false" ht="14.25" hidden="false" customHeight="true" outlineLevel="0" collapsed="false">
      <c r="A297" s="23" t="s">
        <v>19866</v>
      </c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customFormat="false" ht="15" hidden="false" customHeight="true" outlineLevel="0" collapsed="false">
      <c r="A298" s="5" t="s">
        <v>19797</v>
      </c>
      <c r="B298" s="5" t="s">
        <v>19663</v>
      </c>
      <c r="C298" s="44" t="s">
        <v>74</v>
      </c>
      <c r="D298" s="44" t="s">
        <v>83</v>
      </c>
      <c r="E298" s="44" t="s">
        <v>92</v>
      </c>
      <c r="F298" s="44" t="s">
        <v>101</v>
      </c>
      <c r="G298" s="44" t="s">
        <v>110</v>
      </c>
      <c r="H298" s="44" t="s">
        <v>119</v>
      </c>
      <c r="I298" s="44" t="s">
        <v>128</v>
      </c>
      <c r="J298" s="44" t="s">
        <v>137</v>
      </c>
      <c r="K298" s="44" t="s">
        <v>146</v>
      </c>
      <c r="L298" s="44" t="s">
        <v>155</v>
      </c>
      <c r="M298" s="44" t="s">
        <v>163</v>
      </c>
      <c r="N298" s="44" t="s">
        <v>171</v>
      </c>
      <c r="O298" s="44" t="s">
        <v>179</v>
      </c>
      <c r="P298" s="44" t="s">
        <v>187</v>
      </c>
      <c r="Q298" s="44" t="s">
        <v>195</v>
      </c>
      <c r="R298" s="44" t="s">
        <v>203</v>
      </c>
      <c r="S298" s="44" t="s">
        <v>211</v>
      </c>
      <c r="T298" s="44" t="s">
        <v>219</v>
      </c>
      <c r="U298" s="44" t="s">
        <v>228</v>
      </c>
      <c r="V298" s="44" t="s">
        <v>236</v>
      </c>
      <c r="W298" s="44" t="s">
        <v>244</v>
      </c>
      <c r="X298" s="44" t="s">
        <v>252</v>
      </c>
      <c r="Y298" s="44" t="s">
        <v>260</v>
      </c>
      <c r="Z298" s="44" t="s">
        <v>268</v>
      </c>
      <c r="AA298" s="44" t="s">
        <v>276</v>
      </c>
      <c r="AB298" s="44" t="s">
        <v>284</v>
      </c>
      <c r="AC298" s="44" t="s">
        <v>293</v>
      </c>
      <c r="AD298" s="44" t="s">
        <v>301</v>
      </c>
      <c r="AE298" s="44" t="s">
        <v>309</v>
      </c>
      <c r="AF298" s="44" t="s">
        <v>317</v>
      </c>
      <c r="AG298" s="44" t="s">
        <v>325</v>
      </c>
    </row>
    <row r="299" customFormat="false" ht="15" hidden="false" customHeight="true" outlineLevel="0" collapsed="false">
      <c r="A299" s="53" t="s">
        <v>19845</v>
      </c>
      <c r="B299" s="46" t="s">
        <v>19863</v>
      </c>
      <c r="C299" s="55" t="n">
        <f aca="false">SUMIFS(데이터_신성질별!$I$3:$I$529,데이터_신성질별!$E$3:$E$529,$B299,데이터_신성질별!$A$3:$A$529,"2024.01")</f>
        <v>7508719</v>
      </c>
      <c r="D299" s="55" t="n">
        <f aca="false">SUMIFS(데이터_신성질별!$I$3:$I$529,데이터_신성질별!$E$3:$E$529,$B299,데이터_신성질별!$A$3:$A$529,"2024.02")</f>
        <v>6298555</v>
      </c>
      <c r="E299" s="55" t="n">
        <f aca="false">SUMIFS(데이터_신성질별!$I$3:$I$529,데이터_신성질별!$E$3:$E$529,$B299,데이터_신성질별!$A$3:$A$529,"2024.03")</f>
        <v>7272092</v>
      </c>
      <c r="F299" s="55" t="n">
        <f aca="false">SUMIFS(데이터_신성질별!$I$3:$I$529,데이터_신성질별!$E$3:$E$529,$B299,데이터_신성질별!$A$3:$A$529,"2024.04")</f>
        <v>7628245</v>
      </c>
      <c r="G299" s="55" t="n">
        <f aca="false">SUMIFS(데이터_신성질별!$I$3:$I$529,데이터_신성질별!$E$3:$E$529,$B299,데이터_신성질별!$A$3:$A$529,"2024.05")</f>
        <v>7408914</v>
      </c>
      <c r="H299" s="55" t="n">
        <f aca="false">SUMIFS(데이터_신성질별!$I$3:$I$529,데이터_신성질별!$E$3:$E$529,$B299,데이터_신성질별!$A$3:$A$529,"2024.06")</f>
        <v>6791787</v>
      </c>
      <c r="I299" s="55" t="n">
        <f aca="false">SUMIFS(데이터_신성질별!$I$3:$I$529,데이터_신성질별!$E$3:$E$529,$B299,데이터_신성질별!$A$3:$A$529,"2024.07")</f>
        <v>7519995</v>
      </c>
      <c r="J299" s="55" t="n">
        <f aca="false">SUMIFS(데이터_신성질별!$I$3:$I$529,데이터_신성질별!$E$3:$E$529,$B299,데이터_신성질별!$A$3:$A$529,"2024.08")</f>
        <v>7286578</v>
      </c>
      <c r="K299" s="55" t="n">
        <f aca="false">SUMIFS(데이터_신성질별!$I$3:$I$529,데이터_신성질별!$E$3:$E$529,$B299,데이터_신성질별!$A$3:$A$529,"2024.09")</f>
        <v>7143433</v>
      </c>
      <c r="L299" s="55" t="n">
        <f aca="false">SUMIFS(데이터_신성질별!$I$3:$I$529,데이터_신성질별!$E$3:$E$529,$B299,데이터_신성질별!$A$3:$A$529,"2024.10")</f>
        <v>7777285</v>
      </c>
      <c r="M299" s="55" t="n">
        <f aca="false">SUMIFS(데이터_신성질별!$I$3:$I$529,데이터_신성질별!$E$3:$E$529,$B299,데이터_신성질별!$A$3:$A$529,"2024.11")</f>
        <v>6594115</v>
      </c>
      <c r="N299" s="55" t="n">
        <f aca="false">SUMIFS(데이터_신성질별!$I$3:$I$529,데이터_신성질별!$E$3:$E$529,$B299,데이터_신성질별!$A$3:$A$529,"2024.12")</f>
        <v>6988623</v>
      </c>
      <c r="O299" s="55" t="n">
        <f aca="false">SUMIFS(데이터_신성질별!$I$3:$I$529,데이터_신성질별!$E$3:$E$529,$B299,데이터_신성질별!$A$3:$A$529,"2025.01")</f>
        <v>6754074</v>
      </c>
      <c r="P299" s="55" t="n">
        <f aca="false">SUMIFS(데이터_신성질별!$I$3:$I$529,데이터_신성질별!$E$3:$E$529,$B299,데이터_신성질별!$A$3:$A$529,"2025.02")</f>
        <v>6448029</v>
      </c>
      <c r="Q299" s="55" t="n">
        <f aca="false">SUMIFS(데이터_신성질별!$I$3:$I$529,데이터_신성질별!$E$3:$E$529,$B299,데이터_신성질별!$A$3:$A$529,"2025.03")</f>
        <v>7347078</v>
      </c>
      <c r="R299" s="55" t="n">
        <f aca="false">SUMIFS(데이터_신성질별!$I$3:$I$529,데이터_신성질별!$E$3:$E$529,$B299,데이터_신성질별!$A$3:$A$529,"2025.04")</f>
        <v>7650462</v>
      </c>
      <c r="S299" s="55" t="n">
        <f aca="false">SUMIFS(데이터_신성질별!$I$3:$I$529,데이터_신성질별!$E$3:$E$529,$B299,데이터_신성질별!$A$3:$A$529,"2025.05")</f>
        <v>7228337</v>
      </c>
      <c r="T299" s="55" t="n">
        <f aca="false">SUMIFS(데이터_신성질별!$I$3:$I$529,데이터_신성질별!$E$3:$E$529,$B299,데이터_신성질별!$A$3:$A$529,"2025.06")</f>
        <v>7198366</v>
      </c>
      <c r="U299" s="55" t="n">
        <f aca="false">SUMIFS(데이터_신성질별!$I$3:$I$529,데이터_신성질별!$E$3:$E$529,$B299,데이터_신성질별!$A$3:$A$529,"2025.07")</f>
        <v>7850147</v>
      </c>
      <c r="V299" s="55" t="n">
        <f aca="false">SUMIFS(데이터_신성질별!$I$3:$I$529,데이터_신성질별!$E$3:$E$529,$B299,데이터_신성질별!$A$3:$A$529,"2025.08")</f>
        <v>7498399</v>
      </c>
      <c r="W299" s="55" t="n">
        <f aca="false">SUMIFS(데이터_신성질별!$I$3:$I$529,데이터_신성질별!$E$3:$E$529,$B299,데이터_신성질별!$A$3:$A$529,"2025.09")</f>
        <v>8095423</v>
      </c>
      <c r="X299" s="55" t="n">
        <f aca="false">SUMIFS(데이터_신성질별!$I$3:$I$529,데이터_신성질별!$E$3:$E$529,$B299,데이터_신성질별!$A$3:$A$529,"2025.10")</f>
        <v>7003694</v>
      </c>
      <c r="Y299" s="55" t="n">
        <f aca="false">SUMIFS(데이터_신성질별!$I$3:$I$529,데이터_신성질별!$E$3:$E$529,$B299,데이터_신성질별!$A$3:$A$529,"2025.11")</f>
        <v>6870624</v>
      </c>
      <c r="Z299" s="55" t="n">
        <f aca="false">SUMIFS(데이터_신성질별!$I$3:$I$529,데이터_신성질별!$E$3:$E$529,$B299,데이터_신성질별!$A$3:$A$529,"2025.12")</f>
        <v>7634514</v>
      </c>
      <c r="AA299" s="55" t="n">
        <f aca="false">SUMIFS(데이터_신성질별!$I$3:$I$529,데이터_신성질별!$E$3:$E$529,$B299,데이터_신성질별!$A$3:$A$529,"2026.01")</f>
        <v>7743674</v>
      </c>
      <c r="AB299" s="55" t="n">
        <f aca="false">SUMIFS(데이터_신성질별!$I$3:$I$529,데이터_신성질별!$E$3:$E$529,$B299,데이터_신성질별!$A$3:$A$529,"2026.02")</f>
        <v>6949607</v>
      </c>
      <c r="AC299" s="55" t="n">
        <f aca="false">SUMIFS(데이터_신성질별!$I$3:$I$529,데이터_신성질별!$E$3:$E$529,$B299,데이터_신성질별!$A$3:$A$529,"2026.03")</f>
        <v>7709640</v>
      </c>
      <c r="AD299" s="55" t="n">
        <f aca="false">SUMIFS(데이터_신성질별!$I$3:$I$529,데이터_신성질별!$E$3:$E$529,$B299,데이터_신성질별!$A$3:$A$529,"2026.04")</f>
        <v>8082254</v>
      </c>
      <c r="AE299" s="55" t="n">
        <f aca="false">SUMIFS(데이터_신성질별!$I$3:$I$529,데이터_신성질별!$E$3:$E$529,$B299,데이터_신성질별!$A$3:$A$529,"2026.05")</f>
        <v>7422611</v>
      </c>
      <c r="AF299" s="55" t="n">
        <f aca="false">SUMIFS(데이터_신성질별!$I$3:$I$529,데이터_신성질별!$E$3:$E$529,$B299,데이터_신성질별!$A$3:$A$529,"2026.06")</f>
        <v>8022008</v>
      </c>
      <c r="AG299" s="55" t="n">
        <f aca="false">SUMIFS(데이터_신성질별!$I$3:$I$529,데이터_신성질별!$E$3:$E$529,$B299,데이터_신성질별!$A$3:$A$529,"2026.07")</f>
        <v>7785820</v>
      </c>
    </row>
    <row r="300" customFormat="false" ht="15" hidden="false" customHeight="true" outlineLevel="0" collapsed="false">
      <c r="A300" s="53" t="s">
        <v>19847</v>
      </c>
      <c r="B300" s="54" t="s">
        <v>17604</v>
      </c>
      <c r="C300" s="55" t="n">
        <f aca="false">SUMIFS(데이터_신성질별!$I$3:$I$529,데이터_신성질별!$E$3:$E$529,$B300,데이터_신성질별!$A$3:$A$529,"2024.01")</f>
        <v>3062773</v>
      </c>
      <c r="D300" s="55" t="n">
        <f aca="false">SUMIFS(데이터_신성질별!$I$3:$I$529,데이터_신성질별!$E$3:$E$529,$B300,데이터_신성질별!$A$3:$A$529,"2024.02")</f>
        <v>2270601</v>
      </c>
      <c r="E300" s="55" t="n">
        <f aca="false">SUMIFS(데이터_신성질별!$I$3:$I$529,데이터_신성질별!$E$3:$E$529,$B300,데이터_신성질별!$A$3:$A$529,"2024.03")</f>
        <v>2822652</v>
      </c>
      <c r="F300" s="55" t="n">
        <f aca="false">SUMIFS(데이터_신성질별!$I$3:$I$529,데이터_신성질별!$E$3:$E$529,$B300,데이터_신성질별!$A$3:$A$529,"2024.04")</f>
        <v>2863911</v>
      </c>
      <c r="G300" s="55" t="n">
        <f aca="false">SUMIFS(데이터_신성질별!$I$3:$I$529,데이터_신성질별!$E$3:$E$529,$B300,데이터_신성질별!$A$3:$A$529,"2024.05")</f>
        <v>2856730</v>
      </c>
      <c r="H300" s="55" t="n">
        <f aca="false">SUMIFS(데이터_신성질별!$I$3:$I$529,데이터_신성질별!$E$3:$E$529,$B300,데이터_신성질별!$A$3:$A$529,"2024.06")</f>
        <v>2582059</v>
      </c>
      <c r="I300" s="55" t="n">
        <f aca="false">SUMIFS(데이터_신성질별!$I$3:$I$529,데이터_신성질별!$E$3:$E$529,$B300,데이터_신성질별!$A$3:$A$529,"2024.07")</f>
        <v>2781623</v>
      </c>
      <c r="J300" s="55" t="n">
        <f aca="false">SUMIFS(데이터_신성질별!$I$3:$I$529,데이터_신성질별!$E$3:$E$529,$B300,데이터_신성질별!$A$3:$A$529,"2024.08")</f>
        <v>2608710</v>
      </c>
      <c r="K300" s="55" t="n">
        <f aca="false">SUMIFS(데이터_신성질별!$I$3:$I$529,데이터_신성질별!$E$3:$E$529,$B300,데이터_신성질별!$A$3:$A$529,"2024.09")</f>
        <v>2492869</v>
      </c>
      <c r="L300" s="55" t="n">
        <f aca="false">SUMIFS(데이터_신성질별!$I$3:$I$529,데이터_신성질별!$E$3:$E$529,$B300,데이터_신성질별!$A$3:$A$529,"2024.10")</f>
        <v>2898499</v>
      </c>
      <c r="M300" s="55" t="n">
        <f aca="false">SUMIFS(데이터_신성질별!$I$3:$I$529,데이터_신성질별!$E$3:$E$529,$B300,데이터_신성질별!$A$3:$A$529,"2024.11")</f>
        <v>2508777</v>
      </c>
      <c r="N300" s="55" t="n">
        <f aca="false">SUMIFS(데이터_신성질별!$I$3:$I$529,데이터_신성질별!$E$3:$E$529,$B300,데이터_신성질별!$A$3:$A$529,"2024.12")</f>
        <v>2560859</v>
      </c>
      <c r="O300" s="55" t="n">
        <f aca="false">SUMIFS(데이터_신성질별!$I$3:$I$529,데이터_신성질별!$E$3:$E$529,$B300,데이터_신성질별!$A$3:$A$529,"2025.01")</f>
        <v>2716917</v>
      </c>
      <c r="P300" s="55" t="n">
        <f aca="false">SUMIFS(데이터_신성질별!$I$3:$I$529,데이터_신성질별!$E$3:$E$529,$B300,데이터_신성질별!$A$3:$A$529,"2025.02")</f>
        <v>2629082</v>
      </c>
      <c r="Q300" s="55" t="n">
        <f aca="false">SUMIFS(데이터_신성질별!$I$3:$I$529,데이터_신성질별!$E$3:$E$529,$B300,데이터_신성질별!$A$3:$A$529,"2025.03")</f>
        <v>2724546</v>
      </c>
      <c r="R300" s="55" t="n">
        <f aca="false">SUMIFS(데이터_신성질별!$I$3:$I$529,데이터_신성질별!$E$3:$E$529,$B300,데이터_신성질별!$A$3:$A$529,"2025.04")</f>
        <v>2912570</v>
      </c>
      <c r="S300" s="55" t="n">
        <f aca="false">SUMIFS(데이터_신성질별!$I$3:$I$529,데이터_신성질별!$E$3:$E$529,$B300,데이터_신성질별!$A$3:$A$529,"2025.05")</f>
        <v>2795762</v>
      </c>
      <c r="T300" s="55" t="n">
        <f aca="false">SUMIFS(데이터_신성질별!$I$3:$I$529,데이터_신성질별!$E$3:$E$529,$B300,데이터_신성질별!$A$3:$A$529,"2025.06")</f>
        <v>2770693</v>
      </c>
      <c r="U300" s="55" t="n">
        <f aca="false">SUMIFS(데이터_신성질별!$I$3:$I$529,데이터_신성질별!$E$3:$E$529,$B300,데이터_신성질별!$A$3:$A$529,"2025.07")</f>
        <v>2890779</v>
      </c>
      <c r="V300" s="55" t="n">
        <f aca="false">SUMIFS(데이터_신성질별!$I$3:$I$529,데이터_신성질별!$E$3:$E$529,$B300,데이터_신성질별!$A$3:$A$529,"2025.08")</f>
        <v>2663179</v>
      </c>
      <c r="W300" s="55" t="n">
        <f aca="false">SUMIFS(데이터_신성질별!$I$3:$I$529,데이터_신성질별!$E$3:$E$529,$B300,데이터_신성질별!$A$3:$A$529,"2025.09")</f>
        <v>2950397</v>
      </c>
      <c r="X300" s="55" t="n">
        <f aca="false">SUMIFS(데이터_신성질별!$I$3:$I$529,데이터_신성질별!$E$3:$E$529,$B300,데이터_신성질별!$A$3:$A$529,"2025.10")</f>
        <v>2497860</v>
      </c>
      <c r="Y300" s="55" t="n">
        <f aca="false">SUMIFS(데이터_신성질별!$I$3:$I$529,데이터_신성질별!$E$3:$E$529,$B300,데이터_신성질별!$A$3:$A$529,"2025.11")</f>
        <v>2496593</v>
      </c>
      <c r="Z300" s="55" t="n">
        <f aca="false">SUMIFS(데이터_신성질별!$I$3:$I$529,데이터_신성질별!$E$3:$E$529,$B300,데이터_신성질별!$A$3:$A$529,"2025.12")</f>
        <v>2823968</v>
      </c>
      <c r="AA300" s="55" t="n">
        <f aca="false">SUMIFS(데이터_신성질별!$I$3:$I$529,데이터_신성질별!$E$3:$E$529,$B300,데이터_신성질별!$A$3:$A$529,"2026.01")</f>
        <v>3285687</v>
      </c>
      <c r="AB300" s="55" t="n">
        <f aca="false">SUMIFS(데이터_신성질별!$I$3:$I$529,데이터_신성질별!$E$3:$E$529,$B300,데이터_신성질별!$A$3:$A$529,"2026.02")</f>
        <v>2456778</v>
      </c>
      <c r="AC300" s="55" t="n">
        <f aca="false">SUMIFS(데이터_신성질별!$I$3:$I$529,데이터_신성질별!$E$3:$E$529,$B300,데이터_신성질별!$A$3:$A$529,"2026.03")</f>
        <v>2956067</v>
      </c>
      <c r="AD300" s="55" t="n">
        <f aca="false">SUMIFS(데이터_신성질별!$I$3:$I$529,데이터_신성질별!$E$3:$E$529,$B300,데이터_신성질별!$A$3:$A$529,"2026.04")</f>
        <v>2939988</v>
      </c>
      <c r="AE300" s="55" t="n">
        <f aca="false">SUMIFS(데이터_신성질별!$I$3:$I$529,데이터_신성질별!$E$3:$E$529,$B300,데이터_신성질별!$A$3:$A$529,"2026.05")</f>
        <v>2642594</v>
      </c>
      <c r="AF300" s="55" t="n">
        <f aca="false">SUMIFS(데이터_신성질별!$I$3:$I$529,데이터_신성질별!$E$3:$E$529,$B300,데이터_신성질별!$A$3:$A$529,"2026.06")</f>
        <v>2841249</v>
      </c>
      <c r="AG300" s="55" t="n">
        <f aca="false">SUMIFS(데이터_신성질별!$I$3:$I$529,데이터_신성질별!$E$3:$E$529,$B300,데이터_신성질별!$A$3:$A$529,"2026.07")</f>
        <v>2852567</v>
      </c>
    </row>
    <row r="301" customFormat="false" ht="15" hidden="false" customHeight="true" outlineLevel="0" collapsed="false">
      <c r="A301" s="53" t="s">
        <v>19849</v>
      </c>
      <c r="B301" s="54" t="s">
        <v>17609</v>
      </c>
      <c r="C301" s="55" t="n">
        <f aca="false">SUMIFS(데이터_신성질별!$I$3:$I$529,데이터_신성질별!$E$3:$E$529,$B301,데이터_신성질별!$A$3:$A$529,"2024.01")</f>
        <v>1929589</v>
      </c>
      <c r="D301" s="55" t="n">
        <f aca="false">SUMIFS(데이터_신성질별!$I$3:$I$529,데이터_신성질별!$E$3:$E$529,$B301,데이터_신성질별!$A$3:$A$529,"2024.02")</f>
        <v>1974611</v>
      </c>
      <c r="E301" s="55" t="n">
        <f aca="false">SUMIFS(데이터_신성질별!$I$3:$I$529,데이터_신성질별!$E$3:$E$529,$B301,데이터_신성질별!$A$3:$A$529,"2024.03")</f>
        <v>2118764</v>
      </c>
      <c r="F301" s="55" t="n">
        <f aca="false">SUMIFS(데이터_신성질별!$I$3:$I$529,데이터_신성질별!$E$3:$E$529,$B301,데이터_신성질별!$A$3:$A$529,"2024.04")</f>
        <v>2387210</v>
      </c>
      <c r="G301" s="55" t="n">
        <f aca="false">SUMIFS(데이터_신성질별!$I$3:$I$529,데이터_신성질별!$E$3:$E$529,$B301,데이터_신성질별!$A$3:$A$529,"2024.05")</f>
        <v>2450790</v>
      </c>
      <c r="H301" s="55" t="n">
        <f aca="false">SUMIFS(데이터_신성질별!$I$3:$I$529,데이터_신성질별!$E$3:$E$529,$B301,데이터_신성질별!$A$3:$A$529,"2024.06")</f>
        <v>2180868</v>
      </c>
      <c r="I301" s="55" t="n">
        <f aca="false">SUMIFS(데이터_신성질별!$I$3:$I$529,데이터_신성질별!$E$3:$E$529,$B301,데이터_신성질별!$A$3:$A$529,"2024.07")</f>
        <v>2334728</v>
      </c>
      <c r="J301" s="55" t="n">
        <f aca="false">SUMIFS(데이터_신성질별!$I$3:$I$529,데이터_신성질별!$E$3:$E$529,$B301,데이터_신성질별!$A$3:$A$529,"2024.08")</f>
        <v>2114969</v>
      </c>
      <c r="K301" s="55" t="n">
        <f aca="false">SUMIFS(데이터_신성질별!$I$3:$I$529,데이터_신성질별!$E$3:$E$529,$B301,데이터_신성질별!$A$3:$A$529,"2024.09")</f>
        <v>1992720</v>
      </c>
      <c r="L301" s="55" t="n">
        <f aca="false">SUMIFS(데이터_신성질별!$I$3:$I$529,데이터_신성질별!$E$3:$E$529,$B301,데이터_신성질별!$A$3:$A$529,"2024.10")</f>
        <v>2205525</v>
      </c>
      <c r="M301" s="55" t="n">
        <f aca="false">SUMIFS(데이터_신성질별!$I$3:$I$529,데이터_신성질별!$E$3:$E$529,$B301,데이터_신성질별!$A$3:$A$529,"2024.11")</f>
        <v>1966662</v>
      </c>
      <c r="N301" s="55" t="n">
        <f aca="false">SUMIFS(데이터_신성질별!$I$3:$I$529,데이터_신성질별!$E$3:$E$529,$B301,데이터_신성질별!$A$3:$A$529,"2024.12")</f>
        <v>2128775</v>
      </c>
      <c r="O301" s="55" t="n">
        <f aca="false">SUMIFS(데이터_신성질별!$I$3:$I$529,데이터_신성질별!$E$3:$E$529,$B301,데이터_신성질별!$A$3:$A$529,"2025.01")</f>
        <v>1801934</v>
      </c>
      <c r="P301" s="55" t="n">
        <f aca="false">SUMIFS(데이터_신성질별!$I$3:$I$529,데이터_신성질별!$E$3:$E$529,$B301,데이터_신성질별!$A$3:$A$529,"2025.02")</f>
        <v>1747654</v>
      </c>
      <c r="Q301" s="55" t="n">
        <f aca="false">SUMIFS(데이터_신성질별!$I$3:$I$529,데이터_신성질별!$E$3:$E$529,$B301,데이터_신성질별!$A$3:$A$529,"2025.03")</f>
        <v>2202954</v>
      </c>
      <c r="R301" s="55" t="n">
        <f aca="false">SUMIFS(데이터_신성질별!$I$3:$I$529,데이터_신성질별!$E$3:$E$529,$B301,데이터_신성질별!$A$3:$A$529,"2025.04")</f>
        <v>2433623</v>
      </c>
      <c r="S301" s="55" t="n">
        <f aca="false">SUMIFS(데이터_신성질별!$I$3:$I$529,데이터_신성질별!$E$3:$E$529,$B301,데이터_신성질별!$A$3:$A$529,"2025.05")</f>
        <v>2459827</v>
      </c>
      <c r="T301" s="55" t="n">
        <f aca="false">SUMIFS(데이터_신성질별!$I$3:$I$529,데이터_신성질별!$E$3:$E$529,$B301,데이터_신성질별!$A$3:$A$529,"2025.06")</f>
        <v>2317897</v>
      </c>
      <c r="U301" s="55" t="n">
        <f aca="false">SUMIFS(데이터_신성질별!$I$3:$I$529,데이터_신성질별!$E$3:$E$529,$B301,데이터_신성질별!$A$3:$A$529,"2025.07")</f>
        <v>2583283</v>
      </c>
      <c r="V301" s="55" t="n">
        <f aca="false">SUMIFS(데이터_신성질별!$I$3:$I$529,데이터_신성질별!$E$3:$E$529,$B301,데이터_신성질별!$A$3:$A$529,"2025.08")</f>
        <v>2421261</v>
      </c>
      <c r="W301" s="55" t="n">
        <f aca="false">SUMIFS(데이터_신성질별!$I$3:$I$529,데이터_신성질별!$E$3:$E$529,$B301,데이터_신성질별!$A$3:$A$529,"2025.09")</f>
        <v>2366234</v>
      </c>
      <c r="X301" s="55" t="n">
        <f aca="false">SUMIFS(데이터_신성질별!$I$3:$I$529,데이터_신성질별!$E$3:$E$529,$B301,데이터_신성질별!$A$3:$A$529,"2025.10")</f>
        <v>2109910</v>
      </c>
      <c r="Y301" s="55" t="n">
        <f aca="false">SUMIFS(데이터_신성질별!$I$3:$I$529,데이터_신성질별!$E$3:$E$529,$B301,데이터_신성질별!$A$3:$A$529,"2025.11")</f>
        <v>2240772</v>
      </c>
      <c r="Z301" s="55" t="n">
        <f aca="false">SUMIFS(데이터_신성질별!$I$3:$I$529,데이터_신성질별!$E$3:$E$529,$B301,데이터_신성질별!$A$3:$A$529,"2025.12")</f>
        <v>2338767</v>
      </c>
      <c r="AA301" s="55" t="n">
        <f aca="false">SUMIFS(데이터_신성질별!$I$3:$I$529,데이터_신성질별!$E$3:$E$529,$B301,데이터_신성질별!$A$3:$A$529,"2026.01")</f>
        <v>2107773</v>
      </c>
      <c r="AB301" s="55" t="n">
        <f aca="false">SUMIFS(데이터_신성질별!$I$3:$I$529,데이터_신성질별!$E$3:$E$529,$B301,데이터_신성질별!$A$3:$A$529,"2026.02")</f>
        <v>2301533</v>
      </c>
      <c r="AC301" s="55" t="n">
        <f aca="false">SUMIFS(데이터_신성질별!$I$3:$I$529,데이터_신성질별!$E$3:$E$529,$B301,데이터_신성질별!$A$3:$A$529,"2026.03")</f>
        <v>2441571</v>
      </c>
      <c r="AD301" s="55" t="n">
        <f aca="false">SUMIFS(데이터_신성질별!$I$3:$I$529,데이터_신성질별!$E$3:$E$529,$B301,데이터_신성질별!$A$3:$A$529,"2026.04")</f>
        <v>2746875</v>
      </c>
      <c r="AE301" s="55" t="n">
        <f aca="false">SUMIFS(데이터_신성질별!$I$3:$I$529,데이터_신성질별!$E$3:$E$529,$B301,데이터_신성질별!$A$3:$A$529,"2026.05")</f>
        <v>2697305</v>
      </c>
      <c r="AF301" s="55" t="n">
        <f aca="false">SUMIFS(데이터_신성질별!$I$3:$I$529,데이터_신성질별!$E$3:$E$529,$B301,데이터_신성질별!$A$3:$A$529,"2026.06")</f>
        <v>2852037</v>
      </c>
      <c r="AG301" s="55" t="n">
        <f aca="false">SUMIFS(데이터_신성질별!$I$3:$I$529,데이터_신성질별!$E$3:$E$529,$B301,데이터_신성질별!$A$3:$A$529,"2026.07")</f>
        <v>2612543</v>
      </c>
    </row>
    <row r="302" customFormat="false" ht="15" hidden="false" customHeight="true" outlineLevel="0" collapsed="false">
      <c r="A302" s="53" t="s">
        <v>19851</v>
      </c>
      <c r="B302" s="54" t="s">
        <v>17614</v>
      </c>
      <c r="C302" s="55" t="n">
        <f aca="false">SUMIFS(데이터_신성질별!$I$3:$I$529,데이터_신성질별!$E$3:$E$529,$B302,데이터_신성질별!$A$3:$A$529,"2024.01")</f>
        <v>2516357</v>
      </c>
      <c r="D302" s="55" t="n">
        <f aca="false">SUMIFS(데이터_신성질별!$I$3:$I$529,데이터_신성질별!$E$3:$E$529,$B302,데이터_신성질별!$A$3:$A$529,"2024.02")</f>
        <v>2053344</v>
      </c>
      <c r="E302" s="55" t="n">
        <f aca="false">SUMIFS(데이터_신성질별!$I$3:$I$529,데이터_신성질별!$E$3:$E$529,$B302,데이터_신성질별!$A$3:$A$529,"2024.03")</f>
        <v>2330675</v>
      </c>
      <c r="F302" s="55" t="n">
        <f aca="false">SUMIFS(데이터_신성질별!$I$3:$I$529,데이터_신성질별!$E$3:$E$529,$B302,데이터_신성질별!$A$3:$A$529,"2024.04")</f>
        <v>2377124</v>
      </c>
      <c r="G302" s="55" t="n">
        <f aca="false">SUMIFS(데이터_신성질별!$I$3:$I$529,데이터_신성질별!$E$3:$E$529,$B302,데이터_신성질별!$A$3:$A$529,"2024.05")</f>
        <v>2101394</v>
      </c>
      <c r="H302" s="55" t="n">
        <f aca="false">SUMIFS(데이터_신성질별!$I$3:$I$529,데이터_신성질별!$E$3:$E$529,$B302,데이터_신성질별!$A$3:$A$529,"2024.06")</f>
        <v>2028860</v>
      </c>
      <c r="I302" s="55" t="n">
        <f aca="false">SUMIFS(데이터_신성질별!$I$3:$I$529,데이터_신성질별!$E$3:$E$529,$B302,데이터_신성질별!$A$3:$A$529,"2024.07")</f>
        <v>2403644</v>
      </c>
      <c r="J302" s="55" t="n">
        <f aca="false">SUMIFS(데이터_신성질별!$I$3:$I$529,데이터_신성질별!$E$3:$E$529,$B302,데이터_신성질별!$A$3:$A$529,"2024.08")</f>
        <v>2562899</v>
      </c>
      <c r="K302" s="55" t="n">
        <f aca="false">SUMIFS(데이터_신성질별!$I$3:$I$529,데이터_신성질별!$E$3:$E$529,$B302,데이터_신성질별!$A$3:$A$529,"2024.09")</f>
        <v>2657845</v>
      </c>
      <c r="L302" s="55" t="n">
        <f aca="false">SUMIFS(데이터_신성질별!$I$3:$I$529,데이터_신성질별!$E$3:$E$529,$B302,데이터_신성질별!$A$3:$A$529,"2024.10")</f>
        <v>2673261</v>
      </c>
      <c r="M302" s="55" t="n">
        <f aca="false">SUMIFS(데이터_신성질별!$I$3:$I$529,데이터_신성질별!$E$3:$E$529,$B302,데이터_신성질별!$A$3:$A$529,"2024.11")</f>
        <v>2118676</v>
      </c>
      <c r="N302" s="55" t="n">
        <f aca="false">SUMIFS(데이터_신성질별!$I$3:$I$529,데이터_신성질별!$E$3:$E$529,$B302,데이터_신성질별!$A$3:$A$529,"2024.12")</f>
        <v>2298989</v>
      </c>
      <c r="O302" s="55" t="n">
        <f aca="false">SUMIFS(데이터_신성질별!$I$3:$I$529,데이터_신성질별!$E$3:$E$529,$B302,데이터_신성질별!$A$3:$A$529,"2025.01")</f>
        <v>2235223</v>
      </c>
      <c r="P302" s="55" t="n">
        <f aca="false">SUMIFS(데이터_신성질별!$I$3:$I$529,데이터_신성질별!$E$3:$E$529,$B302,데이터_신성질별!$A$3:$A$529,"2025.02")</f>
        <v>2071293</v>
      </c>
      <c r="Q302" s="55" t="n">
        <f aca="false">SUMIFS(데이터_신성질별!$I$3:$I$529,데이터_신성질별!$E$3:$E$529,$B302,데이터_신성질별!$A$3:$A$529,"2025.03")</f>
        <v>2419577</v>
      </c>
      <c r="R302" s="55" t="n">
        <f aca="false">SUMIFS(데이터_신성질별!$I$3:$I$529,데이터_신성질별!$E$3:$E$529,$B302,데이터_신성질별!$A$3:$A$529,"2025.04")</f>
        <v>2304269</v>
      </c>
      <c r="S302" s="55" t="n">
        <f aca="false">SUMIFS(데이터_신성질별!$I$3:$I$529,데이터_신성질별!$E$3:$E$529,$B302,데이터_신성질별!$A$3:$A$529,"2025.05")</f>
        <v>1972748</v>
      </c>
      <c r="T302" s="55" t="n">
        <f aca="false">SUMIFS(데이터_신성질별!$I$3:$I$529,데이터_신성질별!$E$3:$E$529,$B302,데이터_신성질별!$A$3:$A$529,"2025.06")</f>
        <v>2109777</v>
      </c>
      <c r="U302" s="55" t="n">
        <f aca="false">SUMIFS(데이터_신성질별!$I$3:$I$529,데이터_신성질별!$E$3:$E$529,$B302,데이터_신성질별!$A$3:$A$529,"2025.07")</f>
        <v>2376084</v>
      </c>
      <c r="V302" s="55" t="n">
        <f aca="false">SUMIFS(데이터_신성질별!$I$3:$I$529,데이터_신성질별!$E$3:$E$529,$B302,데이터_신성질별!$A$3:$A$529,"2025.08")</f>
        <v>2413959</v>
      </c>
      <c r="W302" s="55" t="n">
        <f aca="false">SUMIFS(데이터_신성질별!$I$3:$I$529,데이터_신성질별!$E$3:$E$529,$B302,데이터_신성질별!$A$3:$A$529,"2025.09")</f>
        <v>2778793</v>
      </c>
      <c r="X302" s="55" t="n">
        <f aca="false">SUMIFS(데이터_신성질별!$I$3:$I$529,데이터_신성질별!$E$3:$E$529,$B302,데이터_신성질별!$A$3:$A$529,"2025.10")</f>
        <v>2395925</v>
      </c>
      <c r="Y302" s="55" t="n">
        <f aca="false">SUMIFS(데이터_신성질별!$I$3:$I$529,데이터_신성질별!$E$3:$E$529,$B302,데이터_신성질별!$A$3:$A$529,"2025.11")</f>
        <v>2133259</v>
      </c>
      <c r="Z302" s="55" t="n">
        <f aca="false">SUMIFS(데이터_신성질별!$I$3:$I$529,데이터_신성질별!$E$3:$E$529,$B302,데이터_신성질별!$A$3:$A$529,"2025.12")</f>
        <v>2471779</v>
      </c>
      <c r="AA302" s="55" t="n">
        <f aca="false">SUMIFS(데이터_신성질별!$I$3:$I$529,데이터_신성질별!$E$3:$E$529,$B302,데이터_신성질별!$A$3:$A$529,"2026.01")</f>
        <v>2350213</v>
      </c>
      <c r="AB302" s="55" t="n">
        <f aca="false">SUMIFS(데이터_신성질별!$I$3:$I$529,데이터_신성질별!$E$3:$E$529,$B302,데이터_신성질별!$A$3:$A$529,"2026.02")</f>
        <v>2191297</v>
      </c>
      <c r="AC302" s="55" t="n">
        <f aca="false">SUMIFS(데이터_신성질별!$I$3:$I$529,데이터_신성질별!$E$3:$E$529,$B302,데이터_신성질별!$A$3:$A$529,"2026.03")</f>
        <v>2312001</v>
      </c>
      <c r="AD302" s="55" t="n">
        <f aca="false">SUMIFS(데이터_신성질별!$I$3:$I$529,데이터_신성질별!$E$3:$E$529,$B302,데이터_신성질별!$A$3:$A$529,"2026.04")</f>
        <v>2395392</v>
      </c>
      <c r="AE302" s="55" t="n">
        <f aca="false">SUMIFS(데이터_신성질별!$I$3:$I$529,데이터_신성질별!$E$3:$E$529,$B302,데이터_신성질별!$A$3:$A$529,"2026.05")</f>
        <v>2082712</v>
      </c>
      <c r="AF302" s="55" t="n">
        <f aca="false">SUMIFS(데이터_신성질별!$I$3:$I$529,데이터_신성질별!$E$3:$E$529,$B302,데이터_신성질별!$A$3:$A$529,"2026.06")</f>
        <v>2328722</v>
      </c>
      <c r="AG302" s="55" t="n">
        <f aca="false">SUMIFS(데이터_신성질별!$I$3:$I$529,데이터_신성질별!$E$3:$E$529,$B302,데이터_신성질별!$A$3:$A$529,"2026.07")</f>
        <v>2320711</v>
      </c>
    </row>
    <row r="303" customFormat="false" ht="15" hidden="false" customHeight="true" outlineLevel="0" collapsed="false">
      <c r="A303" s="53" t="s">
        <v>19852</v>
      </c>
      <c r="B303" s="54" t="s">
        <v>17619</v>
      </c>
      <c r="C303" s="55" t="n">
        <f aca="false">SUMIFS(데이터_신성질별!$I$3:$I$529,데이터_신성질별!$E$3:$E$529,$B303,데이터_신성질별!$A$3:$A$529,"2024.01")</f>
        <v>0</v>
      </c>
      <c r="D303" s="55" t="n">
        <f aca="false">SUMIFS(데이터_신성질별!$I$3:$I$529,데이터_신성질별!$E$3:$E$529,$B303,데이터_신성질별!$A$3:$A$529,"2024.02")</f>
        <v>0</v>
      </c>
      <c r="E303" s="55" t="n">
        <f aca="false">SUMIFS(데이터_신성질별!$I$3:$I$529,데이터_신성질별!$E$3:$E$529,$B303,데이터_신성질별!$A$3:$A$529,"2024.03")</f>
        <v>0</v>
      </c>
      <c r="F303" s="55" t="n">
        <f aca="false">SUMIFS(데이터_신성질별!$I$3:$I$529,데이터_신성질별!$E$3:$E$529,$B303,데이터_신성질별!$A$3:$A$529,"2024.04")</f>
        <v>0</v>
      </c>
      <c r="G303" s="55" t="n">
        <f aca="false">SUMIFS(데이터_신성질별!$I$3:$I$529,데이터_신성질별!$E$3:$E$529,$B303,데이터_신성질별!$A$3:$A$529,"2024.05")</f>
        <v>0</v>
      </c>
      <c r="H303" s="55" t="n">
        <f aca="false">SUMIFS(데이터_신성질별!$I$3:$I$529,데이터_신성질별!$E$3:$E$529,$B303,데이터_신성질별!$A$3:$A$529,"2024.06")</f>
        <v>0</v>
      </c>
      <c r="I303" s="55" t="n">
        <f aca="false">SUMIFS(데이터_신성질별!$I$3:$I$529,데이터_신성질별!$E$3:$E$529,$B303,데이터_신성질별!$A$3:$A$529,"2024.07")</f>
        <v>0</v>
      </c>
      <c r="J303" s="55" t="n">
        <f aca="false">SUMIFS(데이터_신성질별!$I$3:$I$529,데이터_신성질별!$E$3:$E$529,$B303,데이터_신성질별!$A$3:$A$529,"2024.08")</f>
        <v>0</v>
      </c>
      <c r="K303" s="55" t="n">
        <f aca="false">SUMIFS(데이터_신성질별!$I$3:$I$529,데이터_신성질별!$E$3:$E$529,$B303,데이터_신성질별!$A$3:$A$529,"2024.09")</f>
        <v>0</v>
      </c>
      <c r="L303" s="55" t="n">
        <f aca="false">SUMIFS(데이터_신성질별!$I$3:$I$529,데이터_신성질별!$E$3:$E$529,$B303,데이터_신성질별!$A$3:$A$529,"2024.10")</f>
        <v>0</v>
      </c>
      <c r="M303" s="55" t="n">
        <f aca="false">SUMIFS(데이터_신성질별!$I$3:$I$529,데이터_신성질별!$E$3:$E$529,$B303,데이터_신성질별!$A$3:$A$529,"2024.11")</f>
        <v>0</v>
      </c>
      <c r="N303" s="55" t="n">
        <f aca="false">SUMIFS(데이터_신성질별!$I$3:$I$529,데이터_신성질별!$E$3:$E$529,$B303,데이터_신성질별!$A$3:$A$529,"2024.12")</f>
        <v>0</v>
      </c>
      <c r="O303" s="55" t="n">
        <f aca="false">SUMIFS(데이터_신성질별!$I$3:$I$529,데이터_신성질별!$E$3:$E$529,$B303,데이터_신성질별!$A$3:$A$529,"2025.01")</f>
        <v>0</v>
      </c>
      <c r="P303" s="55" t="n">
        <f aca="false">SUMIFS(데이터_신성질별!$I$3:$I$529,데이터_신성질별!$E$3:$E$529,$B303,데이터_신성질별!$A$3:$A$529,"2025.02")</f>
        <v>0</v>
      </c>
      <c r="Q303" s="55" t="n">
        <f aca="false">SUMIFS(데이터_신성질별!$I$3:$I$529,데이터_신성질별!$E$3:$E$529,$B303,데이터_신성질별!$A$3:$A$529,"2025.03")</f>
        <v>0</v>
      </c>
      <c r="R303" s="55" t="n">
        <f aca="false">SUMIFS(데이터_신성질별!$I$3:$I$529,데이터_신성질별!$E$3:$E$529,$B303,데이터_신성질별!$A$3:$A$529,"2025.04")</f>
        <v>0</v>
      </c>
      <c r="S303" s="55" t="n">
        <f aca="false">SUMIFS(데이터_신성질별!$I$3:$I$529,데이터_신성질별!$E$3:$E$529,$B303,데이터_신성질별!$A$3:$A$529,"2025.05")</f>
        <v>0</v>
      </c>
      <c r="T303" s="55" t="n">
        <f aca="false">SUMIFS(데이터_신성질별!$I$3:$I$529,데이터_신성질별!$E$3:$E$529,$B303,데이터_신성질별!$A$3:$A$529,"2025.06")</f>
        <v>0</v>
      </c>
      <c r="U303" s="55" t="n">
        <f aca="false">SUMIFS(데이터_신성질별!$I$3:$I$529,데이터_신성질별!$E$3:$E$529,$B303,데이터_신성질별!$A$3:$A$529,"2025.07")</f>
        <v>0</v>
      </c>
      <c r="V303" s="55" t="n">
        <f aca="false">SUMIFS(데이터_신성질별!$I$3:$I$529,데이터_신성질별!$E$3:$E$529,$B303,데이터_신성질별!$A$3:$A$529,"2025.08")</f>
        <v>0</v>
      </c>
      <c r="W303" s="55" t="n">
        <f aca="false">SUMIFS(데이터_신성질별!$I$3:$I$529,데이터_신성질별!$E$3:$E$529,$B303,데이터_신성질별!$A$3:$A$529,"2025.09")</f>
        <v>0</v>
      </c>
      <c r="X303" s="55" t="n">
        <f aca="false">SUMIFS(데이터_신성질별!$I$3:$I$529,데이터_신성질별!$E$3:$E$529,$B303,데이터_신성질별!$A$3:$A$529,"2025.10")</f>
        <v>0</v>
      </c>
      <c r="Y303" s="55" t="n">
        <f aca="false">SUMIFS(데이터_신성질별!$I$3:$I$529,데이터_신성질별!$E$3:$E$529,$B303,데이터_신성질별!$A$3:$A$529,"2025.11")</f>
        <v>0</v>
      </c>
      <c r="Z303" s="55" t="n">
        <f aca="false">SUMIFS(데이터_신성질별!$I$3:$I$529,데이터_신성질별!$E$3:$E$529,$B303,데이터_신성질별!$A$3:$A$529,"2025.12")</f>
        <v>0</v>
      </c>
      <c r="AA303" s="55" t="n">
        <f aca="false">SUMIFS(데이터_신성질별!$I$3:$I$529,데이터_신성질별!$E$3:$E$529,$B303,데이터_신성질별!$A$3:$A$529,"2026.01")</f>
        <v>0</v>
      </c>
      <c r="AB303" s="55" t="n">
        <f aca="false">SUMIFS(데이터_신성질별!$I$3:$I$529,데이터_신성질별!$E$3:$E$529,$B303,데이터_신성질별!$A$3:$A$529,"2026.02")</f>
        <v>0</v>
      </c>
      <c r="AC303" s="55" t="n">
        <f aca="false">SUMIFS(데이터_신성질별!$I$3:$I$529,데이터_신성질별!$E$3:$E$529,$B303,데이터_신성질별!$A$3:$A$529,"2026.03")</f>
        <v>0</v>
      </c>
      <c r="AD303" s="55" t="n">
        <f aca="false">SUMIFS(데이터_신성질별!$I$3:$I$529,데이터_신성질별!$E$3:$E$529,$B303,데이터_신성질별!$A$3:$A$529,"2026.04")</f>
        <v>0</v>
      </c>
      <c r="AE303" s="55" t="n">
        <f aca="false">SUMIFS(데이터_신성질별!$I$3:$I$529,데이터_신성질별!$E$3:$E$529,$B303,데이터_신성질별!$A$3:$A$529,"2026.05")</f>
        <v>0</v>
      </c>
      <c r="AF303" s="55" t="n">
        <f aca="false">SUMIFS(데이터_신성질별!$I$3:$I$529,데이터_신성질별!$E$3:$E$529,$B303,데이터_신성질별!$A$3:$A$529,"2026.06")</f>
        <v>0</v>
      </c>
      <c r="AG303" s="55" t="n">
        <f aca="false">SUMIFS(데이터_신성질별!$I$3:$I$529,데이터_신성질별!$E$3:$E$529,$B303,데이터_신성질별!$A$3:$A$529,"2026.07")</f>
        <v>0</v>
      </c>
    </row>
    <row r="304" customFormat="false" ht="15" hidden="false" customHeight="true" outlineLevel="0" collapsed="false">
      <c r="A304" s="53" t="s">
        <v>19853</v>
      </c>
      <c r="B304" s="46" t="s">
        <v>19864</v>
      </c>
      <c r="C304" s="55" t="n">
        <f aca="false">SUMIFS(데이터_신성질별!$I$3:$I$529,데이터_신성질별!$E$3:$E$529,$B304,데이터_신성질별!$A$3:$A$529,"2024.01")</f>
        <v>27933007</v>
      </c>
      <c r="D304" s="55" t="n">
        <f aca="false">SUMIFS(데이터_신성질별!$I$3:$I$529,데이터_신성질별!$E$3:$E$529,$B304,데이터_신성질별!$A$3:$A$529,"2024.02")</f>
        <v>24762496</v>
      </c>
      <c r="E304" s="55" t="n">
        <f aca="false">SUMIFS(데이터_신성질별!$I$3:$I$529,데이터_신성질별!$E$3:$E$529,$B304,데이터_신성질별!$A$3:$A$529,"2024.03")</f>
        <v>25640358</v>
      </c>
      <c r="F304" s="55" t="n">
        <f aca="false">SUMIFS(데이터_신성질별!$I$3:$I$529,데이터_신성질별!$E$3:$E$529,$B304,데이터_신성질별!$A$3:$A$529,"2024.04")</f>
        <v>27693181</v>
      </c>
      <c r="G304" s="55" t="n">
        <f aca="false">SUMIFS(데이터_신성질별!$I$3:$I$529,데이터_신성질별!$E$3:$E$529,$B304,데이터_신성질별!$A$3:$A$529,"2024.05")</f>
        <v>26767236</v>
      </c>
      <c r="H304" s="55" t="n">
        <f aca="false">SUMIFS(데이터_신성질별!$I$3:$I$529,데이터_신성질별!$E$3:$E$529,$B304,데이터_신성질별!$A$3:$A$529,"2024.06")</f>
        <v>23739756</v>
      </c>
      <c r="I304" s="55" t="n">
        <f aca="false">SUMIFS(데이터_신성질별!$I$3:$I$529,데이터_신성질별!$E$3:$E$529,$B304,데이터_신성질별!$A$3:$A$529,"2024.07")</f>
        <v>25490289</v>
      </c>
      <c r="J304" s="55" t="n">
        <f aca="false">SUMIFS(데이터_신성질별!$I$3:$I$529,데이터_신성질별!$E$3:$E$529,$B304,데이터_신성질별!$A$3:$A$529,"2024.08")</f>
        <v>27190023</v>
      </c>
      <c r="K304" s="55" t="n">
        <f aca="false">SUMIFS(데이터_신성질별!$I$3:$I$529,데이터_신성질별!$E$3:$E$529,$B304,데이터_신성질별!$A$3:$A$529,"2024.09")</f>
        <v>24247269</v>
      </c>
      <c r="L304" s="55" t="n">
        <f aca="false">SUMIFS(데이터_신성질별!$I$3:$I$529,데이터_신성질별!$E$3:$E$529,$B304,데이터_신성질별!$A$3:$A$529,"2024.10")</f>
        <v>25082974</v>
      </c>
      <c r="M304" s="55" t="n">
        <f aca="false">SUMIFS(데이터_신성질별!$I$3:$I$529,데이터_신성질별!$E$3:$E$529,$B304,데이터_신성질별!$A$3:$A$529,"2024.11")</f>
        <v>23451563</v>
      </c>
      <c r="N304" s="55" t="n">
        <f aca="false">SUMIFS(데이터_신성질별!$I$3:$I$529,데이터_신성질별!$E$3:$E$529,$B304,데이터_신성질별!$A$3:$A$529,"2024.12")</f>
        <v>24396003</v>
      </c>
      <c r="O304" s="55" t="n">
        <f aca="false">SUMIFS(데이터_신성질별!$I$3:$I$529,데이터_신성질별!$E$3:$E$529,$B304,데이터_신성질별!$A$3:$A$529,"2025.01")</f>
        <v>25300265</v>
      </c>
      <c r="P304" s="55" t="n">
        <f aca="false">SUMIFS(데이터_신성질별!$I$3:$I$529,데이터_신성질별!$E$3:$E$529,$B304,데이터_신성질별!$A$3:$A$529,"2025.02")</f>
        <v>23085893</v>
      </c>
      <c r="Q304" s="55" t="n">
        <f aca="false">SUMIFS(데이터_신성질별!$I$3:$I$529,데이터_신성질별!$E$3:$E$529,$B304,데이터_신성질별!$A$3:$A$529,"2025.03")</f>
        <v>23899187</v>
      </c>
      <c r="R304" s="55" t="n">
        <f aca="false">SUMIFS(데이터_신성질별!$I$3:$I$529,데이터_신성질별!$E$3:$E$529,$B304,데이터_신성질별!$A$3:$A$529,"2025.04")</f>
        <v>24559602</v>
      </c>
      <c r="S304" s="55" t="n">
        <f aca="false">SUMIFS(데이터_신성질별!$I$3:$I$529,데이터_신성질별!$E$3:$E$529,$B304,데이터_신성질별!$A$3:$A$529,"2025.05")</f>
        <v>23233610</v>
      </c>
      <c r="T304" s="55" t="n">
        <f aca="false">SUMIFS(데이터_신성질별!$I$3:$I$529,데이터_신성질별!$E$3:$E$529,$B304,데이터_신성질별!$A$3:$A$529,"2025.06")</f>
        <v>22410143</v>
      </c>
      <c r="U304" s="55" t="n">
        <f aca="false">SUMIFS(데이터_신성질별!$I$3:$I$529,데이터_신성질별!$E$3:$E$529,$B304,데이터_신성질별!$A$3:$A$529,"2025.07")</f>
        <v>24368736</v>
      </c>
      <c r="V304" s="55" t="n">
        <f aca="false">SUMIFS(데이터_신성질별!$I$3:$I$529,데이터_신성질별!$E$3:$E$529,$B304,데이터_신성질별!$A$3:$A$529,"2025.08")</f>
        <v>24126559</v>
      </c>
      <c r="W304" s="55" t="n">
        <f aca="false">SUMIFS(데이터_신성질별!$I$3:$I$529,데이터_신성질별!$E$3:$E$529,$B304,데이터_신성질별!$A$3:$A$529,"2025.09")</f>
        <v>24958281</v>
      </c>
      <c r="X304" s="55" t="n">
        <f aca="false">SUMIFS(데이터_신성질별!$I$3:$I$529,데이터_신성질별!$E$3:$E$529,$B304,데이터_신성질별!$A$3:$A$529,"2025.10")</f>
        <v>25489878</v>
      </c>
      <c r="Y304" s="55" t="n">
        <f aca="false">SUMIFS(데이터_신성질별!$I$3:$I$529,데이터_신성질별!$E$3:$E$529,$B304,데이터_신성질별!$A$3:$A$529,"2025.11")</f>
        <v>23068300</v>
      </c>
      <c r="Z304" s="55" t="n">
        <f aca="false">SUMIFS(데이터_신성질별!$I$3:$I$529,데이터_신성질별!$E$3:$E$529,$B304,데이터_신성질별!$A$3:$A$529,"2025.12")</f>
        <v>25016056</v>
      </c>
      <c r="AA304" s="55" t="n">
        <f aca="false">SUMIFS(데이터_신성질별!$I$3:$I$529,데이터_신성질별!$E$3:$E$529,$B304,데이터_신성질별!$A$3:$A$529,"2026.01")</f>
        <v>26351255</v>
      </c>
      <c r="AB304" s="55" t="n">
        <f aca="false">SUMIFS(데이터_신성질별!$I$3:$I$529,데이터_신성질별!$E$3:$E$529,$B304,데이터_신성질별!$A$3:$A$529,"2026.02")</f>
        <v>23329194</v>
      </c>
      <c r="AC304" s="55" t="n">
        <f aca="false">SUMIFS(데이터_신성질별!$I$3:$I$529,데이터_신성질별!$E$3:$E$529,$B304,데이터_신성질별!$A$3:$A$529,"2026.03")</f>
        <v>26403177</v>
      </c>
      <c r="AD304" s="55" t="n">
        <f aca="false">SUMIFS(데이터_신성질별!$I$3:$I$529,데이터_신성질별!$E$3:$E$529,$B304,데이터_신성질별!$A$3:$A$529,"2026.04")</f>
        <v>27754951</v>
      </c>
      <c r="AE304" s="55" t="n">
        <f aca="false">SUMIFS(데이터_신성질별!$I$3:$I$529,데이터_신성질별!$E$3:$E$529,$B304,데이터_신성질별!$A$3:$A$529,"2026.05")</f>
        <v>28422667</v>
      </c>
      <c r="AF304" s="55" t="n">
        <f aca="false">SUMIFS(데이터_신성질별!$I$3:$I$529,데이터_신성질별!$E$3:$E$529,$B304,데이터_신성질별!$A$3:$A$529,"2026.06")</f>
        <v>29137952</v>
      </c>
      <c r="AG304" s="55" t="n">
        <f aca="false">SUMIFS(데이터_신성질별!$I$3:$I$529,데이터_신성질별!$E$3:$E$529,$B304,데이터_신성질별!$A$3:$A$529,"2026.07")</f>
        <v>31504435</v>
      </c>
    </row>
    <row r="305" customFormat="false" ht="15" hidden="false" customHeight="true" outlineLevel="0" collapsed="false">
      <c r="A305" s="53" t="s">
        <v>19854</v>
      </c>
      <c r="B305" s="54" t="s">
        <v>17627</v>
      </c>
      <c r="C305" s="55" t="n">
        <f aca="false">SUMIFS(데이터_신성질별!$I$3:$I$529,데이터_신성질별!$E$3:$E$529,$B305,데이터_신성질별!$A$3:$A$529,"2024.01")</f>
        <v>1428481</v>
      </c>
      <c r="D305" s="55" t="n">
        <f aca="false">SUMIFS(데이터_신성질별!$I$3:$I$529,데이터_신성질별!$E$3:$E$529,$B305,데이터_신성질별!$A$3:$A$529,"2024.02")</f>
        <v>1374564</v>
      </c>
      <c r="E305" s="55" t="n">
        <f aca="false">SUMIFS(데이터_신성질별!$I$3:$I$529,데이터_신성질별!$E$3:$E$529,$B305,데이터_신성질별!$A$3:$A$529,"2024.03")</f>
        <v>1318900</v>
      </c>
      <c r="F305" s="55" t="n">
        <f aca="false">SUMIFS(데이터_신성질별!$I$3:$I$529,데이터_신성질별!$E$3:$E$529,$B305,데이터_신성질별!$A$3:$A$529,"2024.04")</f>
        <v>1611515</v>
      </c>
      <c r="G305" s="55" t="n">
        <f aca="false">SUMIFS(데이터_신성질별!$I$3:$I$529,데이터_신성질별!$E$3:$E$529,$B305,데이터_신성질별!$A$3:$A$529,"2024.05")</f>
        <v>1472869</v>
      </c>
      <c r="H305" s="55" t="n">
        <f aca="false">SUMIFS(데이터_신성질별!$I$3:$I$529,데이터_신성질별!$E$3:$E$529,$B305,데이터_신성질별!$A$3:$A$529,"2024.06")</f>
        <v>1383228</v>
      </c>
      <c r="I305" s="55" t="n">
        <f aca="false">SUMIFS(데이터_신성질별!$I$3:$I$529,데이터_신성질별!$E$3:$E$529,$B305,데이터_신성질별!$A$3:$A$529,"2024.07")</f>
        <v>1416251</v>
      </c>
      <c r="J305" s="55" t="n">
        <f aca="false">SUMIFS(데이터_신성질별!$I$3:$I$529,데이터_신성질별!$E$3:$E$529,$B305,데이터_신성질별!$A$3:$A$529,"2024.08")</f>
        <v>1512193</v>
      </c>
      <c r="K305" s="55" t="n">
        <f aca="false">SUMIFS(데이터_신성질별!$I$3:$I$529,데이터_신성질별!$E$3:$E$529,$B305,데이터_신성질별!$A$3:$A$529,"2024.09")</f>
        <v>1374179</v>
      </c>
      <c r="L305" s="55" t="n">
        <f aca="false">SUMIFS(데이터_신성질별!$I$3:$I$529,데이터_신성질별!$E$3:$E$529,$B305,데이터_신성질별!$A$3:$A$529,"2024.10")</f>
        <v>1490398</v>
      </c>
      <c r="M305" s="55" t="n">
        <f aca="false">SUMIFS(데이터_신성질별!$I$3:$I$529,데이터_신성질별!$E$3:$E$529,$B305,데이터_신성질별!$A$3:$A$529,"2024.11")</f>
        <v>1368799</v>
      </c>
      <c r="N305" s="55" t="n">
        <f aca="false">SUMIFS(데이터_신성질별!$I$3:$I$529,데이터_신성질별!$E$3:$E$529,$B305,데이터_신성질별!$A$3:$A$529,"2024.12")</f>
        <v>1465528</v>
      </c>
      <c r="O305" s="55" t="n">
        <f aca="false">SUMIFS(데이터_신성질별!$I$3:$I$529,데이터_신성질별!$E$3:$E$529,$B305,데이터_신성질별!$A$3:$A$529,"2025.01")</f>
        <v>1396963</v>
      </c>
      <c r="P305" s="55" t="n">
        <f aca="false">SUMIFS(데이터_신성질별!$I$3:$I$529,데이터_신성질별!$E$3:$E$529,$B305,데이터_신성질별!$A$3:$A$529,"2025.02")</f>
        <v>1405567</v>
      </c>
      <c r="Q305" s="55" t="n">
        <f aca="false">SUMIFS(데이터_신성질별!$I$3:$I$529,데이터_신성질별!$E$3:$E$529,$B305,데이터_신성질별!$A$3:$A$529,"2025.03")</f>
        <v>1415907</v>
      </c>
      <c r="R305" s="55" t="n">
        <f aca="false">SUMIFS(데이터_신성질별!$I$3:$I$529,데이터_신성질별!$E$3:$E$529,$B305,데이터_신성질별!$A$3:$A$529,"2025.04")</f>
        <v>1568702</v>
      </c>
      <c r="S305" s="55" t="n">
        <f aca="false">SUMIFS(데이터_신성질별!$I$3:$I$529,데이터_신성질별!$E$3:$E$529,$B305,데이터_신성질별!$A$3:$A$529,"2025.05")</f>
        <v>1476468</v>
      </c>
      <c r="T305" s="55" t="n">
        <f aca="false">SUMIFS(데이터_신성질별!$I$3:$I$529,데이터_신성질별!$E$3:$E$529,$B305,데이터_신성질별!$A$3:$A$529,"2025.06")</f>
        <v>1480333</v>
      </c>
      <c r="U305" s="55" t="n">
        <f aca="false">SUMIFS(데이터_신성질별!$I$3:$I$529,데이터_신성질별!$E$3:$E$529,$B305,데이터_신성질별!$A$3:$A$529,"2025.07")</f>
        <v>1458473</v>
      </c>
      <c r="V305" s="55" t="n">
        <f aca="false">SUMIFS(데이터_신성질별!$I$3:$I$529,데이터_신성질별!$E$3:$E$529,$B305,데이터_신성질별!$A$3:$A$529,"2025.08")</f>
        <v>1383382</v>
      </c>
      <c r="W305" s="55" t="n">
        <f aca="false">SUMIFS(데이터_신성질별!$I$3:$I$529,데이터_신성질별!$E$3:$E$529,$B305,데이터_신성질별!$A$3:$A$529,"2025.09")</f>
        <v>1424496</v>
      </c>
      <c r="X305" s="55" t="n">
        <f aca="false">SUMIFS(데이터_신성질별!$I$3:$I$529,데이터_신성질별!$E$3:$E$529,$B305,데이터_신성질별!$A$3:$A$529,"2025.10")</f>
        <v>1366937</v>
      </c>
      <c r="Y305" s="55" t="n">
        <f aca="false">SUMIFS(데이터_신성질별!$I$3:$I$529,데이터_신성질별!$E$3:$E$529,$B305,데이터_신성질별!$A$3:$A$529,"2025.11")</f>
        <v>1319508</v>
      </c>
      <c r="Z305" s="55" t="n">
        <f aca="false">SUMIFS(데이터_신성질별!$I$3:$I$529,데이터_신성질별!$E$3:$E$529,$B305,데이터_신성질별!$A$3:$A$529,"2025.12")</f>
        <v>1540753</v>
      </c>
      <c r="AA305" s="55" t="n">
        <f aca="false">SUMIFS(데이터_신성질별!$I$3:$I$529,데이터_신성질별!$E$3:$E$529,$B305,데이터_신성질별!$A$3:$A$529,"2026.01")</f>
        <v>1437218</v>
      </c>
      <c r="AB305" s="55" t="n">
        <f aca="false">SUMIFS(데이터_신성질별!$I$3:$I$529,데이터_신성질별!$E$3:$E$529,$B305,데이터_신성질별!$A$3:$A$529,"2026.02")</f>
        <v>1231521</v>
      </c>
      <c r="AC305" s="55" t="n">
        <f aca="false">SUMIFS(데이터_신성질별!$I$3:$I$529,데이터_신성질별!$E$3:$E$529,$B305,데이터_신성질별!$A$3:$A$529,"2026.03")</f>
        <v>1453004</v>
      </c>
      <c r="AD305" s="55" t="n">
        <f aca="false">SUMIFS(데이터_신성질별!$I$3:$I$529,데이터_신성질별!$E$3:$E$529,$B305,데이터_신성질별!$A$3:$A$529,"2026.04")</f>
        <v>1540946</v>
      </c>
      <c r="AE305" s="55" t="n">
        <f aca="false">SUMIFS(데이터_신성질별!$I$3:$I$529,데이터_신성질별!$E$3:$E$529,$B305,데이터_신성질별!$A$3:$A$529,"2026.05")</f>
        <v>1435617</v>
      </c>
      <c r="AF305" s="55" t="n">
        <f aca="false">SUMIFS(데이터_신성질별!$I$3:$I$529,데이터_신성질별!$E$3:$E$529,$B305,데이터_신성질별!$A$3:$A$529,"2026.06")</f>
        <v>1604151</v>
      </c>
      <c r="AG305" s="55" t="n">
        <f aca="false">SUMIFS(데이터_신성질별!$I$3:$I$529,데이터_신성질별!$E$3:$E$529,$B305,데이터_신성질별!$A$3:$A$529,"2026.07")</f>
        <v>1598015</v>
      </c>
    </row>
    <row r="306" customFormat="false" ht="15" hidden="false" customHeight="true" outlineLevel="0" collapsed="false">
      <c r="A306" s="53" t="s">
        <v>19855</v>
      </c>
      <c r="B306" s="54" t="s">
        <v>17632</v>
      </c>
      <c r="C306" s="55" t="n">
        <f aca="false">SUMIFS(데이터_신성질별!$I$3:$I$529,데이터_신성질별!$E$3:$E$529,$B306,데이터_신성질별!$A$3:$A$529,"2024.01")</f>
        <v>342160</v>
      </c>
      <c r="D306" s="55" t="n">
        <f aca="false">SUMIFS(데이터_신성질별!$I$3:$I$529,데이터_신성질별!$E$3:$E$529,$B306,데이터_신성질별!$A$3:$A$529,"2024.02")</f>
        <v>286614</v>
      </c>
      <c r="E306" s="55" t="n">
        <f aca="false">SUMIFS(데이터_신성질별!$I$3:$I$529,데이터_신성질별!$E$3:$E$529,$B306,데이터_신성질별!$A$3:$A$529,"2024.03")</f>
        <v>348007</v>
      </c>
      <c r="F306" s="55" t="n">
        <f aca="false">SUMIFS(데이터_신성질별!$I$3:$I$529,데이터_신성질별!$E$3:$E$529,$B306,데이터_신성질별!$A$3:$A$529,"2024.04")</f>
        <v>377921</v>
      </c>
      <c r="G306" s="55" t="n">
        <f aca="false">SUMIFS(데이터_신성질별!$I$3:$I$529,데이터_신성질별!$E$3:$E$529,$B306,데이터_신성질별!$A$3:$A$529,"2024.05")</f>
        <v>373775</v>
      </c>
      <c r="H306" s="55" t="n">
        <f aca="false">SUMIFS(데이터_신성질별!$I$3:$I$529,데이터_신성질별!$E$3:$E$529,$B306,데이터_신성질별!$A$3:$A$529,"2024.06")</f>
        <v>335008</v>
      </c>
      <c r="I306" s="55" t="n">
        <f aca="false">SUMIFS(데이터_신성질별!$I$3:$I$529,데이터_신성질별!$E$3:$E$529,$B306,데이터_신성질별!$A$3:$A$529,"2024.07")</f>
        <v>362989</v>
      </c>
      <c r="J306" s="55" t="n">
        <f aca="false">SUMIFS(데이터_신성질별!$I$3:$I$529,데이터_신성질별!$E$3:$E$529,$B306,데이터_신성질별!$A$3:$A$529,"2024.08")</f>
        <v>330784</v>
      </c>
      <c r="K306" s="55" t="n">
        <f aca="false">SUMIFS(데이터_신성질별!$I$3:$I$529,데이터_신성질별!$E$3:$E$529,$B306,데이터_신성질별!$A$3:$A$529,"2024.09")</f>
        <v>316388</v>
      </c>
      <c r="L306" s="55" t="n">
        <f aca="false">SUMIFS(데이터_신성질별!$I$3:$I$529,데이터_신성질별!$E$3:$E$529,$B306,데이터_신성질별!$A$3:$A$529,"2024.10")</f>
        <v>343923</v>
      </c>
      <c r="M306" s="55" t="n">
        <f aca="false">SUMIFS(데이터_신성질별!$I$3:$I$529,데이터_신성질별!$E$3:$E$529,$B306,데이터_신성질별!$A$3:$A$529,"2024.11")</f>
        <v>320020</v>
      </c>
      <c r="N306" s="55" t="n">
        <f aca="false">SUMIFS(데이터_신성질별!$I$3:$I$529,데이터_신성질별!$E$3:$E$529,$B306,데이터_신성질별!$A$3:$A$529,"2024.12")</f>
        <v>337292</v>
      </c>
      <c r="O306" s="55" t="n">
        <f aca="false">SUMIFS(데이터_신성질별!$I$3:$I$529,데이터_신성질별!$E$3:$E$529,$B306,데이터_신성질별!$A$3:$A$529,"2025.01")</f>
        <v>300209</v>
      </c>
      <c r="P306" s="55" t="n">
        <f aca="false">SUMIFS(데이터_신성질별!$I$3:$I$529,데이터_신성질별!$E$3:$E$529,$B306,데이터_신성질별!$A$3:$A$529,"2025.02")</f>
        <v>303487</v>
      </c>
      <c r="Q306" s="55" t="n">
        <f aca="false">SUMIFS(데이터_신성질별!$I$3:$I$529,데이터_신성질별!$E$3:$E$529,$B306,데이터_신성질별!$A$3:$A$529,"2025.03")</f>
        <v>339642</v>
      </c>
      <c r="R306" s="55" t="n">
        <f aca="false">SUMIFS(데이터_신성질별!$I$3:$I$529,데이터_신성질별!$E$3:$E$529,$B306,데이터_신성질별!$A$3:$A$529,"2025.04")</f>
        <v>368082</v>
      </c>
      <c r="S306" s="55" t="n">
        <f aca="false">SUMIFS(데이터_신성질별!$I$3:$I$529,데이터_신성질별!$E$3:$E$529,$B306,데이터_신성질별!$A$3:$A$529,"2025.05")</f>
        <v>333519</v>
      </c>
      <c r="T306" s="55" t="n">
        <f aca="false">SUMIFS(데이터_신성질별!$I$3:$I$529,데이터_신성질별!$E$3:$E$529,$B306,데이터_신성질별!$A$3:$A$529,"2025.06")</f>
        <v>321922</v>
      </c>
      <c r="U306" s="55" t="n">
        <f aca="false">SUMIFS(데이터_신성질별!$I$3:$I$529,데이터_신성질별!$E$3:$E$529,$B306,데이터_신성질별!$A$3:$A$529,"2025.07")</f>
        <v>333185</v>
      </c>
      <c r="V306" s="55" t="n">
        <f aca="false">SUMIFS(데이터_신성질별!$I$3:$I$529,데이터_신성질별!$E$3:$E$529,$B306,데이터_신성질별!$A$3:$A$529,"2025.08")</f>
        <v>284749</v>
      </c>
      <c r="W306" s="55" t="n">
        <f aca="false">SUMIFS(데이터_신성질별!$I$3:$I$529,데이터_신성질별!$E$3:$E$529,$B306,데이터_신성질별!$A$3:$A$529,"2025.09")</f>
        <v>333526</v>
      </c>
      <c r="X306" s="55" t="n">
        <f aca="false">SUMIFS(데이터_신성질별!$I$3:$I$529,데이터_신성질별!$E$3:$E$529,$B306,데이터_신성질별!$A$3:$A$529,"2025.10")</f>
        <v>289833</v>
      </c>
      <c r="Y306" s="55" t="n">
        <f aca="false">SUMIFS(데이터_신성질별!$I$3:$I$529,데이터_신성질별!$E$3:$E$529,$B306,데이터_신성질별!$A$3:$A$529,"2025.11")</f>
        <v>300670</v>
      </c>
      <c r="Z306" s="55" t="n">
        <f aca="false">SUMIFS(데이터_신성질별!$I$3:$I$529,데이터_신성질별!$E$3:$E$529,$B306,데이터_신성질별!$A$3:$A$529,"2025.12")</f>
        <v>341485</v>
      </c>
      <c r="AA306" s="55" t="n">
        <f aca="false">SUMIFS(데이터_신성질별!$I$3:$I$529,데이터_신성질별!$E$3:$E$529,$B306,데이터_신성질별!$A$3:$A$529,"2026.01")</f>
        <v>301609</v>
      </c>
      <c r="AB306" s="55" t="n">
        <f aca="false">SUMIFS(데이터_신성질별!$I$3:$I$529,데이터_신성질별!$E$3:$E$529,$B306,데이터_신성질별!$A$3:$A$529,"2026.02")</f>
        <v>261341</v>
      </c>
      <c r="AC306" s="55" t="n">
        <f aca="false">SUMIFS(데이터_신성질별!$I$3:$I$529,데이터_신성질별!$E$3:$E$529,$B306,데이터_신성질별!$A$3:$A$529,"2026.03")</f>
        <v>321159</v>
      </c>
      <c r="AD306" s="55" t="n">
        <f aca="false">SUMIFS(데이터_신성질별!$I$3:$I$529,데이터_신성질별!$E$3:$E$529,$B306,데이터_신성질별!$A$3:$A$529,"2026.04")</f>
        <v>356733</v>
      </c>
      <c r="AE306" s="55" t="n">
        <f aca="false">SUMIFS(데이터_신성질별!$I$3:$I$529,데이터_신성질별!$E$3:$E$529,$B306,데이터_신성질별!$A$3:$A$529,"2026.05")</f>
        <v>326392</v>
      </c>
      <c r="AF306" s="55" t="n">
        <f aca="false">SUMIFS(데이터_신성질별!$I$3:$I$529,데이터_신성질별!$E$3:$E$529,$B306,데이터_신성질별!$A$3:$A$529,"2026.06")</f>
        <v>370660</v>
      </c>
      <c r="AG306" s="55" t="n">
        <f aca="false">SUMIFS(데이터_신성질별!$I$3:$I$529,데이터_신성질별!$E$3:$E$529,$B306,데이터_신성질별!$A$3:$A$529,"2026.07")</f>
        <v>332238</v>
      </c>
    </row>
    <row r="307" customFormat="false" ht="15" hidden="false" customHeight="true" outlineLevel="0" collapsed="false">
      <c r="A307" s="53" t="s">
        <v>19856</v>
      </c>
      <c r="B307" s="54" t="s">
        <v>17637</v>
      </c>
      <c r="C307" s="55" t="n">
        <f aca="false">SUMIFS(데이터_신성질별!$I$3:$I$529,데이터_신성질별!$E$3:$E$529,$B307,데이터_신성질별!$A$3:$A$529,"2024.01")</f>
        <v>18384560</v>
      </c>
      <c r="D307" s="55" t="n">
        <f aca="false">SUMIFS(데이터_신성질별!$I$3:$I$529,데이터_신성질별!$E$3:$E$529,$B307,데이터_신성질별!$A$3:$A$529,"2024.02")</f>
        <v>16032582</v>
      </c>
      <c r="E307" s="55" t="n">
        <f aca="false">SUMIFS(데이터_신성질별!$I$3:$I$529,데이터_신성질별!$E$3:$E$529,$B307,데이터_신성질별!$A$3:$A$529,"2024.03")</f>
        <v>15441846</v>
      </c>
      <c r="F307" s="55" t="n">
        <f aca="false">SUMIFS(데이터_신성질별!$I$3:$I$529,데이터_신성질별!$E$3:$E$529,$B307,데이터_신성질별!$A$3:$A$529,"2024.04")</f>
        <v>17460560</v>
      </c>
      <c r="G307" s="55" t="n">
        <f aca="false">SUMIFS(데이터_신성질별!$I$3:$I$529,데이터_신성질별!$E$3:$E$529,$B307,데이터_신성질별!$A$3:$A$529,"2024.05")</f>
        <v>16598610</v>
      </c>
      <c r="H307" s="55" t="n">
        <f aca="false">SUMIFS(데이터_신성질별!$I$3:$I$529,데이터_신성질별!$E$3:$E$529,$B307,데이터_신성질별!$A$3:$A$529,"2024.06")</f>
        <v>14584424</v>
      </c>
      <c r="I307" s="55" t="n">
        <f aca="false">SUMIFS(데이터_신성질별!$I$3:$I$529,데이터_신성질별!$E$3:$E$529,$B307,데이터_신성질별!$A$3:$A$529,"2024.07")</f>
        <v>15681029</v>
      </c>
      <c r="J307" s="55" t="n">
        <f aca="false">SUMIFS(데이터_신성질별!$I$3:$I$529,데이터_신성질별!$E$3:$E$529,$B307,데이터_신성질별!$A$3:$A$529,"2024.08")</f>
        <v>17316937</v>
      </c>
      <c r="K307" s="55" t="n">
        <f aca="false">SUMIFS(데이터_신성질별!$I$3:$I$529,데이터_신성질별!$E$3:$E$529,$B307,데이터_신성질별!$A$3:$A$529,"2024.09")</f>
        <v>15121587</v>
      </c>
      <c r="L307" s="55" t="n">
        <f aca="false">SUMIFS(데이터_신성질별!$I$3:$I$529,데이터_신성질별!$E$3:$E$529,$B307,데이터_신성질별!$A$3:$A$529,"2024.10")</f>
        <v>15744285</v>
      </c>
      <c r="M307" s="55" t="n">
        <f aca="false">SUMIFS(데이터_신성질별!$I$3:$I$529,데이터_신성질별!$E$3:$E$529,$B307,데이터_신성질별!$A$3:$A$529,"2024.11")</f>
        <v>14803870</v>
      </c>
      <c r="N307" s="55" t="n">
        <f aca="false">SUMIFS(데이터_신성질별!$I$3:$I$529,데이터_신성질별!$E$3:$E$529,$B307,데이터_신성질별!$A$3:$A$529,"2024.12")</f>
        <v>15225594</v>
      </c>
      <c r="O307" s="55" t="n">
        <f aca="false">SUMIFS(데이터_신성질별!$I$3:$I$529,데이터_신성질별!$E$3:$E$529,$B307,데이터_신성질별!$A$3:$A$529,"2025.01")</f>
        <v>16767335</v>
      </c>
      <c r="P307" s="55" t="n">
        <f aca="false">SUMIFS(데이터_신성질별!$I$3:$I$529,데이터_신성질별!$E$3:$E$529,$B307,데이터_신성질별!$A$3:$A$529,"2025.02")</f>
        <v>14145782</v>
      </c>
      <c r="Q307" s="55" t="n">
        <f aca="false">SUMIFS(데이터_신성질별!$I$3:$I$529,데이터_신성질별!$E$3:$E$529,$B307,데이터_신성질별!$A$3:$A$529,"2025.03")</f>
        <v>14959089</v>
      </c>
      <c r="R307" s="55" t="n">
        <f aca="false">SUMIFS(데이터_신성질별!$I$3:$I$529,데이터_신성질별!$E$3:$E$529,$B307,데이터_신성질별!$A$3:$A$529,"2025.04")</f>
        <v>14637793</v>
      </c>
      <c r="S307" s="55" t="n">
        <f aca="false">SUMIFS(데이터_신성질별!$I$3:$I$529,데이터_신성질별!$E$3:$E$529,$B307,데이터_신성질별!$A$3:$A$529,"2025.05")</f>
        <v>14166473</v>
      </c>
      <c r="T307" s="55" t="n">
        <f aca="false">SUMIFS(데이터_신성질별!$I$3:$I$529,데이터_신성질별!$E$3:$E$529,$B307,데이터_신성질별!$A$3:$A$529,"2025.06")</f>
        <v>13157655</v>
      </c>
      <c r="U307" s="55" t="n">
        <f aca="false">SUMIFS(데이터_신성질별!$I$3:$I$529,데이터_신성질별!$E$3:$E$529,$B307,데이터_신성질별!$A$3:$A$529,"2025.07")</f>
        <v>14421581</v>
      </c>
      <c r="V307" s="55" t="n">
        <f aca="false">SUMIFS(데이터_신성질별!$I$3:$I$529,데이터_신성질별!$E$3:$E$529,$B307,데이터_신성질별!$A$3:$A$529,"2025.08")</f>
        <v>15305787</v>
      </c>
      <c r="W307" s="55" t="n">
        <f aca="false">SUMIFS(데이터_신성질별!$I$3:$I$529,데이터_신성질별!$E$3:$E$529,$B307,데이터_신성질별!$A$3:$A$529,"2025.09")</f>
        <v>14854212</v>
      </c>
      <c r="X307" s="55" t="n">
        <f aca="false">SUMIFS(데이터_신성질별!$I$3:$I$529,데이터_신성질별!$E$3:$E$529,$B307,데이터_신성질별!$A$3:$A$529,"2025.10")</f>
        <v>16695924</v>
      </c>
      <c r="Y307" s="55" t="n">
        <f aca="false">SUMIFS(데이터_신성질별!$I$3:$I$529,데이터_신성질별!$E$3:$E$529,$B307,데이터_신성질별!$A$3:$A$529,"2025.11")</f>
        <v>14286613</v>
      </c>
      <c r="Z307" s="55" t="n">
        <f aca="false">SUMIFS(데이터_신성질별!$I$3:$I$529,데이터_신성질별!$E$3:$E$529,$B307,데이터_신성질별!$A$3:$A$529,"2025.12")</f>
        <v>14939982</v>
      </c>
      <c r="AA307" s="55" t="n">
        <f aca="false">SUMIFS(데이터_신성질별!$I$3:$I$529,데이터_신성질별!$E$3:$E$529,$B307,데이터_신성질별!$A$3:$A$529,"2026.01")</f>
        <v>16820845</v>
      </c>
      <c r="AB307" s="55" t="n">
        <f aca="false">SUMIFS(데이터_신성질별!$I$3:$I$529,데이터_신성질별!$E$3:$E$529,$B307,데이터_신성질별!$A$3:$A$529,"2026.02")</f>
        <v>14789136</v>
      </c>
      <c r="AC307" s="55" t="n">
        <f aca="false">SUMIFS(데이터_신성질별!$I$3:$I$529,데이터_신성질별!$E$3:$E$529,$B307,데이터_신성질별!$A$3:$A$529,"2026.03")</f>
        <v>15389709</v>
      </c>
      <c r="AD307" s="55" t="n">
        <f aca="false">SUMIFS(데이터_신성질별!$I$3:$I$529,데이터_신성질별!$E$3:$E$529,$B307,데이터_신성질별!$A$3:$A$529,"2026.04")</f>
        <v>16368375</v>
      </c>
      <c r="AE307" s="55" t="n">
        <f aca="false">SUMIFS(데이터_신성질별!$I$3:$I$529,데이터_신성질별!$E$3:$E$529,$B307,데이터_신성질별!$A$3:$A$529,"2026.05")</f>
        <v>17663319</v>
      </c>
      <c r="AF307" s="55" t="n">
        <f aca="false">SUMIFS(데이터_신성질별!$I$3:$I$529,데이터_신성질별!$E$3:$E$529,$B307,데이터_신성질별!$A$3:$A$529,"2026.06")</f>
        <v>17376435</v>
      </c>
      <c r="AG307" s="55" t="n">
        <f aca="false">SUMIFS(데이터_신성질별!$I$3:$I$529,데이터_신성질별!$E$3:$E$529,$B307,데이터_신성질별!$A$3:$A$529,"2026.07")</f>
        <v>20029876</v>
      </c>
    </row>
    <row r="308" customFormat="false" ht="15" hidden="false" customHeight="true" outlineLevel="0" collapsed="false">
      <c r="A308" s="53" t="s">
        <v>408</v>
      </c>
      <c r="B308" s="54" t="s">
        <v>17642</v>
      </c>
      <c r="C308" s="55" t="n">
        <f aca="false">SUMIFS(데이터_신성질별!$I$3:$I$529,데이터_신성질별!$E$3:$E$529,$B308,데이터_신성질별!$A$3:$A$529,"2024.01")</f>
        <v>2827181</v>
      </c>
      <c r="D308" s="55" t="n">
        <f aca="false">SUMIFS(데이터_신성질별!$I$3:$I$529,데이터_신성질별!$E$3:$E$529,$B308,데이터_신성질별!$A$3:$A$529,"2024.02")</f>
        <v>2696453</v>
      </c>
      <c r="E308" s="55" t="n">
        <f aca="false">SUMIFS(데이터_신성질별!$I$3:$I$529,데이터_신성질별!$E$3:$E$529,$B308,데이터_신성질별!$A$3:$A$529,"2024.03")</f>
        <v>3078556</v>
      </c>
      <c r="F308" s="55" t="n">
        <f aca="false">SUMIFS(데이터_신성질별!$I$3:$I$529,데이터_신성질별!$E$3:$E$529,$B308,데이터_신성질별!$A$3:$A$529,"2024.04")</f>
        <v>3142687</v>
      </c>
      <c r="G308" s="55" t="n">
        <f aca="false">SUMIFS(데이터_신성질별!$I$3:$I$529,데이터_신성질별!$E$3:$E$529,$B308,데이터_신성질별!$A$3:$A$529,"2024.05")</f>
        <v>3103368</v>
      </c>
      <c r="H308" s="55" t="n">
        <f aca="false">SUMIFS(데이터_신성질별!$I$3:$I$529,데이터_신성질별!$E$3:$E$529,$B308,데이터_신성질별!$A$3:$A$529,"2024.06")</f>
        <v>2814851</v>
      </c>
      <c r="I308" s="55" t="n">
        <f aca="false">SUMIFS(데이터_신성질별!$I$3:$I$529,데이터_신성질별!$E$3:$E$529,$B308,데이터_신성질별!$A$3:$A$529,"2024.07")</f>
        <v>3004132</v>
      </c>
      <c r="J308" s="55" t="n">
        <f aca="false">SUMIFS(데이터_신성질별!$I$3:$I$529,데이터_신성질별!$E$3:$E$529,$B308,데이터_신성질별!$A$3:$A$529,"2024.08")</f>
        <v>2945471</v>
      </c>
      <c r="K308" s="55" t="n">
        <f aca="false">SUMIFS(데이터_신성질별!$I$3:$I$529,데이터_신성질별!$E$3:$E$529,$B308,데이터_신성질별!$A$3:$A$529,"2024.09")</f>
        <v>2666754</v>
      </c>
      <c r="L308" s="55" t="n">
        <f aca="false">SUMIFS(데이터_신성질별!$I$3:$I$529,데이터_신성질별!$E$3:$E$529,$B308,데이터_신성질별!$A$3:$A$529,"2024.10")</f>
        <v>2820168</v>
      </c>
      <c r="M308" s="55" t="n">
        <f aca="false">SUMIFS(데이터_신성질별!$I$3:$I$529,데이터_신성질별!$E$3:$E$529,$B308,데이터_신성질별!$A$3:$A$529,"2024.11")</f>
        <v>2671396</v>
      </c>
      <c r="N308" s="55" t="n">
        <f aca="false">SUMIFS(데이터_신성질별!$I$3:$I$529,데이터_신성질별!$E$3:$E$529,$B308,데이터_신성질별!$A$3:$A$529,"2024.12")</f>
        <v>2752896</v>
      </c>
      <c r="O308" s="55" t="n">
        <f aca="false">SUMIFS(데이터_신성질별!$I$3:$I$529,데이터_신성질별!$E$3:$E$529,$B308,데이터_신성질별!$A$3:$A$529,"2025.01")</f>
        <v>2485479</v>
      </c>
      <c r="P308" s="55" t="n">
        <f aca="false">SUMIFS(데이터_신성질별!$I$3:$I$529,데이터_신성질별!$E$3:$E$529,$B308,데이터_신성질별!$A$3:$A$529,"2025.02")</f>
        <v>2436460</v>
      </c>
      <c r="Q308" s="55" t="n">
        <f aca="false">SUMIFS(데이터_신성질별!$I$3:$I$529,데이터_신성질별!$E$3:$E$529,$B308,데이터_신성질별!$A$3:$A$529,"2025.03")</f>
        <v>2658935</v>
      </c>
      <c r="R308" s="55" t="n">
        <f aca="false">SUMIFS(데이터_신성질별!$I$3:$I$529,데이터_신성질별!$E$3:$E$529,$B308,데이터_신성질별!$A$3:$A$529,"2025.04")</f>
        <v>3025259</v>
      </c>
      <c r="S308" s="55" t="n">
        <f aca="false">SUMIFS(데이터_신성질별!$I$3:$I$529,데이터_신성질별!$E$3:$E$529,$B308,데이터_신성질별!$A$3:$A$529,"2025.05")</f>
        <v>2790077</v>
      </c>
      <c r="T308" s="55" t="n">
        <f aca="false">SUMIFS(데이터_신성질별!$I$3:$I$529,데이터_신성질별!$E$3:$E$529,$B308,데이터_신성질별!$A$3:$A$529,"2025.06")</f>
        <v>2800660</v>
      </c>
      <c r="U308" s="55" t="n">
        <f aca="false">SUMIFS(데이터_신성질별!$I$3:$I$529,데이터_신성질별!$E$3:$E$529,$B308,데이터_신성질별!$A$3:$A$529,"2025.07")</f>
        <v>3100812</v>
      </c>
      <c r="V308" s="55" t="n">
        <f aca="false">SUMIFS(데이터_신성질별!$I$3:$I$529,데이터_신성질별!$E$3:$E$529,$B308,데이터_신성질별!$A$3:$A$529,"2025.08")</f>
        <v>2701763</v>
      </c>
      <c r="W308" s="55" t="n">
        <f aca="false">SUMIFS(데이터_신성질별!$I$3:$I$529,데이터_신성질별!$E$3:$E$529,$B308,데이터_신성질별!$A$3:$A$529,"2025.09")</f>
        <v>3061985</v>
      </c>
      <c r="X308" s="55" t="n">
        <f aca="false">SUMIFS(데이터_신성질별!$I$3:$I$529,데이터_신성질별!$E$3:$E$529,$B308,데이터_신성질별!$A$3:$A$529,"2025.10")</f>
        <v>2596135</v>
      </c>
      <c r="Y308" s="55" t="n">
        <f aca="false">SUMIFS(데이터_신성질별!$I$3:$I$529,데이터_신성질별!$E$3:$E$529,$B308,데이터_신성질별!$A$3:$A$529,"2025.11")</f>
        <v>2633563</v>
      </c>
      <c r="Z308" s="55" t="n">
        <f aca="false">SUMIFS(데이터_신성질별!$I$3:$I$529,데이터_신성질별!$E$3:$E$529,$B308,데이터_신성질별!$A$3:$A$529,"2025.12")</f>
        <v>3019226</v>
      </c>
      <c r="AA308" s="55" t="n">
        <f aca="false">SUMIFS(데이터_신성질별!$I$3:$I$529,데이터_신성질별!$E$3:$E$529,$B308,데이터_신성질별!$A$3:$A$529,"2026.01")</f>
        <v>3029717</v>
      </c>
      <c r="AB308" s="55" t="n">
        <f aca="false">SUMIFS(데이터_신성질별!$I$3:$I$529,데이터_신성질별!$E$3:$E$529,$B308,데이터_신성질별!$A$3:$A$529,"2026.02")</f>
        <v>2689536</v>
      </c>
      <c r="AC308" s="55" t="n">
        <f aca="false">SUMIFS(데이터_신성질별!$I$3:$I$529,데이터_신성질별!$E$3:$E$529,$B308,데이터_신성질별!$A$3:$A$529,"2026.03")</f>
        <v>3428091</v>
      </c>
      <c r="AD308" s="55" t="n">
        <f aca="false">SUMIFS(데이터_신성질별!$I$3:$I$529,데이터_신성질별!$E$3:$E$529,$B308,데이터_신성질별!$A$3:$A$529,"2026.04")</f>
        <v>3476607</v>
      </c>
      <c r="AE308" s="55" t="n">
        <f aca="false">SUMIFS(데이터_신성질별!$I$3:$I$529,데이터_신성질별!$E$3:$E$529,$B308,데이터_신성질별!$A$3:$A$529,"2026.05")</f>
        <v>3280748</v>
      </c>
      <c r="AF308" s="55" t="n">
        <f aca="false">SUMIFS(데이터_신성질별!$I$3:$I$529,데이터_신성질별!$E$3:$E$529,$B308,데이터_신성질별!$A$3:$A$529,"2026.06")</f>
        <v>3917897</v>
      </c>
      <c r="AG308" s="55" t="n">
        <f aca="false">SUMIFS(데이터_신성질별!$I$3:$I$529,데이터_신성질별!$E$3:$E$529,$B308,데이터_신성질별!$A$3:$A$529,"2026.07")</f>
        <v>3724513</v>
      </c>
    </row>
    <row r="309" customFormat="false" ht="15" hidden="false" customHeight="true" outlineLevel="0" collapsed="false">
      <c r="A309" s="53" t="s">
        <v>415</v>
      </c>
      <c r="B309" s="54" t="s">
        <v>17647</v>
      </c>
      <c r="C309" s="55" t="n">
        <f aca="false">SUMIFS(데이터_신성질별!$I$3:$I$529,데이터_신성질별!$E$3:$E$529,$B309,데이터_신성질별!$A$3:$A$529,"2024.01")</f>
        <v>4943661</v>
      </c>
      <c r="D309" s="55" t="n">
        <f aca="false">SUMIFS(데이터_신성질별!$I$3:$I$529,데이터_신성질별!$E$3:$E$529,$B309,데이터_신성질별!$A$3:$A$529,"2024.02")</f>
        <v>4366251</v>
      </c>
      <c r="E309" s="55" t="n">
        <f aca="false">SUMIFS(데이터_신성질별!$I$3:$I$529,데이터_신성질별!$E$3:$E$529,$B309,데이터_신성질별!$A$3:$A$529,"2024.03")</f>
        <v>5447574</v>
      </c>
      <c r="F309" s="55" t="n">
        <f aca="false">SUMIFS(데이터_신성질별!$I$3:$I$529,데이터_신성질별!$E$3:$E$529,$B309,데이터_신성질별!$A$3:$A$529,"2024.04")</f>
        <v>5093342</v>
      </c>
      <c r="G309" s="55" t="n">
        <f aca="false">SUMIFS(데이터_신성질별!$I$3:$I$529,데이터_신성질별!$E$3:$E$529,$B309,데이터_신성질별!$A$3:$A$529,"2024.05")</f>
        <v>5212246</v>
      </c>
      <c r="H309" s="55" t="n">
        <f aca="false">SUMIFS(데이터_신성질별!$I$3:$I$529,데이터_신성질별!$E$3:$E$529,$B309,데이터_신성질별!$A$3:$A$529,"2024.06")</f>
        <v>4615581</v>
      </c>
      <c r="I309" s="55" t="n">
        <f aca="false">SUMIFS(데이터_신성질별!$I$3:$I$529,데이터_신성질별!$E$3:$E$529,$B309,데이터_신성질별!$A$3:$A$529,"2024.07")</f>
        <v>5017786</v>
      </c>
      <c r="J309" s="55" t="n">
        <f aca="false">SUMIFS(데이터_신성질별!$I$3:$I$529,데이터_신성질별!$E$3:$E$529,$B309,데이터_신성질별!$A$3:$A$529,"2024.08")</f>
        <v>5077073</v>
      </c>
      <c r="K309" s="55" t="n">
        <f aca="false">SUMIFS(데이터_신성질별!$I$3:$I$529,데이터_신성질별!$E$3:$E$529,$B309,데이터_신성질별!$A$3:$A$529,"2024.09")</f>
        <v>4762334</v>
      </c>
      <c r="L309" s="55" t="n">
        <f aca="false">SUMIFS(데이터_신성질별!$I$3:$I$529,데이터_신성질별!$E$3:$E$529,$B309,데이터_신성질별!$A$3:$A$529,"2024.10")</f>
        <v>4677407</v>
      </c>
      <c r="M309" s="55" t="n">
        <f aca="false">SUMIFS(데이터_신성질별!$I$3:$I$529,데이터_신성질별!$E$3:$E$529,$B309,데이터_신성질별!$A$3:$A$529,"2024.11")</f>
        <v>4281821</v>
      </c>
      <c r="N309" s="55" t="n">
        <f aca="false">SUMIFS(데이터_신성질별!$I$3:$I$529,데이터_신성질별!$E$3:$E$529,$B309,데이터_신성질별!$A$3:$A$529,"2024.12")</f>
        <v>4607278</v>
      </c>
      <c r="O309" s="55" t="n">
        <f aca="false">SUMIFS(데이터_신성질별!$I$3:$I$529,데이터_신성질별!$E$3:$E$529,$B309,데이터_신성질별!$A$3:$A$529,"2025.01")</f>
        <v>4343104</v>
      </c>
      <c r="P309" s="55" t="n">
        <f aca="false">SUMIFS(데이터_신성질별!$I$3:$I$529,데이터_신성질별!$E$3:$E$529,$B309,데이터_신성질별!$A$3:$A$529,"2025.02")</f>
        <v>4787092</v>
      </c>
      <c r="Q309" s="55" t="n">
        <f aca="false">SUMIFS(데이터_신성질별!$I$3:$I$529,데이터_신성질별!$E$3:$E$529,$B309,데이터_신성질별!$A$3:$A$529,"2025.03")</f>
        <v>4519799</v>
      </c>
      <c r="R309" s="55" t="n">
        <f aca="false">SUMIFS(데이터_신성질별!$I$3:$I$529,데이터_신성질별!$E$3:$E$529,$B309,데이터_신성질별!$A$3:$A$529,"2025.04")</f>
        <v>4951842</v>
      </c>
      <c r="S309" s="55" t="n">
        <f aca="false">SUMIFS(데이터_신성질별!$I$3:$I$529,데이터_신성질별!$E$3:$E$529,$B309,데이터_신성질별!$A$3:$A$529,"2025.05")</f>
        <v>4459938</v>
      </c>
      <c r="T309" s="55" t="n">
        <f aca="false">SUMIFS(데이터_신성질별!$I$3:$I$529,데이터_신성질별!$E$3:$E$529,$B309,데이터_신성질별!$A$3:$A$529,"2025.06")</f>
        <v>4641551</v>
      </c>
      <c r="U309" s="55" t="n">
        <f aca="false">SUMIFS(데이터_신성질별!$I$3:$I$529,데이터_신성질별!$E$3:$E$529,$B309,데이터_신성질별!$A$3:$A$529,"2025.07")</f>
        <v>5047401</v>
      </c>
      <c r="V309" s="55" t="n">
        <f aca="false">SUMIFS(데이터_신성질별!$I$3:$I$529,데이터_신성질별!$E$3:$E$529,$B309,데이터_신성질별!$A$3:$A$529,"2025.08")</f>
        <v>4444861</v>
      </c>
      <c r="W309" s="55" t="n">
        <f aca="false">SUMIFS(데이터_신성질별!$I$3:$I$529,데이터_신성질별!$E$3:$E$529,$B309,데이터_신성질별!$A$3:$A$529,"2025.09")</f>
        <v>5277163</v>
      </c>
      <c r="X309" s="55" t="n">
        <f aca="false">SUMIFS(데이터_신성질별!$I$3:$I$529,데이터_신성질별!$E$3:$E$529,$B309,데이터_신성질별!$A$3:$A$529,"2025.10")</f>
        <v>4535468</v>
      </c>
      <c r="Y309" s="55" t="n">
        <f aca="false">SUMIFS(데이터_신성질별!$I$3:$I$529,데이터_신성질별!$E$3:$E$529,$B309,데이터_신성질별!$A$3:$A$529,"2025.11")</f>
        <v>4522912</v>
      </c>
      <c r="Z309" s="55" t="n">
        <f aca="false">SUMIFS(데이터_신성질별!$I$3:$I$529,데이터_신성질별!$E$3:$E$529,$B309,데이터_신성질별!$A$3:$A$529,"2025.12")</f>
        <v>5168070</v>
      </c>
      <c r="AA309" s="55" t="n">
        <f aca="false">SUMIFS(데이터_신성질별!$I$3:$I$529,데이터_신성질별!$E$3:$E$529,$B309,데이터_신성질별!$A$3:$A$529,"2026.01")</f>
        <v>4755931</v>
      </c>
      <c r="AB309" s="55" t="n">
        <f aca="false">SUMIFS(데이터_신성질별!$I$3:$I$529,데이터_신성질별!$E$3:$E$529,$B309,데이터_신성질별!$A$3:$A$529,"2026.02")</f>
        <v>4351556</v>
      </c>
      <c r="AC309" s="55" t="n">
        <f aca="false">SUMIFS(데이터_신성질별!$I$3:$I$529,데이터_신성질별!$E$3:$E$529,$B309,데이터_신성질별!$A$3:$A$529,"2026.03")</f>
        <v>5806180</v>
      </c>
      <c r="AD309" s="55" t="n">
        <f aca="false">SUMIFS(데이터_신성질별!$I$3:$I$529,데이터_신성질별!$E$3:$E$529,$B309,데이터_신성질별!$A$3:$A$529,"2026.04")</f>
        <v>6005010</v>
      </c>
      <c r="AE309" s="55" t="n">
        <f aca="false">SUMIFS(데이터_신성질별!$I$3:$I$529,데이터_신성질별!$E$3:$E$529,$B309,데이터_신성질별!$A$3:$A$529,"2026.05")</f>
        <v>5709233</v>
      </c>
      <c r="AF309" s="55" t="n">
        <f aca="false">SUMIFS(데이터_신성질별!$I$3:$I$529,데이터_신성질별!$E$3:$E$529,$B309,데이터_신성질별!$A$3:$A$529,"2026.06")</f>
        <v>5859931</v>
      </c>
      <c r="AG309" s="55" t="n">
        <f aca="false">SUMIFS(데이터_신성질별!$I$3:$I$529,데이터_신성질별!$E$3:$E$529,$B309,데이터_신성질별!$A$3:$A$529,"2026.07")</f>
        <v>5813340</v>
      </c>
    </row>
    <row r="310" customFormat="false" ht="15" hidden="false" customHeight="true" outlineLevel="0" collapsed="false">
      <c r="A310" s="53" t="s">
        <v>422</v>
      </c>
      <c r="B310" s="54" t="s">
        <v>17652</v>
      </c>
      <c r="C310" s="55" t="n">
        <f aca="false">SUMIFS(데이터_신성질별!$I$3:$I$529,데이터_신성질별!$E$3:$E$529,$B310,데이터_신성질별!$A$3:$A$529,"2024.01")</f>
        <v>6963</v>
      </c>
      <c r="D310" s="55" t="n">
        <f aca="false">SUMIFS(데이터_신성질별!$I$3:$I$529,데이터_신성질별!$E$3:$E$529,$B310,데이터_신성질별!$A$3:$A$529,"2024.02")</f>
        <v>6031</v>
      </c>
      <c r="E310" s="55" t="n">
        <f aca="false">SUMIFS(데이터_신성질별!$I$3:$I$529,데이터_신성질별!$E$3:$E$529,$B310,데이터_신성질별!$A$3:$A$529,"2024.03")</f>
        <v>5476</v>
      </c>
      <c r="F310" s="55" t="n">
        <f aca="false">SUMIFS(데이터_신성질별!$I$3:$I$529,데이터_신성질별!$E$3:$E$529,$B310,데이터_신성질별!$A$3:$A$529,"2024.04")</f>
        <v>7156</v>
      </c>
      <c r="G310" s="55" t="n">
        <f aca="false">SUMIFS(데이터_신성질별!$I$3:$I$529,데이터_신성질별!$E$3:$E$529,$B310,데이터_신성질별!$A$3:$A$529,"2024.05")</f>
        <v>6368</v>
      </c>
      <c r="H310" s="55" t="n">
        <f aca="false">SUMIFS(데이터_신성질별!$I$3:$I$529,데이터_신성질별!$E$3:$E$529,$B310,데이터_신성질별!$A$3:$A$529,"2024.06")</f>
        <v>6664</v>
      </c>
      <c r="I310" s="55" t="n">
        <f aca="false">SUMIFS(데이터_신성질별!$I$3:$I$529,데이터_신성질별!$E$3:$E$529,$B310,데이터_신성질별!$A$3:$A$529,"2024.07")</f>
        <v>8101</v>
      </c>
      <c r="J310" s="55" t="n">
        <f aca="false">SUMIFS(데이터_신성질별!$I$3:$I$529,데이터_신성질별!$E$3:$E$529,$B310,데이터_신성질별!$A$3:$A$529,"2024.08")</f>
        <v>7564</v>
      </c>
      <c r="K310" s="55" t="n">
        <f aca="false">SUMIFS(데이터_신성질별!$I$3:$I$529,데이터_신성질별!$E$3:$E$529,$B310,데이터_신성질별!$A$3:$A$529,"2024.09")</f>
        <v>6027</v>
      </c>
      <c r="L310" s="55" t="n">
        <f aca="false">SUMIFS(데이터_신성질별!$I$3:$I$529,데이터_신성질별!$E$3:$E$529,$B310,데이터_신성질별!$A$3:$A$529,"2024.10")</f>
        <v>6794</v>
      </c>
      <c r="M310" s="55" t="n">
        <f aca="false">SUMIFS(데이터_신성질별!$I$3:$I$529,데이터_신성질별!$E$3:$E$529,$B310,데이터_신성질별!$A$3:$A$529,"2024.11")</f>
        <v>5657</v>
      </c>
      <c r="N310" s="55" t="n">
        <f aca="false">SUMIFS(데이터_신성질별!$I$3:$I$529,데이터_신성질별!$E$3:$E$529,$B310,데이터_신성질별!$A$3:$A$529,"2024.12")</f>
        <v>7414</v>
      </c>
      <c r="O310" s="55" t="n">
        <f aca="false">SUMIFS(데이터_신성질별!$I$3:$I$529,데이터_신성질별!$E$3:$E$529,$B310,데이터_신성질별!$A$3:$A$529,"2025.01")</f>
        <v>7176</v>
      </c>
      <c r="P310" s="55" t="n">
        <f aca="false">SUMIFS(데이터_신성질별!$I$3:$I$529,데이터_신성질별!$E$3:$E$529,$B310,데이터_신성질별!$A$3:$A$529,"2025.02")</f>
        <v>7505</v>
      </c>
      <c r="Q310" s="55" t="n">
        <f aca="false">SUMIFS(데이터_신성질별!$I$3:$I$529,데이터_신성질별!$E$3:$E$529,$B310,데이터_신성질별!$A$3:$A$529,"2025.03")</f>
        <v>5816</v>
      </c>
      <c r="R310" s="55" t="n">
        <f aca="false">SUMIFS(데이터_신성질별!$I$3:$I$529,데이터_신성질별!$E$3:$E$529,$B310,데이터_신성질별!$A$3:$A$529,"2025.04")</f>
        <v>7923</v>
      </c>
      <c r="S310" s="55" t="n">
        <f aca="false">SUMIFS(데이터_신성질별!$I$3:$I$529,데이터_신성질별!$E$3:$E$529,$B310,데이터_신성질별!$A$3:$A$529,"2025.05")</f>
        <v>7134</v>
      </c>
      <c r="T310" s="55" t="n">
        <f aca="false">SUMIFS(데이터_신성질별!$I$3:$I$529,데이터_신성질별!$E$3:$E$529,$B310,데이터_신성질별!$A$3:$A$529,"2025.06")</f>
        <v>8022</v>
      </c>
      <c r="U310" s="55" t="n">
        <f aca="false">SUMIFS(데이터_신성질별!$I$3:$I$529,데이터_신성질별!$E$3:$E$529,$B310,데이터_신성질별!$A$3:$A$529,"2025.07")</f>
        <v>7284</v>
      </c>
      <c r="V310" s="55" t="n">
        <f aca="false">SUMIFS(데이터_신성질별!$I$3:$I$529,데이터_신성질별!$E$3:$E$529,$B310,데이터_신성질별!$A$3:$A$529,"2025.08")</f>
        <v>6017</v>
      </c>
      <c r="W310" s="55" t="n">
        <f aca="false">SUMIFS(데이터_신성질별!$I$3:$I$529,데이터_신성질별!$E$3:$E$529,$B310,데이터_신성질별!$A$3:$A$529,"2025.09")</f>
        <v>6899</v>
      </c>
      <c r="X310" s="55" t="n">
        <f aca="false">SUMIFS(데이터_신성질별!$I$3:$I$529,데이터_신성질별!$E$3:$E$529,$B310,데이터_신성질별!$A$3:$A$529,"2025.10")</f>
        <v>5582</v>
      </c>
      <c r="Y310" s="55" t="n">
        <f aca="false">SUMIFS(데이터_신성질별!$I$3:$I$529,데이터_신성질별!$E$3:$E$529,$B310,데이터_신성질별!$A$3:$A$529,"2025.11")</f>
        <v>5034</v>
      </c>
      <c r="Z310" s="55" t="n">
        <f aca="false">SUMIFS(데이터_신성질별!$I$3:$I$529,데이터_신성질별!$E$3:$E$529,$B310,데이터_신성질별!$A$3:$A$529,"2025.12")</f>
        <v>6541</v>
      </c>
      <c r="AA310" s="55" t="n">
        <f aca="false">SUMIFS(데이터_신성질별!$I$3:$I$529,데이터_신성질별!$E$3:$E$529,$B310,데이터_신성질별!$A$3:$A$529,"2026.01")</f>
        <v>5935</v>
      </c>
      <c r="AB310" s="55" t="n">
        <f aca="false">SUMIFS(데이터_신성질별!$I$3:$I$529,데이터_신성질별!$E$3:$E$529,$B310,데이터_신성질별!$A$3:$A$529,"2026.02")</f>
        <v>6105</v>
      </c>
      <c r="AC310" s="55" t="n">
        <f aca="false">SUMIFS(데이터_신성질별!$I$3:$I$529,데이터_신성질별!$E$3:$E$529,$B310,데이터_신성질별!$A$3:$A$529,"2026.03")</f>
        <v>5033</v>
      </c>
      <c r="AD310" s="55" t="n">
        <f aca="false">SUMIFS(데이터_신성질별!$I$3:$I$529,데이터_신성질별!$E$3:$E$529,$B310,데이터_신성질별!$A$3:$A$529,"2026.04")</f>
        <v>7280</v>
      </c>
      <c r="AE310" s="55" t="n">
        <f aca="false">SUMIFS(데이터_신성질별!$I$3:$I$529,데이터_신성질별!$E$3:$E$529,$B310,데이터_신성질별!$A$3:$A$529,"2026.05")</f>
        <v>7360</v>
      </c>
      <c r="AF310" s="55" t="n">
        <f aca="false">SUMIFS(데이터_신성질별!$I$3:$I$529,데이터_신성질별!$E$3:$E$529,$B310,데이터_신성질별!$A$3:$A$529,"2026.06")</f>
        <v>8879</v>
      </c>
      <c r="AG310" s="55" t="n">
        <f aca="false">SUMIFS(데이터_신성질별!$I$3:$I$529,데이터_신성질별!$E$3:$E$529,$B310,데이터_신성질별!$A$3:$A$529,"2026.07")</f>
        <v>6454</v>
      </c>
    </row>
    <row r="311" customFormat="false" ht="15" hidden="false" customHeight="true" outlineLevel="0" collapsed="false">
      <c r="A311" s="53" t="s">
        <v>429</v>
      </c>
      <c r="B311" s="46" t="s">
        <v>19865</v>
      </c>
      <c r="C311" s="55" t="n">
        <f aca="false">SUMIFS(데이터_신성질별!$I$3:$I$529,데이터_신성질별!$E$3:$E$529,$B311,데이터_신성질별!$A$3:$A$529,"2024.01")</f>
        <v>19032885</v>
      </c>
      <c r="D311" s="55" t="n">
        <f aca="false">SUMIFS(데이터_신성질별!$I$3:$I$529,데이터_신성질별!$E$3:$E$529,$B311,데이터_신성질별!$A$3:$A$529,"2024.02")</f>
        <v>17160810</v>
      </c>
      <c r="E311" s="55" t="n">
        <f aca="false">SUMIFS(데이터_신성질별!$I$3:$I$529,데이터_신성질별!$E$3:$E$529,$B311,데이터_신성질별!$A$3:$A$529,"2024.03")</f>
        <v>19200455</v>
      </c>
      <c r="F311" s="55" t="n">
        <f aca="false">SUMIFS(데이터_신성질별!$I$3:$I$529,데이터_신성질별!$E$3:$E$529,$B311,데이터_신성질별!$A$3:$A$529,"2024.04")</f>
        <v>19499755</v>
      </c>
      <c r="G311" s="55" t="n">
        <f aca="false">SUMIFS(데이터_신성질별!$I$3:$I$529,데이터_신성질별!$E$3:$E$529,$B311,데이터_신성질별!$A$3:$A$529,"2024.05")</f>
        <v>18956787</v>
      </c>
      <c r="H311" s="55" t="n">
        <f aca="false">SUMIFS(데이터_신성질별!$I$3:$I$529,데이터_신성질별!$E$3:$E$529,$B311,데이터_신성질별!$A$3:$A$529,"2024.06")</f>
        <v>18558651</v>
      </c>
      <c r="I311" s="55" t="n">
        <f aca="false">SUMIFS(데이터_신성질별!$I$3:$I$529,데이터_신성질별!$E$3:$E$529,$B311,데이터_신성질별!$A$3:$A$529,"2024.07")</f>
        <v>20828458</v>
      </c>
      <c r="J311" s="55" t="n">
        <f aca="false">SUMIFS(데이터_신성질별!$I$3:$I$529,데이터_신성질별!$E$3:$E$529,$B311,데이터_신성질별!$A$3:$A$529,"2024.08")</f>
        <v>19578294</v>
      </c>
      <c r="K311" s="55" t="n">
        <f aca="false">SUMIFS(데이터_신성질별!$I$3:$I$529,데이터_신성질별!$E$3:$E$529,$B311,데이터_신성질별!$A$3:$A$529,"2024.09")</f>
        <v>20712222</v>
      </c>
      <c r="L311" s="55" t="n">
        <f aca="false">SUMIFS(데이터_신성질별!$I$3:$I$529,데이터_신성질별!$E$3:$E$529,$B311,데이터_신성질별!$A$3:$A$529,"2024.10")</f>
        <v>21471330</v>
      </c>
      <c r="M311" s="55" t="n">
        <f aca="false">SUMIFS(데이터_신성질별!$I$3:$I$529,데이터_신성질별!$E$3:$E$529,$B311,데이터_신성질별!$A$3:$A$529,"2024.11")</f>
        <v>20673314</v>
      </c>
      <c r="N311" s="55" t="n">
        <f aca="false">SUMIFS(데이터_신성질별!$I$3:$I$529,데이터_신성질별!$E$3:$E$529,$B311,데이터_신성질별!$A$3:$A$529,"2024.12")</f>
        <v>23481754</v>
      </c>
      <c r="O311" s="55" t="n">
        <f aca="false">SUMIFS(데이터_신성질별!$I$3:$I$529,데이터_신성질별!$E$3:$E$529,$B311,데이터_신성질별!$A$3:$A$529,"2025.01")</f>
        <v>19117953</v>
      </c>
      <c r="P311" s="55" t="n">
        <f aca="false">SUMIFS(데이터_신성질별!$I$3:$I$529,데이터_신성질별!$E$3:$E$529,$B311,데이터_신성질별!$A$3:$A$529,"2025.02")</f>
        <v>18794820</v>
      </c>
      <c r="Q311" s="55" t="n">
        <f aca="false">SUMIFS(데이터_신성질별!$I$3:$I$529,데이터_신성질별!$E$3:$E$529,$B311,데이터_신성질별!$A$3:$A$529,"2025.03")</f>
        <v>22094767</v>
      </c>
      <c r="R311" s="55" t="n">
        <f aca="false">SUMIFS(데이터_신성질별!$I$3:$I$529,데이터_신성질별!$E$3:$E$529,$B311,데이터_신성질별!$A$3:$A$529,"2025.04")</f>
        <v>21022652</v>
      </c>
      <c r="S311" s="55" t="n">
        <f aca="false">SUMIFS(데이터_신성질별!$I$3:$I$529,데이터_신성질별!$E$3:$E$529,$B311,데이터_신성질별!$A$3:$A$529,"2025.05")</f>
        <v>19883169</v>
      </c>
      <c r="T311" s="55" t="n">
        <f aca="false">SUMIFS(데이터_신성질별!$I$3:$I$529,데이터_신성질별!$E$3:$E$529,$B311,데이터_신성질별!$A$3:$A$529,"2025.06")</f>
        <v>21217237</v>
      </c>
      <c r="U311" s="55" t="n">
        <f aca="false">SUMIFS(데이터_신성질별!$I$3:$I$529,데이터_신성질별!$E$3:$E$529,$B311,데이터_신성질별!$A$3:$A$529,"2025.07")</f>
        <v>21991488</v>
      </c>
      <c r="V311" s="55" t="n">
        <f aca="false">SUMIFS(데이터_신성질별!$I$3:$I$529,데이터_신성질별!$E$3:$E$529,$B311,데이터_신성질별!$A$3:$A$529,"2025.08")</f>
        <v>20231665</v>
      </c>
      <c r="W311" s="55" t="n">
        <f aca="false">SUMIFS(데이터_신성질별!$I$3:$I$529,데이터_신성질별!$E$3:$E$529,$B311,데이터_신성질별!$A$3:$A$529,"2025.09")</f>
        <v>23365909</v>
      </c>
      <c r="X311" s="55" t="n">
        <f aca="false">SUMIFS(데이터_신성질별!$I$3:$I$529,데이터_신성질별!$E$3:$E$529,$B311,데이터_신성질별!$A$3:$A$529,"2025.10")</f>
        <v>21017256</v>
      </c>
      <c r="Y311" s="55" t="n">
        <f aca="false">SUMIFS(데이터_신성질별!$I$3:$I$529,데이터_신성질별!$E$3:$E$529,$B311,데이터_신성질별!$A$3:$A$529,"2025.11")</f>
        <v>21345681</v>
      </c>
      <c r="Z311" s="55" t="n">
        <f aca="false">SUMIFS(데이터_신성질별!$I$3:$I$529,데이터_신성질별!$E$3:$E$529,$B311,데이터_신성질별!$A$3:$A$529,"2025.12")</f>
        <v>24717113</v>
      </c>
      <c r="AA311" s="55" t="n">
        <f aca="false">SUMIFS(데이터_신성질별!$I$3:$I$529,데이터_신성질별!$E$3:$E$529,$B311,데이터_신성질별!$A$3:$A$529,"2026.01")</f>
        <v>23048540</v>
      </c>
      <c r="AB311" s="55" t="n">
        <f aca="false">SUMIFS(데이터_신성질별!$I$3:$I$529,데이터_신성질별!$E$3:$E$529,$B311,데이터_신성질별!$A$3:$A$529,"2026.02")</f>
        <v>21655111</v>
      </c>
      <c r="AC311" s="55" t="n">
        <f aca="false">SUMIFS(데이터_신성질별!$I$3:$I$529,데이터_신성질별!$E$3:$E$529,$B311,데이터_신성질별!$A$3:$A$529,"2026.03")</f>
        <v>26640629</v>
      </c>
      <c r="AD311" s="55" t="n">
        <f aca="false">SUMIFS(데이터_신성질별!$I$3:$I$529,데이터_신성질별!$E$3:$E$529,$B311,데이터_신성질별!$A$3:$A$529,"2026.04")</f>
        <v>26267703</v>
      </c>
      <c r="AE311" s="55" t="n">
        <f aca="false">SUMIFS(데이터_신성질별!$I$3:$I$529,데이터_신성질별!$E$3:$E$529,$B311,데이터_신성질별!$A$3:$A$529,"2026.05")</f>
        <v>24903071</v>
      </c>
      <c r="AF311" s="55" t="n">
        <f aca="false">SUMIFS(데이터_신성질별!$I$3:$I$529,데이터_신성질별!$E$3:$E$529,$B311,데이터_신성질별!$A$3:$A$529,"2026.06")</f>
        <v>28891626</v>
      </c>
      <c r="AG311" s="55" t="n">
        <f aca="false">SUMIFS(데이터_신성질별!$I$3:$I$529,데이터_신성질별!$E$3:$E$529,$B311,데이터_신성질별!$A$3:$A$529,"2026.07")</f>
        <v>29277218</v>
      </c>
    </row>
    <row r="312" customFormat="false" ht="15" hidden="false" customHeight="true" outlineLevel="0" collapsed="false">
      <c r="A312" s="53" t="s">
        <v>436</v>
      </c>
      <c r="B312" s="54" t="s">
        <v>17662</v>
      </c>
      <c r="C312" s="55" t="n">
        <f aca="false">SUMIFS(데이터_신성질별!$I$3:$I$529,데이터_신성질별!$E$3:$E$529,$B312,데이터_신성질별!$A$3:$A$529,"2024.01")</f>
        <v>1591298</v>
      </c>
      <c r="D312" s="55" t="n">
        <f aca="false">SUMIFS(데이터_신성질별!$I$3:$I$529,데이터_신성질별!$E$3:$E$529,$B312,데이터_신성질별!$A$3:$A$529,"2024.02")</f>
        <v>1705020</v>
      </c>
      <c r="E312" s="55" t="n">
        <f aca="false">SUMIFS(데이터_신성질별!$I$3:$I$529,데이터_신성질별!$E$3:$E$529,$B312,데이터_신성질별!$A$3:$A$529,"2024.03")</f>
        <v>1971006</v>
      </c>
      <c r="F312" s="55" t="n">
        <f aca="false">SUMIFS(데이터_신성질별!$I$3:$I$529,데이터_신성질별!$E$3:$E$529,$B312,데이터_신성질별!$A$3:$A$529,"2024.04")</f>
        <v>2156675</v>
      </c>
      <c r="G312" s="55" t="n">
        <f aca="false">SUMIFS(데이터_신성질별!$I$3:$I$529,데이터_신성질별!$E$3:$E$529,$B312,데이터_신성질별!$A$3:$A$529,"2024.05")</f>
        <v>1788933</v>
      </c>
      <c r="H312" s="55" t="n">
        <f aca="false">SUMIFS(데이터_신성질별!$I$3:$I$529,데이터_신성질별!$E$3:$E$529,$B312,데이터_신성질별!$A$3:$A$529,"2024.06")</f>
        <v>2032124</v>
      </c>
      <c r="I312" s="55" t="n">
        <f aca="false">SUMIFS(데이터_신성질별!$I$3:$I$529,데이터_신성질별!$E$3:$E$529,$B312,데이터_신성질별!$A$3:$A$529,"2024.07")</f>
        <v>3079759</v>
      </c>
      <c r="J312" s="55" t="n">
        <f aca="false">SUMIFS(데이터_신성질별!$I$3:$I$529,데이터_신성질별!$E$3:$E$529,$B312,데이터_신성질별!$A$3:$A$529,"2024.08")</f>
        <v>2454230</v>
      </c>
      <c r="K312" s="55" t="n">
        <f aca="false">SUMIFS(데이터_신성질별!$I$3:$I$529,데이터_신성질별!$E$3:$E$529,$B312,데이터_신성질별!$A$3:$A$529,"2024.09")</f>
        <v>1885561</v>
      </c>
      <c r="L312" s="55" t="n">
        <f aca="false">SUMIFS(데이터_신성질별!$I$3:$I$529,데이터_신성질별!$E$3:$E$529,$B312,데이터_신성질별!$A$3:$A$529,"2024.10")</f>
        <v>2041628</v>
      </c>
      <c r="M312" s="55" t="n">
        <f aca="false">SUMIFS(데이터_신성질별!$I$3:$I$529,데이터_신성질별!$E$3:$E$529,$B312,데이터_신성질별!$A$3:$A$529,"2024.11")</f>
        <v>1914103</v>
      </c>
      <c r="N312" s="55" t="n">
        <f aca="false">SUMIFS(데이터_신성질별!$I$3:$I$529,데이터_신성질별!$E$3:$E$529,$B312,데이터_신성질별!$A$3:$A$529,"2024.12")</f>
        <v>2935005</v>
      </c>
      <c r="O312" s="55" t="n">
        <f aca="false">SUMIFS(데이터_신성질별!$I$3:$I$529,데이터_신성질별!$E$3:$E$529,$B312,데이터_신성질별!$A$3:$A$529,"2025.01")</f>
        <v>1849911</v>
      </c>
      <c r="P312" s="55" t="n">
        <f aca="false">SUMIFS(데이터_신성질별!$I$3:$I$529,데이터_신성질별!$E$3:$E$529,$B312,데이터_신성질별!$A$3:$A$529,"2025.02")</f>
        <v>1933315</v>
      </c>
      <c r="Q312" s="55" t="n">
        <f aca="false">SUMIFS(데이터_신성질별!$I$3:$I$529,데이터_신성질별!$E$3:$E$529,$B312,데이터_신성질별!$A$3:$A$529,"2025.03")</f>
        <v>2098372</v>
      </c>
      <c r="R312" s="55" t="n">
        <f aca="false">SUMIFS(데이터_신성질별!$I$3:$I$529,데이터_신성질별!$E$3:$E$529,$B312,데이터_신성질별!$A$3:$A$529,"2025.04")</f>
        <v>2487454</v>
      </c>
      <c r="S312" s="55" t="n">
        <f aca="false">SUMIFS(데이터_신성질별!$I$3:$I$529,데이터_신성질별!$E$3:$E$529,$B312,데이터_신성질별!$A$3:$A$529,"2025.05")</f>
        <v>2419963</v>
      </c>
      <c r="T312" s="55" t="n">
        <f aca="false">SUMIFS(데이터_신성질별!$I$3:$I$529,데이터_신성질별!$E$3:$E$529,$B312,데이터_신성질별!$A$3:$A$529,"2025.06")</f>
        <v>2263716</v>
      </c>
      <c r="U312" s="55" t="n">
        <f aca="false">SUMIFS(데이터_신성질별!$I$3:$I$529,데이터_신성질별!$E$3:$E$529,$B312,데이터_신성질별!$A$3:$A$529,"2025.07")</f>
        <v>2386239</v>
      </c>
      <c r="V312" s="55" t="n">
        <f aca="false">SUMIFS(데이터_신성질별!$I$3:$I$529,데이터_신성질별!$E$3:$E$529,$B312,데이터_신성질별!$A$3:$A$529,"2025.08")</f>
        <v>1917645</v>
      </c>
      <c r="W312" s="55" t="n">
        <f aca="false">SUMIFS(데이터_신성질별!$I$3:$I$529,데이터_신성질별!$E$3:$E$529,$B312,데이터_신성질별!$A$3:$A$529,"2025.09")</f>
        <v>2357769</v>
      </c>
      <c r="X312" s="55" t="n">
        <f aca="false">SUMIFS(데이터_신성질별!$I$3:$I$529,데이터_신성질별!$E$3:$E$529,$B312,데이터_신성질별!$A$3:$A$529,"2025.10")</f>
        <v>2256242</v>
      </c>
      <c r="Y312" s="55" t="n">
        <f aca="false">SUMIFS(데이터_신성질별!$I$3:$I$529,데이터_신성질별!$E$3:$E$529,$B312,데이터_신성질별!$A$3:$A$529,"2025.11")</f>
        <v>2334026</v>
      </c>
      <c r="Z312" s="55" t="n">
        <f aca="false">SUMIFS(데이터_신성질별!$I$3:$I$529,데이터_신성질별!$E$3:$E$529,$B312,데이터_신성질별!$A$3:$A$529,"2025.12")</f>
        <v>2402503</v>
      </c>
      <c r="AA312" s="55" t="n">
        <f aca="false">SUMIFS(데이터_신성질별!$I$3:$I$529,데이터_신성질별!$E$3:$E$529,$B312,데이터_신성질별!$A$3:$A$529,"2026.01")</f>
        <v>2052310</v>
      </c>
      <c r="AB312" s="55" t="n">
        <f aca="false">SUMIFS(데이터_신성질별!$I$3:$I$529,데이터_신성질별!$E$3:$E$529,$B312,데이터_신성질별!$A$3:$A$529,"2026.02")</f>
        <v>1872467</v>
      </c>
      <c r="AC312" s="55" t="n">
        <f aca="false">SUMIFS(데이터_신성질별!$I$3:$I$529,데이터_신성질별!$E$3:$E$529,$B312,데이터_신성질별!$A$3:$A$529,"2026.03")</f>
        <v>2493173</v>
      </c>
      <c r="AD312" s="55" t="n">
        <f aca="false">SUMIFS(데이터_신성질별!$I$3:$I$529,데이터_신성질별!$E$3:$E$529,$B312,데이터_신성질별!$A$3:$A$529,"2026.04")</f>
        <v>2481089</v>
      </c>
      <c r="AE312" s="55" t="n">
        <f aca="false">SUMIFS(데이터_신성질별!$I$3:$I$529,데이터_신성질별!$E$3:$E$529,$B312,데이터_신성질별!$A$3:$A$529,"2026.05")</f>
        <v>2280541</v>
      </c>
      <c r="AF312" s="55" t="n">
        <f aca="false">SUMIFS(데이터_신성질별!$I$3:$I$529,데이터_신성질별!$E$3:$E$529,$B312,데이터_신성질별!$A$3:$A$529,"2026.06")</f>
        <v>2736798</v>
      </c>
      <c r="AG312" s="55" t="n">
        <f aca="false">SUMIFS(데이터_신성질별!$I$3:$I$529,데이터_신성질별!$E$3:$E$529,$B312,데이터_신성질별!$A$3:$A$529,"2026.07")</f>
        <v>2876659</v>
      </c>
    </row>
    <row r="313" customFormat="false" ht="15" hidden="false" customHeight="true" outlineLevel="0" collapsed="false">
      <c r="A313" s="53" t="s">
        <v>443</v>
      </c>
      <c r="B313" s="54" t="s">
        <v>17667</v>
      </c>
      <c r="C313" s="55" t="n">
        <f aca="false">SUMIFS(데이터_신성질별!$I$3:$I$529,데이터_신성질별!$E$3:$E$529,$B313,데이터_신성질별!$A$3:$A$529,"2024.01")</f>
        <v>7965930</v>
      </c>
      <c r="D313" s="55" t="n">
        <f aca="false">SUMIFS(데이터_신성질별!$I$3:$I$529,데이터_신성질별!$E$3:$E$529,$B313,데이터_신성질별!$A$3:$A$529,"2024.02")</f>
        <v>7211811</v>
      </c>
      <c r="E313" s="55" t="n">
        <f aca="false">SUMIFS(데이터_신성질별!$I$3:$I$529,데이터_신성질별!$E$3:$E$529,$B313,데이터_신성질별!$A$3:$A$529,"2024.03")</f>
        <v>8069212</v>
      </c>
      <c r="F313" s="55" t="n">
        <f aca="false">SUMIFS(데이터_신성질별!$I$3:$I$529,데이터_신성질별!$E$3:$E$529,$B313,데이터_신성질별!$A$3:$A$529,"2024.04")</f>
        <v>8148287</v>
      </c>
      <c r="G313" s="55" t="n">
        <f aca="false">SUMIFS(데이터_신성질별!$I$3:$I$529,데이터_신성질별!$E$3:$E$529,$B313,데이터_신성질별!$A$3:$A$529,"2024.05")</f>
        <v>8149958</v>
      </c>
      <c r="H313" s="55" t="n">
        <f aca="false">SUMIFS(데이터_신성질별!$I$3:$I$529,데이터_신성질별!$E$3:$E$529,$B313,데이터_신성질별!$A$3:$A$529,"2024.06")</f>
        <v>8011792</v>
      </c>
      <c r="I313" s="55" t="n">
        <f aca="false">SUMIFS(데이터_신성질별!$I$3:$I$529,데이터_신성질별!$E$3:$E$529,$B313,데이터_신성질별!$A$3:$A$529,"2024.07")</f>
        <v>8056958</v>
      </c>
      <c r="J313" s="55" t="n">
        <f aca="false">SUMIFS(데이터_신성질별!$I$3:$I$529,데이터_신성질별!$E$3:$E$529,$B313,데이터_신성질별!$A$3:$A$529,"2024.08")</f>
        <v>7869738</v>
      </c>
      <c r="K313" s="55" t="n">
        <f aca="false">SUMIFS(데이터_신성질별!$I$3:$I$529,데이터_신성질별!$E$3:$E$529,$B313,데이터_신성질별!$A$3:$A$529,"2024.09")</f>
        <v>8697691</v>
      </c>
      <c r="L313" s="55" t="n">
        <f aca="false">SUMIFS(데이터_신성질별!$I$3:$I$529,데이터_신성질별!$E$3:$E$529,$B313,데이터_신성질별!$A$3:$A$529,"2024.10")</f>
        <v>8681610</v>
      </c>
      <c r="M313" s="55" t="n">
        <f aca="false">SUMIFS(데이터_신성질별!$I$3:$I$529,데이터_신성질별!$E$3:$E$529,$B313,데이터_신성질별!$A$3:$A$529,"2024.11")</f>
        <v>8824839</v>
      </c>
      <c r="N313" s="55" t="n">
        <f aca="false">SUMIFS(데이터_신성질별!$I$3:$I$529,데이터_신성질별!$E$3:$E$529,$B313,데이터_신성질별!$A$3:$A$529,"2024.12")</f>
        <v>10037686</v>
      </c>
      <c r="O313" s="55" t="n">
        <f aca="false">SUMIFS(데이터_신성질별!$I$3:$I$529,데이터_신성질별!$E$3:$E$529,$B313,데이터_신성질별!$A$3:$A$529,"2025.01")</f>
        <v>7669391</v>
      </c>
      <c r="P313" s="55" t="n">
        <f aca="false">SUMIFS(데이터_신성질별!$I$3:$I$529,데이터_신성질별!$E$3:$E$529,$B313,데이터_신성질별!$A$3:$A$529,"2025.02")</f>
        <v>8191759</v>
      </c>
      <c r="Q313" s="55" t="n">
        <f aca="false">SUMIFS(데이터_신성질별!$I$3:$I$529,데이터_신성질별!$E$3:$E$529,$B313,데이터_신성질별!$A$3:$A$529,"2025.03")</f>
        <v>10192667</v>
      </c>
      <c r="R313" s="55" t="n">
        <f aca="false">SUMIFS(데이터_신성질별!$I$3:$I$529,데이터_신성질별!$E$3:$E$529,$B313,데이터_신성질별!$A$3:$A$529,"2025.04")</f>
        <v>9065877</v>
      </c>
      <c r="S313" s="55" t="n">
        <f aca="false">SUMIFS(데이터_신성질별!$I$3:$I$529,데이터_신성질별!$E$3:$E$529,$B313,데이터_신성질별!$A$3:$A$529,"2025.05")</f>
        <v>8336177</v>
      </c>
      <c r="T313" s="55" t="n">
        <f aca="false">SUMIFS(데이터_신성질별!$I$3:$I$529,데이터_신성질별!$E$3:$E$529,$B313,데이터_신성질별!$A$3:$A$529,"2025.06")</f>
        <v>9159773</v>
      </c>
      <c r="U313" s="55" t="n">
        <f aca="false">SUMIFS(데이터_신성질별!$I$3:$I$529,데이터_신성질별!$E$3:$E$529,$B313,데이터_신성질별!$A$3:$A$529,"2025.07")</f>
        <v>9027901</v>
      </c>
      <c r="V313" s="55" t="n">
        <f aca="false">SUMIFS(데이터_신성질별!$I$3:$I$529,데이터_신성질별!$E$3:$E$529,$B313,데이터_신성질별!$A$3:$A$529,"2025.08")</f>
        <v>8301179</v>
      </c>
      <c r="W313" s="55" t="n">
        <f aca="false">SUMIFS(데이터_신성질별!$I$3:$I$529,데이터_신성질별!$E$3:$E$529,$B313,데이터_신성질별!$A$3:$A$529,"2025.09")</f>
        <v>10063747</v>
      </c>
      <c r="X313" s="55" t="n">
        <f aca="false">SUMIFS(데이터_신성질별!$I$3:$I$529,데이터_신성질별!$E$3:$E$529,$B313,데이터_신성질별!$A$3:$A$529,"2025.10")</f>
        <v>8355867</v>
      </c>
      <c r="Y313" s="55" t="n">
        <f aca="false">SUMIFS(데이터_신성질별!$I$3:$I$529,데이터_신성질별!$E$3:$E$529,$B313,데이터_신성질별!$A$3:$A$529,"2025.11")</f>
        <v>8793585</v>
      </c>
      <c r="Z313" s="55" t="n">
        <f aca="false">SUMIFS(데이터_신성질별!$I$3:$I$529,데이터_신성질별!$E$3:$E$529,$B313,데이터_신성질별!$A$3:$A$529,"2025.12")</f>
        <v>10351663</v>
      </c>
      <c r="AA313" s="55" t="n">
        <f aca="false">SUMIFS(데이터_신성질별!$I$3:$I$529,데이터_신성질별!$E$3:$E$529,$B313,데이터_신성질별!$A$3:$A$529,"2026.01")</f>
        <v>9367396</v>
      </c>
      <c r="AB313" s="55" t="n">
        <f aca="false">SUMIFS(데이터_신성질별!$I$3:$I$529,데이터_신성질별!$E$3:$E$529,$B313,데이터_신성질별!$A$3:$A$529,"2026.02")</f>
        <v>9026037</v>
      </c>
      <c r="AC313" s="55" t="n">
        <f aca="false">SUMIFS(데이터_신성질별!$I$3:$I$529,데이터_신성질별!$E$3:$E$529,$B313,데이터_신성질별!$A$3:$A$529,"2026.03")</f>
        <v>10816703</v>
      </c>
      <c r="AD313" s="55" t="n">
        <f aca="false">SUMIFS(데이터_신성질별!$I$3:$I$529,데이터_신성질별!$E$3:$E$529,$B313,데이터_신성질별!$A$3:$A$529,"2026.04")</f>
        <v>10389091</v>
      </c>
      <c r="AE313" s="55" t="n">
        <f aca="false">SUMIFS(데이터_신성질별!$I$3:$I$529,데이터_신성질별!$E$3:$E$529,$B313,데이터_신성질별!$A$3:$A$529,"2026.05")</f>
        <v>9703627</v>
      </c>
      <c r="AF313" s="55" t="n">
        <f aca="false">SUMIFS(데이터_신성질별!$I$3:$I$529,데이터_신성질별!$E$3:$E$529,$B313,데이터_신성질별!$A$3:$A$529,"2026.06")</f>
        <v>11003444</v>
      </c>
      <c r="AG313" s="55" t="n">
        <f aca="false">SUMIFS(데이터_신성질별!$I$3:$I$529,데이터_신성질별!$E$3:$E$529,$B313,데이터_신성질별!$A$3:$A$529,"2026.07")</f>
        <v>11061645</v>
      </c>
    </row>
    <row r="314" customFormat="false" ht="15" hidden="false" customHeight="true" outlineLevel="0" collapsed="false">
      <c r="A314" s="53" t="s">
        <v>450</v>
      </c>
      <c r="B314" s="54" t="s">
        <v>17672</v>
      </c>
      <c r="C314" s="55" t="n">
        <f aca="false">SUMIFS(데이터_신성질별!$I$3:$I$529,데이터_신성질별!$E$3:$E$529,$B314,데이터_신성질별!$A$3:$A$529,"2024.01")</f>
        <v>3006470</v>
      </c>
      <c r="D314" s="55" t="n">
        <f aca="false">SUMIFS(데이터_신성질별!$I$3:$I$529,데이터_신성질별!$E$3:$E$529,$B314,데이터_신성질별!$A$3:$A$529,"2024.02")</f>
        <v>2040304</v>
      </c>
      <c r="E314" s="55" t="n">
        <f aca="false">SUMIFS(데이터_신성질별!$I$3:$I$529,데이터_신성질별!$E$3:$E$529,$B314,데이터_신성질별!$A$3:$A$529,"2024.03")</f>
        <v>2411733</v>
      </c>
      <c r="F314" s="55" t="n">
        <f aca="false">SUMIFS(데이터_신성질별!$I$3:$I$529,데이터_신성질별!$E$3:$E$529,$B314,데이터_신성질별!$A$3:$A$529,"2024.04")</f>
        <v>2453319</v>
      </c>
      <c r="G314" s="55" t="n">
        <f aca="false">SUMIFS(데이터_신성질별!$I$3:$I$529,데이터_신성질별!$E$3:$E$529,$B314,데이터_신성질별!$A$3:$A$529,"2024.05")</f>
        <v>2186322</v>
      </c>
      <c r="H314" s="55" t="n">
        <f aca="false">SUMIFS(데이터_신성질별!$I$3:$I$529,데이터_신성질별!$E$3:$E$529,$B314,데이터_신성질별!$A$3:$A$529,"2024.06")</f>
        <v>2474513</v>
      </c>
      <c r="I314" s="55" t="n">
        <f aca="false">SUMIFS(데이터_신성질별!$I$3:$I$529,데이터_신성질별!$E$3:$E$529,$B314,데이터_신성질별!$A$3:$A$529,"2024.07")</f>
        <v>2593891</v>
      </c>
      <c r="J314" s="55" t="n">
        <f aca="false">SUMIFS(데이터_신성질별!$I$3:$I$529,데이터_신성질별!$E$3:$E$529,$B314,데이터_신성질별!$A$3:$A$529,"2024.08")</f>
        <v>1960875</v>
      </c>
      <c r="K314" s="55" t="n">
        <f aca="false">SUMIFS(데이터_신성질별!$I$3:$I$529,데이터_신성질별!$E$3:$E$529,$B314,데이터_신성질별!$A$3:$A$529,"2024.09")</f>
        <v>2589080</v>
      </c>
      <c r="L314" s="55" t="n">
        <f aca="false">SUMIFS(데이터_신성질별!$I$3:$I$529,데이터_신성질별!$E$3:$E$529,$B314,데이터_신성질별!$A$3:$A$529,"2024.10")</f>
        <v>3029189</v>
      </c>
      <c r="M314" s="55" t="n">
        <f aca="false">SUMIFS(데이터_신성질별!$I$3:$I$529,데이터_신성질별!$E$3:$E$529,$B314,데이터_신성질별!$A$3:$A$529,"2024.11")</f>
        <v>2406551</v>
      </c>
      <c r="N314" s="55" t="n">
        <f aca="false">SUMIFS(데이터_신성질별!$I$3:$I$529,데이터_신성질별!$E$3:$E$529,$B314,데이터_신성질별!$A$3:$A$529,"2024.12")</f>
        <v>2619773</v>
      </c>
      <c r="O314" s="55" t="n">
        <f aca="false">SUMIFS(데이터_신성질별!$I$3:$I$529,데이터_신성질별!$E$3:$E$529,$B314,데이터_신성질별!$A$3:$A$529,"2025.01")</f>
        <v>2653437</v>
      </c>
      <c r="P314" s="55" t="n">
        <f aca="false">SUMIFS(데이터_신성질별!$I$3:$I$529,데이터_신성질별!$E$3:$E$529,$B314,데이터_신성질별!$A$3:$A$529,"2025.02")</f>
        <v>2057146</v>
      </c>
      <c r="Q314" s="55" t="n">
        <f aca="false">SUMIFS(데이터_신성질별!$I$3:$I$529,데이터_신성질별!$E$3:$E$529,$B314,데이터_신성질별!$A$3:$A$529,"2025.03")</f>
        <v>2335676</v>
      </c>
      <c r="R314" s="55" t="n">
        <f aca="false">SUMIFS(데이터_신성질별!$I$3:$I$529,데이터_신성질별!$E$3:$E$529,$B314,데이터_신성질별!$A$3:$A$529,"2025.04")</f>
        <v>2570046</v>
      </c>
      <c r="S314" s="55" t="n">
        <f aca="false">SUMIFS(데이터_신성질별!$I$3:$I$529,데이터_신성질별!$E$3:$E$529,$B314,데이터_신성질별!$A$3:$A$529,"2025.05")</f>
        <v>2489895</v>
      </c>
      <c r="T314" s="55" t="n">
        <f aca="false">SUMIFS(데이터_신성질별!$I$3:$I$529,데이터_신성질별!$E$3:$E$529,$B314,데이터_신성질별!$A$3:$A$529,"2025.06")</f>
        <v>2444851</v>
      </c>
      <c r="U314" s="55" t="n">
        <f aca="false">SUMIFS(데이터_신성질별!$I$3:$I$529,데이터_신성질별!$E$3:$E$529,$B314,데이터_신성질별!$A$3:$A$529,"2025.07")</f>
        <v>2849379</v>
      </c>
      <c r="V314" s="55" t="n">
        <f aca="false">SUMIFS(데이터_신성질별!$I$3:$I$529,데이터_신성질별!$E$3:$E$529,$B314,데이터_신성질별!$A$3:$A$529,"2025.08")</f>
        <v>2406849</v>
      </c>
      <c r="W314" s="55" t="n">
        <f aca="false">SUMIFS(데이터_신성질별!$I$3:$I$529,데이터_신성질별!$E$3:$E$529,$B314,데이터_신성질별!$A$3:$A$529,"2025.09")</f>
        <v>3315968</v>
      </c>
      <c r="X314" s="55" t="n">
        <f aca="false">SUMIFS(데이터_신성질별!$I$3:$I$529,데이터_신성질별!$E$3:$E$529,$B314,데이터_신성질별!$A$3:$A$529,"2025.10")</f>
        <v>2798904</v>
      </c>
      <c r="Y314" s="55" t="n">
        <f aca="false">SUMIFS(데이터_신성질별!$I$3:$I$529,데이터_신성질별!$E$3:$E$529,$B314,데이터_신성질별!$A$3:$A$529,"2025.11")</f>
        <v>2741381</v>
      </c>
      <c r="Z314" s="55" t="n">
        <f aca="false">SUMIFS(데이터_신성질별!$I$3:$I$529,데이터_신성질별!$E$3:$E$529,$B314,데이터_신성질별!$A$3:$A$529,"2025.12")</f>
        <v>3225660</v>
      </c>
      <c r="AA314" s="55" t="n">
        <f aca="false">SUMIFS(데이터_신성질별!$I$3:$I$529,데이터_신성질별!$E$3:$E$529,$B314,데이터_신성질별!$A$3:$A$529,"2026.01")</f>
        <v>3185218</v>
      </c>
      <c r="AB314" s="55" t="n">
        <f aca="false">SUMIFS(데이터_신성질별!$I$3:$I$529,데이터_신성질별!$E$3:$E$529,$B314,데이터_신성질별!$A$3:$A$529,"2026.02")</f>
        <v>3011220</v>
      </c>
      <c r="AC314" s="55" t="n">
        <f aca="false">SUMIFS(데이터_신성질별!$I$3:$I$529,데이터_신성질별!$E$3:$E$529,$B314,데이터_신성질별!$A$3:$A$529,"2026.03")</f>
        <v>3470454</v>
      </c>
      <c r="AD314" s="55" t="n">
        <f aca="false">SUMIFS(데이터_신성질별!$I$3:$I$529,데이터_신성질별!$E$3:$E$529,$B314,데이터_신성질별!$A$3:$A$529,"2026.04")</f>
        <v>3206145</v>
      </c>
      <c r="AE314" s="55" t="n">
        <f aca="false">SUMIFS(데이터_신성질별!$I$3:$I$529,데이터_신성질별!$E$3:$E$529,$B314,데이터_신성질별!$A$3:$A$529,"2026.05")</f>
        <v>2661576</v>
      </c>
      <c r="AF314" s="55" t="n">
        <f aca="false">SUMIFS(데이터_신성질별!$I$3:$I$529,데이터_신성질별!$E$3:$E$529,$B314,데이터_신성질별!$A$3:$A$529,"2026.06")</f>
        <v>3522103</v>
      </c>
      <c r="AG314" s="55" t="n">
        <f aca="false">SUMIFS(데이터_신성질별!$I$3:$I$529,데이터_신성질별!$E$3:$E$529,$B314,데이터_신성질별!$A$3:$A$529,"2026.07")</f>
        <v>3670929</v>
      </c>
    </row>
    <row r="315" customFormat="false" ht="15" hidden="false" customHeight="true" outlineLevel="0" collapsed="false">
      <c r="A315" s="53" t="s">
        <v>457</v>
      </c>
      <c r="B315" s="54" t="s">
        <v>17677</v>
      </c>
      <c r="C315" s="55" t="n">
        <f aca="false">SUMIFS(데이터_신성질별!$I$3:$I$529,데이터_신성질별!$E$3:$E$529,$B315,데이터_신성질별!$A$3:$A$529,"2024.01")</f>
        <v>6469187</v>
      </c>
      <c r="D315" s="55" t="n">
        <f aca="false">SUMIFS(데이터_신성질별!$I$3:$I$529,데이터_신성질별!$E$3:$E$529,$B315,데이터_신성질별!$A$3:$A$529,"2024.02")</f>
        <v>6203675</v>
      </c>
      <c r="E315" s="55" t="n">
        <f aca="false">SUMIFS(데이터_신성질별!$I$3:$I$529,데이터_신성질별!$E$3:$E$529,$B315,데이터_신성질별!$A$3:$A$529,"2024.03")</f>
        <v>6748505</v>
      </c>
      <c r="F315" s="55" t="n">
        <f aca="false">SUMIFS(데이터_신성질별!$I$3:$I$529,데이터_신성질별!$E$3:$E$529,$B315,데이터_신성질별!$A$3:$A$529,"2024.04")</f>
        <v>6741474</v>
      </c>
      <c r="G315" s="55" t="n">
        <f aca="false">SUMIFS(데이터_신성질별!$I$3:$I$529,데이터_신성질별!$E$3:$E$529,$B315,데이터_신성질별!$A$3:$A$529,"2024.05")</f>
        <v>6831575</v>
      </c>
      <c r="H315" s="55" t="n">
        <f aca="false">SUMIFS(데이터_신성질별!$I$3:$I$529,데이터_신성질별!$E$3:$E$529,$B315,데이터_신성질별!$A$3:$A$529,"2024.06")</f>
        <v>6040222</v>
      </c>
      <c r="I315" s="55" t="n">
        <f aca="false">SUMIFS(데이터_신성질별!$I$3:$I$529,데이터_신성질별!$E$3:$E$529,$B315,데이터_신성질별!$A$3:$A$529,"2024.07")</f>
        <v>7097851</v>
      </c>
      <c r="J315" s="55" t="n">
        <f aca="false">SUMIFS(데이터_신성질별!$I$3:$I$529,데이터_신성질별!$E$3:$E$529,$B315,데이터_신성질별!$A$3:$A$529,"2024.08")</f>
        <v>7293451</v>
      </c>
      <c r="K315" s="55" t="n">
        <f aca="false">SUMIFS(데이터_신성질별!$I$3:$I$529,데이터_신성질별!$E$3:$E$529,$B315,데이터_신성질별!$A$3:$A$529,"2024.09")</f>
        <v>7539891</v>
      </c>
      <c r="L315" s="55" t="n">
        <f aca="false">SUMIFS(데이터_신성질별!$I$3:$I$529,데이터_신성질별!$E$3:$E$529,$B315,데이터_신성질별!$A$3:$A$529,"2024.10")</f>
        <v>7718902</v>
      </c>
      <c r="M315" s="55" t="n">
        <f aca="false">SUMIFS(데이터_신성질별!$I$3:$I$529,데이터_신성질별!$E$3:$E$529,$B315,데이터_신성질별!$A$3:$A$529,"2024.11")</f>
        <v>7527822</v>
      </c>
      <c r="N315" s="55" t="n">
        <f aca="false">SUMIFS(데이터_신성질별!$I$3:$I$529,데이터_신성질별!$E$3:$E$529,$B315,데이터_신성질별!$A$3:$A$529,"2024.12")</f>
        <v>7889290</v>
      </c>
      <c r="O315" s="55" t="n">
        <f aca="false">SUMIFS(데이터_신성질별!$I$3:$I$529,데이터_신성질별!$E$3:$E$529,$B315,데이터_신성질별!$A$3:$A$529,"2025.01")</f>
        <v>6945214</v>
      </c>
      <c r="P315" s="55" t="n">
        <f aca="false">SUMIFS(데이터_신성질별!$I$3:$I$529,데이터_신성질별!$E$3:$E$529,$B315,데이터_신성질별!$A$3:$A$529,"2025.02")</f>
        <v>6612600</v>
      </c>
      <c r="Q315" s="55" t="n">
        <f aca="false">SUMIFS(데이터_신성질별!$I$3:$I$529,데이터_신성질별!$E$3:$E$529,$B315,데이터_신성질별!$A$3:$A$529,"2025.03")</f>
        <v>7468052</v>
      </c>
      <c r="R315" s="55" t="n">
        <f aca="false">SUMIFS(데이터_신성질별!$I$3:$I$529,데이터_신성질별!$E$3:$E$529,$B315,데이터_신성질별!$A$3:$A$529,"2025.04")</f>
        <v>6899275</v>
      </c>
      <c r="S315" s="55" t="n">
        <f aca="false">SUMIFS(데이터_신성질별!$I$3:$I$529,데이터_신성질별!$E$3:$E$529,$B315,데이터_신성질별!$A$3:$A$529,"2025.05")</f>
        <v>6637134</v>
      </c>
      <c r="T315" s="55" t="n">
        <f aca="false">SUMIFS(데이터_신성질별!$I$3:$I$529,데이터_신성질별!$E$3:$E$529,$B315,데이터_신성질별!$A$3:$A$529,"2025.06")</f>
        <v>7348897</v>
      </c>
      <c r="U315" s="55" t="n">
        <f aca="false">SUMIFS(데이터_신성질별!$I$3:$I$529,데이터_신성질별!$E$3:$E$529,$B315,데이터_신성질별!$A$3:$A$529,"2025.07")</f>
        <v>7727969</v>
      </c>
      <c r="V315" s="55" t="n">
        <f aca="false">SUMIFS(데이터_신성질별!$I$3:$I$529,데이터_신성질별!$E$3:$E$529,$B315,데이터_신성질별!$A$3:$A$529,"2025.08")</f>
        <v>7605992</v>
      </c>
      <c r="W315" s="55" t="n">
        <f aca="false">SUMIFS(데이터_신성질별!$I$3:$I$529,데이터_신성질별!$E$3:$E$529,$B315,데이터_신성질별!$A$3:$A$529,"2025.09")</f>
        <v>7628425</v>
      </c>
      <c r="X315" s="55" t="n">
        <f aca="false">SUMIFS(데이터_신성질별!$I$3:$I$529,데이터_신성질별!$E$3:$E$529,$B315,데이터_신성질별!$A$3:$A$529,"2025.10")</f>
        <v>7606242</v>
      </c>
      <c r="Y315" s="55" t="n">
        <f aca="false">SUMIFS(데이터_신성질별!$I$3:$I$529,데이터_신성질별!$E$3:$E$529,$B315,데이터_신성질별!$A$3:$A$529,"2025.11")</f>
        <v>7476689</v>
      </c>
      <c r="Z315" s="55" t="n">
        <f aca="false">SUMIFS(데이터_신성질별!$I$3:$I$529,데이터_신성질별!$E$3:$E$529,$B315,데이터_신성질별!$A$3:$A$529,"2025.12")</f>
        <v>8737287</v>
      </c>
      <c r="AA315" s="55" t="n">
        <f aca="false">SUMIFS(데이터_신성질별!$I$3:$I$529,데이터_신성질별!$E$3:$E$529,$B315,데이터_신성질별!$A$3:$A$529,"2026.01")</f>
        <v>8443617</v>
      </c>
      <c r="AB315" s="55" t="n">
        <f aca="false">SUMIFS(데이터_신성질별!$I$3:$I$529,데이터_신성질별!$E$3:$E$529,$B315,데이터_신성질별!$A$3:$A$529,"2026.02")</f>
        <v>7745388</v>
      </c>
      <c r="AC315" s="55" t="n">
        <f aca="false">SUMIFS(데이터_신성질별!$I$3:$I$529,데이터_신성질별!$E$3:$E$529,$B315,데이터_신성질별!$A$3:$A$529,"2026.03")</f>
        <v>9860299</v>
      </c>
      <c r="AD315" s="55" t="n">
        <f aca="false">SUMIFS(데이터_신성질별!$I$3:$I$529,데이터_신성질별!$E$3:$E$529,$B315,데이터_신성질별!$A$3:$A$529,"2026.04")</f>
        <v>10191378</v>
      </c>
      <c r="AE315" s="55" t="n">
        <f aca="false">SUMIFS(데이터_신성질별!$I$3:$I$529,데이터_신성질별!$E$3:$E$529,$B315,데이터_신성질별!$A$3:$A$529,"2026.05")</f>
        <v>10257328</v>
      </c>
      <c r="AF315" s="55" t="n">
        <f aca="false">SUMIFS(데이터_신성질별!$I$3:$I$529,데이터_신성질별!$E$3:$E$529,$B315,데이터_신성질별!$A$3:$A$529,"2026.06")</f>
        <v>11629282</v>
      </c>
      <c r="AG315" s="55" t="n">
        <f aca="false">SUMIFS(데이터_신성질별!$I$3:$I$529,데이터_신성질별!$E$3:$E$529,$B315,데이터_신성질별!$A$3:$A$529,"2026.07")</f>
        <v>11667986</v>
      </c>
    </row>
  </sheetData>
  <mergeCells count="9">
    <mergeCell ref="A1:AG1"/>
    <mergeCell ref="A2:AG2"/>
    <mergeCell ref="A4:AG4"/>
    <mergeCell ref="A104:AG104"/>
    <mergeCell ref="A204:AG204"/>
    <mergeCell ref="A229:AG229"/>
    <mergeCell ref="A253:AG253"/>
    <mergeCell ref="A277:AG277"/>
    <mergeCell ref="A297:AG2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2" min="2" style="1" width="12"/>
  </cols>
  <sheetData>
    <row r="1" customFormat="false" ht="21.75" hidden="false" customHeight="true" outlineLevel="0" collapsed="false">
      <c r="A1" s="2" t="s">
        <v>19867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true" outlineLevel="0" collapsed="false">
      <c r="A2" s="43" t="s">
        <v>19868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</row>
    <row r="3" customFormat="false" ht="15" hidden="false" customHeight="true" outlineLevel="0" collapsed="false">
      <c r="A3" s="35" t="s">
        <v>19869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5" customFormat="false" ht="14.25" hidden="false" customHeight="true" outlineLevel="0" collapsed="false">
      <c r="A5" s="23" t="s">
        <v>19870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customFormat="false" ht="15" hidden="false" customHeight="true" outlineLevel="0" collapsed="false">
      <c r="A6" s="5" t="s">
        <v>19674</v>
      </c>
      <c r="B6" s="44" t="s">
        <v>74</v>
      </c>
      <c r="C6" s="44" t="s">
        <v>83</v>
      </c>
      <c r="D6" s="44" t="s">
        <v>92</v>
      </c>
      <c r="E6" s="44" t="s">
        <v>101</v>
      </c>
      <c r="F6" s="44" t="s">
        <v>110</v>
      </c>
      <c r="G6" s="44" t="s">
        <v>119</v>
      </c>
      <c r="H6" s="44" t="s">
        <v>128</v>
      </c>
      <c r="I6" s="44" t="s">
        <v>137</v>
      </c>
      <c r="J6" s="44" t="s">
        <v>146</v>
      </c>
      <c r="K6" s="44" t="s">
        <v>155</v>
      </c>
      <c r="L6" s="44" t="s">
        <v>163</v>
      </c>
      <c r="M6" s="44" t="s">
        <v>171</v>
      </c>
      <c r="N6" s="44" t="s">
        <v>179</v>
      </c>
      <c r="O6" s="44" t="s">
        <v>187</v>
      </c>
      <c r="P6" s="44" t="s">
        <v>195</v>
      </c>
      <c r="Q6" s="44" t="s">
        <v>203</v>
      </c>
      <c r="R6" s="44" t="s">
        <v>211</v>
      </c>
      <c r="S6" s="44" t="s">
        <v>219</v>
      </c>
      <c r="T6" s="44" t="s">
        <v>228</v>
      </c>
      <c r="U6" s="44" t="s">
        <v>236</v>
      </c>
      <c r="V6" s="44" t="s">
        <v>244</v>
      </c>
      <c r="W6" s="44" t="s">
        <v>252</v>
      </c>
      <c r="X6" s="44" t="s">
        <v>260</v>
      </c>
      <c r="Y6" s="44" t="s">
        <v>268</v>
      </c>
      <c r="Z6" s="44" t="s">
        <v>276</v>
      </c>
      <c r="AA6" s="44" t="s">
        <v>284</v>
      </c>
      <c r="AB6" s="44" t="s">
        <v>293</v>
      </c>
      <c r="AC6" s="44" t="s">
        <v>301</v>
      </c>
      <c r="AD6" s="44" t="s">
        <v>309</v>
      </c>
      <c r="AE6" s="44" t="s">
        <v>317</v>
      </c>
      <c r="AF6" s="44" t="s">
        <v>325</v>
      </c>
    </row>
    <row r="7" customFormat="false" ht="15" hidden="false" customHeight="true" outlineLevel="0" collapsed="false">
      <c r="A7" s="6" t="s">
        <v>19871</v>
      </c>
      <c r="B7" s="57" t="n">
        <f aca="false">분석4B_월별매트릭스!C295</f>
        <v>10906032</v>
      </c>
      <c r="C7" s="57" t="n">
        <f aca="false">분석4B_월별매트릭스!D295</f>
        <v>11337326</v>
      </c>
      <c r="D7" s="57" t="n">
        <f aca="false">분석4B_월별매트릭스!E295</f>
        <v>13100458</v>
      </c>
      <c r="E7" s="57" t="n">
        <f aca="false">분석4B_월별매트릭스!F295</f>
        <v>11462315</v>
      </c>
      <c r="F7" s="57" t="n">
        <f aca="false">분석4B_월별매트릭스!G295</f>
        <v>12885210</v>
      </c>
      <c r="G7" s="57" t="n">
        <f aca="false">분석4B_월별매트릭스!H295</f>
        <v>14858944</v>
      </c>
      <c r="H7" s="57" t="n">
        <f aca="false">분석4B_월별매트릭스!I295</f>
        <v>12779175</v>
      </c>
      <c r="I7" s="57" t="n">
        <f aca="false">분석4B_월별매트릭스!J295</f>
        <v>13355124</v>
      </c>
      <c r="J7" s="57" t="n">
        <f aca="false">분석4B_월별매트릭스!K295</f>
        <v>15012173</v>
      </c>
      <c r="K7" s="57" t="n">
        <f aca="false">분석4B_월별매트릭스!L295</f>
        <v>13966592</v>
      </c>
      <c r="L7" s="57" t="n">
        <f aca="false">분석4B_월별매트릭스!M295</f>
        <v>13853750</v>
      </c>
      <c r="M7" s="57" t="n">
        <f aca="false">분석4B_월별매트릭스!N295</f>
        <v>16007494</v>
      </c>
      <c r="N7" s="57" t="n">
        <f aca="false">분석4B_월별매트릭스!O295</f>
        <v>11401866</v>
      </c>
      <c r="O7" s="57" t="n">
        <f aca="false">분석4B_월별매트릭스!P295</f>
        <v>11047722</v>
      </c>
      <c r="P7" s="57" t="n">
        <f aca="false">분석4B_월별매트릭스!Q295</f>
        <v>14496027</v>
      </c>
      <c r="Q7" s="57" t="n">
        <f aca="false">분석4B_월별매트릭스!R295</f>
        <v>13164080</v>
      </c>
      <c r="R7" s="57" t="n">
        <f aca="false">분석4B_월별매트릭스!S295</f>
        <v>15232758</v>
      </c>
      <c r="S7" s="57" t="n">
        <f aca="false">분석4B_월별매트릭스!T295</f>
        <v>16460523</v>
      </c>
      <c r="T7" s="57" t="n">
        <f aca="false">분석4B_월별매트릭스!U295</f>
        <v>16315529</v>
      </c>
      <c r="U7" s="57" t="n">
        <f aca="false">분석4B_월별매트릭스!V295</f>
        <v>16619686</v>
      </c>
      <c r="V7" s="57" t="n">
        <f aca="false">분석4B_월별매트릭스!W295</f>
        <v>18213352</v>
      </c>
      <c r="W7" s="57" t="n">
        <f aca="false">분석4B_월별매트릭스!X295</f>
        <v>17140440</v>
      </c>
      <c r="X7" s="57" t="n">
        <f aca="false">분석4B_월별매트릭스!Y295</f>
        <v>18753711</v>
      </c>
      <c r="Y7" s="57" t="n">
        <f aca="false">분석4B_월별매트릭스!Z295</f>
        <v>22382239</v>
      </c>
      <c r="Z7" s="57" t="n">
        <f aca="false">분석4B_월별매트릭스!AA295</f>
        <v>22116584</v>
      </c>
      <c r="AA7" s="57" t="n">
        <f aca="false">분석4B_월별매트릭스!AB295</f>
        <v>26464502</v>
      </c>
      <c r="AB7" s="57" t="n">
        <f aca="false">분석4B_월별매트릭스!AC295</f>
        <v>34380761</v>
      </c>
      <c r="AC7" s="57" t="n">
        <f aca="false">분석4B_월별매트릭스!AD295</f>
        <v>33505272</v>
      </c>
      <c r="AD7" s="57" t="n">
        <f aca="false">분석4B_월별매트릭스!AE295</f>
        <v>38640678</v>
      </c>
      <c r="AE7" s="57" t="n">
        <f aca="false">분석4B_월별매트릭스!AF295</f>
        <v>46467096</v>
      </c>
      <c r="AF7" s="57" t="n">
        <f aca="false">분석4B_월별매트릭스!AG295</f>
        <v>42761535</v>
      </c>
    </row>
    <row r="8" customFormat="false" ht="15" hidden="false" customHeight="true" outlineLevel="0" collapsed="false">
      <c r="A8" s="6" t="s">
        <v>19872</v>
      </c>
      <c r="B8" s="57" t="n">
        <f aca="false">분석4B_월별매트릭스!C295+분석4B_월별매트릭스!C294</f>
        <v>14020195</v>
      </c>
      <c r="C8" s="57" t="n">
        <f aca="false">분석4B_월별매트릭스!D295+분석4B_월별매트릭스!D294</f>
        <v>14146046</v>
      </c>
      <c r="D8" s="57" t="n">
        <f aca="false">분석4B_월별매트릭스!E295+분석4B_월별매트릭스!E294</f>
        <v>16332888</v>
      </c>
      <c r="E8" s="57" t="n">
        <f aca="false">분석4B_월별매트릭스!F295+분석4B_월별매트릭스!F294</f>
        <v>14607279</v>
      </c>
      <c r="F8" s="57" t="n">
        <f aca="false">분석4B_월별매트릭스!G295+분석4B_월별매트릭스!G294</f>
        <v>16592640</v>
      </c>
      <c r="G8" s="57" t="n">
        <f aca="false">분석4B_월별매트릭스!H295+분석4B_월별매트릭스!H294</f>
        <v>18649142</v>
      </c>
      <c r="H8" s="57" t="n">
        <f aca="false">분석4B_월별매트릭스!I295+분석4B_월별매트릭스!I294</f>
        <v>16932293</v>
      </c>
      <c r="I8" s="57" t="n">
        <f aca="false">분석4B_월별매트릭스!J295+분석4B_월별매트릭스!J294</f>
        <v>18232373</v>
      </c>
      <c r="J8" s="57" t="n">
        <f aca="false">분석4B_월별매트릭스!K295+분석4B_월별매트릭스!K294</f>
        <v>19938474</v>
      </c>
      <c r="K8" s="57" t="n">
        <f aca="false">분석4B_월별매트릭스!L295+분석4B_월별매트릭스!L294</f>
        <v>18387910</v>
      </c>
      <c r="L8" s="57" t="n">
        <f aca="false">분석4B_월별매트릭스!M295+분석4B_월별매트릭스!M294</f>
        <v>18196996</v>
      </c>
      <c r="M8" s="57" t="n">
        <f aca="false">분석4B_월별매트릭스!N295+분석4B_월별매트릭스!N294</f>
        <v>20143628</v>
      </c>
      <c r="N8" s="57" t="n">
        <f aca="false">분석4B_월별매트릭스!O295+분석4B_월별매트릭스!O294</f>
        <v>14362842</v>
      </c>
      <c r="O8" s="57" t="n">
        <f aca="false">분석4B_월별매트릭스!P295+분석4B_월별매트릭스!P294</f>
        <v>14245581</v>
      </c>
      <c r="P8" s="57" t="n">
        <f aca="false">분석4B_월별매트릭스!Q295+분석4B_월별매트릭스!Q294</f>
        <v>18215184</v>
      </c>
      <c r="Q8" s="57" t="n">
        <f aca="false">분석4B_월별매트릭스!R295+분석4B_월별매트릭스!R294</f>
        <v>16402152</v>
      </c>
      <c r="R8" s="57" t="n">
        <f aca="false">분석4B_월별매트릭스!S295+분석4B_월별매트릭스!S294</f>
        <v>18747131</v>
      </c>
      <c r="S8" s="57" t="n">
        <f aca="false">분석4B_월별매트릭스!T295+분석4B_월별매트릭스!T294</f>
        <v>19756103</v>
      </c>
      <c r="T8" s="57" t="n">
        <f aca="false">분석4B_월별매트릭스!U295+분석4B_월별매트릭스!U294</f>
        <v>19850458</v>
      </c>
      <c r="U8" s="57" t="n">
        <f aca="false">분석4B_월별매트릭스!V295+분석4B_월별매트릭스!V294</f>
        <v>20844980</v>
      </c>
      <c r="V8" s="57" t="n">
        <f aca="false">분석4B_월별매트릭스!W295+분석4B_월별매트릭스!W294</f>
        <v>22832543</v>
      </c>
      <c r="W8" s="57" t="n">
        <f aca="false">분석4B_월별매트릭스!X295+분석4B_월별매트릭스!X294</f>
        <v>21260962</v>
      </c>
      <c r="X8" s="57" t="n">
        <f aca="false">분석4B_월별매트릭스!Y295+분석4B_월별매트릭스!Y294</f>
        <v>23166979</v>
      </c>
      <c r="Y8" s="57" t="n">
        <f aca="false">분석4B_월별매트릭스!Z295+분석4B_월별매트릭스!Z294</f>
        <v>27433991</v>
      </c>
      <c r="Z8" s="57" t="n">
        <f aca="false">분석4B_월별매트릭스!AA295+분석4B_월별매트릭스!AA294</f>
        <v>26914234</v>
      </c>
      <c r="AA8" s="57" t="n">
        <f aca="false">분석4B_월별매트릭스!AB295+분석4B_월별매트릭스!AB294</f>
        <v>31581879</v>
      </c>
      <c r="AB8" s="57" t="n">
        <f aca="false">분석4B_월별매트릭스!AC295+분석4B_월별매트릭스!AC294</f>
        <v>40841448</v>
      </c>
      <c r="AC8" s="57" t="n">
        <f aca="false">분석4B_월별매트릭스!AD295+분석4B_월별매트릭스!AD294</f>
        <v>40327156</v>
      </c>
      <c r="AD8" s="57" t="n">
        <f aca="false">분석4B_월별매트릭스!AE295+분석4B_월별매트릭스!AE294</f>
        <v>45558624</v>
      </c>
      <c r="AE8" s="57" t="n">
        <f aca="false">분석4B_월별매트릭스!AF295+분석4B_월별매트릭스!AF294</f>
        <v>54792513</v>
      </c>
      <c r="AF8" s="57" t="n">
        <f aca="false">분석4B_월별매트릭스!AG295+분석4B_월별매트릭스!AG294</f>
        <v>50794218</v>
      </c>
    </row>
    <row r="9" customFormat="false" ht="15" hidden="false" customHeight="true" outlineLevel="0" collapsed="false">
      <c r="A9" s="48" t="s">
        <v>19873</v>
      </c>
      <c r="B9" s="57" t="n">
        <f aca="false">분석4B_월별매트릭스!C89</f>
        <v>15092049</v>
      </c>
      <c r="C9" s="57" t="n">
        <f aca="false">분석4B_월별매트릭스!D89</f>
        <v>15252575</v>
      </c>
      <c r="D9" s="57" t="n">
        <f aca="false">분석4B_월별매트릭스!E89</f>
        <v>16651262</v>
      </c>
      <c r="E9" s="57" t="n">
        <f aca="false">분석4B_월별매트릭스!F89</f>
        <v>15588503</v>
      </c>
      <c r="F9" s="57" t="n">
        <f aca="false">분석4B_월별매트릭스!G89</f>
        <v>17412613</v>
      </c>
      <c r="G9" s="57" t="n">
        <f aca="false">분석4B_월별매트릭스!H89</f>
        <v>18947322</v>
      </c>
      <c r="H9" s="57" t="n">
        <f aca="false">분석4B_월별매트릭스!I89</f>
        <v>17884638</v>
      </c>
      <c r="I9" s="57" t="n">
        <f aca="false">분석4B_월별매트릭스!J89</f>
        <v>18743622</v>
      </c>
      <c r="J9" s="57" t="n">
        <f aca="false">분석4B_월별매트릭스!K89</f>
        <v>20007957</v>
      </c>
      <c r="K9" s="57" t="n">
        <f aca="false">분석4B_월별매트릭스!L89</f>
        <v>19050286</v>
      </c>
      <c r="L9" s="57" t="n">
        <f aca="false">분석4B_월별매트릭스!M89</f>
        <v>18411009</v>
      </c>
      <c r="M9" s="57" t="n">
        <f aca="false">분석4B_월별매트릭스!N89</f>
        <v>19866706</v>
      </c>
      <c r="N9" s="57" t="n">
        <f aca="false">분석4B_월별매트릭스!O89</f>
        <v>14503290</v>
      </c>
      <c r="O9" s="57" t="n">
        <f aca="false">분석4B_월별매트릭스!P89</f>
        <v>15082652</v>
      </c>
      <c r="P9" s="57" t="n">
        <f aca="false">분석4B_월별매트릭스!Q89</f>
        <v>18113797</v>
      </c>
      <c r="Q9" s="57" t="n">
        <f aca="false">분석4B_월별매트릭스!R89</f>
        <v>17098985</v>
      </c>
      <c r="R9" s="57" t="n">
        <f aca="false">분석4B_월별매트릭스!S89</f>
        <v>18809466</v>
      </c>
      <c r="S9" s="57" t="n">
        <f aca="false">분석4B_월별매트릭스!T89</f>
        <v>19535265</v>
      </c>
      <c r="T9" s="57" t="n">
        <f aca="false">분석4B_월별매트릭스!U89</f>
        <v>19989877</v>
      </c>
      <c r="U9" s="57" t="n">
        <f aca="false">분석4B_월별매트릭스!V89</f>
        <v>20463780</v>
      </c>
      <c r="V9" s="57" t="n">
        <f aca="false">분석4B_월별매트릭스!W89</f>
        <v>22344339</v>
      </c>
      <c r="W9" s="57" t="n">
        <f aca="false">분석4B_월별매트릭스!X89</f>
        <v>20790549</v>
      </c>
      <c r="X9" s="57" t="n">
        <f aca="false">분석4B_월별매트릭스!Y89</f>
        <v>22241662</v>
      </c>
      <c r="Y9" s="57" t="n">
        <f aca="false">분석4B_월별매트릭스!Z89</f>
        <v>25992347</v>
      </c>
      <c r="Z9" s="57" t="n">
        <f aca="false">분석4B_월별매트릭스!AA89</f>
        <v>25047980</v>
      </c>
      <c r="AA9" s="57" t="n">
        <f aca="false">분석4B_월별매트릭스!AB89</f>
        <v>28041015</v>
      </c>
      <c r="AB9" s="57" t="n">
        <f aca="false">분석4B_월별매트릭스!AC89</f>
        <v>35645727</v>
      </c>
      <c r="AC9" s="57" t="n">
        <f aca="false">분석4B_월별매트릭스!AD89</f>
        <v>36211589</v>
      </c>
      <c r="AD9" s="57" t="n">
        <f aca="false">분석4B_월별매트릭스!AE89</f>
        <v>40230637</v>
      </c>
      <c r="AE9" s="57" t="n">
        <f aca="false">분석4B_월별매트릭스!AF89</f>
        <v>46280277</v>
      </c>
      <c r="AF9" s="57" t="n">
        <f aca="false">분석4B_월별매트릭스!AG89</f>
        <v>45417101</v>
      </c>
    </row>
    <row r="10" customFormat="false" ht="15" hidden="false" customHeight="true" outlineLevel="0" collapsed="false">
      <c r="A10" s="6" t="s">
        <v>19874</v>
      </c>
      <c r="B10" s="57" t="n">
        <f aca="false">분석2_월별추이!E5</f>
        <v>54709823</v>
      </c>
      <c r="C10" s="57" t="n">
        <f aca="false">분석2_월별추이!E6</f>
        <v>52076390</v>
      </c>
      <c r="D10" s="57" t="n">
        <f aca="false">분석2_월별추이!E7</f>
        <v>56518309</v>
      </c>
      <c r="E10" s="57" t="n">
        <f aca="false">분석2_월별추이!E8</f>
        <v>56148299</v>
      </c>
      <c r="F10" s="57" t="n">
        <f aca="false">분석2_월별추이!E9</f>
        <v>58020557</v>
      </c>
      <c r="G10" s="57" t="n">
        <f aca="false">분석2_월별추이!E10</f>
        <v>57341634</v>
      </c>
      <c r="H10" s="57" t="n">
        <f aca="false">분석2_월별추이!E11</f>
        <v>57458788</v>
      </c>
      <c r="I10" s="57" t="n">
        <f aca="false">분석2_월별추이!E12</f>
        <v>57642924</v>
      </c>
      <c r="J10" s="57" t="n">
        <f aca="false">분석2_월별추이!E13</f>
        <v>58544693</v>
      </c>
      <c r="K10" s="57" t="n">
        <f aca="false">분석2_월별추이!E14</f>
        <v>57500192</v>
      </c>
      <c r="L10" s="57" t="n">
        <f aca="false">분석2_월별추이!E15</f>
        <v>56288629</v>
      </c>
      <c r="M10" s="57" t="n">
        <f aca="false">분석2_월별추이!E16</f>
        <v>61359250</v>
      </c>
      <c r="N10" s="57" t="n">
        <f aca="false">분석2_월별추이!E17</f>
        <v>49176984</v>
      </c>
      <c r="O10" s="57" t="n">
        <f aca="false">분석2_월별추이!E18</f>
        <v>52292301</v>
      </c>
      <c r="P10" s="57" t="n">
        <f aca="false">분석2_월별추이!E19</f>
        <v>58064562</v>
      </c>
      <c r="Q10" s="57" t="n">
        <f aca="false">분석2_월별추이!E20</f>
        <v>58035745</v>
      </c>
      <c r="R10" s="57" t="n">
        <f aca="false">분석2_월별추이!E21</f>
        <v>57261063</v>
      </c>
      <c r="S10" s="57" t="n">
        <f aca="false">분석2_월별추이!E22</f>
        <v>59833797</v>
      </c>
      <c r="T10" s="57" t="n">
        <f aca="false">분석2_월별추이!E23</f>
        <v>60724322</v>
      </c>
      <c r="U10" s="57" t="n">
        <f aca="false">분석2_월별추이!E24</f>
        <v>58259332</v>
      </c>
      <c r="V10" s="57" t="n">
        <f aca="false">분석2_월별추이!E25</f>
        <v>65904118</v>
      </c>
      <c r="W10" s="57" t="n">
        <f aca="false">분석2_월별추이!E26</f>
        <v>59511578</v>
      </c>
      <c r="X10" s="57" t="n">
        <f aca="false">분석2_월별추이!E27</f>
        <v>60752618</v>
      </c>
      <c r="Y10" s="57" t="n">
        <f aca="false">분석2_월별추이!E28</f>
        <v>69513624</v>
      </c>
      <c r="Z10" s="57" t="n">
        <f aca="false">분석2_월별추이!E29</f>
        <v>65843937</v>
      </c>
      <c r="AA10" s="57" t="n">
        <f aca="false">분석2_월별추이!E30</f>
        <v>67642547</v>
      </c>
      <c r="AB10" s="57" t="n">
        <f aca="false">분석2_월별추이!E31</f>
        <v>87333128</v>
      </c>
      <c r="AC10" s="57" t="n">
        <f aca="false">분석2_월별추이!E32</f>
        <v>85751883</v>
      </c>
      <c r="AD10" s="57" t="n">
        <f aca="false">분석2_월별추이!E33</f>
        <v>87576083</v>
      </c>
      <c r="AE10" s="57" t="n">
        <f aca="false">분석2_월별추이!E34</f>
        <v>101956159</v>
      </c>
      <c r="AF10" s="57" t="n">
        <f aca="false">분석2_월별추이!E35</f>
        <v>98959099</v>
      </c>
    </row>
    <row r="11" customFormat="false" ht="15" hidden="false" customHeight="true" outlineLevel="0" collapsed="false">
      <c r="A11" s="6" t="s">
        <v>19875</v>
      </c>
      <c r="B11" s="57" t="n">
        <f aca="false">B10-B8</f>
        <v>40689628</v>
      </c>
      <c r="C11" s="57" t="n">
        <f aca="false">C10-C8</f>
        <v>37930344</v>
      </c>
      <c r="D11" s="57" t="n">
        <f aca="false">D10-D8</f>
        <v>40185421</v>
      </c>
      <c r="E11" s="57" t="n">
        <f aca="false">E10-E8</f>
        <v>41541020</v>
      </c>
      <c r="F11" s="57" t="n">
        <f aca="false">F10-F8</f>
        <v>41427917</v>
      </c>
      <c r="G11" s="57" t="n">
        <f aca="false">G10-G8</f>
        <v>38692492</v>
      </c>
      <c r="H11" s="57" t="n">
        <f aca="false">H10-H8</f>
        <v>40526495</v>
      </c>
      <c r="I11" s="57" t="n">
        <f aca="false">I10-I8</f>
        <v>39410551</v>
      </c>
      <c r="J11" s="57" t="n">
        <f aca="false">J10-J8</f>
        <v>38606219</v>
      </c>
      <c r="K11" s="57" t="n">
        <f aca="false">K10-K8</f>
        <v>39112282</v>
      </c>
      <c r="L11" s="57" t="n">
        <f aca="false">L10-L8</f>
        <v>38091633</v>
      </c>
      <c r="M11" s="57" t="n">
        <f aca="false">M10-M8</f>
        <v>41215622</v>
      </c>
      <c r="N11" s="57" t="n">
        <f aca="false">N10-N8</f>
        <v>34814142</v>
      </c>
      <c r="O11" s="57" t="n">
        <f aca="false">O10-O8</f>
        <v>38046720</v>
      </c>
      <c r="P11" s="57" t="n">
        <f aca="false">P10-P8</f>
        <v>39849378</v>
      </c>
      <c r="Q11" s="57" t="n">
        <f aca="false">Q10-Q8</f>
        <v>41633593</v>
      </c>
      <c r="R11" s="57" t="n">
        <f aca="false">R10-R8</f>
        <v>38513932</v>
      </c>
      <c r="S11" s="57" t="n">
        <f aca="false">S10-S8</f>
        <v>40077694</v>
      </c>
      <c r="T11" s="57" t="n">
        <f aca="false">T10-T8</f>
        <v>40873864</v>
      </c>
      <c r="U11" s="57" t="n">
        <f aca="false">U10-U8</f>
        <v>37414352</v>
      </c>
      <c r="V11" s="57" t="n">
        <f aca="false">V10-V8</f>
        <v>43071575</v>
      </c>
      <c r="W11" s="57" t="n">
        <f aca="false">W10-W8</f>
        <v>38250616</v>
      </c>
      <c r="X11" s="57" t="n">
        <f aca="false">X10-X8</f>
        <v>37585639</v>
      </c>
      <c r="Y11" s="57" t="n">
        <f aca="false">Y10-Y8</f>
        <v>42079633</v>
      </c>
      <c r="Z11" s="57" t="n">
        <f aca="false">Z10-Z8</f>
        <v>38929703</v>
      </c>
      <c r="AA11" s="57" t="n">
        <f aca="false">AA10-AA8</f>
        <v>36060668</v>
      </c>
      <c r="AB11" s="57" t="n">
        <f aca="false">AB10-AB8</f>
        <v>46491680</v>
      </c>
      <c r="AC11" s="57" t="n">
        <f aca="false">AC10-AC8</f>
        <v>45424727</v>
      </c>
      <c r="AD11" s="57" t="n">
        <f aca="false">AD10-AD8</f>
        <v>42017459</v>
      </c>
      <c r="AE11" s="57" t="n">
        <f aca="false">AE10-AE8</f>
        <v>47163646</v>
      </c>
      <c r="AF11" s="57" t="n">
        <f aca="false">AF10-AF8</f>
        <v>48164881</v>
      </c>
    </row>
    <row r="12" customFormat="false" ht="15" hidden="false" customHeight="true" outlineLevel="0" collapsed="false">
      <c r="A12" s="6" t="s">
        <v>19876</v>
      </c>
      <c r="B12" s="58" t="n">
        <f aca="false">B8/B10</f>
        <v>0.25626467480986</v>
      </c>
      <c r="C12" s="58" t="n">
        <f aca="false">C8/C10</f>
        <v>0.271640296111155</v>
      </c>
      <c r="D12" s="58" t="n">
        <f aca="false">D8/D10</f>
        <v>0.288984017550844</v>
      </c>
      <c r="E12" s="58" t="n">
        <f aca="false">E8/E10</f>
        <v>0.260155325453403</v>
      </c>
      <c r="F12" s="58" t="n">
        <f aca="false">F8/F10</f>
        <v>0.28597864029468</v>
      </c>
      <c r="G12" s="58" t="n">
        <f aca="false">G8/G10</f>
        <v>0.325228646257273</v>
      </c>
      <c r="H12" s="58" t="n">
        <f aca="false">H8/H10</f>
        <v>0.294685871202156</v>
      </c>
      <c r="I12" s="58" t="n">
        <f aca="false">I8/I10</f>
        <v>0.316298545160547</v>
      </c>
      <c r="J12" s="58" t="n">
        <f aca="false">J8/J10</f>
        <v>0.340568426928125</v>
      </c>
      <c r="K12" s="58" t="n">
        <f aca="false">K8/K10</f>
        <v>0.31978867131435</v>
      </c>
      <c r="L12" s="58" t="n">
        <f aca="false">L8/L10</f>
        <v>0.323280142424503</v>
      </c>
      <c r="M12" s="58" t="n">
        <f aca="false">M8/M10</f>
        <v>0.328289997025713</v>
      </c>
      <c r="N12" s="58" t="n">
        <f aca="false">N8/N10</f>
        <v>0.292064312036704</v>
      </c>
      <c r="O12" s="58" t="n">
        <f aca="false">O8/O10</f>
        <v>0.272422148721281</v>
      </c>
      <c r="P12" s="58" t="n">
        <f aca="false">P8/P10</f>
        <v>0.313705698839165</v>
      </c>
      <c r="Q12" s="58" t="n">
        <f aca="false">Q8/Q10</f>
        <v>0.282621546427982</v>
      </c>
      <c r="R12" s="58" t="n">
        <f aca="false">R8/R10</f>
        <v>0.327397537136186</v>
      </c>
      <c r="S12" s="58" t="n">
        <f aca="false">S8/S10</f>
        <v>0.33018300677124</v>
      </c>
      <c r="T12" s="58" t="n">
        <f aca="false">T8/T10</f>
        <v>0.326894683155129</v>
      </c>
      <c r="U12" s="58" t="n">
        <f aca="false">U8/U10</f>
        <v>0.357796412770404</v>
      </c>
      <c r="V12" s="58" t="n">
        <f aca="false">V8/V10</f>
        <v>0.346450930425926</v>
      </c>
      <c r="W12" s="58" t="n">
        <f aca="false">W8/W10</f>
        <v>0.357257574316043</v>
      </c>
      <c r="X12" s="58" t="n">
        <f aca="false">X8/X10</f>
        <v>0.381333015146771</v>
      </c>
      <c r="Y12" s="58" t="n">
        <f aca="false">Y8/Y10</f>
        <v>0.394656319457607</v>
      </c>
      <c r="Z12" s="58" t="n">
        <f aca="false">Z8/Z10</f>
        <v>0.40875796962141</v>
      </c>
      <c r="AA12" s="58" t="n">
        <f aca="false">AA8/AA10</f>
        <v>0.466893699316201</v>
      </c>
      <c r="AB12" s="58" t="n">
        <f aca="false">AB8/AB10</f>
        <v>0.467651267454888</v>
      </c>
      <c r="AC12" s="58" t="n">
        <f aca="false">AC8/AC10</f>
        <v>0.470277206624139</v>
      </c>
      <c r="AD12" s="58" t="n">
        <f aca="false">AD8/AD10</f>
        <v>0.520217648921339</v>
      </c>
      <c r="AE12" s="58" t="n">
        <f aca="false">AE8/AE10</f>
        <v>0.537412487263276</v>
      </c>
      <c r="AF12" s="58" t="n">
        <f aca="false">AF8/AF10</f>
        <v>0.513284968368598</v>
      </c>
    </row>
    <row r="14" customFormat="false" ht="14.25" hidden="false" customHeight="true" outlineLevel="0" collapsed="false">
      <c r="A14" s="23" t="s">
        <v>19877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customFormat="false" ht="15" hidden="false" customHeight="true" outlineLevel="0" collapsed="false">
      <c r="A15" s="5" t="s">
        <v>19674</v>
      </c>
      <c r="B15" s="44" t="s">
        <v>179</v>
      </c>
      <c r="C15" s="44" t="s">
        <v>187</v>
      </c>
      <c r="D15" s="44" t="s">
        <v>195</v>
      </c>
      <c r="E15" s="44" t="s">
        <v>203</v>
      </c>
      <c r="F15" s="44" t="s">
        <v>211</v>
      </c>
      <c r="G15" s="44" t="s">
        <v>219</v>
      </c>
      <c r="H15" s="44" t="s">
        <v>228</v>
      </c>
      <c r="I15" s="44" t="s">
        <v>236</v>
      </c>
      <c r="J15" s="44" t="s">
        <v>244</v>
      </c>
      <c r="K15" s="44" t="s">
        <v>252</v>
      </c>
      <c r="L15" s="44" t="s">
        <v>260</v>
      </c>
      <c r="M15" s="44" t="s">
        <v>268</v>
      </c>
      <c r="N15" s="44" t="s">
        <v>276</v>
      </c>
      <c r="O15" s="44" t="s">
        <v>284</v>
      </c>
      <c r="P15" s="44" t="s">
        <v>293</v>
      </c>
      <c r="Q15" s="44" t="s">
        <v>301</v>
      </c>
      <c r="R15" s="44" t="s">
        <v>309</v>
      </c>
      <c r="S15" s="44" t="s">
        <v>317</v>
      </c>
      <c r="T15" s="44" t="s">
        <v>325</v>
      </c>
    </row>
    <row r="16" customFormat="false" ht="15" hidden="false" customHeight="true" outlineLevel="0" collapsed="false">
      <c r="A16" s="6" t="s">
        <v>19878</v>
      </c>
      <c r="B16" s="59" t="n">
        <f aca="false">N7/B7-1</f>
        <v>0.0454641981611643</v>
      </c>
      <c r="C16" s="59" t="n">
        <f aca="false">O7/C7-1</f>
        <v>-0.0255442950127747</v>
      </c>
      <c r="D16" s="59" t="n">
        <f aca="false">P7/D7-1</f>
        <v>0.106528260309678</v>
      </c>
      <c r="E16" s="59" t="n">
        <f aca="false">Q7/E7-1</f>
        <v>0.14846608211343</v>
      </c>
      <c r="F16" s="59" t="n">
        <f aca="false">R7/F7-1</f>
        <v>0.182189347321464</v>
      </c>
      <c r="G16" s="59" t="n">
        <f aca="false">S7/G7-1</f>
        <v>0.107785519617006</v>
      </c>
      <c r="H16" s="59" t="n">
        <f aca="false">T7/H7-1</f>
        <v>0.27672787953839</v>
      </c>
      <c r="I16" s="59" t="n">
        <f aca="false">U7/I7-1</f>
        <v>0.244442657365068</v>
      </c>
      <c r="J16" s="59" t="n">
        <f aca="false">V7/J7-1</f>
        <v>0.21323888287192</v>
      </c>
      <c r="K16" s="59" t="n">
        <f aca="false">W7/K7-1</f>
        <v>0.227245701743131</v>
      </c>
      <c r="L16" s="59" t="n">
        <f aca="false">X7/L7-1</f>
        <v>0.353692032843093</v>
      </c>
      <c r="M16" s="59" t="n">
        <f aca="false">Y7/M7-1</f>
        <v>0.398235039163532</v>
      </c>
      <c r="N16" s="59" t="n">
        <f aca="false">Z7/N7-1</f>
        <v>0.939733724286884</v>
      </c>
      <c r="O16" s="59" t="n">
        <f aca="false">AA7/O7-1</f>
        <v>1.39547139220194</v>
      </c>
      <c r="P16" s="59" t="n">
        <f aca="false">AB7/P7-1</f>
        <v>1.37173682140631</v>
      </c>
      <c r="Q16" s="59" t="n">
        <f aca="false">AC7/Q7-1</f>
        <v>1.54520422239913</v>
      </c>
      <c r="R16" s="59" t="n">
        <f aca="false">AD7/R7-1</f>
        <v>1.536682982819</v>
      </c>
      <c r="S16" s="59" t="n">
        <f aca="false">AE7/S7-1</f>
        <v>1.82294165258297</v>
      </c>
      <c r="T16" s="59" t="n">
        <f aca="false">AF7/T7-1</f>
        <v>1.62091011575536</v>
      </c>
    </row>
    <row r="17" customFormat="false" ht="15" hidden="false" customHeight="true" outlineLevel="0" collapsed="false">
      <c r="A17" s="6" t="s">
        <v>19879</v>
      </c>
      <c r="B17" s="59" t="n">
        <f aca="false">N8/B8-1</f>
        <v>0.0244395316898232</v>
      </c>
      <c r="C17" s="59" t="n">
        <f aca="false">O8/C8-1</f>
        <v>0.0070362417879879</v>
      </c>
      <c r="D17" s="59" t="n">
        <f aca="false">P8/D8-1</f>
        <v>0.115245754455672</v>
      </c>
      <c r="E17" s="59" t="n">
        <f aca="false">Q8/E8-1</f>
        <v>0.1228752459647</v>
      </c>
      <c r="F17" s="59" t="n">
        <f aca="false">R8/F8-1</f>
        <v>0.129846184814472</v>
      </c>
      <c r="G17" s="59" t="n">
        <f aca="false">S8/G8-1</f>
        <v>0.0593572079616318</v>
      </c>
      <c r="H17" s="59" t="n">
        <f aca="false">T8/H8-1</f>
        <v>0.172343166988665</v>
      </c>
      <c r="I17" s="59" t="n">
        <f aca="false">U8/I8-1</f>
        <v>0.143294951238657</v>
      </c>
      <c r="J17" s="59" t="n">
        <f aca="false">V8/J8-1</f>
        <v>0.145149974867685</v>
      </c>
      <c r="K17" s="59" t="n">
        <f aca="false">W8/K8-1</f>
        <v>0.156246794768954</v>
      </c>
      <c r="L17" s="59" t="n">
        <f aca="false">X8/L8-1</f>
        <v>0.273121068994025</v>
      </c>
      <c r="M17" s="59" t="n">
        <f aca="false">Y8/M8-1</f>
        <v>0.361919064430697</v>
      </c>
      <c r="N17" s="59" t="n">
        <f aca="false">Z8/N8-1</f>
        <v>0.87387941745791</v>
      </c>
      <c r="O17" s="59" t="n">
        <f aca="false">AA8/O8-1</f>
        <v>1.21695970139793</v>
      </c>
      <c r="P17" s="59" t="n">
        <f aca="false">AB8/P8-1</f>
        <v>1.24216499816856</v>
      </c>
      <c r="Q17" s="59" t="n">
        <f aca="false">AC8/Q8-1</f>
        <v>1.45865030393573</v>
      </c>
      <c r="R17" s="59" t="n">
        <f aca="false">AD8/R8-1</f>
        <v>1.43016512766673</v>
      </c>
      <c r="S17" s="59" t="n">
        <f aca="false">AE8/S8-1</f>
        <v>1.77344742533484</v>
      </c>
      <c r="T17" s="59" t="n">
        <f aca="false">AF8/T8-1</f>
        <v>1.55884362970366</v>
      </c>
    </row>
    <row r="18" customFormat="false" ht="15" hidden="false" customHeight="true" outlineLevel="0" collapsed="false">
      <c r="A18" s="48" t="s">
        <v>19880</v>
      </c>
      <c r="B18" s="59" t="n">
        <f aca="false">N9/B9-1</f>
        <v>-0.0390112038464757</v>
      </c>
      <c r="C18" s="59" t="n">
        <f aca="false">O9/C9-1</f>
        <v>-0.0111406106837698</v>
      </c>
      <c r="D18" s="59" t="n">
        <f aca="false">P9/D9-1</f>
        <v>0.0878332825463919</v>
      </c>
      <c r="E18" s="59" t="n">
        <f aca="false">Q9/E9-1</f>
        <v>0.0968971812110502</v>
      </c>
      <c r="F18" s="59" t="n">
        <f aca="false">R9/F9-1</f>
        <v>0.0802207572177709</v>
      </c>
      <c r="G18" s="59" t="n">
        <f aca="false">S9/G9-1</f>
        <v>0.0310304010244824</v>
      </c>
      <c r="H18" s="59" t="n">
        <f aca="false">T9/H9-1</f>
        <v>0.117712139323144</v>
      </c>
      <c r="I18" s="59" t="n">
        <f aca="false">U9/I9-1</f>
        <v>0.091772977496025</v>
      </c>
      <c r="J18" s="59" t="n">
        <f aca="false">V9/J9-1</f>
        <v>0.116772642004379</v>
      </c>
      <c r="K18" s="59" t="n">
        <f aca="false">W9/K9-1</f>
        <v>0.0913510169873566</v>
      </c>
      <c r="L18" s="59" t="n">
        <f aca="false">X9/L9-1</f>
        <v>0.208063175679291</v>
      </c>
      <c r="M18" s="59" t="n">
        <f aca="false">Y9/M9-1</f>
        <v>0.308337023762268</v>
      </c>
      <c r="N18" s="59" t="n">
        <f aca="false">Z9/N9-1</f>
        <v>0.727055033719935</v>
      </c>
      <c r="O18" s="59" t="n">
        <f aca="false">AA9/O9-1</f>
        <v>0.859156798154595</v>
      </c>
      <c r="P18" s="59" t="n">
        <f aca="false">AB9/P9-1</f>
        <v>0.96787713807326</v>
      </c>
      <c r="Q18" s="59" t="n">
        <f aca="false">AC9/Q9-1</f>
        <v>1.1177624870716</v>
      </c>
      <c r="R18" s="59" t="n">
        <f aca="false">AD9/R9-1</f>
        <v>1.1388505659863</v>
      </c>
      <c r="S18" s="59" t="n">
        <f aca="false">AE9/S9-1</f>
        <v>1.36906317882046</v>
      </c>
      <c r="T18" s="59" t="n">
        <f aca="false">AF9/T9-1</f>
        <v>1.27200502534358</v>
      </c>
    </row>
    <row r="19" customFormat="false" ht="15" hidden="false" customHeight="true" outlineLevel="0" collapsed="false">
      <c r="A19" s="6" t="s">
        <v>19881</v>
      </c>
      <c r="B19" s="59" t="n">
        <f aca="false">N11/B11-1</f>
        <v>-0.144397633716386</v>
      </c>
      <c r="C19" s="59" t="n">
        <f aca="false">O11/C11-1</f>
        <v>0.00306815039694874</v>
      </c>
      <c r="D19" s="59" t="n">
        <f aca="false">P11/D11-1</f>
        <v>-0.00836231129692533</v>
      </c>
      <c r="E19" s="59" t="n">
        <f aca="false">Q11/E11-1</f>
        <v>0.00222847200189125</v>
      </c>
      <c r="F19" s="59" t="n">
        <f aca="false">R11/F11-1</f>
        <v>-0.0703386800741153</v>
      </c>
      <c r="G19" s="59" t="n">
        <f aca="false">S11/G11-1</f>
        <v>0.0358002787724296</v>
      </c>
      <c r="H19" s="59" t="n">
        <f aca="false">T11/H11-1</f>
        <v>0.00857140495372222</v>
      </c>
      <c r="I19" s="59" t="n">
        <f aca="false">U11/I11-1</f>
        <v>-0.0506513852090015</v>
      </c>
      <c r="J19" s="59" t="n">
        <f aca="false">V11/J11-1</f>
        <v>0.115664162812732</v>
      </c>
      <c r="K19" s="59" t="n">
        <f aca="false">W11/K11-1</f>
        <v>-0.0220305734142539</v>
      </c>
      <c r="L19" s="59" t="n">
        <f aca="false">X11/L11-1</f>
        <v>-0.0132835995768414</v>
      </c>
      <c r="M19" s="59" t="n">
        <f aca="false">Y11/M11-1</f>
        <v>0.0209631920634366</v>
      </c>
      <c r="N19" s="59" t="n">
        <f aca="false">Z11/N11-1</f>
        <v>0.11821520691218</v>
      </c>
      <c r="O19" s="59" t="n">
        <f aca="false">AA11/O11-1</f>
        <v>-0.0522003473624008</v>
      </c>
      <c r="P19" s="59" t="n">
        <f aca="false">AB11/P11-1</f>
        <v>0.166685211498157</v>
      </c>
      <c r="Q19" s="59" t="n">
        <f aca="false">AC11/Q11-1</f>
        <v>0.0910594961141116</v>
      </c>
      <c r="R19" s="59" t="n">
        <f aca="false">AD11/R11-1</f>
        <v>0.0909677827753344</v>
      </c>
      <c r="S19" s="59" t="n">
        <f aca="false">AE11/S11-1</f>
        <v>0.176805382066144</v>
      </c>
      <c r="T19" s="59" t="n">
        <f aca="false">AF11/T11-1</f>
        <v>0.178378462090102</v>
      </c>
    </row>
    <row r="20" customFormat="false" ht="15" hidden="false" customHeight="true" outlineLevel="0" collapsed="false">
      <c r="A20" s="6" t="s">
        <v>19882</v>
      </c>
      <c r="B20" s="59" t="n">
        <f aca="false">N10/B10-1</f>
        <v>-0.101130632427745</v>
      </c>
      <c r="C20" s="59" t="n">
        <f aca="false">O10/C10-1</f>
        <v>0.00414604391740681</v>
      </c>
      <c r="D20" s="59" t="n">
        <f aca="false">P10/D10-1</f>
        <v>0.0273584441459493</v>
      </c>
      <c r="E20" s="59" t="n">
        <f aca="false">Q10/E10-1</f>
        <v>0.0336153727470889</v>
      </c>
      <c r="F20" s="59" t="n">
        <f aca="false">R10/F10-1</f>
        <v>-0.0130900846057028</v>
      </c>
      <c r="G20" s="59" t="n">
        <f aca="false">S10/G10-1</f>
        <v>0.0434616669626122</v>
      </c>
      <c r="H20" s="59" t="n">
        <f aca="false">T10/H10-1</f>
        <v>0.0568326293273016</v>
      </c>
      <c r="I20" s="59" t="n">
        <f aca="false">U10/I10-1</f>
        <v>0.0106935588486108</v>
      </c>
      <c r="J20" s="59" t="n">
        <f aca="false">V10/J10-1</f>
        <v>0.125706099440986</v>
      </c>
      <c r="K20" s="59" t="n">
        <f aca="false">W10/K10-1</f>
        <v>0.0349805092824733</v>
      </c>
      <c r="L20" s="59" t="n">
        <f aca="false">X10/L10-1</f>
        <v>0.0793053424697909</v>
      </c>
      <c r="M20" s="59" t="n">
        <f aca="false">Y10/M10-1</f>
        <v>0.132895594388784</v>
      </c>
      <c r="N20" s="59" t="n">
        <f aca="false">Z10/N10-1</f>
        <v>0.338917754695977</v>
      </c>
      <c r="O20" s="59" t="n">
        <f aca="false">AA10/O10-1</f>
        <v>0.293546960192094</v>
      </c>
      <c r="P20" s="59" t="n">
        <f aca="false">AB10/P10-1</f>
        <v>0.504069349562992</v>
      </c>
      <c r="Q20" s="59" t="n">
        <f aca="false">AC10/Q10-1</f>
        <v>0.477570125101349</v>
      </c>
      <c r="R20" s="59" t="n">
        <f aca="false">AD10/R10-1</f>
        <v>0.529417695232099</v>
      </c>
      <c r="S20" s="59" t="n">
        <f aca="false">AE10/S10-1</f>
        <v>0.70398945264998</v>
      </c>
      <c r="T20" s="59" t="n">
        <f aca="false">AF10/T10-1</f>
        <v>0.629645185663827</v>
      </c>
    </row>
    <row r="21" customFormat="false" ht="15" hidden="false" customHeight="true" outlineLevel="0" collapsed="false">
      <c r="A21" s="6" t="s">
        <v>19883</v>
      </c>
      <c r="B21" s="60" t="n">
        <f aca="false">(B17-B19)*100</f>
        <v>16.8837165406209</v>
      </c>
      <c r="C21" s="60" t="n">
        <f aca="false">(C17-C19)*100</f>
        <v>0.396809139103915</v>
      </c>
      <c r="D21" s="60" t="n">
        <f aca="false">(D17-D19)*100</f>
        <v>12.3608065752598</v>
      </c>
      <c r="E21" s="60" t="n">
        <f aca="false">(E17-E19)*100</f>
        <v>12.0646773962809</v>
      </c>
      <c r="F21" s="60" t="n">
        <f aca="false">(F17-F19)*100</f>
        <v>20.0184864888587</v>
      </c>
      <c r="G21" s="60" t="n">
        <f aca="false">(G17-G19)*100</f>
        <v>2.35569291892022</v>
      </c>
      <c r="H21" s="60" t="n">
        <f aca="false">(H17-H19)*100</f>
        <v>16.3771762034943</v>
      </c>
      <c r="I21" s="60" t="n">
        <f aca="false">(I17-I19)*100</f>
        <v>19.3946336447658</v>
      </c>
      <c r="J21" s="60" t="n">
        <f aca="false">(J17-J19)*100</f>
        <v>2.9485812054953</v>
      </c>
      <c r="K21" s="60" t="n">
        <f aca="false">(K17-K19)*100</f>
        <v>17.8277368183208</v>
      </c>
      <c r="L21" s="60" t="n">
        <f aca="false">(L17-L19)*100</f>
        <v>28.6404668570867</v>
      </c>
      <c r="M21" s="60" t="n">
        <f aca="false">(M17-M19)*100</f>
        <v>34.0955872367261</v>
      </c>
      <c r="N21" s="60" t="n">
        <f aca="false">(N17-N19)*100</f>
        <v>75.566421054573</v>
      </c>
      <c r="O21" s="60" t="n">
        <f aca="false">(O17-O19)*100</f>
        <v>126.916004876033</v>
      </c>
      <c r="P21" s="60" t="n">
        <f aca="false">(P17-P19)*100</f>
        <v>107.54797866704</v>
      </c>
      <c r="Q21" s="60" t="n">
        <f aca="false">(Q17-Q19)*100</f>
        <v>136.759080782162</v>
      </c>
      <c r="R21" s="60" t="n">
        <f aca="false">(R17-R19)*100</f>
        <v>133.91973448914</v>
      </c>
      <c r="S21" s="60" t="n">
        <f aca="false">(S17-S19)*100</f>
        <v>159.66420432687</v>
      </c>
      <c r="T21" s="60" t="n">
        <f aca="false">(T17-T19)*100</f>
        <v>138.046516761356</v>
      </c>
    </row>
    <row r="22" customFormat="false" ht="15" hidden="false" customHeight="true" outlineLevel="0" collapsed="false">
      <c r="A22" s="6" t="s">
        <v>19884</v>
      </c>
      <c r="B22" s="61" t="str">
        <f aca="false">IF(B17&gt;B19,"반도체","비반도체")</f>
        <v>반도체</v>
      </c>
      <c r="C22" s="61" t="str">
        <f aca="false">IF(C17&gt;C19,"반도체","비반도체")</f>
        <v>반도체</v>
      </c>
      <c r="D22" s="61" t="str">
        <f aca="false">IF(D17&gt;D19,"반도체","비반도체")</f>
        <v>반도체</v>
      </c>
      <c r="E22" s="61" t="str">
        <f aca="false">IF(E17&gt;E19,"반도체","비반도체")</f>
        <v>반도체</v>
      </c>
      <c r="F22" s="61" t="str">
        <f aca="false">IF(F17&gt;F19,"반도체","비반도체")</f>
        <v>반도체</v>
      </c>
      <c r="G22" s="61" t="str">
        <f aca="false">IF(G17&gt;G19,"반도체","비반도체")</f>
        <v>반도체</v>
      </c>
      <c r="H22" s="61" t="str">
        <f aca="false">IF(H17&gt;H19,"반도체","비반도체")</f>
        <v>반도체</v>
      </c>
      <c r="I22" s="61" t="str">
        <f aca="false">IF(I17&gt;I19,"반도체","비반도체")</f>
        <v>반도체</v>
      </c>
      <c r="J22" s="61" t="str">
        <f aca="false">IF(J17&gt;J19,"반도체","비반도체")</f>
        <v>반도체</v>
      </c>
      <c r="K22" s="61" t="str">
        <f aca="false">IF(K17&gt;K19,"반도체","비반도체")</f>
        <v>반도체</v>
      </c>
      <c r="L22" s="61" t="str">
        <f aca="false">IF(L17&gt;L19,"반도체","비반도체")</f>
        <v>반도체</v>
      </c>
      <c r="M22" s="61" t="str">
        <f aca="false">IF(M17&gt;M19,"반도체","비반도체")</f>
        <v>반도체</v>
      </c>
      <c r="N22" s="61" t="str">
        <f aca="false">IF(N17&gt;N19,"반도체","비반도체")</f>
        <v>반도체</v>
      </c>
      <c r="O22" s="61" t="str">
        <f aca="false">IF(O17&gt;O19,"반도체","비반도체")</f>
        <v>반도체</v>
      </c>
      <c r="P22" s="61" t="str">
        <f aca="false">IF(P17&gt;P19,"반도체","비반도체")</f>
        <v>반도체</v>
      </c>
      <c r="Q22" s="61" t="str">
        <f aca="false">IF(Q17&gt;Q19,"반도체","비반도체")</f>
        <v>반도체</v>
      </c>
      <c r="R22" s="61" t="str">
        <f aca="false">IF(R17&gt;R19,"반도체","비반도체")</f>
        <v>반도체</v>
      </c>
      <c r="S22" s="61" t="str">
        <f aca="false">IF(S17&gt;S19,"반도체","비반도체")</f>
        <v>반도체</v>
      </c>
      <c r="T22" s="61" t="str">
        <f aca="false">IF(T17&gt;T19,"반도체","비반도체")</f>
        <v>반도체</v>
      </c>
    </row>
    <row r="23" customFormat="false" ht="15" hidden="false" customHeight="true" outlineLevel="0" collapsed="false">
      <c r="A23" s="6" t="s">
        <v>19885</v>
      </c>
      <c r="B23" s="58" t="n">
        <f aca="false">IFERROR((N8-B8)/(N10-B10),"-")</f>
        <v>-0.0619296892607936</v>
      </c>
      <c r="C23" s="58" t="n">
        <f aca="false">IFERROR((O8-C8)/(O10-C10),"-")</f>
        <v>0.461000134314602</v>
      </c>
      <c r="D23" s="58" t="n">
        <f aca="false">IFERROR((P8-D8)/(P10-D10),"-")</f>
        <v>1.21732730672147</v>
      </c>
      <c r="E23" s="58" t="n">
        <f aca="false">IFERROR((Q8-E8)/(Q10-E10),"-")</f>
        <v>0.950953298796363</v>
      </c>
      <c r="F23" s="58" t="n">
        <f aca="false">IFERROR((R8-F8)/(R10-F10),"-")</f>
        <v>-2.83674525407706</v>
      </c>
      <c r="G23" s="58" t="n">
        <f aca="false">IFERROR((S8-G8)/(S10-G10),"-")</f>
        <v>0.444176805449724</v>
      </c>
      <c r="H23" s="58" t="n">
        <f aca="false">IFERROR((T8-H8)/(T10-H10),"-")</f>
        <v>0.89362566734874</v>
      </c>
      <c r="I23" s="58" t="n">
        <f aca="false">IFERROR((U8-I8)/(U10-I10),"-")</f>
        <v>4.23843785285071</v>
      </c>
      <c r="J23" s="58" t="n">
        <f aca="false">IFERROR((V8-J8)/(V10-J10),"-")</f>
        <v>0.39324661913125</v>
      </c>
      <c r="K23" s="58" t="n">
        <f aca="false">IFERROR((W8-K8)/(W10-K10),"-")</f>
        <v>1.42839415209214</v>
      </c>
      <c r="L23" s="58" t="n">
        <f aca="false">IFERROR((X8-L8)/(X10-L10),"-")</f>
        <v>1.11335018970701</v>
      </c>
      <c r="M23" s="58" t="n">
        <f aca="false">IFERROR((Y8-M8)/(Y10-M10),"-")</f>
        <v>0.894043245992887</v>
      </c>
      <c r="N23" s="58" t="n">
        <f aca="false">IFERROR((Z8-N8)/(Z10-N10),"-")</f>
        <v>0.753070582247397</v>
      </c>
      <c r="O23" s="58" t="n">
        <f aca="false">IFERROR((AA8-O8)/(AA10-O10),"-")</f>
        <v>1.12938242162373</v>
      </c>
      <c r="P23" s="58" t="n">
        <f aca="false">IFERROR((AB8-P8)/(AB10-P10),"-")</f>
        <v>0.773056800937907</v>
      </c>
      <c r="Q23" s="58" t="n">
        <f aca="false">IFERROR((AC8-Q8)/(AC10-Q10),"-")</f>
        <v>0.863215647143913</v>
      </c>
      <c r="R23" s="58" t="n">
        <f aca="false">IFERROR((AD8-R8)/(AD10-R10),"-")</f>
        <v>0.884429335689041</v>
      </c>
      <c r="S23" s="58" t="n">
        <f aca="false">IFERROR((AE8-S8)/(AE10-S10),"-")</f>
        <v>0.831776954958034</v>
      </c>
      <c r="T23" s="58" t="n">
        <f aca="false">IFERROR((AF8-T8)/(AF10-T10),"-")</f>
        <v>0.809309284058333</v>
      </c>
    </row>
    <row r="24" customFormat="false" ht="15" hidden="false" customHeight="true" outlineLevel="0" collapsed="false">
      <c r="A24" s="6" t="s">
        <v>19886</v>
      </c>
      <c r="B24" s="58" t="n">
        <f aca="false">IFERROR((N11-B11)/(N10-B10),"-")</f>
        <v>1.06192968926079</v>
      </c>
      <c r="C24" s="58" t="n">
        <f aca="false">IFERROR((O11-C11)/(O10-C10),"-")</f>
        <v>0.538999865685398</v>
      </c>
      <c r="D24" s="58" t="n">
        <f aca="false">IFERROR((P11-D11)/(P10-D10),"-")</f>
        <v>-0.217327306721474</v>
      </c>
      <c r="E24" s="58" t="n">
        <f aca="false">IFERROR((Q11-E11)/(Q10-E10),"-")</f>
        <v>0.0490467012036371</v>
      </c>
      <c r="F24" s="58" t="n">
        <f aca="false">IFERROR((R11-F11)/(R10-F10),"-")</f>
        <v>3.83674525407706</v>
      </c>
      <c r="G24" s="58" t="n">
        <f aca="false">IFERROR((S11-G11)/(S10-G10),"-")</f>
        <v>0.555823194550276</v>
      </c>
      <c r="H24" s="58" t="n">
        <f aca="false">IFERROR((T11-H11)/(T10-H10),"-")</f>
        <v>0.10637433265126</v>
      </c>
      <c r="I24" s="58" t="n">
        <f aca="false">IFERROR((U11-I11)/(U10-I10),"-")</f>
        <v>-3.23843785285071</v>
      </c>
      <c r="J24" s="58" t="n">
        <f aca="false">IFERROR((V11-J11)/(V10-J10),"-")</f>
        <v>0.60675338086875</v>
      </c>
      <c r="K24" s="58" t="n">
        <f aca="false">IFERROR((W11-K11)/(W10-K10),"-")</f>
        <v>-0.428394152092139</v>
      </c>
      <c r="L24" s="58" t="n">
        <f aca="false">IFERROR((X11-L11)/(X10-L10),"-")</f>
        <v>-0.113350189707009</v>
      </c>
      <c r="M24" s="58" t="n">
        <f aca="false">IFERROR((Y11-M11)/(Y10-M10),"-")</f>
        <v>0.105956754007113</v>
      </c>
      <c r="N24" s="58" t="n">
        <f aca="false">IFERROR((Z11-N11)/(Z10-N10),"-")</f>
        <v>0.246929417752603</v>
      </c>
      <c r="O24" s="58" t="n">
        <f aca="false">IFERROR((AA11-O11)/(AA10-O10),"-")</f>
        <v>-0.129382421623732</v>
      </c>
      <c r="P24" s="58" t="n">
        <f aca="false">IFERROR((AB11-P11)/(AB10-P10),"-")</f>
        <v>0.226943199062093</v>
      </c>
      <c r="Q24" s="58" t="n">
        <f aca="false">IFERROR((AC11-Q11)/(AC10-Q10),"-")</f>
        <v>0.136784352856087</v>
      </c>
      <c r="R24" s="58" t="n">
        <f aca="false">IFERROR((AD11-R11)/(AD10-R10),"-")</f>
        <v>0.115570664310959</v>
      </c>
      <c r="S24" s="58" t="n">
        <f aca="false">IFERROR((AE11-S11)/(AE10-S10),"-")</f>
        <v>0.168223045041966</v>
      </c>
      <c r="T24" s="58" t="n">
        <f aca="false">IFERROR((AF11-T11)/(AF10-T10),"-")</f>
        <v>0.190690715941667</v>
      </c>
    </row>
    <row r="25" customFormat="false" ht="15" hidden="false" customHeight="true" outlineLevel="0" collapsed="false">
      <c r="A25" s="3" t="s">
        <v>19887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7" customFormat="false" ht="14.25" hidden="false" customHeight="true" outlineLevel="0" collapsed="false">
      <c r="A27" s="23" t="s">
        <v>19888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customFormat="false" ht="15" hidden="false" customHeight="true" outlineLevel="0" collapsed="false">
      <c r="A28" s="5" t="s">
        <v>19674</v>
      </c>
      <c r="B28" s="44" t="s">
        <v>179</v>
      </c>
      <c r="C28" s="44" t="s">
        <v>187</v>
      </c>
      <c r="D28" s="44" t="s">
        <v>195</v>
      </c>
      <c r="E28" s="44" t="s">
        <v>203</v>
      </c>
      <c r="F28" s="44" t="s">
        <v>211</v>
      </c>
      <c r="G28" s="44" t="s">
        <v>219</v>
      </c>
      <c r="H28" s="44" t="s">
        <v>228</v>
      </c>
      <c r="I28" s="44" t="s">
        <v>236</v>
      </c>
      <c r="J28" s="44" t="s">
        <v>244</v>
      </c>
      <c r="K28" s="44" t="s">
        <v>252</v>
      </c>
      <c r="L28" s="44" t="s">
        <v>260</v>
      </c>
      <c r="M28" s="44" t="s">
        <v>268</v>
      </c>
      <c r="N28" s="44" t="s">
        <v>276</v>
      </c>
      <c r="O28" s="44" t="s">
        <v>284</v>
      </c>
      <c r="P28" s="44" t="s">
        <v>293</v>
      </c>
      <c r="Q28" s="44" t="s">
        <v>301</v>
      </c>
      <c r="R28" s="44" t="s">
        <v>309</v>
      </c>
      <c r="S28" s="44" t="s">
        <v>317</v>
      </c>
      <c r="T28" s="44" t="s">
        <v>325</v>
      </c>
    </row>
    <row r="29" customFormat="false" ht="15" hidden="false" customHeight="true" outlineLevel="0" collapsed="false">
      <c r="A29" s="6" t="s">
        <v>19889</v>
      </c>
      <c r="B29" s="57" t="n">
        <f aca="false">N10-B10</f>
        <v>-5532839</v>
      </c>
      <c r="C29" s="57" t="n">
        <f aca="false">O10-C10</f>
        <v>215911</v>
      </c>
      <c r="D29" s="57" t="n">
        <f aca="false">P10-D10</f>
        <v>1546253</v>
      </c>
      <c r="E29" s="57" t="n">
        <f aca="false">Q10-E10</f>
        <v>1887446</v>
      </c>
      <c r="F29" s="57" t="n">
        <f aca="false">R10-F10</f>
        <v>-759494</v>
      </c>
      <c r="G29" s="57" t="n">
        <f aca="false">S10-G10</f>
        <v>2492163</v>
      </c>
      <c r="H29" s="57" t="n">
        <f aca="false">T10-H10</f>
        <v>3265534</v>
      </c>
      <c r="I29" s="57" t="n">
        <f aca="false">U10-I10</f>
        <v>616408</v>
      </c>
      <c r="J29" s="57" t="n">
        <f aca="false">V10-J10</f>
        <v>7359425</v>
      </c>
      <c r="K29" s="57" t="n">
        <f aca="false">W10-K10</f>
        <v>2011386</v>
      </c>
      <c r="L29" s="57" t="n">
        <f aca="false">X10-L10</f>
        <v>4463989</v>
      </c>
      <c r="M29" s="57" t="n">
        <f aca="false">Y10-M10</f>
        <v>8154374</v>
      </c>
      <c r="N29" s="57" t="n">
        <f aca="false">Z10-N10</f>
        <v>16666953</v>
      </c>
      <c r="O29" s="57" t="n">
        <f aca="false">AA10-O10</f>
        <v>15350246</v>
      </c>
      <c r="P29" s="57" t="n">
        <f aca="false">AB10-P10</f>
        <v>29268566</v>
      </c>
      <c r="Q29" s="57" t="n">
        <f aca="false">AC10-Q10</f>
        <v>27716138</v>
      </c>
      <c r="R29" s="57" t="n">
        <f aca="false">AD10-R10</f>
        <v>30315020</v>
      </c>
      <c r="S29" s="57" t="n">
        <f aca="false">AE10-S10</f>
        <v>42122362</v>
      </c>
      <c r="T29" s="57" t="n">
        <f aca="false">AF10-T10</f>
        <v>38234777</v>
      </c>
    </row>
    <row r="30" customFormat="false" ht="15" hidden="false" customHeight="true" outlineLevel="0" collapsed="false">
      <c r="A30" s="6" t="s">
        <v>19890</v>
      </c>
      <c r="B30" s="57" t="n">
        <f aca="false">N8-B8</f>
        <v>342647</v>
      </c>
      <c r="C30" s="57" t="n">
        <f aca="false">O8-C8</f>
        <v>99535</v>
      </c>
      <c r="D30" s="57" t="n">
        <f aca="false">P8-D8</f>
        <v>1882296</v>
      </c>
      <c r="E30" s="57" t="n">
        <f aca="false">Q8-E8</f>
        <v>1794873</v>
      </c>
      <c r="F30" s="57" t="n">
        <f aca="false">R8-F8</f>
        <v>2154491</v>
      </c>
      <c r="G30" s="57" t="n">
        <f aca="false">S8-G8</f>
        <v>1106961</v>
      </c>
      <c r="H30" s="57" t="n">
        <f aca="false">T8-H8</f>
        <v>2918165</v>
      </c>
      <c r="I30" s="57" t="n">
        <f aca="false">U8-I8</f>
        <v>2612607</v>
      </c>
      <c r="J30" s="57" t="n">
        <f aca="false">V8-J8</f>
        <v>2894069</v>
      </c>
      <c r="K30" s="57" t="n">
        <f aca="false">W8-K8</f>
        <v>2873052</v>
      </c>
      <c r="L30" s="57" t="n">
        <f aca="false">X8-L8</f>
        <v>4969983</v>
      </c>
      <c r="M30" s="57" t="n">
        <f aca="false">Y8-M8</f>
        <v>7290363</v>
      </c>
      <c r="N30" s="57" t="n">
        <f aca="false">Z8-N8</f>
        <v>12551392</v>
      </c>
      <c r="O30" s="57" t="n">
        <f aca="false">AA8-O8</f>
        <v>17336298</v>
      </c>
      <c r="P30" s="57" t="n">
        <f aca="false">AB8-P8</f>
        <v>22626264</v>
      </c>
      <c r="Q30" s="57" t="n">
        <f aca="false">AC8-Q8</f>
        <v>23925004</v>
      </c>
      <c r="R30" s="57" t="n">
        <f aca="false">AD8-R8</f>
        <v>26811493</v>
      </c>
      <c r="S30" s="57" t="n">
        <f aca="false">AE8-S8</f>
        <v>35036410</v>
      </c>
      <c r="T30" s="57" t="n">
        <f aca="false">AF8-T8</f>
        <v>30943760</v>
      </c>
    </row>
    <row r="31" customFormat="false" ht="15" hidden="false" customHeight="true" outlineLevel="0" collapsed="false">
      <c r="A31" s="6" t="s">
        <v>19891</v>
      </c>
      <c r="B31" s="57" t="n">
        <f aca="false">N11-B11</f>
        <v>-5875486</v>
      </c>
      <c r="C31" s="57" t="n">
        <f aca="false">O11-C11</f>
        <v>116376</v>
      </c>
      <c r="D31" s="57" t="n">
        <f aca="false">P11-D11</f>
        <v>-336043</v>
      </c>
      <c r="E31" s="57" t="n">
        <f aca="false">Q11-E11</f>
        <v>92573</v>
      </c>
      <c r="F31" s="57" t="n">
        <f aca="false">R11-F11</f>
        <v>-2913985</v>
      </c>
      <c r="G31" s="57" t="n">
        <f aca="false">S11-G11</f>
        <v>1385202</v>
      </c>
      <c r="H31" s="57" t="n">
        <f aca="false">T11-H11</f>
        <v>347369</v>
      </c>
      <c r="I31" s="57" t="n">
        <f aca="false">U11-I11</f>
        <v>-1996199</v>
      </c>
      <c r="J31" s="57" t="n">
        <f aca="false">V11-J11</f>
        <v>4465356</v>
      </c>
      <c r="K31" s="57" t="n">
        <f aca="false">W11-K11</f>
        <v>-861666</v>
      </c>
      <c r="L31" s="57" t="n">
        <f aca="false">X11-L11</f>
        <v>-505994</v>
      </c>
      <c r="M31" s="57" t="n">
        <f aca="false">Y11-M11</f>
        <v>864011</v>
      </c>
      <c r="N31" s="57" t="n">
        <f aca="false">Z11-N11</f>
        <v>4115561</v>
      </c>
      <c r="O31" s="57" t="n">
        <f aca="false">AA11-O11</f>
        <v>-1986052</v>
      </c>
      <c r="P31" s="57" t="n">
        <f aca="false">AB11-P11</f>
        <v>6642302</v>
      </c>
      <c r="Q31" s="57" t="n">
        <f aca="false">AC11-Q11</f>
        <v>3791134</v>
      </c>
      <c r="R31" s="57" t="n">
        <f aca="false">AD11-R11</f>
        <v>3503527</v>
      </c>
      <c r="S31" s="57" t="n">
        <f aca="false">AE11-S11</f>
        <v>7085952</v>
      </c>
      <c r="T31" s="57" t="n">
        <f aca="false">AF11-T11</f>
        <v>7291017</v>
      </c>
    </row>
    <row r="32" customFormat="false" ht="15" hidden="false" customHeight="true" outlineLevel="0" collapsed="false">
      <c r="A32" s="48" t="s">
        <v>19892</v>
      </c>
      <c r="B32" s="57" t="n">
        <f aca="false">N9-B9</f>
        <v>-588759</v>
      </c>
      <c r="C32" s="57" t="n">
        <f aca="false">O9-C9</f>
        <v>-169923</v>
      </c>
      <c r="D32" s="57" t="n">
        <f aca="false">P9-D9</f>
        <v>1462535</v>
      </c>
      <c r="E32" s="57" t="n">
        <f aca="false">Q9-E9</f>
        <v>1510482</v>
      </c>
      <c r="F32" s="57" t="n">
        <f aca="false">R9-F9</f>
        <v>1396853</v>
      </c>
      <c r="G32" s="57" t="n">
        <f aca="false">S9-G9</f>
        <v>587943</v>
      </c>
      <c r="H32" s="57" t="n">
        <f aca="false">T9-H9</f>
        <v>2105239</v>
      </c>
      <c r="I32" s="57" t="n">
        <f aca="false">U9-I9</f>
        <v>1720158</v>
      </c>
      <c r="J32" s="57" t="n">
        <f aca="false">V9-J9</f>
        <v>2336382</v>
      </c>
      <c r="K32" s="57" t="n">
        <f aca="false">W9-K9</f>
        <v>1740263</v>
      </c>
      <c r="L32" s="57" t="n">
        <f aca="false">X9-L9</f>
        <v>3830653</v>
      </c>
      <c r="M32" s="57" t="n">
        <f aca="false">Y9-M9</f>
        <v>6125641</v>
      </c>
      <c r="N32" s="57" t="n">
        <f aca="false">Z9-N9</f>
        <v>10544690</v>
      </c>
      <c r="O32" s="57" t="n">
        <f aca="false">AA9-O9</f>
        <v>12958363</v>
      </c>
      <c r="P32" s="57" t="n">
        <f aca="false">AB9-P9</f>
        <v>17531930</v>
      </c>
      <c r="Q32" s="57" t="n">
        <f aca="false">AC9-Q9</f>
        <v>19112604</v>
      </c>
      <c r="R32" s="57" t="n">
        <f aca="false">AD9-R9</f>
        <v>21421171</v>
      </c>
      <c r="S32" s="57" t="n">
        <f aca="false">AE9-S9</f>
        <v>26745012</v>
      </c>
      <c r="T32" s="57" t="n">
        <f aca="false">AF9-T9</f>
        <v>25427224</v>
      </c>
    </row>
    <row r="34" customFormat="false" ht="14.25" hidden="false" customHeight="true" outlineLevel="0" collapsed="false">
      <c r="A34" s="23" t="s">
        <v>19893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customFormat="false" ht="15" hidden="false" customHeight="true" outlineLevel="0" collapsed="false">
      <c r="A35" s="5" t="s">
        <v>19674</v>
      </c>
      <c r="B35" s="44" t="s">
        <v>19894</v>
      </c>
      <c r="C35" s="44" t="s">
        <v>19895</v>
      </c>
      <c r="D35" s="44" t="s">
        <v>19896</v>
      </c>
      <c r="E35" s="44" t="s">
        <v>19897</v>
      </c>
      <c r="F35" s="44" t="s">
        <v>19898</v>
      </c>
      <c r="G35" s="44" t="s">
        <v>19763</v>
      </c>
    </row>
    <row r="36" customFormat="false" ht="15" hidden="false" customHeight="true" outlineLevel="0" collapsed="false">
      <c r="A36" s="7" t="s">
        <v>19899</v>
      </c>
      <c r="B36" s="25" t="n">
        <f aca="false">B7+C7+D7+E7+F7+G7+H7</f>
        <v>87329460</v>
      </c>
      <c r="C36" s="25" t="n">
        <f aca="false">N7+O7+P7+Q7+R7+S7+T7</f>
        <v>98118505</v>
      </c>
      <c r="D36" s="25" t="n">
        <f aca="false">Z7+AA7+AB7+AC7+AD7+AE7+AF7</f>
        <v>244336428</v>
      </c>
      <c r="E36" s="36" t="n">
        <f aca="false">C36/B36-1</f>
        <v>0.123544162531178</v>
      </c>
      <c r="F36" s="36" t="n">
        <f aca="false">D36/C36-1</f>
        <v>1.49021759962608</v>
      </c>
      <c r="G36" s="34" t="n">
        <f aca="false">D36/D$40</f>
        <v>0.410606096059408</v>
      </c>
    </row>
    <row r="37" customFormat="false" ht="15" hidden="false" customHeight="true" outlineLevel="0" collapsed="false">
      <c r="A37" s="7" t="s">
        <v>19900</v>
      </c>
      <c r="B37" s="25" t="n">
        <f aca="false">B8+C8+D8+E8+F8+G8+H8</f>
        <v>111280483</v>
      </c>
      <c r="C37" s="25" t="n">
        <f aca="false">N8+O8+P8+Q8+R8+S8+T8</f>
        <v>121579451</v>
      </c>
      <c r="D37" s="25" t="n">
        <f aca="false">Z8+AA8+AB8+AC8+AD8+AE8+AF8</f>
        <v>290810072</v>
      </c>
      <c r="E37" s="36" t="n">
        <f aca="false">C37/B37-1</f>
        <v>0.092549634242691</v>
      </c>
      <c r="F37" s="36" t="n">
        <f aca="false">D37/C37-1</f>
        <v>1.39193440674444</v>
      </c>
      <c r="G37" s="34" t="n">
        <f aca="false">D37/D$40</f>
        <v>0.488704813015747</v>
      </c>
    </row>
    <row r="38" customFormat="false" ht="15" hidden="false" customHeight="true" outlineLevel="0" collapsed="false">
      <c r="A38" s="9" t="s">
        <v>19901</v>
      </c>
      <c r="B38" s="25" t="n">
        <f aca="false">B9+C9+D9+E9+F9+G9+H9</f>
        <v>116828962</v>
      </c>
      <c r="C38" s="25" t="n">
        <f aca="false">N9+O9+P9+Q9+R9+S9+T9</f>
        <v>123133332</v>
      </c>
      <c r="D38" s="25" t="n">
        <f aca="false">Z9+AA9+AB9+AC9+AD9+AE9+AF9</f>
        <v>256874326</v>
      </c>
      <c r="E38" s="36" t="n">
        <f aca="false">C38/B38-1</f>
        <v>0.0539623899080777</v>
      </c>
      <c r="F38" s="36" t="n">
        <f aca="false">D38/C38-1</f>
        <v>1.08614777028855</v>
      </c>
      <c r="G38" s="34" t="n">
        <f aca="false">D38/D$40</f>
        <v>0.431675968418233</v>
      </c>
    </row>
    <row r="39" customFormat="false" ht="15" hidden="false" customHeight="true" outlineLevel="0" collapsed="false">
      <c r="A39" s="7" t="s">
        <v>19902</v>
      </c>
      <c r="B39" s="25" t="n">
        <f aca="false">B11+C11+D11+E11+F11+G11+H11</f>
        <v>280993317</v>
      </c>
      <c r="C39" s="25" t="n">
        <f aca="false">N11+O11+P11+Q11+R11+S11+T11</f>
        <v>273809323</v>
      </c>
      <c r="D39" s="25" t="n">
        <f aca="false">Z11+AA11+AB11+AC11+AD11+AE11+AF11</f>
        <v>304252764</v>
      </c>
      <c r="E39" s="36" t="n">
        <f aca="false">C39/B39-1</f>
        <v>-0.0255664229907646</v>
      </c>
      <c r="F39" s="36" t="n">
        <f aca="false">D39/C39-1</f>
        <v>0.11118482258546</v>
      </c>
      <c r="G39" s="34" t="n">
        <f aca="false">D39/D$40</f>
        <v>0.511295186984253</v>
      </c>
    </row>
    <row r="40" customFormat="false" ht="15" hidden="false" customHeight="true" outlineLevel="0" collapsed="false">
      <c r="A40" s="6" t="s">
        <v>19874</v>
      </c>
      <c r="B40" s="30" t="n">
        <f aca="false">B10+C10+D10+E10+F10+G10+H10</f>
        <v>392273800</v>
      </c>
      <c r="C40" s="30" t="n">
        <f aca="false">N10+O10+P10+Q10+R10+S10+T10</f>
        <v>395388774</v>
      </c>
      <c r="D40" s="30" t="n">
        <f aca="false">Z10+AA10+AB10+AC10+AD10+AE10+AF10</f>
        <v>595062836</v>
      </c>
      <c r="E40" s="36" t="n">
        <f aca="false">C40/B40-1</f>
        <v>0.00794081582812822</v>
      </c>
      <c r="F40" s="36" t="n">
        <f aca="false">D40/C40-1</f>
        <v>0.505006907454586</v>
      </c>
      <c r="G40" s="34" t="n">
        <f aca="false">D40/D$40</f>
        <v>1</v>
      </c>
    </row>
  </sheetData>
  <mergeCells count="8">
    <mergeCell ref="A1:AF1"/>
    <mergeCell ref="A2:AF2"/>
    <mergeCell ref="A3:AF3"/>
    <mergeCell ref="A5:AF5"/>
    <mergeCell ref="A14:AF14"/>
    <mergeCell ref="A25:AF25"/>
    <mergeCell ref="A27:AF27"/>
    <mergeCell ref="A34:A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23" min="4" style="1" width="12"/>
  </cols>
  <sheetData>
    <row r="1" customFormat="false" ht="21.75" hidden="false" customHeight="true" outlineLevel="0" collapsed="false">
      <c r="A1" s="42" t="s">
        <v>19903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customFormat="false" ht="15" hidden="false" customHeight="true" outlineLevel="0" collapsed="false">
      <c r="A2" s="43" t="s">
        <v>19904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customFormat="false" ht="15" hidden="false" customHeight="true" outlineLevel="0" collapsed="false">
      <c r="A3" s="62" t="s">
        <v>19905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</row>
    <row r="5" customFormat="false" ht="14.25" hidden="false" customHeight="true" outlineLevel="0" collapsed="false">
      <c r="A5" s="23" t="s">
        <v>19906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customFormat="false" ht="15" hidden="false" customHeight="true" outlineLevel="0" collapsed="false">
      <c r="A6" s="5" t="s">
        <v>19907</v>
      </c>
      <c r="B6" s="5" t="s">
        <v>19908</v>
      </c>
      <c r="C6" s="44" t="s">
        <v>179</v>
      </c>
      <c r="D6" s="44" t="s">
        <v>187</v>
      </c>
      <c r="E6" s="44" t="s">
        <v>195</v>
      </c>
      <c r="F6" s="44" t="s">
        <v>203</v>
      </c>
      <c r="G6" s="44" t="s">
        <v>211</v>
      </c>
      <c r="H6" s="44" t="s">
        <v>219</v>
      </c>
      <c r="I6" s="44" t="s">
        <v>228</v>
      </c>
      <c r="J6" s="44" t="s">
        <v>236</v>
      </c>
      <c r="K6" s="44" t="s">
        <v>244</v>
      </c>
      <c r="L6" s="44" t="s">
        <v>252</v>
      </c>
      <c r="M6" s="44" t="s">
        <v>260</v>
      </c>
      <c r="N6" s="44" t="s">
        <v>268</v>
      </c>
      <c r="O6" s="44" t="s">
        <v>276</v>
      </c>
      <c r="P6" s="44" t="s">
        <v>284</v>
      </c>
      <c r="Q6" s="44" t="s">
        <v>293</v>
      </c>
      <c r="R6" s="44" t="s">
        <v>301</v>
      </c>
      <c r="S6" s="44" t="s">
        <v>309</v>
      </c>
      <c r="T6" s="44" t="s">
        <v>317</v>
      </c>
      <c r="U6" s="44" t="s">
        <v>325</v>
      </c>
    </row>
    <row r="7" customFormat="false" ht="15" hidden="false" customHeight="true" outlineLevel="0" collapsed="false">
      <c r="A7" s="63" t="s">
        <v>19830</v>
      </c>
      <c r="B7" s="54" t="s">
        <v>19909</v>
      </c>
      <c r="C7" s="59" t="n">
        <f aca="false">IFERROR(분석4B_월별매트릭스!O221/분석4B_월별매트릭스!C221-1,"-")</f>
        <v>-0.0411714796578835</v>
      </c>
      <c r="D7" s="59" t="n">
        <f aca="false">IFERROR(분석4B_월별매트릭스!P221/분석4B_월별매트릭스!D221-1,"-")</f>
        <v>-0.0136630613099497</v>
      </c>
      <c r="E7" s="59" t="n">
        <f aca="false">IFERROR(분석4B_월별매트릭스!Q221/분석4B_월별매트릭스!E221-1,"-")</f>
        <v>0.0787827635909584</v>
      </c>
      <c r="F7" s="59" t="n">
        <f aca="false">IFERROR(분석4B_월별매트릭스!R221/분석4B_월별매트릭스!F221-1,"-")</f>
        <v>0.0873976359755542</v>
      </c>
      <c r="G7" s="59" t="n">
        <f aca="false">IFERROR(분석4B_월별매트릭스!S221/분석4B_월별매트릭스!G221-1,"-")</f>
        <v>0.066010100978614</v>
      </c>
      <c r="H7" s="59" t="n">
        <f aca="false">IFERROR(분석4B_월별매트릭스!T221/분석4B_월별매트릭스!H221-1,"-")</f>
        <v>0.0323752110132571</v>
      </c>
      <c r="I7" s="59" t="n">
        <f aca="false">IFERROR(분석4B_월별매트릭스!U221/분석4B_월별매트릭스!I221-1,"-")</f>
        <v>0.0905047599678472</v>
      </c>
      <c r="J7" s="59" t="n">
        <f aca="false">IFERROR(분석4B_월별매트릭스!V221/분석4B_월별매트릭스!J221-1,"-")</f>
        <v>0.0754027333766423</v>
      </c>
      <c r="K7" s="59" t="n">
        <f aca="false">IFERROR(분석4B_월별매트릭스!W221/분석4B_월별매트릭스!K221-1,"-")</f>
        <v>0.132087495265973</v>
      </c>
      <c r="L7" s="59" t="n">
        <f aca="false">IFERROR(분석4B_월별매트릭스!X221/분석4B_월별매트릭스!L221-1,"-")</f>
        <v>0.0722012355945463</v>
      </c>
      <c r="M7" s="59" t="n">
        <f aca="false">IFERROR(분석4B_월별매트릭스!Y221/분석4B_월별매트릭스!M221-1,"-")</f>
        <v>0.194216874737491</v>
      </c>
      <c r="N7" s="59" t="n">
        <f aca="false">IFERROR(분석4B_월별매트릭스!Z221/분석4B_월별매트릭스!N221-1,"-")</f>
        <v>0.263458283883135</v>
      </c>
      <c r="O7" s="59" t="n">
        <f aca="false">IFERROR(분석4B_월별매트릭스!AA221/분석4B_월별매트릭스!O221-1,"-")</f>
        <v>0.649274775892101</v>
      </c>
      <c r="P7" s="59" t="n">
        <f aca="false">IFERROR(분석4B_월별매트릭스!AB221/분석4B_월별매트릭스!P221-1,"-")</f>
        <v>0.777266176794191</v>
      </c>
      <c r="Q7" s="59" t="n">
        <f aca="false">IFERROR(분석4B_월별매트릭스!AC221/분석4B_월별매트릭스!Q221-1,"-")</f>
        <v>0.893341182882031</v>
      </c>
      <c r="R7" s="59" t="n">
        <f aca="false">IFERROR(분석4B_월별매트릭스!AD221/분석4B_월별매트릭스!R221-1,"-")</f>
        <v>0.981752746836182</v>
      </c>
      <c r="S7" s="59" t="n">
        <f aca="false">IFERROR(분석4B_월별매트릭스!AE221/분석4B_월별매트릭스!S221-1,"-")</f>
        <v>1.03934166895045</v>
      </c>
      <c r="T7" s="59" t="n">
        <f aca="false">IFERROR(분석4B_월별매트릭스!AF221/분석4B_월별매트릭스!T221-1,"-")</f>
        <v>1.32274228942763</v>
      </c>
      <c r="U7" s="59" t="n">
        <f aca="false">IFERROR(분석4B_월별매트릭스!AG221/분석4B_월별매트릭스!U221-1,"-")</f>
        <v>1.14966320774608</v>
      </c>
    </row>
    <row r="8" customFormat="false" ht="15" hidden="false" customHeight="true" outlineLevel="0" collapsed="false">
      <c r="A8" s="63" t="s">
        <v>19808</v>
      </c>
      <c r="B8" s="54" t="s">
        <v>19910</v>
      </c>
      <c r="C8" s="59" t="n">
        <f aca="false">IFERROR(분석4B_월별매트릭스!O210/분석4B_월별매트릭스!C210-1,"-")</f>
        <v>-0.280441013141684</v>
      </c>
      <c r="D8" s="59" t="n">
        <f aca="false">IFERROR(분석4B_월별매트릭스!P210/분석4B_월별매트릭스!D210-1,"-")</f>
        <v>-0.129039216577603</v>
      </c>
      <c r="E8" s="59" t="n">
        <f aca="false">IFERROR(분석4B_월별매트릭스!Q210/분석4B_월별매트릭스!E210-1,"-")</f>
        <v>-0.283950471120729</v>
      </c>
      <c r="F8" s="59" t="n">
        <f aca="false">IFERROR(분석4B_월별매트릭스!R210/분석4B_월별매트릭스!F210-1,"-")</f>
        <v>-0.146164058766827</v>
      </c>
      <c r="G8" s="59" t="n">
        <f aca="false">IFERROR(분석4B_월별매트릭스!S210/분석4B_월별매트릭스!G210-1,"-")</f>
        <v>-0.211819051765208</v>
      </c>
      <c r="H8" s="59" t="n">
        <f aca="false">IFERROR(분석4B_월별매트릭스!T210/분석4B_월별매트릭스!H210-1,"-")</f>
        <v>0.0106861361059269</v>
      </c>
      <c r="I8" s="59" t="n">
        <f aca="false">IFERROR(분석4B_월별매트릭스!U210/분석4B_월별매트릭스!I210-1,"-")</f>
        <v>-0.0563947690447015</v>
      </c>
      <c r="J8" s="59" t="n">
        <f aca="false">IFERROR(분석4B_월별매트릭스!V210/분석4B_월별매트릭스!J210-1,"-")</f>
        <v>-0.0702294815413872</v>
      </c>
      <c r="K8" s="59" t="n">
        <f aca="false">IFERROR(분석4B_월별매트릭스!W210/분석4B_월별매트릭스!K210-1,"-")</f>
        <v>0.0334414119914601</v>
      </c>
      <c r="L8" s="59" t="n">
        <f aca="false">IFERROR(분석4B_월별매트릭스!X210/분석4B_월별매트릭스!L210-1,"-")</f>
        <v>0.0943548400241006</v>
      </c>
      <c r="M8" s="59" t="n">
        <f aca="false">IFERROR(분석4B_월별매트릭스!Y210/분석4B_월별매트릭스!M210-1,"-")</f>
        <v>-0.109406526205004</v>
      </c>
      <c r="N8" s="59" t="n">
        <f aca="false">IFERROR(분석4B_월별매트릭스!Z210/분석4B_월별매트릭스!N210-1,"-")</f>
        <v>0.043979075892874</v>
      </c>
      <c r="O8" s="59" t="n">
        <f aca="false">IFERROR(분석4B_월별매트릭스!AA210/분석4B_월별매트릭스!O210-1,"-")</f>
        <v>0.0857255166522943</v>
      </c>
      <c r="P8" s="59" t="n">
        <f aca="false">IFERROR(분석4B_월별매트릭스!AB210/분석4B_월별매트릭스!P210-1,"-")</f>
        <v>0.0464802212775459</v>
      </c>
      <c r="Q8" s="59" t="n">
        <f aca="false">IFERROR(분석4B_월별매트릭스!AC210/분석4B_월별매트릭스!Q210-1,"-")</f>
        <v>0.832963745244</v>
      </c>
      <c r="R8" s="59" t="n">
        <f aca="false">IFERROR(분석4B_월별매트릭스!AD210/분석4B_월별매트릭스!R210-1,"-")</f>
        <v>0.330766466359717</v>
      </c>
      <c r="S8" s="59" t="n">
        <f aca="false">IFERROR(분석4B_월별매트릭스!AE210/분석4B_월별매트릭스!S210-1,"-")</f>
        <v>0.410945891408683</v>
      </c>
      <c r="T8" s="59" t="n">
        <f aca="false">IFERROR(분석4B_월별매트릭스!AF210/분석4B_월별매트릭스!T210-1,"-")</f>
        <v>0.413446046300572</v>
      </c>
      <c r="U8" s="59" t="n">
        <f aca="false">IFERROR(분석4B_월별매트릭스!AG210/분석4B_월별매트릭스!U210-1,"-")</f>
        <v>0.340051637785313</v>
      </c>
    </row>
    <row r="9" customFormat="false" ht="15" hidden="false" customHeight="true" outlineLevel="0" collapsed="false">
      <c r="A9" s="63" t="s">
        <v>19826</v>
      </c>
      <c r="B9" s="54" t="s">
        <v>19911</v>
      </c>
      <c r="C9" s="59" t="n">
        <f aca="false">IFERROR(분석4B_월별매트릭스!O219/분석4B_월별매트릭스!C219-1,"-")</f>
        <v>0.106214185968122</v>
      </c>
      <c r="D9" s="59" t="n">
        <f aca="false">IFERROR(분석4B_월별매트릭스!P219/분석4B_월별매트릭스!D219-1,"-")</f>
        <v>0.505671256999154</v>
      </c>
      <c r="E9" s="59" t="n">
        <f aca="false">IFERROR(분석4B_월별매트릭스!Q219/분석4B_월별매트릭스!E219-1,"-")</f>
        <v>-0.0112000927211656</v>
      </c>
      <c r="F9" s="59" t="n">
        <f aca="false">IFERROR(분석4B_월별매트릭스!R219/분석4B_월별매트릭스!F219-1,"-")</f>
        <v>-0.0129747097557945</v>
      </c>
      <c r="G9" s="59" t="n">
        <f aca="false">IFERROR(분석4B_월별매트릭스!S219/분석4B_월별매트릭스!G219-1,"-")</f>
        <v>0.170486601174972</v>
      </c>
      <c r="H9" s="59" t="n">
        <f aca="false">IFERROR(분석4B_월별매트릭스!T219/분석4B_월별매트릭스!H219-1,"-")</f>
        <v>0.767681446029961</v>
      </c>
      <c r="I9" s="59" t="n">
        <f aca="false">IFERROR(분석4B_월별매트릭스!U219/분석4B_월별매트릭스!I219-1,"-")</f>
        <v>0.251114516042101</v>
      </c>
      <c r="J9" s="59" t="n">
        <f aca="false">IFERROR(분석4B_월별매트릭스!V219/분석4B_월별매트릭스!J219-1,"-")</f>
        <v>0.0596094114299715</v>
      </c>
      <c r="K9" s="59" t="n">
        <f aca="false">IFERROR(분석4B_월별매트릭스!W219/분석4B_월별매트릭스!K219-1,"-")</f>
        <v>0.156894723627996</v>
      </c>
      <c r="L9" s="59" t="n">
        <f aca="false">IFERROR(분석4B_월별매트릭스!X219/분석4B_월별매트릭스!L219-1,"-")</f>
        <v>1.7755669587275</v>
      </c>
      <c r="M9" s="59" t="n">
        <f aca="false">IFERROR(분석4B_월별매트릭스!Y219/분석4B_월별매트릭스!M219-1,"-")</f>
        <v>1.58186447219968</v>
      </c>
      <c r="N9" s="59" t="n">
        <f aca="false">IFERROR(분석4B_월별매트릭스!Z219/분석4B_월별매트릭스!N219-1,"-")</f>
        <v>0.99721033623177</v>
      </c>
      <c r="O9" s="59" t="n">
        <f aca="false">IFERROR(분석4B_월별매트릭스!AA219/분석4B_월별매트릭스!O219-1,"-")</f>
        <v>1.4554254497176</v>
      </c>
      <c r="P9" s="59" t="n">
        <f aca="false">IFERROR(분석4B_월별매트릭스!AB219/분석4B_월별매트릭스!P219-1,"-")</f>
        <v>1.37187645714373</v>
      </c>
      <c r="Q9" s="59" t="n">
        <f aca="false">IFERROR(분석4B_월별매트릭스!AC219/분석4B_월별매트릭스!Q219-1,"-")</f>
        <v>3.18442988783496</v>
      </c>
      <c r="R9" s="59" t="n">
        <f aca="false">IFERROR(분석4B_월별매트릭스!AD219/분석4B_월별매트릭스!R219-1,"-")</f>
        <v>1.52179484713974</v>
      </c>
      <c r="S9" s="59" t="n">
        <f aca="false">IFERROR(분석4B_월별매트릭스!AE219/분석4B_월별매트릭스!S219-1,"-")</f>
        <v>1.72696298467332</v>
      </c>
      <c r="T9" s="59" t="n">
        <f aca="false">IFERROR(분석4B_월별매트릭스!AF219/분석4B_월별매트릭스!T219-1,"-")</f>
        <v>1.17904416249847</v>
      </c>
      <c r="U9" s="59" t="n">
        <f aca="false">IFERROR(분석4B_월별매트릭스!AG219/분석4B_월별매트릭스!U219-1,"-")</f>
        <v>0.890527783077217</v>
      </c>
    </row>
    <row r="10" customFormat="false" ht="15" hidden="false" customHeight="true" outlineLevel="0" collapsed="false">
      <c r="A10" s="63" t="s">
        <v>19810</v>
      </c>
      <c r="B10" s="54" t="s">
        <v>19912</v>
      </c>
      <c r="C10" s="59" t="n">
        <f aca="false">IFERROR(분석4B_월별매트릭스!O211/분석4B_월별매트릭스!C211-1,"-")</f>
        <v>-0.104678874781008</v>
      </c>
      <c r="D10" s="59" t="n">
        <f aca="false">IFERROR(분석4B_월별매트릭스!P211/분석4B_월별매트릭스!D211-1,"-")</f>
        <v>-0.0126599631473479</v>
      </c>
      <c r="E10" s="59" t="n">
        <f aca="false">IFERROR(분석4B_월별매트릭스!Q211/분석4B_월별매트릭스!E211-1,"-")</f>
        <v>0.00116731025403904</v>
      </c>
      <c r="F10" s="59" t="n">
        <f aca="false">IFERROR(분석4B_월별매트릭스!R211/분석4B_월별매트릭스!F211-1,"-")</f>
        <v>-0.0488691783487206</v>
      </c>
      <c r="G10" s="59" t="n">
        <f aca="false">IFERROR(분석4B_월별매트릭스!S211/분석4B_월별매트릭스!G211-1,"-")</f>
        <v>-0.0585480454987678</v>
      </c>
      <c r="H10" s="59" t="n">
        <f aca="false">IFERROR(분석4B_월별매트릭스!T211/분석4B_월별매트릭스!H211-1,"-")</f>
        <v>0.0908822462528025</v>
      </c>
      <c r="I10" s="59" t="n">
        <f aca="false">IFERROR(분석4B_월별매트릭스!U211/분석4B_월별매트릭스!I211-1,"-")</f>
        <v>-0.0262508705836184</v>
      </c>
      <c r="J10" s="59" t="n">
        <f aca="false">IFERROR(분석4B_월별매트릭스!V211/분석4B_월별매트릭스!J211-1,"-")</f>
        <v>-0.0804450689020072</v>
      </c>
      <c r="K10" s="59" t="n">
        <f aca="false">IFERROR(분석4B_월별매트릭스!W211/분석4B_월별매트릭스!K211-1,"-")</f>
        <v>0.144203957829163</v>
      </c>
      <c r="L10" s="59" t="n">
        <f aca="false">IFERROR(분석4B_월별매트릭스!X211/분석4B_월별매트릭스!L211-1,"-")</f>
        <v>-0.0969600990990702</v>
      </c>
      <c r="M10" s="59" t="n">
        <f aca="false">IFERROR(분석4B_월별매트릭스!Y211/분석4B_월별매트릭스!M211-1,"-")</f>
        <v>0.0164438670962519</v>
      </c>
      <c r="N10" s="59" t="n">
        <f aca="false">IFERROR(분석4B_월별매트릭스!Z211/분석4B_월별매트릭스!N211-1,"-")</f>
        <v>0.0600281757178778</v>
      </c>
      <c r="O10" s="59" t="n">
        <f aca="false">IFERROR(분석4B_월별매트릭스!AA211/분석4B_월별매트릭스!O211-1,"-")</f>
        <v>0.131318720083587</v>
      </c>
      <c r="P10" s="59" t="n">
        <f aca="false">IFERROR(분석4B_월별매트릭스!AB211/분석4B_월별매트릭스!P211-1,"-")</f>
        <v>-0.0143723557922297</v>
      </c>
      <c r="Q10" s="59" t="n">
        <f aca="false">IFERROR(분석4B_월별매트릭스!AC211/분석4B_월별매트릭스!Q211-1,"-")</f>
        <v>0.173037310940974</v>
      </c>
      <c r="R10" s="59" t="n">
        <f aca="false">IFERROR(분석4B_월별매트릭스!AD211/분석4B_월별매트릭스!R211-1,"-")</f>
        <v>0.172462584933037</v>
      </c>
      <c r="S10" s="59" t="n">
        <f aca="false">IFERROR(분석4B_월별매트릭스!AE211/분석4B_월별매트릭스!S211-1,"-")</f>
        <v>0.138042737221313</v>
      </c>
      <c r="T10" s="59" t="n">
        <f aca="false">IFERROR(분석4B_월별매트릭스!AF211/분석4B_월별매트릭스!T211-1,"-")</f>
        <v>0.199181304521043</v>
      </c>
      <c r="U10" s="59" t="n">
        <f aca="false">IFERROR(분석4B_월별매트릭스!AG211/분석4B_월별매트릭스!U211-1,"-")</f>
        <v>0.261015292094443</v>
      </c>
    </row>
    <row r="11" customFormat="false" ht="15" hidden="false" customHeight="true" outlineLevel="0" collapsed="false">
      <c r="A11" s="63" t="s">
        <v>19832</v>
      </c>
      <c r="B11" s="54" t="s">
        <v>19913</v>
      </c>
      <c r="C11" s="59" t="n">
        <f aca="false">IFERROR(분석4B_월별매트릭스!O222/분석4B_월별매트릭스!C222-1,"-")</f>
        <v>-0.135466038514451</v>
      </c>
      <c r="D11" s="59" t="n">
        <f aca="false">IFERROR(분석4B_월별매트릭스!P222/분석4B_월별매트릭스!D222-1,"-")</f>
        <v>0.0555417011437576</v>
      </c>
      <c r="E11" s="59" t="n">
        <f aca="false">IFERROR(분석4B_월별매트릭스!Q222/분석4B_월별매트릭스!E222-1,"-")</f>
        <v>0.129614141607015</v>
      </c>
      <c r="F11" s="59" t="n">
        <f aca="false">IFERROR(분석4B_월별매트릭스!R222/분석4B_월별매트릭스!F222-1,"-")</f>
        <v>0.0345040530615226</v>
      </c>
      <c r="G11" s="59" t="n">
        <f aca="false">IFERROR(분석4B_월별매트릭스!S222/분석4B_월별매트릭스!G222-1,"-")</f>
        <v>-0.016811184923809</v>
      </c>
      <c r="H11" s="59" t="n">
        <f aca="false">IFERROR(분석4B_월별매트릭스!T222/분석4B_월별매트릭스!H222-1,"-")</f>
        <v>0.139437530074465</v>
      </c>
      <c r="I11" s="59" t="n">
        <f aca="false">IFERROR(분석4B_월별매트릭스!U222/분석4B_월별매트릭스!I222-1,"-")</f>
        <v>0.158423342993699</v>
      </c>
      <c r="J11" s="59" t="n">
        <f aca="false">IFERROR(분석4B_월별매트릭스!V222/분석4B_월별매트릭스!J222-1,"-")</f>
        <v>0.067656650966142</v>
      </c>
      <c r="K11" s="59" t="n">
        <f aca="false">IFERROR(분석4B_월별매트릭스!W222/분석4B_월별매트릭스!K222-1,"-")</f>
        <v>0.184466139186048</v>
      </c>
      <c r="L11" s="59" t="n">
        <f aca="false">IFERROR(분석4B_월별매트릭스!X222/분석4B_월별매트릭스!L222-1,"-")</f>
        <v>0.146359119709156</v>
      </c>
      <c r="M11" s="59" t="n">
        <f aca="false">IFERROR(분석4B_월별매트릭스!Y222/분석4B_월별매트릭스!M222-1,"-")</f>
        <v>0.00657930539022789</v>
      </c>
      <c r="N11" s="59" t="n">
        <f aca="false">IFERROR(분석4B_월별매트릭스!Z222/분석4B_월별매트릭스!N222-1,"-")</f>
        <v>-0.0215549077611243</v>
      </c>
      <c r="O11" s="59" t="n">
        <f aca="false">IFERROR(분석4B_월별매트릭스!AA222/분석4B_월별매트릭스!O222-1,"-")</f>
        <v>0.0996503003971077</v>
      </c>
      <c r="P11" s="59" t="n">
        <f aca="false">IFERROR(분석4B_월별매트릭스!AB222/분석4B_월별매트릭스!P222-1,"-")</f>
        <v>-0.0895360351391111</v>
      </c>
      <c r="Q11" s="59" t="n">
        <f aca="false">IFERROR(분석4B_월별매트릭스!AC222/분석4B_월별매트릭스!Q222-1,"-")</f>
        <v>0.0206987077441667</v>
      </c>
      <c r="R11" s="59" t="n">
        <f aca="false">IFERROR(분석4B_월별매트릭스!AD222/분석4B_월별매트릭스!R222-1,"-")</f>
        <v>0.0340746147170117</v>
      </c>
      <c r="S11" s="59" t="n">
        <f aca="false">IFERROR(분석4B_월별매트릭스!AE222/분석4B_월별매트릭스!S222-1,"-")</f>
        <v>-0.023322371395548</v>
      </c>
      <c r="T11" s="59" t="n">
        <f aca="false">IFERROR(분석4B_월별매트릭스!AF222/분석4B_월별매트릭스!T222-1,"-")</f>
        <v>0.0902490026560221</v>
      </c>
      <c r="U11" s="59" t="n">
        <f aca="false">IFERROR(분석4B_월별매트릭스!AG222/분석4B_월별매트릭스!U222-1,"-")</f>
        <v>0.180067517571771</v>
      </c>
    </row>
    <row r="12" customFormat="false" ht="15" hidden="false" customHeight="true" outlineLevel="0" collapsed="false">
      <c r="A12" s="63" t="s">
        <v>19828</v>
      </c>
      <c r="B12" s="54" t="s">
        <v>19914</v>
      </c>
      <c r="C12" s="59" t="n">
        <f aca="false">IFERROR(분석4B_월별매트릭스!O220/분석4B_월별매트릭스!C220-1,"-")</f>
        <v>-0.0652536092975486</v>
      </c>
      <c r="D12" s="59" t="n">
        <f aca="false">IFERROR(분석4B_월별매트릭스!P220/분석4B_월별매트릭스!D220-1,"-")</f>
        <v>-0.0101038331768318</v>
      </c>
      <c r="E12" s="59" t="n">
        <f aca="false">IFERROR(분석4B_월별매트릭스!Q220/분석4B_월별매트릭스!E220-1,"-")</f>
        <v>-0.0383083870880233</v>
      </c>
      <c r="F12" s="59" t="n">
        <f aca="false">IFERROR(분석4B_월별매트릭스!R220/분석4B_월별매트릭스!F220-1,"-")</f>
        <v>0.0918117822977433</v>
      </c>
      <c r="G12" s="59" t="n">
        <f aca="false">IFERROR(분석4B_월별매트릭스!S220/분석4B_월별매트릭스!G220-1,"-")</f>
        <v>-0.0966101007398994</v>
      </c>
      <c r="H12" s="59" t="n">
        <f aca="false">IFERROR(분석4B_월별매트릭스!T220/분석4B_월별매트릭스!H220-1,"-")</f>
        <v>-0.0386638722827553</v>
      </c>
      <c r="I12" s="59" t="n">
        <f aca="false">IFERROR(분석4B_월별매트릭스!U220/분석4B_월별매트릭스!I220-1,"-")</f>
        <v>0.00584500020867207</v>
      </c>
      <c r="J12" s="59" t="n">
        <f aca="false">IFERROR(분석4B_월별매트릭스!V220/분석4B_월별매트릭스!J220-1,"-")</f>
        <v>-0.106382480985242</v>
      </c>
      <c r="K12" s="59" t="n">
        <f aca="false">IFERROR(분석4B_월별매트릭스!W220/분석4B_월별매트릭스!K220-1,"-")</f>
        <v>0.0208158152025317</v>
      </c>
      <c r="L12" s="59" t="n">
        <f aca="false">IFERROR(분석4B_월별매트릭스!X220/분석4B_월별매트릭스!L220-1,"-")</f>
        <v>-0.140676148150145</v>
      </c>
      <c r="M12" s="59" t="n">
        <f aca="false">IFERROR(분석4B_월별매트릭스!Y220/분석4B_월별매트릭스!M220-1,"-")</f>
        <v>-0.069642172276144</v>
      </c>
      <c r="N12" s="59" t="n">
        <f aca="false">IFERROR(분석4B_월별매트릭스!Z220/분석4B_월별매트릭스!N220-1,"-")</f>
        <v>-0.00938852149378266</v>
      </c>
      <c r="O12" s="59" t="n">
        <f aca="false">IFERROR(분석4B_월별매트릭스!AA220/분석4B_월별매트릭스!O220-1,"-")</f>
        <v>0.107213308340299</v>
      </c>
      <c r="P12" s="59" t="n">
        <f aca="false">IFERROR(분석4B_월별매트릭스!AB220/분석4B_월별매트릭스!P220-1,"-")</f>
        <v>-0.0174045692814145</v>
      </c>
      <c r="Q12" s="59" t="n">
        <f aca="false">IFERROR(분석4B_월별매트릭스!AC220/분석4B_월별매트릭스!Q220-1,"-")</f>
        <v>0.0757808616787103</v>
      </c>
      <c r="R12" s="59" t="n">
        <f aca="false">IFERROR(분석4B_월별매트릭스!AD220/분석4B_월별매트릭스!R220-1,"-")</f>
        <v>0.0552284315359712</v>
      </c>
      <c r="S12" s="59" t="n">
        <f aca="false">IFERROR(분석4B_월별매트릭스!AE220/분석4B_월별매트릭스!S220-1,"-")</f>
        <v>0.117157912109783</v>
      </c>
      <c r="T12" s="59" t="n">
        <f aca="false">IFERROR(분석4B_월별매트릭스!AF220/분석4B_월별매트릭스!T220-1,"-")</f>
        <v>0.233214768988992</v>
      </c>
      <c r="U12" s="59" t="n">
        <f aca="false">IFERROR(분석4B_월별매트릭스!AG220/분석4B_월별매트릭스!U220-1,"-")</f>
        <v>0.123564538654894</v>
      </c>
    </row>
    <row r="13" customFormat="false" ht="15" hidden="false" customHeight="true" outlineLevel="0" collapsed="false">
      <c r="A13" s="63" t="s">
        <v>19812</v>
      </c>
      <c r="B13" s="54" t="s">
        <v>19915</v>
      </c>
      <c r="C13" s="59" t="n">
        <f aca="false">IFERROR(분석4B_월별매트릭스!O212/분석4B_월별매트릭스!C212-1,"-")</f>
        <v>-0.113629435625192</v>
      </c>
      <c r="D13" s="59" t="n">
        <f aca="false">IFERROR(분석4B_월별매트릭스!P212/분석4B_월별매트릭스!D212-1,"-")</f>
        <v>0.0309595367837043</v>
      </c>
      <c r="E13" s="59" t="n">
        <f aca="false">IFERROR(분석4B_월별매트릭스!Q212/분석4B_월별매트릭스!E212-1,"-")</f>
        <v>-0.0350329041425209</v>
      </c>
      <c r="F13" s="59" t="n">
        <f aca="false">IFERROR(분석4B_월별매트릭스!R212/분석4B_월별매트릭스!F212-1,"-")</f>
        <v>-0.00957495010890552</v>
      </c>
      <c r="G13" s="59" t="n">
        <f aca="false">IFERROR(분석4B_월별매트릭스!S212/분석4B_월별매트릭스!G212-1,"-")</f>
        <v>-0.116406179268534</v>
      </c>
      <c r="H13" s="59" t="n">
        <f aca="false">IFERROR(분석4B_월별매트릭스!T212/분석4B_월별매트릭스!H212-1,"-")</f>
        <v>-0.122877058026404</v>
      </c>
      <c r="I13" s="59" t="n">
        <f aca="false">IFERROR(분석4B_월별매트릭스!U212/분석4B_월별매트릭스!I212-1,"-")</f>
        <v>-0.0484693643363726</v>
      </c>
      <c r="J13" s="59" t="n">
        <f aca="false">IFERROR(분석4B_월별매트릭스!V212/분석4B_월별매트릭스!J212-1,"-")</f>
        <v>-0.0920804457081843</v>
      </c>
      <c r="K13" s="59" t="n">
        <f aca="false">IFERROR(분석4B_월별매트릭스!W212/분석4B_월별매트릭스!K212-1,"-")</f>
        <v>0.0745370387861248</v>
      </c>
      <c r="L13" s="59" t="n">
        <f aca="false">IFERROR(분석4B_월별매트릭스!X212/분석4B_월별매트릭스!L212-1,"-")</f>
        <v>-0.163235727014526</v>
      </c>
      <c r="M13" s="59" t="n">
        <f aca="false">IFERROR(분석4B_월별매트릭스!Y212/분석4B_월별매트릭스!M212-1,"-")</f>
        <v>-0.126935669895044</v>
      </c>
      <c r="N13" s="59" t="n">
        <f aca="false">IFERROR(분석4B_월별매트릭스!Z212/분석4B_월별매트릭스!N212-1,"-")</f>
        <v>-0.0154269169032233</v>
      </c>
      <c r="O13" s="59" t="n">
        <f aca="false">IFERROR(분석4B_월별매트릭스!AA212/분석4B_월별매트릭스!O212-1,"-")</f>
        <v>0.0445585296797859</v>
      </c>
      <c r="P13" s="59" t="n">
        <f aca="false">IFERROR(분석4B_월별매트릭스!AB212/분석4B_월별매트릭스!P212-1,"-")</f>
        <v>-0.134571715244154</v>
      </c>
      <c r="Q13" s="59" t="n">
        <f aca="false">IFERROR(분석4B_월별매트릭스!AC212/분석4B_월별매트릭스!Q212-1,"-")</f>
        <v>0.00640575590811965</v>
      </c>
      <c r="R13" s="59" t="n">
        <f aca="false">IFERROR(분석4B_월별매트릭스!AD212/분석4B_월별매트릭스!R212-1,"-")</f>
        <v>0.0551497643176875</v>
      </c>
      <c r="S13" s="59" t="n">
        <f aca="false">IFERROR(분석4B_월별매트릭스!AE212/분석4B_월별매트릭스!S212-1,"-")</f>
        <v>0.0770453911193472</v>
      </c>
      <c r="T13" s="59" t="n">
        <f aca="false">IFERROR(분석4B_월별매트릭스!AF212/분석4B_월별매트릭스!T212-1,"-")</f>
        <v>0.205733420792058</v>
      </c>
      <c r="U13" s="59" t="n">
        <f aca="false">IFERROR(분석4B_월별매트릭스!AG212/분석4B_월별매트릭스!U212-1,"-")</f>
        <v>0.114494557723771</v>
      </c>
    </row>
    <row r="14" customFormat="false" ht="15" hidden="false" customHeight="true" outlineLevel="0" collapsed="false">
      <c r="A14" s="63" t="s">
        <v>19834</v>
      </c>
      <c r="B14" s="54" t="s">
        <v>19916</v>
      </c>
      <c r="C14" s="59" t="n">
        <f aca="false">IFERROR(분석4B_월별매트릭스!O223/분석4B_월별매트릭스!C223-1,"-")</f>
        <v>-0.182527644185723</v>
      </c>
      <c r="D14" s="59" t="n">
        <f aca="false">IFERROR(분석4B_월별매트릭스!P223/분석4B_월별매트릭스!D223-1,"-")</f>
        <v>0.0394732727215867</v>
      </c>
      <c r="E14" s="59" t="n">
        <f aca="false">IFERROR(분석4B_월별매트릭스!Q223/분석4B_월별매트릭스!E223-1,"-")</f>
        <v>-0.0336671882431604</v>
      </c>
      <c r="F14" s="59" t="n">
        <f aca="false">IFERROR(분석4B_월별매트릭스!R223/분석4B_월별매트릭스!F223-1,"-")</f>
        <v>0.0558662890804502</v>
      </c>
      <c r="G14" s="59" t="n">
        <f aca="false">IFERROR(분석4B_월별매트릭스!S223/분석4B_월별매트릭스!G223-1,"-")</f>
        <v>-0.0792960245059401</v>
      </c>
      <c r="H14" s="59" t="n">
        <f aca="false">IFERROR(분석4B_월별매트릭스!T223/분석4B_월별매트릭스!H223-1,"-")</f>
        <v>0.140687415539032</v>
      </c>
      <c r="I14" s="59" t="n">
        <f aca="false">IFERROR(분석4B_월별매트릭스!U223/분석4B_월별매트릭스!I223-1,"-")</f>
        <v>0.0674945765578936</v>
      </c>
      <c r="J14" s="59" t="n">
        <f aca="false">IFERROR(분석4B_월별매트릭스!V223/분석4B_월별매트릭스!J223-1,"-")</f>
        <v>-0.027346522022087</v>
      </c>
      <c r="K14" s="59" t="n">
        <f aca="false">IFERROR(분석4B_월별매트릭스!W223/분석4B_월별매트릭스!K223-1,"-")</f>
        <v>0.0993835371964824</v>
      </c>
      <c r="L14" s="59" t="n">
        <f aca="false">IFERROR(분석4B_월별매트릭스!X223/분석4B_월별매트릭스!L223-1,"-")</f>
        <v>-0.127096000264031</v>
      </c>
      <c r="M14" s="59" t="n">
        <f aca="false">IFERROR(분석4B_월별매트릭스!Y223/분석4B_월별매트릭스!M223-1,"-")</f>
        <v>-0.0243132515340844</v>
      </c>
      <c r="N14" s="59" t="n">
        <f aca="false">IFERROR(분석4B_월별매트릭스!Z223/분석4B_월별매트릭스!N223-1,"-")</f>
        <v>0.144401905175257</v>
      </c>
      <c r="O14" s="59" t="n">
        <f aca="false">IFERROR(분석4B_월별매트릭스!AA223/분석4B_월별매트릭스!O223-1,"-")</f>
        <v>0.192864613114212</v>
      </c>
      <c r="P14" s="59" t="n">
        <f aca="false">IFERROR(분석4B_월별매트릭스!AB223/분석4B_월별매트릭스!P223-1,"-")</f>
        <v>-0.155720878554997</v>
      </c>
      <c r="Q14" s="59" t="n">
        <f aca="false">IFERROR(분석4B_월별매트릭스!AC223/분석4B_월별매트릭스!Q223-1,"-")</f>
        <v>0.0944697436599786</v>
      </c>
      <c r="R14" s="59" t="n">
        <f aca="false">IFERROR(분석4B_월별매트릭스!AD223/분석4B_월별매트릭스!R223-1,"-")</f>
        <v>0.00428264401816092</v>
      </c>
      <c r="S14" s="59" t="n">
        <f aca="false">IFERROR(분석4B_월별매트릭스!AE223/분석4B_월별매트릭스!S223-1,"-")</f>
        <v>0.00299008221804375</v>
      </c>
      <c r="T14" s="59" t="n">
        <f aca="false">IFERROR(분석4B_월별매트릭스!AF223/분석4B_월별매트릭스!T223-1,"-")</f>
        <v>0.0753303924523476</v>
      </c>
      <c r="U14" s="59" t="n">
        <f aca="false">IFERROR(분석4B_월별매트릭스!AG223/분석4B_월별매트릭스!U223-1,"-")</f>
        <v>0.125022546746922</v>
      </c>
    </row>
    <row r="15" customFormat="false" ht="15" hidden="false" customHeight="true" outlineLevel="0" collapsed="false">
      <c r="A15" s="63" t="s">
        <v>19800</v>
      </c>
      <c r="B15" s="54" t="s">
        <v>19917</v>
      </c>
      <c r="C15" s="59" t="n">
        <f aca="false">IFERROR(분석4B_월별매트릭스!O206/분석4B_월별매트릭스!C206-1,"-")</f>
        <v>-0.218154222295478</v>
      </c>
      <c r="D15" s="59" t="n">
        <f aca="false">IFERROR(분석4B_월별매트릭스!P206/분석4B_월별매트릭스!D206-1,"-")</f>
        <v>0.148071409137523</v>
      </c>
      <c r="E15" s="59" t="n">
        <f aca="false">IFERROR(분석4B_월별매트릭스!Q206/분석4B_월별매트릭스!E206-1,"-")</f>
        <v>0.136273413474979</v>
      </c>
      <c r="F15" s="59" t="n">
        <f aca="false">IFERROR(분석4B_월별매트릭스!R206/분석4B_월별매트릭스!F206-1,"-")</f>
        <v>-0.073244633273703</v>
      </c>
      <c r="G15" s="59" t="n">
        <f aca="false">IFERROR(분석4B_월별매트릭스!S206/분석4B_월별매트릭스!G206-1,"-")</f>
        <v>0.191184547784694</v>
      </c>
      <c r="H15" s="59" t="n">
        <f aca="false">IFERROR(분석4B_월별매트릭스!T206/분석4B_월별매트릭스!H206-1,"-")</f>
        <v>0.150387938150003</v>
      </c>
      <c r="I15" s="59" t="n">
        <f aca="false">IFERROR(분석4B_월별매트릭스!U206/분석4B_월별매트릭스!I206-1,"-")</f>
        <v>0.190914152696438</v>
      </c>
      <c r="J15" s="59" t="n">
        <f aca="false">IFERROR(분석4B_월별매트릭스!V206/분석4B_월별매트릭스!J206-1,"-")</f>
        <v>0.0680854344976483</v>
      </c>
      <c r="K15" s="59" t="n">
        <f aca="false">IFERROR(분석4B_월별매트릭스!W206/분석4B_월별매트릭스!K206-1,"-")</f>
        <v>0.336270619887491</v>
      </c>
      <c r="L15" s="59" t="n">
        <f aca="false">IFERROR(분석4B_월별매트릭스!X206/분석4B_월별매트릭스!L206-1,"-")</f>
        <v>-0.067291738813569</v>
      </c>
      <c r="M15" s="59" t="n">
        <f aca="false">IFERROR(분석4B_월별매트릭스!Y206/분석4B_월별매트릭스!M206-1,"-")</f>
        <v>-0.0132298290527707</v>
      </c>
      <c r="N15" s="59" t="n">
        <f aca="false">IFERROR(분석4B_월별매트릭스!Z206/분석4B_월별매트릭스!N206-1,"-")</f>
        <v>0.405184530991504</v>
      </c>
      <c r="O15" s="59" t="n">
        <f aca="false">IFERROR(분석4B_월별매트릭스!AA206/분석4B_월별매트릭스!O206-1,"-")</f>
        <v>0.537108122589883</v>
      </c>
      <c r="P15" s="59" t="n">
        <f aca="false">IFERROR(분석4B_월별매트릭스!AB206/분석4B_월별매트릭스!P206-1,"-")</f>
        <v>0.00590637304943864</v>
      </c>
      <c r="Q15" s="59" t="n">
        <f aca="false">IFERROR(분석4B_월별매트릭스!AC206/분석4B_월별매트릭스!Q206-1,"-")</f>
        <v>0.359027666719974</v>
      </c>
      <c r="R15" s="59" t="n">
        <f aca="false">IFERROR(분석4B_월별매트릭스!AD206/분석4B_월별매트릭스!R206-1,"-")</f>
        <v>0.381576566251252</v>
      </c>
      <c r="S15" s="59" t="n">
        <f aca="false">IFERROR(분석4B_월별매트릭스!AE206/분석4B_월별매트릭스!S206-1,"-")</f>
        <v>0.413960934998399</v>
      </c>
      <c r="T15" s="59" t="n">
        <f aca="false">IFERROR(분석4B_월별매트릭스!AF206/분석4B_월별매트릭스!T206-1,"-")</f>
        <v>0.409779830807287</v>
      </c>
      <c r="U15" s="59" t="n">
        <f aca="false">IFERROR(분석4B_월별매트릭스!AG206/분석4B_월별매트릭스!U206-1,"-")</f>
        <v>0.143471942138053</v>
      </c>
    </row>
    <row r="16" customFormat="false" ht="15" hidden="false" customHeight="true" outlineLevel="0" collapsed="false">
      <c r="A16" s="63" t="s">
        <v>19806</v>
      </c>
      <c r="B16" s="54" t="s">
        <v>19918</v>
      </c>
      <c r="C16" s="59" t="n">
        <f aca="false">IFERROR(분석4B_월별매트릭스!O209/분석4B_월별매트릭스!C209-1,"-")</f>
        <v>-0.0318499895915066</v>
      </c>
      <c r="D16" s="59" t="n">
        <f aca="false">IFERROR(분석4B_월별매트릭스!P209/분석4B_월별매트릭스!D209-1,"-")</f>
        <v>0.138126530695924</v>
      </c>
      <c r="E16" s="59" t="n">
        <f aca="false">IFERROR(분석4B_월별매트릭스!Q209/분석4B_월별매트릭스!E209-1,"-")</f>
        <v>0.0601326870135559</v>
      </c>
      <c r="F16" s="59" t="n">
        <f aca="false">IFERROR(분석4B_월별매트릭스!R209/분석4B_월별매트릭스!F209-1,"-")</f>
        <v>0.0874179276241132</v>
      </c>
      <c r="G16" s="59" t="n">
        <f aca="false">IFERROR(분석4B_월별매트릭스!S209/분석4B_월별매트릭스!G209-1,"-")</f>
        <v>0.0260320413183692</v>
      </c>
      <c r="H16" s="59" t="n">
        <f aca="false">IFERROR(분석4B_월별매트릭스!T209/분석4B_월별매트릭스!H209-1,"-")</f>
        <v>0.0280502157708906</v>
      </c>
      <c r="I16" s="59" t="n">
        <f aca="false">IFERROR(분석4B_월별매트릭스!U209/분석4B_월별매트릭스!I209-1,"-")</f>
        <v>-0.0279179592843191</v>
      </c>
      <c r="J16" s="59" t="n">
        <f aca="false">IFERROR(분석4B_월별매트릭스!V209/분석4B_월별매트릭스!J209-1,"-")</f>
        <v>0.00525066563901344</v>
      </c>
      <c r="K16" s="59" t="n">
        <f aca="false">IFERROR(분석4B_월별매트릭스!W209/분석4B_월별매트릭스!K209-1,"-")</f>
        <v>0.182033718955606</v>
      </c>
      <c r="L16" s="59" t="n">
        <f aca="false">IFERROR(분석4B_월별매트릭스!X209/분석4B_월별매트릭스!L209-1,"-")</f>
        <v>-0.10875857446871</v>
      </c>
      <c r="M16" s="59" t="n">
        <f aca="false">IFERROR(분석4B_월별매트릭스!Y209/분석4B_월별매트릭스!M209-1,"-")</f>
        <v>0.00913469971529968</v>
      </c>
      <c r="N16" s="59" t="n">
        <f aca="false">IFERROR(분석4B_월별매트릭스!Z209/분석4B_월별매트릭스!N209-1,"-")</f>
        <v>0.0111395774413574</v>
      </c>
      <c r="O16" s="59" t="n">
        <f aca="false">IFERROR(분석4B_월별매트릭스!AA209/분석4B_월별매트릭스!O209-1,"-")</f>
        <v>0.210001653986106</v>
      </c>
      <c r="P16" s="59" t="n">
        <f aca="false">IFERROR(분석4B_월별매트릭스!AB209/분석4B_월별매트릭스!P209-1,"-")</f>
        <v>-0.063421616363722</v>
      </c>
      <c r="Q16" s="59" t="n">
        <f aca="false">IFERROR(분석4B_월별매트릭스!AC209/분석4B_월별매트릭스!Q209-1,"-")</f>
        <v>0.119627856067862</v>
      </c>
      <c r="R16" s="59" t="n">
        <f aca="false">IFERROR(분석4B_월별매트릭스!AD209/분석4B_월별매트릭스!R209-1,"-")</f>
        <v>0.0700602691424201</v>
      </c>
      <c r="S16" s="59" t="n">
        <f aca="false">IFERROR(분석4B_월별매트릭스!AE209/분석4B_월별매트릭스!S209-1,"-")</f>
        <v>-0.0466649701924173</v>
      </c>
      <c r="T16" s="59" t="n">
        <f aca="false">IFERROR(분석4B_월별매트릭스!AF209/분석4B_월별매트릭스!T209-1,"-")</f>
        <v>0.103065118434323</v>
      </c>
      <c r="U16" s="59" t="n">
        <f aca="false">IFERROR(분석4B_월별매트릭스!AG209/분석4B_월별매트릭스!U209-1,"-")</f>
        <v>0.0502333438694442</v>
      </c>
    </row>
    <row r="17" customFormat="false" ht="15" hidden="false" customHeight="true" outlineLevel="0" collapsed="false">
      <c r="A17" s="63" t="s">
        <v>19814</v>
      </c>
      <c r="B17" s="54" t="s">
        <v>19919</v>
      </c>
      <c r="C17" s="59" t="n">
        <f aca="false">IFERROR(분석4B_월별매트릭스!O213/분석4B_월별매트릭스!C213-1,"-")</f>
        <v>-0.00163479116861198</v>
      </c>
      <c r="D17" s="59" t="n">
        <f aca="false">IFERROR(분석4B_월별매트릭스!P213/분석4B_월별매트릭스!D213-1,"-")</f>
        <v>0.116358195494886</v>
      </c>
      <c r="E17" s="59" t="n">
        <f aca="false">IFERROR(분석4B_월별매트릭스!Q213/분석4B_월별매트릭스!E213-1,"-")</f>
        <v>0.248382518294594</v>
      </c>
      <c r="F17" s="59" t="n">
        <f aca="false">IFERROR(분석4B_월별매트릭스!R213/분석4B_월별매트릭스!F213-1,"-")</f>
        <v>0.144196671032874</v>
      </c>
      <c r="G17" s="59" t="n">
        <f aca="false">IFERROR(분석4B_월별매트릭스!S213/분석4B_월별매트릭스!G213-1,"-")</f>
        <v>-0.0810823499953051</v>
      </c>
      <c r="H17" s="59" t="n">
        <f aca="false">IFERROR(분석4B_월별매트릭스!T213/분석4B_월별매트릭스!H213-1,"-")</f>
        <v>0.240411943692112</v>
      </c>
      <c r="I17" s="59" t="n">
        <f aca="false">IFERROR(분석4B_월별매트릭스!U213/분석4B_월별매트릭스!I213-1,"-")</f>
        <v>0.0689677377809259</v>
      </c>
      <c r="J17" s="59" t="n">
        <f aca="false">IFERROR(분석4B_월별매트릭스!V213/분석4B_월별매트릭스!J213-1,"-")</f>
        <v>-0.0163847599521613</v>
      </c>
      <c r="K17" s="59" t="n">
        <f aca="false">IFERROR(분석4B_월별매트릭스!W213/분석4B_월별매트릭스!K213-1,"-")</f>
        <v>0.218823284173224</v>
      </c>
      <c r="L17" s="59" t="n">
        <f aca="false">IFERROR(분석4B_월별매트릭스!X213/분석4B_월별매트릭스!L213-1,"-")</f>
        <v>-0.110550122638805</v>
      </c>
      <c r="M17" s="59" t="n">
        <f aca="false">IFERROR(분석4B_월별매트릭스!Y213/분석4B_월별매트릭스!M213-1,"-")</f>
        <v>0.228515593192737</v>
      </c>
      <c r="N17" s="59" t="n">
        <f aca="false">IFERROR(분석4B_월별매트릭스!Z213/분석4B_월별매트릭스!N213-1,"-")</f>
        <v>0.121592148309706</v>
      </c>
      <c r="O17" s="59" t="n">
        <f aca="false">IFERROR(분석4B_월별매트릭스!AA213/분석4B_월별매트릭스!O213-1,"-")</f>
        <v>0.263509111717581</v>
      </c>
      <c r="P17" s="59" t="n">
        <f aca="false">IFERROR(분석4B_월별매트릭스!AB213/분석4B_월별매트릭스!P213-1,"-")</f>
        <v>0.0554290750192781</v>
      </c>
      <c r="Q17" s="59" t="n">
        <f aca="false">IFERROR(분석4B_월별매트릭스!AC213/분석4B_월별매트릭스!Q213-1,"-")</f>
        <v>0.174925434840386</v>
      </c>
      <c r="R17" s="59" t="n">
        <f aca="false">IFERROR(분석4B_월별매트릭스!AD213/분석4B_월별매트릭스!R213-1,"-")</f>
        <v>0.252676988370632</v>
      </c>
      <c r="S17" s="59" t="n">
        <f aca="false">IFERROR(분석4B_월별매트릭스!AE213/분석4B_월별매트릭스!S213-1,"-")</f>
        <v>0.283836027044978</v>
      </c>
      <c r="T17" s="59" t="n">
        <f aca="false">IFERROR(분석4B_월별매트릭스!AF213/분석4B_월별매트릭스!T213-1,"-")</f>
        <v>0.25084238617678</v>
      </c>
      <c r="U17" s="59" t="n">
        <f aca="false">IFERROR(분석4B_월별매트릭스!AG213/분석4B_월별매트릭스!U213-1,"-")</f>
        <v>0.414909638554217</v>
      </c>
    </row>
    <row r="18" customFormat="false" ht="15" hidden="false" customHeight="true" outlineLevel="0" collapsed="false">
      <c r="A18" s="63" t="s">
        <v>19836</v>
      </c>
      <c r="B18" s="54" t="s">
        <v>19920</v>
      </c>
      <c r="C18" s="59" t="n">
        <f aca="false">IFERROR(분석4B_월별매트릭스!O224/분석4B_월별매트릭스!C224-1,"-")</f>
        <v>-0.139047357655839</v>
      </c>
      <c r="D18" s="59" t="n">
        <f aca="false">IFERROR(분석4B_월별매트릭스!P224/분석4B_월별매트릭스!D224-1,"-")</f>
        <v>2.76619945308269</v>
      </c>
      <c r="E18" s="59" t="n">
        <f aca="false">IFERROR(분석4B_월별매트릭스!Q224/분석4B_월별매트릭스!E224-1,"-")</f>
        <v>4.94229953330505</v>
      </c>
      <c r="F18" s="59" t="n">
        <f aca="false">IFERROR(분석4B_월별매트릭스!R224/분석4B_월별매트릭스!F224-1,"-")</f>
        <v>0.174252643254557</v>
      </c>
      <c r="G18" s="59" t="n">
        <f aca="false">IFERROR(분석4B_월별매트릭스!S224/분석4B_월별매트릭스!G224-1,"-")</f>
        <v>2.7168580896738</v>
      </c>
      <c r="H18" s="59" t="n">
        <f aca="false">IFERROR(분석4B_월별매트릭스!T224/분석4B_월별매트릭스!H224-1,"-")</f>
        <v>0.0869761178144379</v>
      </c>
      <c r="I18" s="59" t="n">
        <f aca="false">IFERROR(분석4B_월별매트릭스!U224/분석4B_월별매트릭스!I224-1,"-")</f>
        <v>-0.0742549594505199</v>
      </c>
      <c r="J18" s="59" t="n">
        <f aca="false">IFERROR(분석4B_월별매트릭스!V224/분석4B_월별매트릭스!J224-1,"-")</f>
        <v>-0.635198010787459</v>
      </c>
      <c r="K18" s="59" t="n">
        <f aca="false">IFERROR(분석4B_월별매트릭스!W224/분석4B_월별매트릭스!K224-1,"-")</f>
        <v>0.363030429927415</v>
      </c>
      <c r="L18" s="59" t="n">
        <f aca="false">IFERROR(분석4B_월별매트릭스!X224/분석4B_월별매트릭스!L224-1,"-")</f>
        <v>-0.0955585820954844</v>
      </c>
      <c r="M18" s="59" t="n">
        <f aca="false">IFERROR(분석4B_월별매트릭스!Y224/분석4B_월별매트릭스!M224-1,"-")</f>
        <v>0.576664207791732</v>
      </c>
      <c r="N18" s="59" t="n">
        <f aca="false">IFERROR(분석4B_월별매트릭스!Z224/분석4B_월별매트릭스!N224-1,"-")</f>
        <v>0.00159282450259624</v>
      </c>
      <c r="O18" s="59" t="n">
        <f aca="false">IFERROR(분석4B_월별매트릭스!AA224/분석4B_월별매트릭스!O224-1,"-")</f>
        <v>0.546455760575033</v>
      </c>
      <c r="P18" s="59" t="n">
        <f aca="false">IFERROR(분석4B_월별매트릭스!AB224/분석4B_월별매트릭스!P224-1,"-")</f>
        <v>0.252730716615806</v>
      </c>
      <c r="Q18" s="59" t="n">
        <f aca="false">IFERROR(분석4B_월별매트릭스!AC224/분석4B_월별매트릭스!Q224-1,"-")</f>
        <v>1.37175496215907</v>
      </c>
      <c r="R18" s="59" t="n">
        <f aca="false">IFERROR(분석4B_월별매트릭스!AD224/분석4B_월별매트릭스!R224-1,"-")</f>
        <v>-0.130490026996886</v>
      </c>
      <c r="S18" s="59" t="n">
        <f aca="false">IFERROR(분석4B_월별매트릭스!AE224/분석4B_월별매트릭스!S224-1,"-")</f>
        <v>-0.554004747906231</v>
      </c>
      <c r="T18" s="59" t="n">
        <f aca="false">IFERROR(분석4B_월별매트릭스!AF224/분석4B_월별매트릭스!T224-1,"-")</f>
        <v>-0.427919129144581</v>
      </c>
      <c r="U18" s="59" t="n">
        <f aca="false">IFERROR(분석4B_월별매트릭스!AG224/분석4B_월별매트릭스!U224-1,"-")</f>
        <v>0.436281991336645</v>
      </c>
    </row>
    <row r="19" customFormat="false" ht="15" hidden="false" customHeight="true" outlineLevel="0" collapsed="false">
      <c r="A19" s="63" t="s">
        <v>19838</v>
      </c>
      <c r="B19" s="54" t="s">
        <v>19921</v>
      </c>
      <c r="C19" s="59" t="n">
        <f aca="false">IFERROR(분석4B_월별매트릭스!O225/분석4B_월별매트릭스!C225-1,"-")</f>
        <v>-0.120896617392255</v>
      </c>
      <c r="D19" s="59" t="n">
        <f aca="false">IFERROR(분석4B_월별매트릭스!P225/분석4B_월별매트릭스!D225-1,"-")</f>
        <v>0.134834516638996</v>
      </c>
      <c r="E19" s="59" t="n">
        <f aca="false">IFERROR(분석4B_월별매트릭스!Q225/분석4B_월별매트릭스!E225-1,"-")</f>
        <v>0.0389767633572053</v>
      </c>
      <c r="F19" s="59" t="n">
        <f aca="false">IFERROR(분석4B_월별매트릭스!R225/분석4B_월별매트릭스!F225-1,"-")</f>
        <v>0.0669241816471053</v>
      </c>
      <c r="G19" s="59" t="n">
        <f aca="false">IFERROR(분석4B_월별매트릭스!S225/분석4B_월별매트릭스!G225-1,"-")</f>
        <v>-0.0380071536108474</v>
      </c>
      <c r="H19" s="59" t="n">
        <f aca="false">IFERROR(분석4B_월별매트릭스!T225/분석4B_월별매트릭스!H225-1,"-")</f>
        <v>0.0288129222223383</v>
      </c>
      <c r="I19" s="59" t="n">
        <f aca="false">IFERROR(분석4B_월별매트릭스!U225/분석4B_월별매트릭스!I225-1,"-")</f>
        <v>0.0442556531030016</v>
      </c>
      <c r="J19" s="59" t="n">
        <f aca="false">IFERROR(분석4B_월별매트릭스!V225/분석4B_월별매트릭스!J225-1,"-")</f>
        <v>-0.0289728611288183</v>
      </c>
      <c r="K19" s="59" t="n">
        <f aca="false">IFERROR(분석4B_월별매트릭스!W225/분석4B_월별매트릭스!K225-1,"-")</f>
        <v>0.235040029789611</v>
      </c>
      <c r="L19" s="59" t="n">
        <f aca="false">IFERROR(분석4B_월별매트릭스!X225/분석4B_월별매트릭스!L225-1,"-")</f>
        <v>-0.147840485718228</v>
      </c>
      <c r="M19" s="59" t="n">
        <f aca="false">IFERROR(분석4B_월별매트릭스!Y225/분석4B_월별매트릭스!M225-1,"-")</f>
        <v>-0.0424900629968502</v>
      </c>
      <c r="N19" s="59" t="n">
        <f aca="false">IFERROR(분석4B_월별매트릭스!Z225/분석4B_월별매트릭스!N225-1,"-")</f>
        <v>0.0513125761689433</v>
      </c>
      <c r="O19" s="59" t="n">
        <f aca="false">IFERROR(분석4B_월별매트릭스!AA225/분석4B_월별매트릭스!O225-1,"-")</f>
        <v>0.161262828935687</v>
      </c>
      <c r="P19" s="59" t="n">
        <f aca="false">IFERROR(분석4B_월별매트릭스!AB225/분석4B_월별매트릭스!P225-1,"-")</f>
        <v>-0.0981980137707897</v>
      </c>
      <c r="Q19" s="59" t="n">
        <f aca="false">IFERROR(분석4B_월별매트릭스!AC225/분석4B_월별매트릭스!Q225-1,"-")</f>
        <v>0.0683841213954526</v>
      </c>
      <c r="R19" s="59" t="n">
        <f aca="false">IFERROR(분석4B_월별매트릭스!AD225/분석4B_월별매트릭스!R225-1,"-")</f>
        <v>0.0441692504780824</v>
      </c>
      <c r="S19" s="59" t="n">
        <f aca="false">IFERROR(분석4B_월별매트릭스!AE225/분석4B_월별매트릭스!S225-1,"-")</f>
        <v>-0.0111344255104939</v>
      </c>
      <c r="T19" s="59" t="n">
        <f aca="false">IFERROR(분석4B_월별매트릭스!AF225/분석4B_월별매트릭스!T225-1,"-")</f>
        <v>0.100266409560297</v>
      </c>
      <c r="U19" s="59" t="n">
        <f aca="false">IFERROR(분석4B_월별매트릭스!AG225/분석4B_월별매트릭스!U225-1,"-")</f>
        <v>0.061376662652457</v>
      </c>
    </row>
    <row r="20" customFormat="false" ht="15" hidden="false" customHeight="true" outlineLevel="0" collapsed="false">
      <c r="A20" s="63" t="s">
        <v>19822</v>
      </c>
      <c r="B20" s="54" t="s">
        <v>19922</v>
      </c>
      <c r="C20" s="59" t="n">
        <f aca="false">IFERROR(분석4B_월별매트릭스!O217/분석4B_월별매트릭스!C217-1,"-")</f>
        <v>-0.174700766785113</v>
      </c>
      <c r="D20" s="59" t="n">
        <f aca="false">IFERROR(분석4B_월별매트릭스!P217/분석4B_월별매트릭스!D217-1,"-")</f>
        <v>0.015426655073904</v>
      </c>
      <c r="E20" s="59" t="n">
        <f aca="false">IFERROR(분석4B_월별매트릭스!Q217/분석4B_월별매트릭스!E217-1,"-")</f>
        <v>0.100861836789658</v>
      </c>
      <c r="F20" s="59" t="n">
        <f aca="false">IFERROR(분석4B_월별매트릭스!R217/분석4B_월별매트릭스!F217-1,"-")</f>
        <v>0.292104504598936</v>
      </c>
      <c r="G20" s="59" t="n">
        <f aca="false">IFERROR(분석4B_월별매트릭스!S217/분석4B_월별매트릭스!G217-1,"-")</f>
        <v>-0.0261622479462286</v>
      </c>
      <c r="H20" s="59" t="n">
        <f aca="false">IFERROR(분석4B_월별매트릭스!T217/분석4B_월별매트릭스!H217-1,"-")</f>
        <v>-0.0343741233843299</v>
      </c>
      <c r="I20" s="59" t="n">
        <f aca="false">IFERROR(분석4B_월별매트릭스!U217/분석4B_월별매트릭스!I217-1,"-")</f>
        <v>-0.0486682754110191</v>
      </c>
      <c r="J20" s="59" t="n">
        <f aca="false">IFERROR(분석4B_월별매트릭스!V217/분석4B_월별매트릭스!J217-1,"-")</f>
        <v>-0.0742330788250958</v>
      </c>
      <c r="K20" s="59" t="n">
        <f aca="false">IFERROR(분석4B_월별매트릭스!W217/분석4B_월별매트릭스!K217-1,"-")</f>
        <v>0.169565326822884</v>
      </c>
      <c r="L20" s="59" t="n">
        <f aca="false">IFERROR(분석4B_월별매트릭스!X217/분석4B_월별매트릭스!L217-1,"-")</f>
        <v>-0.048248018740966</v>
      </c>
      <c r="M20" s="59" t="n">
        <f aca="false">IFERROR(분석4B_월별매트릭스!Y217/분석4B_월별매트릭스!M217-1,"-")</f>
        <v>-0.0824845311756307</v>
      </c>
      <c r="N20" s="59" t="n">
        <f aca="false">IFERROR(분석4B_월별매트릭스!Z217/분석4B_월별매트릭스!N217-1,"-")</f>
        <v>0.138181654026724</v>
      </c>
      <c r="O20" s="59" t="n">
        <f aca="false">IFERROR(분석4B_월별매트릭스!AA217/분석4B_월별매트릭스!O217-1,"-")</f>
        <v>0.139138316856924</v>
      </c>
      <c r="P20" s="59" t="n">
        <f aca="false">IFERROR(분석4B_월별매트릭스!AB217/분석4B_월별매트릭스!P217-1,"-")</f>
        <v>-0.0814414326255015</v>
      </c>
      <c r="Q20" s="59" t="n">
        <f aca="false">IFERROR(분석4B_월별매트릭스!AC217/분석4B_월별매트릭스!Q217-1,"-")</f>
        <v>0.243522935779817</v>
      </c>
      <c r="R20" s="59" t="n">
        <f aca="false">IFERROR(분석4B_월별매트릭스!AD217/분석4B_월별매트릭스!R217-1,"-")</f>
        <v>0.152632432870934</v>
      </c>
      <c r="S20" s="59" t="n">
        <f aca="false">IFERROR(분석4B_월별매트릭스!AE217/분석4B_월별매트릭스!S217-1,"-")</f>
        <v>0.228868598269705</v>
      </c>
      <c r="T20" s="59" t="n">
        <f aca="false">IFERROR(분석4B_월별매트릭스!AF217/분석4B_월별매트릭스!T217-1,"-")</f>
        <v>0.22527374301676</v>
      </c>
      <c r="U20" s="59" t="n">
        <f aca="false">IFERROR(분석4B_월별매트릭스!AG217/분석4B_월별매트릭스!U217-1,"-")</f>
        <v>0.200293957281369</v>
      </c>
    </row>
    <row r="21" customFormat="false" ht="15" hidden="false" customHeight="true" outlineLevel="0" collapsed="false">
      <c r="A21" s="63" t="s">
        <v>19818</v>
      </c>
      <c r="B21" s="54" t="s">
        <v>19923</v>
      </c>
      <c r="C21" s="59" t="n">
        <f aca="false">IFERROR(분석4B_월별매트릭스!O215/분석4B_월별매트릭스!C215-1,"-")</f>
        <v>-0.118264460971504</v>
      </c>
      <c r="D21" s="59" t="n">
        <f aca="false">IFERROR(분석4B_월별매트릭스!P215/분석4B_월별매트릭스!D215-1,"-")</f>
        <v>0.0353521523023539</v>
      </c>
      <c r="E21" s="59" t="n">
        <f aca="false">IFERROR(분석4B_월별매트릭스!Q215/분석4B_월별매트릭스!E215-1,"-")</f>
        <v>-0.0428346633696751</v>
      </c>
      <c r="F21" s="59" t="n">
        <f aca="false">IFERROR(분석4B_월별매트릭스!R215/분석4B_월별매트릭스!F215-1,"-")</f>
        <v>-0.0660072031999469</v>
      </c>
      <c r="G21" s="59" t="n">
        <f aca="false">IFERROR(분석4B_월별매트릭스!S215/분석4B_월별매트릭스!G215-1,"-")</f>
        <v>-0.100410354958774</v>
      </c>
      <c r="H21" s="59" t="n">
        <f aca="false">IFERROR(분석4B_월별매트릭스!T215/분석4B_월별매트릭스!H215-1,"-")</f>
        <v>-0.0911715196194335</v>
      </c>
      <c r="I21" s="59" t="n">
        <f aca="false">IFERROR(분석4B_월별매트릭스!U215/분석4B_월별매트릭스!I215-1,"-")</f>
        <v>-0.0309291734568724</v>
      </c>
      <c r="J21" s="59" t="n">
        <f aca="false">IFERROR(분석4B_월별매트릭스!V215/분석4B_월별매트릭스!J215-1,"-")</f>
        <v>-0.107022095781498</v>
      </c>
      <c r="K21" s="59" t="n">
        <f aca="false">IFERROR(분석4B_월별매트릭스!W215/분석4B_월별매트릭스!K215-1,"-")</f>
        <v>0.0604423231944322</v>
      </c>
      <c r="L21" s="59" t="n">
        <f aca="false">IFERROR(분석4B_월별매트릭스!X215/분석4B_월별매트릭스!L215-1,"-")</f>
        <v>-0.147464718144643</v>
      </c>
      <c r="M21" s="59" t="n">
        <f aca="false">IFERROR(분석4B_월별매트릭스!Y215/분석4B_월별매트릭스!M215-1,"-")</f>
        <v>-0.101474206088377</v>
      </c>
      <c r="N21" s="59" t="n">
        <f aca="false">IFERROR(분석4B_월별매트릭스!Z215/분석4B_월별매트릭스!N215-1,"-")</f>
        <v>-0.0430480781721346</v>
      </c>
      <c r="O21" s="59" t="n">
        <f aca="false">IFERROR(분석4B_월별매트릭스!AA215/분석4B_월별매트릭스!O215-1,"-")</f>
        <v>0.092874232109895</v>
      </c>
      <c r="P21" s="59" t="n">
        <f aca="false">IFERROR(분석4B_월별매트릭스!AB215/분석4B_월별매트릭스!P215-1,"-")</f>
        <v>-0.195841289280034</v>
      </c>
      <c r="Q21" s="59" t="n">
        <f aca="false">IFERROR(분석4B_월별매트릭스!AC215/분석4B_월별매트릭스!Q215-1,"-")</f>
        <v>0.0757563303154492</v>
      </c>
      <c r="R21" s="59" t="n">
        <f aca="false">IFERROR(분석4B_월별매트릭스!AD215/분석4B_월별매트릭스!R215-1,"-")</f>
        <v>0.0501652628211964</v>
      </c>
      <c r="S21" s="59" t="n">
        <f aca="false">IFERROR(분석4B_월별매트릭스!AE215/분석4B_월별매트릭스!S215-1,"-")</f>
        <v>-0.0375645870286111</v>
      </c>
      <c r="T21" s="59" t="n">
        <f aca="false">IFERROR(분석4B_월별매트릭스!AF215/분석4B_월별매트릭스!T215-1,"-")</f>
        <v>0.0931961853284251</v>
      </c>
      <c r="U21" s="59" t="n">
        <f aca="false">IFERROR(분석4B_월별매트릭스!AG215/분석4B_월별매트릭스!U215-1,"-")</f>
        <v>0.0977020814530687</v>
      </c>
    </row>
    <row r="22" customFormat="false" ht="15" hidden="false" customHeight="true" outlineLevel="0" collapsed="false">
      <c r="A22" s="63" t="s">
        <v>19816</v>
      </c>
      <c r="B22" s="54" t="s">
        <v>19924</v>
      </c>
      <c r="C22" s="59" t="n">
        <f aca="false">IFERROR(분석4B_월별매트릭스!O214/분석4B_월별매트릭스!C214-1,"-")</f>
        <v>-0.255918304193099</v>
      </c>
      <c r="D22" s="59" t="n">
        <f aca="false">IFERROR(분석4B_월별매트릭스!P214/분석4B_월별매트릭스!D214-1,"-")</f>
        <v>0.00562342447159203</v>
      </c>
      <c r="E22" s="59" t="n">
        <f aca="false">IFERROR(분석4B_월별매트릭스!Q214/분석4B_월별매트릭스!E214-1,"-")</f>
        <v>0.156074438202247</v>
      </c>
      <c r="F22" s="59" t="n">
        <f aca="false">IFERROR(분석4B_월별매트릭스!R214/분석4B_월별매트릭스!F214-1,"-")</f>
        <v>-0.0400220811482197</v>
      </c>
      <c r="G22" s="59" t="n">
        <f aca="false">IFERROR(분석4B_월별매트릭스!S214/분석4B_월별매트릭스!G214-1,"-")</f>
        <v>-0.24188528234771</v>
      </c>
      <c r="H22" s="59" t="n">
        <f aca="false">IFERROR(분석4B_월별매트릭스!T214/분석4B_월별매트릭스!H214-1,"-")</f>
        <v>0.394814961409064</v>
      </c>
      <c r="I22" s="59" t="n">
        <f aca="false">IFERROR(분석4B_월별매트릭스!U214/분석4B_월별매트릭스!I214-1,"-")</f>
        <v>0.314034773256856</v>
      </c>
      <c r="J22" s="59" t="n">
        <f aca="false">IFERROR(분석4B_월별매트릭스!V214/분석4B_월별매트릭스!J214-1,"-")</f>
        <v>0.108613643508331</v>
      </c>
      <c r="K22" s="59" t="n">
        <f aca="false">IFERROR(분석4B_월별매트릭스!W214/분석4B_월별매트릭스!K214-1,"-")</f>
        <v>0.381404593639576</v>
      </c>
      <c r="L22" s="59" t="n">
        <f aca="false">IFERROR(분석4B_월별매트릭스!X214/분석4B_월별매트릭스!L214-1,"-")</f>
        <v>-0.0497206703910614</v>
      </c>
      <c r="M22" s="59" t="n">
        <f aca="false">IFERROR(분석4B_월별매트릭스!Y214/분석4B_월별매트릭스!M214-1,"-")</f>
        <v>-0.320961912705032</v>
      </c>
      <c r="N22" s="59" t="n">
        <f aca="false">IFERROR(분석4B_월별매트릭스!Z214/분석4B_월별매트릭스!N214-1,"-")</f>
        <v>0.314153038562487</v>
      </c>
      <c r="O22" s="59" t="n">
        <f aca="false">IFERROR(분석4B_월별매트릭스!AA214/분석4B_월별매트릭스!O214-1,"-")</f>
        <v>0.456643792888334</v>
      </c>
      <c r="P22" s="59" t="n">
        <f aca="false">IFERROR(분석4B_월별매트릭스!AB214/분석4B_월별매트릭스!P214-1,"-")</f>
        <v>0.159660624758966</v>
      </c>
      <c r="Q22" s="59" t="n">
        <f aca="false">IFERROR(분석4B_월별매트릭스!AC214/분석4B_월별매트릭스!Q214-1,"-")</f>
        <v>0.23204252088079</v>
      </c>
      <c r="R22" s="59" t="n">
        <f aca="false">IFERROR(분석4B_월별매트릭스!AD214/분석4B_월별매트릭스!R214-1,"-")</f>
        <v>0.150230017251294</v>
      </c>
      <c r="S22" s="59" t="n">
        <f aca="false">IFERROR(분석4B_월별매트릭스!AE214/분석4B_월별매트릭스!S214-1,"-")</f>
        <v>0.255522971652004</v>
      </c>
      <c r="T22" s="59" t="n">
        <f aca="false">IFERROR(분석4B_월별매트릭스!AF214/분석4B_월별매트릭스!T214-1,"-")</f>
        <v>0.109250851305335</v>
      </c>
      <c r="U22" s="59" t="n">
        <f aca="false">IFERROR(분석4B_월별매트릭스!AG214/분석4B_월별매트릭스!U214-1,"-")</f>
        <v>0.0778884190424225</v>
      </c>
    </row>
    <row r="23" customFormat="false" ht="15" hidden="false" customHeight="true" outlineLevel="0" collapsed="false">
      <c r="A23" s="64" t="s">
        <v>19842</v>
      </c>
      <c r="B23" s="54" t="s">
        <v>19925</v>
      </c>
      <c r="C23" s="59" t="str">
        <f aca="false">IFERROR(분석4B_월별매트릭스!O227/분석4B_월별매트릭스!C227-1,"-")</f>
        <v>-</v>
      </c>
      <c r="D23" s="59" t="str">
        <f aca="false">IFERROR(분석4B_월별매트릭스!P227/분석4B_월별매트릭스!D227-1,"-")</f>
        <v>-</v>
      </c>
      <c r="E23" s="59" t="str">
        <f aca="false">IFERROR(분석4B_월별매트릭스!Q227/분석4B_월별매트릭스!E227-1,"-")</f>
        <v>-</v>
      </c>
      <c r="F23" s="59" t="str">
        <f aca="false">IFERROR(분석4B_월별매트릭스!R227/분석4B_월별매트릭스!F227-1,"-")</f>
        <v>-</v>
      </c>
      <c r="G23" s="59" t="str">
        <f aca="false">IFERROR(분석4B_월별매트릭스!S227/분석4B_월별매트릭스!G227-1,"-")</f>
        <v>-</v>
      </c>
      <c r="H23" s="59" t="str">
        <f aca="false">IFERROR(분석4B_월별매트릭스!T227/분석4B_월별매트릭스!H227-1,"-")</f>
        <v>-</v>
      </c>
      <c r="I23" s="59" t="str">
        <f aca="false">IFERROR(분석4B_월별매트릭스!U227/분석4B_월별매트릭스!I227-1,"-")</f>
        <v>-</v>
      </c>
      <c r="J23" s="59" t="str">
        <f aca="false">IFERROR(분석4B_월별매트릭스!V227/분석4B_월별매트릭스!J227-1,"-")</f>
        <v>-</v>
      </c>
      <c r="K23" s="59" t="str">
        <f aca="false">IFERROR(분석4B_월별매트릭스!W227/분석4B_월별매트릭스!K227-1,"-")</f>
        <v>-</v>
      </c>
      <c r="L23" s="59" t="str">
        <f aca="false">IFERROR(분석4B_월별매트릭스!X227/분석4B_월별매트릭스!L227-1,"-")</f>
        <v>-</v>
      </c>
      <c r="M23" s="59" t="str">
        <f aca="false">IFERROR(분석4B_월별매트릭스!Y227/분석4B_월별매트릭스!M227-1,"-")</f>
        <v>-</v>
      </c>
      <c r="N23" s="59" t="str">
        <f aca="false">IFERROR(분석4B_월별매트릭스!Z227/분석4B_월별매트릭스!N227-1,"-")</f>
        <v>-</v>
      </c>
      <c r="O23" s="59" t="str">
        <f aca="false">IFERROR(분석4B_월별매트릭스!AA227/분석4B_월별매트릭스!O227-1,"-")</f>
        <v>-</v>
      </c>
      <c r="P23" s="59" t="str">
        <f aca="false">IFERROR(분석4B_월별매트릭스!AB227/분석4B_월별매트릭스!P227-1,"-")</f>
        <v>-</v>
      </c>
      <c r="Q23" s="59" t="str">
        <f aca="false">IFERROR(분석4B_월별매트릭스!AC227/분석4B_월별매트릭스!Q227-1,"-")</f>
        <v>-</v>
      </c>
      <c r="R23" s="59" t="str">
        <f aca="false">IFERROR(분석4B_월별매트릭스!AD227/분석4B_월별매트릭스!R227-1,"-")</f>
        <v>-</v>
      </c>
      <c r="S23" s="59" t="str">
        <f aca="false">IFERROR(분석4B_월별매트릭스!AE227/분석4B_월별매트릭스!S227-1,"-")</f>
        <v>-</v>
      </c>
      <c r="T23" s="59" t="str">
        <f aca="false">IFERROR(분석4B_월별매트릭스!AF227/분석4B_월별매트릭스!T227-1,"-")</f>
        <v>-</v>
      </c>
      <c r="U23" s="59" t="str">
        <f aca="false">IFERROR(분석4B_월별매트릭스!AG227/분석4B_월별매트릭스!U227-1,"-")</f>
        <v>-</v>
      </c>
    </row>
    <row r="24" customFormat="false" ht="15" hidden="false" customHeight="true" outlineLevel="0" collapsed="false">
      <c r="A24" s="63" t="s">
        <v>19824</v>
      </c>
      <c r="B24" s="54" t="s">
        <v>19926</v>
      </c>
      <c r="C24" s="59" t="n">
        <f aca="false">IFERROR(분석4B_월별매트릭스!O218/분석4B_월별매트릭스!C218-1,"-")</f>
        <v>-0.141065735744127</v>
      </c>
      <c r="D24" s="59" t="n">
        <f aca="false">IFERROR(분석4B_월별매트릭스!P218/분석4B_월별매트릭스!D218-1,"-")</f>
        <v>0.0503760755761478</v>
      </c>
      <c r="E24" s="59" t="n">
        <f aca="false">IFERROR(분석4B_월별매트릭스!Q218/분석4B_월별매트릭스!E218-1,"-")</f>
        <v>-0.063033241145127</v>
      </c>
      <c r="F24" s="59" t="n">
        <f aca="false">IFERROR(분석4B_월별매트릭스!R218/분석4B_월별매트릭스!F218-1,"-")</f>
        <v>0.0190016919314733</v>
      </c>
      <c r="G24" s="59" t="n">
        <f aca="false">IFERROR(분석4B_월별매트릭스!S218/분석4B_월별매트릭스!G218-1,"-")</f>
        <v>-0.0914704003731003</v>
      </c>
      <c r="H24" s="59" t="n">
        <f aca="false">IFERROR(분석4B_월별매트릭스!T218/분석4B_월별매트릭스!H218-1,"-")</f>
        <v>-0.0696195180607651</v>
      </c>
      <c r="I24" s="59" t="n">
        <f aca="false">IFERROR(분석4B_월별매트릭스!U218/분석4B_월별매트릭스!I218-1,"-")</f>
        <v>-0.0485578314094441</v>
      </c>
      <c r="J24" s="59" t="n">
        <f aca="false">IFERROR(분석4B_월별매트릭스!V218/분석4B_월별매트릭스!J218-1,"-")</f>
        <v>-0.0903444038833842</v>
      </c>
      <c r="K24" s="59" t="n">
        <f aca="false">IFERROR(분석4B_월별매트릭스!W218/분석4B_월별매트릭스!K218-1,"-")</f>
        <v>0.0986555418602446</v>
      </c>
      <c r="L24" s="59" t="n">
        <f aca="false">IFERROR(분석4B_월별매트릭스!X218/분석4B_월별매트릭스!L218-1,"-")</f>
        <v>-0.103435965771122</v>
      </c>
      <c r="M24" s="59" t="n">
        <f aca="false">IFERROR(분석4B_월별매트릭스!Y218/분석4B_월별매트릭스!M218-1,"-")</f>
        <v>-0.0256871345571306</v>
      </c>
      <c r="N24" s="59" t="n">
        <f aca="false">IFERROR(분석4B_월별매트릭스!Z218/분석4B_월별매트릭스!N218-1,"-")</f>
        <v>-0.00691295700849759</v>
      </c>
      <c r="O24" s="59" t="n">
        <f aca="false">IFERROR(분석4B_월별매트릭스!AA218/분석4B_월별매트릭스!O218-1,"-")</f>
        <v>-0.000121497634715362</v>
      </c>
      <c r="P24" s="59" t="n">
        <f aca="false">IFERROR(분석4B_월별매트릭스!AB218/분석4B_월별매트릭스!P218-1,"-")</f>
        <v>-0.13696757217111</v>
      </c>
      <c r="Q24" s="59" t="n">
        <f aca="false">IFERROR(분석4B_월별매트릭스!AC218/분석4B_월별매트릭스!Q218-1,"-")</f>
        <v>0.0103214581481397</v>
      </c>
      <c r="R24" s="59" t="n">
        <f aca="false">IFERROR(분석4B_월별매트릭스!AD218/분석4B_월별매트릭스!R218-1,"-")</f>
        <v>-0.0507928825431396</v>
      </c>
      <c r="S24" s="59" t="n">
        <f aca="false">IFERROR(분석4B_월별매트릭스!AE218/분석4B_월별매트릭스!S218-1,"-")</f>
        <v>-0.0103819099589708</v>
      </c>
      <c r="T24" s="59" t="n">
        <f aca="false">IFERROR(분석4B_월별매트릭스!AF218/분석4B_월별매트릭스!T218-1,"-")</f>
        <v>0.089086262731592</v>
      </c>
      <c r="U24" s="59" t="n">
        <f aca="false">IFERROR(분석4B_월별매트릭스!AG218/분석4B_월별매트릭스!U218-1,"-")</f>
        <v>0.0144953371642689</v>
      </c>
    </row>
    <row r="25" customFormat="false" ht="15" hidden="false" customHeight="true" outlineLevel="0" collapsed="false">
      <c r="A25" s="63" t="s">
        <v>19804</v>
      </c>
      <c r="B25" s="54" t="s">
        <v>19927</v>
      </c>
      <c r="C25" s="59" t="n">
        <f aca="false">IFERROR(분석4B_월별매트릭스!O208/분석4B_월별매트릭스!C208-1,"-")</f>
        <v>5.01483050847458</v>
      </c>
      <c r="D25" s="59" t="n">
        <f aca="false">IFERROR(분석4B_월별매트릭스!P208/분석4B_월별매트릭스!D208-1,"-")</f>
        <v>0.811213991769547</v>
      </c>
      <c r="E25" s="59" t="n">
        <f aca="false">IFERROR(분석4B_월별매트릭스!Q208/분석4B_월별매트릭스!E208-1,"-")</f>
        <v>1.04503656505684</v>
      </c>
      <c r="F25" s="59" t="n">
        <f aca="false">IFERROR(분석4B_월별매트릭스!R208/분석4B_월별매트릭스!F208-1,"-")</f>
        <v>2.32618600911284</v>
      </c>
      <c r="G25" s="59" t="n">
        <f aca="false">IFERROR(분석4B_월별매트릭스!S208/분석4B_월별매트릭스!G208-1,"-")</f>
        <v>1.26132671746707</v>
      </c>
      <c r="H25" s="59" t="n">
        <f aca="false">IFERROR(분석4B_월별매트릭스!T208/분석4B_월별매트릭스!H208-1,"-")</f>
        <v>0.83313247427459</v>
      </c>
      <c r="I25" s="59" t="n">
        <f aca="false">IFERROR(분석4B_월별매트릭스!U208/분석4B_월별매트릭스!I208-1,"-")</f>
        <v>-0.0555504824521352</v>
      </c>
      <c r="J25" s="59" t="n">
        <f aca="false">IFERROR(분석4B_월별매트릭스!V208/분석4B_월별매트릭스!J208-1,"-")</f>
        <v>0.259835584263065</v>
      </c>
      <c r="K25" s="59" t="n">
        <f aca="false">IFERROR(분석4B_월별매트릭스!W208/분석4B_월별매트릭스!K208-1,"-")</f>
        <v>-0.0962211038130172</v>
      </c>
      <c r="L25" s="59" t="n">
        <f aca="false">IFERROR(분석4B_월별매트릭스!X208/분석4B_월별매트릭스!L208-1,"-")</f>
        <v>2.27396235822012</v>
      </c>
      <c r="M25" s="59" t="n">
        <f aca="false">IFERROR(분석4B_월별매트릭스!Y208/분석4B_월별매트릭스!M208-1,"-")</f>
        <v>0.818884478796741</v>
      </c>
      <c r="N25" s="59" t="n">
        <f aca="false">IFERROR(분석4B_월별매트릭스!Z208/분석4B_월별매트릭스!N208-1,"-")</f>
        <v>-0.212643301670488</v>
      </c>
      <c r="O25" s="59" t="n">
        <f aca="false">IFERROR(분석4B_월별매트릭스!AA208/분석4B_월별매트릭스!O208-1,"-")</f>
        <v>-0.758203050911751</v>
      </c>
      <c r="P25" s="59" t="n">
        <f aca="false">IFERROR(분석4B_월별매트릭스!AB208/분석4B_월별매트릭스!P208-1,"-")</f>
        <v>-0.359036258638644</v>
      </c>
      <c r="Q25" s="59" t="n">
        <f aca="false">IFERROR(분석4B_월별매트릭스!AC208/분석4B_월별매트릭스!Q208-1,"-")</f>
        <v>0.176108199971675</v>
      </c>
      <c r="R25" s="59" t="n">
        <f aca="false">IFERROR(분석4B_월별매트릭스!AD208/분석4B_월별매트릭스!R208-1,"-")</f>
        <v>-0.433521353746978</v>
      </c>
      <c r="S25" s="59" t="n">
        <f aca="false">IFERROR(분석4B_월별매트릭스!AE208/분석4B_월별매트릭스!S208-1,"-")</f>
        <v>0.250875084896296</v>
      </c>
      <c r="T25" s="59" t="n">
        <f aca="false">IFERROR(분석4B_월별매트릭스!AF208/분석4B_월별매트릭스!T208-1,"-")</f>
        <v>0.166936381106503</v>
      </c>
      <c r="U25" s="59" t="n">
        <f aca="false">IFERROR(분석4B_월별매트릭스!AG208/분석4B_월별매트릭스!U208-1,"-")</f>
        <v>-0.184091788062395</v>
      </c>
    </row>
    <row r="26" customFormat="false" ht="15" hidden="false" customHeight="true" outlineLevel="0" collapsed="false">
      <c r="A26" s="63" t="s">
        <v>19802</v>
      </c>
      <c r="B26" s="54" t="s">
        <v>19928</v>
      </c>
      <c r="C26" s="59" t="n">
        <f aca="false">IFERROR(분석4B_월별매트릭스!O207/분석4B_월별매트릭스!C207-1,"-")</f>
        <v>0.0621828283125729</v>
      </c>
      <c r="D26" s="59" t="n">
        <f aca="false">IFERROR(분석4B_월별매트릭스!P207/분석4B_월별매트릭스!D207-1,"-")</f>
        <v>0.414062698634665</v>
      </c>
      <c r="E26" s="59" t="n">
        <f aca="false">IFERROR(분석4B_월별매트릭스!Q207/분석4B_월별매트릭스!E207-1,"-")</f>
        <v>0.0563645445114689</v>
      </c>
      <c r="F26" s="59" t="n">
        <f aca="false">IFERROR(분석4B_월별매트릭스!R207/분석4B_월별매트릭스!F207-1,"-")</f>
        <v>0.00874879171649989</v>
      </c>
      <c r="G26" s="59" t="n">
        <f aca="false">IFERROR(분석4B_월별매트릭스!S207/분석4B_월별매트릭스!G207-1,"-")</f>
        <v>-0.0878851066518627</v>
      </c>
      <c r="H26" s="59" t="n">
        <f aca="false">IFERROR(분석4B_월별매트릭스!T207/분석4B_월별매트릭스!H207-1,"-")</f>
        <v>-0.0834685811391366</v>
      </c>
      <c r="I26" s="59" t="n">
        <f aca="false">IFERROR(분석4B_월별매트릭스!U207/분석4B_월별매트릭스!I207-1,"-")</f>
        <v>0.11998356664028</v>
      </c>
      <c r="J26" s="59" t="n">
        <f aca="false">IFERROR(분석4B_월별매트릭스!V207/분석4B_월별매트릭스!J207-1,"-")</f>
        <v>0.0411748002109449</v>
      </c>
      <c r="K26" s="59" t="n">
        <f aca="false">IFERROR(분석4B_월별매트릭스!W207/분석4B_월별매트릭스!K207-1,"-")</f>
        <v>0.3723979796699</v>
      </c>
      <c r="L26" s="59" t="n">
        <f aca="false">IFERROR(분석4B_월별매트릭스!X207/분석4B_월별매트릭스!L207-1,"-")</f>
        <v>0.0176412366332215</v>
      </c>
      <c r="M26" s="59" t="n">
        <f aca="false">IFERROR(분석4B_월별매트릭스!Y207/분석4B_월별매트릭스!M207-1,"-")</f>
        <v>0.0626086112324644</v>
      </c>
      <c r="N26" s="59" t="n">
        <f aca="false">IFERROR(분석4B_월별매트릭스!Z207/분석4B_월별매트릭스!N207-1,"-")</f>
        <v>0.0243888284367066</v>
      </c>
      <c r="O26" s="59" t="n">
        <f aca="false">IFERROR(분석4B_월별매트릭스!AA207/분석4B_월별매트릭스!O207-1,"-")</f>
        <v>0.0924851217979521</v>
      </c>
      <c r="P26" s="59" t="n">
        <f aca="false">IFERROR(분석4B_월별매트릭스!AB207/분석4B_월별매트릭스!P207-1,"-")</f>
        <v>-0.224276968165922</v>
      </c>
      <c r="Q26" s="59" t="n">
        <f aca="false">IFERROR(분석4B_월별매트릭스!AC207/분석4B_월별매트릭스!Q207-1,"-")</f>
        <v>0.0481377755146577</v>
      </c>
      <c r="R26" s="59" t="n">
        <f aca="false">IFERROR(분석4B_월별매트릭스!AD207/분석4B_월별매트릭스!R207-1,"-")</f>
        <v>-0.157704113949749</v>
      </c>
      <c r="S26" s="59" t="n">
        <f aca="false">IFERROR(분석4B_월별매트릭스!AE207/분석4B_월별매트릭스!S207-1,"-")</f>
        <v>-0.0758276015636598</v>
      </c>
      <c r="T26" s="59" t="n">
        <f aca="false">IFERROR(분석4B_월별매트릭스!AF207/분석4B_월별매트릭스!T207-1,"-")</f>
        <v>0.215159942918451</v>
      </c>
      <c r="U26" s="59" t="n">
        <f aca="false">IFERROR(분석4B_월별매트릭스!AG207/분석4B_월별매트릭스!U207-1,"-")</f>
        <v>-0.258895420100026</v>
      </c>
    </row>
    <row r="27" customFormat="false" ht="15" hidden="false" customHeight="true" outlineLevel="0" collapsed="false">
      <c r="A27" s="63" t="s">
        <v>19840</v>
      </c>
      <c r="B27" s="54" t="s">
        <v>19929</v>
      </c>
      <c r="C27" s="59" t="n">
        <f aca="false">IFERROR(분석4B_월별매트릭스!O226/분석4B_월별매트릭스!C226-1,"-")</f>
        <v>-0.342167236060898</v>
      </c>
      <c r="D27" s="59" t="n">
        <f aca="false">IFERROR(분석4B_월별매트릭스!P226/분석4B_월별매트릭스!D226-1,"-")</f>
        <v>-0.352146697488377</v>
      </c>
      <c r="E27" s="59" t="n">
        <f aca="false">IFERROR(분석4B_월별매트릭스!Q226/분석4B_월별매트릭스!E226-1,"-")</f>
        <v>-0.14655842893253</v>
      </c>
      <c r="F27" s="59" t="n">
        <f aca="false">IFERROR(분석4B_월별매트릭스!R226/분석4B_월별매트릭스!F226-1,"-")</f>
        <v>-0.0237215505367411</v>
      </c>
      <c r="G27" s="59" t="n">
        <f aca="false">IFERROR(분석4B_월별매트릭스!S226/분석4B_월별매트릭스!G226-1,"-")</f>
        <v>0.609500380718093</v>
      </c>
      <c r="H27" s="59" t="n">
        <f aca="false">IFERROR(분석4B_월별매트릭스!T226/분석4B_월별매트릭스!H226-1,"-")</f>
        <v>-0.364929597909711</v>
      </c>
      <c r="I27" s="59" t="n">
        <f aca="false">IFERROR(분석4B_월별매트릭스!U226/분석4B_월별매트릭스!I226-1,"-")</f>
        <v>4.40119492158327</v>
      </c>
      <c r="J27" s="59" t="n">
        <f aca="false">IFERROR(분석4B_월별매트릭스!V226/분석4B_월별매트릭스!J226-1,"-")</f>
        <v>-0.0190243239570593</v>
      </c>
      <c r="K27" s="59" t="n">
        <f aca="false">IFERROR(분석4B_월별매트릭스!W226/분석4B_월별매트릭스!K226-1,"-")</f>
        <v>1.01648804616653</v>
      </c>
      <c r="L27" s="59" t="n">
        <f aca="false">IFERROR(분석4B_월별매트릭스!X226/분석4B_월별매트릭스!L226-1,"-")</f>
        <v>-0.43146645158038</v>
      </c>
      <c r="M27" s="59" t="n">
        <f aca="false">IFERROR(분석4B_월별매트릭스!Y226/분석4B_월별매트릭스!M226-1,"-")</f>
        <v>0.0548767103241385</v>
      </c>
      <c r="N27" s="59" t="n">
        <f aca="false">IFERROR(분석4B_월별매트릭스!Z226/분석4B_월별매트릭스!N226-1,"-")</f>
        <v>0.371985664824151</v>
      </c>
      <c r="O27" s="59" t="n">
        <f aca="false">IFERROR(분석4B_월별매트릭스!AA226/분석4B_월별매트릭스!O226-1,"-")</f>
        <v>0.10578329047547</v>
      </c>
      <c r="P27" s="59" t="n">
        <f aca="false">IFERROR(분석4B_월별매트릭스!AB226/분석4B_월별매트릭스!P226-1,"-")</f>
        <v>-0.327145892635208</v>
      </c>
      <c r="Q27" s="59" t="n">
        <f aca="false">IFERROR(분석4B_월별매트릭스!AC226/분석4B_월별매트릭스!Q226-1,"-")</f>
        <v>0.994987754172125</v>
      </c>
      <c r="R27" s="59" t="n">
        <f aca="false">IFERROR(분석4B_월별매트릭스!AD226/분석4B_월별매트릭스!R226-1,"-")</f>
        <v>-0.692435168182022</v>
      </c>
      <c r="S27" s="59" t="n">
        <f aca="false">IFERROR(분석4B_월별매트릭스!AE226/분석4B_월별매트릭스!S226-1,"-")</f>
        <v>-0.385567160377015</v>
      </c>
      <c r="T27" s="59" t="n">
        <f aca="false">IFERROR(분석4B_월별매트릭스!AF226/분석4B_월별매트릭스!T226-1,"-")</f>
        <v>0.302857142857143</v>
      </c>
      <c r="U27" s="59" t="n">
        <f aca="false">IFERROR(분석4B_월별매트릭스!AG226/분석4B_월별매트릭스!U226-1,"-")</f>
        <v>-0.582146511434971</v>
      </c>
    </row>
    <row r="28" customFormat="false" ht="15" hidden="false" customHeight="true" outlineLevel="0" collapsed="false">
      <c r="A28" s="63" t="s">
        <v>19820</v>
      </c>
      <c r="B28" s="54" t="s">
        <v>19930</v>
      </c>
      <c r="C28" s="59" t="n">
        <f aca="false">IFERROR(분석4B_월별매트릭스!O216/분석4B_월별매트릭스!C216-1,"-")</f>
        <v>-0.16574283404416</v>
      </c>
      <c r="D28" s="59" t="n">
        <f aca="false">IFERROR(분석4B_월별매트릭스!P216/분석4B_월별매트릭스!D216-1,"-")</f>
        <v>-0.0108676050213272</v>
      </c>
      <c r="E28" s="59" t="n">
        <f aca="false">IFERROR(분석4B_월별매트릭스!Q216/분석4B_월별매트릭스!E216-1,"-")</f>
        <v>-0.0544197390084835</v>
      </c>
      <c r="F28" s="59" t="n">
        <f aca="false">IFERROR(분석4B_월별매트릭스!R216/분석4B_월별매트릭스!F216-1,"-")</f>
        <v>-0.0365720342090002</v>
      </c>
      <c r="G28" s="59" t="n">
        <f aca="false">IFERROR(분석4B_월별매트릭스!S216/분석4B_월별매트릭스!G216-1,"-")</f>
        <v>-0.12207458395051</v>
      </c>
      <c r="H28" s="59" t="n">
        <f aca="false">IFERROR(분석4B_월별매트릭스!T216/분석4B_월별매트릭스!H216-1,"-")</f>
        <v>-0.0971180613199943</v>
      </c>
      <c r="I28" s="59" t="n">
        <f aca="false">IFERROR(분석4B_월별매트릭스!U216/분석4B_월별매트릭스!I216-1,"-")</f>
        <v>-0.0587411352594757</v>
      </c>
      <c r="J28" s="59" t="n">
        <f aca="false">IFERROR(분석4B_월별매트릭스!V216/분석4B_월별매트릭스!J216-1,"-")</f>
        <v>-0.130306256904423</v>
      </c>
      <c r="K28" s="59" t="n">
        <f aca="false">IFERROR(분석4B_월별매트릭스!W216/분석4B_월별매트릭스!K216-1,"-")</f>
        <v>0.0780182939989249</v>
      </c>
      <c r="L28" s="59" t="n">
        <f aca="false">IFERROR(분석4B_월별매트릭스!X216/분석4B_월별매트릭스!L216-1,"-")</f>
        <v>-0.169400662902968</v>
      </c>
      <c r="M28" s="59" t="n">
        <f aca="false">IFERROR(분석4B_월별매트릭스!Y216/분석4B_월별매트릭스!M216-1,"-")</f>
        <v>-0.114608982454865</v>
      </c>
      <c r="N28" s="59" t="n">
        <f aca="false">IFERROR(분석4B_월별매트릭스!Z216/분석4B_월별매트릭스!N216-1,"-")</f>
        <v>-0.00692150755994481</v>
      </c>
      <c r="O28" s="59" t="n">
        <f aca="false">IFERROR(분석4B_월별매트릭스!AA216/분석4B_월별매트릭스!O216-1,"-")</f>
        <v>0.0590596529913539</v>
      </c>
      <c r="P28" s="59" t="n">
        <f aca="false">IFERROR(분석4B_월별매트릭스!AB216/분석4B_월별매트릭스!P216-1,"-")</f>
        <v>-0.186352422132801</v>
      </c>
      <c r="Q28" s="59" t="n">
        <f aca="false">IFERROR(분석4B_월별매트릭스!AC216/분석4B_월별매트릭스!Q216-1,"-")</f>
        <v>0.0165305726169915</v>
      </c>
      <c r="R28" s="59" t="n">
        <f aca="false">IFERROR(분석4B_월별매트릭스!AD216/분석4B_월별매트릭스!R216-1,"-")</f>
        <v>0.0333362161912834</v>
      </c>
      <c r="S28" s="59" t="n">
        <f aca="false">IFERROR(분석4B_월별매트릭스!AE216/분석4B_월별매트릭스!S216-1,"-")</f>
        <v>-0.107953840580789</v>
      </c>
      <c r="T28" s="59" t="n">
        <f aca="false">IFERROR(분석4B_월별매트릭스!AF216/분석4B_월별매트릭스!T216-1,"-")</f>
        <v>0.077061545574584</v>
      </c>
      <c r="U28" s="59" t="n">
        <f aca="false">IFERROR(분석4B_월별매트릭스!AG216/분석4B_월별매트릭스!U216-1,"-")</f>
        <v>-0.000309284361619366</v>
      </c>
    </row>
    <row r="30" customFormat="false" ht="14.25" hidden="false" customHeight="true" outlineLevel="0" collapsed="false">
      <c r="A30" s="23" t="s">
        <v>19931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customFormat="false" ht="15" hidden="false" customHeight="true" outlineLevel="0" collapsed="false">
      <c r="A31" s="5" t="s">
        <v>19907</v>
      </c>
      <c r="B31" s="5" t="s">
        <v>19908</v>
      </c>
      <c r="C31" s="44" t="s">
        <v>179</v>
      </c>
      <c r="D31" s="44" t="s">
        <v>187</v>
      </c>
      <c r="E31" s="44" t="s">
        <v>195</v>
      </c>
      <c r="F31" s="44" t="s">
        <v>203</v>
      </c>
      <c r="G31" s="44" t="s">
        <v>211</v>
      </c>
      <c r="H31" s="44" t="s">
        <v>219</v>
      </c>
      <c r="I31" s="44" t="s">
        <v>228</v>
      </c>
      <c r="J31" s="44" t="s">
        <v>236</v>
      </c>
      <c r="K31" s="44" t="s">
        <v>244</v>
      </c>
      <c r="L31" s="44" t="s">
        <v>252</v>
      </c>
      <c r="M31" s="44" t="s">
        <v>260</v>
      </c>
      <c r="N31" s="44" t="s">
        <v>268</v>
      </c>
      <c r="O31" s="44" t="s">
        <v>276</v>
      </c>
      <c r="P31" s="44" t="s">
        <v>284</v>
      </c>
      <c r="Q31" s="44" t="s">
        <v>293</v>
      </c>
      <c r="R31" s="44" t="s">
        <v>301</v>
      </c>
      <c r="S31" s="44" t="s">
        <v>309</v>
      </c>
      <c r="T31" s="44" t="s">
        <v>317</v>
      </c>
      <c r="U31" s="44" t="s">
        <v>325</v>
      </c>
    </row>
    <row r="32" customFormat="false" ht="15" hidden="false" customHeight="true" outlineLevel="0" collapsed="false">
      <c r="A32" s="63" t="s">
        <v>19830</v>
      </c>
      <c r="B32" s="54" t="s">
        <v>19909</v>
      </c>
      <c r="C32" s="57" t="n">
        <f aca="false">분석4B_월별매트릭스!O221-분석4B_월별매트릭스!C221</f>
        <v>-867628</v>
      </c>
      <c r="D32" s="57" t="n">
        <f aca="false">분석4B_월별매트릭스!P221-분석4B_월별매트릭스!D221</f>
        <v>-292281</v>
      </c>
      <c r="E32" s="57" t="n">
        <f aca="false">분석4B_월별매트릭스!Q221-분석4B_월별매트릭스!E221</f>
        <v>1864820</v>
      </c>
      <c r="F32" s="57" t="n">
        <f aca="false">분석4B_월별매트릭스!R221-분석4B_월별매트릭스!F221</f>
        <v>1940030</v>
      </c>
      <c r="G32" s="57" t="n">
        <f aca="false">분석4B_월별매트릭스!S221-분석4B_월별매트릭스!G221</f>
        <v>1588206</v>
      </c>
      <c r="H32" s="57" t="n">
        <f aca="false">분석4B_월별매트릭스!T221-분석4B_월별매트릭스!H221</f>
        <v>845615</v>
      </c>
      <c r="I32" s="57" t="n">
        <f aca="false">분석4B_월별매트릭스!U221-분석4B_월별매트릭스!I221</f>
        <v>2280241</v>
      </c>
      <c r="J32" s="57" t="n">
        <f aca="false">분석4B_월별매트릭스!V221-분석4B_월별매트릭스!J221</f>
        <v>1887992</v>
      </c>
      <c r="K32" s="57" t="n">
        <f aca="false">분석4B_월별매트릭스!W221-분석4B_월별매트릭스!K221</f>
        <v>3517709</v>
      </c>
      <c r="L32" s="57" t="n">
        <f aca="false">분석4B_월별매트릭스!X221-분석4B_월별매트릭스!L221</f>
        <v>1824778</v>
      </c>
      <c r="M32" s="57" t="n">
        <f aca="false">분석4B_월별매트릭스!Y221-분석4B_월별매트릭스!M221</f>
        <v>4868206</v>
      </c>
      <c r="N32" s="57" t="n">
        <f aca="false">분석4B_월별매트릭스!Z221-분석4B_월별매트릭스!N221</f>
        <v>7281924</v>
      </c>
      <c r="O32" s="57" t="n">
        <f aca="false">분석4B_월별매트릭스!AA221-분석4B_월별매트릭스!O221</f>
        <v>13119176</v>
      </c>
      <c r="P32" s="57" t="n">
        <f aca="false">분석4B_월별매트릭스!AB221-분석4B_월별매트릭스!P221</f>
        <v>16400143</v>
      </c>
      <c r="Q32" s="57" t="n">
        <f aca="false">분석4B_월별매트릭스!AC221-분석4B_월별매트릭스!Q221</f>
        <v>22811669</v>
      </c>
      <c r="R32" s="57" t="n">
        <f aca="false">분석4B_월별매트릭스!AD221-분석4B_월별매트릭스!R221</f>
        <v>23697322</v>
      </c>
      <c r="S32" s="57" t="n">
        <f aca="false">분석4B_월별매트릭스!AE221-분석4B_월별매트릭스!S221</f>
        <v>26657296</v>
      </c>
      <c r="T32" s="57" t="n">
        <f aca="false">분석4B_월별매트릭스!AF221-분석4B_월별매트릭스!T221</f>
        <v>35667517</v>
      </c>
      <c r="U32" s="57" t="n">
        <f aca="false">분석4B_월별매트릭스!AG221-분석4B_월별매트릭스!U221</f>
        <v>31586938</v>
      </c>
    </row>
    <row r="33" customFormat="false" ht="15" hidden="false" customHeight="true" outlineLevel="0" collapsed="false">
      <c r="A33" s="63" t="s">
        <v>19808</v>
      </c>
      <c r="B33" s="54" t="s">
        <v>19910</v>
      </c>
      <c r="C33" s="57" t="n">
        <f aca="false">분석4B_월별매트릭스!O210-분석4B_월별매트릭스!C210</f>
        <v>-1432712</v>
      </c>
      <c r="D33" s="57" t="n">
        <f aca="false">분석4B_월별매트릭스!P210-분석4B_월별매트릭스!D210</f>
        <v>-613151</v>
      </c>
      <c r="E33" s="57" t="n">
        <f aca="false">분석4B_월별매트릭스!Q210-분석4B_월별매트릭스!E210</f>
        <v>-1415049</v>
      </c>
      <c r="F33" s="57" t="n">
        <f aca="false">분석4B_월별매트릭스!R210-분석4B_월별매트릭스!F210</f>
        <v>-673550</v>
      </c>
      <c r="G33" s="57" t="n">
        <f aca="false">분석4B_월별매트릭스!S210-분석4B_월별매트릭스!G210</f>
        <v>-1031491</v>
      </c>
      <c r="H33" s="57" t="n">
        <f aca="false">분석4B_월별매트릭스!T210-분석4B_월별매트릭스!H210</f>
        <v>42314</v>
      </c>
      <c r="I33" s="57" t="n">
        <f aca="false">분석4B_월별매트릭스!U210-분석4B_월별매트릭스!I210</f>
        <v>-268955</v>
      </c>
      <c r="J33" s="57" t="n">
        <f aca="false">분석4B_월별매트릭스!V210-분석4B_월별매트릭스!J210</f>
        <v>-329643</v>
      </c>
      <c r="K33" s="57" t="n">
        <f aca="false">분석4B_월별매트릭스!W210-분석4B_월별매트릭스!K210</f>
        <v>143384</v>
      </c>
      <c r="L33" s="57" t="n">
        <f aca="false">분석4B_월별매트릭스!X210-분석4B_월별매트릭스!L210</f>
        <v>347343</v>
      </c>
      <c r="M33" s="57" t="n">
        <f aca="false">분석4B_월별매트릭스!Y210-분석4B_월별매트릭스!M210</f>
        <v>-430159</v>
      </c>
      <c r="N33" s="57" t="n">
        <f aca="false">분석4B_월별매트릭스!Z210-분석4B_월별매트릭스!N210</f>
        <v>186206</v>
      </c>
      <c r="O33" s="57" t="n">
        <f aca="false">분석4B_월별매트릭스!AA210-분석4B_월별매트릭스!O210</f>
        <v>315133</v>
      </c>
      <c r="P33" s="57" t="n">
        <f aca="false">분석4B_월별매트릭스!AB210-분석4B_월별매트릭스!P210</f>
        <v>192359</v>
      </c>
      <c r="Q33" s="57" t="n">
        <f aca="false">분석4B_월별매트릭스!AC210-분석4B_월별매트릭스!Q210</f>
        <v>2972337</v>
      </c>
      <c r="R33" s="57" t="n">
        <f aca="false">분석4B_월별매트릭스!AD210-분석4B_월별매트릭스!R210</f>
        <v>1301443</v>
      </c>
      <c r="S33" s="57" t="n">
        <f aca="false">분석4B_월별매트릭스!AE210-분석4B_월별매트릭스!S210</f>
        <v>1577288</v>
      </c>
      <c r="T33" s="57" t="n">
        <f aca="false">분석4B_월별매트릭스!AF210-분석4B_월별매트릭스!T210</f>
        <v>1654621</v>
      </c>
      <c r="U33" s="57" t="n">
        <f aca="false">분석4B_월별매트릭스!AG210-분석4B_월별매트릭스!U210</f>
        <v>1530298</v>
      </c>
    </row>
    <row r="34" customFormat="false" ht="15" hidden="false" customHeight="true" outlineLevel="0" collapsed="false">
      <c r="A34" s="63" t="s">
        <v>19826</v>
      </c>
      <c r="B34" s="54" t="s">
        <v>19911</v>
      </c>
      <c r="C34" s="57" t="n">
        <f aca="false">분석4B_월별매트릭스!O219-분석4B_월별매트릭스!C219</f>
        <v>35292</v>
      </c>
      <c r="D34" s="57" t="n">
        <f aca="false">분석4B_월별매트릭스!P219-분석4B_월별매트릭스!D219</f>
        <v>175742</v>
      </c>
      <c r="E34" s="57" t="n">
        <f aca="false">분석4B_월별매트릭스!Q219-분석4B_월별매트릭스!E219</f>
        <v>-5025</v>
      </c>
      <c r="F34" s="57" t="n">
        <f aca="false">분석4B_월별매트릭스!R219-분석4B_월별매트릭스!F219</f>
        <v>-7519</v>
      </c>
      <c r="G34" s="57" t="n">
        <f aca="false">분석4B_월별매트릭스!S219-분석4B_월별매트릭스!G219</f>
        <v>91441</v>
      </c>
      <c r="H34" s="57" t="n">
        <f aca="false">분석4B_월별매트릭스!T219-분석4B_월별매트릭스!H219</f>
        <v>313267</v>
      </c>
      <c r="I34" s="57" t="n">
        <f aca="false">분석4B_월별매트릭스!U219-분석4B_월별매트릭스!I219</f>
        <v>130456</v>
      </c>
      <c r="J34" s="57" t="n">
        <f aca="false">분석4B_월별매트릭스!V219-분석4B_월별매트릭스!J219</f>
        <v>37711</v>
      </c>
      <c r="K34" s="57" t="n">
        <f aca="false">분석4B_월별매트릭스!W219-분석4B_월별매트릭스!K219</f>
        <v>75614</v>
      </c>
      <c r="L34" s="57" t="n">
        <f aca="false">분석4B_월별매트릭스!X219-분석4B_월별매트릭스!L219</f>
        <v>610376</v>
      </c>
      <c r="M34" s="57" t="n">
        <f aca="false">분석4B_월별매트릭스!Y219-분석4B_월별매트릭스!M219</f>
        <v>639339</v>
      </c>
      <c r="N34" s="57" t="n">
        <f aca="false">분석4B_월별매트릭스!Z219-분석4B_월별매트릭스!N219</f>
        <v>406439</v>
      </c>
      <c r="O34" s="57" t="n">
        <f aca="false">분석4B_월별매트릭스!AA219-분석4B_월별매트릭스!O219</f>
        <v>534962</v>
      </c>
      <c r="P34" s="57" t="n">
        <f aca="false">분석4B_월별매트릭스!AB219-분석4B_월별매트릭스!P219</f>
        <v>717881</v>
      </c>
      <c r="Q34" s="57" t="n">
        <f aca="false">분석4B_월별매트릭스!AC219-분석4B_월별매트릭스!Q219</f>
        <v>1412715</v>
      </c>
      <c r="R34" s="57" t="n">
        <f aca="false">분석4B_월별매트릭스!AD219-분석4B_월별매트릭스!R219</f>
        <v>870456</v>
      </c>
      <c r="S34" s="57" t="n">
        <f aca="false">분석4B_월별매트릭스!AE219-분석4B_월별매트릭스!S219</f>
        <v>1084177</v>
      </c>
      <c r="T34" s="57" t="n">
        <f aca="false">분석4B_월별매트릭스!AF219-분석4B_월별매트릭스!T219</f>
        <v>850487</v>
      </c>
      <c r="U34" s="57" t="n">
        <f aca="false">분석4B_월별매트릭스!AG219-분석4B_월별매트릭스!U219</f>
        <v>578811</v>
      </c>
    </row>
    <row r="35" customFormat="false" ht="15" hidden="false" customHeight="true" outlineLevel="0" collapsed="false">
      <c r="A35" s="63" t="s">
        <v>19810</v>
      </c>
      <c r="B35" s="54" t="s">
        <v>19912</v>
      </c>
      <c r="C35" s="57" t="n">
        <f aca="false">분석4B_월별매트릭스!O211-분석4B_월별매트릭스!C211</f>
        <v>-556813</v>
      </c>
      <c r="D35" s="57" t="n">
        <f aca="false">분석4B_월별매트릭스!P211-분석4B_월별매트릭스!D211</f>
        <v>-65937</v>
      </c>
      <c r="E35" s="57" t="n">
        <f aca="false">분석4B_월별매트릭스!Q211-분석4B_월별매트릭스!E211</f>
        <v>6184</v>
      </c>
      <c r="F35" s="57" t="n">
        <f aca="false">분석4B_월별매트릭스!R211-분석4B_월별매트릭스!F211</f>
        <v>-276915</v>
      </c>
      <c r="G35" s="57" t="n">
        <f aca="false">분석4B_월별매트릭스!S211-분석4B_월별매트릭스!G211</f>
        <v>-314979</v>
      </c>
      <c r="H35" s="57" t="n">
        <f aca="false">분석4B_월별매트릭스!T211-분석4B_월별매트릭스!H211</f>
        <v>452732</v>
      </c>
      <c r="I35" s="57" t="n">
        <f aca="false">분석4B_월별매트릭스!U211-분석4B_월별매트릭스!I211</f>
        <v>-140740</v>
      </c>
      <c r="J35" s="57" t="n">
        <f aca="false">분석4B_월별매트릭스!V211-분석4B_월별매트릭스!J211</f>
        <v>-437257</v>
      </c>
      <c r="K35" s="57" t="n">
        <f aca="false">분석4B_월별매트릭스!W211-분석4B_월별매트릭스!K211</f>
        <v>742227</v>
      </c>
      <c r="L35" s="57" t="n">
        <f aca="false">분석4B_월별매트릭스!X211-분석4B_월별매트릭스!L211</f>
        <v>-514725</v>
      </c>
      <c r="M35" s="57" t="n">
        <f aca="false">분석4B_월별매트릭스!Y211-분석4B_월별매트릭스!M211</f>
        <v>82559</v>
      </c>
      <c r="N35" s="57" t="n">
        <f aca="false">분석4B_월별매트릭스!Z211-분석4B_월별매트릭스!N211</f>
        <v>317060</v>
      </c>
      <c r="O35" s="57" t="n">
        <f aca="false">분석4B_월별매트릭스!AA211-분석4B_월별매트릭스!O211</f>
        <v>625397</v>
      </c>
      <c r="P35" s="57" t="n">
        <f aca="false">분석4B_월별매트릭스!AB211-분석4B_월별매트릭스!P211</f>
        <v>-73908</v>
      </c>
      <c r="Q35" s="57" t="n">
        <f aca="false">분석4B_월별매트릭스!AC211-분석4B_월별매트릭스!Q211</f>
        <v>917761</v>
      </c>
      <c r="R35" s="57" t="n">
        <f aca="false">분석4B_월별매트릭스!AD211-분석4B_월별매트릭스!R211</f>
        <v>929494</v>
      </c>
      <c r="S35" s="57" t="n">
        <f aca="false">분석4B_월별매트릭스!AE211-분석4B_월별매트릭스!S211</f>
        <v>699167</v>
      </c>
      <c r="T35" s="57" t="n">
        <f aca="false">분석4B_월별매트릭스!AF211-분석4B_월별매트릭스!T211</f>
        <v>1082402</v>
      </c>
      <c r="U35" s="57" t="n">
        <f aca="false">분석4B_월별매트릭스!AG211-분석4B_월별매트릭스!U211</f>
        <v>1362658</v>
      </c>
    </row>
    <row r="36" customFormat="false" ht="15" hidden="false" customHeight="true" outlineLevel="0" collapsed="false">
      <c r="A36" s="63" t="s">
        <v>19832</v>
      </c>
      <c r="B36" s="54" t="s">
        <v>19913</v>
      </c>
      <c r="C36" s="57" t="n">
        <f aca="false">분석4B_월별매트릭스!O222-분석4B_월별매트릭스!C222</f>
        <v>-1451637</v>
      </c>
      <c r="D36" s="57" t="n">
        <f aca="false">분석4B_월별매트릭스!P222-분석4B_월별매트릭스!D222</f>
        <v>490206</v>
      </c>
      <c r="E36" s="57" t="n">
        <f aca="false">분석4B_월별매트릭스!Q222-분석4B_월별매트릭스!E222</f>
        <v>1301948</v>
      </c>
      <c r="F36" s="57" t="n">
        <f aca="false">분석4B_월별매트릭스!R222-분석4B_월별매트릭스!F222</f>
        <v>353791</v>
      </c>
      <c r="G36" s="57" t="n">
        <f aca="false">분석4B_월별매트릭스!S222-분석4B_월별매트릭스!G222</f>
        <v>-173587</v>
      </c>
      <c r="H36" s="57" t="n">
        <f aca="false">분석4B_월별매트릭스!T222-분석4B_월별매트릭스!H222</f>
        <v>1317030</v>
      </c>
      <c r="I36" s="57" t="n">
        <f aca="false">분석4B_월별매트릭스!U222-분석4B_월별매트릭스!I222</f>
        <v>1365844</v>
      </c>
      <c r="J36" s="57" t="n">
        <f aca="false">분석4B_월별매트릭스!V222-분석4B_월별매트릭스!J222</f>
        <v>647227</v>
      </c>
      <c r="K36" s="57" t="n">
        <f aca="false">분석4B_월별매트릭스!W222-분석4B_월별매트릭스!K222</f>
        <v>1794394</v>
      </c>
      <c r="L36" s="57" t="n">
        <f aca="false">분석4B_월별매트릭스!X222-분석4B_월별매트릭스!L222</f>
        <v>1508863</v>
      </c>
      <c r="M36" s="57" t="n">
        <f aca="false">분석4B_월별매트릭스!Y222-분석4B_월별매트릭스!M222</f>
        <v>64198</v>
      </c>
      <c r="N36" s="57" t="n">
        <f aca="false">분석4B_월별매트릭스!Z222-분석4B_월별매트릭스!N222</f>
        <v>-240063</v>
      </c>
      <c r="O36" s="57" t="n">
        <f aca="false">분석4B_월별매트릭스!AA222-분석4B_월별매트릭스!O222</f>
        <v>923184</v>
      </c>
      <c r="P36" s="57" t="n">
        <f aca="false">분석4B_월별매트릭스!AB222-분석4B_월별매트릭스!P222</f>
        <v>-834128</v>
      </c>
      <c r="Q36" s="57" t="n">
        <f aca="false">분석4B_월별매트릭스!AC222-분석4B_월별매트릭스!Q222</f>
        <v>234863</v>
      </c>
      <c r="R36" s="57" t="n">
        <f aca="false">분석4B_월별매트릭스!AD222-분석4B_월별매트릭스!R222</f>
        <v>361443</v>
      </c>
      <c r="S36" s="57" t="n">
        <f aca="false">분석4B_월별매트릭스!AE222-분석4B_월별매트릭스!S222</f>
        <v>-236771</v>
      </c>
      <c r="T36" s="57" t="n">
        <f aca="false">분석4B_월별매트릭스!AF222-분석4B_월별매트릭스!T222</f>
        <v>971290</v>
      </c>
      <c r="U36" s="57" t="n">
        <f aca="false">분석4B_월별매트릭스!AG222-분석4B_월별매트릭스!U222</f>
        <v>1798393</v>
      </c>
    </row>
    <row r="37" customFormat="false" ht="15" hidden="false" customHeight="true" outlineLevel="0" collapsed="false">
      <c r="A37" s="63" t="s">
        <v>19828</v>
      </c>
      <c r="B37" s="54" t="s">
        <v>19914</v>
      </c>
      <c r="C37" s="57" t="n">
        <f aca="false">분석4B_월별매트릭스!O220-분석4B_월별매트릭스!C220</f>
        <v>-278792</v>
      </c>
      <c r="D37" s="57" t="n">
        <f aca="false">분석4B_월별매트릭스!P220-분석4B_월별매트릭스!D220</f>
        <v>-40996</v>
      </c>
      <c r="E37" s="57" t="n">
        <f aca="false">분석4B_월별매트릭스!Q220-분석4B_월별매트릭스!E220</f>
        <v>-163809</v>
      </c>
      <c r="F37" s="57" t="n">
        <f aca="false">분석4B_월별매트릭스!R220-분석4B_월별매트릭스!F220</f>
        <v>391977</v>
      </c>
      <c r="G37" s="57" t="n">
        <f aca="false">분석4B_월별매트릭스!S220-분석4B_월별매트릭스!G220</f>
        <v>-440615</v>
      </c>
      <c r="H37" s="57" t="n">
        <f aca="false">분석4B_월별매트릭스!T220-분석4B_월별매트릭스!H220</f>
        <v>-161331</v>
      </c>
      <c r="I37" s="57" t="n">
        <f aca="false">분석4B_월별매트릭스!U220-분석4B_월별매트릭스!I220</f>
        <v>26750</v>
      </c>
      <c r="J37" s="57" t="n">
        <f aca="false">분석4B_월별매트릭스!V220-분석4B_월별매트릭스!J220</f>
        <v>-468391</v>
      </c>
      <c r="K37" s="57" t="n">
        <f aca="false">분석4B_월별매트릭스!W220-분석4B_월별매트릭스!K220</f>
        <v>88846</v>
      </c>
      <c r="L37" s="57" t="n">
        <f aca="false">분석4B_월별매트릭스!X220-분석4B_월별매트릭스!L220</f>
        <v>-626267</v>
      </c>
      <c r="M37" s="57" t="n">
        <f aca="false">분석4B_월별매트릭스!Y220-분석4B_월별매트릭스!M220</f>
        <v>-290898</v>
      </c>
      <c r="N37" s="57" t="n">
        <f aca="false">분석4B_월별매트릭스!Z220-분석4B_월별매트릭스!N220</f>
        <v>-42166</v>
      </c>
      <c r="O37" s="57" t="n">
        <f aca="false">분석4B_월별매트릭스!AA220-분석4B_월별매트릭스!O220</f>
        <v>428172</v>
      </c>
      <c r="P37" s="57" t="n">
        <f aca="false">분석4B_월별매트릭스!AB220-분석4B_월별매트릭스!P220</f>
        <v>-69905</v>
      </c>
      <c r="Q37" s="57" t="n">
        <f aca="false">분석4B_월별매트릭스!AC220-분석4B_월별매트릭스!Q220</f>
        <v>311630</v>
      </c>
      <c r="R37" s="57" t="n">
        <f aca="false">분석4B_월별매트릭스!AD220-분석4B_월별매트릭스!R220</f>
        <v>257438</v>
      </c>
      <c r="S37" s="57" t="n">
        <f aca="false">분석4B_월별매트릭스!AE220-분석4B_월별매트릭스!S220</f>
        <v>482707</v>
      </c>
      <c r="T37" s="57" t="n">
        <f aca="false">분석4B_월별매트릭스!AF220-분석4B_월별매트릭스!T220</f>
        <v>935500</v>
      </c>
      <c r="U37" s="57" t="n">
        <f aca="false">분석4B_월별매트릭스!AG220-분석4B_월별매트릭스!U220</f>
        <v>568806</v>
      </c>
    </row>
    <row r="38" customFormat="false" ht="15" hidden="false" customHeight="true" outlineLevel="0" collapsed="false">
      <c r="A38" s="63" t="s">
        <v>19812</v>
      </c>
      <c r="B38" s="54" t="s">
        <v>19915</v>
      </c>
      <c r="C38" s="57" t="n">
        <f aca="false">분석4B_월별매트릭스!O212-분석4B_월별매트릭스!C212</f>
        <v>-418237</v>
      </c>
      <c r="D38" s="57" t="n">
        <f aca="false">분석4B_월별매트릭스!P212-분석4B_월별매트릭스!D212</f>
        <v>109841</v>
      </c>
      <c r="E38" s="57" t="n">
        <f aca="false">분석4B_월별매트릭스!Q212-분석4B_월별매트릭스!E212</f>
        <v>-128035</v>
      </c>
      <c r="F38" s="57" t="n">
        <f aca="false">분석4B_월별매트릭스!R212-분석4B_월별매트릭스!F212</f>
        <v>-37467</v>
      </c>
      <c r="G38" s="57" t="n">
        <f aca="false">분석4B_월별매트릭스!S212-분석4B_월별매트릭스!G212</f>
        <v>-451295</v>
      </c>
      <c r="H38" s="57" t="n">
        <f aca="false">분석4B_월별매트릭스!T212-분석4B_월별매트릭스!H212</f>
        <v>-469433</v>
      </c>
      <c r="I38" s="57" t="n">
        <f aca="false">분석4B_월별매트릭스!U212-분석4B_월별매트릭스!I212</f>
        <v>-190073</v>
      </c>
      <c r="J38" s="57" t="n">
        <f aca="false">분석4B_월별매트릭스!V212-분석4B_월별매트릭스!J212</f>
        <v>-330120</v>
      </c>
      <c r="K38" s="57" t="n">
        <f aca="false">분석4B_월별매트릭스!W212-분석4B_월별매트릭스!K212</f>
        <v>256478</v>
      </c>
      <c r="L38" s="57" t="n">
        <f aca="false">분석4B_월별매트릭스!X212-분석4B_월별매트릭스!L212</f>
        <v>-588352</v>
      </c>
      <c r="M38" s="57" t="n">
        <f aca="false">분석4B_월별매트릭스!Y212-분석4B_월별매트릭스!M212</f>
        <v>-439793</v>
      </c>
      <c r="N38" s="57" t="n">
        <f aca="false">분석4B_월별매트릭스!Z212-분석4B_월별매트릭스!N212</f>
        <v>-54378</v>
      </c>
      <c r="O38" s="57" t="n">
        <f aca="false">분석4B_월별매트릭스!AA212-분석4B_월별매트릭스!O212</f>
        <v>145371</v>
      </c>
      <c r="P38" s="57" t="n">
        <f aca="false">분석4B_월별매트릭스!AB212-분석4B_월별매트릭스!P212</f>
        <v>-492227</v>
      </c>
      <c r="Q38" s="57" t="n">
        <f aca="false">분석4B_월별매트릭스!AC212-분석4B_월별매트릭스!Q212</f>
        <v>22591</v>
      </c>
      <c r="R38" s="57" t="n">
        <f aca="false">분석4B_월별매트릭스!AD212-분석4B_월별매트릭스!R212</f>
        <v>213736</v>
      </c>
      <c r="S38" s="57" t="n">
        <f aca="false">분석4B_월별매트릭스!AE212-분석4B_월별매트릭스!S212</f>
        <v>263927</v>
      </c>
      <c r="T38" s="57" t="n">
        <f aca="false">분석4B_월별매트릭스!AF212-분석4B_월별매트릭스!T212</f>
        <v>689395</v>
      </c>
      <c r="U38" s="57" t="n">
        <f aca="false">분석4B_월별매트릭스!AG212-분석4B_월별매트릭스!U212</f>
        <v>427229</v>
      </c>
    </row>
    <row r="39" customFormat="false" ht="15" hidden="false" customHeight="true" outlineLevel="0" collapsed="false">
      <c r="A39" s="63" t="s">
        <v>19834</v>
      </c>
      <c r="B39" s="54" t="s">
        <v>19916</v>
      </c>
      <c r="C39" s="57" t="n">
        <f aca="false">분석4B_월별매트릭스!O223-분석4B_월별매트릭스!C223</f>
        <v>-258118</v>
      </c>
      <c r="D39" s="57" t="n">
        <f aca="false">분석4B_월별매트릭스!P223-분석4B_월별매트릭스!D223</f>
        <v>54275</v>
      </c>
      <c r="E39" s="57" t="n">
        <f aca="false">분석4B_월별매트릭스!Q223-분석4B_월별매트릭스!E223</f>
        <v>-48842</v>
      </c>
      <c r="F39" s="57" t="n">
        <f aca="false">분석4B_월별매트릭스!R223-분석4B_월별매트릭스!F223</f>
        <v>80725</v>
      </c>
      <c r="G39" s="57" t="n">
        <f aca="false">분석4B_월별매트릭스!S223-분석4B_월별매트릭스!G223</f>
        <v>-116799</v>
      </c>
      <c r="H39" s="57" t="n">
        <f aca="false">분석4B_월별매트릭스!T223-분석4B_월별매트릭스!H223</f>
        <v>189058</v>
      </c>
      <c r="I39" s="57" t="n">
        <f aca="false">분석4B_월별매트릭스!U223-분석4B_월별매트릭스!I223</f>
        <v>94644</v>
      </c>
      <c r="J39" s="57" t="n">
        <f aca="false">분석4B_월별매트릭스!V223-분석4B_월별매트릭스!J223</f>
        <v>-38112</v>
      </c>
      <c r="K39" s="57" t="n">
        <f aca="false">분석4B_월별매트릭스!W223-분석4B_월별매트릭스!K223</f>
        <v>147851</v>
      </c>
      <c r="L39" s="57" t="n">
        <f aca="false">분석4B_월별매트릭스!X223-분석4B_월별매트릭스!L223</f>
        <v>-188696</v>
      </c>
      <c r="M39" s="57" t="n">
        <f aca="false">분석4B_월별매트릭스!Y223-분석4B_월별매트릭스!M223</f>
        <v>-34883</v>
      </c>
      <c r="N39" s="57" t="n">
        <f aca="false">분석4B_월별매트릭스!Z223-분석4B_월별매트릭스!N223</f>
        <v>217591</v>
      </c>
      <c r="O39" s="57" t="n">
        <f aca="false">분석4B_월별매트릭스!AA223-분석4B_월별매트릭스!O223</f>
        <v>222954</v>
      </c>
      <c r="P39" s="57" t="n">
        <f aca="false">분석4B_월별매트릭스!AB223-분석4B_월별매트릭스!P223</f>
        <v>-222565</v>
      </c>
      <c r="Q39" s="57" t="n">
        <f aca="false">분석4B_월별매트릭스!AC223-분석4B_월별매트릭스!Q223</f>
        <v>132436</v>
      </c>
      <c r="R39" s="57" t="n">
        <f aca="false">분석4B_월별매트릭스!AD223-분석4B_월별매트릭스!R223</f>
        <v>6534</v>
      </c>
      <c r="S39" s="57" t="n">
        <f aca="false">분석4B_월별매트릭스!AE223-분석4B_월별매트릭스!S223</f>
        <v>4055</v>
      </c>
      <c r="T39" s="57" t="n">
        <f aca="false">분석4B_월별매트릭스!AF223-분석4B_월별매트릭스!T223</f>
        <v>115472</v>
      </c>
      <c r="U39" s="57" t="n">
        <f aca="false">분석4B_월별매트릭스!AG223-분석4B_월별매트릭스!U223</f>
        <v>187145</v>
      </c>
    </row>
    <row r="40" customFormat="false" ht="15" hidden="false" customHeight="true" outlineLevel="0" collapsed="false">
      <c r="A40" s="63" t="s">
        <v>19800</v>
      </c>
      <c r="B40" s="54" t="s">
        <v>19917</v>
      </c>
      <c r="C40" s="57" t="n">
        <f aca="false">분석4B_월별매트릭스!O206-분석4B_월별매트릭스!C206</f>
        <v>-31765</v>
      </c>
      <c r="D40" s="57" t="n">
        <f aca="false">분석4B_월별매트릭스!P206-분석4B_월별매트릭스!D206</f>
        <v>21225</v>
      </c>
      <c r="E40" s="57" t="n">
        <f aca="false">분석4B_월별매트릭스!Q206-분석4B_월별매트릭스!E206</f>
        <v>19498</v>
      </c>
      <c r="F40" s="57" t="n">
        <f aca="false">분석4B_월별매트릭스!R206-분석4B_월별매트릭스!F206</f>
        <v>-13102</v>
      </c>
      <c r="G40" s="57" t="n">
        <f aca="false">분석4B_월별매트릭스!S206-분석4B_월별매트릭스!G206</f>
        <v>25062</v>
      </c>
      <c r="H40" s="57" t="n">
        <f aca="false">분석4B_월별매트릭스!T206-분석4B_월별매트릭스!H206</f>
        <v>19131</v>
      </c>
      <c r="I40" s="57" t="n">
        <f aca="false">분석4B_월별매트릭스!U206-분석4B_월별매트릭스!I206</f>
        <v>28459</v>
      </c>
      <c r="J40" s="57" t="n">
        <f aca="false">분석4B_월별매트릭스!V206-분석4B_월별매트릭스!J206</f>
        <v>9713</v>
      </c>
      <c r="K40" s="57" t="n">
        <f aca="false">분석4B_월별매트릭스!W206-분석4B_월별매트릭스!K206</f>
        <v>49495</v>
      </c>
      <c r="L40" s="57" t="n">
        <f aca="false">분석4B_월별매트릭스!X206-분석4B_월별매트릭스!L206</f>
        <v>-13019</v>
      </c>
      <c r="M40" s="57" t="n">
        <f aca="false">분석4B_월별매트릭스!Y206-분석4B_월별매트릭스!M206</f>
        <v>-2403</v>
      </c>
      <c r="N40" s="57" t="n">
        <f aca="false">분석4B_월별매트릭스!Z206-분석4B_월별매트릭스!N206</f>
        <v>65148</v>
      </c>
      <c r="O40" s="57" t="n">
        <f aca="false">분석4B_월별매트릭스!AA206-분석4B_월별매트릭스!O206</f>
        <v>61146</v>
      </c>
      <c r="P40" s="57" t="n">
        <f aca="false">분석4B_월별매트릭스!AB206-분석4B_월별매트릭스!P206</f>
        <v>972</v>
      </c>
      <c r="Q40" s="57" t="n">
        <f aca="false">분석4B_월별매트릭스!AC206-분석4B_월별매트릭스!Q206</f>
        <v>58370</v>
      </c>
      <c r="R40" s="57" t="n">
        <f aca="false">분석4B_월별매트릭스!AD206-분석4B_월별매트릭스!R206</f>
        <v>63257</v>
      </c>
      <c r="S40" s="57" t="n">
        <f aca="false">분석4B_월별매트릭스!AE206-분석4B_월별매트릭스!S206</f>
        <v>64640</v>
      </c>
      <c r="T40" s="57" t="n">
        <f aca="false">분석4B_월별매트릭스!AF206-분석4B_월별매트릭스!T206</f>
        <v>59968</v>
      </c>
      <c r="U40" s="57" t="n">
        <f aca="false">분석4B_월별매트릭스!AG206-분석4B_월별매트릭스!U206</f>
        <v>25470</v>
      </c>
    </row>
    <row r="41" customFormat="false" ht="15" hidden="false" customHeight="true" outlineLevel="0" collapsed="false">
      <c r="A41" s="63" t="s">
        <v>19806</v>
      </c>
      <c r="B41" s="54" t="s">
        <v>19918</v>
      </c>
      <c r="C41" s="57" t="n">
        <f aca="false">분석4B_월별매트릭스!O209-분석4B_월별매트릭스!C209</f>
        <v>-19890</v>
      </c>
      <c r="D41" s="57" t="n">
        <f aca="false">분석4B_월별매트릭스!P209-분석4B_월별매트릭스!D209</f>
        <v>87587</v>
      </c>
      <c r="E41" s="57" t="n">
        <f aca="false">분석4B_월별매트릭스!Q209-분석4B_월별매트릭스!E209</f>
        <v>41458</v>
      </c>
      <c r="F41" s="57" t="n">
        <f aca="false">분석4B_월별매트릭스!R209-분석4B_월별매트릭스!F209</f>
        <v>65479</v>
      </c>
      <c r="G41" s="57" t="n">
        <f aca="false">분석4B_월별매트릭스!S209-분석4B_월별매트릭스!G209</f>
        <v>19143</v>
      </c>
      <c r="H41" s="57" t="n">
        <f aca="false">분석4B_월별매트릭스!T209-분석4B_월별매트릭스!H209</f>
        <v>20020</v>
      </c>
      <c r="I41" s="57" t="n">
        <f aca="false">분석4B_월별매트릭스!U209-분석4B_월별매트릭스!I209</f>
        <v>-21625</v>
      </c>
      <c r="J41" s="57" t="n">
        <f aca="false">분석4B_월별매트릭스!V209-분석4B_월별매트릭스!J209</f>
        <v>3597</v>
      </c>
      <c r="K41" s="57" t="n">
        <f aca="false">분석4B_월별매트릭스!W209-분석4B_월별매트릭스!K209</f>
        <v>127989</v>
      </c>
      <c r="L41" s="57" t="n">
        <f aca="false">분석4B_월별매트릭스!X209-분석4B_월별매트릭스!L209</f>
        <v>-81463</v>
      </c>
      <c r="M41" s="57" t="n">
        <f aca="false">분석4B_월별매트릭스!Y209-분석4B_월별매트릭스!M209</f>
        <v>6770</v>
      </c>
      <c r="N41" s="57" t="n">
        <f aca="false">분석4B_월별매트릭스!Z209-분석4B_월별매트릭스!N209</f>
        <v>8370</v>
      </c>
      <c r="O41" s="57" t="n">
        <f aca="false">분석4B_월별매트릭스!AA209-분석4B_월별매트릭스!O209</f>
        <v>126967</v>
      </c>
      <c r="P41" s="57" t="n">
        <f aca="false">분석4B_월별매트릭스!AB209-분석4B_월별매트릭스!P209</f>
        <v>-45771</v>
      </c>
      <c r="Q41" s="57" t="n">
        <f aca="false">분석4B_월별매트릭스!AC209-분석4B_월별매트릭스!Q209</f>
        <v>87436</v>
      </c>
      <c r="R41" s="57" t="n">
        <f aca="false">분석4B_월별매트릭스!AD209-분석4B_월별매트릭스!R209</f>
        <v>57065</v>
      </c>
      <c r="S41" s="57" t="n">
        <f aca="false">분석4B_월별매트릭스!AE209-분석4B_월별매트릭스!S209</f>
        <v>-35209</v>
      </c>
      <c r="T41" s="57" t="n">
        <f aca="false">분석4B_월별매트릭스!AF209-분석4B_월별매트릭스!T209</f>
        <v>75623</v>
      </c>
      <c r="U41" s="57" t="n">
        <f aca="false">분석4B_월별매트릭스!AG209-분석4B_월별매트릭스!U209</f>
        <v>37824</v>
      </c>
    </row>
    <row r="42" customFormat="false" ht="15" hidden="false" customHeight="true" outlineLevel="0" collapsed="false">
      <c r="A42" s="63" t="s">
        <v>19814</v>
      </c>
      <c r="B42" s="54" t="s">
        <v>19919</v>
      </c>
      <c r="C42" s="57" t="n">
        <f aca="false">분석4B_월별매트릭스!O213-분석4B_월별매트릭스!C213</f>
        <v>-93</v>
      </c>
      <c r="D42" s="57" t="n">
        <f aca="false">분석4B_월별매트릭스!P213-분석4B_월별매트릭스!D213</f>
        <v>5677</v>
      </c>
      <c r="E42" s="57" t="n">
        <f aca="false">분석4B_월별매트릭스!Q213-분석4B_월별매트릭스!E213</f>
        <v>13475</v>
      </c>
      <c r="F42" s="57" t="n">
        <f aca="false">분석4B_월별매트릭스!R213-분석4B_월별매트릭스!F213</f>
        <v>9027</v>
      </c>
      <c r="G42" s="57" t="n">
        <f aca="false">분석4B_월별매트릭스!S213-분석4B_월별매트릭스!G213</f>
        <v>-5181</v>
      </c>
      <c r="H42" s="57" t="n">
        <f aca="false">분석4B_월별매트릭스!T213-분석4B_월별매트릭스!H213</f>
        <v>14380</v>
      </c>
      <c r="I42" s="57" t="n">
        <f aca="false">분석4B_월별매트릭스!U213-분석4B_월별매트릭스!I213</f>
        <v>4284</v>
      </c>
      <c r="J42" s="57" t="n">
        <f aca="false">분석4B_월별매트릭스!V213-분석4B_월별매트릭스!J213</f>
        <v>-959</v>
      </c>
      <c r="K42" s="57" t="n">
        <f aca="false">분석4B_월별매트릭스!W213-분석4B_월별매트릭스!K213</f>
        <v>12597</v>
      </c>
      <c r="L42" s="57" t="n">
        <f aca="false">분석4B_월별매트릭스!X213-분석4B_월별매트릭스!L213</f>
        <v>-6941</v>
      </c>
      <c r="M42" s="57" t="n">
        <f aca="false">분석4B_월별매트릭스!Y213-분석4B_월별매트릭스!M213</f>
        <v>14032</v>
      </c>
      <c r="N42" s="57" t="n">
        <f aca="false">분석4B_월별매트릭스!Z213-분석4B_월별매트릭스!N213</f>
        <v>7582</v>
      </c>
      <c r="O42" s="57" t="n">
        <f aca="false">분석4B_월별매트릭스!AA213-분석4B_월별매트릭스!O213</f>
        <v>14966</v>
      </c>
      <c r="P42" s="57" t="n">
        <f aca="false">분석4B_월별매트릭스!AB213-분석4B_월별매트릭스!P213</f>
        <v>3019</v>
      </c>
      <c r="Q42" s="57" t="n">
        <f aca="false">분석4B_월별매트릭스!AC213-분석4B_월별매트릭스!Q213</f>
        <v>11847</v>
      </c>
      <c r="R42" s="57" t="n">
        <f aca="false">분석4B_월별매트릭스!AD213-분석4B_월별매트릭스!R213</f>
        <v>18099</v>
      </c>
      <c r="S42" s="57" t="n">
        <f aca="false">분석4B_월별매트릭스!AE213-분석4B_월별매트릭스!S213</f>
        <v>16666</v>
      </c>
      <c r="T42" s="57" t="n">
        <f aca="false">분석4B_월별매트릭스!AF213-분석4B_월별매트릭스!T213</f>
        <v>18611</v>
      </c>
      <c r="U42" s="57" t="n">
        <f aca="false">분석4B_월별매트릭스!AG213-분석4B_월별매트릭스!U213</f>
        <v>27550</v>
      </c>
    </row>
    <row r="43" customFormat="false" ht="15" hidden="false" customHeight="true" outlineLevel="0" collapsed="false">
      <c r="A43" s="63" t="s">
        <v>19836</v>
      </c>
      <c r="B43" s="54" t="s">
        <v>19920</v>
      </c>
      <c r="C43" s="57" t="n">
        <f aca="false">분석4B_월별매트릭스!O224-분석4B_월별매트릭스!C224</f>
        <v>-21278</v>
      </c>
      <c r="D43" s="57" t="n">
        <f aca="false">분석4B_월별매트릭스!P224-분석4B_월별매트릭스!D224</f>
        <v>209393</v>
      </c>
      <c r="E43" s="57" t="n">
        <f aca="false">분석4B_월별매트릭스!Q224-분석4B_월별매트릭스!E224</f>
        <v>116490</v>
      </c>
      <c r="F43" s="57" t="n">
        <f aca="false">분석4B_월별매트릭스!R224-분석4B_월별매트릭스!F224</f>
        <v>48701</v>
      </c>
      <c r="G43" s="57" t="n">
        <f aca="false">분석4B_월별매트릭스!S224-분석4B_월별매트릭스!G224</f>
        <v>204142</v>
      </c>
      <c r="H43" s="57" t="n">
        <f aca="false">분석4B_월별매트릭스!T224-분석4B_월별매트릭스!H224</f>
        <v>32034</v>
      </c>
      <c r="I43" s="57" t="n">
        <f aca="false">분석4B_월별매트릭스!U224-분석4B_월별매트릭스!I224</f>
        <v>-18184</v>
      </c>
      <c r="J43" s="57" t="n">
        <f aca="false">분석4B_월별매트릭스!V224-분석4B_월별매트릭스!J224</f>
        <v>-202322</v>
      </c>
      <c r="K43" s="57" t="n">
        <f aca="false">분석4B_월별매트릭스!W224-분석4B_월별매트릭스!K224</f>
        <v>166448</v>
      </c>
      <c r="L43" s="57" t="n">
        <f aca="false">분석4B_월별매트릭스!X224-분석4B_월별매트릭스!L224</f>
        <v>-18032</v>
      </c>
      <c r="M43" s="57" t="n">
        <f aca="false">분석4B_월별매트릭스!Y224-분석4B_월별매트릭스!M224</f>
        <v>125861</v>
      </c>
      <c r="N43" s="57" t="n">
        <f aca="false">분석4B_월별매트릭스!Z224-분석4B_월별매트릭스!N224</f>
        <v>450</v>
      </c>
      <c r="O43" s="57" t="n">
        <f aca="false">분석4B_월별매트릭스!AA224-분석4B_월별매트릭스!O224</f>
        <v>71995</v>
      </c>
      <c r="P43" s="57" t="n">
        <f aca="false">분석4B_월별매트릭스!AB224-분석4B_월별매트릭스!P224</f>
        <v>72051</v>
      </c>
      <c r="Q43" s="57" t="n">
        <f aca="false">분석4B_월별매트릭스!AC224-분석4B_월별매트릭스!Q224</f>
        <v>192128</v>
      </c>
      <c r="R43" s="57" t="n">
        <f aca="false">분석4B_월별매트릭스!AD224-분석4B_월별매트릭스!R224</f>
        <v>-42825</v>
      </c>
      <c r="S43" s="57" t="n">
        <f aca="false">분석4B_월별매트릭스!AE224-분석4B_월별매트릭스!S224</f>
        <v>-154723</v>
      </c>
      <c r="T43" s="57" t="n">
        <f aca="false">분석4B_월별매트릭스!AF224-분석4B_월별매트릭스!T224</f>
        <v>-171314</v>
      </c>
      <c r="U43" s="57" t="n">
        <f aca="false">분석4B_월별매트릭스!AG224-분석4B_월별매트릭스!U224</f>
        <v>98906</v>
      </c>
    </row>
    <row r="44" customFormat="false" ht="15" hidden="false" customHeight="true" outlineLevel="0" collapsed="false">
      <c r="A44" s="63" t="s">
        <v>19838</v>
      </c>
      <c r="B44" s="54" t="s">
        <v>19921</v>
      </c>
      <c r="C44" s="57" t="n">
        <f aca="false">분석4B_월별매트릭스!O225-분석4B_월별매트릭스!C225</f>
        <v>-23235</v>
      </c>
      <c r="D44" s="57" t="n">
        <f aca="false">분석4B_월별매트릭스!P225-분석4B_월별매트릭스!D225</f>
        <v>23796</v>
      </c>
      <c r="E44" s="57" t="n">
        <f aca="false">분석4B_월별매트릭스!Q225-분석4B_월별매트릭스!E225</f>
        <v>7565</v>
      </c>
      <c r="F44" s="57" t="n">
        <f aca="false">분석4B_월별매트릭스!R225-분석4B_월별매트릭스!F225</f>
        <v>13514</v>
      </c>
      <c r="G44" s="57" t="n">
        <f aca="false">분석4B_월별매트릭스!S225-분석4B_월별매트릭스!G225</f>
        <v>-7927</v>
      </c>
      <c r="H44" s="57" t="n">
        <f aca="false">분석4B_월별매트릭스!T225-분석4B_월별매트릭스!H225</f>
        <v>5519</v>
      </c>
      <c r="I44" s="57" t="n">
        <f aca="false">분석4B_월별매트릭스!U225-분석4B_월별매트릭스!I225</f>
        <v>9361</v>
      </c>
      <c r="J44" s="57" t="n">
        <f aca="false">분석4B_월별매트릭스!V225-분석4B_월별매트릭스!J225</f>
        <v>-5545</v>
      </c>
      <c r="K44" s="57" t="n">
        <f aca="false">분석4B_월별매트릭스!W225-분석4B_월별매트릭스!K225</f>
        <v>44184</v>
      </c>
      <c r="L44" s="57" t="n">
        <f aca="false">분석4B_월별매트릭스!X225-분석4B_월별매트릭스!L225</f>
        <v>-32142</v>
      </c>
      <c r="M44" s="57" t="n">
        <f aca="false">분석4B_월별매트릭스!Y225-분석4B_월별매트릭스!M225</f>
        <v>-9065</v>
      </c>
      <c r="N44" s="57" t="n">
        <f aca="false">분석4B_월별매트릭스!Z225-분석4B_월별매트릭스!N225</f>
        <v>10905</v>
      </c>
      <c r="O44" s="57" t="n">
        <f aca="false">분석4B_월별매트릭스!AA225-분석4B_월별매트릭스!O225</f>
        <v>27246</v>
      </c>
      <c r="P44" s="57" t="n">
        <f aca="false">분석4B_월별매트릭스!AB225-분석4B_월별매트릭스!P225</f>
        <v>-19667</v>
      </c>
      <c r="Q44" s="57" t="n">
        <f aca="false">분석4B_월별매트릭스!AC225-분석4B_월별매트릭스!Q225</f>
        <v>13790</v>
      </c>
      <c r="R44" s="57" t="n">
        <f aca="false">분석4B_월별매트릭스!AD225-분석4B_월별매트릭스!R225</f>
        <v>9516</v>
      </c>
      <c r="S44" s="57" t="n">
        <f aca="false">분석4B_월별매트릭스!AE225-분석4B_월별매트릭스!S225</f>
        <v>-2234</v>
      </c>
      <c r="T44" s="57" t="n">
        <f aca="false">분석4B_월별매트릭스!AF225-분석4B_월별매트릭스!T225</f>
        <v>19759</v>
      </c>
      <c r="U44" s="57" t="n">
        <f aca="false">분석4B_월별매트릭스!AG225-분석4B_월별매트릭스!U225</f>
        <v>13557</v>
      </c>
    </row>
    <row r="45" customFormat="false" ht="15" hidden="false" customHeight="true" outlineLevel="0" collapsed="false">
      <c r="A45" s="63" t="s">
        <v>19822</v>
      </c>
      <c r="B45" s="54" t="s">
        <v>19922</v>
      </c>
      <c r="C45" s="57" t="n">
        <f aca="false">분석4B_월별매트릭스!O217-분석4B_월별매트릭스!C217</f>
        <v>-7473</v>
      </c>
      <c r="D45" s="57" t="n">
        <f aca="false">분석4B_월별매트릭스!P217-분석4B_월별매트릭스!D217</f>
        <v>621</v>
      </c>
      <c r="E45" s="57" t="n">
        <f aca="false">분석4B_월별매트릭스!Q217-분석4B_월별매트릭스!E217</f>
        <v>3745</v>
      </c>
      <c r="F45" s="57" t="n">
        <f aca="false">분석4B_월별매트릭스!R217-분석4B_월별매트릭스!F217</f>
        <v>11147</v>
      </c>
      <c r="G45" s="57" t="n">
        <f aca="false">분석4B_월별매트릭스!S217-분석4B_월별매트릭스!G217</f>
        <v>-1121</v>
      </c>
      <c r="H45" s="57" t="n">
        <f aca="false">분석4B_월별매트릭스!T217-분석4B_월별매트릭스!H217</f>
        <v>-1593</v>
      </c>
      <c r="I45" s="57" t="n">
        <f aca="false">분석4B_월별매트릭스!U217-분석4B_월별매트릭스!I217</f>
        <v>-2158</v>
      </c>
      <c r="J45" s="57" t="n">
        <f aca="false">분석4B_월별매트릭스!V217-분석4B_월별매트릭스!J217</f>
        <v>-2732</v>
      </c>
      <c r="K45" s="57" t="n">
        <f aca="false">분석4B_월별매트릭스!W217-분석4B_월별매트릭스!K217</f>
        <v>6737</v>
      </c>
      <c r="L45" s="57" t="n">
        <f aca="false">분석4B_월별매트릭스!X217-분석4B_월별매트릭스!L217</f>
        <v>-1936</v>
      </c>
      <c r="M45" s="57" t="n">
        <f aca="false">분석4B_월별매트릭스!Y217-분석4B_월별매트릭스!M217</f>
        <v>-3466</v>
      </c>
      <c r="N45" s="57" t="n">
        <f aca="false">분석4B_월별매트릭스!Z217-분석4B_월별매트릭스!N217</f>
        <v>6122</v>
      </c>
      <c r="O45" s="57" t="n">
        <f aca="false">분석4B_월별매트릭스!AA217-분석4B_월별매트릭스!O217</f>
        <v>4912</v>
      </c>
      <c r="P45" s="57" t="n">
        <f aca="false">분석4B_월별매트릭스!AB217-분석4B_월별매트릭스!P217</f>
        <v>-3329</v>
      </c>
      <c r="Q45" s="57" t="n">
        <f aca="false">분석4B_월별매트릭스!AC217-분석4B_월별매트릭스!Q217</f>
        <v>9954</v>
      </c>
      <c r="R45" s="57" t="n">
        <f aca="false">분석4B_월별매트릭스!AD217-분석4B_월별매트릭스!R217</f>
        <v>7526</v>
      </c>
      <c r="S45" s="57" t="n">
        <f aca="false">분석4B_월별매트릭스!AE217-분석4B_월별매트릭스!S217</f>
        <v>9550</v>
      </c>
      <c r="T45" s="57" t="n">
        <f aca="false">분석4B_월별매트릭스!AF217-분석4B_월별매트릭스!T217</f>
        <v>10081</v>
      </c>
      <c r="U45" s="57" t="n">
        <f aca="false">분석4B_월별매트릭스!AG217-분석4B_월별매트릭스!U217</f>
        <v>8449</v>
      </c>
    </row>
    <row r="46" customFormat="false" ht="15" hidden="false" customHeight="true" outlineLevel="0" collapsed="false">
      <c r="A46" s="63" t="s">
        <v>19818</v>
      </c>
      <c r="B46" s="54" t="s">
        <v>19923</v>
      </c>
      <c r="C46" s="57" t="n">
        <f aca="false">분석4B_월별매트릭스!O215-분석4B_월별매트릭스!C215</f>
        <v>-31899</v>
      </c>
      <c r="D46" s="57" t="n">
        <f aca="false">분석4B_월별매트릭스!P215-분석4B_월별매트릭스!D215</f>
        <v>9424</v>
      </c>
      <c r="E46" s="57" t="n">
        <f aca="false">분석4B_월별매트릭스!Q215-분석4B_월별매트릭스!E215</f>
        <v>-11433</v>
      </c>
      <c r="F46" s="57" t="n">
        <f aca="false">분석4B_월별매트릭스!R215-분석4B_월별매트릭스!F215</f>
        <v>-19885</v>
      </c>
      <c r="G46" s="57" t="n">
        <f aca="false">분석4B_월별매트릭스!S215-분석4B_월별매트릭스!G215</f>
        <v>-28947</v>
      </c>
      <c r="H46" s="57" t="n">
        <f aca="false">분석4B_월별매트릭스!T215-분석4B_월별매트릭스!H215</f>
        <v>-25835</v>
      </c>
      <c r="I46" s="57" t="n">
        <f aca="false">분석4B_월별매트릭스!U215-분석4B_월별매트릭스!I215</f>
        <v>-9053</v>
      </c>
      <c r="J46" s="57" t="n">
        <f aca="false">분석4B_월별매트릭스!V215-분석4B_월별매트릭스!J215</f>
        <v>-26935</v>
      </c>
      <c r="K46" s="57" t="n">
        <f aca="false">분석4B_월별매트릭스!W215-분석4B_월별매트릭스!K215</f>
        <v>15146</v>
      </c>
      <c r="L46" s="57" t="n">
        <f aca="false">분석4B_월별매트릭스!X215-분석4B_월별매트릭스!L215</f>
        <v>-40605</v>
      </c>
      <c r="M46" s="57" t="n">
        <f aca="false">분석4B_월별매트릭스!Y215-분석4B_월별매트릭스!M215</f>
        <v>-27017</v>
      </c>
      <c r="N46" s="57" t="n">
        <f aca="false">분석4B_월별매트릭스!Z215-분석4B_월별매트릭스!N215</f>
        <v>-11930</v>
      </c>
      <c r="O46" s="57" t="n">
        <f aca="false">분석4B_월별매트릭스!AA215-분석4B_월별매트릭스!O215</f>
        <v>22088</v>
      </c>
      <c r="P46" s="57" t="n">
        <f aca="false">분석4B_월별매트릭스!AB215-분석4B_월별매트릭스!P215</f>
        <v>-54052</v>
      </c>
      <c r="Q46" s="57" t="n">
        <f aca="false">분석4B_월별매트릭스!AC215-분석4B_월별매트릭스!Q215</f>
        <v>19354</v>
      </c>
      <c r="R46" s="57" t="n">
        <f aca="false">분석4B_월별매트릭스!AD215-분석4B_월별매트릭스!R215</f>
        <v>14115</v>
      </c>
      <c r="S46" s="57" t="n">
        <f aca="false">분석4B_월별매트릭스!AE215-분석4B_월별매트릭스!S215</f>
        <v>-9742</v>
      </c>
      <c r="T46" s="57" t="n">
        <f aca="false">분석4B_월별매트릭스!AF215-분석4B_월별매트릭스!T215</f>
        <v>24001</v>
      </c>
      <c r="U46" s="57" t="n">
        <f aca="false">분석4B_월별매트릭스!AG215-분석4B_월별매트릭스!U215</f>
        <v>27713</v>
      </c>
    </row>
    <row r="47" customFormat="false" ht="15" hidden="false" customHeight="true" outlineLevel="0" collapsed="false">
      <c r="A47" s="63" t="s">
        <v>19816</v>
      </c>
      <c r="B47" s="54" t="s">
        <v>19924</v>
      </c>
      <c r="C47" s="57" t="n">
        <f aca="false">분석4B_월별매트릭스!O214-분석4B_월별매트릭스!C214</f>
        <v>-1654</v>
      </c>
      <c r="D47" s="57" t="n">
        <f aca="false">분석4B_월별매트릭스!P214-분석4B_월별매트릭스!D214</f>
        <v>29</v>
      </c>
      <c r="E47" s="57" t="n">
        <f aca="false">분석4B_월별매트릭스!Q214-분석4B_월별매트릭스!E214</f>
        <v>889</v>
      </c>
      <c r="F47" s="57" t="n">
        <f aca="false">분석4B_월별매트릭스!R214-분석4B_월별매트릭스!F214</f>
        <v>-290</v>
      </c>
      <c r="G47" s="57" t="n">
        <f aca="false">분석4B_월별매트릭스!S214-분석4B_월별매트릭스!G214</f>
        <v>-1632</v>
      </c>
      <c r="H47" s="57" t="n">
        <f aca="false">분석4B_월별매트릭스!T214-분석4B_월별매트릭스!H214</f>
        <v>1995</v>
      </c>
      <c r="I47" s="57" t="n">
        <f aca="false">분석4B_월별매트릭스!U214-분석4B_월별매트릭스!I214</f>
        <v>1752</v>
      </c>
      <c r="J47" s="57" t="n">
        <f aca="false">분석4B_월별매트릭스!V214-분석4B_월별매트릭스!J214</f>
        <v>691</v>
      </c>
      <c r="K47" s="57" t="n">
        <f aca="false">분석4B_월별매트릭스!W214-분석4B_월별매트릭스!K214</f>
        <v>1727</v>
      </c>
      <c r="L47" s="57" t="n">
        <f aca="false">분석4B_월별매트릭스!X214-분석4B_월별매트릭스!L214</f>
        <v>-267</v>
      </c>
      <c r="M47" s="57" t="n">
        <f aca="false">분석4B_월별매트릭스!Y214-분석4B_월별매트릭스!M214</f>
        <v>-2309</v>
      </c>
      <c r="N47" s="57" t="n">
        <f aca="false">분석4B_월별매트릭스!Z214-분석4B_월별매트릭스!N214</f>
        <v>1556</v>
      </c>
      <c r="O47" s="57" t="n">
        <f aca="false">분석4B_월별매트릭스!AA214-분석4B_월별매트릭스!O214</f>
        <v>2196</v>
      </c>
      <c r="P47" s="57" t="n">
        <f aca="false">분석4B_월별매트릭스!AB214-분석4B_월별매트릭스!P214</f>
        <v>828</v>
      </c>
      <c r="Q47" s="57" t="n">
        <f aca="false">분석4B_월별매트릭스!AC214-분석4B_월별매트릭스!Q214</f>
        <v>1528</v>
      </c>
      <c r="R47" s="57" t="n">
        <f aca="false">분석4B_월별매트릭스!AD214-분석4B_월별매트릭스!R214</f>
        <v>1045</v>
      </c>
      <c r="S47" s="57" t="n">
        <f aca="false">분석4B_월별매트릭스!AE214-분석4B_월별매트릭스!S214</f>
        <v>1307</v>
      </c>
      <c r="T47" s="57" t="n">
        <f aca="false">분석4B_월별매트릭스!AF214-분석4B_월별매트릭스!T214</f>
        <v>770</v>
      </c>
      <c r="U47" s="57" t="n">
        <f aca="false">분석4B_월별매트릭스!AG214-분석4B_월별매트릭스!U214</f>
        <v>571</v>
      </c>
    </row>
    <row r="48" customFormat="false" ht="15" hidden="false" customHeight="true" outlineLevel="0" collapsed="false">
      <c r="A48" s="64" t="s">
        <v>19842</v>
      </c>
      <c r="B48" s="54" t="s">
        <v>19925</v>
      </c>
      <c r="C48" s="57" t="n">
        <f aca="false">분석4B_월별매트릭스!O227-분석4B_월별매트릭스!C227</f>
        <v>0</v>
      </c>
      <c r="D48" s="57" t="n">
        <f aca="false">분석4B_월별매트릭스!P227-분석4B_월별매트릭스!D227</f>
        <v>0</v>
      </c>
      <c r="E48" s="57" t="n">
        <f aca="false">분석4B_월별매트릭스!Q227-분석4B_월별매트릭스!E227</f>
        <v>0</v>
      </c>
      <c r="F48" s="57" t="n">
        <f aca="false">분석4B_월별매트릭스!R227-분석4B_월별매트릭스!F227</f>
        <v>0</v>
      </c>
      <c r="G48" s="57" t="n">
        <f aca="false">분석4B_월별매트릭스!S227-분석4B_월별매트릭스!G227</f>
        <v>0</v>
      </c>
      <c r="H48" s="57" t="n">
        <f aca="false">분석4B_월별매트릭스!T227-분석4B_월별매트릭스!H227</f>
        <v>0</v>
      </c>
      <c r="I48" s="57" t="n">
        <f aca="false">분석4B_월별매트릭스!U227-분석4B_월별매트릭스!I227</f>
        <v>0</v>
      </c>
      <c r="J48" s="57" t="n">
        <f aca="false">분석4B_월별매트릭스!V227-분석4B_월별매트릭스!J227</f>
        <v>0</v>
      </c>
      <c r="K48" s="57" t="n">
        <f aca="false">분석4B_월별매트릭스!W227-분석4B_월별매트릭스!K227</f>
        <v>0</v>
      </c>
      <c r="L48" s="57" t="n">
        <f aca="false">분석4B_월별매트릭스!X227-분석4B_월별매트릭스!L227</f>
        <v>0</v>
      </c>
      <c r="M48" s="57" t="n">
        <f aca="false">분석4B_월별매트릭스!Y227-분석4B_월별매트릭스!M227</f>
        <v>0</v>
      </c>
      <c r="N48" s="57" t="n">
        <f aca="false">분석4B_월별매트릭스!Z227-분석4B_월별매트릭스!N227</f>
        <v>0</v>
      </c>
      <c r="O48" s="57" t="n">
        <f aca="false">분석4B_월별매트릭스!AA227-분석4B_월별매트릭스!O227</f>
        <v>0</v>
      </c>
      <c r="P48" s="57" t="n">
        <f aca="false">분석4B_월별매트릭스!AB227-분석4B_월별매트릭스!P227</f>
        <v>0</v>
      </c>
      <c r="Q48" s="57" t="n">
        <f aca="false">분석4B_월별매트릭스!AC227-분석4B_월별매트릭스!Q227</f>
        <v>0</v>
      </c>
      <c r="R48" s="57" t="n">
        <f aca="false">분석4B_월별매트릭스!AD227-분석4B_월별매트릭스!R227</f>
        <v>0</v>
      </c>
      <c r="S48" s="57" t="n">
        <f aca="false">분석4B_월별매트릭스!AE227-분석4B_월별매트릭스!S227</f>
        <v>0</v>
      </c>
      <c r="T48" s="57" t="n">
        <f aca="false">분석4B_월별매트릭스!AF227-분석4B_월별매트릭스!T227</f>
        <v>0</v>
      </c>
      <c r="U48" s="57" t="n">
        <f aca="false">분석4B_월별매트릭스!AG227-분석4B_월별매트릭스!U227</f>
        <v>0</v>
      </c>
    </row>
    <row r="49" customFormat="false" ht="15" hidden="false" customHeight="true" outlineLevel="0" collapsed="false">
      <c r="A49" s="63" t="s">
        <v>19824</v>
      </c>
      <c r="B49" s="54" t="s">
        <v>19926</v>
      </c>
      <c r="C49" s="57" t="n">
        <f aca="false">분석4B_월별매트릭스!O218-분석4B_월별매트릭스!C218</f>
        <v>-41904</v>
      </c>
      <c r="D49" s="57" t="n">
        <f aca="false">분석4B_월별매트릭스!P218-분석4B_월별매트릭스!D218</f>
        <v>12558</v>
      </c>
      <c r="E49" s="57" t="n">
        <f aca="false">분석4B_월별매트릭스!Q218-분석4B_월별매트릭스!E218</f>
        <v>-17709</v>
      </c>
      <c r="F49" s="57" t="n">
        <f aca="false">분석4B_월별매트릭스!R218-분석4B_월별매트릭스!F218</f>
        <v>5548</v>
      </c>
      <c r="G49" s="57" t="n">
        <f aca="false">분석4B_월별매트릭스!S218-분석4B_월별매트릭스!G218</f>
        <v>-27066</v>
      </c>
      <c r="H49" s="57" t="n">
        <f aca="false">분석4B_월별매트릭스!T218-분석4B_월별매트릭스!H218</f>
        <v>-20380</v>
      </c>
      <c r="I49" s="57" t="n">
        <f aca="false">분석4B_월별매트릭스!U218-분석4B_월별매트릭스!I218</f>
        <v>-14601</v>
      </c>
      <c r="J49" s="57" t="n">
        <f aca="false">분석4B_월별매트릭스!V218-분석4B_월별매트릭스!J218</f>
        <v>-25293</v>
      </c>
      <c r="K49" s="57" t="n">
        <f aca="false">분석4B_월별매트릭스!W218-분석4B_월별매트릭스!K218</f>
        <v>26013</v>
      </c>
      <c r="L49" s="57" t="n">
        <f aca="false">분석4B_월별매트릭스!X218-분석4B_월별매트릭스!L218</f>
        <v>-29264</v>
      </c>
      <c r="M49" s="57" t="n">
        <f aca="false">분석4B_월별매트릭스!Y218-분석4B_월별매트릭스!M218</f>
        <v>-6928</v>
      </c>
      <c r="N49" s="57" t="n">
        <f aca="false">분석4B_월별매트릭스!Z218-분석4B_월별매트릭스!N218</f>
        <v>-1950</v>
      </c>
      <c r="O49" s="57" t="n">
        <f aca="false">분석4B_월별매트릭스!AA218-분석4B_월별매트릭스!O218</f>
        <v>-31</v>
      </c>
      <c r="P49" s="57" t="n">
        <f aca="false">분석4B_월별매트릭스!AB218-분석4B_월별매트릭스!P218</f>
        <v>-35864</v>
      </c>
      <c r="Q49" s="57" t="n">
        <f aca="false">분석4B_월별매트릭스!AC218-분석4B_월별매트릭스!Q218</f>
        <v>2717</v>
      </c>
      <c r="R49" s="57" t="n">
        <f aca="false">분석4B_월별매트릭스!AD218-분석4B_월별매트릭스!R218</f>
        <v>-15112</v>
      </c>
      <c r="S49" s="57" t="n">
        <f aca="false">분석4B_월별매트릭스!AE218-분석4B_월별매트릭스!S218</f>
        <v>-2791</v>
      </c>
      <c r="T49" s="57" t="n">
        <f aca="false">분석4B_월별매트릭스!AF218-분석4B_월별매트릭스!T218</f>
        <v>24263</v>
      </c>
      <c r="U49" s="57" t="n">
        <f aca="false">분석4B_월별매트릭스!AG218-분석4B_월별매트릭스!U218</f>
        <v>4147</v>
      </c>
    </row>
    <row r="50" customFormat="false" ht="15" hidden="false" customHeight="true" outlineLevel="0" collapsed="false">
      <c r="A50" s="63" t="s">
        <v>19804</v>
      </c>
      <c r="B50" s="54" t="s">
        <v>19927</v>
      </c>
      <c r="C50" s="57" t="n">
        <f aca="false">분석4B_월별매트릭스!O208-분석4B_월별매트릭스!C208</f>
        <v>30771</v>
      </c>
      <c r="D50" s="57" t="n">
        <f aca="false">분석4B_월별매트릭스!P208-분석4B_월별매트릭스!D208</f>
        <v>9462</v>
      </c>
      <c r="E50" s="57" t="n">
        <f aca="false">분석4B_월별매트릭스!Q208-분석4B_월별매트릭스!E208</f>
        <v>14433</v>
      </c>
      <c r="F50" s="57" t="n">
        <f aca="false">분석4B_월별매트릭스!R208-분석4B_월별매트릭스!F208</f>
        <v>26037</v>
      </c>
      <c r="G50" s="57" t="n">
        <f aca="false">분석4B_월별매트릭스!S208-분석4B_월별매트릭스!G208</f>
        <v>21353</v>
      </c>
      <c r="H50" s="57" t="n">
        <f aca="false">분석4B_월별매트릭스!T208-분석4B_월별매트릭스!H208</f>
        <v>17974</v>
      </c>
      <c r="I50" s="57" t="n">
        <f aca="false">분석4B_월별매트릭스!U208-분석4B_월별매트릭스!I208</f>
        <v>-1825</v>
      </c>
      <c r="J50" s="57" t="n">
        <f aca="false">분석4B_월별매트릭스!V208-분석4B_월별매트릭스!J208</f>
        <v>6195</v>
      </c>
      <c r="K50" s="57" t="n">
        <f aca="false">분석4B_월별매트릭스!W208-분석4B_월별매트릭스!K208</f>
        <v>-2256</v>
      </c>
      <c r="L50" s="57" t="n">
        <f aca="false">분석4B_월별매트릭스!X208-분석4B_월별매트릭스!L208</f>
        <v>36488</v>
      </c>
      <c r="M50" s="57" t="n">
        <f aca="false">분석4B_월별매트릭스!Y208-분석4B_월별매트릭스!M208</f>
        <v>7840</v>
      </c>
      <c r="N50" s="57" t="n">
        <f aca="false">분석4B_월별매트릭스!Z208-분석4B_월별매트릭스!N208</f>
        <v>-6492</v>
      </c>
      <c r="O50" s="57" t="n">
        <f aca="false">분석4B_월별매트릭스!AA208-분석4B_월별매트릭스!O208</f>
        <v>-27983</v>
      </c>
      <c r="P50" s="57" t="n">
        <f aca="false">분석4B_월별매트릭스!AB208-분석4B_월별매트릭스!P208</f>
        <v>-7585</v>
      </c>
      <c r="Q50" s="57" t="n">
        <f aca="false">분석4B_월별매트릭스!AC208-분석4B_월별매트릭스!Q208</f>
        <v>4974</v>
      </c>
      <c r="R50" s="57" t="n">
        <f aca="false">분석4B_월별매트릭스!AD208-분석4B_월별매트릭스!R208</f>
        <v>-16140</v>
      </c>
      <c r="S50" s="57" t="n">
        <f aca="false">분석4B_월별매트릭스!AE208-분석4B_월별매트릭스!S208</f>
        <v>9604</v>
      </c>
      <c r="T50" s="57" t="n">
        <f aca="false">분석4B_월별매트릭스!AF208-분석4B_월별매트릭스!T208</f>
        <v>6602</v>
      </c>
      <c r="U50" s="57" t="n">
        <f aca="false">분석4B_월별매트릭스!AG208-분석4B_월별매트릭스!U208</f>
        <v>-5712</v>
      </c>
    </row>
    <row r="51" customFormat="false" ht="15" hidden="false" customHeight="true" outlineLevel="0" collapsed="false">
      <c r="A51" s="63" t="s">
        <v>19802</v>
      </c>
      <c r="B51" s="54" t="s">
        <v>19928</v>
      </c>
      <c r="C51" s="57" t="n">
        <f aca="false">분석4B_월별매트릭스!O207-분석4B_월별매트릭스!C207</f>
        <v>6335</v>
      </c>
      <c r="D51" s="57" t="n">
        <f aca="false">분석4B_월별매트릭스!P207-분석4B_월별매트릭스!D207</f>
        <v>32571</v>
      </c>
      <c r="E51" s="57" t="n">
        <f aca="false">분석4B_월별매트릭스!Q207-분석4B_월별매트릭스!E207</f>
        <v>5868</v>
      </c>
      <c r="F51" s="57" t="n">
        <f aca="false">분석4B_월별매트릭스!R207-분석4B_월별매트릭스!F207</f>
        <v>1068</v>
      </c>
      <c r="G51" s="57" t="n">
        <f aca="false">분석4B_월별매트릭스!S207-분석4B_월별매트릭스!G207</f>
        <v>-9736</v>
      </c>
      <c r="H51" s="57" t="n">
        <f aca="false">분석4B_월별매트릭스!T207-분석4B_월별매트릭스!H207</f>
        <v>-8743</v>
      </c>
      <c r="I51" s="57" t="n">
        <f aca="false">분석4B_월별매트릭스!U207-분석4B_월별매트릭스!I207</f>
        <v>11974</v>
      </c>
      <c r="J51" s="57" t="n">
        <f aca="false">분석4B_월별매트릭스!V207-분석4B_월별매트릭스!J207</f>
        <v>4060</v>
      </c>
      <c r="K51" s="57" t="n">
        <f aca="false">분석4B_월별매트릭스!W207-분석4B_월별매트릭스!K207</f>
        <v>35243</v>
      </c>
      <c r="L51" s="57" t="n">
        <f aca="false">분석4B_월별매트릭스!X207-분석4B_월별매트릭스!L207</f>
        <v>1818</v>
      </c>
      <c r="M51" s="57" t="n">
        <f aca="false">분석4B_월별매트릭스!Y207-분석4B_월별매트릭스!M207</f>
        <v>6449</v>
      </c>
      <c r="N51" s="57" t="n">
        <f aca="false">분석4B_월별매트릭스!Z207-분석4B_월별매트릭스!N207</f>
        <v>3362</v>
      </c>
      <c r="O51" s="57" t="n">
        <f aca="false">분석4B_월별매트릭스!AA207-분석4B_월별매트릭스!O207</f>
        <v>10008</v>
      </c>
      <c r="P51" s="57" t="n">
        <f aca="false">분석4B_월별매트릭스!AB207-분석4B_월별매트릭스!P207</f>
        <v>-24947</v>
      </c>
      <c r="Q51" s="57" t="n">
        <f aca="false">분석4B_월별매트릭스!AC207-분석4B_월별매트릭스!Q207</f>
        <v>5294</v>
      </c>
      <c r="R51" s="57" t="n">
        <f aca="false">분석4B_월별매트릭스!AD207-분석4B_월별매트릭스!R207</f>
        <v>-19420</v>
      </c>
      <c r="S51" s="57" t="n">
        <f aca="false">분석4B_월별매트릭스!AE207-분석4B_월별매트릭스!S207</f>
        <v>-7662</v>
      </c>
      <c r="T51" s="57" t="n">
        <f aca="false">분석4B_월별매트릭스!AF207-분석4B_월별매트릭스!T207</f>
        <v>20656</v>
      </c>
      <c r="U51" s="57" t="n">
        <f aca="false">분석4B_월별매트릭스!AG207-분석4B_월별매트릭스!U207</f>
        <v>-28937</v>
      </c>
    </row>
    <row r="52" customFormat="false" ht="15" hidden="false" customHeight="true" outlineLevel="0" collapsed="false">
      <c r="A52" s="63" t="s">
        <v>19840</v>
      </c>
      <c r="B52" s="54" t="s">
        <v>19929</v>
      </c>
      <c r="C52" s="57" t="n">
        <f aca="false">분석4B_월별매트릭스!O226-분석4B_월별매트릭스!C226</f>
        <v>-10316</v>
      </c>
      <c r="D52" s="57" t="n">
        <f aca="false">분석4B_월별매트릭스!P226-분석4B_월별매트릭스!D226</f>
        <v>-13558</v>
      </c>
      <c r="E52" s="57" t="n">
        <f aca="false">분석4B_월별매트릭스!Q226-분석4B_월별매트릭스!E226</f>
        <v>-3015</v>
      </c>
      <c r="F52" s="57" t="n">
        <f aca="false">분석4B_월별매트릭스!R226-분석4B_월별매트릭스!F226</f>
        <v>-1085</v>
      </c>
      <c r="G52" s="57" t="n">
        <f aca="false">분석4B_월별매트릭스!S226-분석4B_월별매트릭스!G226</f>
        <v>10406</v>
      </c>
      <c r="H52" s="57" t="n">
        <f aca="false">분석4B_월별매트릭스!T226-분석4B_월별매트릭스!H226</f>
        <v>-5028</v>
      </c>
      <c r="I52" s="57" t="n">
        <f aca="false">분석4B_월별매트릭스!U226-분석4B_월별매트릭스!I226</f>
        <v>29466</v>
      </c>
      <c r="J52" s="57" t="n">
        <f aca="false">분석4B_월별매트릭스!V226-분석4B_월별매트릭스!J226</f>
        <v>-280</v>
      </c>
      <c r="K52" s="57" t="n">
        <f aca="false">분석4B_월별매트릭스!W226-분석4B_월별매트릭스!K226</f>
        <v>48087</v>
      </c>
      <c r="L52" s="57" t="n">
        <f aca="false">분석4B_월별매트릭스!X226-분석4B_월별매트릭스!L226</f>
        <v>-25677</v>
      </c>
      <c r="M52" s="57" t="n">
        <f aca="false">분석4B_월별매트릭스!Y226-분석4B_월별매트릭스!M226</f>
        <v>750</v>
      </c>
      <c r="N52" s="57" t="n">
        <f aca="false">분석4B_월별매트릭스!Z226-분석4B_월별매트릭스!N226</f>
        <v>6124</v>
      </c>
      <c r="O52" s="57" t="n">
        <f aca="false">분석4B_월별매트릭스!AA226-분석4B_월별매트릭스!O226</f>
        <v>2098</v>
      </c>
      <c r="P52" s="57" t="n">
        <f aca="false">분석4B_월별매트릭스!AB226-분석4B_월별매트릭스!P226</f>
        <v>-8160</v>
      </c>
      <c r="Q52" s="57" t="n">
        <f aca="false">분석4B_월별매트릭스!AC226-분석4B_월별매트릭스!Q226</f>
        <v>17469</v>
      </c>
      <c r="R52" s="57" t="n">
        <f aca="false">분석4B_월별매트릭스!AD226-분석4B_월별매트릭스!R226</f>
        <v>-30920</v>
      </c>
      <c r="S52" s="57" t="n">
        <f aca="false">분석4B_월별매트릭스!AE226-분석4B_월별매트릭스!S226</f>
        <v>-10595</v>
      </c>
      <c r="T52" s="57" t="n">
        <f aca="false">분석4B_월별매트릭스!AF226-분석4B_월별매트릭스!T226</f>
        <v>2650</v>
      </c>
      <c r="U52" s="57" t="n">
        <f aca="false">분석4B_월별매트릭스!AG226-분석4B_월별매트릭스!U226</f>
        <v>-21051</v>
      </c>
    </row>
    <row r="53" customFormat="false" ht="15" hidden="false" customHeight="true" outlineLevel="0" collapsed="false">
      <c r="A53" s="63" t="s">
        <v>19820</v>
      </c>
      <c r="B53" s="54" t="s">
        <v>19930</v>
      </c>
      <c r="C53" s="57" t="n">
        <f aca="false">분석4B_월별매트릭스!O216-분석4B_월별매트릭스!C216</f>
        <v>-136948</v>
      </c>
      <c r="D53" s="57" t="n">
        <f aca="false">분석4B_월별매트릭스!P216-분석4B_월별매트릭스!D216</f>
        <v>-8497</v>
      </c>
      <c r="E53" s="57" t="n">
        <f aca="false">분석4B_월별매트릭스!Q216-분석4B_월별매트릭스!E216</f>
        <v>-45051</v>
      </c>
      <c r="F53" s="57" t="n">
        <f aca="false">분석4B_월별매트릭스!R216-분석4B_월별매트릭스!F216</f>
        <v>-32919</v>
      </c>
      <c r="G53" s="57" t="n">
        <f aca="false">분석4B_월별매트릭스!S216-분석4B_월별매트릭스!G216</f>
        <v>-112084</v>
      </c>
      <c r="H53" s="57" t="n">
        <f aca="false">분석4B_월별매트릭스!T216-분석4B_월별매트릭스!H216</f>
        <v>-80729</v>
      </c>
      <c r="I53" s="57" t="n">
        <f aca="false">분석4B_월별매트릭스!U216-분석4B_월별매트릭스!I216</f>
        <v>-49234</v>
      </c>
      <c r="J53" s="57" t="n">
        <f aca="false">분석4B_월별매트릭스!V216-분석4B_월별매트릭스!J216</f>
        <v>-97903</v>
      </c>
      <c r="K53" s="57" t="n">
        <f aca="false">분석4B_월별매트릭스!W216-분석4B_월별매트릭스!K216</f>
        <v>59646</v>
      </c>
      <c r="L53" s="57" t="n">
        <f aca="false">분석4B_월별매트릭스!X216-분석4B_월별매트릭스!L216</f>
        <v>-138658</v>
      </c>
      <c r="M53" s="57" t="n">
        <f aca="false">분석4B_월별매트릭스!Y216-분석4B_월별매트릭스!M216</f>
        <v>-100910</v>
      </c>
      <c r="N53" s="57" t="n">
        <f aca="false">분석4B_월별매트릭스!Z216-분석4B_월별매트릭스!N216</f>
        <v>-5876</v>
      </c>
      <c r="O53" s="57" t="n">
        <f aca="false">분석4B_월별매트릭스!AA216-분석4B_월별매트릭스!O216</f>
        <v>40711</v>
      </c>
      <c r="P53" s="57" t="n">
        <f aca="false">분석4B_월별매트릭스!AB216-분석4B_월별매트릭스!P216</f>
        <v>-144119</v>
      </c>
      <c r="Q53" s="57" t="n">
        <f aca="false">분석4B_월별매트릭스!AC216-분석4B_월별매트릭스!Q216</f>
        <v>12940</v>
      </c>
      <c r="R53" s="57" t="n">
        <f aca="false">분석4B_월별매트릭스!AD216-분석4B_월별매트릭스!R216</f>
        <v>28909</v>
      </c>
      <c r="S53" s="57" t="n">
        <f aca="false">분석4B_월별매트릭스!AE216-분석4B_월별매트릭스!S216</f>
        <v>-87019</v>
      </c>
      <c r="T53" s="57" t="n">
        <f aca="false">분석4B_월별매트릭스!AF216-분석4B_월별매트릭스!T216</f>
        <v>57836</v>
      </c>
      <c r="U53" s="57" t="n">
        <f aca="false">분석4B_월별매트릭스!AG216-분석4B_월별매트릭스!U216</f>
        <v>-244</v>
      </c>
    </row>
    <row r="55" customFormat="false" ht="14.25" hidden="false" customHeight="true" outlineLevel="0" collapsed="false">
      <c r="A55" s="23" t="s">
        <v>19932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 customFormat="false" ht="15" hidden="false" customHeight="true" outlineLevel="0" collapsed="false">
      <c r="A56" s="5" t="s">
        <v>19907</v>
      </c>
      <c r="B56" s="5" t="s">
        <v>19908</v>
      </c>
      <c r="C56" s="5" t="s">
        <v>19933</v>
      </c>
      <c r="D56" s="44" t="s">
        <v>276</v>
      </c>
      <c r="E56" s="44" t="s">
        <v>284</v>
      </c>
      <c r="F56" s="44" t="s">
        <v>293</v>
      </c>
      <c r="G56" s="44" t="s">
        <v>301</v>
      </c>
      <c r="H56" s="44" t="s">
        <v>309</v>
      </c>
      <c r="I56" s="44" t="s">
        <v>317</v>
      </c>
      <c r="J56" s="44" t="s">
        <v>325</v>
      </c>
      <c r="K56" s="44" t="s">
        <v>19934</v>
      </c>
      <c r="L56" s="44" t="s">
        <v>19763</v>
      </c>
    </row>
    <row r="57" customFormat="false" ht="15" hidden="false" customHeight="true" outlineLevel="0" collapsed="false">
      <c r="A57" s="63" t="s">
        <v>19830</v>
      </c>
      <c r="B57" s="54" t="s">
        <v>19909</v>
      </c>
      <c r="C57" s="65" t="s">
        <v>19935</v>
      </c>
      <c r="D57" s="57" t="n">
        <f aca="false">분석4B_월별매트릭스!AA221</f>
        <v>33325068</v>
      </c>
      <c r="E57" s="57" t="n">
        <f aca="false">분석4B_월별매트릭스!AB221</f>
        <v>37499920</v>
      </c>
      <c r="F57" s="57" t="n">
        <f aca="false">분석4B_월별매트릭스!AC221</f>
        <v>48346895</v>
      </c>
      <c r="G57" s="57" t="n">
        <f aca="false">분석4B_월별매트릭스!AD221</f>
        <v>47835092</v>
      </c>
      <c r="H57" s="57" t="n">
        <f aca="false">분석4B_월별매트릭스!AE221</f>
        <v>52305547</v>
      </c>
      <c r="I57" s="57" t="n">
        <f aca="false">분석4B_월별매트릭스!AF221</f>
        <v>62632344</v>
      </c>
      <c r="J57" s="57" t="n">
        <f aca="false">분석4B_월별매트릭스!AG221</f>
        <v>59061887</v>
      </c>
      <c r="K57" s="30" t="n">
        <f aca="false">SUM(D57:J57)</f>
        <v>341006753</v>
      </c>
      <c r="L57" s="34" t="n">
        <f aca="false">K57/$K$79</f>
        <v>0.573255074100425</v>
      </c>
    </row>
    <row r="58" customFormat="false" ht="15" hidden="false" customHeight="true" outlineLevel="0" collapsed="false">
      <c r="A58" s="63" t="s">
        <v>19808</v>
      </c>
      <c r="B58" s="54" t="s">
        <v>19910</v>
      </c>
      <c r="C58" s="65" t="s">
        <v>19936</v>
      </c>
      <c r="D58" s="57" t="n">
        <f aca="false">분석4B_월별매트릭스!AA210</f>
        <v>3991203</v>
      </c>
      <c r="E58" s="57" t="n">
        <f aca="false">분석4B_월별매트릭스!AB210</f>
        <v>4330872</v>
      </c>
      <c r="F58" s="57" t="n">
        <f aca="false">분석4B_월별매트릭스!AC210</f>
        <v>6540724</v>
      </c>
      <c r="G58" s="57" t="n">
        <f aca="false">분석4B_월별매트릭스!AD210</f>
        <v>5236071</v>
      </c>
      <c r="H58" s="57" t="n">
        <f aca="false">분석4B_월별매트릭스!AE210</f>
        <v>5415477</v>
      </c>
      <c r="I58" s="57" t="n">
        <f aca="false">분석4B_월별매트릭스!AF210</f>
        <v>5656645</v>
      </c>
      <c r="J58" s="57" t="n">
        <f aca="false">분석4B_월별매트릭스!AG210</f>
        <v>6030491</v>
      </c>
      <c r="K58" s="30" t="n">
        <f aca="false">SUM(D58:J58)</f>
        <v>37201483</v>
      </c>
      <c r="L58" s="34" t="n">
        <f aca="false">K58/$K$79</f>
        <v>0.0625381717699025</v>
      </c>
    </row>
    <row r="59" customFormat="false" ht="15" hidden="false" customHeight="true" outlineLevel="0" collapsed="false">
      <c r="A59" s="63" t="s">
        <v>19826</v>
      </c>
      <c r="B59" s="54" t="s">
        <v>19911</v>
      </c>
      <c r="C59" s="65" t="s">
        <v>834</v>
      </c>
      <c r="D59" s="57" t="n">
        <f aca="false">분석4B_월별매트릭스!AA219</f>
        <v>902526</v>
      </c>
      <c r="E59" s="57" t="n">
        <f aca="false">분석4B_월별매트릭스!AB219</f>
        <v>1241165</v>
      </c>
      <c r="F59" s="57" t="n">
        <f aca="false">분석4B_월별매트릭스!AC219</f>
        <v>1856347</v>
      </c>
      <c r="G59" s="57" t="n">
        <f aca="false">분석4B_월별매트릭스!AD219</f>
        <v>1442449</v>
      </c>
      <c r="H59" s="57" t="n">
        <f aca="false">분석4B_월별매트릭스!AE219</f>
        <v>1711971</v>
      </c>
      <c r="I59" s="57" t="n">
        <f aca="false">분석4B_월별매트릭스!AF219</f>
        <v>1571823</v>
      </c>
      <c r="J59" s="57" t="n">
        <f aca="false">분석4B_월별매트릭스!AG219</f>
        <v>1228775</v>
      </c>
      <c r="K59" s="30" t="n">
        <f aca="false">SUM(D59:J59)</f>
        <v>9955056</v>
      </c>
      <c r="L59" s="34" t="n">
        <f aca="false">K59/$K$79</f>
        <v>0.0167351124713764</v>
      </c>
    </row>
    <row r="60" customFormat="false" ht="15" hidden="false" customHeight="true" outlineLevel="0" collapsed="false">
      <c r="A60" s="63" t="s">
        <v>19810</v>
      </c>
      <c r="B60" s="54" t="s">
        <v>19912</v>
      </c>
      <c r="C60" s="65" t="s">
        <v>19937</v>
      </c>
      <c r="D60" s="57" t="n">
        <f aca="false">분석4B_월별매트릭스!AA211</f>
        <v>5387833</v>
      </c>
      <c r="E60" s="57" t="n">
        <f aca="false">분석4B_월별매트릭스!AB211</f>
        <v>5068464</v>
      </c>
      <c r="F60" s="57" t="n">
        <f aca="false">분석4B_월별매트릭스!AC211</f>
        <v>6221594</v>
      </c>
      <c r="G60" s="57" t="n">
        <f aca="false">분석4B_월별매트릭스!AD211</f>
        <v>6319034</v>
      </c>
      <c r="H60" s="57" t="n">
        <f aca="false">분석4B_월별매트릭스!AE211</f>
        <v>5764026</v>
      </c>
      <c r="I60" s="57" t="n">
        <f aca="false">분석4B_월별매트릭스!AF211</f>
        <v>6516657</v>
      </c>
      <c r="J60" s="57" t="n">
        <f aca="false">분석4B_월별매트릭스!AG211</f>
        <v>6583264</v>
      </c>
      <c r="K60" s="30" t="n">
        <f aca="false">SUM(D60:J60)</f>
        <v>41860872</v>
      </c>
      <c r="L60" s="34" t="n">
        <f aca="false">K60/$K$79</f>
        <v>0.0703709151480306</v>
      </c>
    </row>
    <row r="61" customFormat="false" ht="15" hidden="false" customHeight="true" outlineLevel="0" collapsed="false">
      <c r="A61" s="63" t="s">
        <v>19832</v>
      </c>
      <c r="B61" s="54" t="s">
        <v>19913</v>
      </c>
      <c r="C61" s="65" t="s">
        <v>19938</v>
      </c>
      <c r="D61" s="57" t="n">
        <f aca="false">분석4B_월별매트릭스!AA222</f>
        <v>10187421</v>
      </c>
      <c r="E61" s="57" t="n">
        <f aca="false">분석4B_월별매트릭스!AB222</f>
        <v>8481987</v>
      </c>
      <c r="F61" s="57" t="n">
        <f aca="false">분석4B_월별매트릭스!AC222</f>
        <v>11581610</v>
      </c>
      <c r="G61" s="57" t="n">
        <f aca="false">분석4B_월별매트릭스!AD222</f>
        <v>10968841</v>
      </c>
      <c r="H61" s="57" t="n">
        <f aca="false">분석4B_월별매트릭스!AE222</f>
        <v>9915327</v>
      </c>
      <c r="I61" s="57" t="n">
        <f aca="false">분석4B_월별매트릭스!AF222</f>
        <v>11733625</v>
      </c>
      <c r="J61" s="57" t="n">
        <f aca="false">분석4B_월별매트릭스!AG222</f>
        <v>11785719</v>
      </c>
      <c r="K61" s="30" t="n">
        <f aca="false">SUM(D61:J61)</f>
        <v>74654530</v>
      </c>
      <c r="L61" s="34" t="n">
        <f aca="false">K61/$K$79</f>
        <v>0.125499239386272</v>
      </c>
    </row>
    <row r="62" customFormat="false" ht="15" hidden="false" customHeight="true" outlineLevel="0" collapsed="false">
      <c r="A62" s="63" t="s">
        <v>19828</v>
      </c>
      <c r="B62" s="54" t="s">
        <v>19914</v>
      </c>
      <c r="C62" s="65" t="s">
        <v>19939</v>
      </c>
      <c r="D62" s="57" t="n">
        <f aca="false">분석4B_월별매트릭스!AA220</f>
        <v>4421818</v>
      </c>
      <c r="E62" s="57" t="n">
        <f aca="false">분석4B_월별매트릭스!AB220</f>
        <v>3946569</v>
      </c>
      <c r="F62" s="57" t="n">
        <f aca="false">분석4B_월별매트릭스!AC220</f>
        <v>4423882</v>
      </c>
      <c r="G62" s="57" t="n">
        <f aca="false">분석4B_월별매트릭스!AD220</f>
        <v>4918769</v>
      </c>
      <c r="H62" s="57" t="n">
        <f aca="false">분석4B_월별매트릭스!AE220</f>
        <v>4602847</v>
      </c>
      <c r="I62" s="57" t="n">
        <f aca="false">분석4B_월별매트릭스!AF220</f>
        <v>4946824</v>
      </c>
      <c r="J62" s="57" t="n">
        <f aca="false">분석4B_월별매트릭스!AG220</f>
        <v>5172117</v>
      </c>
      <c r="K62" s="30" t="n">
        <f aca="false">SUM(D62:J62)</f>
        <v>32432826</v>
      </c>
      <c r="L62" s="34" t="n">
        <f aca="false">K62/$K$79</f>
        <v>0.0545217416029184</v>
      </c>
    </row>
    <row r="63" customFormat="false" ht="15" hidden="false" customHeight="true" outlineLevel="0" collapsed="false">
      <c r="A63" s="63" t="s">
        <v>19812</v>
      </c>
      <c r="B63" s="54" t="s">
        <v>19915</v>
      </c>
      <c r="C63" s="65" t="s">
        <v>19940</v>
      </c>
      <c r="D63" s="57" t="n">
        <f aca="false">분석4B_월별매트릭스!AA212</f>
        <v>3407844</v>
      </c>
      <c r="E63" s="57" t="n">
        <f aca="false">분석4B_월별매트릭스!AB212</f>
        <v>3165503</v>
      </c>
      <c r="F63" s="57" t="n">
        <f aca="false">분석4B_월별매트릭스!AC212</f>
        <v>3549263</v>
      </c>
      <c r="G63" s="57" t="n">
        <f aca="false">분석4B_월별매트릭스!AD212</f>
        <v>4089292</v>
      </c>
      <c r="H63" s="57" t="n">
        <f aca="false">분석4B_월별매트릭스!AE212</f>
        <v>3689531</v>
      </c>
      <c r="I63" s="57" t="n">
        <f aca="false">분석4B_월별매트릭스!AF212</f>
        <v>4040309</v>
      </c>
      <c r="J63" s="57" t="n">
        <f aca="false">분석4B_월별매트릭스!AG212</f>
        <v>4158664</v>
      </c>
      <c r="K63" s="30" t="n">
        <f aca="false">SUM(D63:J63)</f>
        <v>26100406</v>
      </c>
      <c r="L63" s="34" t="n">
        <f aca="false">K63/$K$79</f>
        <v>0.0438765216346938</v>
      </c>
    </row>
    <row r="64" customFormat="false" ht="15" hidden="false" customHeight="true" outlineLevel="0" collapsed="false">
      <c r="A64" s="63" t="s">
        <v>19834</v>
      </c>
      <c r="B64" s="54" t="s">
        <v>19916</v>
      </c>
      <c r="C64" s="65" t="s">
        <v>19941</v>
      </c>
      <c r="D64" s="57" t="n">
        <f aca="false">분석4B_월별매트릭스!AA223</f>
        <v>1378967</v>
      </c>
      <c r="E64" s="57" t="n">
        <f aca="false">분석4B_월별매트릭스!AB223</f>
        <v>1206691</v>
      </c>
      <c r="F64" s="57" t="n">
        <f aca="false">분석4B_월별매트릭스!AC223</f>
        <v>1534324</v>
      </c>
      <c r="G64" s="57" t="n">
        <f aca="false">분석4B_월별매트릭스!AD223</f>
        <v>1532227</v>
      </c>
      <c r="H64" s="57" t="n">
        <f aca="false">분석4B_월별매트릭스!AE223</f>
        <v>1360205</v>
      </c>
      <c r="I64" s="57" t="n">
        <f aca="false">분석4B_월별매트릭스!AF223</f>
        <v>1648346</v>
      </c>
      <c r="J64" s="57" t="n">
        <f aca="false">분석4B_월별매트릭스!AG223</f>
        <v>1684035</v>
      </c>
      <c r="K64" s="30" t="n">
        <f aca="false">SUM(D64:J64)</f>
        <v>10344795</v>
      </c>
      <c r="L64" s="34" t="n">
        <f aca="false">K64/$K$79</f>
        <v>0.0173902896998603</v>
      </c>
    </row>
    <row r="65" customFormat="false" ht="15" hidden="false" customHeight="true" outlineLevel="0" collapsed="false">
      <c r="A65" s="63" t="s">
        <v>19800</v>
      </c>
      <c r="B65" s="54" t="s">
        <v>19917</v>
      </c>
      <c r="C65" s="65" t="s">
        <v>19942</v>
      </c>
      <c r="D65" s="57" t="n">
        <f aca="false">분석4B_월별매트릭스!AA206</f>
        <v>174989</v>
      </c>
      <c r="E65" s="57" t="n">
        <f aca="false">분석4B_월별매트릭스!AB206</f>
        <v>165540</v>
      </c>
      <c r="F65" s="57" t="n">
        <f aca="false">분석4B_월별매트릭스!AC206</f>
        <v>220948</v>
      </c>
      <c r="G65" s="57" t="n">
        <f aca="false">분석4B_월별매트릭스!AD206</f>
        <v>229035</v>
      </c>
      <c r="H65" s="57" t="n">
        <f aca="false">분석4B_월별매트릭스!AE206</f>
        <v>220790</v>
      </c>
      <c r="I65" s="57" t="n">
        <f aca="false">분석4B_월별매트릭스!AF206</f>
        <v>206310</v>
      </c>
      <c r="J65" s="57" t="n">
        <f aca="false">분석4B_월별매트릭스!AG206</f>
        <v>202996</v>
      </c>
      <c r="K65" s="30" t="n">
        <f aca="false">SUM(D65:J65)</f>
        <v>1420608</v>
      </c>
      <c r="L65" s="34" t="n">
        <f aca="false">K65/$K$79</f>
        <v>0.00238813670739141</v>
      </c>
    </row>
    <row r="66" customFormat="false" ht="15" hidden="false" customHeight="true" outlineLevel="0" collapsed="false">
      <c r="A66" s="63" t="s">
        <v>19806</v>
      </c>
      <c r="B66" s="54" t="s">
        <v>19918</v>
      </c>
      <c r="C66" s="65" t="s">
        <v>19943</v>
      </c>
      <c r="D66" s="57" t="n">
        <f aca="false">분석4B_월별매트릭스!AA209</f>
        <v>731567</v>
      </c>
      <c r="E66" s="57" t="n">
        <f aca="false">분석4B_월별매트릭스!AB209</f>
        <v>675923</v>
      </c>
      <c r="F66" s="57" t="n">
        <f aca="false">분석4B_월별매트릭스!AC209</f>
        <v>818336</v>
      </c>
      <c r="G66" s="57" t="n">
        <f aca="false">분석4B_월별매트릭스!AD209</f>
        <v>871578</v>
      </c>
      <c r="H66" s="57" t="n">
        <f aca="false">분석4B_월별매트릭스!AE209</f>
        <v>719297</v>
      </c>
      <c r="I66" s="57" t="n">
        <f aca="false">분석4B_월별매트릭스!AF209</f>
        <v>809363</v>
      </c>
      <c r="J66" s="57" t="n">
        <f aca="false">분석4B_월별매트릭스!AG209</f>
        <v>790790</v>
      </c>
      <c r="K66" s="30" t="n">
        <f aca="false">SUM(D66:J66)</f>
        <v>5416854</v>
      </c>
      <c r="L66" s="34" t="n">
        <f aca="false">K66/$K$79</f>
        <v>0.00910609251530331</v>
      </c>
    </row>
    <row r="67" customFormat="false" ht="15" hidden="false" customHeight="true" outlineLevel="0" collapsed="false">
      <c r="A67" s="63" t="s">
        <v>19814</v>
      </c>
      <c r="B67" s="54" t="s">
        <v>19919</v>
      </c>
      <c r="C67" s="65" t="s">
        <v>19944</v>
      </c>
      <c r="D67" s="57" t="n">
        <f aca="false">분석4B_월별매트릭스!AA213</f>
        <v>71761</v>
      </c>
      <c r="E67" s="57" t="n">
        <f aca="false">분석4B_월별매트릭스!AB213</f>
        <v>57485</v>
      </c>
      <c r="F67" s="57" t="n">
        <f aca="false">분석4B_월별매트릭스!AC213</f>
        <v>79573</v>
      </c>
      <c r="G67" s="57" t="n">
        <f aca="false">분석4B_월별매트릭스!AD213</f>
        <v>89728</v>
      </c>
      <c r="H67" s="57" t="n">
        <f aca="false">분석4B_월별매트릭스!AE213</f>
        <v>75383</v>
      </c>
      <c r="I67" s="57" t="n">
        <f aca="false">분석4B_월별매트릭스!AF213</f>
        <v>92805</v>
      </c>
      <c r="J67" s="57" t="n">
        <f aca="false">분석4B_월별매트릭스!AG213</f>
        <v>93950</v>
      </c>
      <c r="K67" s="30" t="n">
        <f aca="false">SUM(D67:J67)</f>
        <v>560685</v>
      </c>
      <c r="L67" s="34" t="n">
        <f aca="false">K67/$K$79</f>
        <v>0.000942548845130926</v>
      </c>
    </row>
    <row r="68" customFormat="false" ht="15" hidden="false" customHeight="true" outlineLevel="0" collapsed="false">
      <c r="A68" s="63" t="s">
        <v>19836</v>
      </c>
      <c r="B68" s="54" t="s">
        <v>19920</v>
      </c>
      <c r="C68" s="65" t="s">
        <v>981</v>
      </c>
      <c r="D68" s="57" t="n">
        <f aca="false">분석4B_월별매트릭스!AA224</f>
        <v>203744</v>
      </c>
      <c r="E68" s="57" t="n">
        <f aca="false">분석4B_월별매트릭스!AB224</f>
        <v>357141</v>
      </c>
      <c r="F68" s="57" t="n">
        <f aca="false">분석4B_월별매트릭스!AC224</f>
        <v>332188</v>
      </c>
      <c r="G68" s="57" t="n">
        <f aca="false">분석4B_월별매트릭스!AD224</f>
        <v>285361</v>
      </c>
      <c r="H68" s="57" t="n">
        <f aca="false">분석4B_월별매트릭스!AE224</f>
        <v>124558</v>
      </c>
      <c r="I68" s="57" t="n">
        <f aca="false">분석4B_월별매트릭스!AF224</f>
        <v>229028</v>
      </c>
      <c r="J68" s="57" t="n">
        <f aca="false">분석4B_월별매트릭스!AG224</f>
        <v>325608</v>
      </c>
      <c r="K68" s="30" t="n">
        <f aca="false">SUM(D68:J68)</f>
        <v>1857628</v>
      </c>
      <c r="L68" s="34" t="n">
        <f aca="false">K68/$K$79</f>
        <v>0.00312279644735078</v>
      </c>
    </row>
    <row r="69" customFormat="false" ht="15" hidden="false" customHeight="true" outlineLevel="0" collapsed="false">
      <c r="A69" s="63" t="s">
        <v>19838</v>
      </c>
      <c r="B69" s="54" t="s">
        <v>19921</v>
      </c>
      <c r="C69" s="65" t="s">
        <v>19945</v>
      </c>
      <c r="D69" s="57" t="n">
        <f aca="false">분석4B_월별매트릭스!AA225</f>
        <v>196200</v>
      </c>
      <c r="E69" s="57" t="n">
        <f aca="false">분석4B_월별매트릭스!AB225</f>
        <v>180612</v>
      </c>
      <c r="F69" s="57" t="n">
        <f aca="false">분석4B_월별매트릭스!AC225</f>
        <v>215445</v>
      </c>
      <c r="G69" s="57" t="n">
        <f aca="false">분석4B_월별매트릭스!AD225</f>
        <v>224960</v>
      </c>
      <c r="H69" s="57" t="n">
        <f aca="false">분석4B_월별매트릭스!AE225</f>
        <v>198405</v>
      </c>
      <c r="I69" s="57" t="n">
        <f aca="false">분석4B_월별매트릭스!AF225</f>
        <v>216824</v>
      </c>
      <c r="J69" s="57" t="n">
        <f aca="false">분석4B_월별매트릭스!AG225</f>
        <v>234439</v>
      </c>
      <c r="K69" s="30" t="n">
        <f aca="false">SUM(D69:J69)</f>
        <v>1466885</v>
      </c>
      <c r="L69" s="34" t="n">
        <f aca="false">K69/$K$79</f>
        <v>0.00246593142796736</v>
      </c>
    </row>
    <row r="70" customFormat="false" ht="15" hidden="false" customHeight="true" outlineLevel="0" collapsed="false">
      <c r="A70" s="63" t="s">
        <v>19822</v>
      </c>
      <c r="B70" s="54" t="s">
        <v>19922</v>
      </c>
      <c r="C70" s="65" t="s">
        <v>19946</v>
      </c>
      <c r="D70" s="57" t="n">
        <f aca="false">분석4B_월별매트릭스!AA217</f>
        <v>40215</v>
      </c>
      <c r="E70" s="57" t="n">
        <f aca="false">분석4B_월별매트릭스!AB217</f>
        <v>37547</v>
      </c>
      <c r="F70" s="57" t="n">
        <f aca="false">분석4B_월별매트릭스!AC217</f>
        <v>50829</v>
      </c>
      <c r="G70" s="57" t="n">
        <f aca="false">분석4B_월별매트릭스!AD217</f>
        <v>56834</v>
      </c>
      <c r="H70" s="57" t="n">
        <f aca="false">분석4B_월별매트릭스!AE217</f>
        <v>51277</v>
      </c>
      <c r="I70" s="57" t="n">
        <f aca="false">분석4B_월별매트릭스!AF217</f>
        <v>54831</v>
      </c>
      <c r="J70" s="57" t="n">
        <f aca="false">분석4B_월별매트릭스!AG217</f>
        <v>50632</v>
      </c>
      <c r="K70" s="30" t="n">
        <f aca="false">SUM(D70:J70)</f>
        <v>342165</v>
      </c>
      <c r="L70" s="34" t="n">
        <f aca="false">K70/$K$79</f>
        <v>0.000575202164484913</v>
      </c>
    </row>
    <row r="71" customFormat="false" ht="15" hidden="false" customHeight="true" outlineLevel="0" collapsed="false">
      <c r="A71" s="63" t="s">
        <v>19818</v>
      </c>
      <c r="B71" s="54" t="s">
        <v>19923</v>
      </c>
      <c r="C71" s="65" t="s">
        <v>19947</v>
      </c>
      <c r="D71" s="57" t="n">
        <f aca="false">분석4B_월별매트릭스!AA215</f>
        <v>259915</v>
      </c>
      <c r="E71" s="57" t="n">
        <f aca="false">분석4B_월별매트릭스!AB215</f>
        <v>221947</v>
      </c>
      <c r="F71" s="57" t="n">
        <f aca="false">분석4B_월별매트릭스!AC215</f>
        <v>274831</v>
      </c>
      <c r="G71" s="57" t="n">
        <f aca="false">분석4B_월별매트릭스!AD215</f>
        <v>295485</v>
      </c>
      <c r="H71" s="57" t="n">
        <f aca="false">분석4B_월별매트릭스!AE215</f>
        <v>249598</v>
      </c>
      <c r="I71" s="57" t="n">
        <f aca="false">분석4B_월별매트릭스!AF215</f>
        <v>281533</v>
      </c>
      <c r="J71" s="57" t="n">
        <f aca="false">분석4B_월별매트릭스!AG215</f>
        <v>311361</v>
      </c>
      <c r="K71" s="30" t="n">
        <f aca="false">SUM(D71:J71)</f>
        <v>1894670</v>
      </c>
      <c r="L71" s="34" t="n">
        <f aca="false">K71/$K$79</f>
        <v>0.00318506651757085</v>
      </c>
    </row>
    <row r="72" customFormat="false" ht="15" hidden="false" customHeight="true" outlineLevel="0" collapsed="false">
      <c r="A72" s="63" t="s">
        <v>19816</v>
      </c>
      <c r="B72" s="54" t="s">
        <v>19924</v>
      </c>
      <c r="C72" s="65" t="s">
        <v>19948</v>
      </c>
      <c r="D72" s="57" t="n">
        <f aca="false">분석4B_월별매트릭스!AA214</f>
        <v>7005</v>
      </c>
      <c r="E72" s="57" t="n">
        <f aca="false">분석4B_월별매트릭스!AB214</f>
        <v>6014</v>
      </c>
      <c r="F72" s="57" t="n">
        <f aca="false">분석4B_월별매트릭스!AC214</f>
        <v>8113</v>
      </c>
      <c r="G72" s="57" t="n">
        <f aca="false">분석4B_월별매트릭스!AD214</f>
        <v>8001</v>
      </c>
      <c r="H72" s="57" t="n">
        <f aca="false">분석4B_월별매트릭스!AE214</f>
        <v>6422</v>
      </c>
      <c r="I72" s="57" t="n">
        <f aca="false">분석4B_월별매트릭스!AF214</f>
        <v>7818</v>
      </c>
      <c r="J72" s="57" t="n">
        <f aca="false">분석4B_월별매트릭스!AG214</f>
        <v>7902</v>
      </c>
      <c r="K72" s="30" t="n">
        <f aca="false">SUM(D72:J72)</f>
        <v>51275</v>
      </c>
      <c r="L72" s="34" t="n">
        <f aca="false">K72/$K$79</f>
        <v>8.61966916077445E-005</v>
      </c>
    </row>
    <row r="73" customFormat="false" ht="15" hidden="false" customHeight="true" outlineLevel="0" collapsed="false">
      <c r="A73" s="64" t="s">
        <v>19842</v>
      </c>
      <c r="B73" s="54" t="s">
        <v>19925</v>
      </c>
      <c r="C73" s="65" t="s">
        <v>1016</v>
      </c>
      <c r="D73" s="57" t="n">
        <f aca="false">분석4B_월별매트릭스!AA227</f>
        <v>0</v>
      </c>
      <c r="E73" s="57" t="n">
        <f aca="false">분석4B_월별매트릭스!AB227</f>
        <v>0</v>
      </c>
      <c r="F73" s="57" t="n">
        <f aca="false">분석4B_월별매트릭스!AC227</f>
        <v>0</v>
      </c>
      <c r="G73" s="57" t="n">
        <f aca="false">분석4B_월별매트릭스!AD227</f>
        <v>0</v>
      </c>
      <c r="H73" s="57" t="n">
        <f aca="false">분석4B_월별매트릭스!AE227</f>
        <v>0</v>
      </c>
      <c r="I73" s="57" t="n">
        <f aca="false">분석4B_월별매트릭스!AF227</f>
        <v>0</v>
      </c>
      <c r="J73" s="57" t="n">
        <f aca="false">분석4B_월별매트릭스!AG227</f>
        <v>0</v>
      </c>
      <c r="K73" s="30" t="n">
        <f aca="false">SUM(D73:J73)</f>
        <v>0</v>
      </c>
      <c r="L73" s="34" t="n">
        <f aca="false">K73/$K$79</f>
        <v>0</v>
      </c>
    </row>
    <row r="74" customFormat="false" ht="15" hidden="false" customHeight="true" outlineLevel="0" collapsed="false">
      <c r="A74" s="63" t="s">
        <v>19824</v>
      </c>
      <c r="B74" s="54" t="s">
        <v>19926</v>
      </c>
      <c r="C74" s="65" t="s">
        <v>19949</v>
      </c>
      <c r="D74" s="57" t="n">
        <f aca="false">분석4B_월별매트릭스!AA218</f>
        <v>255118</v>
      </c>
      <c r="E74" s="57" t="n">
        <f aca="false">분석4B_월별매트릭스!AB218</f>
        <v>225979</v>
      </c>
      <c r="F74" s="57" t="n">
        <f aca="false">분석4B_월별매트릭스!AC218</f>
        <v>265955</v>
      </c>
      <c r="G74" s="57" t="n">
        <f aca="false">분석4B_월별매트릭스!AD218</f>
        <v>282410</v>
      </c>
      <c r="H74" s="57" t="n">
        <f aca="false">분석4B_월별매트릭스!AE218</f>
        <v>266042</v>
      </c>
      <c r="I74" s="57" t="n">
        <f aca="false">분석4B_월별매트릭스!AF218</f>
        <v>296617</v>
      </c>
      <c r="J74" s="57" t="n">
        <f aca="false">분석4B_월별매트릭스!AG218</f>
        <v>290239</v>
      </c>
      <c r="K74" s="30" t="n">
        <f aca="false">SUM(D74:J74)</f>
        <v>1882360</v>
      </c>
      <c r="L74" s="34" t="n">
        <f aca="false">K74/$K$79</f>
        <v>0.00316437258731846</v>
      </c>
    </row>
    <row r="75" customFormat="false" ht="15" hidden="false" customHeight="true" outlineLevel="0" collapsed="false">
      <c r="A75" s="63" t="s">
        <v>19804</v>
      </c>
      <c r="B75" s="54" t="s">
        <v>19927</v>
      </c>
      <c r="C75" s="65" t="s">
        <v>443</v>
      </c>
      <c r="D75" s="57" t="n">
        <f aca="false">분석4B_월별매트릭스!AA208</f>
        <v>8924</v>
      </c>
      <c r="E75" s="57" t="n">
        <f aca="false">분석4B_월별매트릭스!AB208</f>
        <v>13541</v>
      </c>
      <c r="F75" s="57" t="n">
        <f aca="false">분석4B_월별매트릭스!AC208</f>
        <v>33218</v>
      </c>
      <c r="G75" s="57" t="n">
        <f aca="false">분석4B_월별매트릭스!AD208</f>
        <v>21090</v>
      </c>
      <c r="H75" s="57" t="n">
        <f aca="false">분석4B_월별매트릭스!AE208</f>
        <v>47886</v>
      </c>
      <c r="I75" s="57" t="n">
        <f aca="false">분석4B_월별매트릭스!AF208</f>
        <v>46150</v>
      </c>
      <c r="J75" s="57" t="n">
        <f aca="false">분석4B_월별매트릭스!AG208</f>
        <v>25316</v>
      </c>
      <c r="K75" s="30" t="n">
        <f aca="false">SUM(D75:J75)</f>
        <v>196125</v>
      </c>
      <c r="L75" s="34" t="n">
        <f aca="false">K75/$K$79</f>
        <v>0.000329699193399686</v>
      </c>
    </row>
    <row r="76" customFormat="false" ht="15" hidden="false" customHeight="true" outlineLevel="0" collapsed="false">
      <c r="A76" s="63" t="s">
        <v>19802</v>
      </c>
      <c r="B76" s="54" t="s">
        <v>19928</v>
      </c>
      <c r="C76" s="65" t="s">
        <v>19950</v>
      </c>
      <c r="D76" s="57" t="n">
        <f aca="false">분석4B_월별매트릭스!AA207</f>
        <v>118220</v>
      </c>
      <c r="E76" s="57" t="n">
        <f aca="false">분석4B_월별매트릭스!AB207</f>
        <v>86286</v>
      </c>
      <c r="F76" s="57" t="n">
        <f aca="false">분석4B_월별매트릭스!AC207</f>
        <v>115270</v>
      </c>
      <c r="G76" s="57" t="n">
        <f aca="false">분석4B_월별매트릭스!AD207</f>
        <v>103722</v>
      </c>
      <c r="H76" s="57" t="n">
        <f aca="false">분석4B_월별매트릭스!AE207</f>
        <v>93383</v>
      </c>
      <c r="I76" s="57" t="n">
        <f aca="false">분석4B_월별매트릭스!AF207</f>
        <v>116659</v>
      </c>
      <c r="J76" s="57" t="n">
        <f aca="false">분석4B_월별매트릭스!AG207</f>
        <v>82834</v>
      </c>
      <c r="K76" s="30" t="n">
        <f aca="false">SUM(D76:J76)</f>
        <v>716374</v>
      </c>
      <c r="L76" s="34" t="n">
        <f aca="false">K76/$K$79</f>
        <v>0.0012042724281581</v>
      </c>
    </row>
    <row r="77" customFormat="false" ht="15" hidden="false" customHeight="true" outlineLevel="0" collapsed="false">
      <c r="A77" s="63" t="s">
        <v>19840</v>
      </c>
      <c r="B77" s="54" t="s">
        <v>19929</v>
      </c>
      <c r="C77" s="65" t="s">
        <v>1009</v>
      </c>
      <c r="D77" s="57" t="n">
        <f aca="false">분석4B_월별매트릭스!AA226</f>
        <v>21931</v>
      </c>
      <c r="E77" s="57" t="n">
        <f aca="false">분석4B_월별매트릭스!AB226</f>
        <v>16783</v>
      </c>
      <c r="F77" s="57" t="n">
        <f aca="false">분석4B_월별매트릭스!AC226</f>
        <v>35026</v>
      </c>
      <c r="G77" s="57" t="n">
        <f aca="false">분석4B_월별매트릭스!AD226</f>
        <v>13734</v>
      </c>
      <c r="H77" s="57" t="n">
        <f aca="false">분석4B_월별매트릭스!AE226</f>
        <v>16884</v>
      </c>
      <c r="I77" s="57" t="n">
        <f aca="false">분석4B_월별매트릭스!AF226</f>
        <v>11400</v>
      </c>
      <c r="J77" s="57" t="n">
        <f aca="false">분석4B_월별매트릭스!AG226</f>
        <v>15110</v>
      </c>
      <c r="K77" s="30" t="n">
        <f aca="false">SUM(D77:J77)</f>
        <v>130868</v>
      </c>
      <c r="L77" s="34" t="n">
        <f aca="false">K77/$K$79</f>
        <v>0.000219997828129153</v>
      </c>
    </row>
    <row r="78" customFormat="false" ht="20.25" hidden="false" customHeight="true" outlineLevel="0" collapsed="false">
      <c r="A78" s="63" t="s">
        <v>19820</v>
      </c>
      <c r="B78" s="54" t="s">
        <v>19930</v>
      </c>
      <c r="C78" s="65" t="s">
        <v>19951</v>
      </c>
      <c r="D78" s="57" t="n">
        <f aca="false">분석4B_월별매트릭스!AA216</f>
        <v>730031</v>
      </c>
      <c r="E78" s="57" t="n">
        <f aca="false">분석4B_월별매트릭스!AB216</f>
        <v>629249</v>
      </c>
      <c r="F78" s="57" t="n">
        <f aca="false">분석4B_월별매트릭스!AC216</f>
        <v>795732</v>
      </c>
      <c r="G78" s="57" t="n">
        <f aca="false">분석4B_월별매트릭스!AD216</f>
        <v>896104</v>
      </c>
      <c r="H78" s="57" t="n">
        <f aca="false">분석4B_월별매트릭스!AE216</f>
        <v>719057</v>
      </c>
      <c r="I78" s="57" t="n">
        <f aca="false">분석4B_월별매트릭스!AF216</f>
        <v>808353</v>
      </c>
      <c r="J78" s="57" t="n">
        <f aca="false">분석4B_월별매트릭스!AG216</f>
        <v>788674</v>
      </c>
      <c r="K78" s="30" t="n">
        <f aca="false">SUM(D78:J78)</f>
        <v>5367200</v>
      </c>
      <c r="L78" s="34" t="n">
        <f aca="false">K78/$K$79</f>
        <v>0.00902262083270768</v>
      </c>
    </row>
    <row r="79" customFormat="false" ht="15" hidden="false" customHeight="true" outlineLevel="0" collapsed="false">
      <c r="B79" s="6" t="s">
        <v>19952</v>
      </c>
      <c r="D79" s="30" t="n">
        <f aca="false">SUM(D57:D78)</f>
        <v>65822300</v>
      </c>
      <c r="E79" s="30" t="n">
        <f aca="false">SUM(E57:E78)</f>
        <v>67615218</v>
      </c>
      <c r="F79" s="30" t="n">
        <f aca="false">SUM(F57:F78)</f>
        <v>87300103</v>
      </c>
      <c r="G79" s="30" t="n">
        <f aca="false">SUM(G57:G78)</f>
        <v>85719817</v>
      </c>
      <c r="H79" s="30" t="n">
        <f aca="false">SUM(H57:H78)</f>
        <v>87553913</v>
      </c>
      <c r="I79" s="30" t="n">
        <f aca="false">SUM(I57:I78)</f>
        <v>101924264</v>
      </c>
      <c r="J79" s="30" t="n">
        <f aca="false">SUM(J57:J78)</f>
        <v>98924803</v>
      </c>
      <c r="K79" s="30" t="n">
        <f aca="false">SUM(K57:K78)</f>
        <v>594860418</v>
      </c>
    </row>
    <row r="81" customFormat="false" ht="14.25" hidden="false" customHeight="true" outlineLevel="0" collapsed="false">
      <c r="A81" s="23" t="s">
        <v>19953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 customFormat="false" ht="15" hidden="false" customHeight="true" outlineLevel="0" collapsed="false">
      <c r="A82" s="5" t="s">
        <v>19907</v>
      </c>
      <c r="B82" s="5" t="s">
        <v>19908</v>
      </c>
      <c r="C82" s="5" t="s">
        <v>19954</v>
      </c>
      <c r="D82" s="5" t="s">
        <v>19955</v>
      </c>
      <c r="E82" s="5" t="s">
        <v>19956</v>
      </c>
      <c r="F82" s="44" t="s">
        <v>19897</v>
      </c>
      <c r="G82" s="44" t="s">
        <v>19898</v>
      </c>
      <c r="H82" s="5" t="s">
        <v>19957</v>
      </c>
      <c r="I82" s="5" t="s">
        <v>19958</v>
      </c>
      <c r="J82" s="5" t="s">
        <v>19959</v>
      </c>
      <c r="K82" s="5" t="s">
        <v>19960</v>
      </c>
    </row>
    <row r="83" customFormat="false" ht="15" hidden="false" customHeight="true" outlineLevel="0" collapsed="false">
      <c r="A83" s="33" t="s">
        <v>19830</v>
      </c>
      <c r="B83" s="7" t="s">
        <v>19909</v>
      </c>
      <c r="C83" s="25" t="n">
        <f aca="false">SUMIFS(데이터_품목별!$H$3:$H$2984,데이터_품목별!$E$3:$E$2984,"84",데이터_품목별!$B$3:$B$2984,2024,데이터_품목별!$C$3:$C$2984,"&lt;=7")+SUMIFS(데이터_품목별!$H$3:$H$2984,데이터_품목별!$E$3:$E$2984,"85",데이터_품목별!$B$3:$B$2984,2024,데이터_품목별!$C$3:$C$2984,"&lt;=7")</f>
        <v>163707689</v>
      </c>
      <c r="D83" s="25" t="n">
        <f aca="false">SUMIFS(데이터_품목별!$H$3:$H$2984,데이터_품목별!$E$3:$E$2984,"84",데이터_품목별!$B$3:$B$2984,2025,데이터_품목별!$C$3:$C$2984,"&lt;=7")+SUMIFS(데이터_품목별!$H$3:$H$2984,데이터_품목별!$E$3:$E$2984,"85",데이터_품목별!$B$3:$B$2984,2025,데이터_품목별!$C$3:$C$2984,"&lt;=7")</f>
        <v>171066692</v>
      </c>
      <c r="E83" s="25" t="n">
        <f aca="false">SUMIFS(데이터_품목별!$H$3:$H$2984,데이터_품목별!$E$3:$E$2984,"84",데이터_품목별!$B$3:$B$2984,2026,데이터_품목별!$C$3:$C$2984,"&lt;=7")+SUMIFS(데이터_품목별!$H$3:$H$2984,데이터_품목별!$E$3:$E$2984,"85",데이터_품목별!$B$3:$B$2984,2026,데이터_품목별!$C$3:$C$2984,"&lt;=7")</f>
        <v>341006753</v>
      </c>
      <c r="F83" s="36" t="n">
        <f aca="false">IFERROR(D83/C83-1,"-")</f>
        <v>0.0449520914072643</v>
      </c>
      <c r="G83" s="36" t="n">
        <f aca="false">IFERROR(E83/D83-1,"-")</f>
        <v>0.993414083204462</v>
      </c>
      <c r="H83" s="34" t="n">
        <f aca="false">(E83-D83)/(SUMIFS(데이터_총괄!$H$3:$H$33,데이터_총괄!$B$3:$B$33,2026,데이터_총괄!$C$3:$C$33,"&lt;=7")-SUMIFS(데이터_총괄!$H$3:$H$33,데이터_총괄!$B$3:$B$33,2025,데이터_총괄!$C$3:$C$33,"&lt;=7"))</f>
        <v>0.851087313483912</v>
      </c>
      <c r="I83" s="25" t="n">
        <f aca="false">SUMIFS(데이터_품목별!$J$3:$J$2984,데이터_품목별!$E$3:$E$2984,"84",데이터_품목별!$B$3:$B$2984,2026,데이터_품목별!$C$3:$C$2984,"&lt;=7")+SUMIFS(데이터_품목별!$J$3:$J$2984,데이터_품목별!$E$3:$E$2984,"85",데이터_품목별!$B$3:$B$2984,2026,데이터_품목별!$C$3:$C$2984,"&lt;=7")</f>
        <v>147544514</v>
      </c>
      <c r="J83" s="25" t="n">
        <f aca="false">E83-I83</f>
        <v>193462239</v>
      </c>
      <c r="K83" s="46" t="str">
        <f aca="false">IF(H83&gt;0.3,"전체 증가를 주도",IF(H83&gt;0.03,"증가에 뚜렷이 기여",IF(G83&lt;0,"감소 — 부진 부문",IF(H83&gt;0,"소폭 기여","영향 미미"))))</f>
        <v>전체 증가를 주도</v>
      </c>
    </row>
    <row r="84" customFormat="false" ht="15" hidden="false" customHeight="true" outlineLevel="0" collapsed="false">
      <c r="A84" s="33" t="s">
        <v>19808</v>
      </c>
      <c r="B84" s="7" t="s">
        <v>19910</v>
      </c>
      <c r="C84" s="25" t="n">
        <f aca="false">SUMIFS(데이터_품목별!$H$3:$H$2984,데이터_품목별!$E$3:$E$2984,"25",데이터_품목별!$B$3:$B$2984,2024,데이터_품목별!$C$3:$C$2984,"&lt;=7")+SUMIFS(데이터_품목별!$H$3:$H$2984,데이터_품목별!$E$3:$E$2984,"26",데이터_품목별!$B$3:$B$2984,2024,데이터_품목별!$C$3:$C$2984,"&lt;=7")+SUMIFS(데이터_품목별!$H$3:$H$2984,데이터_품목별!$E$3:$E$2984,"27",데이터_품목별!$B$3:$B$2984,2024,데이터_품목별!$C$3:$C$2984,"&lt;=7")</f>
        <v>33050598</v>
      </c>
      <c r="D84" s="25" t="n">
        <f aca="false">SUMIFS(데이터_품목별!$H$3:$H$2984,데이터_품목별!$E$3:$E$2984,"25",데이터_품목별!$B$3:$B$2984,2025,데이터_품목별!$C$3:$C$2984,"&lt;=7")+SUMIFS(데이터_품목별!$H$3:$H$2984,데이터_품목별!$E$3:$E$2984,"26",데이터_품목별!$B$3:$B$2984,2025,데이터_품목별!$C$3:$C$2984,"&lt;=7")+SUMIFS(데이터_품목별!$H$3:$H$2984,데이터_품목별!$E$3:$E$2984,"27",데이터_품목별!$B$3:$B$2984,2025,데이터_품목별!$C$3:$C$2984,"&lt;=7")</f>
        <v>27658004</v>
      </c>
      <c r="E84" s="25" t="n">
        <f aca="false">SUMIFS(데이터_품목별!$H$3:$H$2984,데이터_품목별!$E$3:$E$2984,"25",데이터_품목별!$B$3:$B$2984,2026,데이터_품목별!$C$3:$C$2984,"&lt;=7")+SUMIFS(데이터_품목별!$H$3:$H$2984,데이터_품목별!$E$3:$E$2984,"26",데이터_품목별!$B$3:$B$2984,2026,데이터_품목별!$C$3:$C$2984,"&lt;=7")+SUMIFS(데이터_품목별!$H$3:$H$2984,데이터_품목별!$E$3:$E$2984,"27",데이터_품목별!$B$3:$B$2984,2026,데이터_품목별!$C$3:$C$2984,"&lt;=7")</f>
        <v>37201483</v>
      </c>
      <c r="F84" s="36" t="n">
        <f aca="false">IFERROR(D84/C84-1,"-")</f>
        <v>-0.163161767905077</v>
      </c>
      <c r="G84" s="36" t="n">
        <f aca="false">IFERROR(E84/D84-1,"-")</f>
        <v>0.345053063120535</v>
      </c>
      <c r="H84" s="34" t="n">
        <f aca="false">(E84-D84)/(SUMIFS(데이터_총괄!$H$3:$H$33,데이터_총괄!$B$3:$B$33,2026,데이터_총괄!$C$3:$C$33,"&lt;=7")-SUMIFS(데이터_총괄!$H$3:$H$33,데이터_총괄!$B$3:$B$33,2025,데이터_총괄!$C$3:$C$33,"&lt;=7"))</f>
        <v>0.0477952865004569</v>
      </c>
      <c r="I84" s="25" t="n">
        <f aca="false">SUMIFS(데이터_품목별!$J$3:$J$2984,데이터_품목별!$E$3:$E$2984,"25",데이터_품목별!$B$3:$B$2984,2026,데이터_품목별!$C$3:$C$2984,"&lt;=7")+SUMIFS(데이터_품목별!$J$3:$J$2984,데이터_품목별!$E$3:$E$2984,"26",데이터_품목별!$B$3:$B$2984,2026,데이터_품목별!$C$3:$C$2984,"&lt;=7")+SUMIFS(데이터_품목별!$J$3:$J$2984,데이터_품목별!$E$3:$E$2984,"27",데이터_품목별!$B$3:$B$2984,2026,데이터_품목별!$C$3:$C$2984,"&lt;=7")</f>
        <v>107779500</v>
      </c>
      <c r="J84" s="25" t="n">
        <f aca="false">E84-I84</f>
        <v>-70578017</v>
      </c>
      <c r="K84" s="46" t="str">
        <f aca="false">IF(H84&gt;0.3,"전체 증가를 주도",IF(H84&gt;0.03,"증가에 뚜렷이 기여",IF(G84&lt;0,"감소 — 부진 부문",IF(H84&gt;0,"소폭 기여","영향 미미"))))</f>
        <v>증가에 뚜렷이 기여</v>
      </c>
    </row>
    <row r="85" customFormat="false" ht="15" hidden="false" customHeight="true" outlineLevel="0" collapsed="false">
      <c r="A85" s="33" t="s">
        <v>19826</v>
      </c>
      <c r="B85" s="7" t="s">
        <v>19911</v>
      </c>
      <c r="C85" s="25" t="n">
        <f aca="false">SUMIFS(데이터_품목별!$H$3:$H$2984,데이터_품목별!$E$3:$E$2984,"71",데이터_품목별!$B$3:$B$2984,2024,데이터_품목별!$C$3:$C$2984,"&lt;=7")</f>
        <v>3171913</v>
      </c>
      <c r="D85" s="25" t="n">
        <f aca="false">SUMIFS(데이터_품목별!$H$3:$H$2984,데이터_품목별!$E$3:$E$2984,"71",데이터_품목별!$B$3:$B$2984,2025,데이터_품목별!$C$3:$C$2984,"&lt;=7")</f>
        <v>3905567</v>
      </c>
      <c r="E85" s="25" t="n">
        <f aca="false">SUMIFS(데이터_품목별!$H$3:$H$2984,데이터_품목별!$E$3:$E$2984,"71",데이터_품목별!$B$3:$B$2984,2026,데이터_품목별!$C$3:$C$2984,"&lt;=7")</f>
        <v>9955056</v>
      </c>
      <c r="F85" s="36" t="n">
        <f aca="false">IFERROR(D85/C85-1,"-")</f>
        <v>0.231297012244661</v>
      </c>
      <c r="G85" s="36" t="n">
        <f aca="false">IFERROR(E85/D85-1,"-")</f>
        <v>1.5489400130634</v>
      </c>
      <c r="H85" s="34" t="n">
        <f aca="false">(E85-D85)/(SUMIFS(데이터_총괄!$H$3:$H$33,데이터_총괄!$B$3:$B$33,2026,데이터_총괄!$C$3:$C$33,"&lt;=7")-SUMIFS(데이터_총괄!$H$3:$H$33,데이터_총괄!$B$3:$B$33,2025,데이터_총괄!$C$3:$C$33,"&lt;=7"))</f>
        <v>0.0302968194236465</v>
      </c>
      <c r="I85" s="25" t="n">
        <f aca="false">SUMIFS(데이터_품목별!$J$3:$J$2984,데이터_품목별!$E$3:$E$2984,"71",데이터_품목별!$B$3:$B$2984,2026,데이터_품목별!$C$3:$C$2984,"&lt;=7")</f>
        <v>9158780</v>
      </c>
      <c r="J85" s="25" t="n">
        <f aca="false">E85-I85</f>
        <v>796276</v>
      </c>
      <c r="K85" s="46" t="str">
        <f aca="false">IF(H85&gt;0.3,"전체 증가를 주도",IF(H85&gt;0.03,"증가에 뚜렷이 기여",IF(G85&lt;0,"감소 — 부진 부문",IF(H85&gt;0,"소폭 기여","영향 미미"))))</f>
        <v>증가에 뚜렷이 기여</v>
      </c>
    </row>
    <row r="86" customFormat="false" ht="15" hidden="false" customHeight="true" outlineLevel="0" collapsed="false">
      <c r="A86" s="33" t="s">
        <v>19810</v>
      </c>
      <c r="B86" s="7" t="s">
        <v>19912</v>
      </c>
      <c r="C86" s="25" t="n">
        <f aca="false">SUMIFS(데이터_품목별!$H$3:$H$2984,데이터_품목별!$E$3:$E$2984,"28",데이터_품목별!$B$3:$B$2984,2024,데이터_품목별!$C$3:$C$2984,"&lt;=7")+SUMIFS(데이터_품목별!$H$3:$H$2984,데이터_품목별!$E$3:$E$2984,"29",데이터_품목별!$B$3:$B$2984,2024,데이터_품목별!$C$3:$C$2984,"&lt;=7")+SUMIFS(데이터_품목별!$H$3:$H$2984,데이터_품목별!$E$3:$E$2984,"30",데이터_품목별!$B$3:$B$2984,2024,데이터_품목별!$C$3:$C$2984,"&lt;=7")+SUMIFS(데이터_품목별!$H$3:$H$2984,데이터_품목별!$E$3:$E$2984,"31",데이터_품목별!$B$3:$B$2984,2024,데이터_품목별!$C$3:$C$2984,"&lt;=7")+SUMIFS(데이터_품목별!$H$3:$H$2984,데이터_품목별!$E$3:$E$2984,"32",데이터_품목별!$B$3:$B$2984,2024,데이터_품목별!$C$3:$C$2984,"&lt;=7")+SUMIFS(데이터_품목별!$H$3:$H$2984,데이터_품목별!$E$3:$E$2984,"33",데이터_품목별!$B$3:$B$2984,2024,데이터_품목별!$C$3:$C$2984,"&lt;=7")+SUMIFS(데이터_품목별!$H$3:$H$2984,데이터_품목별!$E$3:$E$2984,"34",데이터_품목별!$B$3:$B$2984,2024,데이터_품목별!$C$3:$C$2984,"&lt;=7")+SUMIFS(데이터_품목별!$H$3:$H$2984,데이터_품목별!$E$3:$E$2984,"35",데이터_품목별!$B$3:$B$2984,2024,데이터_품목별!$C$3:$C$2984,"&lt;=7")+SUMIFS(데이터_품목별!$H$3:$H$2984,데이터_품목별!$E$3:$E$2984,"36",데이터_품목별!$B$3:$B$2984,2024,데이터_품목별!$C$3:$C$2984,"&lt;=7")+SUMIFS(데이터_품목별!$H$3:$H$2984,데이터_품목별!$E$3:$E$2984,"37",데이터_품목별!$B$3:$B$2984,2024,데이터_품목별!$C$3:$C$2984,"&lt;=7")+SUMIFS(데이터_품목별!$H$3:$H$2984,데이터_품목별!$E$3:$E$2984,"38",데이터_품목별!$B$3:$B$2984,2024,데이터_품목별!$C$3:$C$2984,"&lt;=7")</f>
        <v>37214369</v>
      </c>
      <c r="D86" s="25" t="n">
        <f aca="false">SUMIFS(데이터_품목별!$H$3:$H$2984,데이터_품목별!$E$3:$E$2984,"28",데이터_품목별!$B$3:$B$2984,2025,데이터_품목별!$C$3:$C$2984,"&lt;=7")+SUMIFS(데이터_품목별!$H$3:$H$2984,데이터_품목별!$E$3:$E$2984,"29",데이터_품목별!$B$3:$B$2984,2025,데이터_품목별!$C$3:$C$2984,"&lt;=7")+SUMIFS(데이터_품목별!$H$3:$H$2984,데이터_품목별!$E$3:$E$2984,"30",데이터_품목별!$B$3:$B$2984,2025,데이터_품목별!$C$3:$C$2984,"&lt;=7")+SUMIFS(데이터_품목별!$H$3:$H$2984,데이터_품목별!$E$3:$E$2984,"31",데이터_품목별!$B$3:$B$2984,2025,데이터_품목별!$C$3:$C$2984,"&lt;=7")+SUMIFS(데이터_품목별!$H$3:$H$2984,데이터_품목별!$E$3:$E$2984,"32",데이터_품목별!$B$3:$B$2984,2025,데이터_품목별!$C$3:$C$2984,"&lt;=7")+SUMIFS(데이터_품목별!$H$3:$H$2984,데이터_품목별!$E$3:$E$2984,"33",데이터_품목별!$B$3:$B$2984,2025,데이터_품목별!$C$3:$C$2984,"&lt;=7")+SUMIFS(데이터_품목별!$H$3:$H$2984,데이터_품목별!$E$3:$E$2984,"34",데이터_품목별!$B$3:$B$2984,2025,데이터_품목별!$C$3:$C$2984,"&lt;=7")+SUMIFS(데이터_품목별!$H$3:$H$2984,데이터_품목별!$E$3:$E$2984,"35",데이터_품목별!$B$3:$B$2984,2025,데이터_품목별!$C$3:$C$2984,"&lt;=7")+SUMIFS(데이터_품목별!$H$3:$H$2984,데이터_품목별!$E$3:$E$2984,"36",데이터_품목별!$B$3:$B$2984,2025,데이터_품목별!$C$3:$C$2984,"&lt;=7")+SUMIFS(데이터_품목별!$H$3:$H$2984,데이터_품목별!$E$3:$E$2984,"37",데이터_품목별!$B$3:$B$2984,2025,데이터_품목별!$C$3:$C$2984,"&lt;=7")+SUMIFS(데이터_품목별!$H$3:$H$2984,데이터_품목별!$E$3:$E$2984,"38",데이터_품목별!$B$3:$B$2984,2025,데이터_품목별!$C$3:$C$2984,"&lt;=7")</f>
        <v>36317901</v>
      </c>
      <c r="E86" s="25" t="n">
        <f aca="false">SUMIFS(데이터_품목별!$H$3:$H$2984,데이터_품목별!$E$3:$E$2984,"28",데이터_품목별!$B$3:$B$2984,2026,데이터_품목별!$C$3:$C$2984,"&lt;=7")+SUMIFS(데이터_품목별!$H$3:$H$2984,데이터_품목별!$E$3:$E$2984,"29",데이터_품목별!$B$3:$B$2984,2026,데이터_품목별!$C$3:$C$2984,"&lt;=7")+SUMIFS(데이터_품목별!$H$3:$H$2984,데이터_품목별!$E$3:$E$2984,"30",데이터_품목별!$B$3:$B$2984,2026,데이터_품목별!$C$3:$C$2984,"&lt;=7")+SUMIFS(데이터_품목별!$H$3:$H$2984,데이터_품목별!$E$3:$E$2984,"31",데이터_품목별!$B$3:$B$2984,2026,데이터_품목별!$C$3:$C$2984,"&lt;=7")+SUMIFS(데이터_품목별!$H$3:$H$2984,데이터_품목별!$E$3:$E$2984,"32",데이터_품목별!$B$3:$B$2984,2026,데이터_품목별!$C$3:$C$2984,"&lt;=7")+SUMIFS(데이터_품목별!$H$3:$H$2984,데이터_품목별!$E$3:$E$2984,"33",데이터_품목별!$B$3:$B$2984,2026,데이터_품목별!$C$3:$C$2984,"&lt;=7")+SUMIFS(데이터_품목별!$H$3:$H$2984,데이터_품목별!$E$3:$E$2984,"34",데이터_품목별!$B$3:$B$2984,2026,데이터_품목별!$C$3:$C$2984,"&lt;=7")+SUMIFS(데이터_품목별!$H$3:$H$2984,데이터_품목별!$E$3:$E$2984,"35",데이터_품목별!$B$3:$B$2984,2026,데이터_품목별!$C$3:$C$2984,"&lt;=7")+SUMIFS(데이터_품목별!$H$3:$H$2984,데이터_품목별!$E$3:$E$2984,"36",데이터_품목별!$B$3:$B$2984,2026,데이터_품목별!$C$3:$C$2984,"&lt;=7")+SUMIFS(데이터_품목별!$H$3:$H$2984,데이터_품목별!$E$3:$E$2984,"37",데이터_품목별!$B$3:$B$2984,2026,데이터_품목별!$C$3:$C$2984,"&lt;=7")+SUMIFS(데이터_품목별!$H$3:$H$2984,데이터_품목별!$E$3:$E$2984,"38",데이터_품목별!$B$3:$B$2984,2026,데이터_품목별!$C$3:$C$2984,"&lt;=7")</f>
        <v>41860872</v>
      </c>
      <c r="F86" s="36" t="n">
        <f aca="false">IFERROR(D86/C86-1,"-")</f>
        <v>-0.0240892973356609</v>
      </c>
      <c r="G86" s="36" t="n">
        <f aca="false">IFERROR(E86/D86-1,"-")</f>
        <v>0.15262366071211</v>
      </c>
      <c r="H86" s="34" t="n">
        <f aca="false">(E86-D86)/(SUMIFS(데이터_총괄!$H$3:$H$33,데이터_총괄!$B$3:$B$33,2026,데이터_총괄!$C$3:$C$33,"&lt;=7")-SUMIFS(데이터_총괄!$H$3:$H$33,데이터_총괄!$B$3:$B$33,2025,데이터_총괄!$C$3:$C$33,"&lt;=7"))</f>
        <v>0.0277600953497906</v>
      </c>
      <c r="I86" s="25" t="n">
        <f aca="false">SUMIFS(데이터_품목별!$J$3:$J$2984,데이터_품목별!$E$3:$E$2984,"28",데이터_품목별!$B$3:$B$2984,2026,데이터_품목별!$C$3:$C$2984,"&lt;=7")+SUMIFS(데이터_품목별!$J$3:$J$2984,데이터_품목별!$E$3:$E$2984,"29",데이터_품목별!$B$3:$B$2984,2026,데이터_품목별!$C$3:$C$2984,"&lt;=7")+SUMIFS(데이터_품목별!$J$3:$J$2984,데이터_품목별!$E$3:$E$2984,"30",데이터_품목별!$B$3:$B$2984,2026,데이터_품목별!$C$3:$C$2984,"&lt;=7")+SUMIFS(데이터_품목별!$J$3:$J$2984,데이터_품목별!$E$3:$E$2984,"31",데이터_품목별!$B$3:$B$2984,2026,데이터_품목별!$C$3:$C$2984,"&lt;=7")+SUMIFS(데이터_품목별!$J$3:$J$2984,데이터_품목별!$E$3:$E$2984,"32",데이터_품목별!$B$3:$B$2984,2026,데이터_품목별!$C$3:$C$2984,"&lt;=7")+SUMIFS(데이터_품목별!$J$3:$J$2984,데이터_품목별!$E$3:$E$2984,"33",데이터_품목별!$B$3:$B$2984,2026,데이터_품목별!$C$3:$C$2984,"&lt;=7")+SUMIFS(데이터_품목별!$J$3:$J$2984,데이터_품목별!$E$3:$E$2984,"34",데이터_품목별!$B$3:$B$2984,2026,데이터_품목별!$C$3:$C$2984,"&lt;=7")+SUMIFS(데이터_품목별!$J$3:$J$2984,데이터_품목별!$E$3:$E$2984,"35",데이터_품목별!$B$3:$B$2984,2026,데이터_품목별!$C$3:$C$2984,"&lt;=7")+SUMIFS(데이터_품목별!$J$3:$J$2984,데이터_품목별!$E$3:$E$2984,"36",데이터_품목별!$B$3:$B$2984,2026,데이터_품목별!$C$3:$C$2984,"&lt;=7")+SUMIFS(데이터_품목별!$J$3:$J$2984,데이터_품목별!$E$3:$E$2984,"37",데이터_품목별!$B$3:$B$2984,2026,데이터_품목별!$C$3:$C$2984,"&lt;=7")+SUMIFS(데이터_품목별!$J$3:$J$2984,데이터_품목별!$E$3:$E$2984,"38",데이터_품목별!$B$3:$B$2984,2026,데이터_품목별!$C$3:$C$2984,"&lt;=7")</f>
        <v>35246619</v>
      </c>
      <c r="J86" s="25" t="n">
        <f aca="false">E86-I86</f>
        <v>6614253</v>
      </c>
      <c r="K86" s="46" t="str">
        <f aca="false">IF(H86&gt;0.3,"전체 증가를 주도",IF(H86&gt;0.03,"증가에 뚜렷이 기여",IF(G86&lt;0,"감소 — 부진 부문",IF(H86&gt;0,"소폭 기여","영향 미미"))))</f>
        <v>소폭 기여</v>
      </c>
    </row>
    <row r="87" customFormat="false" ht="15" hidden="false" customHeight="true" outlineLevel="0" collapsed="false">
      <c r="A87" s="33" t="s">
        <v>19832</v>
      </c>
      <c r="B87" s="7" t="s">
        <v>19913</v>
      </c>
      <c r="C87" s="25" t="n">
        <f aca="false">SUMIFS(데이터_품목별!$H$3:$H$2984,데이터_품목별!$E$3:$E$2984,"86",데이터_품목별!$B$3:$B$2984,2024,데이터_품목별!$C$3:$C$2984,"&lt;=7")+SUMIFS(데이터_품목별!$H$3:$H$2984,데이터_품목별!$E$3:$E$2984,"87",데이터_품목별!$B$3:$B$2984,2024,데이터_품목별!$C$3:$C$2984,"&lt;=7")+SUMIFS(데이터_품목별!$H$3:$H$2984,데이터_품목별!$E$3:$E$2984,"88",데이터_품목별!$B$3:$B$2984,2024,데이터_품목별!$C$3:$C$2984,"&lt;=7")+SUMIFS(데이터_품목별!$H$3:$H$2984,데이터_품목별!$E$3:$E$2984,"89",데이터_품목별!$B$3:$B$2984,2024,데이터_품목별!$C$3:$C$2984,"&lt;=7")</f>
        <v>68232661</v>
      </c>
      <c r="D87" s="25" t="n">
        <f aca="false">SUMIFS(데이터_품목별!$H$3:$H$2984,데이터_품목별!$E$3:$E$2984,"86",데이터_품목별!$B$3:$B$2984,2025,데이터_품목별!$C$3:$C$2984,"&lt;=7")+SUMIFS(데이터_품목별!$H$3:$H$2984,데이터_품목별!$E$3:$E$2984,"87",데이터_품목별!$B$3:$B$2984,2025,데이터_품목별!$C$3:$C$2984,"&lt;=7")+SUMIFS(데이터_품목별!$H$3:$H$2984,데이터_품목별!$E$3:$E$2984,"88",데이터_품목별!$B$3:$B$2984,2025,데이터_품목별!$C$3:$C$2984,"&lt;=7")+SUMIFS(데이터_품목별!$H$3:$H$2984,데이터_품목별!$E$3:$E$2984,"89",데이터_품목별!$B$3:$B$2984,2025,데이터_품목별!$C$3:$C$2984,"&lt;=7")</f>
        <v>71436256</v>
      </c>
      <c r="E87" s="25" t="n">
        <f aca="false">SUMIFS(데이터_품목별!$H$3:$H$2984,데이터_품목별!$E$3:$E$2984,"86",데이터_품목별!$B$3:$B$2984,2026,데이터_품목별!$C$3:$C$2984,"&lt;=7")+SUMIFS(데이터_품목별!$H$3:$H$2984,데이터_품목별!$E$3:$E$2984,"87",데이터_품목별!$B$3:$B$2984,2026,데이터_품목별!$C$3:$C$2984,"&lt;=7")+SUMIFS(데이터_품목별!$H$3:$H$2984,데이터_품목별!$E$3:$E$2984,"88",데이터_품목별!$B$3:$B$2984,2026,데이터_품목별!$C$3:$C$2984,"&lt;=7")+SUMIFS(데이터_품목별!$H$3:$H$2984,데이터_품목별!$E$3:$E$2984,"89",데이터_품목별!$B$3:$B$2984,2026,데이터_품목별!$C$3:$C$2984,"&lt;=7")</f>
        <v>74654530</v>
      </c>
      <c r="F87" s="36" t="n">
        <f aca="false">IFERROR(D87/C87-1,"-")</f>
        <v>0.0469510488532756</v>
      </c>
      <c r="G87" s="36" t="n">
        <f aca="false">IFERROR(E87/D87-1,"-")</f>
        <v>0.0450509892343742</v>
      </c>
      <c r="H87" s="34" t="n">
        <f aca="false">(E87-D87)/(SUMIFS(데이터_총괄!$H$3:$H$33,데이터_총괄!$B$3:$B$33,2026,데이터_총괄!$C$3:$C$33,"&lt;=7")-SUMIFS(데이터_총괄!$H$3:$H$33,데이터_총괄!$B$3:$B$33,2025,데이터_총괄!$C$3:$C$33,"&lt;=7"))</f>
        <v>0.0161176367514375</v>
      </c>
      <c r="I87" s="25" t="n">
        <f aca="false">SUMIFS(데이터_품목별!$J$3:$J$2984,데이터_품목별!$E$3:$E$2984,"86",데이터_품목별!$B$3:$B$2984,2026,데이터_품목별!$C$3:$C$2984,"&lt;=7")+SUMIFS(데이터_품목별!$J$3:$J$2984,데이터_품목별!$E$3:$E$2984,"87",데이터_품목별!$B$3:$B$2984,2026,데이터_품목별!$C$3:$C$2984,"&lt;=7")+SUMIFS(데이터_품목별!$J$3:$J$2984,데이터_품목별!$E$3:$E$2984,"88",데이터_품목별!$B$3:$B$2984,2026,데이터_품목별!$C$3:$C$2984,"&lt;=7")+SUMIFS(데이터_품목별!$J$3:$J$2984,데이터_품목별!$E$3:$E$2984,"89",데이터_품목별!$B$3:$B$2984,2026,데이터_품목별!$C$3:$C$2984,"&lt;=7")</f>
        <v>18692505</v>
      </c>
      <c r="J87" s="25" t="n">
        <f aca="false">E87-I87</f>
        <v>55962025</v>
      </c>
      <c r="K87" s="46" t="str">
        <f aca="false">IF(H87&gt;0.3,"전체 증가를 주도",IF(H87&gt;0.03,"증가에 뚜렷이 기여",IF(G87&lt;0,"감소 — 부진 부문",IF(H87&gt;0,"소폭 기여","영향 미미"))))</f>
        <v>소폭 기여</v>
      </c>
    </row>
    <row r="88" customFormat="false" ht="15" hidden="false" customHeight="true" outlineLevel="0" collapsed="false">
      <c r="A88" s="33" t="s">
        <v>19828</v>
      </c>
      <c r="B88" s="7" t="s">
        <v>19914</v>
      </c>
      <c r="C88" s="25" t="n">
        <f aca="false">SUMIFS(데이터_품목별!$H$3:$H$2984,데이터_품목별!$E$3:$E$2984,"72",데이터_품목별!$B$3:$B$2984,2024,데이터_품목별!$C$3:$C$2984,"&lt;=7")+SUMIFS(데이터_품목별!$H$3:$H$2984,데이터_품목별!$E$3:$E$2984,"73",데이터_품목별!$B$3:$B$2984,2024,데이터_품목별!$C$3:$C$2984,"&lt;=7")+SUMIFS(데이터_품목별!$H$3:$H$2984,데이터_품목별!$E$3:$E$2984,"74",데이터_품목별!$B$3:$B$2984,2024,데이터_품목별!$C$3:$C$2984,"&lt;=7")+SUMIFS(데이터_품목별!$H$3:$H$2984,데이터_품목별!$E$3:$E$2984,"75",데이터_품목별!$B$3:$B$2984,2024,데이터_품목별!$C$3:$C$2984,"&lt;=7")+SUMIFS(데이터_품목별!$H$3:$H$2984,데이터_품목별!$E$3:$E$2984,"76",데이터_품목별!$B$3:$B$2984,2024,데이터_품목별!$C$3:$C$2984,"&lt;=7")+SUMIFS(데이터_품목별!$H$3:$H$2984,데이터_품목별!$E$3:$E$2984,"78",데이터_품목별!$B$3:$B$2984,2024,데이터_품목별!$C$3:$C$2984,"&lt;=7")+SUMIFS(데이터_품목별!$H$3:$H$2984,데이터_품목별!$E$3:$E$2984,"79",데이터_품목별!$B$3:$B$2984,2024,데이터_품목별!$C$3:$C$2984,"&lt;=7")+SUMIFS(데이터_품목별!$H$3:$H$2984,데이터_품목별!$E$3:$E$2984,"80",데이터_품목별!$B$3:$B$2984,2024,데이터_품목별!$C$3:$C$2984,"&lt;=7")+SUMIFS(데이터_품목별!$H$3:$H$2984,데이터_품목별!$E$3:$E$2984,"81",데이터_품목별!$B$3:$B$2984,2024,데이터_품목별!$C$3:$C$2984,"&lt;=7")+SUMIFS(데이터_품목별!$H$3:$H$2984,데이터_품목별!$E$3:$E$2984,"82",데이터_품목별!$B$3:$B$2984,2024,데이터_품목별!$C$3:$C$2984,"&lt;=7")+SUMIFS(데이터_품목별!$H$3:$H$2984,데이터_품목별!$E$3:$E$2984,"83",데이터_품목별!$B$3:$B$2984,2024,데이터_품목별!$C$3:$C$2984,"&lt;=7")</f>
        <v>30185294</v>
      </c>
      <c r="D88" s="25" t="n">
        <f aca="false">SUMIFS(데이터_품목별!$H$3:$H$2984,데이터_품목별!$E$3:$E$2984,"72",데이터_품목별!$B$3:$B$2984,2025,데이터_품목별!$C$3:$C$2984,"&lt;=7")+SUMIFS(데이터_품목별!$H$3:$H$2984,데이터_품목별!$E$3:$E$2984,"73",데이터_품목별!$B$3:$B$2984,2025,데이터_품목별!$C$3:$C$2984,"&lt;=7")+SUMIFS(데이터_품목별!$H$3:$H$2984,데이터_품목별!$E$3:$E$2984,"74",데이터_품목별!$B$3:$B$2984,2025,데이터_품목별!$C$3:$C$2984,"&lt;=7")+SUMIFS(데이터_품목별!$H$3:$H$2984,데이터_품목별!$E$3:$E$2984,"75",데이터_품목별!$B$3:$B$2984,2025,데이터_품목별!$C$3:$C$2984,"&lt;=7")+SUMIFS(데이터_품목별!$H$3:$H$2984,데이터_품목별!$E$3:$E$2984,"76",데이터_품목별!$B$3:$B$2984,2025,데이터_품목별!$C$3:$C$2984,"&lt;=7")+SUMIFS(데이터_품목별!$H$3:$H$2984,데이터_품목별!$E$3:$E$2984,"78",데이터_품목별!$B$3:$B$2984,2025,데이터_품목별!$C$3:$C$2984,"&lt;=7")+SUMIFS(데이터_품목별!$H$3:$H$2984,데이터_품목별!$E$3:$E$2984,"79",데이터_품목별!$B$3:$B$2984,2025,데이터_품목별!$C$3:$C$2984,"&lt;=7")+SUMIFS(데이터_품목별!$H$3:$H$2984,데이터_품목별!$E$3:$E$2984,"80",데이터_품목별!$B$3:$B$2984,2025,데이터_품목별!$C$3:$C$2984,"&lt;=7")+SUMIFS(데이터_품목별!$H$3:$H$2984,데이터_품목별!$E$3:$E$2984,"81",데이터_품목별!$B$3:$B$2984,2025,데이터_품목별!$C$3:$C$2984,"&lt;=7")+SUMIFS(데이터_품목별!$H$3:$H$2984,데이터_품목별!$E$3:$E$2984,"82",데이터_품목별!$B$3:$B$2984,2025,데이터_품목별!$C$3:$C$2984,"&lt;=7")+SUMIFS(데이터_품목별!$H$3:$H$2984,데이터_품목별!$E$3:$E$2984,"83",데이터_품목별!$B$3:$B$2984,2025,데이터_품목별!$C$3:$C$2984,"&lt;=7")</f>
        <v>29518478</v>
      </c>
      <c r="E88" s="25" t="n">
        <f aca="false">SUMIFS(데이터_품목별!$H$3:$H$2984,데이터_품목별!$E$3:$E$2984,"72",데이터_품목별!$B$3:$B$2984,2026,데이터_품목별!$C$3:$C$2984,"&lt;=7")+SUMIFS(데이터_품목별!$H$3:$H$2984,데이터_품목별!$E$3:$E$2984,"73",데이터_품목별!$B$3:$B$2984,2026,데이터_품목별!$C$3:$C$2984,"&lt;=7")+SUMIFS(데이터_품목별!$H$3:$H$2984,데이터_품목별!$E$3:$E$2984,"74",데이터_품목별!$B$3:$B$2984,2026,데이터_품목별!$C$3:$C$2984,"&lt;=7")+SUMIFS(데이터_품목별!$H$3:$H$2984,데이터_품목별!$E$3:$E$2984,"75",데이터_품목별!$B$3:$B$2984,2026,데이터_품목별!$C$3:$C$2984,"&lt;=7")+SUMIFS(데이터_품목별!$H$3:$H$2984,데이터_품목별!$E$3:$E$2984,"76",데이터_품목별!$B$3:$B$2984,2026,데이터_품목별!$C$3:$C$2984,"&lt;=7")+SUMIFS(데이터_품목별!$H$3:$H$2984,데이터_품목별!$E$3:$E$2984,"78",데이터_품목별!$B$3:$B$2984,2026,데이터_품목별!$C$3:$C$2984,"&lt;=7")+SUMIFS(데이터_품목별!$H$3:$H$2984,데이터_품목별!$E$3:$E$2984,"79",데이터_품목별!$B$3:$B$2984,2026,데이터_품목별!$C$3:$C$2984,"&lt;=7")+SUMIFS(데이터_품목별!$H$3:$H$2984,데이터_품목별!$E$3:$E$2984,"80",데이터_품목별!$B$3:$B$2984,2026,데이터_품목별!$C$3:$C$2984,"&lt;=7")+SUMIFS(데이터_품목별!$H$3:$H$2984,데이터_품목별!$E$3:$E$2984,"81",데이터_품목별!$B$3:$B$2984,2026,데이터_품목별!$C$3:$C$2984,"&lt;=7")+SUMIFS(데이터_품목별!$H$3:$H$2984,데이터_품목별!$E$3:$E$2984,"82",데이터_품목별!$B$3:$B$2984,2026,데이터_품목별!$C$3:$C$2984,"&lt;=7")+SUMIFS(데이터_품목별!$H$3:$H$2984,데이터_품목별!$E$3:$E$2984,"83",데이터_품목별!$B$3:$B$2984,2026,데이터_품목별!$C$3:$C$2984,"&lt;=7")</f>
        <v>32432826</v>
      </c>
      <c r="F88" s="36" t="n">
        <f aca="false">IFERROR(D88/C88-1,"-")</f>
        <v>-0.0220907571746692</v>
      </c>
      <c r="G88" s="36" t="n">
        <f aca="false">IFERROR(E88/D88-1,"-")</f>
        <v>0.0987296160730238</v>
      </c>
      <c r="H88" s="34" t="n">
        <f aca="false">(E88-D88)/(SUMIFS(데이터_총괄!$H$3:$H$33,데이터_총괄!$B$3:$B$33,2026,데이터_총괄!$C$3:$C$33,"&lt;=7")-SUMIFS(데이터_총괄!$H$3:$H$33,데이터_총괄!$B$3:$B$33,2025,데이터_총괄!$C$3:$C$33,"&lt;=7"))</f>
        <v>0.0145955261830653</v>
      </c>
      <c r="I88" s="25" t="n">
        <f aca="false">SUMIFS(데이터_품목별!$J$3:$J$2984,데이터_품목별!$E$3:$E$2984,"72",데이터_품목별!$B$3:$B$2984,2026,데이터_품목별!$C$3:$C$2984,"&lt;=7")+SUMIFS(데이터_품목별!$J$3:$J$2984,데이터_품목별!$E$3:$E$2984,"73",데이터_품목별!$B$3:$B$2984,2026,데이터_품목별!$C$3:$C$2984,"&lt;=7")+SUMIFS(데이터_품목별!$J$3:$J$2984,데이터_품목별!$E$3:$E$2984,"74",데이터_품목별!$B$3:$B$2984,2026,데이터_품목별!$C$3:$C$2984,"&lt;=7")+SUMIFS(데이터_품목별!$J$3:$J$2984,데이터_품목별!$E$3:$E$2984,"75",데이터_품목별!$B$3:$B$2984,2026,데이터_품목별!$C$3:$C$2984,"&lt;=7")+SUMIFS(데이터_품목별!$J$3:$J$2984,데이터_품목별!$E$3:$E$2984,"76",데이터_품목별!$B$3:$B$2984,2026,데이터_품목별!$C$3:$C$2984,"&lt;=7")+SUMIFS(데이터_품목별!$J$3:$J$2984,데이터_품목별!$E$3:$E$2984,"78",데이터_품목별!$B$3:$B$2984,2026,데이터_품목별!$C$3:$C$2984,"&lt;=7")+SUMIFS(데이터_품목별!$J$3:$J$2984,데이터_품목별!$E$3:$E$2984,"79",데이터_품목별!$B$3:$B$2984,2026,데이터_품목별!$C$3:$C$2984,"&lt;=7")+SUMIFS(데이터_품목별!$J$3:$J$2984,데이터_품목별!$E$3:$E$2984,"80",데이터_품목별!$B$3:$B$2984,2026,데이터_품목별!$C$3:$C$2984,"&lt;=7")+SUMIFS(데이터_품목별!$J$3:$J$2984,데이터_품목별!$E$3:$E$2984,"81",데이터_품목별!$B$3:$B$2984,2026,데이터_품목별!$C$3:$C$2984,"&lt;=7")+SUMIFS(데이터_품목별!$J$3:$J$2984,데이터_품목별!$E$3:$E$2984,"82",데이터_품목별!$B$3:$B$2984,2026,데이터_품목별!$C$3:$C$2984,"&lt;=7")+SUMIFS(데이터_품목별!$J$3:$J$2984,데이터_품목별!$E$3:$E$2984,"83",데이터_품목별!$B$3:$B$2984,2026,데이터_품목별!$C$3:$C$2984,"&lt;=7")</f>
        <v>29264223</v>
      </c>
      <c r="J88" s="25" t="n">
        <f aca="false">E88-I88</f>
        <v>3168603</v>
      </c>
      <c r="K88" s="46" t="str">
        <f aca="false">IF(H88&gt;0.3,"전체 증가를 주도",IF(H88&gt;0.03,"증가에 뚜렷이 기여",IF(G88&lt;0,"감소 — 부진 부문",IF(H88&gt;0,"소폭 기여","영향 미미"))))</f>
        <v>소폭 기여</v>
      </c>
    </row>
    <row r="89" customFormat="false" ht="15" hidden="false" customHeight="true" outlineLevel="0" collapsed="false">
      <c r="A89" s="33" t="s">
        <v>19812</v>
      </c>
      <c r="B89" s="7" t="s">
        <v>19915</v>
      </c>
      <c r="C89" s="25" t="n">
        <f aca="false">SUMIFS(데이터_품목별!$H$3:$H$2984,데이터_품목별!$E$3:$E$2984,"39",데이터_품목별!$B$3:$B$2984,2024,데이터_품목별!$C$3:$C$2984,"&lt;=7")+SUMIFS(데이터_품목별!$H$3:$H$2984,데이터_품목별!$E$3:$E$2984,"40",데이터_품목별!$B$3:$B$2984,2024,데이터_품목별!$C$3:$C$2984,"&lt;=7")</f>
        <v>26415083</v>
      </c>
      <c r="D89" s="25" t="n">
        <f aca="false">SUMIFS(데이터_품목별!$H$3:$H$2984,데이터_품목별!$E$3:$E$2984,"39",데이터_품목별!$B$3:$B$2984,2025,데이터_품목별!$C$3:$C$2984,"&lt;=7")+SUMIFS(데이터_품목별!$H$3:$H$2984,데이터_품목별!$E$3:$E$2984,"40",데이터_품목별!$B$3:$B$2984,2025,데이터_품목별!$C$3:$C$2984,"&lt;=7")</f>
        <v>24830384</v>
      </c>
      <c r="E89" s="25" t="n">
        <f aca="false">SUMIFS(데이터_품목별!$H$3:$H$2984,데이터_품목별!$E$3:$E$2984,"39",데이터_품목별!$B$3:$B$2984,2026,데이터_품목별!$C$3:$C$2984,"&lt;=7")+SUMIFS(데이터_품목별!$H$3:$H$2984,데이터_품목별!$E$3:$E$2984,"40",데이터_품목별!$B$3:$B$2984,2026,데이터_품목별!$C$3:$C$2984,"&lt;=7")</f>
        <v>26100406</v>
      </c>
      <c r="F89" s="36" t="n">
        <f aca="false">IFERROR(D89/C89-1,"-")</f>
        <v>-0.0599922021823668</v>
      </c>
      <c r="G89" s="36" t="n">
        <f aca="false">IFERROR(E89/D89-1,"-")</f>
        <v>0.0511479000888588</v>
      </c>
      <c r="H89" s="34" t="n">
        <f aca="false">(E89-D89)/(SUMIFS(데이터_총괄!$H$3:$H$33,데이터_총괄!$B$3:$B$33,2026,데이터_총괄!$C$3:$C$33,"&lt;=7")-SUMIFS(데이터_총괄!$H$3:$H$33,데이터_총괄!$B$3:$B$33,2025,데이터_총괄!$C$3:$C$33,"&lt;=7"))</f>
        <v>0.00636047560348625</v>
      </c>
      <c r="I89" s="25" t="n">
        <f aca="false">SUMIFS(데이터_품목별!$J$3:$J$2984,데이터_품목별!$E$3:$E$2984,"39",데이터_품목별!$B$3:$B$2984,2026,데이터_품목별!$C$3:$C$2984,"&lt;=7")+SUMIFS(데이터_품목별!$J$3:$J$2984,데이터_품목별!$E$3:$E$2984,"40",데이터_품목별!$B$3:$B$2984,2026,데이터_품목별!$C$3:$C$2984,"&lt;=7")</f>
        <v>10434422</v>
      </c>
      <c r="J89" s="25" t="n">
        <f aca="false">E89-I89</f>
        <v>15665984</v>
      </c>
      <c r="K89" s="46" t="str">
        <f aca="false">IF(H89&gt;0.3,"전체 증가를 주도",IF(H89&gt;0.03,"증가에 뚜렷이 기여",IF(G89&lt;0,"감소 — 부진 부문",IF(H89&gt;0,"소폭 기여","영향 미미"))))</f>
        <v>소폭 기여</v>
      </c>
    </row>
    <row r="90" customFormat="false" ht="15" hidden="false" customHeight="true" outlineLevel="0" collapsed="false">
      <c r="A90" s="33" t="s">
        <v>19834</v>
      </c>
      <c r="B90" s="7" t="s">
        <v>19916</v>
      </c>
      <c r="C90" s="25" t="n">
        <f aca="false">SUMIFS(데이터_품목별!$H$3:$H$2984,데이터_품목별!$E$3:$E$2984,"90",데이터_품목별!$B$3:$B$2984,2024,데이터_품목별!$C$3:$C$2984,"&lt;=7")+SUMIFS(데이터_품목별!$H$3:$H$2984,데이터_품목별!$E$3:$E$2984,"91",데이터_품목별!$B$3:$B$2984,2024,데이터_품목별!$C$3:$C$2984,"&lt;=7")+SUMIFS(데이터_품목별!$H$3:$H$2984,데이터_품목별!$E$3:$E$2984,"92",데이터_품목별!$B$3:$B$2984,2024,데이터_품목별!$C$3:$C$2984,"&lt;=7")</f>
        <v>9903821</v>
      </c>
      <c r="D90" s="25" t="n">
        <f aca="false">SUMIFS(데이터_품목별!$H$3:$H$2984,데이터_품목별!$E$3:$E$2984,"90",데이터_품목별!$B$3:$B$2984,2025,데이터_품목별!$C$3:$C$2984,"&lt;=7")+SUMIFS(데이터_품목별!$H$3:$H$2984,데이터_품목별!$E$3:$E$2984,"91",데이터_품목별!$B$3:$B$2984,2025,데이터_품목별!$C$3:$C$2984,"&lt;=7")+SUMIFS(데이터_품목별!$H$3:$H$2984,데이터_품목별!$E$3:$E$2984,"92",데이터_품목별!$B$3:$B$2984,2025,데이터_품목별!$C$3:$C$2984,"&lt;=7")</f>
        <v>9898764</v>
      </c>
      <c r="E90" s="25" t="n">
        <f aca="false">SUMIFS(데이터_품목별!$H$3:$H$2984,데이터_품목별!$E$3:$E$2984,"90",데이터_품목별!$B$3:$B$2984,2026,데이터_품목별!$C$3:$C$2984,"&lt;=7")+SUMIFS(데이터_품목별!$H$3:$H$2984,데이터_품목별!$E$3:$E$2984,"91",데이터_품목별!$B$3:$B$2984,2026,데이터_품목별!$C$3:$C$2984,"&lt;=7")+SUMIFS(데이터_품목별!$H$3:$H$2984,데이터_품목별!$E$3:$E$2984,"92",데이터_품목별!$B$3:$B$2984,2026,데이터_품목별!$C$3:$C$2984,"&lt;=7")</f>
        <v>10344795</v>
      </c>
      <c r="F90" s="36" t="n">
        <f aca="false">IFERROR(D90/C90-1,"-")</f>
        <v>-0.000510611005590689</v>
      </c>
      <c r="G90" s="36" t="n">
        <f aca="false">IFERROR(E90/D90-1,"-")</f>
        <v>0.0450592619442185</v>
      </c>
      <c r="H90" s="34" t="n">
        <f aca="false">(E90-D90)/(SUMIFS(데이터_총괄!$H$3:$H$33,데이터_총괄!$B$3:$B$33,2026,데이터_총괄!$C$3:$C$33,"&lt;=7")-SUMIFS(데이터_총괄!$H$3:$H$33,데이터_총괄!$B$3:$B$33,2025,데이터_총괄!$C$3:$C$33,"&lt;=7"))</f>
        <v>0.00223379539401567</v>
      </c>
      <c r="I90" s="25" t="n">
        <f aca="false">SUMIFS(데이터_품목별!$J$3:$J$2984,데이터_품목별!$E$3:$E$2984,"90",데이터_품목별!$B$3:$B$2984,2026,데이터_품목별!$C$3:$C$2984,"&lt;=7")+SUMIFS(데이터_품목별!$J$3:$J$2984,데이터_품목별!$E$3:$E$2984,"91",데이터_품목별!$B$3:$B$2984,2026,데이터_품목별!$C$3:$C$2984,"&lt;=7")+SUMIFS(데이터_품목별!$J$3:$J$2984,데이터_품목별!$E$3:$E$2984,"92",데이터_품목별!$B$3:$B$2984,2026,데이터_품목별!$C$3:$C$2984,"&lt;=7")</f>
        <v>16699301</v>
      </c>
      <c r="J90" s="25" t="n">
        <f aca="false">E90-I90</f>
        <v>-6354506</v>
      </c>
      <c r="K90" s="46" t="str">
        <f aca="false">IF(H90&gt;0.3,"전체 증가를 주도",IF(H90&gt;0.03,"증가에 뚜렷이 기여",IF(G90&lt;0,"감소 — 부진 부문",IF(H90&gt;0,"소폭 기여","영향 미미"))))</f>
        <v>소폭 기여</v>
      </c>
    </row>
    <row r="91" customFormat="false" ht="15" hidden="false" customHeight="true" outlineLevel="0" collapsed="false">
      <c r="A91" s="33" t="s">
        <v>19800</v>
      </c>
      <c r="B91" s="7" t="s">
        <v>19917</v>
      </c>
      <c r="C91" s="25" t="n">
        <f aca="false">SUMIFS(데이터_품목별!$H$3:$H$2984,데이터_품목별!$E$3:$E$2984,"01",데이터_품목별!$B$3:$B$2984,2024,데이터_품목별!$C$3:$C$2984,"&lt;=7")+SUMIFS(데이터_품목별!$H$3:$H$2984,데이터_품목별!$E$3:$E$2984,"02",데이터_품목별!$B$3:$B$2984,2024,데이터_품목별!$C$3:$C$2984,"&lt;=7")+SUMIFS(데이터_품목별!$H$3:$H$2984,데이터_품목별!$E$3:$E$2984,"03",데이터_품목별!$B$3:$B$2984,2024,데이터_품목별!$C$3:$C$2984,"&lt;=7")+SUMIFS(데이터_품목별!$H$3:$H$2984,데이터_품목별!$E$3:$E$2984,"04",데이터_품목별!$B$3:$B$2984,2024,데이터_품목별!$C$3:$C$2984,"&lt;=7")+SUMIFS(데이터_품목별!$H$3:$H$2984,데이터_품목별!$E$3:$E$2984,"05",데이터_품목별!$B$3:$B$2984,2024,데이터_품목별!$C$3:$C$2984,"&lt;=7")</f>
        <v>1018277</v>
      </c>
      <c r="D91" s="25" t="n">
        <f aca="false">SUMIFS(데이터_품목별!$H$3:$H$2984,데이터_품목별!$E$3:$E$2984,"01",데이터_품목별!$B$3:$B$2984,2025,데이터_품목별!$C$3:$C$2984,"&lt;=7")+SUMIFS(데이터_품목별!$H$3:$H$2984,데이터_품목별!$E$3:$E$2984,"02",데이터_품목별!$B$3:$B$2984,2025,데이터_품목별!$C$3:$C$2984,"&lt;=7")+SUMIFS(데이터_품목별!$H$3:$H$2984,데이터_품목별!$E$3:$E$2984,"03",데이터_품목별!$B$3:$B$2984,2025,데이터_품목별!$C$3:$C$2984,"&lt;=7")+SUMIFS(데이터_품목별!$H$3:$H$2984,데이터_품목별!$E$3:$E$2984,"04",데이터_품목별!$B$3:$B$2984,2025,데이터_품목별!$C$3:$C$2984,"&lt;=7")+SUMIFS(데이터_품목별!$H$3:$H$2984,데이터_품목별!$E$3:$E$2984,"05",데이터_품목별!$B$3:$B$2984,2025,데이터_품목별!$C$3:$C$2984,"&lt;=7")</f>
        <v>1086785</v>
      </c>
      <c r="E91" s="25" t="n">
        <f aca="false">SUMIFS(데이터_품목별!$H$3:$H$2984,데이터_품목별!$E$3:$E$2984,"01",데이터_품목별!$B$3:$B$2984,2026,데이터_품목별!$C$3:$C$2984,"&lt;=7")+SUMIFS(데이터_품목별!$H$3:$H$2984,데이터_품목별!$E$3:$E$2984,"02",데이터_품목별!$B$3:$B$2984,2026,데이터_품목별!$C$3:$C$2984,"&lt;=7")+SUMIFS(데이터_품목별!$H$3:$H$2984,데이터_품목별!$E$3:$E$2984,"03",데이터_품목별!$B$3:$B$2984,2026,데이터_품목별!$C$3:$C$2984,"&lt;=7")+SUMIFS(데이터_품목별!$H$3:$H$2984,데이터_품목별!$E$3:$E$2984,"04",데이터_품목별!$B$3:$B$2984,2026,데이터_품목별!$C$3:$C$2984,"&lt;=7")+SUMIFS(데이터_품목별!$H$3:$H$2984,데이터_품목별!$E$3:$E$2984,"05",데이터_품목별!$B$3:$B$2984,2026,데이터_품목별!$C$3:$C$2984,"&lt;=7")</f>
        <v>1420608</v>
      </c>
      <c r="F91" s="36" t="n">
        <f aca="false">IFERROR(D91/C91-1,"-")</f>
        <v>0.0672783535324868</v>
      </c>
      <c r="G91" s="36" t="n">
        <f aca="false">IFERROR(E91/D91-1,"-")</f>
        <v>0.30716563073653</v>
      </c>
      <c r="H91" s="34" t="n">
        <f aca="false">(E91-D91)/(SUMIFS(데이터_총괄!$H$3:$H$33,데이터_총괄!$B$3:$B$33,2026,데이터_총괄!$C$3:$C$33,"&lt;=7")-SUMIFS(데이터_총괄!$H$3:$H$33,데이터_총괄!$B$3:$B$33,2025,데이터_총괄!$C$3:$C$33,"&lt;=7"))</f>
        <v>0.00167183958024553</v>
      </c>
      <c r="I91" s="25" t="n">
        <f aca="false">SUMIFS(데이터_품목별!$J$3:$J$2984,데이터_품목별!$E$3:$E$2984,"01",데이터_품목별!$B$3:$B$2984,2026,데이터_품목별!$C$3:$C$2984,"&lt;=7")+SUMIFS(데이터_품목별!$J$3:$J$2984,데이터_품목별!$E$3:$E$2984,"02",데이터_품목별!$B$3:$B$2984,2026,데이터_품목별!$C$3:$C$2984,"&lt;=7")+SUMIFS(데이터_품목별!$J$3:$J$2984,데이터_품목별!$E$3:$E$2984,"03",데이터_품목별!$B$3:$B$2984,2026,데이터_품목별!$C$3:$C$2984,"&lt;=7")+SUMIFS(데이터_품목별!$J$3:$J$2984,데이터_품목별!$E$3:$E$2984,"04",데이터_품목별!$B$3:$B$2984,2026,데이터_품목별!$C$3:$C$2984,"&lt;=7")+SUMIFS(데이터_품목별!$J$3:$J$2984,데이터_품목별!$E$3:$E$2984,"05",데이터_품목별!$B$3:$B$2984,2026,데이터_품목별!$C$3:$C$2984,"&lt;=7")</f>
        <v>9214278</v>
      </c>
      <c r="J91" s="25" t="n">
        <f aca="false">E91-I91</f>
        <v>-7793670</v>
      </c>
      <c r="K91" s="46" t="str">
        <f aca="false">IF(H91&gt;0.3,"전체 증가를 주도",IF(H91&gt;0.03,"증가에 뚜렷이 기여",IF(G91&lt;0,"감소 — 부진 부문",IF(H91&gt;0,"소폭 기여","영향 미미"))))</f>
        <v>소폭 기여</v>
      </c>
    </row>
    <row r="92" customFormat="false" ht="15" hidden="false" customHeight="true" outlineLevel="0" collapsed="false">
      <c r="A92" s="33" t="s">
        <v>19806</v>
      </c>
      <c r="B92" s="7" t="s">
        <v>19918</v>
      </c>
      <c r="C92" s="25" t="n">
        <f aca="false">SUMIFS(데이터_품목별!$H$3:$H$2984,데이터_품목별!$E$3:$E$2984,"16",데이터_품목별!$B$3:$B$2984,2024,데이터_품목별!$C$3:$C$2984,"&lt;=7")+SUMIFS(데이터_품목별!$H$3:$H$2984,데이터_품목별!$E$3:$E$2984,"17",데이터_품목별!$B$3:$B$2984,2024,데이터_품목별!$C$3:$C$2984,"&lt;=7")+SUMIFS(데이터_품목별!$H$3:$H$2984,데이터_품목별!$E$3:$E$2984,"18",데이터_품목별!$B$3:$B$2984,2024,데이터_품목별!$C$3:$C$2984,"&lt;=7")+SUMIFS(데이터_품목별!$H$3:$H$2984,데이터_품목별!$E$3:$E$2984,"19",데이터_품목별!$B$3:$B$2984,2024,데이터_품목별!$C$3:$C$2984,"&lt;=7")+SUMIFS(데이터_품목별!$H$3:$H$2984,데이터_품목별!$E$3:$E$2984,"20",데이터_품목별!$B$3:$B$2984,2024,데이터_품목별!$C$3:$C$2984,"&lt;=7")+SUMIFS(데이터_품목별!$H$3:$H$2984,데이터_품목별!$E$3:$E$2984,"21",데이터_품목별!$B$3:$B$2984,2024,데이터_품목별!$C$3:$C$2984,"&lt;=7")+SUMIFS(데이터_품목별!$H$3:$H$2984,데이터_품목별!$E$3:$E$2984,"22",데이터_품목별!$B$3:$B$2984,2024,데이터_품목별!$C$3:$C$2984,"&lt;=7")+SUMIFS(데이터_품목별!$H$3:$H$2984,데이터_품목별!$E$3:$E$2984,"23",데이터_품목별!$B$3:$B$2984,2024,데이터_품목별!$C$3:$C$2984,"&lt;=7")+SUMIFS(데이터_품목별!$H$3:$H$2984,데이터_품목별!$E$3:$E$2984,"24",데이터_품목별!$B$3:$B$2984,2024,데이터_품목별!$C$3:$C$2984,"&lt;=7")</f>
        <v>4920747</v>
      </c>
      <c r="D92" s="25" t="n">
        <f aca="false">SUMIFS(데이터_품목별!$H$3:$H$2984,데이터_품목별!$E$3:$E$2984,"16",데이터_품목별!$B$3:$B$2984,2025,데이터_품목별!$C$3:$C$2984,"&lt;=7")+SUMIFS(데이터_품목별!$H$3:$H$2984,데이터_품목별!$E$3:$E$2984,"17",데이터_품목별!$B$3:$B$2984,2025,데이터_품목별!$C$3:$C$2984,"&lt;=7")+SUMIFS(데이터_품목별!$H$3:$H$2984,데이터_품목별!$E$3:$E$2984,"18",데이터_품목별!$B$3:$B$2984,2025,데이터_품목별!$C$3:$C$2984,"&lt;=7")+SUMIFS(데이터_품목별!$H$3:$H$2984,데이터_품목별!$E$3:$E$2984,"19",데이터_품목별!$B$3:$B$2984,2025,데이터_품목별!$C$3:$C$2984,"&lt;=7")+SUMIFS(데이터_품목별!$H$3:$H$2984,데이터_품목별!$E$3:$E$2984,"20",데이터_품목별!$B$3:$B$2984,2025,데이터_품목별!$C$3:$C$2984,"&lt;=7")+SUMIFS(데이터_품목별!$H$3:$H$2984,데이터_품목별!$E$3:$E$2984,"21",데이터_품목별!$B$3:$B$2984,2025,데이터_품목별!$C$3:$C$2984,"&lt;=7")+SUMIFS(데이터_품목별!$H$3:$H$2984,데이터_품목별!$E$3:$E$2984,"22",데이터_품목별!$B$3:$B$2984,2025,데이터_품목별!$C$3:$C$2984,"&lt;=7")+SUMIFS(데이터_품목별!$H$3:$H$2984,데이터_품목별!$E$3:$E$2984,"23",데이터_품목별!$B$3:$B$2984,2025,데이터_품목별!$C$3:$C$2984,"&lt;=7")+SUMIFS(데이터_품목별!$H$3:$H$2984,데이터_품목별!$E$3:$E$2984,"24",데이터_품목별!$B$3:$B$2984,2025,데이터_품목별!$C$3:$C$2984,"&lt;=7")</f>
        <v>5112919</v>
      </c>
      <c r="E92" s="25" t="n">
        <f aca="false">SUMIFS(데이터_품목별!$H$3:$H$2984,데이터_품목별!$E$3:$E$2984,"16",데이터_품목별!$B$3:$B$2984,2026,데이터_품목별!$C$3:$C$2984,"&lt;=7")+SUMIFS(데이터_품목별!$H$3:$H$2984,데이터_품목별!$E$3:$E$2984,"17",데이터_품목별!$B$3:$B$2984,2026,데이터_품목별!$C$3:$C$2984,"&lt;=7")+SUMIFS(데이터_품목별!$H$3:$H$2984,데이터_품목별!$E$3:$E$2984,"18",데이터_품목별!$B$3:$B$2984,2026,데이터_품목별!$C$3:$C$2984,"&lt;=7")+SUMIFS(데이터_품목별!$H$3:$H$2984,데이터_품목별!$E$3:$E$2984,"19",데이터_품목별!$B$3:$B$2984,2026,데이터_품목별!$C$3:$C$2984,"&lt;=7")+SUMIFS(데이터_품목별!$H$3:$H$2984,데이터_품목별!$E$3:$E$2984,"20",데이터_품목별!$B$3:$B$2984,2026,데이터_품목별!$C$3:$C$2984,"&lt;=7")+SUMIFS(데이터_품목별!$H$3:$H$2984,데이터_품목별!$E$3:$E$2984,"21",데이터_품목별!$B$3:$B$2984,2026,데이터_품목별!$C$3:$C$2984,"&lt;=7")+SUMIFS(데이터_품목별!$H$3:$H$2984,데이터_품목별!$E$3:$E$2984,"22",데이터_품목별!$B$3:$B$2984,2026,데이터_품목별!$C$3:$C$2984,"&lt;=7")+SUMIFS(데이터_품목별!$H$3:$H$2984,데이터_품목별!$E$3:$E$2984,"23",데이터_품목별!$B$3:$B$2984,2026,데이터_품목별!$C$3:$C$2984,"&lt;=7")+SUMIFS(데이터_품목별!$H$3:$H$2984,데이터_품목별!$E$3:$E$2984,"24",데이터_품목별!$B$3:$B$2984,2026,데이터_품목별!$C$3:$C$2984,"&lt;=7")</f>
        <v>5416854</v>
      </c>
      <c r="F92" s="36" t="n">
        <f aca="false">IFERROR(D92/C92-1,"-")</f>
        <v>0.0390534201412915</v>
      </c>
      <c r="G92" s="36" t="n">
        <f aca="false">IFERROR(E92/D92-1,"-")</f>
        <v>0.0594445169188089</v>
      </c>
      <c r="H92" s="34" t="n">
        <f aca="false">(E92-D92)/(SUMIFS(데이터_총괄!$H$3:$H$33,데이터_총괄!$B$3:$B$33,2026,데이터_총괄!$C$3:$C$33,"&lt;=7")-SUMIFS(데이터_총괄!$H$3:$H$33,데이터_총괄!$B$3:$B$33,2025,데이터_총괄!$C$3:$C$33,"&lt;=7"))</f>
        <v>0.00152215564182793</v>
      </c>
      <c r="I92" s="25" t="n">
        <f aca="false">SUMIFS(데이터_품목별!$J$3:$J$2984,데이터_품목별!$E$3:$E$2984,"16",데이터_품목별!$B$3:$B$2984,2026,데이터_품목별!$C$3:$C$2984,"&lt;=7")+SUMIFS(데이터_품목별!$J$3:$J$2984,데이터_품목별!$E$3:$E$2984,"17",데이터_품목별!$B$3:$B$2984,2026,데이터_품목별!$C$3:$C$2984,"&lt;=7")+SUMIFS(데이터_품목별!$J$3:$J$2984,데이터_품목별!$E$3:$E$2984,"18",데이터_품목별!$B$3:$B$2984,2026,데이터_품목별!$C$3:$C$2984,"&lt;=7")+SUMIFS(데이터_품목별!$J$3:$J$2984,데이터_품목별!$E$3:$E$2984,"19",데이터_품목별!$B$3:$B$2984,2026,데이터_품목별!$C$3:$C$2984,"&lt;=7")+SUMIFS(데이터_품목별!$J$3:$J$2984,데이터_품목별!$E$3:$E$2984,"20",데이터_품목별!$B$3:$B$2984,2026,데이터_품목별!$C$3:$C$2984,"&lt;=7")+SUMIFS(데이터_품목별!$J$3:$J$2984,데이터_품목별!$E$3:$E$2984,"21",데이터_품목별!$B$3:$B$2984,2026,데이터_품목별!$C$3:$C$2984,"&lt;=7")+SUMIFS(데이터_품목별!$J$3:$J$2984,데이터_품목별!$E$3:$E$2984,"22",데이터_품목별!$B$3:$B$2984,2026,데이터_품목별!$C$3:$C$2984,"&lt;=7")+SUMIFS(데이터_품목별!$J$3:$J$2984,데이터_품목별!$E$3:$E$2984,"23",데이터_품목별!$B$3:$B$2984,2026,데이터_품목별!$C$3:$C$2984,"&lt;=7")+SUMIFS(데이터_품목별!$J$3:$J$2984,데이터_품목별!$E$3:$E$2984,"24",데이터_품목별!$B$3:$B$2984,2026,데이터_품목별!$C$3:$C$2984,"&lt;=7")</f>
        <v>7588064</v>
      </c>
      <c r="J92" s="25" t="n">
        <f aca="false">E92-I92</f>
        <v>-2171210</v>
      </c>
      <c r="K92" s="46" t="str">
        <f aca="false">IF(H92&gt;0.3,"전체 증가를 주도",IF(H92&gt;0.03,"증가에 뚜렷이 기여",IF(G92&lt;0,"감소 — 부진 부문",IF(H92&gt;0,"소폭 기여","영향 미미"))))</f>
        <v>소폭 기여</v>
      </c>
    </row>
    <row r="93" customFormat="false" ht="15" hidden="false" customHeight="true" outlineLevel="0" collapsed="false">
      <c r="A93" s="33" t="s">
        <v>19814</v>
      </c>
      <c r="B93" s="7" t="s">
        <v>19919</v>
      </c>
      <c r="C93" s="25" t="n">
        <f aca="false">SUMIFS(데이터_품목별!$H$3:$H$2984,데이터_품목별!$E$3:$E$2984,"41",데이터_품목별!$B$3:$B$2984,2024,데이터_품목별!$C$3:$C$2984,"&lt;=7")+SUMIFS(데이터_품목별!$H$3:$H$2984,데이터_품목별!$E$3:$E$2984,"42",데이터_품목별!$B$3:$B$2984,2024,데이터_품목별!$C$3:$C$2984,"&lt;=7")+SUMIFS(데이터_품목별!$H$3:$H$2984,데이터_품목별!$E$3:$E$2984,"43",데이터_품목별!$B$3:$B$2984,2024,데이터_품목별!$C$3:$C$2984,"&lt;=7")</f>
        <v>408358</v>
      </c>
      <c r="D93" s="25" t="n">
        <f aca="false">SUMIFS(데이터_품목별!$H$3:$H$2984,데이터_품목별!$E$3:$E$2984,"41",데이터_품목별!$B$3:$B$2984,2025,데이터_품목별!$C$3:$C$2984,"&lt;=7")+SUMIFS(데이터_품목별!$H$3:$H$2984,데이터_품목별!$E$3:$E$2984,"42",데이터_품목별!$B$3:$B$2984,2025,데이터_품목별!$C$3:$C$2984,"&lt;=7")+SUMIFS(데이터_품목별!$H$3:$H$2984,데이터_품목별!$E$3:$E$2984,"43",데이터_품목별!$B$3:$B$2984,2025,데이터_품목별!$C$3:$C$2984,"&lt;=7")</f>
        <v>449927</v>
      </c>
      <c r="E93" s="25" t="n">
        <f aca="false">SUMIFS(데이터_품목별!$H$3:$H$2984,데이터_품목별!$E$3:$E$2984,"41",데이터_품목별!$B$3:$B$2984,2026,데이터_품목별!$C$3:$C$2984,"&lt;=7")+SUMIFS(데이터_품목별!$H$3:$H$2984,데이터_품목별!$E$3:$E$2984,"42",데이터_품목별!$B$3:$B$2984,2026,데이터_품목별!$C$3:$C$2984,"&lt;=7")+SUMIFS(데이터_품목별!$H$3:$H$2984,데이터_품목별!$E$3:$E$2984,"43",데이터_품목별!$B$3:$B$2984,2026,데이터_품목별!$C$3:$C$2984,"&lt;=7")</f>
        <v>560685</v>
      </c>
      <c r="F93" s="36" t="n">
        <f aca="false">IFERROR(D93/C93-1,"-")</f>
        <v>0.101795483374882</v>
      </c>
      <c r="G93" s="36" t="n">
        <f aca="false">IFERROR(E93/D93-1,"-")</f>
        <v>0.246168822942388</v>
      </c>
      <c r="H93" s="34" t="n">
        <f aca="false">(E93-D93)/(SUMIFS(데이터_총괄!$H$3:$H$33,데이터_총괄!$B$3:$B$33,2026,데이터_총괄!$C$3:$C$33,"&lt;=7")-SUMIFS(데이터_총괄!$H$3:$H$33,데이터_총괄!$B$3:$B$33,2025,데이터_총괄!$C$3:$C$33,"&lt;=7"))</f>
        <v>0.000554693979231013</v>
      </c>
      <c r="I93" s="25" t="n">
        <f aca="false">SUMIFS(데이터_품목별!$J$3:$J$2984,데이터_품목별!$E$3:$E$2984,"41",데이터_품목별!$B$3:$B$2984,2026,데이터_품목별!$C$3:$C$2984,"&lt;=7")+SUMIFS(데이터_품목별!$J$3:$J$2984,데이터_품목별!$E$3:$E$2984,"42",데이터_품목별!$B$3:$B$2984,2026,데이터_품목별!$C$3:$C$2984,"&lt;=7")+SUMIFS(데이터_품목별!$J$3:$J$2984,데이터_품목별!$E$3:$E$2984,"43",데이터_품목별!$B$3:$B$2984,2026,데이터_품목별!$C$3:$C$2984,"&lt;=7")</f>
        <v>2484734</v>
      </c>
      <c r="J93" s="25" t="n">
        <f aca="false">E93-I93</f>
        <v>-1924049</v>
      </c>
      <c r="K93" s="46" t="str">
        <f aca="false">IF(H93&gt;0.3,"전체 증가를 주도",IF(H93&gt;0.03,"증가에 뚜렷이 기여",IF(G93&lt;0,"감소 — 부진 부문",IF(H93&gt;0,"소폭 기여","영향 미미"))))</f>
        <v>소폭 기여</v>
      </c>
    </row>
    <row r="94" customFormat="false" ht="15" hidden="false" customHeight="true" outlineLevel="0" collapsed="false">
      <c r="A94" s="33" t="s">
        <v>19836</v>
      </c>
      <c r="B94" s="7" t="s">
        <v>19920</v>
      </c>
      <c r="C94" s="25" t="n">
        <f aca="false">SUMIFS(데이터_품목별!$H$3:$H$2984,데이터_품목별!$E$3:$E$2984,"93",데이터_품목별!$B$3:$B$2984,2024,데이터_품목별!$C$3:$C$2984,"&lt;=7")</f>
        <v>1220112</v>
      </c>
      <c r="D94" s="25" t="n">
        <f aca="false">SUMIFS(데이터_품목별!$H$3:$H$2984,데이터_품목별!$E$3:$E$2984,"93",데이터_품목별!$B$3:$B$2984,2025,데이터_품목별!$C$3:$C$2984,"&lt;=7")</f>
        <v>1791410</v>
      </c>
      <c r="E94" s="25" t="n">
        <f aca="false">SUMIFS(데이터_품목별!$H$3:$H$2984,데이터_품목별!$E$3:$E$2984,"93",데이터_품목별!$B$3:$B$2984,2026,데이터_품목별!$C$3:$C$2984,"&lt;=7")</f>
        <v>1857628</v>
      </c>
      <c r="F94" s="36" t="n">
        <f aca="false">IFERROR(D94/C94-1,"-")</f>
        <v>0.468234063758081</v>
      </c>
      <c r="G94" s="36" t="n">
        <f aca="false">IFERROR(E94/D94-1,"-")</f>
        <v>0.0369641790544879</v>
      </c>
      <c r="H94" s="34" t="n">
        <f aca="false">(E94-D94)/(SUMIFS(데이터_총괄!$H$3:$H$33,데이터_총괄!$B$3:$B$33,2026,데이터_총괄!$C$3:$C$33,"&lt;=7")-SUMIFS(데이터_총괄!$H$3:$H$33,데이터_총괄!$B$3:$B$33,2025,데이터_총괄!$C$3:$C$33,"&lt;=7"))</f>
        <v>0.000331630454835942</v>
      </c>
      <c r="I94" s="25" t="n">
        <f aca="false">SUMIFS(데이터_품목별!$J$3:$J$2984,데이터_품목별!$E$3:$E$2984,"93",데이터_품목별!$B$3:$B$2984,2026,데이터_품목별!$C$3:$C$2984,"&lt;=7")</f>
        <v>216411</v>
      </c>
      <c r="J94" s="25" t="n">
        <f aca="false">E94-I94</f>
        <v>1641217</v>
      </c>
      <c r="K94" s="46" t="str">
        <f aca="false">IF(H94&gt;0.3,"전체 증가를 주도",IF(H94&gt;0.03,"증가에 뚜렷이 기여",IF(G94&lt;0,"감소 — 부진 부문",IF(H94&gt;0,"소폭 기여","영향 미미"))))</f>
        <v>소폭 기여</v>
      </c>
    </row>
    <row r="95" customFormat="false" ht="15" hidden="false" customHeight="true" outlineLevel="0" collapsed="false">
      <c r="A95" s="33" t="s">
        <v>19838</v>
      </c>
      <c r="B95" s="7" t="s">
        <v>19921</v>
      </c>
      <c r="C95" s="25" t="n">
        <f aca="false">SUMIFS(데이터_품목별!$H$3:$H$2984,데이터_품목별!$E$3:$E$2984,"94",데이터_품목별!$B$3:$B$2984,2024,데이터_품목별!$C$3:$C$2984,"&lt;=7")+SUMIFS(데이터_품목별!$H$3:$H$2984,데이터_품목별!$E$3:$E$2984,"95",데이터_품목별!$B$3:$B$2984,2024,데이터_품목별!$C$3:$C$2984,"&lt;=7")+SUMIFS(데이터_품목별!$H$3:$H$2984,데이터_품목별!$E$3:$E$2984,"96",데이터_품목별!$B$3:$B$2984,2024,데이터_품목별!$C$3:$C$2984,"&lt;=7")</f>
        <v>1376325</v>
      </c>
      <c r="D95" s="25" t="n">
        <f aca="false">SUMIFS(데이터_품목별!$H$3:$H$2984,데이터_품목별!$E$3:$E$2984,"94",데이터_품목별!$B$3:$B$2984,2025,데이터_품목별!$C$3:$C$2984,"&lt;=7")+SUMIFS(데이터_품목별!$H$3:$H$2984,데이터_품목별!$E$3:$E$2984,"95",데이터_품목별!$B$3:$B$2984,2025,데이터_품목별!$C$3:$C$2984,"&lt;=7")+SUMIFS(데이터_품목별!$H$3:$H$2984,데이터_품목별!$E$3:$E$2984,"96",데이터_품목별!$B$3:$B$2984,2025,데이터_품목별!$C$3:$C$2984,"&lt;=7")</f>
        <v>1404918</v>
      </c>
      <c r="E95" s="25" t="n">
        <f aca="false">SUMIFS(데이터_품목별!$H$3:$H$2984,데이터_품목별!$E$3:$E$2984,"94",데이터_품목별!$B$3:$B$2984,2026,데이터_품목별!$C$3:$C$2984,"&lt;=7")+SUMIFS(데이터_품목별!$H$3:$H$2984,데이터_품목별!$E$3:$E$2984,"95",데이터_품목별!$B$3:$B$2984,2026,데이터_품목별!$C$3:$C$2984,"&lt;=7")+SUMIFS(데이터_품목별!$H$3:$H$2984,데이터_품목별!$E$3:$E$2984,"96",데이터_품목별!$B$3:$B$2984,2026,데이터_품목별!$C$3:$C$2984,"&lt;=7")</f>
        <v>1466885</v>
      </c>
      <c r="F95" s="36" t="n">
        <f aca="false">IFERROR(D95/C95-1,"-")</f>
        <v>0.0207748896517901</v>
      </c>
      <c r="G95" s="36" t="n">
        <f aca="false">IFERROR(E95/D95-1,"-")</f>
        <v>0.0441072005625951</v>
      </c>
      <c r="H95" s="34" t="n">
        <f aca="false">(E95-D95)/(SUMIFS(데이터_총괄!$H$3:$H$33,데이터_총괄!$B$3:$B$33,2026,데이터_총괄!$C$3:$C$33,"&lt;=7")-SUMIFS(데이터_총괄!$H$3:$H$33,데이터_총괄!$B$3:$B$33,2025,데이터_총괄!$C$3:$C$33,"&lt;=7"))</f>
        <v>0.000310340759231913</v>
      </c>
      <c r="I95" s="25" t="n">
        <f aca="false">SUMIFS(데이터_품목별!$J$3:$J$2984,데이터_품목별!$E$3:$E$2984,"94",데이터_품목별!$B$3:$B$2984,2026,데이터_품목별!$C$3:$C$2984,"&lt;=7")+SUMIFS(데이터_품목별!$J$3:$J$2984,데이터_품목별!$E$3:$E$2984,"95",데이터_품목별!$B$3:$B$2984,2026,데이터_품목별!$C$3:$C$2984,"&lt;=7")+SUMIFS(데이터_품목별!$J$3:$J$2984,데이터_품목별!$E$3:$E$2984,"96",데이터_품목별!$B$3:$B$2984,2026,데이터_품목별!$C$3:$C$2984,"&lt;=7")</f>
        <v>4567956</v>
      </c>
      <c r="J95" s="25" t="n">
        <f aca="false">E95-I95</f>
        <v>-3101071</v>
      </c>
      <c r="K95" s="46" t="str">
        <f aca="false">IF(H95&gt;0.3,"전체 증가를 주도",IF(H95&gt;0.03,"증가에 뚜렷이 기여",IF(G95&lt;0,"감소 — 부진 부문",IF(H95&gt;0,"소폭 기여","영향 미미"))))</f>
        <v>소폭 기여</v>
      </c>
    </row>
    <row r="96" customFormat="false" ht="15" hidden="false" customHeight="true" outlineLevel="0" collapsed="false">
      <c r="A96" s="33" t="s">
        <v>19822</v>
      </c>
      <c r="B96" s="7" t="s">
        <v>19922</v>
      </c>
      <c r="C96" s="25" t="n">
        <f aca="false">SUMIFS(데이터_품목별!$H$3:$H$2984,데이터_품목별!$E$3:$E$2984,"64",데이터_품목별!$B$3:$B$2984,2024,데이터_품목별!$C$3:$C$2984,"&lt;=7")+SUMIFS(데이터_품목별!$H$3:$H$2984,데이터_품목별!$E$3:$E$2984,"65",데이터_품목별!$B$3:$B$2984,2024,데이터_품목별!$C$3:$C$2984,"&lt;=7")+SUMIFS(데이터_품목별!$H$3:$H$2984,데이터_품목별!$E$3:$E$2984,"66",데이터_품목별!$B$3:$B$2984,2024,데이터_품목별!$C$3:$C$2984,"&lt;=7")+SUMIFS(데이터_품목별!$H$3:$H$2984,데이터_품목별!$E$3:$E$2984,"67",데이터_품목별!$B$3:$B$2984,2024,데이터_품목별!$C$3:$C$2984,"&lt;=7")</f>
        <v>291854</v>
      </c>
      <c r="D96" s="25" t="n">
        <f aca="false">SUMIFS(데이터_품목별!$H$3:$H$2984,데이터_품목별!$E$3:$E$2984,"64",데이터_품목별!$B$3:$B$2984,2025,데이터_품목별!$C$3:$C$2984,"&lt;=7")+SUMIFS(데이터_품목별!$H$3:$H$2984,데이터_품목별!$E$3:$E$2984,"65",데이터_품목별!$B$3:$B$2984,2025,데이터_품목별!$C$3:$C$2984,"&lt;=7")+SUMIFS(데이터_품목별!$H$3:$H$2984,데이터_품목별!$E$3:$E$2984,"66",데이터_품목별!$B$3:$B$2984,2025,데이터_품목별!$C$3:$C$2984,"&lt;=7")+SUMIFS(데이터_품목별!$H$3:$H$2984,데이터_품목별!$E$3:$E$2984,"67",데이터_품목별!$B$3:$B$2984,2025,데이터_품목별!$C$3:$C$2984,"&lt;=7")</f>
        <v>295022</v>
      </c>
      <c r="E96" s="25" t="n">
        <f aca="false">SUMIFS(데이터_품목별!$H$3:$H$2984,데이터_품목별!$E$3:$E$2984,"64",데이터_품목별!$B$3:$B$2984,2026,데이터_품목별!$C$3:$C$2984,"&lt;=7")+SUMIFS(데이터_품목별!$H$3:$H$2984,데이터_품목별!$E$3:$E$2984,"65",데이터_품목별!$B$3:$B$2984,2026,데이터_품목별!$C$3:$C$2984,"&lt;=7")+SUMIFS(데이터_품목별!$H$3:$H$2984,데이터_품목별!$E$3:$E$2984,"66",데이터_품목별!$B$3:$B$2984,2026,데이터_품목별!$C$3:$C$2984,"&lt;=7")+SUMIFS(데이터_품목별!$H$3:$H$2984,데이터_품목별!$E$3:$E$2984,"67",데이터_품목별!$B$3:$B$2984,2026,데이터_품목별!$C$3:$C$2984,"&lt;=7")</f>
        <v>342165</v>
      </c>
      <c r="F96" s="36" t="n">
        <f aca="false">IFERROR(D96/C96-1,"-")</f>
        <v>0.010854742439713</v>
      </c>
      <c r="G96" s="36" t="n">
        <f aca="false">IFERROR(E96/D96-1,"-")</f>
        <v>0.159794862755998</v>
      </c>
      <c r="H96" s="34" t="n">
        <f aca="false">(E96-D96)/(SUMIFS(데이터_총괄!$H$3:$H$33,데이터_총괄!$B$3:$B$33,2026,데이터_총괄!$C$3:$C$33,"&lt;=7")-SUMIFS(데이터_총괄!$H$3:$H$33,데이터_총괄!$B$3:$B$33,2025,데이터_총괄!$C$3:$C$33,"&lt;=7"))</f>
        <v>0.000236099769433248</v>
      </c>
      <c r="I96" s="25" t="n">
        <f aca="false">SUMIFS(데이터_품목별!$J$3:$J$2984,데이터_품목별!$E$3:$E$2984,"64",데이터_품목별!$B$3:$B$2984,2026,데이터_품목별!$C$3:$C$2984,"&lt;=7")+SUMIFS(데이터_품목별!$J$3:$J$2984,데이터_품목별!$E$3:$E$2984,"65",데이터_품목별!$B$3:$B$2984,2026,데이터_품목별!$C$3:$C$2984,"&lt;=7")+SUMIFS(데이터_품목별!$J$3:$J$2984,데이터_품목별!$E$3:$E$2984,"66",데이터_품목별!$B$3:$B$2984,2026,데이터_품목별!$C$3:$C$2984,"&lt;=7")+SUMIFS(데이터_품목별!$J$3:$J$2984,데이터_품목별!$E$3:$E$2984,"67",데이터_품목별!$B$3:$B$2984,2026,데이터_품목별!$C$3:$C$2984,"&lt;=7")</f>
        <v>2405934</v>
      </c>
      <c r="J96" s="25" t="n">
        <f aca="false">E96-I96</f>
        <v>-2063769</v>
      </c>
      <c r="K96" s="46" t="str">
        <f aca="false">IF(H96&gt;0.3,"전체 증가를 주도",IF(H96&gt;0.03,"증가에 뚜렷이 기여",IF(G96&lt;0,"감소 — 부진 부문",IF(H96&gt;0,"소폭 기여","영향 미미"))))</f>
        <v>소폭 기여</v>
      </c>
    </row>
    <row r="97" customFormat="false" ht="15" hidden="false" customHeight="true" outlineLevel="0" collapsed="false">
      <c r="A97" s="33" t="s">
        <v>19818</v>
      </c>
      <c r="B97" s="7" t="s">
        <v>19923</v>
      </c>
      <c r="C97" s="25" t="n">
        <f aca="false">SUMIFS(데이터_품목별!$H$3:$H$2984,데이터_품목별!$E$3:$E$2984,"47",데이터_품목별!$B$3:$B$2984,2024,데이터_품목별!$C$3:$C$2984,"&lt;=7")+SUMIFS(데이터_품목별!$H$3:$H$2984,데이터_품목별!$E$3:$E$2984,"48",데이터_품목별!$B$3:$B$2984,2024,데이터_품목별!$C$3:$C$2984,"&lt;=7")+SUMIFS(데이터_품목별!$H$3:$H$2984,데이터_품목별!$E$3:$E$2984,"49",데이터_품목별!$B$3:$B$2984,2024,데이터_품목별!$C$3:$C$2984,"&lt;=7")</f>
        <v>1968821</v>
      </c>
      <c r="D97" s="25" t="n">
        <f aca="false">SUMIFS(데이터_품목별!$H$3:$H$2984,데이터_품목별!$E$3:$E$2984,"47",데이터_품목별!$B$3:$B$2984,2025,데이터_품목별!$C$3:$C$2984,"&lt;=7")+SUMIFS(데이터_품목별!$H$3:$H$2984,데이터_품목별!$E$3:$E$2984,"48",데이터_품목별!$B$3:$B$2984,2025,데이터_품목별!$C$3:$C$2984,"&lt;=7")+SUMIFS(데이터_품목별!$H$3:$H$2984,데이터_품목별!$E$3:$E$2984,"49",데이터_품목별!$B$3:$B$2984,2025,데이터_품목별!$C$3:$C$2984,"&lt;=7")</f>
        <v>1851193</v>
      </c>
      <c r="E97" s="25" t="n">
        <f aca="false">SUMIFS(데이터_품목별!$H$3:$H$2984,데이터_품목별!$E$3:$E$2984,"47",데이터_품목별!$B$3:$B$2984,2026,데이터_품목별!$C$3:$C$2984,"&lt;=7")+SUMIFS(데이터_품목별!$H$3:$H$2984,데이터_품목별!$E$3:$E$2984,"48",데이터_품목별!$B$3:$B$2984,2026,데이터_품목별!$C$3:$C$2984,"&lt;=7")+SUMIFS(데이터_품목별!$H$3:$H$2984,데이터_품목별!$E$3:$E$2984,"49",데이터_품목별!$B$3:$B$2984,2026,데이터_품목별!$C$3:$C$2984,"&lt;=7")</f>
        <v>1894670</v>
      </c>
      <c r="F97" s="36" t="n">
        <f aca="false">IFERROR(D97/C97-1,"-")</f>
        <v>-0.0597454009277634</v>
      </c>
      <c r="G97" s="36" t="n">
        <f aca="false">IFERROR(E97/D97-1,"-")</f>
        <v>0.0234859358262483</v>
      </c>
      <c r="H97" s="34" t="n">
        <f aca="false">(E97-D97)/(SUMIFS(데이터_총괄!$H$3:$H$33,데이터_총괄!$B$3:$B$33,2026,데이터_총괄!$C$3:$C$33,"&lt;=7")-SUMIFS(데이터_총괄!$H$3:$H$33,데이터_총괄!$B$3:$B$33,2025,데이터_총괄!$C$3:$C$33,"&lt;=7"))</f>
        <v>0.000217739848453626</v>
      </c>
      <c r="I97" s="25" t="n">
        <f aca="false">SUMIFS(데이터_품목별!$J$3:$J$2984,데이터_품목별!$E$3:$E$2984,"47",데이터_품목별!$B$3:$B$2984,2026,데이터_품목별!$C$3:$C$2984,"&lt;=7")+SUMIFS(데이터_품목별!$J$3:$J$2984,데이터_품목별!$E$3:$E$2984,"48",데이터_품목별!$B$3:$B$2984,2026,데이터_품목별!$C$3:$C$2984,"&lt;=7")+SUMIFS(데이터_품목별!$J$3:$J$2984,데이터_품목별!$E$3:$E$2984,"49",데이터_품목별!$B$3:$B$2984,2026,데이터_품목별!$C$3:$C$2984,"&lt;=7")</f>
        <v>2340516</v>
      </c>
      <c r="J97" s="25" t="n">
        <f aca="false">E97-I97</f>
        <v>-445846</v>
      </c>
      <c r="K97" s="46" t="str">
        <f aca="false">IF(H97&gt;0.3,"전체 증가를 주도",IF(H97&gt;0.03,"증가에 뚜렷이 기여",IF(G97&lt;0,"감소 — 부진 부문",IF(H97&gt;0,"소폭 기여","영향 미미"))))</f>
        <v>소폭 기여</v>
      </c>
    </row>
    <row r="98" customFormat="false" ht="15" hidden="false" customHeight="true" outlineLevel="0" collapsed="false">
      <c r="A98" s="33" t="s">
        <v>19816</v>
      </c>
      <c r="B98" s="7" t="s">
        <v>19924</v>
      </c>
      <c r="C98" s="25" t="n">
        <f aca="false">SUMIFS(데이터_품목별!$H$3:$H$2984,데이터_품목별!$E$3:$E$2984,"44",데이터_품목별!$B$3:$B$2984,2024,데이터_품목별!$C$3:$C$2984,"&lt;=7")+SUMIFS(데이터_품목별!$H$3:$H$2984,데이터_품목별!$E$3:$E$2984,"45",데이터_품목별!$B$3:$B$2984,2024,데이터_품목별!$C$3:$C$2984,"&lt;=7")+SUMIFS(데이터_품목별!$H$3:$H$2984,데이터_품목별!$E$3:$E$2984,"46",데이터_품목별!$B$3:$B$2984,2024,데이터_품목별!$C$3:$C$2984,"&lt;=7")</f>
        <v>41941</v>
      </c>
      <c r="D98" s="25" t="n">
        <f aca="false">SUMIFS(데이터_품목별!$H$3:$H$2984,데이터_품목별!$E$3:$E$2984,"44",데이터_품목별!$B$3:$B$2984,2025,데이터_품목별!$C$3:$C$2984,"&lt;=7")+SUMIFS(데이터_품목별!$H$3:$H$2984,데이터_품목별!$E$3:$E$2984,"45",데이터_품목별!$B$3:$B$2984,2025,데이터_품목별!$C$3:$C$2984,"&lt;=7")+SUMIFS(데이터_품목별!$H$3:$H$2984,데이터_품목별!$E$3:$E$2984,"46",데이터_품목별!$B$3:$B$2984,2025,데이터_품목별!$C$3:$C$2984,"&lt;=7")</f>
        <v>43030</v>
      </c>
      <c r="E98" s="25" t="n">
        <f aca="false">SUMIFS(데이터_품목별!$H$3:$H$2984,데이터_품목별!$E$3:$E$2984,"44",데이터_품목별!$B$3:$B$2984,2026,데이터_품목별!$C$3:$C$2984,"&lt;=7")+SUMIFS(데이터_품목별!$H$3:$H$2984,데이터_품목별!$E$3:$E$2984,"45",데이터_품목별!$B$3:$B$2984,2026,데이터_품목별!$C$3:$C$2984,"&lt;=7")+SUMIFS(데이터_품목별!$H$3:$H$2984,데이터_품목별!$E$3:$E$2984,"46",데이터_품목별!$B$3:$B$2984,2026,데이터_품목별!$C$3:$C$2984,"&lt;=7")</f>
        <v>51275</v>
      </c>
      <c r="F98" s="36" t="n">
        <f aca="false">IFERROR(D98/C98-1,"-")</f>
        <v>0.0259650461362391</v>
      </c>
      <c r="G98" s="36" t="n">
        <f aca="false">IFERROR(E98/D98-1,"-")</f>
        <v>0.191610504299326</v>
      </c>
      <c r="H98" s="34" t="n">
        <f aca="false">(E98-D98)/(SUMIFS(데이터_총괄!$H$3:$H$33,데이터_총괄!$B$3:$B$33,2026,데이터_총괄!$C$3:$C$33,"&lt;=7")-SUMIFS(데이터_총괄!$H$3:$H$33,데이터_총괄!$B$3:$B$33,2025,데이터_총괄!$C$3:$C$33,"&lt;=7"))</f>
        <v>4.12922936380189E-005</v>
      </c>
      <c r="I98" s="25" t="n">
        <f aca="false">SUMIFS(데이터_품목별!$J$3:$J$2984,데이터_품목별!$E$3:$E$2984,"44",데이터_품목별!$B$3:$B$2984,2026,데이터_품목별!$C$3:$C$2984,"&lt;=7")+SUMIFS(데이터_품목별!$J$3:$J$2984,데이터_품목별!$E$3:$E$2984,"45",데이터_품목별!$B$3:$B$2984,2026,데이터_품목별!$C$3:$C$2984,"&lt;=7")+SUMIFS(데이터_품목별!$J$3:$J$2984,데이터_품목별!$E$3:$E$2984,"46",데이터_품목별!$B$3:$B$2984,2026,데이터_품목별!$C$3:$C$2984,"&lt;=7")</f>
        <v>1523634</v>
      </c>
      <c r="J98" s="25" t="n">
        <f aca="false">E98-I98</f>
        <v>-1472359</v>
      </c>
      <c r="K98" s="46" t="str">
        <f aca="false">IF(H98&gt;0.3,"전체 증가를 주도",IF(H98&gt;0.03,"증가에 뚜렷이 기여",IF(G98&lt;0,"감소 — 부진 부문",IF(H98&gt;0,"소폭 기여","영향 미미"))))</f>
        <v>소폭 기여</v>
      </c>
    </row>
    <row r="99" customFormat="false" ht="15" hidden="false" customHeight="true" outlineLevel="0" collapsed="false">
      <c r="A99" s="66" t="s">
        <v>19842</v>
      </c>
      <c r="B99" s="7" t="s">
        <v>19925</v>
      </c>
      <c r="C99" s="25" t="n">
        <f aca="false">SUMIFS(데이터_품목별!$H$3:$H$2984,데이터_품목별!$E$3:$E$2984,"99",데이터_품목별!$B$3:$B$2984,2024,데이터_품목별!$C$3:$C$2984,"&lt;=7")</f>
        <v>0</v>
      </c>
      <c r="D99" s="25" t="n">
        <f aca="false">SUMIFS(데이터_품목별!$H$3:$H$2984,데이터_품목별!$E$3:$E$2984,"99",데이터_품목별!$B$3:$B$2984,2025,데이터_품목별!$C$3:$C$2984,"&lt;=7")</f>
        <v>0</v>
      </c>
      <c r="E99" s="25" t="n">
        <f aca="false">SUMIFS(데이터_품목별!$H$3:$H$2984,데이터_품목별!$E$3:$E$2984,"99",데이터_품목별!$B$3:$B$2984,2026,데이터_품목별!$C$3:$C$2984,"&lt;=7")</f>
        <v>0</v>
      </c>
      <c r="F99" s="36" t="str">
        <f aca="false">IFERROR(D99/C99-1,"-")</f>
        <v>-</v>
      </c>
      <c r="G99" s="36" t="str">
        <f aca="false">IFERROR(E99/D99-1,"-")</f>
        <v>-</v>
      </c>
      <c r="H99" s="34" t="n">
        <f aca="false">(E99-D99)/(SUMIFS(데이터_총괄!$H$3:$H$33,데이터_총괄!$B$3:$B$33,2026,데이터_총괄!$C$3:$C$33,"&lt;=7")-SUMIFS(데이터_총괄!$H$3:$H$33,데이터_총괄!$B$3:$B$33,2025,데이터_총괄!$C$3:$C$33,"&lt;=7"))</f>
        <v>0</v>
      </c>
      <c r="I99" s="25" t="n">
        <f aca="false">SUMIFS(데이터_품목별!$J$3:$J$2984,데이터_품목별!$E$3:$E$2984,"99",데이터_품목별!$B$3:$B$2984,2026,데이터_품목별!$C$3:$C$2984,"&lt;=7")</f>
        <v>0</v>
      </c>
      <c r="J99" s="25" t="n">
        <f aca="false">E99-I99</f>
        <v>0</v>
      </c>
      <c r="K99" s="46" t="str">
        <f aca="false">IF(H99&gt;0.3,"전체 증가를 주도",IF(H99&gt;0.03,"증가에 뚜렷이 기여",IF(G99&lt;0,"감소 — 부진 부문",IF(H99&gt;0,"소폭 기여","영향 미미"))))</f>
        <v>영향 미미</v>
      </c>
    </row>
    <row r="100" customFormat="false" ht="15" hidden="false" customHeight="true" outlineLevel="0" collapsed="false">
      <c r="A100" s="33" t="s">
        <v>19824</v>
      </c>
      <c r="B100" s="7" t="s">
        <v>19926</v>
      </c>
      <c r="C100" s="25" t="n">
        <f aca="false">SUMIFS(데이터_품목별!$H$3:$H$2984,데이터_품목별!$E$3:$E$2984,"68",데이터_품목별!$B$3:$B$2984,2024,데이터_품목별!$C$3:$C$2984,"&lt;=7")+SUMIFS(데이터_품목별!$H$3:$H$2984,데이터_품목별!$E$3:$E$2984,"69",데이터_품목별!$B$3:$B$2984,2024,데이터_품목별!$C$3:$C$2984,"&lt;=7")+SUMIFS(데이터_품목별!$H$3:$H$2984,데이터_품목별!$E$3:$E$2984,"70",데이터_품목별!$B$3:$B$2984,2024,데이터_품목별!$C$3:$C$2984,"&lt;=7")</f>
        <v>2008585</v>
      </c>
      <c r="D100" s="25" t="n">
        <f aca="false">SUMIFS(데이터_품목별!$H$3:$H$2984,데이터_품목별!$E$3:$E$2984,"68",데이터_품목별!$B$3:$B$2984,2025,데이터_품목별!$C$3:$C$2984,"&lt;=7")+SUMIFS(데이터_품목별!$H$3:$H$2984,데이터_품목별!$E$3:$E$2984,"69",데이터_품목별!$B$3:$B$2984,2025,데이터_품목별!$C$3:$C$2984,"&lt;=7")+SUMIFS(데이터_품목별!$H$3:$H$2984,데이터_품목별!$E$3:$E$2984,"70",데이터_품목별!$B$3:$B$2984,2025,데이터_품목별!$C$3:$C$2984,"&lt;=7")</f>
        <v>1905031</v>
      </c>
      <c r="E100" s="25" t="n">
        <f aca="false">SUMIFS(데이터_품목별!$H$3:$H$2984,데이터_품목별!$E$3:$E$2984,"68",데이터_품목별!$B$3:$B$2984,2026,데이터_품목별!$C$3:$C$2984,"&lt;=7")+SUMIFS(데이터_품목별!$H$3:$H$2984,데이터_품목별!$E$3:$E$2984,"69",데이터_품목별!$B$3:$B$2984,2026,데이터_품목별!$C$3:$C$2984,"&lt;=7")+SUMIFS(데이터_품목별!$H$3:$H$2984,데이터_품목별!$E$3:$E$2984,"70",데이터_품목별!$B$3:$B$2984,2026,데이터_품목별!$C$3:$C$2984,"&lt;=7")</f>
        <v>1882360</v>
      </c>
      <c r="F100" s="36" t="n">
        <f aca="false">IFERROR(D100/C100-1,"-")</f>
        <v>-0.0515556971698982</v>
      </c>
      <c r="G100" s="36" t="n">
        <f aca="false">IFERROR(E100/D100-1,"-")</f>
        <v>-0.0119005937436188</v>
      </c>
      <c r="H100" s="34" t="n">
        <f aca="false">(E100-D100)/(SUMIFS(데이터_총괄!$H$3:$H$33,데이터_총괄!$B$3:$B$33,2026,데이터_총괄!$C$3:$C$33,"&lt;=7")-SUMIFS(데이터_총괄!$H$3:$H$33,데이터_총괄!$B$3:$B$33,2025,데이터_총괄!$C$3:$C$33,"&lt;=7"))</f>
        <v>-0.000113540035059737</v>
      </c>
      <c r="I100" s="25" t="n">
        <f aca="false">SUMIFS(데이터_품목별!$J$3:$J$2984,데이터_품목별!$E$3:$E$2984,"68",데이터_품목별!$B$3:$B$2984,2026,데이터_품목별!$C$3:$C$2984,"&lt;=7")+SUMIFS(데이터_품목별!$J$3:$J$2984,데이터_품목별!$E$3:$E$2984,"69",데이터_품목별!$B$3:$B$2984,2026,데이터_품목별!$C$3:$C$2984,"&lt;=7")+SUMIFS(데이터_품목별!$J$3:$J$2984,데이터_품목별!$E$3:$E$2984,"70",데이터_품목별!$B$3:$B$2984,2026,데이터_품목별!$C$3:$C$2984,"&lt;=7")</f>
        <v>3337269</v>
      </c>
      <c r="J100" s="25" t="n">
        <f aca="false">E100-I100</f>
        <v>-1454909</v>
      </c>
      <c r="K100" s="46" t="str">
        <f aca="false">IF(H100&gt;0.3,"전체 증가를 주도",IF(H100&gt;0.03,"증가에 뚜렷이 기여",IF(G100&lt;0,"감소 — 부진 부문",IF(H100&gt;0,"소폭 기여","영향 미미"))))</f>
        <v>감소 — 부진 부문</v>
      </c>
    </row>
    <row r="101" customFormat="false" ht="15" hidden="false" customHeight="true" outlineLevel="0" collapsed="false">
      <c r="A101" s="33" t="s">
        <v>19804</v>
      </c>
      <c r="B101" s="7" t="s">
        <v>19927</v>
      </c>
      <c r="C101" s="25" t="n">
        <f aca="false">SUMIFS(데이터_품목별!$H$3:$H$2984,데이터_품목별!$E$3:$E$2984,"15",데이터_품목별!$B$3:$B$2984,2024,데이터_품목별!$C$3:$C$2984,"&lt;=7")</f>
        <v>114160</v>
      </c>
      <c r="D101" s="25" t="n">
        <f aca="false">SUMIFS(데이터_품목별!$H$3:$H$2984,데이터_품목별!$E$3:$E$2984,"15",데이터_품목별!$B$3:$B$2984,2025,데이터_품목별!$C$3:$C$2984,"&lt;=7")</f>
        <v>232365</v>
      </c>
      <c r="E101" s="25" t="n">
        <f aca="false">SUMIFS(데이터_품목별!$H$3:$H$2984,데이터_품목별!$E$3:$E$2984,"15",데이터_품목별!$B$3:$B$2984,2026,데이터_품목별!$C$3:$C$2984,"&lt;=7")</f>
        <v>196125</v>
      </c>
      <c r="F101" s="36" t="n">
        <f aca="false">IFERROR(D101/C101-1,"-")</f>
        <v>1.0354327259986</v>
      </c>
      <c r="G101" s="36" t="n">
        <f aca="false">IFERROR(E101/D101-1,"-")</f>
        <v>-0.155961526047382</v>
      </c>
      <c r="H101" s="34" t="n">
        <f aca="false">(E101-D101)/(SUMIFS(데이터_총괄!$H$3:$H$33,데이터_총괄!$B$3:$B$33,2026,데이터_총괄!$C$3:$C$33,"&lt;=7")-SUMIFS(데이터_총괄!$H$3:$H$33,데이터_총괄!$B$3:$B$33,2025,데이터_총괄!$C$3:$C$33,"&lt;=7"))</f>
        <v>-0.000181495781860741</v>
      </c>
      <c r="I101" s="25" t="n">
        <f aca="false">SUMIFS(데이터_품목별!$J$3:$J$2984,데이터_품목별!$E$3:$E$2984,"15",데이터_품목별!$B$3:$B$2984,2026,데이터_품목별!$C$3:$C$2984,"&lt;=7")</f>
        <v>1766843</v>
      </c>
      <c r="J101" s="25" t="n">
        <f aca="false">E101-I101</f>
        <v>-1570718</v>
      </c>
      <c r="K101" s="46" t="str">
        <f aca="false">IF(H101&gt;0.3,"전체 증가를 주도",IF(H101&gt;0.03,"증가에 뚜렷이 기여",IF(G101&lt;0,"감소 — 부진 부문",IF(H101&gt;0,"소폭 기여","영향 미미"))))</f>
        <v>감소 — 부진 부문</v>
      </c>
    </row>
    <row r="102" customFormat="false" ht="15" hidden="false" customHeight="true" outlineLevel="0" collapsed="false">
      <c r="A102" s="33" t="s">
        <v>19802</v>
      </c>
      <c r="B102" s="7" t="s">
        <v>19928</v>
      </c>
      <c r="C102" s="25" t="n">
        <f aca="false">SUMIFS(데이터_품목별!$H$3:$H$2984,데이터_품목별!$E$3:$E$2984,"06",데이터_품목별!$B$3:$B$2984,2024,데이터_품목별!$C$3:$C$2984,"&lt;=7")+SUMIFS(데이터_품목별!$H$3:$H$2984,데이터_품목별!$E$3:$E$2984,"07",데이터_품목별!$B$3:$B$2984,2024,데이터_품목별!$C$3:$C$2984,"&lt;=7")+SUMIFS(데이터_품목별!$H$3:$H$2984,데이터_품목별!$E$3:$E$2984,"08",데이터_품목별!$B$3:$B$2984,2024,데이터_품목별!$C$3:$C$2984,"&lt;=7")+SUMIFS(데이터_품목별!$H$3:$H$2984,데이터_품목별!$E$3:$E$2984,"09",데이터_품목별!$B$3:$B$2984,2024,데이터_품목별!$C$3:$C$2984,"&lt;=7")+SUMIFS(데이터_품목별!$H$3:$H$2984,데이터_품목별!$E$3:$E$2984,"10",데이터_품목별!$B$3:$B$2984,2024,데이터_품목별!$C$3:$C$2984,"&lt;=7")+SUMIFS(데이터_품목별!$H$3:$H$2984,데이터_품목별!$E$3:$E$2984,"11",데이터_품목별!$B$3:$B$2984,2024,데이터_품목별!$C$3:$C$2984,"&lt;=7")+SUMIFS(데이터_품목별!$H$3:$H$2984,데이터_품목별!$E$3:$E$2984,"12",데이터_품목별!$B$3:$B$2984,2024,데이터_품목별!$C$3:$C$2984,"&lt;=7")+SUMIFS(데이터_품목별!$H$3:$H$2984,데이터_품목별!$E$3:$E$2984,"13",데이터_품목별!$B$3:$B$2984,2024,데이터_품목별!$C$3:$C$2984,"&lt;=7")+SUMIFS(데이터_품목별!$H$3:$H$2984,데이터_품목별!$E$3:$E$2984,"14",데이터_품목별!$B$3:$B$2984,2024,데이터_품목별!$C$3:$C$2984,"&lt;=7")</f>
        <v>722045</v>
      </c>
      <c r="D102" s="25" t="n">
        <f aca="false">SUMIFS(데이터_품목별!$H$3:$H$2984,데이터_품목별!$E$3:$E$2984,"06",데이터_품목별!$B$3:$B$2984,2025,데이터_품목별!$C$3:$C$2984,"&lt;=7")+SUMIFS(데이터_품목별!$H$3:$H$2984,데이터_품목별!$E$3:$E$2984,"07",데이터_품목별!$B$3:$B$2984,2025,데이터_품목별!$C$3:$C$2984,"&lt;=7")+SUMIFS(데이터_품목별!$H$3:$H$2984,데이터_품목별!$E$3:$E$2984,"08",데이터_품목별!$B$3:$B$2984,2025,데이터_품목별!$C$3:$C$2984,"&lt;=7")+SUMIFS(데이터_품목별!$H$3:$H$2984,데이터_품목별!$E$3:$E$2984,"09",데이터_품목별!$B$3:$B$2984,2025,데이터_품목별!$C$3:$C$2984,"&lt;=7")+SUMIFS(데이터_품목별!$H$3:$H$2984,데이터_품목별!$E$3:$E$2984,"10",데이터_품목별!$B$3:$B$2984,2025,데이터_품목별!$C$3:$C$2984,"&lt;=7")+SUMIFS(데이터_품목별!$H$3:$H$2984,데이터_품목별!$E$3:$E$2984,"11",데이터_품목별!$B$3:$B$2984,2025,데이터_품목별!$C$3:$C$2984,"&lt;=7")+SUMIFS(데이터_품목별!$H$3:$H$2984,데이터_품목별!$E$3:$E$2984,"12",데이터_품목별!$B$3:$B$2984,2025,데이터_품목별!$C$3:$C$2984,"&lt;=7")+SUMIFS(데이터_품목별!$H$3:$H$2984,데이터_품목별!$E$3:$E$2984,"13",데이터_품목별!$B$3:$B$2984,2025,데이터_품목별!$C$3:$C$2984,"&lt;=7")+SUMIFS(데이터_품목별!$H$3:$H$2984,데이터_품목별!$E$3:$E$2984,"14",데이터_품목별!$B$3:$B$2984,2025,데이터_품목별!$C$3:$C$2984,"&lt;=7")</f>
        <v>761382</v>
      </c>
      <c r="E102" s="25" t="n">
        <f aca="false">SUMIFS(데이터_품목별!$H$3:$H$2984,데이터_품목별!$E$3:$E$2984,"06",데이터_품목별!$B$3:$B$2984,2026,데이터_품목별!$C$3:$C$2984,"&lt;=7")+SUMIFS(데이터_품목별!$H$3:$H$2984,데이터_품목별!$E$3:$E$2984,"07",데이터_품목별!$B$3:$B$2984,2026,데이터_품목별!$C$3:$C$2984,"&lt;=7")+SUMIFS(데이터_품목별!$H$3:$H$2984,데이터_품목별!$E$3:$E$2984,"08",데이터_품목별!$B$3:$B$2984,2026,데이터_품목별!$C$3:$C$2984,"&lt;=7")+SUMIFS(데이터_품목별!$H$3:$H$2984,데이터_품목별!$E$3:$E$2984,"09",데이터_품목별!$B$3:$B$2984,2026,데이터_품목별!$C$3:$C$2984,"&lt;=7")+SUMIFS(데이터_품목별!$H$3:$H$2984,데이터_품목별!$E$3:$E$2984,"10",데이터_품목별!$B$3:$B$2984,2026,데이터_품목별!$C$3:$C$2984,"&lt;=7")+SUMIFS(데이터_품목별!$H$3:$H$2984,데이터_품목별!$E$3:$E$2984,"11",데이터_품목별!$B$3:$B$2984,2026,데이터_품목별!$C$3:$C$2984,"&lt;=7")+SUMIFS(데이터_품목별!$H$3:$H$2984,데이터_품목별!$E$3:$E$2984,"12",데이터_품목별!$B$3:$B$2984,2026,데이터_품목별!$C$3:$C$2984,"&lt;=7")+SUMIFS(데이터_품목별!$H$3:$H$2984,데이터_품목별!$E$3:$E$2984,"13",데이터_품목별!$B$3:$B$2984,2026,데이터_품목별!$C$3:$C$2984,"&lt;=7")+SUMIFS(데이터_품목별!$H$3:$H$2984,데이터_품목별!$E$3:$E$2984,"14",데이터_품목별!$B$3:$B$2984,2026,데이터_품목별!$C$3:$C$2984,"&lt;=7")</f>
        <v>716374</v>
      </c>
      <c r="F102" s="36" t="n">
        <f aca="false">IFERROR(D102/C102-1,"-")</f>
        <v>0.0544799839345194</v>
      </c>
      <c r="G102" s="36" t="n">
        <f aca="false">IFERROR(E102/D102-1,"-")</f>
        <v>-0.0591135592908685</v>
      </c>
      <c r="H102" s="34" t="n">
        <f aca="false">(E102-D102)/(SUMIFS(데이터_총괄!$H$3:$H$33,데이터_총괄!$B$3:$B$33,2026,데이터_총괄!$C$3:$C$33,"&lt;=7")-SUMIFS(데이터_총괄!$H$3:$H$33,데이터_총괄!$B$3:$B$33,2025,데이터_총괄!$C$3:$C$33,"&lt;=7"))</f>
        <v>-0.000225407344094598</v>
      </c>
      <c r="I102" s="25" t="n">
        <f aca="false">SUMIFS(데이터_품목별!$J$3:$J$2984,데이터_품목별!$E$3:$E$2984,"06",데이터_품목별!$B$3:$B$2984,2026,데이터_품목별!$C$3:$C$2984,"&lt;=7")+SUMIFS(데이터_품목별!$J$3:$J$2984,데이터_품목별!$E$3:$E$2984,"07",데이터_품목별!$B$3:$B$2984,2026,데이터_품목별!$C$3:$C$2984,"&lt;=7")+SUMIFS(데이터_품목별!$J$3:$J$2984,데이터_품목별!$E$3:$E$2984,"08",데이터_품목별!$B$3:$B$2984,2026,데이터_품목별!$C$3:$C$2984,"&lt;=7")+SUMIFS(데이터_품목별!$J$3:$J$2984,데이터_품목별!$E$3:$E$2984,"09",데이터_품목별!$B$3:$B$2984,2026,데이터_품목별!$C$3:$C$2984,"&lt;=7")+SUMIFS(데이터_품목별!$J$3:$J$2984,데이터_품목별!$E$3:$E$2984,"10",데이터_품목별!$B$3:$B$2984,2026,데이터_품목별!$C$3:$C$2984,"&lt;=7")+SUMIFS(데이터_품목별!$J$3:$J$2984,데이터_품목별!$E$3:$E$2984,"11",데이터_품목별!$B$3:$B$2984,2026,데이터_품목별!$C$3:$C$2984,"&lt;=7")+SUMIFS(데이터_품목별!$J$3:$J$2984,데이터_품목별!$E$3:$E$2984,"12",데이터_품목별!$B$3:$B$2984,2026,데이터_품목별!$C$3:$C$2984,"&lt;=7")+SUMIFS(데이터_품목별!$J$3:$J$2984,데이터_품목별!$E$3:$E$2984,"13",데이터_품목별!$B$3:$B$2984,2026,데이터_품목별!$C$3:$C$2984,"&lt;=7")+SUMIFS(데이터_품목별!$J$3:$J$2984,데이터_품목별!$E$3:$E$2984,"14",데이터_품목별!$B$3:$B$2984,2026,데이터_품목별!$C$3:$C$2984,"&lt;=7")</f>
        <v>6920602</v>
      </c>
      <c r="J102" s="25" t="n">
        <f aca="false">E102-I102</f>
        <v>-6204228</v>
      </c>
      <c r="K102" s="46" t="str">
        <f aca="false">IF(H102&gt;0.3,"전체 증가를 주도",IF(H102&gt;0.03,"증가에 뚜렷이 기여",IF(G102&lt;0,"감소 — 부진 부문",IF(H102&gt;0,"소폭 기여","영향 미미"))))</f>
        <v>감소 — 부진 부문</v>
      </c>
    </row>
    <row r="103" customFormat="false" ht="15" hidden="false" customHeight="true" outlineLevel="0" collapsed="false">
      <c r="A103" s="33" t="s">
        <v>19840</v>
      </c>
      <c r="B103" s="7" t="s">
        <v>19929</v>
      </c>
      <c r="C103" s="25" t="n">
        <f aca="false">SUMIFS(데이터_품목별!$H$3:$H$2984,데이터_품목별!$E$3:$E$2984,"97",데이터_품목별!$B$3:$B$2984,2024,데이터_품목별!$C$3:$C$2984,"&lt;=7")</f>
        <v>172507</v>
      </c>
      <c r="D103" s="25" t="n">
        <f aca="false">SUMIFS(데이터_품목별!$H$3:$H$2984,데이터_품목별!$E$3:$E$2984,"97",데이터_품목별!$B$3:$B$2984,2025,데이터_품목별!$C$3:$C$2984,"&lt;=7")</f>
        <v>179377</v>
      </c>
      <c r="E103" s="25" t="n">
        <f aca="false">SUMIFS(데이터_품목별!$H$3:$H$2984,데이터_품목별!$E$3:$E$2984,"97",데이터_품목별!$B$3:$B$2984,2026,데이터_품목별!$C$3:$C$2984,"&lt;=7")</f>
        <v>130868</v>
      </c>
      <c r="F103" s="36" t="n">
        <f aca="false">IFERROR(D103/C103-1,"-")</f>
        <v>0.0398244708910362</v>
      </c>
      <c r="G103" s="36" t="n">
        <f aca="false">IFERROR(E103/D103-1,"-")</f>
        <v>-0.270430434225124</v>
      </c>
      <c r="H103" s="34" t="n">
        <f aca="false">(E103-D103)/(SUMIFS(데이터_총괄!$H$3:$H$33,데이터_총괄!$B$3:$B$33,2026,데이터_총괄!$C$3:$C$33,"&lt;=7")-SUMIFS(데이터_총괄!$H$3:$H$33,데이터_총괄!$B$3:$B$33,2025,데이터_총괄!$C$3:$C$33,"&lt;=7"))</f>
        <v>-0.000242940918385283</v>
      </c>
      <c r="I103" s="25" t="n">
        <f aca="false">SUMIFS(데이터_품목별!$J$3:$J$2984,데이터_품목별!$E$3:$E$2984,"97",데이터_품목별!$B$3:$B$2984,2026,데이터_품목별!$C$3:$C$2984,"&lt;=7")</f>
        <v>194888</v>
      </c>
      <c r="J103" s="25" t="n">
        <f aca="false">E103-I103</f>
        <v>-64020</v>
      </c>
      <c r="K103" s="46" t="str">
        <f aca="false">IF(H103&gt;0.3,"전체 증가를 주도",IF(H103&gt;0.03,"증가에 뚜렷이 기여",IF(G103&lt;0,"감소 — 부진 부문",IF(H103&gt;0,"소폭 기여","영향 미미"))))</f>
        <v>감소 — 부진 부문</v>
      </c>
    </row>
    <row r="104" customFormat="false" ht="15" hidden="false" customHeight="true" outlineLevel="0" collapsed="false">
      <c r="A104" s="33" t="s">
        <v>19820</v>
      </c>
      <c r="B104" s="7" t="s">
        <v>19930</v>
      </c>
      <c r="C104" s="25" t="n">
        <f aca="false">SUMIFS(데이터_품목별!$H$3:$H$2984,데이터_품목별!$E$3:$E$2984,"50",데이터_품목별!$B$3:$B$2984,2024,데이터_품목별!$C$3:$C$2984,"&lt;=7")+SUMIFS(데이터_품목별!$H$3:$H$2984,데이터_품목별!$E$3:$E$2984,"51",데이터_품목별!$B$3:$B$2984,2024,데이터_품목별!$C$3:$C$2984,"&lt;=7")+SUMIFS(데이터_품목별!$H$3:$H$2984,데이터_품목별!$E$3:$E$2984,"52",데이터_품목별!$B$3:$B$2984,2024,데이터_품목별!$C$3:$C$2984,"&lt;=7")+SUMIFS(데이터_품목별!$H$3:$H$2984,데이터_품목별!$E$3:$E$2984,"53",데이터_품목별!$B$3:$B$2984,2024,데이터_품목별!$C$3:$C$2984,"&lt;=7")+SUMIFS(데이터_품목별!$H$3:$H$2984,데이터_품목별!$E$3:$E$2984,"54",데이터_품목별!$B$3:$B$2984,2024,데이터_품목별!$C$3:$C$2984,"&lt;=7")+SUMIFS(데이터_품목별!$H$3:$H$2984,데이터_품목별!$E$3:$E$2984,"55",데이터_품목별!$B$3:$B$2984,2024,데이터_품목별!$C$3:$C$2984,"&lt;=7")+SUMIFS(데이터_품목별!$H$3:$H$2984,데이터_품목별!$E$3:$E$2984,"56",데이터_품목별!$B$3:$B$2984,2024,데이터_품목별!$C$3:$C$2984,"&lt;=7")+SUMIFS(데이터_품목별!$H$3:$H$2984,데이터_품목별!$E$3:$E$2984,"57",데이터_품목별!$B$3:$B$2984,2024,데이터_품목별!$C$3:$C$2984,"&lt;=7")+SUMIFS(데이터_품목별!$H$3:$H$2984,데이터_품목별!$E$3:$E$2984,"58",데이터_품목별!$B$3:$B$2984,2024,데이터_품목별!$C$3:$C$2984,"&lt;=7")+SUMIFS(데이터_품목별!$H$3:$H$2984,데이터_품목별!$E$3:$E$2984,"59",데이터_품목별!$B$3:$B$2984,2024,데이터_품목별!$C$3:$C$2984,"&lt;=7")+SUMIFS(데이터_품목별!$H$3:$H$2984,데이터_품목별!$E$3:$E$2984,"60",데이터_품목별!$B$3:$B$2984,2024,데이터_품목별!$C$3:$C$2984,"&lt;=7")+SUMIFS(데이터_품목별!$H$3:$H$2984,데이터_품목별!$E$3:$E$2984,"61",데이터_품목별!$B$3:$B$2984,2024,데이터_품목별!$C$3:$C$2984,"&lt;=7")+SUMIFS(데이터_품목별!$H$3:$H$2984,데이터_품목별!$E$3:$E$2984,"62",데이터_품목별!$B$3:$B$2984,2024,데이터_품목별!$C$3:$C$2984,"&lt;=7")+SUMIFS(데이터_품목별!$H$3:$H$2984,데이터_품목별!$E$3:$E$2984,"63",데이터_품목별!$B$3:$B$2984,2024,데이터_품목별!$C$3:$C$2984,"&lt;=7")</f>
        <v>5923648</v>
      </c>
      <c r="D104" s="25" t="n">
        <f aca="false">SUMIFS(데이터_품목별!$H$3:$H$2984,데이터_품목별!$E$3:$E$2984,"50",데이터_품목별!$B$3:$B$2984,2025,데이터_품목별!$C$3:$C$2984,"&lt;=7")+SUMIFS(데이터_품목별!$H$3:$H$2984,데이터_품목별!$E$3:$E$2984,"51",데이터_품목별!$B$3:$B$2984,2025,데이터_품목별!$C$3:$C$2984,"&lt;=7")+SUMIFS(데이터_품목별!$H$3:$H$2984,데이터_품목별!$E$3:$E$2984,"52",데이터_품목별!$B$3:$B$2984,2025,데이터_품목별!$C$3:$C$2984,"&lt;=7")+SUMIFS(데이터_품목별!$H$3:$H$2984,데이터_품목별!$E$3:$E$2984,"53",데이터_품목별!$B$3:$B$2984,2025,데이터_품목별!$C$3:$C$2984,"&lt;=7")+SUMIFS(데이터_품목별!$H$3:$H$2984,데이터_품목별!$E$3:$E$2984,"54",데이터_품목별!$B$3:$B$2984,2025,데이터_품목별!$C$3:$C$2984,"&lt;=7")+SUMIFS(데이터_품목별!$H$3:$H$2984,데이터_품목별!$E$3:$E$2984,"55",데이터_품목별!$B$3:$B$2984,2025,데이터_품목별!$C$3:$C$2984,"&lt;=7")+SUMIFS(데이터_품목별!$H$3:$H$2984,데이터_품목별!$E$3:$E$2984,"56",데이터_품목별!$B$3:$B$2984,2025,데이터_품목별!$C$3:$C$2984,"&lt;=7")+SUMIFS(데이터_품목별!$H$3:$H$2984,데이터_품목별!$E$3:$E$2984,"57",데이터_품목별!$B$3:$B$2984,2025,데이터_품목별!$C$3:$C$2984,"&lt;=7")+SUMIFS(데이터_품목별!$H$3:$H$2984,데이터_품목별!$E$3:$E$2984,"58",데이터_품목별!$B$3:$B$2984,2025,데이터_품목별!$C$3:$C$2984,"&lt;=7")+SUMIFS(데이터_품목별!$H$3:$H$2984,데이터_품목별!$E$3:$E$2984,"59",데이터_품목별!$B$3:$B$2984,2025,데이터_품목별!$C$3:$C$2984,"&lt;=7")+SUMIFS(데이터_품목별!$H$3:$H$2984,데이터_품목별!$E$3:$E$2984,"60",데이터_품목별!$B$3:$B$2984,2025,데이터_품목별!$C$3:$C$2984,"&lt;=7")+SUMIFS(데이터_품목별!$H$3:$H$2984,데이터_품목별!$E$3:$E$2984,"61",데이터_품목별!$B$3:$B$2984,2025,데이터_품목별!$C$3:$C$2984,"&lt;=7")+SUMIFS(데이터_품목별!$H$3:$H$2984,데이터_품목별!$E$3:$E$2984,"62",데이터_품목별!$B$3:$B$2984,2025,데이터_품목별!$C$3:$C$2984,"&lt;=7")+SUMIFS(데이터_품목별!$H$3:$H$2984,데이터_품목별!$E$3:$E$2984,"63",데이터_품목별!$B$3:$B$2984,2025,데이터_품목별!$C$3:$C$2984,"&lt;=7")</f>
        <v>5458186</v>
      </c>
      <c r="E104" s="25" t="n">
        <f aca="false">SUMIFS(데이터_품목별!$H$3:$H$2984,데이터_품목별!$E$3:$E$2984,"50",데이터_품목별!$B$3:$B$2984,2026,데이터_품목별!$C$3:$C$2984,"&lt;=7")+SUMIFS(데이터_품목별!$H$3:$H$2984,데이터_품목별!$E$3:$E$2984,"51",데이터_품목별!$B$3:$B$2984,2026,데이터_품목별!$C$3:$C$2984,"&lt;=7")+SUMIFS(데이터_품목별!$H$3:$H$2984,데이터_품목별!$E$3:$E$2984,"52",데이터_품목별!$B$3:$B$2984,2026,데이터_품목별!$C$3:$C$2984,"&lt;=7")+SUMIFS(데이터_품목별!$H$3:$H$2984,데이터_품목별!$E$3:$E$2984,"53",데이터_품목별!$B$3:$B$2984,2026,데이터_품목별!$C$3:$C$2984,"&lt;=7")+SUMIFS(데이터_품목별!$H$3:$H$2984,데이터_품목별!$E$3:$E$2984,"54",데이터_품목별!$B$3:$B$2984,2026,데이터_품목별!$C$3:$C$2984,"&lt;=7")+SUMIFS(데이터_품목별!$H$3:$H$2984,데이터_품목별!$E$3:$E$2984,"55",데이터_품목별!$B$3:$B$2984,2026,데이터_품목별!$C$3:$C$2984,"&lt;=7")+SUMIFS(데이터_품목별!$H$3:$H$2984,데이터_품목별!$E$3:$E$2984,"56",데이터_품목별!$B$3:$B$2984,2026,데이터_품목별!$C$3:$C$2984,"&lt;=7")+SUMIFS(데이터_품목별!$H$3:$H$2984,데이터_품목별!$E$3:$E$2984,"57",데이터_품목별!$B$3:$B$2984,2026,데이터_품목별!$C$3:$C$2984,"&lt;=7")+SUMIFS(데이터_품목별!$H$3:$H$2984,데이터_품목별!$E$3:$E$2984,"58",데이터_품목별!$B$3:$B$2984,2026,데이터_품목별!$C$3:$C$2984,"&lt;=7")+SUMIFS(데이터_품목별!$H$3:$H$2984,데이터_품목별!$E$3:$E$2984,"59",데이터_품목별!$B$3:$B$2984,2026,데이터_품목별!$C$3:$C$2984,"&lt;=7")+SUMIFS(데이터_품목별!$H$3:$H$2984,데이터_품목별!$E$3:$E$2984,"60",데이터_품목별!$B$3:$B$2984,2026,데이터_품목별!$C$3:$C$2984,"&lt;=7")+SUMIFS(데이터_품목별!$H$3:$H$2984,데이터_품목별!$E$3:$E$2984,"61",데이터_품목별!$B$3:$B$2984,2026,데이터_품목별!$C$3:$C$2984,"&lt;=7")+SUMIFS(데이터_품목별!$H$3:$H$2984,데이터_품목별!$E$3:$E$2984,"62",데이터_품목별!$B$3:$B$2984,2026,데이터_품목별!$C$3:$C$2984,"&lt;=7")+SUMIFS(데이터_품목별!$H$3:$H$2984,데이터_품목별!$E$3:$E$2984,"63",데이터_품목별!$B$3:$B$2984,2026,데이터_품목별!$C$3:$C$2984,"&lt;=7")</f>
        <v>5367200</v>
      </c>
      <c r="F104" s="36" t="n">
        <f aca="false">IFERROR(D104/C104-1,"-")</f>
        <v>-0.0785769174670743</v>
      </c>
      <c r="G104" s="36" t="n">
        <f aca="false">IFERROR(E104/D104-1,"-")</f>
        <v>-0.0166696407927469</v>
      </c>
      <c r="H104" s="34" t="n">
        <f aca="false">(E104-D104)/(SUMIFS(데이터_총괄!$H$3:$H$33,데이터_총괄!$B$3:$B$33,2026,데이터_총괄!$C$3:$C$33,"&lt;=7")-SUMIFS(데이터_총괄!$H$3:$H$33,데이터_총괄!$B$3:$B$33,2025,데이터_총괄!$C$3:$C$33,"&lt;=7"))</f>
        <v>-0.000455672605087786</v>
      </c>
      <c r="I104" s="25" t="n">
        <f aca="false">SUMIFS(데이터_품목별!$J$3:$J$2984,데이터_품목별!$E$3:$E$2984,"50",데이터_품목별!$B$3:$B$2984,2026,데이터_품목별!$C$3:$C$2984,"&lt;=7")+SUMIFS(데이터_품목별!$J$3:$J$2984,데이터_품목별!$E$3:$E$2984,"51",데이터_품목별!$B$3:$B$2984,2026,데이터_품목별!$C$3:$C$2984,"&lt;=7")+SUMIFS(데이터_품목별!$J$3:$J$2984,데이터_품목별!$E$3:$E$2984,"52",데이터_품목별!$B$3:$B$2984,2026,데이터_품목별!$C$3:$C$2984,"&lt;=7")+SUMIFS(데이터_품목별!$J$3:$J$2984,데이터_품목별!$E$3:$E$2984,"53",데이터_품목별!$B$3:$B$2984,2026,데이터_품목별!$C$3:$C$2984,"&lt;=7")+SUMIFS(데이터_품목별!$J$3:$J$2984,데이터_품목별!$E$3:$E$2984,"54",데이터_품목별!$B$3:$B$2984,2026,데이터_품목별!$C$3:$C$2984,"&lt;=7")+SUMIFS(데이터_품목별!$J$3:$J$2984,데이터_품목별!$E$3:$E$2984,"55",데이터_품목별!$B$3:$B$2984,2026,데이터_품목별!$C$3:$C$2984,"&lt;=7")+SUMIFS(데이터_품목별!$J$3:$J$2984,데이터_품목별!$E$3:$E$2984,"56",데이터_품목별!$B$3:$B$2984,2026,데이터_품목별!$C$3:$C$2984,"&lt;=7")+SUMIFS(데이터_품목별!$J$3:$J$2984,데이터_품목별!$E$3:$E$2984,"57",데이터_품목별!$B$3:$B$2984,2026,데이터_품목별!$C$3:$C$2984,"&lt;=7")+SUMIFS(데이터_품목별!$J$3:$J$2984,데이터_품목별!$E$3:$E$2984,"58",데이터_품목별!$B$3:$B$2984,2026,데이터_품목별!$C$3:$C$2984,"&lt;=7")+SUMIFS(데이터_품목별!$J$3:$J$2984,데이터_품목별!$E$3:$E$2984,"59",데이터_품목별!$B$3:$B$2984,2026,데이터_품목별!$C$3:$C$2984,"&lt;=7")+SUMIFS(데이터_품목별!$J$3:$J$2984,데이터_품목별!$E$3:$E$2984,"60",데이터_품목별!$B$3:$B$2984,2026,데이터_품목별!$C$3:$C$2984,"&lt;=7")+SUMIFS(데이터_품목별!$J$3:$J$2984,데이터_품목별!$E$3:$E$2984,"61",데이터_품목별!$B$3:$B$2984,2026,데이터_품목별!$C$3:$C$2984,"&lt;=7")+SUMIFS(데이터_품목별!$J$3:$J$2984,데이터_품목별!$E$3:$E$2984,"62",데이터_품목별!$B$3:$B$2984,2026,데이터_품목별!$C$3:$C$2984,"&lt;=7")+SUMIFS(데이터_품목별!$J$3:$J$2984,데이터_품목별!$E$3:$E$2984,"63",데이터_품목별!$B$3:$B$2984,2026,데이터_품목별!$C$3:$C$2984,"&lt;=7")</f>
        <v>9732288</v>
      </c>
      <c r="J104" s="25" t="n">
        <f aca="false">E104-I104</f>
        <v>-4365088</v>
      </c>
      <c r="K104" s="46" t="str">
        <f aca="false">IF(H104&gt;0.3,"전체 증가를 주도",IF(H104&gt;0.03,"증가에 뚜렷이 기여",IF(G104&lt;0,"감소 — 부진 부문",IF(H104&gt;0,"소폭 기여","영향 미미"))))</f>
        <v>감소 — 부진 부문</v>
      </c>
    </row>
  </sheetData>
  <mergeCells count="7">
    <mergeCell ref="A1:W1"/>
    <mergeCell ref="A2:W2"/>
    <mergeCell ref="A3:W3"/>
    <mergeCell ref="A5:W5"/>
    <mergeCell ref="A30:W30"/>
    <mergeCell ref="A55:W55"/>
    <mergeCell ref="A81:W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"/>
    <col collapsed="false" customWidth="true" hidden="false" outlineLevel="0" max="3" min="3" style="1" width="24"/>
    <col collapsed="false" customWidth="true" hidden="false" outlineLevel="0" max="4" min="4" style="1" width="32"/>
    <col collapsed="false" customWidth="true" hidden="false" outlineLevel="0" max="11" min="5" style="1" width="11"/>
    <col collapsed="false" customWidth="true" hidden="false" outlineLevel="0" max="18" min="12" style="1" width="12"/>
    <col collapsed="false" customWidth="true" hidden="false" outlineLevel="0" max="20" min="19" style="1" width="13"/>
    <col collapsed="false" customWidth="true" hidden="false" outlineLevel="0" max="22" min="21" style="1" width="10"/>
    <col collapsed="false" customWidth="true" hidden="false" outlineLevel="0" max="24" min="23" style="1" width="12"/>
    <col collapsed="false" customWidth="true" hidden="false" outlineLevel="0" max="25" min="25" style="1" width="11"/>
    <col collapsed="false" customWidth="true" hidden="false" outlineLevel="0" max="27" min="26" style="1" width="13"/>
    <col collapsed="false" customWidth="true" hidden="false" outlineLevel="0" max="28" min="28" style="1" width="44"/>
  </cols>
  <sheetData>
    <row r="1" customFormat="false" ht="21.75" hidden="false" customHeight="true" outlineLevel="0" collapsed="false">
      <c r="A1" s="42" t="s">
        <v>19961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2" customFormat="false" ht="15" hidden="false" customHeight="true" outlineLevel="0" collapsed="false">
      <c r="A2" s="3" t="s">
        <v>19962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customFormat="false" ht="15" hidden="false" customHeight="true" outlineLevel="0" collapsed="false">
      <c r="A3" s="62" t="s">
        <v>19963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</row>
    <row r="5" customFormat="false" ht="33.75" hidden="false" customHeight="true" outlineLevel="0" collapsed="false">
      <c r="A5" s="5" t="s">
        <v>19907</v>
      </c>
      <c r="B5" s="44" t="s">
        <v>19964</v>
      </c>
      <c r="C5" s="5" t="s">
        <v>19965</v>
      </c>
      <c r="D5" s="5" t="s">
        <v>19966</v>
      </c>
      <c r="E5" s="44" t="s">
        <v>19967</v>
      </c>
      <c r="F5" s="44" t="s">
        <v>19968</v>
      </c>
      <c r="G5" s="44" t="s">
        <v>19969</v>
      </c>
      <c r="H5" s="44" t="s">
        <v>19970</v>
      </c>
      <c r="I5" s="44" t="s">
        <v>19971</v>
      </c>
      <c r="J5" s="44" t="s">
        <v>19972</v>
      </c>
      <c r="K5" s="44" t="s">
        <v>19973</v>
      </c>
      <c r="L5" s="44" t="s">
        <v>19974</v>
      </c>
      <c r="M5" s="44" t="s">
        <v>19975</v>
      </c>
      <c r="N5" s="44" t="s">
        <v>19976</v>
      </c>
      <c r="O5" s="44" t="s">
        <v>19977</v>
      </c>
      <c r="P5" s="44" t="s">
        <v>19978</v>
      </c>
      <c r="Q5" s="44" t="s">
        <v>19979</v>
      </c>
      <c r="R5" s="44" t="s">
        <v>19980</v>
      </c>
      <c r="S5" s="5" t="s">
        <v>19955</v>
      </c>
      <c r="T5" s="5" t="s">
        <v>19956</v>
      </c>
      <c r="U5" s="44" t="s">
        <v>19898</v>
      </c>
      <c r="V5" s="5" t="s">
        <v>19957</v>
      </c>
      <c r="W5" s="5" t="s">
        <v>19981</v>
      </c>
      <c r="X5" s="5" t="s">
        <v>19982</v>
      </c>
      <c r="Y5" s="5" t="s">
        <v>19983</v>
      </c>
      <c r="Z5" s="5" t="s">
        <v>19958</v>
      </c>
      <c r="AA5" s="5" t="s">
        <v>19959</v>
      </c>
      <c r="AB5" s="5" t="s">
        <v>19984</v>
      </c>
    </row>
    <row r="6" customFormat="false" ht="33.75" hidden="false" customHeight="true" outlineLevel="0" collapsed="false">
      <c r="A6" s="67" t="s">
        <v>19830</v>
      </c>
      <c r="B6" s="68" t="s">
        <v>925</v>
      </c>
      <c r="C6" s="65" t="str">
        <f aca="false">IFERROR(INDEX(데이터_품목별!$F$3:$F$2984,MATCH($B6,데이터_품목별!$E$3:$E$2984,0)),"")</f>
        <v>전기기기와 그 부분품, 녹음기ㆍ음성 재생기ㆍ텔레비전의 영상과 음성의 기록기ㆍ재생기와 이들의 부분품ㆍ부속품</v>
      </c>
      <c r="D6" s="69" t="s">
        <v>19985</v>
      </c>
      <c r="E6" s="59" t="n">
        <f aca="false">IFERROR(분석4B_월별매트릭스!AA89/분석4B_월별매트릭스!O89-1,"-")</f>
        <v>0.727055033719935</v>
      </c>
      <c r="F6" s="59" t="n">
        <f aca="false">IFERROR(분석4B_월별매트릭스!AB89/분석4B_월별매트릭스!P89-1,"-")</f>
        <v>0.859156798154595</v>
      </c>
      <c r="G6" s="59" t="n">
        <f aca="false">IFERROR(분석4B_월별매트릭스!AC89/분석4B_월별매트릭스!Q89-1,"-")</f>
        <v>0.96787713807326</v>
      </c>
      <c r="H6" s="59" t="n">
        <f aca="false">IFERROR(분석4B_월별매트릭스!AD89/분석4B_월별매트릭스!R89-1,"-")</f>
        <v>1.1177624870716</v>
      </c>
      <c r="I6" s="59" t="n">
        <f aca="false">IFERROR(분석4B_월별매트릭스!AE89/분석4B_월별매트릭스!S89-1,"-")</f>
        <v>1.1388505659863</v>
      </c>
      <c r="J6" s="59" t="n">
        <f aca="false">IFERROR(분석4B_월별매트릭스!AF89/분석4B_월별매트릭스!T89-1,"-")</f>
        <v>1.36906317882046</v>
      </c>
      <c r="K6" s="59" t="n">
        <f aca="false">IFERROR(분석4B_월별매트릭스!AG89/분석4B_월별매트릭스!U89-1,"-")</f>
        <v>1.27200502534358</v>
      </c>
      <c r="L6" s="57" t="n">
        <f aca="false">분석4B_월별매트릭스!AA89-분석4B_월별매트릭스!O89</f>
        <v>10544690</v>
      </c>
      <c r="M6" s="57" t="n">
        <f aca="false">분석4B_월별매트릭스!AB89-분석4B_월별매트릭스!P89</f>
        <v>12958363</v>
      </c>
      <c r="N6" s="57" t="n">
        <f aca="false">분석4B_월별매트릭스!AC89-분석4B_월별매트릭스!Q89</f>
        <v>17531930</v>
      </c>
      <c r="O6" s="57" t="n">
        <f aca="false">분석4B_월별매트릭스!AD89-분석4B_월별매트릭스!R89</f>
        <v>19112604</v>
      </c>
      <c r="P6" s="57" t="n">
        <f aca="false">분석4B_월별매트릭스!AE89-분석4B_월별매트릭스!S89</f>
        <v>21421171</v>
      </c>
      <c r="Q6" s="57" t="n">
        <f aca="false">분석4B_월별매트릭스!AF89-분석4B_월별매트릭스!T89</f>
        <v>26745012</v>
      </c>
      <c r="R6" s="57" t="n">
        <f aca="false">분석4B_월별매트릭스!AG89-분석4B_월별매트릭스!U89</f>
        <v>25427224</v>
      </c>
      <c r="S6" s="25" t="n">
        <f aca="false">SUMIFS(데이터_품목별!$H$3:$H$2984,데이터_품목별!$E$3:$E$2984,"85",데이터_품목별!$B$3:$B$2984,2025,데이터_품목별!$C$3:$C$2984,"&lt;=7")</f>
        <v>123133332</v>
      </c>
      <c r="T6" s="25" t="n">
        <f aca="false">SUMIFS(데이터_품목별!$H$3:$H$2984,데이터_품목별!$E$3:$E$2984,"85",데이터_품목별!$B$3:$B$2984,2026,데이터_품목별!$C$3:$C$2984,"&lt;=7")</f>
        <v>256874326</v>
      </c>
      <c r="U6" s="36" t="n">
        <f aca="false">IFERROR(T6/S6-1,"-")</f>
        <v>1.08614777028855</v>
      </c>
      <c r="V6" s="34" t="n">
        <f aca="false">(T6-S6)/(SUMIFS(데이터_총괄!$H$3:$H$33,데이터_총괄!$B$3:$B$33,2026,데이터_총괄!$C$3:$C$33,"&lt;=7")-SUMIFS(데이터_총괄!$H$3:$H$33,데이터_총괄!$B$3:$B$33,2025,데이터_총괄!$C$3:$C$33,"&lt;=7"))</f>
        <v>0.66979653070813</v>
      </c>
      <c r="W6" s="24" t="n">
        <f aca="false">SUMIFS(데이터_품목별!$G$3:$G$2984,데이터_품목별!$E$3:$E$2984,"85",데이터_품목별!$B$3:$B$2984,2026,데이터_품목별!$C$3:$C$2984,"&lt;=7")</f>
        <v>1567224.4</v>
      </c>
      <c r="X6" s="36" t="n">
        <f aca="false">IFERROR((T6/W6)/(S6/SUMIFS(데이터_품목별!$G$3:$G$2984,데이터_품목별!$E$3:$E$2984,"85",데이터_품목별!$B$3:$B$2984,2025,데이터_품목별!$C$3:$C$2984,"&lt;=7"))-1,"-")</f>
        <v>1.10039370678747</v>
      </c>
      <c r="Y6" s="67" t="str">
        <f aca="false">IF(OR(W6&lt;100,SUMIFS(데이터_품목별!$G$3:$G$2984,데이터_품목별!$E$3:$E$2984,"85",데이터_품목별!$B$3:$B$2984,2025,데이터_품목별!$C$3:$C$2984,"&lt;=7")&lt;100),"단가 불안정",IF(T6-S6&lt;0,"감소",IF(X6&gt;0.05,"가격 주도",IF(X6&lt;0.02,"물량 주도","혼합"))))</f>
        <v>가격 주도</v>
      </c>
      <c r="Z6" s="25" t="n">
        <f aca="false">SUMIFS(데이터_품목별!$J$3:$J$2984,데이터_품목별!$E$3:$E$2984,"85",데이터_품목별!$B$3:$B$2984,2026,데이터_품목별!$C$3:$C$2984,"&lt;=7")</f>
        <v>93199476</v>
      </c>
      <c r="AA6" s="25" t="n">
        <f aca="false">T6-Z6</f>
        <v>163674850</v>
      </c>
      <c r="AB6" s="65" t="str">
        <f aca="false">IF(T6=0,"자료 없음",IF(U6&gt;1,"1~7월 2배 이상 급증. ",IF(U6&gt;0.5,"1~7월 +50% 초과 급증. ",IF(U6&gt;0.15,"1~7월 뚜렷한 증가. ",IF(U6&gt;0.02,"1~7월 소폭 증가. ",IF(U6&gt;-0.02,"1~7월 보합. ",IF(U6&gt;-0.15,"1~7월 소폭 감소. ","1~7월 뚜렷한 감소. "))))))&amp;"월별로는 "&amp;COUNTIF(E6:K6,"&gt;0")&amp;"개월 증가·"&amp;COUNTIF(E6:K6,"&lt;0")&amp;"개월 감소"&amp;IF(COUNTIF(E6:K6,"&gt;0")=7," (7개월 내내 증가)",IF(COUNTIF(E6:K6,"&lt;0")=7," (7개월 내내 감소)",""))&amp;IFERROR(", 최대 "&amp;TEXT(MAX(E6:K6),"0.0%")&amp;"("&amp;SUBSTITUTE(INDEX($E$5:$K$5,MATCH(MAX(E6:K6),E6:K6,0))," YoY","")&amp;")","")&amp;IFERROR(", 최소 "&amp;TEXT(MIN(E6:K6),"0.0%")&amp;"("&amp;SUBSTITUTE(INDEX($E$5:$K$5,MATCH(MIN(E6:K6),E6:K6,0))," YoY","")&amp;")","")&amp;". "&amp;IF(Y6="가격 주도","단가 상승이 주도. ",IF(Y6="물량 주도","물량 확대가 주도. ",IF(Y6="혼합","물량·단가 동반. ",IF(Y6="감소","감소 품목. ","단가 해석 유보. "))))&amp;IF(V6&gt;0.05,"전체 증가의 5% 이상을 설명하는 대형 품목.",IF(V6&gt;0.005,"전체 증가에 의미 있게 기여.",IF(T6/SUMIFS(데이터_총괄!$H$3:$H$33,데이터_총괄!$B$3:$B$33,2026,데이터_총괄!$C$3:$C$33,"&lt;=7")&lt;0.001,"규모가 작아 총량 영향은 미미.","총량 영향은 제한적."))))</f>
        <v>1~7월 2배 이상 급증. 월별로는 7개월 증가·0개월 감소 (7개월 내내 증가), 최대 136.9%(2026.06), 최소 72.7%(2026.01). 단가 상승이 주도. 전체 증가의 5% 이상을 설명하는 대형 품목.</v>
      </c>
    </row>
    <row r="7" customFormat="false" ht="33.75" hidden="false" customHeight="true" outlineLevel="0" collapsed="false">
      <c r="A7" s="67" t="s">
        <v>19830</v>
      </c>
      <c r="B7" s="68" t="s">
        <v>918</v>
      </c>
      <c r="C7" s="65" t="str">
        <f aca="false">IFERROR(INDEX(데이터_품목별!$F$3:$F$2984,MATCH($B7,데이터_품목별!$E$3:$E$2984,0)),"")</f>
        <v>원자로ㆍ보일러ㆍ기계류와 이들의 부분품</v>
      </c>
      <c r="D7" s="69" t="s">
        <v>19986</v>
      </c>
      <c r="E7" s="59" t="n">
        <f aca="false">IFERROR(분석4B_월별매트릭스!AA88/분석4B_월별매트릭스!O88-1,"-")</f>
        <v>0.451458123852936</v>
      </c>
      <c r="F7" s="59" t="n">
        <f aca="false">IFERROR(분석4B_월별매트릭스!AB88/분석4B_월별매트릭스!P88-1,"-")</f>
        <v>0.571997424018946</v>
      </c>
      <c r="G7" s="59" t="n">
        <f aca="false">IFERROR(분석4B_월별매트릭스!AC88/분석4B_월별매트릭스!Q88-1,"-")</f>
        <v>0.711418110986442</v>
      </c>
      <c r="H7" s="59" t="n">
        <f aca="false">IFERROR(분석4B_월별매트릭스!AD88/분석4B_월별매트릭스!R88-1,"-")</f>
        <v>0.651350765792676</v>
      </c>
      <c r="I7" s="59" t="n">
        <f aca="false">IFERROR(분석4B_월별매트릭스!AE88/분석4B_월별매트릭스!S88-1,"-")</f>
        <v>0.765651354736258</v>
      </c>
      <c r="J7" s="59" t="n">
        <f aca="false">IFERROR(분석4B_월별매트릭스!AF88/분석4B_월별매트릭스!T88-1,"-")</f>
        <v>1.20094630073751</v>
      </c>
      <c r="K7" s="59" t="n">
        <f aca="false">IFERROR(분석4B_월별매트릭스!AG88/분석4B_월별매트릭스!U88-1,"-")</f>
        <v>0.822933166173953</v>
      </c>
      <c r="L7" s="57" t="n">
        <f aca="false">분석4B_월별매트릭스!AA88-분석4B_월별매트릭스!O88</f>
        <v>2574486</v>
      </c>
      <c r="M7" s="57" t="n">
        <f aca="false">분석4B_월별매트릭스!AB88-분석4B_월별매트릭스!P88</f>
        <v>3441780</v>
      </c>
      <c r="N7" s="57" t="n">
        <f aca="false">분석4B_월별매트릭스!AC88-분석4B_월별매트릭스!Q88</f>
        <v>5279739</v>
      </c>
      <c r="O7" s="57" t="n">
        <f aca="false">분석4B_월별매트릭스!AD88-분석4B_월별매트릭스!R88</f>
        <v>4584718</v>
      </c>
      <c r="P7" s="57" t="n">
        <f aca="false">분석4B_월별매트릭스!AE88-분석4B_월별매트릭스!S88</f>
        <v>5236125</v>
      </c>
      <c r="Q7" s="57" t="n">
        <f aca="false">분석4B_월별매트릭스!AF88-분석4B_월별매트릭스!T88</f>
        <v>8922505</v>
      </c>
      <c r="R7" s="57" t="n">
        <f aca="false">분석4B_월별매트릭스!AG88-분석4B_월별매트릭스!U88</f>
        <v>6159714</v>
      </c>
      <c r="S7" s="25" t="n">
        <f aca="false">SUMIFS(데이터_품목별!$H$3:$H$2984,데이터_품목별!$E$3:$E$2984,"84",데이터_품목별!$B$3:$B$2984,2025,데이터_품목별!$C$3:$C$2984,"&lt;=7")</f>
        <v>47933360</v>
      </c>
      <c r="T7" s="25" t="n">
        <f aca="false">SUMIFS(데이터_품목별!$H$3:$H$2984,데이터_품목별!$E$3:$E$2984,"84",데이터_품목별!$B$3:$B$2984,2026,데이터_품목별!$C$3:$C$2984,"&lt;=7")</f>
        <v>84132427</v>
      </c>
      <c r="U7" s="36" t="n">
        <f aca="false">IFERROR(T7/S7-1,"-")</f>
        <v>0.755195692519782</v>
      </c>
      <c r="V7" s="34" t="n">
        <f aca="false">(T7-S7)/(SUMIFS(데이터_총괄!$H$3:$H$33,데이터_총괄!$B$3:$B$33,2026,데이터_총괄!$C$3:$C$33,"&lt;=7")-SUMIFS(데이터_총괄!$H$3:$H$33,데이터_총괄!$B$3:$B$33,2025,데이터_총괄!$C$3:$C$33,"&lt;=7"))</f>
        <v>0.181290782775782</v>
      </c>
      <c r="W7" s="24" t="n">
        <f aca="false">SUMIFS(데이터_품목별!$G$3:$G$2984,데이터_품목별!$E$3:$E$2984,"84",데이터_품목별!$B$3:$B$2984,2026,데이터_품목별!$C$3:$C$2984,"&lt;=7")</f>
        <v>2641357.5</v>
      </c>
      <c r="X7" s="36" t="n">
        <f aca="false">IFERROR((T7/W7)/(S7/SUMIFS(데이터_품목별!$G$3:$G$2984,데이터_품목별!$E$3:$E$2984,"84",데이터_품목별!$B$3:$B$2984,2025,데이터_품목별!$C$3:$C$2984,"&lt;=7"))-1,"-")</f>
        <v>0.739659495389828</v>
      </c>
      <c r="Y7" s="67" t="str">
        <f aca="false">IF(OR(W7&lt;100,SUMIFS(데이터_품목별!$G$3:$G$2984,데이터_품목별!$E$3:$E$2984,"84",데이터_품목별!$B$3:$B$2984,2025,데이터_품목별!$C$3:$C$2984,"&lt;=7")&lt;100),"단가 불안정",IF(T7-S7&lt;0,"감소",IF(X7&gt;0.05,"가격 주도",IF(X7&lt;0.02,"물량 주도","혼합"))))</f>
        <v>가격 주도</v>
      </c>
      <c r="Z7" s="25" t="n">
        <f aca="false">SUMIFS(데이터_품목별!$J$3:$J$2984,데이터_품목별!$E$3:$E$2984,"84",데이터_품목별!$B$3:$B$2984,2026,데이터_품목별!$C$3:$C$2984,"&lt;=7")</f>
        <v>54345038</v>
      </c>
      <c r="AA7" s="25" t="n">
        <f aca="false">T7-Z7</f>
        <v>29787389</v>
      </c>
      <c r="AB7" s="65" t="str">
        <f aca="false">IF(T7=0,"자료 없음",IF(U7&gt;1,"1~7월 2배 이상 급증. ",IF(U7&gt;0.5,"1~7월 +50% 초과 급증. ",IF(U7&gt;0.15,"1~7월 뚜렷한 증가. ",IF(U7&gt;0.02,"1~7월 소폭 증가. ",IF(U7&gt;-0.02,"1~7월 보합. ",IF(U7&gt;-0.15,"1~7월 소폭 감소. ","1~7월 뚜렷한 감소. "))))))&amp;"월별로는 "&amp;COUNTIF(E7:K7,"&gt;0")&amp;"개월 증가·"&amp;COUNTIF(E7:K7,"&lt;0")&amp;"개월 감소"&amp;IF(COUNTIF(E7:K7,"&gt;0")=7," (7개월 내내 증가)",IF(COUNTIF(E7:K7,"&lt;0")=7," (7개월 내내 감소)",""))&amp;IFERROR(", 최대 "&amp;TEXT(MAX(E7:K7),"0.0%")&amp;"("&amp;SUBSTITUTE(INDEX($E$5:$K$5,MATCH(MAX(E7:K7),E7:K7,0))," YoY","")&amp;")","")&amp;IFERROR(", 최소 "&amp;TEXT(MIN(E7:K7),"0.0%")&amp;"("&amp;SUBSTITUTE(INDEX($E$5:$K$5,MATCH(MIN(E7:K7),E7:K7,0))," YoY","")&amp;")","")&amp;". "&amp;IF(Y7="가격 주도","단가 상승이 주도. ",IF(Y7="물량 주도","물량 확대가 주도. ",IF(Y7="혼합","물량·단가 동반. ",IF(Y7="감소","감소 품목. ","단가 해석 유보. "))))&amp;IF(V7&gt;0.05,"전체 증가의 5% 이상을 설명하는 대형 품목.",IF(V7&gt;0.005,"전체 증가에 의미 있게 기여.",IF(T7/SUMIFS(데이터_총괄!$H$3:$H$33,데이터_총괄!$B$3:$B$33,2026,데이터_총괄!$C$3:$C$33,"&lt;=7")&lt;0.001,"규모가 작아 총량 영향은 미미.","총량 영향은 제한적."))))</f>
        <v>1~7월 +50% 초과 급증. 월별로는 7개월 증가·0개월 감소 (7개월 내내 증가), 최대 120.1%(2026.06), 최소 45.1%(2026.01). 단가 상승이 주도. 전체 증가의 5% 이상을 설명하는 대형 품목.</v>
      </c>
    </row>
    <row r="8" customFormat="false" ht="33.75" hidden="false" customHeight="true" outlineLevel="0" collapsed="false">
      <c r="A8" s="67" t="s">
        <v>19808</v>
      </c>
      <c r="B8" s="68" t="s">
        <v>527</v>
      </c>
      <c r="C8" s="65" t="str">
        <f aca="false">IFERROR(INDEX(데이터_품목별!$F$3:$F$2984,MATCH($B8,데이터_품목별!$E$3:$E$2984,0)),"")</f>
        <v>광물성 연료ㆍ광물유(鑛物油)와 이들의 증류물, 역청(瀝靑)물질, 광물성 왁스</v>
      </c>
      <c r="D8" s="69" t="s">
        <v>19987</v>
      </c>
      <c r="E8" s="59" t="n">
        <f aca="false">IFERROR(분석4B_월별매트릭스!AA32/분석4B_월별매트릭스!O32-1,"-")</f>
        <v>0.0727204711133591</v>
      </c>
      <c r="F8" s="59" t="n">
        <f aca="false">IFERROR(분석4B_월별매트릭스!AB32/분석4B_월별매트릭스!P32-1,"-")</f>
        <v>0.0337076168867823</v>
      </c>
      <c r="G8" s="59" t="n">
        <f aca="false">IFERROR(분석4B_월별매트릭스!AC32/분석4B_월별매트릭스!Q32-1,"-")</f>
        <v>0.849617097266959</v>
      </c>
      <c r="H8" s="59" t="n">
        <f aca="false">IFERROR(분석4B_월별매트릭스!AD32/분석4B_월별매트릭스!R32-1,"-")</f>
        <v>0.341740514110923</v>
      </c>
      <c r="I8" s="59" t="n">
        <f aca="false">IFERROR(분석4B_월별매트릭스!AE32/분석4B_월별매트릭스!S32-1,"-")</f>
        <v>0.410812794122581</v>
      </c>
      <c r="J8" s="59" t="n">
        <f aca="false">IFERROR(분석4B_월별매트릭스!AF32/분석4B_월별매트릭스!T32-1,"-")</f>
        <v>0.407844026529987</v>
      </c>
      <c r="K8" s="59" t="n">
        <f aca="false">IFERROR(분석4B_월별매트릭스!AG32/분석4B_월별매트릭스!U32-1,"-")</f>
        <v>0.337868293961289</v>
      </c>
      <c r="L8" s="57" t="n">
        <f aca="false">분석4B_월별매트릭스!AA32-분석4B_월별매트릭스!O32</f>
        <v>262237</v>
      </c>
      <c r="M8" s="57" t="n">
        <f aca="false">분석4B_월별매트릭스!AB32-분석4B_월별매트릭스!P32</f>
        <v>137289</v>
      </c>
      <c r="N8" s="57" t="n">
        <f aca="false">분석4B_월별매트릭스!AC32-분석4B_월별매트릭스!Q32</f>
        <v>2945015</v>
      </c>
      <c r="O8" s="57" t="n">
        <f aca="false">분석4B_월별매트릭스!AD32-분석4B_월별매트릭스!R32</f>
        <v>1313290</v>
      </c>
      <c r="P8" s="57" t="n">
        <f aca="false">분석4B_월별매트릭스!AE32-분석4B_월별매트릭스!S32</f>
        <v>1542874</v>
      </c>
      <c r="Q8" s="57" t="n">
        <f aca="false">분석4B_월별매트릭스!AF32-분석4B_월별매트릭스!T32</f>
        <v>1593498</v>
      </c>
      <c r="R8" s="57" t="n">
        <f aca="false">분석4B_월별매트릭스!AG32-분석4B_월별매트릭스!U32</f>
        <v>1489092</v>
      </c>
      <c r="S8" s="25" t="n">
        <f aca="false">SUMIFS(데이터_품목별!$H$3:$H$2984,데이터_품목별!$E$3:$E$2984,"27",데이터_품목별!$B$3:$B$2984,2025,데이터_품목별!$C$3:$C$2984,"&lt;=7")</f>
        <v>27058366</v>
      </c>
      <c r="T8" s="25" t="n">
        <f aca="false">SUMIFS(데이터_품목별!$H$3:$H$2984,데이터_품목별!$E$3:$E$2984,"27",데이터_품목별!$B$3:$B$2984,2026,데이터_품목별!$C$3:$C$2984,"&lt;=7")</f>
        <v>36341661</v>
      </c>
      <c r="U8" s="36" t="n">
        <f aca="false">IFERROR(T8/S8-1,"-")</f>
        <v>0.343084094582799</v>
      </c>
      <c r="V8" s="34" t="n">
        <f aca="false">(T8-S8)/(SUMIFS(데이터_총괄!$H$3:$H$33,데이터_총괄!$B$3:$B$33,2026,데이터_총괄!$C$3:$C$33,"&lt;=7")-SUMIFS(데이터_총괄!$H$3:$H$33,데이터_총괄!$B$3:$B$33,2025,데이터_총괄!$C$3:$C$33,"&lt;=7"))</f>
        <v>0.0464922429434024</v>
      </c>
      <c r="W8" s="24" t="n">
        <f aca="false">SUMIFS(데이터_품목별!$G$3:$G$2984,데이터_품목별!$E$3:$E$2984,"27",데이터_품목별!$B$3:$B$2984,2026,데이터_품목별!$C$3:$C$2984,"&lt;=7")</f>
        <v>36183986.3</v>
      </c>
      <c r="X8" s="36" t="n">
        <f aca="false">IFERROR((T8/W8)/(S8/SUMIFS(데이터_품목별!$G$3:$G$2984,데이터_품목별!$E$3:$E$2984,"27",데이터_품목별!$B$3:$B$2984,2025,데이터_품목별!$C$3:$C$2984,"&lt;=7"))-1,"-")</f>
        <v>0.467217671986084</v>
      </c>
      <c r="Y8" s="67" t="str">
        <f aca="false">IF(OR(W8&lt;100,SUMIFS(데이터_품목별!$G$3:$G$2984,데이터_품목별!$E$3:$E$2984,"27",데이터_품목별!$B$3:$B$2984,2025,데이터_품목별!$C$3:$C$2984,"&lt;=7")&lt;100),"단가 불안정",IF(T8-S8&lt;0,"감소",IF(X8&gt;0.05,"가격 주도",IF(X8&lt;0.02,"물량 주도","혼합"))))</f>
        <v>가격 주도</v>
      </c>
      <c r="Z8" s="25" t="n">
        <f aca="false">SUMIFS(데이터_품목별!$J$3:$J$2984,데이터_품목별!$E$3:$E$2984,"27",데이터_품목별!$B$3:$B$2984,2026,데이터_품목별!$C$3:$C$2984,"&lt;=7")</f>
        <v>92079148</v>
      </c>
      <c r="AA8" s="25" t="n">
        <f aca="false">T8-Z8</f>
        <v>-55737487</v>
      </c>
      <c r="AB8" s="65" t="str">
        <f aca="false">IF(T8=0,"자료 없음",IF(U8&gt;1,"1~7월 2배 이상 급증. ",IF(U8&gt;0.5,"1~7월 +50% 초과 급증. ",IF(U8&gt;0.15,"1~7월 뚜렷한 증가. ",IF(U8&gt;0.02,"1~7월 소폭 증가. ",IF(U8&gt;-0.02,"1~7월 보합. ",IF(U8&gt;-0.15,"1~7월 소폭 감소. ","1~7월 뚜렷한 감소. "))))))&amp;"월별로는 "&amp;COUNTIF(E8:K8,"&gt;0")&amp;"개월 증가·"&amp;COUNTIF(E8:K8,"&lt;0")&amp;"개월 감소"&amp;IF(COUNTIF(E8:K8,"&gt;0")=7," (7개월 내내 증가)",IF(COUNTIF(E8:K8,"&lt;0")=7," (7개월 내내 감소)",""))&amp;IFERROR(", 최대 "&amp;TEXT(MAX(E8:K8),"0.0%")&amp;"("&amp;SUBSTITUTE(INDEX($E$5:$K$5,MATCH(MAX(E8:K8),E8:K8,0))," YoY","")&amp;")","")&amp;IFERROR(", 최소 "&amp;TEXT(MIN(E8:K8),"0.0%")&amp;"("&amp;SUBSTITUTE(INDEX($E$5:$K$5,MATCH(MIN(E8:K8),E8:K8,0))," YoY","")&amp;")","")&amp;". "&amp;IF(Y8="가격 주도","단가 상승이 주도. ",IF(Y8="물량 주도","물량 확대가 주도. ",IF(Y8="혼합","물량·단가 동반. ",IF(Y8="감소","감소 품목. ","단가 해석 유보. "))))&amp;IF(V8&gt;0.05,"전체 증가의 5% 이상을 설명하는 대형 품목.",IF(V8&gt;0.005,"전체 증가에 의미 있게 기여.",IF(T8/SUMIFS(데이터_총괄!$H$3:$H$33,데이터_총괄!$B$3:$B$33,2026,데이터_총괄!$C$3:$C$33,"&lt;=7")&lt;0.001,"규모가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85.0%(2026.03), 최소 3.4%(2026.02). 단가 상승이 주도. 전체 증가에 의미 있게 기여.</v>
      </c>
    </row>
    <row r="9" customFormat="false" ht="33.75" hidden="false" customHeight="true" outlineLevel="0" collapsed="false">
      <c r="A9" s="67" t="s">
        <v>19826</v>
      </c>
      <c r="B9" s="68" t="s">
        <v>834</v>
      </c>
      <c r="C9" s="65" t="str">
        <f aca="false">IFERROR(INDEX(데이터_품목별!$F$3:$F$2984,MATCH($B9,데이터_품목별!$E$3:$E$2984,0)),"")</f>
        <v>천연진주ㆍ양식진주ㆍ귀석ㆍ반귀석ㆍ귀금속ㆍ귀금속을 입힌 금속과 이들의 제품, 모조 신변장식용품, 주화</v>
      </c>
      <c r="D9" s="69" t="s">
        <v>19988</v>
      </c>
      <c r="E9" s="59" t="n">
        <f aca="false">IFERROR(분석4B_월별매트릭스!AA76/분석4B_월별매트릭스!O76-1,"-")</f>
        <v>1.4554254497176</v>
      </c>
      <c r="F9" s="59" t="n">
        <f aca="false">IFERROR(분석4B_월별매트릭스!AB76/분석4B_월별매트릭스!P76-1,"-")</f>
        <v>1.37187645714373</v>
      </c>
      <c r="G9" s="59" t="n">
        <f aca="false">IFERROR(분석4B_월별매트릭스!AC76/분석4B_월별매트릭스!Q76-1,"-")</f>
        <v>3.18442988783496</v>
      </c>
      <c r="H9" s="59" t="n">
        <f aca="false">IFERROR(분석4B_월별매트릭스!AD76/분석4B_월별매트릭스!R76-1,"-")</f>
        <v>1.52179484713974</v>
      </c>
      <c r="I9" s="59" t="n">
        <f aca="false">IFERROR(분석4B_월별매트릭스!AE76/분석4B_월별매트릭스!S76-1,"-")</f>
        <v>1.72696298467332</v>
      </c>
      <c r="J9" s="59" t="n">
        <f aca="false">IFERROR(분석4B_월별매트릭스!AF76/분석4B_월별매트릭스!T76-1,"-")</f>
        <v>1.17904416249847</v>
      </c>
      <c r="K9" s="59" t="n">
        <f aca="false">IFERROR(분석4B_월별매트릭스!AG76/분석4B_월별매트릭스!U76-1,"-")</f>
        <v>0.890527783077217</v>
      </c>
      <c r="L9" s="57" t="n">
        <f aca="false">분석4B_월별매트릭스!AA76-분석4B_월별매트릭스!O76</f>
        <v>534962</v>
      </c>
      <c r="M9" s="57" t="n">
        <f aca="false">분석4B_월별매트릭스!AB76-분석4B_월별매트릭스!P76</f>
        <v>717881</v>
      </c>
      <c r="N9" s="57" t="n">
        <f aca="false">분석4B_월별매트릭스!AC76-분석4B_월별매트릭스!Q76</f>
        <v>1412715</v>
      </c>
      <c r="O9" s="57" t="n">
        <f aca="false">분석4B_월별매트릭스!AD76-분석4B_월별매트릭스!R76</f>
        <v>870456</v>
      </c>
      <c r="P9" s="57" t="n">
        <f aca="false">분석4B_월별매트릭스!AE76-분석4B_월별매트릭스!S76</f>
        <v>1084177</v>
      </c>
      <c r="Q9" s="57" t="n">
        <f aca="false">분석4B_월별매트릭스!AF76-분석4B_월별매트릭스!T76</f>
        <v>850487</v>
      </c>
      <c r="R9" s="57" t="n">
        <f aca="false">분석4B_월별매트릭스!AG76-분석4B_월별매트릭스!U76</f>
        <v>578811</v>
      </c>
      <c r="S9" s="25" t="n">
        <f aca="false">SUMIFS(데이터_품목별!$H$3:$H$2984,데이터_품목별!$E$3:$E$2984,"71",데이터_품목별!$B$3:$B$2984,2025,데이터_품목별!$C$3:$C$2984,"&lt;=7")</f>
        <v>3905567</v>
      </c>
      <c r="T9" s="25" t="n">
        <f aca="false">SUMIFS(데이터_품목별!$H$3:$H$2984,데이터_품목별!$E$3:$E$2984,"71",데이터_품목별!$B$3:$B$2984,2026,데이터_품목별!$C$3:$C$2984,"&lt;=7")</f>
        <v>9955056</v>
      </c>
      <c r="U9" s="36" t="n">
        <f aca="false">IFERROR(T9/S9-1,"-")</f>
        <v>1.5489400130634</v>
      </c>
      <c r="V9" s="34" t="n">
        <f aca="false">(T9-S9)/(SUMIFS(데이터_총괄!$H$3:$H$33,데이터_총괄!$B$3:$B$33,2026,데이터_총괄!$C$3:$C$33,"&lt;=7")-SUMIFS(데이터_총괄!$H$3:$H$33,데이터_총괄!$B$3:$B$33,2025,데이터_총괄!$C$3:$C$33,"&lt;=7"))</f>
        <v>0.0302968194236465</v>
      </c>
      <c r="W9" s="24" t="n">
        <f aca="false">SUMIFS(데이터_품목별!$G$3:$G$2984,데이터_품목별!$E$3:$E$2984,"71",데이터_품목별!$B$3:$B$2984,2026,데이터_품목별!$C$3:$C$2984,"&lt;=7")</f>
        <v>4759</v>
      </c>
      <c r="X9" s="36" t="n">
        <f aca="false">IFERROR((T9/W9)/(S9/SUMIFS(데이터_품목별!$G$3:$G$2984,데이터_품목별!$E$3:$E$2984,"71",데이터_품목별!$B$3:$B$2984,2025,데이터_품목별!$C$3:$C$2984,"&lt;=7"))-1,"-")</f>
        <v>2.15583304286003</v>
      </c>
      <c r="Y9" s="67" t="str">
        <f aca="false">IF(OR(W9&lt;100,SUMIFS(데이터_품목별!$G$3:$G$2984,데이터_품목별!$E$3:$E$2984,"71",데이터_품목별!$B$3:$B$2984,2025,데이터_품목별!$C$3:$C$2984,"&lt;=7")&lt;100),"단가 불안정",IF(T9-S9&lt;0,"감소",IF(X9&gt;0.05,"가격 주도",IF(X9&lt;0.02,"물량 주도","혼합"))))</f>
        <v>가격 주도</v>
      </c>
      <c r="Z9" s="25" t="n">
        <f aca="false">SUMIFS(데이터_품목별!$J$3:$J$2984,데이터_품목별!$E$3:$E$2984,"71",데이터_품목별!$B$3:$B$2984,2026,데이터_품목별!$C$3:$C$2984,"&lt;=7")</f>
        <v>9158780</v>
      </c>
      <c r="AA9" s="25" t="n">
        <f aca="false">T9-Z9</f>
        <v>796276</v>
      </c>
      <c r="AB9" s="65" t="str">
        <f aca="false">IF(T9=0,"자료 없음",IF(U9&gt;1,"1~7월 2배 이상 급증. ",IF(U9&gt;0.5,"1~7월 +50% 초과 급증. ",IF(U9&gt;0.15,"1~7월 뚜렷한 증가. ",IF(U9&gt;0.02,"1~7월 소폭 증가. ",IF(U9&gt;-0.02,"1~7월 보합. ",IF(U9&gt;-0.15,"1~7월 소폭 감소. ","1~7월 뚜렷한 감소. "))))))&amp;"월별로는 "&amp;COUNTIF(E9:K9,"&gt;0")&amp;"개월 증가·"&amp;COUNTIF(E9:K9,"&lt;0")&amp;"개월 감소"&amp;IF(COUNTIF(E9:K9,"&gt;0")=7," (7개월 내내 증가)",IF(COUNTIF(E9:K9,"&lt;0")=7," (7개월 내내 감소)",""))&amp;IFERROR(", 최대 "&amp;TEXT(MAX(E9:K9),"0.0%")&amp;"("&amp;SUBSTITUTE(INDEX($E$5:$K$5,MATCH(MAX(E9:K9),E9:K9,0))," YoY","")&amp;")","")&amp;IFERROR(", 최소 "&amp;TEXT(MIN(E9:K9),"0.0%")&amp;"("&amp;SUBSTITUTE(INDEX($E$5:$K$5,MATCH(MIN(E9:K9),E9:K9,0))," YoY","")&amp;")","")&amp;". "&amp;IF(Y9="가격 주도","단가 상승이 주도. ",IF(Y9="물량 주도","물량 확대가 주도. ",IF(Y9="혼합","물량·단가 동반. ",IF(Y9="감소","감소 품목. ","단가 해석 유보. "))))&amp;IF(V9&gt;0.05,"전체 증가의 5% 이상을 설명하는 대형 품목.",IF(V9&gt;0.005,"전체 증가에 의미 있게 기여.",IF(T9/SUMIFS(데이터_총괄!$H$3:$H$33,데이터_총괄!$B$3:$B$33,2026,데이터_총괄!$C$3:$C$33,"&lt;=7")&lt;0.001,"규모가 작아 총량 영향은 미미.","총량 영향은 제한적."))))</f>
        <v>1~7월 2배 이상 급증. 월별로는 7개월 증가·0개월 감소 (7개월 내내 증가), 최대 318.4%(2026.03), 최소 89.1%(2026.07). 단가 상승이 주도. 전체 증가에 의미 있게 기여.</v>
      </c>
    </row>
    <row r="10" customFormat="false" ht="33.75" hidden="false" customHeight="true" outlineLevel="0" collapsed="false">
      <c r="A10" s="67" t="s">
        <v>19832</v>
      </c>
      <c r="B10" s="68" t="s">
        <v>953</v>
      </c>
      <c r="C10" s="65" t="str">
        <f aca="false">IFERROR(INDEX(데이터_품목별!$F$3:$F$2984,MATCH($B10,데이터_품목별!$E$3:$E$2984,0)),"")</f>
        <v>선박과 수상 구조물</v>
      </c>
      <c r="D10" s="69" t="s">
        <v>19989</v>
      </c>
      <c r="E10" s="59" t="n">
        <f aca="false">IFERROR(분석4B_월별매트릭스!AA93/분석4B_월별매트릭스!O93-1,"-")</f>
        <v>-0.0179949556925824</v>
      </c>
      <c r="F10" s="59" t="n">
        <f aca="false">IFERROR(분석4B_월별매트릭스!AB93/분석4B_월별매트릭스!P93-1,"-")</f>
        <v>0.465593496342668</v>
      </c>
      <c r="G10" s="59" t="n">
        <f aca="false">IFERROR(분석4B_월별매트릭스!AC93/분석4B_월별매트릭스!Q93-1,"-")</f>
        <v>0.110410547960174</v>
      </c>
      <c r="H10" s="59" t="n">
        <f aca="false">IFERROR(분석4B_월별매트릭스!AD93/분석4B_월별매트릭스!R93-1,"-")</f>
        <v>0.507568134798476</v>
      </c>
      <c r="I10" s="59" t="n">
        <f aca="false">IFERROR(분석4B_월별매트릭스!AE93/분석4B_월별매트릭스!S93-1,"-")</f>
        <v>0.157713688720491</v>
      </c>
      <c r="J10" s="59" t="n">
        <f aca="false">IFERROR(분석4B_월별매트릭스!AF93/분석4B_월별매트릭스!T93-1,"-")</f>
        <v>0.161174643291011</v>
      </c>
      <c r="K10" s="59" t="n">
        <f aca="false">IFERROR(분석4B_월별매트릭스!AG93/분석4B_월별매트릭스!U93-1,"-")</f>
        <v>0.486792377827677</v>
      </c>
      <c r="L10" s="57" t="n">
        <f aca="false">분석4B_월별매트릭스!AA93-분석4B_월별매트릭스!O93</f>
        <v>-42409</v>
      </c>
      <c r="M10" s="57" t="n">
        <f aca="false">분석4B_월별매트릭스!AB93-분석4B_월별매트릭스!P93</f>
        <v>668474</v>
      </c>
      <c r="N10" s="57" t="n">
        <f aca="false">분석4B_월별매트릭스!AC93-분석4B_월별매트릭스!Q93</f>
        <v>333452</v>
      </c>
      <c r="O10" s="57" t="n">
        <f aca="false">분석4B_월별매트릭스!AD93-분석4B_월별매트릭스!R93</f>
        <v>917067</v>
      </c>
      <c r="P10" s="57" t="n">
        <f aca="false">분석4B_월별매트릭스!AE93-분석4B_월별매트릭스!S93</f>
        <v>334829</v>
      </c>
      <c r="Q10" s="57" t="n">
        <f aca="false">분석4B_월별매트릭스!AF93-분석4B_월별매트릭스!T93</f>
        <v>369626</v>
      </c>
      <c r="R10" s="57" t="n">
        <f aca="false">분석4B_월별매트릭스!AG93-분석4B_월별매트릭스!U93</f>
        <v>1004167</v>
      </c>
      <c r="S10" s="25" t="n">
        <f aca="false">SUMIFS(데이터_품목별!$H$3:$H$2984,데이터_품목별!$E$3:$E$2984,"89",데이터_품목별!$B$3:$B$2984,2025,데이터_품목별!$C$3:$C$2984,"&lt;=7")</f>
        <v>15098526</v>
      </c>
      <c r="T10" s="25" t="n">
        <f aca="false">SUMIFS(데이터_품목별!$H$3:$H$2984,데이터_품목별!$E$3:$E$2984,"89",데이터_품목별!$B$3:$B$2984,2026,데이터_품목별!$C$3:$C$2984,"&lt;=7")</f>
        <v>18683732</v>
      </c>
      <c r="U10" s="36" t="n">
        <f aca="false">IFERROR(T10/S10-1,"-")</f>
        <v>0.237454040215581</v>
      </c>
      <c r="V10" s="34" t="n">
        <f aca="false">(T10-S10)/(SUMIFS(데이터_총괄!$H$3:$H$33,데이터_총괄!$B$3:$B$33,2026,데이터_총괄!$C$3:$C$33,"&lt;=7")-SUMIFS(데이터_총괄!$H$3:$H$33,데이터_총괄!$B$3:$B$33,2025,데이터_총괄!$C$3:$C$33,"&lt;=7"))</f>
        <v>0.017955291559101</v>
      </c>
      <c r="W10" s="24" t="n">
        <f aca="false">SUMIFS(데이터_품목별!$G$3:$G$2984,데이터_품목별!$E$3:$E$2984,"89",데이터_품목별!$B$3:$B$2984,2026,데이터_품목별!$C$3:$C$2984,"&lt;=7")</f>
        <v>6158839.7</v>
      </c>
      <c r="X10" s="36" t="n">
        <f aca="false">IFERROR((T10/W10)/(S10/SUMIFS(데이터_품목별!$G$3:$G$2984,데이터_품목별!$E$3:$E$2984,"89",데이터_품목별!$B$3:$B$2984,2025,데이터_품목별!$C$3:$C$2984,"&lt;=7"))-1,"-")</f>
        <v>0.247646273518555</v>
      </c>
      <c r="Y10" s="67" t="str">
        <f aca="false">IF(OR(W10&lt;100,SUMIFS(데이터_품목별!$G$3:$G$2984,데이터_품목별!$E$3:$E$2984,"89",데이터_품목별!$B$3:$B$2984,2025,데이터_품목별!$C$3:$C$2984,"&lt;=7")&lt;100),"단가 불안정",IF(T10-S10&lt;0,"감소",IF(X10&gt;0.05,"가격 주도",IF(X10&lt;0.02,"물량 주도","혼합"))))</f>
        <v>가격 주도</v>
      </c>
      <c r="Z10" s="25" t="n">
        <f aca="false">SUMIFS(데이터_품목별!$J$3:$J$2984,데이터_품목별!$E$3:$E$2984,"89",데이터_품목별!$B$3:$B$2984,2026,데이터_품목별!$C$3:$C$2984,"&lt;=7")</f>
        <v>2626578</v>
      </c>
      <c r="AA10" s="25" t="n">
        <f aca="false">T10-Z10</f>
        <v>16057154</v>
      </c>
      <c r="AB10" s="65" t="str">
        <f aca="false">IF(T10=0,"자료 없음",IF(U10&gt;1,"1~7월 2배 이상 급증. ",IF(U10&gt;0.5,"1~7월 +50% 초과 급증. ",IF(U10&gt;0.15,"1~7월 뚜렷한 증가. ",IF(U10&gt;0.02,"1~7월 소폭 증가. ",IF(U10&gt;-0.02,"1~7월 보합. ",IF(U10&gt;-0.15,"1~7월 소폭 감소. ","1~7월 뚜렷한 감소. "))))))&amp;"월별로는 "&amp;COUNTIF(E10:K10,"&gt;0")&amp;"개월 증가·"&amp;COUNTIF(E10:K10,"&lt;0")&amp;"개월 감소"&amp;IF(COUNTIF(E10:K10,"&gt;0")=7," (7개월 내내 증가)",IF(COUNTIF(E10:K10,"&lt;0")=7," (7개월 내내 감소)",""))&amp;IFERROR(", 최대 "&amp;TEXT(MAX(E10:K10),"0.0%")&amp;"("&amp;SUBSTITUTE(INDEX($E$5:$K$5,MATCH(MAX(E10:K10),E10:K10,0))," YoY","")&amp;")","")&amp;IFERROR(", 최소 "&amp;TEXT(MIN(E10:K10),"0.0%")&amp;"("&amp;SUBSTITUTE(INDEX($E$5:$K$5,MATCH(MIN(E10:K10),E10:K10,0))," YoY","")&amp;")","")&amp;". "&amp;IF(Y10="가격 주도","단가 상승이 주도. ",IF(Y10="물량 주도","물량 확대가 주도. ",IF(Y10="혼합","물량·단가 동반. ",IF(Y10="감소","감소 품목. ","단가 해석 유보. "))))&amp;IF(V10&gt;0.05,"전체 증가의 5% 이상을 설명하는 대형 품목.",IF(V10&gt;0.005,"전체 증가에 의미 있게 기여.",IF(T10/SUMIFS(데이터_총괄!$H$3:$H$33,데이터_총괄!$B$3:$B$33,2026,데이터_총괄!$C$3:$C$33,"&lt;=7")&lt;0.001,"규모가 작아 총량 영향은 미미.","총량 영향은 제한적."))))</f>
        <v>1~7월 뚜렷한 증가. 월별로는 6개월 증가·1개월 감소, 최대 50.8%(2026.04), 최소 -1.8%(2026.01). 단가 상승이 주도. 전체 증가에 의미 있게 기여.</v>
      </c>
    </row>
    <row r="11" customFormat="false" ht="33.75" hidden="false" customHeight="true" outlineLevel="0" collapsed="false">
      <c r="A11" s="67" t="s">
        <v>19810</v>
      </c>
      <c r="B11" s="68" t="s">
        <v>569</v>
      </c>
      <c r="C11" s="65" t="str">
        <f aca="false">IFERROR(INDEX(데이터_품목별!$F$3:$F$2984,MATCH($B11,데이터_품목별!$E$3:$E$2984,0)),"")</f>
        <v>정유(essential oil)와 레지노이드(resinoid), 조제향료와 화장품ㆍ화장용품</v>
      </c>
      <c r="D11" s="69" t="s">
        <v>19990</v>
      </c>
      <c r="E11" s="59" t="n">
        <f aca="false">IFERROR(분석4B_월별매트릭스!AA38/분석4B_월별매트릭스!O38-1,"-")</f>
        <v>0.356067785500676</v>
      </c>
      <c r="F11" s="59" t="n">
        <f aca="false">IFERROR(분석4B_월별매트릭스!AB38/분석4B_월별매트릭스!P38-1,"-")</f>
        <v>0.0319860322594971</v>
      </c>
      <c r="G11" s="59" t="n">
        <f aca="false">IFERROR(분석4B_월별매트릭스!AC38/분석4B_월별매트릭스!Q38-1,"-")</f>
        <v>0.253573969855748</v>
      </c>
      <c r="H11" s="59" t="n">
        <f aca="false">IFERROR(분석4B_월별매트릭스!AD38/분석4B_월별매트릭스!R38-1,"-")</f>
        <v>0.317365770037679</v>
      </c>
      <c r="I11" s="59" t="n">
        <f aca="false">IFERROR(분석4B_월별매트릭스!AE38/분석4B_월별매트릭스!S38-1,"-")</f>
        <v>0.228749680974854</v>
      </c>
      <c r="J11" s="59" t="n">
        <f aca="false">IFERROR(분석4B_월별매트릭스!AF38/분석4B_월별매트릭스!T38-1,"-")</f>
        <v>0.416014512159775</v>
      </c>
      <c r="K11" s="59" t="n">
        <f aca="false">IFERROR(분석4B_월별매트릭스!AG38/분석4B_월별매트릭스!U38-1,"-")</f>
        <v>0.374135151368268</v>
      </c>
      <c r="L11" s="57" t="n">
        <f aca="false">분석4B_월별매트릭스!AA38-분석4B_월별매트릭스!O38</f>
        <v>260752</v>
      </c>
      <c r="M11" s="57" t="n">
        <f aca="false">분석4B_월별매트릭스!AB38-분석4B_월별매트릭스!P38</f>
        <v>27370</v>
      </c>
      <c r="N11" s="57" t="n">
        <f aca="false">분석4B_월별매트릭스!AC38-분석4B_월별매트릭스!Q38</f>
        <v>231280</v>
      </c>
      <c r="O11" s="57" t="n">
        <f aca="false">분석4B_월별매트릭스!AD38-분석4B_월별매트릭스!R38</f>
        <v>315102</v>
      </c>
      <c r="P11" s="57" t="n">
        <f aca="false">분석4B_월별매트릭스!AE38-분석4B_월별매트릭스!S38</f>
        <v>211523</v>
      </c>
      <c r="Q11" s="57" t="n">
        <f aca="false">분석4B_월별매트릭스!AF38-분석4B_월별매트릭스!T38</f>
        <v>377482</v>
      </c>
      <c r="R11" s="57" t="n">
        <f aca="false">분석4B_월별매트릭스!AG38-분석4B_월별매트릭스!U38</f>
        <v>355058</v>
      </c>
      <c r="S11" s="25" t="n">
        <f aca="false">SUMIFS(데이터_품목별!$H$3:$H$2984,데이터_품목별!$E$3:$E$2984,"33",데이터_품목별!$B$3:$B$2984,2025,데이터_품목별!$C$3:$C$2984,"&lt;=7")</f>
        <v>6274023</v>
      </c>
      <c r="T11" s="25" t="n">
        <f aca="false">SUMIFS(데이터_품목별!$H$3:$H$2984,데이터_품목별!$E$3:$E$2984,"33",데이터_품목별!$B$3:$B$2984,2026,데이터_품목별!$C$3:$C$2984,"&lt;=7")</f>
        <v>8052590</v>
      </c>
      <c r="U11" s="36" t="n">
        <f aca="false">IFERROR(T11/S11-1,"-")</f>
        <v>0.283481109329692</v>
      </c>
      <c r="V11" s="34" t="n">
        <f aca="false">(T11-S11)/(SUMIFS(데이터_총괄!$H$3:$H$33,데이터_총괄!$B$3:$B$33,2026,데이터_총괄!$C$3:$C$33,"&lt;=7")-SUMIFS(데이터_총괄!$H$3:$H$33,데이터_총괄!$B$3:$B$33,2025,데이터_총괄!$C$3:$C$33,"&lt;=7"))</f>
        <v>0.0089073512212117</v>
      </c>
      <c r="W11" s="24" t="n">
        <f aca="false">SUMIFS(데이터_품목별!$G$3:$G$2984,데이터_품목별!$E$3:$E$2984,"33",데이터_품목별!$B$3:$B$2984,2026,데이터_품목별!$C$3:$C$2984,"&lt;=7")</f>
        <v>342109.1</v>
      </c>
      <c r="X11" s="36" t="n">
        <f aca="false">IFERROR((T11/W11)/(S11/SUMIFS(데이터_품목별!$G$3:$G$2984,데이터_품목별!$E$3:$E$2984,"33",데이터_품목별!$B$3:$B$2984,2025,데이터_품목별!$C$3:$C$2984,"&lt;=7"))-1,"-")</f>
        <v>0.06559488316777</v>
      </c>
      <c r="Y11" s="67" t="str">
        <f aca="false">IF(OR(W11&lt;100,SUMIFS(데이터_품목별!$G$3:$G$2984,데이터_품목별!$E$3:$E$2984,"33",데이터_품목별!$B$3:$B$2984,2025,데이터_품목별!$C$3:$C$2984,"&lt;=7")&lt;100),"단가 불안정",IF(T11-S11&lt;0,"감소",IF(X11&gt;0.05,"가격 주도",IF(X11&lt;0.02,"물량 주도","혼합"))))</f>
        <v>가격 주도</v>
      </c>
      <c r="Z11" s="25" t="n">
        <f aca="false">SUMIFS(데이터_품목별!$J$3:$J$2984,데이터_품목별!$E$3:$E$2984,"33",데이터_품목별!$B$3:$B$2984,2026,데이터_품목별!$C$3:$C$2984,"&lt;=7")</f>
        <v>1322191</v>
      </c>
      <c r="AA11" s="25" t="n">
        <f aca="false">T11-Z11</f>
        <v>6730399</v>
      </c>
      <c r="AB11" s="65" t="str">
        <f aca="false">IF(T11=0,"자료 없음",IF(U11&gt;1,"1~7월 2배 이상 급증. ",IF(U11&gt;0.5,"1~7월 +50% 초과 급증. ",IF(U11&gt;0.15,"1~7월 뚜렷한 증가. ",IF(U11&gt;0.02,"1~7월 소폭 증가. ",IF(U11&gt;-0.02,"1~7월 보합. ",IF(U11&gt;-0.15,"1~7월 소폭 감소. ","1~7월 뚜렷한 감소. "))))))&amp;"월별로는 "&amp;COUNTIF(E11:K11,"&gt;0")&amp;"개월 증가·"&amp;COUNTIF(E11:K11,"&lt;0")&amp;"개월 감소"&amp;IF(COUNTIF(E11:K11,"&gt;0")=7," (7개월 내내 증가)",IF(COUNTIF(E11:K11,"&lt;0")=7," (7개월 내내 감소)",""))&amp;IFERROR(", 최대 "&amp;TEXT(MAX(E11:K11),"0.0%")&amp;"("&amp;SUBSTITUTE(INDEX($E$5:$K$5,MATCH(MAX(E11:K11),E11:K11,0))," YoY","")&amp;")","")&amp;IFERROR(", 최소 "&amp;TEXT(MIN(E11:K11),"0.0%")&amp;"("&amp;SUBSTITUTE(INDEX($E$5:$K$5,MATCH(MIN(E11:K11),E11:K11,0))," YoY","")&amp;")","")&amp;". "&amp;IF(Y11="가격 주도","단가 상승이 주도. ",IF(Y11="물량 주도","물량 확대가 주도. ",IF(Y11="혼합","물량·단가 동반. ",IF(Y11="감소","감소 품목. ","단가 해석 유보. "))))&amp;IF(V11&gt;0.05,"전체 증가의 5% 이상을 설명하는 대형 품목.",IF(V11&gt;0.005,"전체 증가에 의미 있게 기여.",IF(T11/SUMIFS(데이터_총괄!$H$3:$H$33,데이터_총괄!$B$3:$B$33,2026,데이터_총괄!$C$3:$C$33,"&lt;=7")&lt;0.001,"규모가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41.6%(2026.06), 최소 3.2%(2026.02). 단가 상승이 주도. 전체 증가에 의미 있게 기여.</v>
      </c>
    </row>
    <row r="12" customFormat="false" ht="33.75" hidden="false" customHeight="true" outlineLevel="0" collapsed="false">
      <c r="A12" s="67" t="s">
        <v>19828</v>
      </c>
      <c r="B12" s="68" t="s">
        <v>855</v>
      </c>
      <c r="C12" s="65" t="str">
        <f aca="false">IFERROR(INDEX(데이터_품목별!$F$3:$F$2984,MATCH($B12,데이터_품목별!$E$3:$E$2984,0)),"")</f>
        <v>구리와 그 제품</v>
      </c>
      <c r="D12" s="69" t="s">
        <v>19991</v>
      </c>
      <c r="E12" s="59" t="n">
        <f aca="false">IFERROR(분석4B_월별매트릭스!AA79/분석4B_월별매트릭스!O79-1,"-")</f>
        <v>0.470952321284609</v>
      </c>
      <c r="F12" s="59" t="n">
        <f aca="false">IFERROR(분석4B_월별매트릭스!AB79/분석4B_월별매트릭스!P79-1,"-")</f>
        <v>0.289273189320231</v>
      </c>
      <c r="G12" s="59" t="n">
        <f aca="false">IFERROR(분석4B_월별매트릭스!AC79/분석4B_월별매트릭스!Q79-1,"-")</f>
        <v>0.37200720766518</v>
      </c>
      <c r="H12" s="59" t="n">
        <f aca="false">IFERROR(분석4B_월별매트릭스!AD79/분석4B_월별매트릭스!R79-1,"-")</f>
        <v>0.726009832796529</v>
      </c>
      <c r="I12" s="59" t="n">
        <f aca="false">IFERROR(분석4B_월별매트릭스!AE79/분석4B_월별매트릭스!S79-1,"-")</f>
        <v>0.500748235679431</v>
      </c>
      <c r="J12" s="59" t="n">
        <f aca="false">IFERROR(분석4B_월별매트릭스!AF79/분석4B_월별매트릭스!T79-1,"-")</f>
        <v>0.515760705161944</v>
      </c>
      <c r="K12" s="59" t="n">
        <f aca="false">IFERROR(분석4B_월별매트릭스!AG79/분석4B_월별매트릭스!U79-1,"-")</f>
        <v>0.218478487655778</v>
      </c>
      <c r="L12" s="57" t="n">
        <f aca="false">분석4B_월별매트릭스!AA79-분석4B_월별매트릭스!O79</f>
        <v>199202</v>
      </c>
      <c r="M12" s="57" t="n">
        <f aca="false">분석4B_월별매트릭스!AB79-분석4B_월별매트릭스!P79</f>
        <v>116221</v>
      </c>
      <c r="N12" s="57" t="n">
        <f aca="false">분석4B_월별매트릭스!AC79-분석4B_월별매트릭스!Q79</f>
        <v>163922</v>
      </c>
      <c r="O12" s="57" t="n">
        <f aca="false">분석4B_월별매트릭스!AD79-분석4B_월별매트릭스!R79</f>
        <v>379367</v>
      </c>
      <c r="P12" s="57" t="n">
        <f aca="false">분석4B_월별매트릭스!AE79-분석4B_월별매트릭스!S79</f>
        <v>287438</v>
      </c>
      <c r="Q12" s="57" t="n">
        <f aca="false">분석4B_월별매트릭스!AF79-분석4B_월별매트릭스!T79</f>
        <v>294962</v>
      </c>
      <c r="R12" s="57" t="n">
        <f aca="false">분석4B_월별매트릭스!AG79-분석4B_월별매트릭스!U79</f>
        <v>143458</v>
      </c>
      <c r="S12" s="25" t="n">
        <f aca="false">SUMIFS(데이터_품목별!$H$3:$H$2984,데이터_품목별!$E$3:$E$2984,"74",데이터_품목별!$B$3:$B$2984,2025,데이터_품목별!$C$3:$C$2984,"&lt;=7")</f>
        <v>3590462</v>
      </c>
      <c r="T12" s="25" t="n">
        <f aca="false">SUMIFS(데이터_품목별!$H$3:$H$2984,데이터_품목별!$E$3:$E$2984,"74",데이터_품목별!$B$3:$B$2984,2026,데이터_품목별!$C$3:$C$2984,"&lt;=7")</f>
        <v>5175032</v>
      </c>
      <c r="U12" s="36" t="n">
        <f aca="false">IFERROR(T12/S12-1,"-")</f>
        <v>0.441327606308046</v>
      </c>
      <c r="V12" s="34" t="n">
        <f aca="false">(T12-S12)/(SUMIFS(데이터_총괄!$H$3:$H$33,데이터_총괄!$B$3:$B$33,2026,데이터_총괄!$C$3:$C$33,"&lt;=7")-SUMIFS(데이터_총괄!$H$3:$H$33,데이터_총괄!$B$3:$B$33,2025,데이터_총괄!$C$3:$C$33,"&lt;=7"))</f>
        <v>0.00793578286597886</v>
      </c>
      <c r="W12" s="24" t="n">
        <f aca="false">SUMIFS(데이터_품목별!$G$3:$G$2984,데이터_품목별!$E$3:$E$2984,"74",데이터_품목별!$B$3:$B$2984,2026,데이터_품목별!$C$3:$C$2984,"&lt;=7")</f>
        <v>395163.2</v>
      </c>
      <c r="X12" s="36" t="n">
        <f aca="false">IFERROR((T12/W12)/(S12/SUMIFS(데이터_품목별!$G$3:$G$2984,데이터_품목별!$E$3:$E$2984,"74",데이터_품목별!$B$3:$B$2984,2025,데이터_품목별!$C$3:$C$2984,"&lt;=7"))-1,"-")</f>
        <v>0.345474771421769</v>
      </c>
      <c r="Y12" s="67" t="str">
        <f aca="false">IF(OR(W12&lt;100,SUMIFS(데이터_품목별!$G$3:$G$2984,데이터_품목별!$E$3:$E$2984,"74",데이터_품목별!$B$3:$B$2984,2025,데이터_품목별!$C$3:$C$2984,"&lt;=7")&lt;100),"단가 불안정",IF(T12-S12&lt;0,"감소",IF(X12&gt;0.05,"가격 주도",IF(X12&lt;0.02,"물량 주도","혼합"))))</f>
        <v>가격 주도</v>
      </c>
      <c r="Z12" s="25" t="n">
        <f aca="false">SUMIFS(데이터_품목별!$J$3:$J$2984,데이터_품목별!$E$3:$E$2984,"74",데이터_품목별!$B$3:$B$2984,2026,데이터_품목별!$C$3:$C$2984,"&lt;=7")</f>
        <v>7006441</v>
      </c>
      <c r="AA12" s="25" t="n">
        <f aca="false">T12-Z12</f>
        <v>-1831409</v>
      </c>
      <c r="AB12" s="65" t="str">
        <f aca="false">IF(T12=0,"자료 없음",IF(U12&gt;1,"1~7월 2배 이상 급증. ",IF(U12&gt;0.5,"1~7월 +50% 초과 급증. ",IF(U12&gt;0.15,"1~7월 뚜렷한 증가. ",IF(U12&gt;0.02,"1~7월 소폭 증가. ",IF(U12&gt;-0.02,"1~7월 보합. ",IF(U12&gt;-0.15,"1~7월 소폭 감소. ","1~7월 뚜렷한 감소. "))))))&amp;"월별로는 "&amp;COUNTIF(E12:K12,"&gt;0")&amp;"개월 증가·"&amp;COUNTIF(E12:K12,"&lt;0")&amp;"개월 감소"&amp;IF(COUNTIF(E12:K12,"&gt;0")=7," (7개월 내내 증가)",IF(COUNTIF(E12:K12,"&lt;0")=7," (7개월 내내 감소)",""))&amp;IFERROR(", 최대 "&amp;TEXT(MAX(E12:K12),"0.0%")&amp;"("&amp;SUBSTITUTE(INDEX($E$5:$K$5,MATCH(MAX(E12:K12),E12:K12,0))," YoY","")&amp;")","")&amp;IFERROR(", 최소 "&amp;TEXT(MIN(E12:K12),"0.0%")&amp;"("&amp;SUBSTITUTE(INDEX($E$5:$K$5,MATCH(MIN(E12:K12),E12:K12,0))," YoY","")&amp;")","")&amp;". "&amp;IF(Y12="가격 주도","단가 상승이 주도. ",IF(Y12="물량 주도","물량 확대가 주도. ",IF(Y12="혼합","물량·단가 동반. ",IF(Y12="감소","감소 품목. ","단가 해석 유보. "))))&amp;IF(V12&gt;0.05,"전체 증가의 5% 이상을 설명하는 대형 품목.",IF(V12&gt;0.005,"전체 증가에 의미 있게 기여.",IF(T12/SUMIFS(데이터_총괄!$H$3:$H$33,데이터_총괄!$B$3:$B$33,2026,데이터_총괄!$C$3:$C$33,"&lt;=7")&lt;0.001,"규모가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72.6%(2026.04), 최소 21.8%(2026.07). 단가 상승이 주도. 전체 증가에 의미 있게 기여.</v>
      </c>
    </row>
    <row r="13" customFormat="false" ht="33.75" hidden="false" customHeight="true" outlineLevel="0" collapsed="false">
      <c r="A13" s="67" t="s">
        <v>19810</v>
      </c>
      <c r="B13" s="68" t="s">
        <v>534</v>
      </c>
      <c r="C13" s="65" t="str">
        <f aca="false">IFERROR(INDEX(데이터_품목별!$F$3:$F$2984,MATCH($B13,데이터_품목별!$E$3:$E$2984,0)),"")</f>
        <v>무기화학품, 귀금속ㆍ희토류(稀土類)금속ㆍ방사성원소ㆍ동위원소의 유기화합물이나 무기화합물</v>
      </c>
      <c r="D13" s="69" t="s">
        <v>19992</v>
      </c>
      <c r="E13" s="59" t="n">
        <f aca="false">IFERROR(분석4B_월별매트릭스!AA33/분석4B_월별매트릭스!O33-1,"-")</f>
        <v>0.0797376268939964</v>
      </c>
      <c r="F13" s="59" t="n">
        <f aca="false">IFERROR(분석4B_월별매트릭스!AB33/분석4B_월별매트릭스!P33-1,"-")</f>
        <v>0.042184331294165</v>
      </c>
      <c r="G13" s="59" t="n">
        <f aca="false">IFERROR(분석4B_월별매트릭스!AC33/분석4B_월별매트릭스!Q33-1,"-")</f>
        <v>0.199534310293972</v>
      </c>
      <c r="H13" s="59" t="n">
        <f aca="false">IFERROR(분석4B_월별매트릭스!AD33/분석4B_월별매트릭스!R33-1,"-")</f>
        <v>0.294803343704236</v>
      </c>
      <c r="I13" s="59" t="n">
        <f aca="false">IFERROR(분석4B_월별매트릭스!AE33/분석4B_월별매트릭스!S33-1,"-")</f>
        <v>0.26551991317823</v>
      </c>
      <c r="J13" s="59" t="n">
        <f aca="false">IFERROR(분석4B_월별매트릭스!AF33/분석4B_월별매트릭스!T33-1,"-")</f>
        <v>0.288856978451423</v>
      </c>
      <c r="K13" s="59" t="n">
        <f aca="false">IFERROR(분석4B_월별매트릭스!AG33/분석4B_월별매트릭스!U33-1,"-")</f>
        <v>0.381981575109941</v>
      </c>
      <c r="L13" s="57" t="n">
        <f aca="false">분석4B_월별매트릭스!AA33-분석4B_월별매트릭스!O33</f>
        <v>52941</v>
      </c>
      <c r="M13" s="57" t="n">
        <f aca="false">분석4B_월별매트릭스!AB33-분석4B_월별매트릭스!P33</f>
        <v>30141</v>
      </c>
      <c r="N13" s="57" t="n">
        <f aca="false">분석4B_월별매트릭스!AC33-분석4B_월별매트릭스!Q33</f>
        <v>146794</v>
      </c>
      <c r="O13" s="57" t="n">
        <f aca="false">분석4B_월별매트릭스!AD33-분석4B_월별매트릭스!R33</f>
        <v>226271</v>
      </c>
      <c r="P13" s="57" t="n">
        <f aca="false">분석4B_월별매트릭스!AE33-분석4B_월별매트릭스!S33</f>
        <v>203555</v>
      </c>
      <c r="Q13" s="57" t="n">
        <f aca="false">분석4B_월별매트릭스!AF33-분석4B_월별매트릭스!T33</f>
        <v>223889</v>
      </c>
      <c r="R13" s="57" t="n">
        <f aca="false">분석4B_월별매트릭스!AG33-분석4B_월별매트릭스!U33</f>
        <v>299409</v>
      </c>
      <c r="S13" s="25" t="n">
        <f aca="false">SUMIFS(데이터_품목별!$H$3:$H$2984,데이터_품목별!$E$3:$E$2984,"28",데이터_품목별!$B$3:$B$2984,2025,데이터_품목별!$C$3:$C$2984,"&lt;=7")</f>
        <v>5207207</v>
      </c>
      <c r="T13" s="25" t="n">
        <f aca="false">SUMIFS(데이터_품목별!$H$3:$H$2984,데이터_품목별!$E$3:$E$2984,"28",데이터_품목별!$B$3:$B$2984,2026,데이터_품목별!$C$3:$C$2984,"&lt;=7")</f>
        <v>6390207</v>
      </c>
      <c r="U13" s="36" t="n">
        <f aca="false">IFERROR(T13/S13-1,"-")</f>
        <v>0.227185130147505</v>
      </c>
      <c r="V13" s="34" t="n">
        <f aca="false">(T13-S13)/(SUMIFS(데이터_총괄!$H$3:$H$33,데이터_총괄!$B$3:$B$33,2026,데이터_총괄!$C$3:$C$33,"&lt;=7")-SUMIFS(데이터_총괄!$H$3:$H$33,데이터_총괄!$B$3:$B$33,2025,데이터_총괄!$C$3:$C$33,"&lt;=7"))</f>
        <v>0.00592465535157992</v>
      </c>
      <c r="W13" s="24" t="n">
        <f aca="false">SUMIFS(데이터_품목별!$G$3:$G$2984,데이터_품목별!$E$3:$E$2984,"28",데이터_품목별!$B$3:$B$2984,2026,데이터_품목별!$C$3:$C$2984,"&lt;=7")</f>
        <v>3305393.6</v>
      </c>
      <c r="X13" s="36" t="n">
        <f aca="false">IFERROR((T13/W13)/(S13/SUMIFS(데이터_품목별!$G$3:$G$2984,데이터_품목별!$E$3:$E$2984,"28",데이터_품목별!$B$3:$B$2984,2025,데이터_품목별!$C$3:$C$2984,"&lt;=7"))-1,"-")</f>
        <v>0.156837777700067</v>
      </c>
      <c r="Y13" s="67" t="str">
        <f aca="false">IF(OR(W13&lt;100,SUMIFS(데이터_품목별!$G$3:$G$2984,데이터_품목별!$E$3:$E$2984,"28",데이터_품목별!$B$3:$B$2984,2025,데이터_품목별!$C$3:$C$2984,"&lt;=7")&lt;100),"단가 불안정",IF(T13-S13&lt;0,"감소",IF(X13&gt;0.05,"가격 주도",IF(X13&lt;0.02,"물량 주도","혼합"))))</f>
        <v>가격 주도</v>
      </c>
      <c r="Z13" s="25" t="n">
        <f aca="false">SUMIFS(데이터_품목별!$J$3:$J$2984,데이터_품목별!$E$3:$E$2984,"28",데이터_품목별!$B$3:$B$2984,2026,데이터_품목별!$C$3:$C$2984,"&lt;=7")</f>
        <v>7416490</v>
      </c>
      <c r="AA13" s="25" t="n">
        <f aca="false">T13-Z13</f>
        <v>-1026283</v>
      </c>
      <c r="AB13" s="65" t="str">
        <f aca="false">IF(T13=0,"자료 없음",IF(U13&gt;1,"1~7월 2배 이상 급증. ",IF(U13&gt;0.5,"1~7월 +50% 초과 급증. ",IF(U13&gt;0.15,"1~7월 뚜렷한 증가. ",IF(U13&gt;0.02,"1~7월 소폭 증가. ",IF(U13&gt;-0.02,"1~7월 보합. ",IF(U13&gt;-0.15,"1~7월 소폭 감소. ","1~7월 뚜렷한 감소. "))))))&amp;"월별로는 "&amp;COUNTIF(E13:K13,"&gt;0")&amp;"개월 증가·"&amp;COUNTIF(E13:K13,"&lt;0")&amp;"개월 감소"&amp;IF(COUNTIF(E13:K13,"&gt;0")=7," (7개월 내내 증가)",IF(COUNTIF(E13:K13,"&lt;0")=7," (7개월 내내 감소)",""))&amp;IFERROR(", 최대 "&amp;TEXT(MAX(E13:K13),"0.0%")&amp;"("&amp;SUBSTITUTE(INDEX($E$5:$K$5,MATCH(MAX(E13:K13),E13:K13,0))," YoY","")&amp;")","")&amp;IFERROR(", 최소 "&amp;TEXT(MIN(E13:K13),"0.0%")&amp;"("&amp;SUBSTITUTE(INDEX($E$5:$K$5,MATCH(MIN(E13:K13),E13:K13,0))," YoY","")&amp;")","")&amp;". "&amp;IF(Y13="가격 주도","단가 상승이 주도. ",IF(Y13="물량 주도","물량 확대가 주도. ",IF(Y13="혼합","물량·단가 동반. ",IF(Y13="감소","감소 품목. ","단가 해석 유보. "))))&amp;IF(V13&gt;0.05,"전체 증가의 5% 이상을 설명하는 대형 품목.",IF(V13&gt;0.005,"전체 증가에 의미 있게 기여.",IF(T13/SUMIFS(데이터_총괄!$H$3:$H$33,데이터_총괄!$B$3:$B$33,2026,데이터_총괄!$C$3:$C$33,"&lt;=7")&lt;0.001,"규모가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38.2%(2026.07), 최소 4.2%(2026.02). 단가 상승이 주도. 전체 증가에 의미 있게 기여.</v>
      </c>
    </row>
    <row r="14" customFormat="false" ht="33.75" hidden="false" customHeight="true" outlineLevel="0" collapsed="false">
      <c r="A14" s="67" t="s">
        <v>19812</v>
      </c>
      <c r="B14" s="68" t="s">
        <v>611</v>
      </c>
      <c r="C14" s="65" t="str">
        <f aca="false">IFERROR(INDEX(데이터_품목별!$F$3:$F$2984,MATCH($B14,데이터_품목별!$E$3:$E$2984,0)),"")</f>
        <v>플라스틱과 그 제품</v>
      </c>
      <c r="D14" s="65" t="s">
        <v>19993</v>
      </c>
      <c r="E14" s="59" t="n">
        <f aca="false">IFERROR(분석4B_월별매트릭스!AA44/분석4B_월별매트릭스!O44-1,"-")</f>
        <v>0.057911802434903</v>
      </c>
      <c r="F14" s="59" t="n">
        <f aca="false">IFERROR(분석4B_월별매트릭스!AB44/분석4B_월별매트릭스!P44-1,"-")</f>
        <v>-0.131214005496872</v>
      </c>
      <c r="G14" s="59" t="n">
        <f aca="false">IFERROR(분석4B_월별매트릭스!AC44/분석4B_월별매트릭스!Q44-1,"-")</f>
        <v>0.011444384856458</v>
      </c>
      <c r="H14" s="59" t="n">
        <f aca="false">IFERROR(분석4B_월별매트릭스!AD44/분석4B_월별매트릭스!R44-1,"-")</f>
        <v>0.055352495927222</v>
      </c>
      <c r="I14" s="59" t="n">
        <f aca="false">IFERROR(분석4B_월별매트릭스!AE44/분석4B_월별매트릭스!S44-1,"-")</f>
        <v>0.0760823553028938</v>
      </c>
      <c r="J14" s="59" t="n">
        <f aca="false">IFERROR(분석4B_월별매트릭스!AF44/분석4B_월별매트릭스!T44-1,"-")</f>
        <v>0.20952553070116</v>
      </c>
      <c r="K14" s="59" t="n">
        <f aca="false">IFERROR(분석4B_월별매트릭스!AG44/분석4B_월별매트릭스!U44-1,"-")</f>
        <v>0.111461033439453</v>
      </c>
      <c r="L14" s="57" t="n">
        <f aca="false">분석4B_월별매트릭스!AA44-분석4B_월별매트릭스!O44</f>
        <v>152546</v>
      </c>
      <c r="M14" s="57" t="n">
        <f aca="false">분석4B_월별매트릭스!AB44-분석4B_월별매트릭스!P44</f>
        <v>-392768</v>
      </c>
      <c r="N14" s="57" t="n">
        <f aca="false">분석4B_월별매트릭스!AC44-분석4B_월별매트릭스!Q44</f>
        <v>32778</v>
      </c>
      <c r="O14" s="57" t="n">
        <f aca="false">분석4B_월별매트릭스!AD44-분석4B_월별매트릭스!R44</f>
        <v>175186</v>
      </c>
      <c r="P14" s="57" t="n">
        <f aca="false">분석4B_월별매트릭스!AE44-분석4B_월별매트릭스!S44</f>
        <v>209207</v>
      </c>
      <c r="Q14" s="57" t="n">
        <f aca="false">분석4B_월별매트릭스!AF44-분석4B_월별매트릭스!T44</f>
        <v>570410</v>
      </c>
      <c r="R14" s="57" t="n">
        <f aca="false">분석4B_월별매트릭스!AG44-분석4B_월별매트릭스!U44</f>
        <v>341465</v>
      </c>
      <c r="S14" s="25" t="n">
        <f aca="false">SUMIFS(데이터_품목별!$H$3:$H$2984,데이터_품목별!$E$3:$E$2984,"39",데이터_품목별!$B$3:$B$2984,2025,데이터_품목별!$C$3:$C$2984,"&lt;=7")</f>
        <v>20192146</v>
      </c>
      <c r="T14" s="25" t="n">
        <f aca="false">SUMIFS(데이터_품목별!$H$3:$H$2984,데이터_품목별!$E$3:$E$2984,"39",데이터_품목별!$B$3:$B$2984,2026,데이터_품목별!$C$3:$C$2984,"&lt;=7")</f>
        <v>21280970</v>
      </c>
      <c r="U14" s="36" t="n">
        <f aca="false">IFERROR(T14/S14-1,"-")</f>
        <v>0.0539231441769488</v>
      </c>
      <c r="V14" s="34" t="n">
        <f aca="false">(T14-S14)/(SUMIFS(데이터_총괄!$H$3:$H$33,데이터_총괄!$B$3:$B$33,2026,데이터_총괄!$C$3:$C$33,"&lt;=7")-SUMIFS(데이터_총괄!$H$3:$H$33,데이터_총괄!$B$3:$B$33,2025,데이터_총괄!$C$3:$C$33,"&lt;=7"))</f>
        <v>0.00545300671050604</v>
      </c>
      <c r="W14" s="24" t="n">
        <f aca="false">SUMIFS(데이터_품목별!$G$3:$G$2984,데이터_품목별!$E$3:$E$2984,"39",데이터_품목별!$B$3:$B$2984,2026,데이터_품목별!$C$3:$C$2984,"&lt;=7")</f>
        <v>9751652</v>
      </c>
      <c r="X14" s="36" t="n">
        <f aca="false">IFERROR((T14/W14)/(S14/SUMIFS(데이터_품목별!$G$3:$G$2984,데이터_품목별!$E$3:$E$2984,"39",데이터_품목별!$B$3:$B$2984,2025,데이터_품목별!$C$3:$C$2984,"&lt;=7"))-1,"-")</f>
        <v>0.104201233118915</v>
      </c>
      <c r="Y14" s="67" t="str">
        <f aca="false">IF(OR(W14&lt;100,SUMIFS(데이터_품목별!$G$3:$G$2984,데이터_품목별!$E$3:$E$2984,"39",데이터_품목별!$B$3:$B$2984,2025,데이터_품목별!$C$3:$C$2984,"&lt;=7")&lt;100),"단가 불안정",IF(T14-S14&lt;0,"감소",IF(X14&gt;0.05,"가격 주도",IF(X14&lt;0.02,"물량 주도","혼합"))))</f>
        <v>가격 주도</v>
      </c>
      <c r="Z14" s="25" t="n">
        <f aca="false">SUMIFS(데이터_품목별!$J$3:$J$2984,데이터_품목별!$E$3:$E$2984,"39",데이터_품목별!$B$3:$B$2984,2026,데이터_품목별!$C$3:$C$2984,"&lt;=7")</f>
        <v>8528405</v>
      </c>
      <c r="AA14" s="25" t="n">
        <f aca="false">T14-Z14</f>
        <v>12752565</v>
      </c>
      <c r="AB14" s="65" t="str">
        <f aca="false">IF(T14=0,"자료 없음",IF(U14&gt;1,"1~7월 2배 이상 급증. ",IF(U14&gt;0.5,"1~7월 +50% 초과 급증. ",IF(U14&gt;0.15,"1~7월 뚜렷한 증가. ",IF(U14&gt;0.02,"1~7월 소폭 증가. ",IF(U14&gt;-0.02,"1~7월 보합. ",IF(U14&gt;-0.15,"1~7월 소폭 감소. ","1~7월 뚜렷한 감소. "))))))&amp;"월별로는 "&amp;COUNTIF(E14:K14,"&gt;0")&amp;"개월 증가·"&amp;COUNTIF(E14:K14,"&lt;0")&amp;"개월 감소"&amp;IF(COUNTIF(E14:K14,"&gt;0")=7," (7개월 내내 증가)",IF(COUNTIF(E14:K14,"&lt;0")=7," (7개월 내내 감소)",""))&amp;IFERROR(", 최대 "&amp;TEXT(MAX(E14:K14),"0.0%")&amp;"("&amp;SUBSTITUTE(INDEX($E$5:$K$5,MATCH(MAX(E14:K14),E14:K14,0))," YoY","")&amp;")","")&amp;IFERROR(", 최소 "&amp;TEXT(MIN(E14:K14),"0.0%")&amp;"("&amp;SUBSTITUTE(INDEX($E$5:$K$5,MATCH(MIN(E14:K14),E14:K14,0))," YoY","")&amp;")","")&amp;". "&amp;IF(Y14="가격 주도","단가 상승이 주도. ",IF(Y14="물량 주도","물량 확대가 주도. ",IF(Y14="혼합","물량·단가 동반. ",IF(Y14="감소","감소 품목. ","단가 해석 유보. "))))&amp;IF(V14&gt;0.05,"전체 증가의 5% 이상을 설명하는 대형 품목.",IF(V14&gt;0.005,"전체 증가에 의미 있게 기여.",IF(T14/SUMIFS(데이터_총괄!$H$3:$H$33,데이터_총괄!$B$3:$B$33,2026,데이터_총괄!$C$3:$C$33,"&lt;=7")&lt;0.001,"규모가 작아 총량 영향은 미미.","총량 영향은 제한적."))))</f>
        <v>1~7월 소폭 증가. 월별로는 6개월 증가·1개월 감소, 최대 21.0%(2026.06), 최소 -13.1%(2026.02). 단가 상승이 주도. 전체 증가에 의미 있게 기여.</v>
      </c>
    </row>
    <row r="15" customFormat="false" ht="33.75" hidden="false" customHeight="true" outlineLevel="0" collapsed="false">
      <c r="A15" s="67" t="s">
        <v>19810</v>
      </c>
      <c r="B15" s="68" t="s">
        <v>548</v>
      </c>
      <c r="C15" s="65" t="str">
        <f aca="false">IFERROR(INDEX(데이터_품목별!$F$3:$F$2984,MATCH($B15,데이터_품목별!$E$3:$E$2984,0)),"")</f>
        <v>의료용품</v>
      </c>
      <c r="D15" s="69" t="s">
        <v>19994</v>
      </c>
      <c r="E15" s="59" t="n">
        <f aca="false">IFERROR(분석4B_월별매트릭스!AA35/분석4B_월별매트릭스!O35-1,"-")</f>
        <v>0.117227488047367</v>
      </c>
      <c r="F15" s="59" t="n">
        <f aca="false">IFERROR(분석4B_월별매트릭스!AB35/분석4B_월별매트릭스!P35-1,"-")</f>
        <v>0.189502007022687</v>
      </c>
      <c r="G15" s="59" t="n">
        <f aca="false">IFERROR(분석4B_월별매트릭스!AC35/분석4B_월별매트릭스!Q35-1,"-")</f>
        <v>0.0261942976446794</v>
      </c>
      <c r="H15" s="59" t="n">
        <f aca="false">IFERROR(분석4B_월별매트릭스!AD35/분석4B_월별매트릭스!R35-1,"-")</f>
        <v>0.24909653698699</v>
      </c>
      <c r="I15" s="59" t="n">
        <f aca="false">IFERROR(분석4B_월별매트릭스!AE35/분석4B_월별매트릭스!S35-1,"-")</f>
        <v>0.0844567674051313</v>
      </c>
      <c r="J15" s="59" t="n">
        <f aca="false">IFERROR(분석4B_월별매트릭스!AF35/분석4B_월별매트릭스!T35-1,"-")</f>
        <v>0.194769773950129</v>
      </c>
      <c r="K15" s="59" t="n">
        <f aca="false">IFERROR(분석4B_월별매트릭스!AG35/분석4B_월별매트릭스!U35-1,"-")</f>
        <v>0.47164728794937</v>
      </c>
      <c r="L15" s="57" t="n">
        <f aca="false">분석4B_월별매트릭스!AA35-분석4B_월별매트릭스!O35</f>
        <v>79908</v>
      </c>
      <c r="M15" s="57" t="n">
        <f aca="false">분석4B_월별매트릭스!AB35-분석4B_월별매트릭스!P35</f>
        <v>125153</v>
      </c>
      <c r="N15" s="57" t="n">
        <f aca="false">분석4B_월별매트릭스!AC35-분석4B_월별매트릭스!Q35</f>
        <v>20074</v>
      </c>
      <c r="O15" s="57" t="n">
        <f aca="false">분석4B_월별매트릭스!AD35-분석4B_월별매트릭스!R35</f>
        <v>190242</v>
      </c>
      <c r="P15" s="57" t="n">
        <f aca="false">분석4B_월별매트릭스!AE35-분석4B_월별매트릭스!S35</f>
        <v>64759</v>
      </c>
      <c r="Q15" s="57" t="n">
        <f aca="false">분석4B_월별매트릭스!AF35-분석4B_월별매트릭스!T35</f>
        <v>188885</v>
      </c>
      <c r="R15" s="57" t="n">
        <f aca="false">분석4B_월별매트릭스!AG35-분석4B_월별매트릭스!U35</f>
        <v>275592</v>
      </c>
      <c r="S15" s="25" t="n">
        <f aca="false">SUMIFS(데이터_품목별!$H$3:$H$2984,데이터_품목별!$E$3:$E$2984,"30",데이터_품목별!$B$3:$B$2984,2025,데이터_품목별!$C$3:$C$2984,"&lt;=7")</f>
        <v>5193033</v>
      </c>
      <c r="T15" s="25" t="n">
        <f aca="false">SUMIFS(데이터_품목별!$H$3:$H$2984,데이터_품목별!$E$3:$E$2984,"30",데이터_품목별!$B$3:$B$2984,2026,데이터_품목별!$C$3:$C$2984,"&lt;=7")</f>
        <v>6137646</v>
      </c>
      <c r="U15" s="36" t="n">
        <f aca="false">IFERROR(T15/S15-1,"-")</f>
        <v>0.181900057249781</v>
      </c>
      <c r="V15" s="34" t="n">
        <f aca="false">(T15-S15)/(SUMIFS(데이터_총괄!$H$3:$H$33,데이터_총괄!$B$3:$B$33,2026,데이터_총괄!$C$3:$C$33,"&lt;=7")-SUMIFS(데이터_총괄!$H$3:$H$33,데이터_총괄!$B$3:$B$33,2025,데이터_총괄!$C$3:$C$33,"&lt;=7"))</f>
        <v>0.00473077469621467</v>
      </c>
      <c r="W15" s="24" t="n">
        <f aca="false">SUMIFS(데이터_품목별!$G$3:$G$2984,데이터_품목별!$E$3:$E$2984,"30",데이터_품목별!$B$3:$B$2984,2026,데이터_품목별!$C$3:$C$2984,"&lt;=7")</f>
        <v>18350.8</v>
      </c>
      <c r="X15" s="36" t="n">
        <f aca="false">IFERROR((T15/W15)/(S15/SUMIFS(데이터_품목별!$G$3:$G$2984,데이터_품목별!$E$3:$E$2984,"30",데이터_품목별!$B$3:$B$2984,2025,데이터_품목별!$C$3:$C$2984,"&lt;=7"))-1,"-")</f>
        <v>0.127721801906225</v>
      </c>
      <c r="Y15" s="67" t="str">
        <f aca="false">IF(OR(W15&lt;100,SUMIFS(데이터_품목별!$G$3:$G$2984,데이터_품목별!$E$3:$E$2984,"30",데이터_품목별!$B$3:$B$2984,2025,데이터_품목별!$C$3:$C$2984,"&lt;=7")&lt;100),"단가 불안정",IF(T15-S15&lt;0,"감소",IF(X15&gt;0.05,"가격 주도",IF(X15&lt;0.02,"물량 주도","혼합"))))</f>
        <v>가격 주도</v>
      </c>
      <c r="Z15" s="25" t="n">
        <f aca="false">SUMIFS(데이터_품목별!$J$3:$J$2984,데이터_품목별!$E$3:$E$2984,"30",데이터_품목별!$B$3:$B$2984,2026,데이터_품목별!$C$3:$C$2984,"&lt;=7")</f>
        <v>6854550</v>
      </c>
      <c r="AA15" s="25" t="n">
        <f aca="false">T15-Z15</f>
        <v>-716904</v>
      </c>
      <c r="AB15" s="65" t="str">
        <f aca="false">IF(T15=0,"자료 없음",IF(U15&gt;1,"1~7월 2배 이상 급증. ",IF(U15&gt;0.5,"1~7월 +50% 초과 급증. ",IF(U15&gt;0.15,"1~7월 뚜렷한 증가. ",IF(U15&gt;0.02,"1~7월 소폭 증가. ",IF(U15&gt;-0.02,"1~7월 보합. ",IF(U15&gt;-0.15,"1~7월 소폭 감소. ","1~7월 뚜렷한 감소. "))))))&amp;"월별로는 "&amp;COUNTIF(E15:K15,"&gt;0")&amp;"개월 증가·"&amp;COUNTIF(E15:K15,"&lt;0")&amp;"개월 감소"&amp;IF(COUNTIF(E15:K15,"&gt;0")=7," (7개월 내내 증가)",IF(COUNTIF(E15:K15,"&lt;0")=7," (7개월 내내 감소)",""))&amp;IFERROR(", 최대 "&amp;TEXT(MAX(E15:K15),"0.0%")&amp;"("&amp;SUBSTITUTE(INDEX($E$5:$K$5,MATCH(MAX(E15:K15),E15:K15,0))," YoY","")&amp;")","")&amp;IFERROR(", 최소 "&amp;TEXT(MIN(E15:K15),"0.0%")&amp;"("&amp;SUBSTITUTE(INDEX($E$5:$K$5,MATCH(MIN(E15:K15),E15:K15,0))," YoY","")&amp;")","")&amp;". "&amp;IF(Y15="가격 주도","단가 상승이 주도. ",IF(Y15="물량 주도","물량 확대가 주도. ",IF(Y15="혼합","물량·단가 동반. ",IF(Y15="감소","감소 품목. ","단가 해석 유보. "))))&amp;IF(V15&gt;0.05,"전체 증가의 5% 이상을 설명하는 대형 품목.",IF(V15&gt;0.005,"전체 증가에 의미 있게 기여.",IF(T15/SUMIFS(데이터_총괄!$H$3:$H$33,데이터_총괄!$B$3:$B$33,2026,데이터_총괄!$C$3:$C$33,"&lt;=7")&lt;0.001,"규모가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47.2%(2026.07), 최소 2.6%(2026.03). 단가 상승이 주도. 총량 영향은 제한적.</v>
      </c>
    </row>
    <row r="16" customFormat="false" ht="33.75" hidden="false" customHeight="true" outlineLevel="0" collapsed="false">
      <c r="A16" s="67" t="s">
        <v>19828</v>
      </c>
      <c r="B16" s="68" t="s">
        <v>869</v>
      </c>
      <c r="C16" s="65" t="str">
        <f aca="false">IFERROR(INDEX(데이터_품목별!$F$3:$F$2984,MATCH($B16,데이터_품목별!$E$3:$E$2984,0)),"")</f>
        <v>알루미늄과 그 제품</v>
      </c>
      <c r="D16" s="69" t="s">
        <v>19995</v>
      </c>
      <c r="E16" s="59" t="n">
        <f aca="false">IFERROR(분석4B_월별매트릭스!AA81/분석4B_월별매트릭스!O81-1,"-")</f>
        <v>0.285470007175682</v>
      </c>
      <c r="F16" s="59" t="n">
        <f aca="false">IFERROR(분석4B_월별매트릭스!AB81/분석4B_월별매트릭스!P81-1,"-")</f>
        <v>0.00750478356619366</v>
      </c>
      <c r="G16" s="59" t="n">
        <f aca="false">IFERROR(분석4B_월별매트릭스!AC81/분석4B_월별매트릭스!Q81-1,"-")</f>
        <v>0.221210155326785</v>
      </c>
      <c r="H16" s="59" t="n">
        <f aca="false">IFERROR(분석4B_월별매트릭스!AD81/분석4B_월별매트릭스!R81-1,"-")</f>
        <v>0.20711290018739</v>
      </c>
      <c r="I16" s="59" t="n">
        <f aca="false">IFERROR(분석4B_월별매트릭스!AE81/분석4B_월별매트릭스!S81-1,"-")</f>
        <v>0.411584365174125</v>
      </c>
      <c r="J16" s="59" t="n">
        <f aca="false">IFERROR(분석4B_월별매트릭스!AF81/분석4B_월별매트릭스!T81-1,"-")</f>
        <v>0.544961074701198</v>
      </c>
      <c r="K16" s="59" t="n">
        <f aca="false">IFERROR(분석4B_월별매트릭스!AG81/분석4B_월별매트릭스!U81-1,"-")</f>
        <v>0.3264953765168</v>
      </c>
      <c r="L16" s="57" t="n">
        <f aca="false">분석4B_월별매트릭스!AA81-분석4B_월별매트릭스!O81</f>
        <v>112188</v>
      </c>
      <c r="M16" s="57" t="n">
        <f aca="false">분석4B_월별매트릭스!AB81-분석4B_월별매트릭스!P81</f>
        <v>3326</v>
      </c>
      <c r="N16" s="57" t="n">
        <f aca="false">분석4B_월별매트릭스!AC81-분석4B_월별매트릭스!Q81</f>
        <v>101272</v>
      </c>
      <c r="O16" s="57" t="n">
        <f aca="false">분석4B_월별매트릭스!AD81-분석4B_월별매트릭스!R81</f>
        <v>104446</v>
      </c>
      <c r="P16" s="57" t="n">
        <f aca="false">분석4B_월별매트릭스!AE81-분석4B_월별매트릭스!S81</f>
        <v>173049</v>
      </c>
      <c r="Q16" s="57" t="n">
        <f aca="false">분석4B_월별매트릭스!AF81-분석4B_월별매트릭스!T81</f>
        <v>237233</v>
      </c>
      <c r="R16" s="57" t="n">
        <f aca="false">분석4B_월별매트릭스!AG81-분석4B_월별매트릭스!U81</f>
        <v>154686</v>
      </c>
      <c r="S16" s="25" t="n">
        <f aca="false">SUMIFS(데이터_품목별!$H$3:$H$2984,데이터_품목별!$E$3:$E$2984,"76",데이터_품목별!$B$3:$B$2984,2025,데이터_품목별!$C$3:$C$2984,"&lt;=7")</f>
        <v>3127826</v>
      </c>
      <c r="T16" s="25" t="n">
        <f aca="false">SUMIFS(데이터_품목별!$H$3:$H$2984,데이터_품목별!$E$3:$E$2984,"76",데이터_품목별!$B$3:$B$2984,2026,데이터_품목별!$C$3:$C$2984,"&lt;=7")</f>
        <v>4014026</v>
      </c>
      <c r="U16" s="36" t="n">
        <f aca="false">IFERROR(T16/S16-1,"-")</f>
        <v>0.283327781021067</v>
      </c>
      <c r="V16" s="34" t="n">
        <f aca="false">(T16-S16)/(SUMIFS(데이터_총괄!$H$3:$H$33,데이터_총괄!$B$3:$B$33,2026,데이터_총괄!$C$3:$C$33,"&lt;=7")-SUMIFS(데이터_총괄!$H$3:$H$33,데이터_총괄!$B$3:$B$33,2025,데이터_총괄!$C$3:$C$33,"&lt;=7"))</f>
        <v>0.00443823294384626</v>
      </c>
      <c r="W16" s="24" t="n">
        <f aca="false">SUMIFS(데이터_품목별!$G$3:$G$2984,데이터_품목별!$E$3:$E$2984,"76",데이터_품목별!$B$3:$B$2984,2026,데이터_품목별!$C$3:$C$2984,"&lt;=7")</f>
        <v>862590.1</v>
      </c>
      <c r="X16" s="36" t="n">
        <f aca="false">IFERROR((T16/W16)/(S16/SUMIFS(데이터_품목별!$G$3:$G$2984,데이터_품목별!$E$3:$E$2984,"76",데이터_품목별!$B$3:$B$2984,2025,데이터_품목별!$C$3:$C$2984,"&lt;=7"))-1,"-")</f>
        <v>0.161900162233136</v>
      </c>
      <c r="Y16" s="67" t="str">
        <f aca="false">IF(OR(W16&lt;100,SUMIFS(데이터_품목별!$G$3:$G$2984,데이터_품목별!$E$3:$E$2984,"76",데이터_품목별!$B$3:$B$2984,2025,데이터_품목별!$C$3:$C$2984,"&lt;=7")&lt;100),"단가 불안정",IF(T16-S16&lt;0,"감소",IF(X16&gt;0.05,"가격 주도",IF(X16&lt;0.02,"물량 주도","혼합"))))</f>
        <v>가격 주도</v>
      </c>
      <c r="Z16" s="25" t="n">
        <f aca="false">SUMIFS(데이터_품목별!$J$3:$J$2984,데이터_품목별!$E$3:$E$2984,"76",데이터_품목별!$B$3:$B$2984,2026,데이터_품목별!$C$3:$C$2984,"&lt;=7")</f>
        <v>6769623</v>
      </c>
      <c r="AA16" s="25" t="n">
        <f aca="false">T16-Z16</f>
        <v>-2755597</v>
      </c>
      <c r="AB16" s="65" t="str">
        <f aca="false">IF(T16=0,"자료 없음",IF(U16&gt;1,"1~7월 2배 이상 급증. ",IF(U16&gt;0.5,"1~7월 +50% 초과 급증. ",IF(U16&gt;0.15,"1~7월 뚜렷한 증가. ",IF(U16&gt;0.02,"1~7월 소폭 증가. ",IF(U16&gt;-0.02,"1~7월 보합. ",IF(U16&gt;-0.15,"1~7월 소폭 감소. ","1~7월 뚜렷한 감소. "))))))&amp;"월별로는 "&amp;COUNTIF(E16:K16,"&gt;0")&amp;"개월 증가·"&amp;COUNTIF(E16:K16,"&lt;0")&amp;"개월 감소"&amp;IF(COUNTIF(E16:K16,"&gt;0")=7," (7개월 내내 증가)",IF(COUNTIF(E16:K16,"&lt;0")=7," (7개월 내내 감소)",""))&amp;IFERROR(", 최대 "&amp;TEXT(MAX(E16:K16),"0.0%")&amp;"("&amp;SUBSTITUTE(INDEX($E$5:$K$5,MATCH(MAX(E16:K16),E16:K16,0))," YoY","")&amp;")","")&amp;IFERROR(", 최소 "&amp;TEXT(MIN(E16:K16),"0.0%")&amp;"("&amp;SUBSTITUTE(INDEX($E$5:$K$5,MATCH(MIN(E16:K16),E16:K16,0))," YoY","")&amp;")","")&amp;". "&amp;IF(Y16="가격 주도","단가 상승이 주도. ",IF(Y16="물량 주도","물량 확대가 주도. ",IF(Y16="혼합","물량·단가 동반. ",IF(Y16="감소","감소 품목. ","단가 해석 유보. "))))&amp;IF(V16&gt;0.05,"전체 증가의 5% 이상을 설명하는 대형 품목.",IF(V16&gt;0.005,"전체 증가에 의미 있게 기여.",IF(T16/SUMIFS(데이터_총괄!$H$3:$H$33,데이터_총괄!$B$3:$B$33,2026,데이터_총괄!$C$3:$C$33,"&lt;=7")&lt;0.001,"규모가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54.5%(2026.06), 최소 0.8%(2026.02). 단가 상승이 주도. 총량 영향은 제한적.</v>
      </c>
    </row>
    <row r="17" customFormat="false" ht="33.75" hidden="false" customHeight="true" outlineLevel="0" collapsed="false">
      <c r="A17" s="67" t="s">
        <v>19810</v>
      </c>
      <c r="B17" s="68" t="s">
        <v>541</v>
      </c>
      <c r="C17" s="65" t="str">
        <f aca="false">IFERROR(INDEX(데이터_품목별!$F$3:$F$2984,MATCH($B17,데이터_품목별!$E$3:$E$2984,0)),"")</f>
        <v>유기화학품</v>
      </c>
      <c r="D17" s="69" t="s">
        <v>19996</v>
      </c>
      <c r="E17" s="59" t="n">
        <f aca="false">IFERROR(분석4B_월별매트릭스!AA34/분석4B_월별매트릭스!O34-1,"-")</f>
        <v>0.0366387088481182</v>
      </c>
      <c r="F17" s="59" t="n">
        <f aca="false">IFERROR(분석4B_월별매트릭스!AB34/분석4B_월별매트릭스!P34-1,"-")</f>
        <v>-0.104358915339671</v>
      </c>
      <c r="G17" s="59" t="n">
        <f aca="false">IFERROR(분석4B_월별매트릭스!AC34/분석4B_월별매트릭스!Q34-1,"-")</f>
        <v>0.2498028013075</v>
      </c>
      <c r="H17" s="59" t="n">
        <f aca="false">IFERROR(분석4B_월별매트릭스!AD34/분석4B_월별매트릭스!R34-1,"-")</f>
        <v>0.0964104108316299</v>
      </c>
      <c r="I17" s="59" t="n">
        <f aca="false">IFERROR(분석4B_월별매트릭스!AE34/분석4B_월별매트릭스!S34-1,"-")</f>
        <v>0.0396724014716032</v>
      </c>
      <c r="J17" s="59" t="n">
        <f aca="false">IFERROR(분석4B_월별매트릭스!AF34/분석4B_월별매트릭스!T34-1,"-")</f>
        <v>0.0720308370156118</v>
      </c>
      <c r="K17" s="59" t="n">
        <f aca="false">IFERROR(분석4B_월별매트릭스!AG34/분석4B_월별매트릭스!U34-1,"-")</f>
        <v>0.129095280849127</v>
      </c>
      <c r="L17" s="57" t="n">
        <f aca="false">분석4B_월별매트릭스!AA34-분석4B_월별매트릭스!O34</f>
        <v>59287</v>
      </c>
      <c r="M17" s="57" t="n">
        <f aca="false">분석4B_월별매트릭스!AB34-분석4B_월별매트릭스!P34</f>
        <v>-179542</v>
      </c>
      <c r="N17" s="57" t="n">
        <f aca="false">분석4B_월별매트릭스!AC34-분석4B_월별매트릭스!Q34</f>
        <v>402512</v>
      </c>
      <c r="O17" s="57" t="n">
        <f aca="false">분석4B_월별매트릭스!AD34-분석4B_월별매트릭스!R34</f>
        <v>149840</v>
      </c>
      <c r="P17" s="57" t="n">
        <f aca="false">분석4B_월별매트릭스!AE34-분석4B_월별매트릭스!S34</f>
        <v>58511</v>
      </c>
      <c r="Q17" s="57" t="n">
        <f aca="false">분석4B_월별매트릭스!AF34-분석4B_월별매트릭스!T34</f>
        <v>113261</v>
      </c>
      <c r="R17" s="57" t="n">
        <f aca="false">분석4B_월별매트릭스!AG34-분석4B_월별매트릭스!U34</f>
        <v>209927</v>
      </c>
      <c r="S17" s="25" t="n">
        <f aca="false">SUMIFS(데이터_품목별!$H$3:$H$2984,데이터_품목별!$E$3:$E$2984,"29",데이터_품목별!$B$3:$B$2984,2025,데이터_품목별!$C$3:$C$2984,"&lt;=7")</f>
        <v>11177478</v>
      </c>
      <c r="T17" s="25" t="n">
        <f aca="false">SUMIFS(데이터_품목별!$H$3:$H$2984,데이터_품목별!$E$3:$E$2984,"29",데이터_품목별!$B$3:$B$2984,2026,데이터_품목별!$C$3:$C$2984,"&lt;=7")</f>
        <v>11991274</v>
      </c>
      <c r="U17" s="36" t="n">
        <f aca="false">IFERROR(T17/S17-1,"-")</f>
        <v>0.0728067637440217</v>
      </c>
      <c r="V17" s="34" t="n">
        <f aca="false">(T17-S17)/(SUMIFS(데이터_총괄!$H$3:$H$33,데이터_총괄!$B$3:$B$33,2026,데이터_총괄!$C$3:$C$33,"&lt;=7")-SUMIFS(데이터_총괄!$H$3:$H$33,데이터_총괄!$B$3:$B$33,2025,데이터_총괄!$C$3:$C$33,"&lt;=7"))</f>
        <v>0.00407562200041786</v>
      </c>
      <c r="W17" s="24" t="n">
        <f aca="false">SUMIFS(데이터_품목별!$G$3:$G$2984,데이터_품목별!$E$3:$E$2984,"29",데이터_품목별!$B$3:$B$2984,2026,데이터_품목별!$C$3:$C$2984,"&lt;=7")</f>
        <v>10125851.6</v>
      </c>
      <c r="X17" s="36" t="n">
        <f aca="false">IFERROR((T17/W17)/(S17/SUMIFS(데이터_품목별!$G$3:$G$2984,데이터_품목별!$E$3:$E$2984,"29",데이터_품목별!$B$3:$B$2984,2025,데이터_품목별!$C$3:$C$2984,"&lt;=7"))-1,"-")</f>
        <v>0.189011015672183</v>
      </c>
      <c r="Y17" s="67" t="str">
        <f aca="false">IF(OR(W17&lt;100,SUMIFS(데이터_품목별!$G$3:$G$2984,데이터_품목별!$E$3:$E$2984,"29",데이터_품목별!$B$3:$B$2984,2025,데이터_품목별!$C$3:$C$2984,"&lt;=7")&lt;100),"단가 불안정",IF(T17-S17&lt;0,"감소",IF(X17&gt;0.05,"가격 주도",IF(X17&lt;0.02,"물량 주도","혼합"))))</f>
        <v>가격 주도</v>
      </c>
      <c r="Z17" s="25" t="n">
        <f aca="false">SUMIFS(데이터_품목별!$J$3:$J$2984,데이터_품목별!$E$3:$E$2984,"29",데이터_품목별!$B$3:$B$2984,2026,데이터_품목별!$C$3:$C$2984,"&lt;=7")</f>
        <v>9336858</v>
      </c>
      <c r="AA17" s="25" t="n">
        <f aca="false">T17-Z17</f>
        <v>2654416</v>
      </c>
      <c r="AB17" s="65" t="str">
        <f aca="false">IF(T17=0,"자료 없음",IF(U17&gt;1,"1~7월 2배 이상 급증. ",IF(U17&gt;0.5,"1~7월 +50% 초과 급증. ",IF(U17&gt;0.15,"1~7월 뚜렷한 증가. ",IF(U17&gt;0.02,"1~7월 소폭 증가. ",IF(U17&gt;-0.02,"1~7월 보합. ",IF(U17&gt;-0.15,"1~7월 소폭 감소. ","1~7월 뚜렷한 감소. "))))))&amp;"월별로는 "&amp;COUNTIF(E17:K17,"&gt;0")&amp;"개월 증가·"&amp;COUNTIF(E17:K17,"&lt;0")&amp;"개월 감소"&amp;IF(COUNTIF(E17:K17,"&gt;0")=7," (7개월 내내 증가)",IF(COUNTIF(E17:K17,"&lt;0")=7," (7개월 내내 감소)",""))&amp;IFERROR(", 최대 "&amp;TEXT(MAX(E17:K17),"0.0%")&amp;"("&amp;SUBSTITUTE(INDEX($E$5:$K$5,MATCH(MAX(E17:K17),E17:K17,0))," YoY","")&amp;")","")&amp;IFERROR(", 최소 "&amp;TEXT(MIN(E17:K17),"0.0%")&amp;"("&amp;SUBSTITUTE(INDEX($E$5:$K$5,MATCH(MIN(E17:K17),E17:K17,0))," YoY","")&amp;")","")&amp;". "&amp;IF(Y17="가격 주도","단가 상승이 주도. ",IF(Y17="물량 주도","물량 확대가 주도. ",IF(Y17="혼합","물량·단가 동반. ",IF(Y17="감소","감소 품목. ","단가 해석 유보. "))))&amp;IF(V17&gt;0.05,"전체 증가의 5% 이상을 설명하는 대형 품목.",IF(V17&gt;0.005,"전체 증가에 의미 있게 기여.",IF(T17/SUMIFS(데이터_총괄!$H$3:$H$33,데이터_총괄!$B$3:$B$33,2026,데이터_총괄!$C$3:$C$33,"&lt;=7")&lt;0.001,"규모가 작아 총량 영향은 미미.","총량 영향은 제한적."))))</f>
        <v>1~7월 소폭 증가. 월별로는 6개월 증가·1개월 감소, 최대 25.0%(2026.03), 최소 -10.4%(2026.02). 단가 상승이 주도. 총량 영향은 제한적.</v>
      </c>
    </row>
    <row r="18" customFormat="false" ht="33.75" hidden="false" customHeight="true" outlineLevel="0" collapsed="false">
      <c r="A18" s="67" t="s">
        <v>19834</v>
      </c>
      <c r="B18" s="68" t="s">
        <v>960</v>
      </c>
      <c r="C18" s="65" t="str">
        <f aca="false">IFERROR(INDEX(데이터_품목별!$F$3:$F$2984,MATCH($B18,데이터_품목별!$E$3:$E$2984,0)),"")</f>
        <v>광학기기ㆍ사진용 기기ㆍ영화용 기기ㆍ측정기기ㆍ검사기기ㆍ정밀기기ㆍ의료용 기기, 이들의 부분품과 부속품</v>
      </c>
      <c r="D18" s="69" t="s">
        <v>19997</v>
      </c>
      <c r="E18" s="59" t="n">
        <f aca="false">IFERROR(분석4B_월별매트릭스!AA94/분석4B_월별매트릭스!O94-1,"-")</f>
        <v>0.192052238378169</v>
      </c>
      <c r="F18" s="59" t="n">
        <f aca="false">IFERROR(분석4B_월별매트릭스!AB94/분석4B_월별매트릭스!P94-1,"-")</f>
        <v>-0.156425353558394</v>
      </c>
      <c r="G18" s="59" t="n">
        <f aca="false">IFERROR(분석4B_월별매트릭스!AC94/분석4B_월별매트릭스!Q94-1,"-")</f>
        <v>0.0991021547847513</v>
      </c>
      <c r="H18" s="59" t="n">
        <f aca="false">IFERROR(분석4B_월별매트릭스!AD94/분석4B_월별매트릭스!R94-1,"-")</f>
        <v>0.0051078767535151</v>
      </c>
      <c r="I18" s="59" t="n">
        <f aca="false">IFERROR(분석4B_월별매트릭스!AE94/분석4B_월별매트릭스!S94-1,"-")</f>
        <v>0.00693738124405741</v>
      </c>
      <c r="J18" s="59" t="n">
        <f aca="false">IFERROR(분석4B_월별매트릭스!AF94/분석4B_월별매트릭스!T94-1,"-")</f>
        <v>0.142014135196611</v>
      </c>
      <c r="K18" s="59" t="n">
        <f aca="false">IFERROR(분석4B_월별매트릭스!AG94/분석4B_월별매트릭스!U94-1,"-")</f>
        <v>0.129694520297569</v>
      </c>
      <c r="L18" s="57" t="n">
        <f aca="false">분석4B_월별매트릭스!AA94-분석4B_월별매트릭스!O94</f>
        <v>217764</v>
      </c>
      <c r="M18" s="57" t="n">
        <f aca="false">분석4B_월별매트릭스!AB94-분석4B_월별매트릭스!P94</f>
        <v>-219446</v>
      </c>
      <c r="N18" s="57" t="n">
        <f aca="false">분석4B_월별매트릭스!AC94-분석4B_월별매트릭스!Q94</f>
        <v>135864</v>
      </c>
      <c r="O18" s="57" t="n">
        <f aca="false">분석4B_월별매트릭스!AD94-분석4B_월별매트릭스!R94</f>
        <v>7645</v>
      </c>
      <c r="P18" s="57" t="n">
        <f aca="false">분석4B_월별매트릭스!AE94-분석4B_월별매트릭스!S94</f>
        <v>9208</v>
      </c>
      <c r="Q18" s="57" t="n">
        <f aca="false">분석4B_월별매트릭스!AF94-분석4B_월별매트릭스!T94</f>
        <v>201600</v>
      </c>
      <c r="R18" s="57" t="n">
        <f aca="false">분석4B_월별매트릭스!AG94-분석4B_월별매트릭스!U94</f>
        <v>190169</v>
      </c>
      <c r="S18" s="25" t="n">
        <f aca="false">SUMIFS(데이터_품목별!$H$3:$H$2984,데이터_품목별!$E$3:$E$2984,"90",데이터_품목별!$B$3:$B$2984,2025,데이터_품목별!$C$3:$C$2984,"&lt;=7")</f>
        <v>9617579</v>
      </c>
      <c r="T18" s="25" t="n">
        <f aca="false">SUMIFS(데이터_품목별!$H$3:$H$2984,데이터_품목별!$E$3:$E$2984,"90",데이터_품목별!$B$3:$B$2984,2026,데이터_품목별!$C$3:$C$2984,"&lt;=7")</f>
        <v>10160383</v>
      </c>
      <c r="U18" s="36" t="n">
        <f aca="false">IFERROR(T18/S18-1,"-")</f>
        <v>0.0564387357774758</v>
      </c>
      <c r="V18" s="34" t="n">
        <f aca="false">(T18-S18)/(SUMIFS(데이터_총괄!$H$3:$H$33,데이터_총괄!$B$3:$B$33,2026,데이터_총괄!$C$3:$C$33,"&lt;=7")-SUMIFS(데이터_총괄!$H$3:$H$33,데이터_총괄!$B$3:$B$33,2025,데이터_총괄!$C$3:$C$33,"&lt;=7"))</f>
        <v>0.00271845023115721</v>
      </c>
      <c r="W18" s="24" t="n">
        <f aca="false">SUMIFS(데이터_품목별!$G$3:$G$2984,데이터_품목별!$E$3:$E$2984,"90",데이터_품목별!$B$3:$B$2984,2026,데이터_품목별!$C$3:$C$2984,"&lt;=7")</f>
        <v>107427</v>
      </c>
      <c r="X18" s="36" t="n">
        <f aca="false">IFERROR((T18/W18)/(S18/SUMIFS(데이터_품목별!$G$3:$G$2984,데이터_품목별!$E$3:$E$2984,"90",데이터_품목별!$B$3:$B$2984,2025,데이터_품목별!$C$3:$C$2984,"&lt;=7"))-1,"-")</f>
        <v>0.103779684273038</v>
      </c>
      <c r="Y18" s="67" t="str">
        <f aca="false">IF(OR(W18&lt;100,SUMIFS(데이터_품목별!$G$3:$G$2984,데이터_품목별!$E$3:$E$2984,"90",데이터_품목별!$B$3:$B$2984,2025,데이터_품목별!$C$3:$C$2984,"&lt;=7")&lt;100),"단가 불안정",IF(T18-S18&lt;0,"감소",IF(X18&gt;0.05,"가격 주도",IF(X18&lt;0.02,"물량 주도","혼합"))))</f>
        <v>가격 주도</v>
      </c>
      <c r="Z18" s="25" t="n">
        <f aca="false">SUMIFS(데이터_품목별!$J$3:$J$2984,데이터_품목별!$E$3:$E$2984,"90",데이터_품목별!$B$3:$B$2984,2026,데이터_품목별!$C$3:$C$2984,"&lt;=7")</f>
        <v>15884953</v>
      </c>
      <c r="AA18" s="25" t="n">
        <f aca="false">T18-Z18</f>
        <v>-5724570</v>
      </c>
      <c r="AB18" s="65" t="str">
        <f aca="false">IF(T18=0,"자료 없음",IF(U18&gt;1,"1~7월 2배 이상 급증. ",IF(U18&gt;0.5,"1~7월 +50% 초과 급증. ",IF(U18&gt;0.15,"1~7월 뚜렷한 증가. ",IF(U18&gt;0.02,"1~7월 소폭 증가. ",IF(U18&gt;-0.02,"1~7월 보합. ",IF(U18&gt;-0.15,"1~7월 소폭 감소. ","1~7월 뚜렷한 감소. "))))))&amp;"월별로는 "&amp;COUNTIF(E18:K18,"&gt;0")&amp;"개월 증가·"&amp;COUNTIF(E18:K18,"&lt;0")&amp;"개월 감소"&amp;IF(COUNTIF(E18:K18,"&gt;0")=7," (7개월 내내 증가)",IF(COUNTIF(E18:K18,"&lt;0")=7," (7개월 내내 감소)",""))&amp;IFERROR(", 최대 "&amp;TEXT(MAX(E18:K18),"0.0%")&amp;"("&amp;SUBSTITUTE(INDEX($E$5:$K$5,MATCH(MAX(E18:K18),E18:K18,0))," YoY","")&amp;")","")&amp;IFERROR(", 최소 "&amp;TEXT(MIN(E18:K18),"0.0%")&amp;"("&amp;SUBSTITUTE(INDEX($E$5:$K$5,MATCH(MIN(E18:K18),E18:K18,0))," YoY","")&amp;")","")&amp;". "&amp;IF(Y18="가격 주도","단가 상승이 주도. ",IF(Y18="물량 주도","물량 확대가 주도. ",IF(Y18="혼합","물량·단가 동반. ",IF(Y18="감소","감소 품목. ","단가 해석 유보. "))))&amp;IF(V18&gt;0.05,"전체 증가의 5% 이상을 설명하는 대형 품목.",IF(V18&gt;0.005,"전체 증가에 의미 있게 기여.",IF(T18/SUMIFS(데이터_총괄!$H$3:$H$33,데이터_총괄!$B$3:$B$33,2026,데이터_총괄!$C$3:$C$33,"&lt;=7")&lt;0.001,"규모가 작아 총량 영향은 미미.","총량 영향은 제한적."))))</f>
        <v>1~7월 소폭 증가. 월별로는 6개월 증가·1개월 감소, 최대 19.2%(2026.01), 최소 -15.6%(2026.02). 단가 상승이 주도. 총량 영향은 제한적.</v>
      </c>
    </row>
    <row r="19" customFormat="false" ht="33.75" hidden="false" customHeight="true" outlineLevel="0" collapsed="false">
      <c r="A19" s="67" t="s">
        <v>19810</v>
      </c>
      <c r="B19" s="68" t="s">
        <v>604</v>
      </c>
      <c r="C19" s="65" t="str">
        <f aca="false">IFERROR(INDEX(데이터_품목별!$F$3:$F$2984,MATCH($B19,데이터_품목별!$E$3:$E$2984,0)),"")</f>
        <v>각종 화학공업 생산품</v>
      </c>
      <c r="D19" s="69" t="s">
        <v>19998</v>
      </c>
      <c r="E19" s="59" t="n">
        <f aca="false">IFERROR(분석4B_월별매트릭스!AA43/분석4B_월별매트릭스!O43-1,"-")</f>
        <v>0.181348310342865</v>
      </c>
      <c r="F19" s="59" t="n">
        <f aca="false">IFERROR(분석4B_월별매트릭스!AB43/분석4B_월별매트릭스!P43-1,"-")</f>
        <v>-0.00108118564268367</v>
      </c>
      <c r="G19" s="59" t="n">
        <f aca="false">IFERROR(분석4B_월별매트릭스!AC43/분석4B_월별매트릭스!Q43-1,"-")</f>
        <v>0.114958428086259</v>
      </c>
      <c r="H19" s="59" t="n">
        <f aca="false">IFERROR(분석4B_월별매트릭스!AD43/분석4B_월별매트릭스!R43-1,"-")</f>
        <v>-0.0389044714974046</v>
      </c>
      <c r="I19" s="59" t="n">
        <f aca="false">IFERROR(분석4B_월별매트릭스!AE43/분석4B_월별매트릭스!S43-1,"-")</f>
        <v>0.20658745670764</v>
      </c>
      <c r="J19" s="59" t="n">
        <f aca="false">IFERROR(분석4B_월별매트릭스!AF43/분석4B_월별매트릭스!T43-1,"-")</f>
        <v>0.166726022430003</v>
      </c>
      <c r="K19" s="59" t="n">
        <f aca="false">IFERROR(분석4B_월별매트릭스!AG43/분석4B_월별매트릭스!U43-1,"-")</f>
        <v>0.144527085771867</v>
      </c>
      <c r="L19" s="57" t="n">
        <f aca="false">분석4B_월별매트릭스!AA43-분석4B_월별매트릭스!O43</f>
        <v>95576</v>
      </c>
      <c r="M19" s="57" t="n">
        <f aca="false">분석4B_월별매트릭스!AB43-분석4B_월별매트릭스!P43</f>
        <v>-626</v>
      </c>
      <c r="N19" s="57" t="n">
        <f aca="false">분석4B_월별매트릭스!AC43-분석4B_월별매트릭스!Q43</f>
        <v>77041</v>
      </c>
      <c r="O19" s="57" t="n">
        <f aca="false">분석4B_월별매트릭스!AD43-분석4B_월별매트릭스!R43</f>
        <v>-26742</v>
      </c>
      <c r="P19" s="57" t="n">
        <f aca="false">분석4B_월별매트릭스!AE43-분석4B_월별매트릭스!S43</f>
        <v>117747</v>
      </c>
      <c r="Q19" s="57" t="n">
        <f aca="false">분석4B_월별매트릭스!AF43-분석4B_월별매트릭스!T43</f>
        <v>102994</v>
      </c>
      <c r="R19" s="57" t="n">
        <f aca="false">분석4B_월별매트릭스!AG43-분석4B_월별매트릭스!U43</f>
        <v>94088</v>
      </c>
      <c r="S19" s="25" t="n">
        <f aca="false">SUMIFS(데이터_품목별!$H$3:$H$2984,데이터_품목별!$E$3:$E$2984,"38",데이터_품목별!$B$3:$B$2984,2025,데이터_품목별!$C$3:$C$2984,"&lt;=7")</f>
        <v>4302276</v>
      </c>
      <c r="T19" s="25" t="n">
        <f aca="false">SUMIFS(데이터_품목별!$H$3:$H$2984,데이터_품목별!$E$3:$E$2984,"38",데이터_품목별!$B$3:$B$2984,2026,데이터_품목별!$C$3:$C$2984,"&lt;=7")</f>
        <v>4762354</v>
      </c>
      <c r="U19" s="36" t="n">
        <f aca="false">IFERROR(T19/S19-1,"-")</f>
        <v>0.106938281040082</v>
      </c>
      <c r="V19" s="34" t="n">
        <f aca="false">(T19-S19)/(SUMIFS(데이터_총괄!$H$3:$H$33,데이터_총괄!$B$3:$B$33,2026,데이터_총괄!$C$3:$C$33,"&lt;=7")-SUMIFS(데이터_총괄!$H$3:$H$33,데이터_총괄!$B$3:$B$33,2025,데이터_총괄!$C$3:$C$33,"&lt;=7"))</f>
        <v>0.00230414504213372</v>
      </c>
      <c r="W19" s="24" t="n">
        <f aca="false">SUMIFS(데이터_품목별!$G$3:$G$2984,데이터_품목별!$E$3:$E$2984,"38",데이터_품목별!$B$3:$B$2984,2026,데이터_품목별!$C$3:$C$2984,"&lt;=7")</f>
        <v>878865.4</v>
      </c>
      <c r="X19" s="36" t="n">
        <f aca="false">IFERROR((T19/W19)/(S19/SUMIFS(데이터_품목별!$G$3:$G$2984,데이터_품목별!$E$3:$E$2984,"38",데이터_품목별!$B$3:$B$2984,2025,데이터_품목별!$C$3:$C$2984,"&lt;=7"))-1,"-")</f>
        <v>-0.160780539758841</v>
      </c>
      <c r="Y19" s="67" t="str">
        <f aca="false">IF(OR(W19&lt;100,SUMIFS(데이터_품목별!$G$3:$G$2984,데이터_품목별!$E$3:$E$2984,"38",데이터_품목별!$B$3:$B$2984,2025,데이터_품목별!$C$3:$C$2984,"&lt;=7")&lt;100),"단가 불안정",IF(T19-S19&lt;0,"감소",IF(X19&gt;0.05,"가격 주도",IF(X19&lt;0.02,"물량 주도","혼합"))))</f>
        <v>물량 주도</v>
      </c>
      <c r="Z19" s="25" t="n">
        <f aca="false">SUMIFS(데이터_품목별!$J$3:$J$2984,데이터_품목별!$E$3:$E$2984,"38",데이터_품목별!$B$3:$B$2984,2026,데이터_품목별!$C$3:$C$2984,"&lt;=7")</f>
        <v>6195826</v>
      </c>
      <c r="AA19" s="25" t="n">
        <f aca="false">T19-Z19</f>
        <v>-1433472</v>
      </c>
      <c r="AB19" s="65" t="str">
        <f aca="false">IF(T19=0,"자료 없음",IF(U19&gt;1,"1~7월 2배 이상 급증. ",IF(U19&gt;0.5,"1~7월 +50% 초과 급증. ",IF(U19&gt;0.15,"1~7월 뚜렷한 증가. ",IF(U19&gt;0.02,"1~7월 소폭 증가. ",IF(U19&gt;-0.02,"1~7월 보합. ",IF(U19&gt;-0.15,"1~7월 소폭 감소. ","1~7월 뚜렷한 감소. "))))))&amp;"월별로는 "&amp;COUNTIF(E19:K19,"&gt;0")&amp;"개월 증가·"&amp;COUNTIF(E19:K19,"&lt;0")&amp;"개월 감소"&amp;IF(COUNTIF(E19:K19,"&gt;0")=7," (7개월 내내 증가)",IF(COUNTIF(E19:K19,"&lt;0")=7," (7개월 내내 감소)",""))&amp;IFERROR(", 최대 "&amp;TEXT(MAX(E19:K19),"0.0%")&amp;"("&amp;SUBSTITUTE(INDEX($E$5:$K$5,MATCH(MAX(E19:K19),E19:K19,0))," YoY","")&amp;")","")&amp;IFERROR(", 최소 "&amp;TEXT(MIN(E19:K19),"0.0%")&amp;"("&amp;SUBSTITUTE(INDEX($E$5:$K$5,MATCH(MIN(E19:K19),E19:K19,0))," YoY","")&amp;")","")&amp;". "&amp;IF(Y19="가격 주도","단가 상승이 주도. ",IF(Y19="물량 주도","물량 확대가 주도. ",IF(Y19="혼합","물량·단가 동반. ",IF(Y19="감소","감소 품목. ","단가 해석 유보. "))))&amp;IF(V19&gt;0.05,"전체 증가의 5% 이상을 설명하는 대형 품목.",IF(V19&gt;0.005,"전체 증가에 의미 있게 기여.",IF(T19/SUMIFS(데이터_총괄!$H$3:$H$33,데이터_총괄!$B$3:$B$33,2026,데이터_총괄!$C$3:$C$33,"&lt;=7")&lt;0.001,"규모가 작아 총량 영향은 미미.","총량 영향은 제한적."))))</f>
        <v>1~7월 소폭 증가. 월별로는 5개월 증가·2개월 감소, 최대 20.7%(2026.05), 최소 -3.9%(2026.04). 물량 확대가 주도. 총량 영향은 제한적.</v>
      </c>
    </row>
    <row r="20" customFormat="false" ht="33.75" hidden="false" customHeight="true" outlineLevel="0" collapsed="false">
      <c r="A20" s="67" t="s">
        <v>19800</v>
      </c>
      <c r="B20" s="68" t="s">
        <v>359</v>
      </c>
      <c r="C20" s="65" t="str">
        <f aca="false">IFERROR(INDEX(데이터_품목별!$F$3:$F$2984,MATCH($B20,데이터_품목별!$E$3:$E$2984,0)),"")</f>
        <v>어류ㆍ갑각류ㆍ연체동물과 그 밖의 수생(水生) 무척추동물</v>
      </c>
      <c r="D20" s="69" t="s">
        <v>19999</v>
      </c>
      <c r="E20" s="59" t="n">
        <f aca="false">IFERROR(분석4B_월별매트릭스!AA8/분석4B_월별매트릭스!O8-1,"-")</f>
        <v>0.574874843235417</v>
      </c>
      <c r="F20" s="59" t="n">
        <f aca="false">IFERROR(분석4B_월별매트릭스!AB8/분석4B_월별매트릭스!P8-1,"-")</f>
        <v>0.0544445942015621</v>
      </c>
      <c r="G20" s="59" t="n">
        <f aca="false">IFERROR(분석4B_월별매트릭스!AC8/분석4B_월별매트릭스!Q8-1,"-")</f>
        <v>0.394249732349129</v>
      </c>
      <c r="H20" s="59" t="n">
        <f aca="false">IFERROR(분석4B_월별매트릭스!AD8/분석4B_월별매트릭스!R8-1,"-")</f>
        <v>0.438556682374068</v>
      </c>
      <c r="I20" s="59" t="n">
        <f aca="false">IFERROR(분석4B_월별매트릭스!AE8/분석4B_월별매트릭스!S8-1,"-")</f>
        <v>0.502101580118528</v>
      </c>
      <c r="J20" s="59" t="n">
        <f aca="false">IFERROR(분석4B_월별매트릭스!AF8/분석4B_월별매트릭스!T8-1,"-")</f>
        <v>0.431954960201903</v>
      </c>
      <c r="K20" s="59" t="n">
        <f aca="false">IFERROR(분석4B_월별매트릭스!AG8/분석4B_월별매트릭스!U8-1,"-")</f>
        <v>0.141013766009773</v>
      </c>
      <c r="L20" s="57" t="n">
        <f aca="false">분석4B_월별매트릭스!AA8-분석4B_월별매트릭스!O8</f>
        <v>56382</v>
      </c>
      <c r="M20" s="57" t="n">
        <f aca="false">분석4B_월별매트릭스!AB8-분석4B_월별매트릭스!P8</f>
        <v>7675</v>
      </c>
      <c r="N20" s="57" t="n">
        <f aca="false">분석4B_월별매트릭스!AC8-분석4B_월별매트릭스!Q8</f>
        <v>55974</v>
      </c>
      <c r="O20" s="57" t="n">
        <f aca="false">분석4B_월별매트릭스!AD8-분석4B_월별매트릭스!R8</f>
        <v>63007</v>
      </c>
      <c r="P20" s="57" t="n">
        <f aca="false">분석4B_월별매트릭스!AE8-분석4B_월별매트릭스!S8</f>
        <v>67016</v>
      </c>
      <c r="Q20" s="57" t="n">
        <f aca="false">분석4B_월별매트릭스!AF8-분석4B_월별매트릭스!T8</f>
        <v>55625</v>
      </c>
      <c r="R20" s="57" t="n">
        <f aca="false">분석4B_월별매트릭스!AG8-분석4B_월별매트릭스!U8</f>
        <v>22075</v>
      </c>
      <c r="S20" s="25" t="n">
        <f aca="false">SUMIFS(데이터_품목별!$H$3:$H$2984,데이터_품목별!$E$3:$E$2984,"03",데이터_품목별!$B$3:$B$2984,2025,데이터_품목별!$C$3:$C$2984,"&lt;=7")</f>
        <v>943482</v>
      </c>
      <c r="T20" s="25" t="n">
        <f aca="false">SUMIFS(데이터_품목별!$H$3:$H$2984,데이터_품목별!$E$3:$E$2984,"03",데이터_품목별!$B$3:$B$2984,2026,데이터_품목별!$C$3:$C$2984,"&lt;=7")</f>
        <v>1271236</v>
      </c>
      <c r="U20" s="36" t="n">
        <f aca="false">IFERROR(T20/S20-1,"-")</f>
        <v>0.347387655514361</v>
      </c>
      <c r="V20" s="34" t="n">
        <f aca="false">(T20-S20)/(SUMIFS(데이터_총괄!$H$3:$H$33,데이터_총괄!$B$3:$B$33,2026,데이터_총괄!$C$3:$C$33,"&lt;=7")-SUMIFS(데이터_총괄!$H$3:$H$33,데이터_총괄!$B$3:$B$33,2025,데이터_총괄!$C$3:$C$33,"&lt;=7"))</f>
        <v>0.00164144504657796</v>
      </c>
      <c r="W20" s="24" t="n">
        <f aca="false">SUMIFS(데이터_품목별!$G$3:$G$2984,데이터_품목별!$E$3:$E$2984,"03",데이터_품목별!$B$3:$B$2984,2026,데이터_품목별!$C$3:$C$2984,"&lt;=7")</f>
        <v>384665.8</v>
      </c>
      <c r="X20" s="36" t="n">
        <f aca="false">IFERROR((T20/W20)/(S20/SUMIFS(데이터_품목별!$G$3:$G$2984,데이터_품목별!$E$3:$E$2984,"03",데이터_품목별!$B$3:$B$2984,2025,데이터_품목별!$C$3:$C$2984,"&lt;=7"))-1,"-")</f>
        <v>0.0426898454792231</v>
      </c>
      <c r="Y20" s="67" t="str">
        <f aca="false">IF(OR(W20&lt;100,SUMIFS(데이터_품목별!$G$3:$G$2984,데이터_품목별!$E$3:$E$2984,"03",데이터_품목별!$B$3:$B$2984,2025,데이터_품목별!$C$3:$C$2984,"&lt;=7")&lt;100),"단가 불안정",IF(T20-S20&lt;0,"감소",IF(X20&gt;0.05,"가격 주도",IF(X20&lt;0.02,"물량 주도","혼합"))))</f>
        <v>혼합</v>
      </c>
      <c r="Z20" s="25" t="n">
        <f aca="false">SUMIFS(데이터_품목별!$J$3:$J$2984,데이터_품목별!$E$3:$E$2984,"03",데이터_품목별!$B$3:$B$2984,2026,데이터_품목별!$C$3:$C$2984,"&lt;=7")</f>
        <v>2972250</v>
      </c>
      <c r="AA20" s="25" t="n">
        <f aca="false">T20-Z20</f>
        <v>-1701014</v>
      </c>
      <c r="AB20" s="65" t="str">
        <f aca="false">IF(T20=0,"자료 없음",IF(U20&gt;1,"1~7월 2배 이상 급증. ",IF(U20&gt;0.5,"1~7월 +50% 초과 급증. ",IF(U20&gt;0.15,"1~7월 뚜렷한 증가. ",IF(U20&gt;0.02,"1~7월 소폭 증가. ",IF(U20&gt;-0.02,"1~7월 보합. ",IF(U20&gt;-0.15,"1~7월 소폭 감소. ","1~7월 뚜렷한 감소. "))))))&amp;"월별로는 "&amp;COUNTIF(E20:K20,"&gt;0")&amp;"개월 증가·"&amp;COUNTIF(E20:K20,"&lt;0")&amp;"개월 감소"&amp;IF(COUNTIF(E20:K20,"&gt;0")=7," (7개월 내내 증가)",IF(COUNTIF(E20:K20,"&lt;0")=7," (7개월 내내 감소)",""))&amp;IFERROR(", 최대 "&amp;TEXT(MAX(E20:K20),"0.0%")&amp;"("&amp;SUBSTITUTE(INDEX($E$5:$K$5,MATCH(MAX(E20:K20),E20:K20,0))," YoY","")&amp;")","")&amp;IFERROR(", 최소 "&amp;TEXT(MIN(E20:K20),"0.0%")&amp;"("&amp;SUBSTITUTE(INDEX($E$5:$K$5,MATCH(MIN(E20:K20),E20:K20,0))," YoY","")&amp;")","")&amp;". "&amp;IF(Y20="가격 주도","단가 상승이 주도. ",IF(Y20="물량 주도","물량 확대가 주도. ",IF(Y20="혼합","물량·단가 동반. ",IF(Y20="감소","감소 품목. ","단가 해석 유보. "))))&amp;IF(V20&gt;0.05,"전체 증가의 5% 이상을 설명하는 대형 품목.",IF(V20&gt;0.005,"전체 증가에 의미 있게 기여.",IF(T20/SUMIFS(데이터_총괄!$H$3:$H$33,데이터_총괄!$B$3:$B$33,2026,데이터_총괄!$C$3:$C$33,"&lt;=7")&lt;0.001,"규모가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57.5%(2026.01), 최소 5.4%(2026.02). 물량·단가 동반. 총량 영향은 제한적.</v>
      </c>
    </row>
    <row r="21" customFormat="false" ht="33.75" hidden="false" customHeight="true" outlineLevel="0" collapsed="false">
      <c r="A21" s="67" t="s">
        <v>19806</v>
      </c>
      <c r="B21" s="68" t="s">
        <v>471</v>
      </c>
      <c r="C21" s="65" t="str">
        <f aca="false">IFERROR(INDEX(데이터_품목별!$F$3:$F$2984,MATCH($B21,데이터_품목별!$E$3:$E$2984,0)),"")</f>
        <v>곡물ㆍ고운 가루ㆍ전분ㆍ밀크의 조제품과 베이커리 제품</v>
      </c>
      <c r="D21" s="69" t="s">
        <v>20000</v>
      </c>
      <c r="E21" s="59" t="n">
        <f aca="false">IFERROR(분석4B_월별매트릭스!AA24/분석4B_월별매트릭스!O24-1,"-")</f>
        <v>0.230048838082971</v>
      </c>
      <c r="F21" s="59" t="n">
        <f aca="false">IFERROR(분석4B_월별매트릭스!AB24/분석4B_월별매트릭스!P24-1,"-")</f>
        <v>0.0494195627494782</v>
      </c>
      <c r="G21" s="59" t="n">
        <f aca="false">IFERROR(분석4B_월별매트릭스!AC24/분석4B_월별매트릭스!Q24-1,"-")</f>
        <v>0.305965480093897</v>
      </c>
      <c r="H21" s="59" t="n">
        <f aca="false">IFERROR(분석4B_월별매트릭스!AD24/분석4B_월별매트릭스!R24-1,"-")</f>
        <v>0.209622812262642</v>
      </c>
      <c r="I21" s="59" t="n">
        <f aca="false">IFERROR(분석4B_월별매트릭스!AE24/분석4B_월별매트릭스!S24-1,"-")</f>
        <v>0.142531243800833</v>
      </c>
      <c r="J21" s="59" t="n">
        <f aca="false">IFERROR(분석4B_월별매트릭스!AF24/분석4B_월별매트릭스!T24-1,"-")</f>
        <v>0.220662017607523</v>
      </c>
      <c r="K21" s="59" t="n">
        <f aca="false">IFERROR(분석4B_월별매트릭스!AG24/분석4B_월별매트릭스!U24-1,"-")</f>
        <v>0.136643765314278</v>
      </c>
      <c r="L21" s="57" t="n">
        <f aca="false">분석4B_월별매트릭스!AA24-분석4B_월별매트릭스!O24</f>
        <v>42865</v>
      </c>
      <c r="M21" s="57" t="n">
        <f aca="false">분석4B_월별매트릭스!AB24-분석4B_월별매트릭스!P24</f>
        <v>10796</v>
      </c>
      <c r="N21" s="57" t="n">
        <f aca="false">분석4B_월별매트릭스!AC24-분석4B_월별매트릭스!Q24</f>
        <v>65040</v>
      </c>
      <c r="O21" s="57" t="n">
        <f aca="false">분석4B_월별매트릭스!AD24-분석4B_월별매트릭스!R24</f>
        <v>51885</v>
      </c>
      <c r="P21" s="57" t="n">
        <f aca="false">분석4B_월별매트릭스!AE24-분석4B_월별매트릭스!S24</f>
        <v>31614</v>
      </c>
      <c r="Q21" s="57" t="n">
        <f aca="false">분석4B_월별매트릭스!AF24-분석4B_월별매트릭스!T24</f>
        <v>48951</v>
      </c>
      <c r="R21" s="57" t="n">
        <f aca="false">분석4B_월별매트릭스!AG24-분석4B_월별매트릭스!U24</f>
        <v>31285</v>
      </c>
      <c r="S21" s="25" t="n">
        <f aca="false">SUMIFS(데이터_품목별!$H$3:$H$2984,데이터_품목별!$E$3:$E$2984,"19",데이터_품목별!$B$3:$B$2984,2025,데이터_품목별!$C$3:$C$2984,"&lt;=7")</f>
        <v>1537469</v>
      </c>
      <c r="T21" s="25" t="n">
        <f aca="false">SUMIFS(데이터_품목별!$H$3:$H$2984,데이터_품목별!$E$3:$E$2984,"19",데이터_품목별!$B$3:$B$2984,2026,데이터_품목별!$C$3:$C$2984,"&lt;=7")</f>
        <v>1819905</v>
      </c>
      <c r="U21" s="36" t="n">
        <f aca="false">IFERROR(T21/S21-1,"-")</f>
        <v>0.18370191529065</v>
      </c>
      <c r="V21" s="34" t="n">
        <f aca="false">(T21-S21)/(SUMIFS(데이터_총괄!$H$3:$H$33,데이터_총괄!$B$3:$B$33,2026,데이터_총괄!$C$3:$C$33,"&lt;=7")-SUMIFS(데이터_총괄!$H$3:$H$33,데이터_총괄!$B$3:$B$33,2025,데이터_총괄!$C$3:$C$33,"&lt;=7"))</f>
        <v>0.00141448517234051</v>
      </c>
      <c r="W21" s="24" t="n">
        <f aca="false">SUMIFS(데이터_품목별!$G$3:$G$2984,데이터_품목별!$E$3:$E$2984,"19",데이터_품목별!$B$3:$B$2984,2026,데이터_품목별!$C$3:$C$2984,"&lt;=7")</f>
        <v>445451.7</v>
      </c>
      <c r="X21" s="36" t="n">
        <f aca="false">IFERROR((T21/W21)/(S21/SUMIFS(데이터_품목별!$G$3:$G$2984,데이터_품목별!$E$3:$E$2984,"19",데이터_품목별!$B$3:$B$2984,2025,데이터_품목별!$C$3:$C$2984,"&lt;=7"))-1,"-")</f>
        <v>0.0202310326474975</v>
      </c>
      <c r="Y21" s="67" t="str">
        <f aca="false">IF(OR(W21&lt;100,SUMIFS(데이터_품목별!$G$3:$G$2984,데이터_품목별!$E$3:$E$2984,"19",데이터_품목별!$B$3:$B$2984,2025,데이터_품목별!$C$3:$C$2984,"&lt;=7")&lt;100),"단가 불안정",IF(T21-S21&lt;0,"감소",IF(X21&gt;0.05,"가격 주도",IF(X21&lt;0.02,"물량 주도","혼합"))))</f>
        <v>혼합</v>
      </c>
      <c r="Z21" s="25" t="n">
        <f aca="false">SUMIFS(데이터_품목별!$J$3:$J$2984,데이터_품목별!$E$3:$E$2984,"19",데이터_품목별!$B$3:$B$2984,2026,데이터_품목별!$C$3:$C$2984,"&lt;=7")</f>
        <v>702361</v>
      </c>
      <c r="AA21" s="25" t="n">
        <f aca="false">T21-Z21</f>
        <v>1117544</v>
      </c>
      <c r="AB21" s="65" t="str">
        <f aca="false">IF(T21=0,"자료 없음",IF(U21&gt;1,"1~7월 2배 이상 급증. ",IF(U21&gt;0.5,"1~7월 +50% 초과 급증. ",IF(U21&gt;0.15,"1~7월 뚜렷한 증가. ",IF(U21&gt;0.02,"1~7월 소폭 증가. ",IF(U21&gt;-0.02,"1~7월 보합. ",IF(U21&gt;-0.15,"1~7월 소폭 감소. ","1~7월 뚜렷한 감소. "))))))&amp;"월별로는 "&amp;COUNTIF(E21:K21,"&gt;0")&amp;"개월 증가·"&amp;COUNTIF(E21:K21,"&lt;0")&amp;"개월 감소"&amp;IF(COUNTIF(E21:K21,"&gt;0")=7," (7개월 내내 증가)",IF(COUNTIF(E21:K21,"&lt;0")=7," (7개월 내내 감소)",""))&amp;IFERROR(", 최대 "&amp;TEXT(MAX(E21:K21),"0.0%")&amp;"("&amp;SUBSTITUTE(INDEX($E$5:$K$5,MATCH(MAX(E21:K21),E21:K21,0))," YoY","")&amp;")","")&amp;IFERROR(", 최소 "&amp;TEXT(MIN(E21:K21),"0.0%")&amp;"("&amp;SUBSTITUTE(INDEX($E$5:$K$5,MATCH(MIN(E21:K21),E21:K21,0))," YoY","")&amp;")","")&amp;". "&amp;IF(Y21="가격 주도","단가 상승이 주도. ",IF(Y21="물량 주도","물량 확대가 주도. ",IF(Y21="혼합","물량·단가 동반. ",IF(Y21="감소","감소 품목. ","단가 해석 유보. "))))&amp;IF(V21&gt;0.05,"전체 증가의 5% 이상을 설명하는 대형 품목.",IF(V21&gt;0.005,"전체 증가에 의미 있게 기여.",IF(T21/SUMIFS(데이터_총괄!$H$3:$H$33,데이터_총괄!$B$3:$B$33,2026,데이터_총괄!$C$3:$C$33,"&lt;=7")&lt;0.001,"규모가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30.6%(2026.03), 최소 4.9%(2026.02). 물량·단가 동반. 총량 영향은 제한적.</v>
      </c>
    </row>
    <row r="22" customFormat="false" ht="33.75" hidden="false" customHeight="true" outlineLevel="0" collapsed="false">
      <c r="A22" s="67" t="s">
        <v>19832</v>
      </c>
      <c r="B22" s="68" t="s">
        <v>932</v>
      </c>
      <c r="C22" s="65" t="str">
        <f aca="false">IFERROR(INDEX(데이터_품목별!$F$3:$F$2984,MATCH($B22,데이터_품목별!$E$3:$E$2984,0)),"")</f>
        <v>철도용이나 궤도용 기관차ㆍ차량과 이들의 부분품, 철도용이나 궤도용 장비품과 그 부분품, 기계식(전기기계식을 포함한다) 각종 교통신호용 기기</v>
      </c>
      <c r="D22" s="69" t="s">
        <v>20001</v>
      </c>
      <c r="E22" s="59" t="n">
        <f aca="false">IFERROR(분석4B_월별매트릭스!AA90/분석4B_월별매트릭스!O90-1,"-")</f>
        <v>0.65992451369399</v>
      </c>
      <c r="F22" s="59" t="n">
        <f aca="false">IFERROR(분석4B_월별매트릭스!AB90/분석4B_월별매트릭스!P90-1,"-")</f>
        <v>0.836664094307991</v>
      </c>
      <c r="G22" s="59" t="n">
        <f aca="false">IFERROR(분석4B_월별매트릭스!AC90/분석4B_월별매트릭스!Q90-1,"-")</f>
        <v>1.1619612429001</v>
      </c>
      <c r="H22" s="59" t="n">
        <f aca="false">IFERROR(분석4B_월별매트릭스!AD90/분석4B_월별매트릭스!R90-1,"-")</f>
        <v>0.908269703636599</v>
      </c>
      <c r="I22" s="59" t="n">
        <f aca="false">IFERROR(분석4B_월별매트릭스!AE90/분석4B_월별매트릭스!S90-1,"-")</f>
        <v>1.71470721059762</v>
      </c>
      <c r="J22" s="59" t="n">
        <f aca="false">IFERROR(분석4B_월별매트릭스!AF90/분석4B_월별매트릭스!T90-1,"-")</f>
        <v>0.345116649143247</v>
      </c>
      <c r="K22" s="59" t="n">
        <f aca="false">IFERROR(분석4B_월별매트릭스!AG90/분석4B_월별매트릭스!U90-1,"-")</f>
        <v>2.46486686390533</v>
      </c>
      <c r="L22" s="57" t="n">
        <f aca="false">분석4B_월별매트릭스!AA90-분석4B_월별매트릭스!O90</f>
        <v>27276</v>
      </c>
      <c r="M22" s="57" t="n">
        <f aca="false">분석4B_월별매트릭스!AB90-분석4B_월별매트릭스!P90</f>
        <v>31441</v>
      </c>
      <c r="N22" s="57" t="n">
        <f aca="false">분석4B_월별매트릭스!AC90-분석4B_월별매트릭스!Q90</f>
        <v>27822</v>
      </c>
      <c r="O22" s="57" t="n">
        <f aca="false">분석4B_월별매트릭스!AD90-분석4B_월별매트릭스!R90</f>
        <v>35091</v>
      </c>
      <c r="P22" s="57" t="n">
        <f aca="false">분석4B_월별매트릭스!AE90-분석4B_월별매트릭스!S90</f>
        <v>56954</v>
      </c>
      <c r="Q22" s="57" t="n">
        <f aca="false">분석4B_월별매트릭스!AF90-분석4B_월별매트릭스!T90</f>
        <v>12145</v>
      </c>
      <c r="R22" s="57" t="n">
        <f aca="false">분석4B_월별매트릭스!AG90-분석4B_월별매트릭스!U90</f>
        <v>53320</v>
      </c>
      <c r="S22" s="25" t="n">
        <f aca="false">SUMIFS(데이터_품목별!$H$3:$H$2984,데이터_품목별!$E$3:$E$2984,"86",데이터_품목별!$B$3:$B$2984,2025,데이터_품목별!$C$3:$C$2984,"&lt;=7")</f>
        <v>231528</v>
      </c>
      <c r="T22" s="25" t="n">
        <f aca="false">SUMIFS(데이터_품목별!$H$3:$H$2984,데이터_품목별!$E$3:$E$2984,"86",데이터_품목별!$B$3:$B$2984,2026,데이터_품목별!$C$3:$C$2984,"&lt;=7")</f>
        <v>475577</v>
      </c>
      <c r="U22" s="36" t="n">
        <f aca="false">IFERROR(T22/S22-1,"-")</f>
        <v>1.05407985211292</v>
      </c>
      <c r="V22" s="34" t="n">
        <f aca="false">(T22-S22)/(SUMIFS(데이터_총괄!$H$3:$H$33,데이터_총괄!$B$3:$B$33,2026,데이터_총괄!$C$3:$C$33,"&lt;=7")-SUMIFS(데이터_총괄!$H$3:$H$33,데이터_총괄!$B$3:$B$33,2025,데이터_총괄!$C$3:$C$33,"&lt;=7"))</f>
        <v>0.00122223686720011</v>
      </c>
      <c r="W22" s="24" t="n">
        <f aca="false">SUMIFS(데이터_품목별!$G$3:$G$2984,데이터_품목별!$E$3:$E$2984,"86",데이터_품목별!$B$3:$B$2984,2026,데이터_품목별!$C$3:$C$2984,"&lt;=7")</f>
        <v>85947.8</v>
      </c>
      <c r="X22" s="36" t="n">
        <f aca="false">IFERROR((T22/W22)/(S22/SUMIFS(데이터_품목별!$G$3:$G$2984,데이터_품목별!$E$3:$E$2984,"86",데이터_품목별!$B$3:$B$2984,2025,데이터_품목별!$C$3:$C$2984,"&lt;=7"))-1,"-")</f>
        <v>0.824547581180297</v>
      </c>
      <c r="Y22" s="67" t="str">
        <f aca="false">IF(OR(W22&lt;100,SUMIFS(데이터_품목별!$G$3:$G$2984,데이터_품목별!$E$3:$E$2984,"86",데이터_품목별!$B$3:$B$2984,2025,데이터_품목별!$C$3:$C$2984,"&lt;=7")&lt;100),"단가 불안정",IF(T22-S22&lt;0,"감소",IF(X22&gt;0.05,"가격 주도",IF(X22&lt;0.02,"물량 주도","혼합"))))</f>
        <v>가격 주도</v>
      </c>
      <c r="Z22" s="25" t="n">
        <f aca="false">SUMIFS(데이터_품목별!$J$3:$J$2984,데이터_품목별!$E$3:$E$2984,"86",데이터_품목별!$B$3:$B$2984,2026,데이터_품목별!$C$3:$C$2984,"&lt;=7")</f>
        <v>364722</v>
      </c>
      <c r="AA22" s="25" t="n">
        <f aca="false">T22-Z22</f>
        <v>110855</v>
      </c>
      <c r="AB22" s="65" t="str">
        <f aca="false">IF(T22=0,"자료 없음",IF(U22&gt;1,"1~7월 2배 이상 급증. ",IF(U22&gt;0.5,"1~7월 +50% 초과 급증. ",IF(U22&gt;0.15,"1~7월 뚜렷한 증가. ",IF(U22&gt;0.02,"1~7월 소폭 증가. ",IF(U22&gt;-0.02,"1~7월 보합. ",IF(U22&gt;-0.15,"1~7월 소폭 감소. ","1~7월 뚜렷한 감소. "))))))&amp;"월별로는 "&amp;COUNTIF(E22:K22,"&gt;0")&amp;"개월 증가·"&amp;COUNTIF(E22:K22,"&lt;0")&amp;"개월 감소"&amp;IF(COUNTIF(E22:K22,"&gt;0")=7," (7개월 내내 증가)",IF(COUNTIF(E22:K22,"&lt;0")=7," (7개월 내내 감소)",""))&amp;IFERROR(", 최대 "&amp;TEXT(MAX(E22:K22),"0.0%")&amp;"("&amp;SUBSTITUTE(INDEX($E$5:$K$5,MATCH(MAX(E22:K22),E22:K22,0))," YoY","")&amp;")","")&amp;IFERROR(", 최소 "&amp;TEXT(MIN(E22:K22),"0.0%")&amp;"("&amp;SUBSTITUTE(INDEX($E$5:$K$5,MATCH(MIN(E22:K22),E22:K22,0))," YoY","")&amp;")","")&amp;". "&amp;IF(Y22="가격 주도","단가 상승이 주도. ",IF(Y22="물량 주도","물량 확대가 주도. ",IF(Y22="혼합","물량·단가 동반. ",IF(Y22="감소","감소 품목. ","단가 해석 유보. "))))&amp;IF(V22&gt;0.05,"전체 증가의 5% 이상을 설명하는 대형 품목.",IF(V22&gt;0.005,"전체 증가에 의미 있게 기여.",IF(T22/SUMIFS(데이터_총괄!$H$3:$H$33,데이터_총괄!$B$3:$B$33,2026,데이터_총괄!$C$3:$C$33,"&lt;=7")&lt;0.001,"규모가 작아 총량 영향은 미미.","총량 영향은 제한적."))))</f>
        <v>1~7월 2배 이상 급증. 월별로는 7개월 증가·0개월 감소 (7개월 내내 증가), 최대 246.5%(2026.07), 최소 34.5%(2026.06). 단가 상승이 주도. 규모가 작아 총량 영향은 미미.</v>
      </c>
    </row>
    <row r="23" customFormat="false" ht="33.75" hidden="false" customHeight="true" outlineLevel="0" collapsed="false">
      <c r="A23" s="67" t="s">
        <v>19828</v>
      </c>
      <c r="B23" s="68" t="s">
        <v>904</v>
      </c>
      <c r="C23" s="65" t="str">
        <f aca="false">IFERROR(INDEX(데이터_품목별!$F$3:$F$2984,MATCH($B23,데이터_품목별!$E$3:$E$2984,0)),"")</f>
        <v>비금속(卑金屬)으로 만든 공구ㆍ도구ㆍ칼붙이ㆍ스푼ㆍ포크, 이들의 부분품</v>
      </c>
      <c r="D23" s="69" t="s">
        <v>20002</v>
      </c>
      <c r="E23" s="59" t="n">
        <f aca="false">IFERROR(분석4B_월별매트릭스!AA86/분석4B_월별매트릭스!O86-1,"-")</f>
        <v>0.169811178190666</v>
      </c>
      <c r="F23" s="59" t="n">
        <f aca="false">IFERROR(분석4B_월별매트릭스!AB86/분석4B_월별매트릭스!P86-1,"-")</f>
        <v>0.0593557194287933</v>
      </c>
      <c r="G23" s="59" t="n">
        <f aca="false">IFERROR(분석4B_월별매트릭스!AC86/분석4B_월별매트릭스!Q86-1,"-")</f>
        <v>0.235841810324675</v>
      </c>
      <c r="H23" s="59" t="n">
        <f aca="false">IFERROR(분석4B_월별매트릭스!AD86/분석4B_월별매트릭스!R86-1,"-")</f>
        <v>0.121910188576855</v>
      </c>
      <c r="I23" s="59" t="n">
        <f aca="false">IFERROR(분석4B_월별매트릭스!AE86/분석4B_월별매트릭스!S86-1,"-")</f>
        <v>0.564297488314679</v>
      </c>
      <c r="J23" s="59" t="n">
        <f aca="false">IFERROR(분석4B_월별매트릭스!AF86/분석4B_월별매트릭스!T86-1,"-")</f>
        <v>0.119205617916468</v>
      </c>
      <c r="K23" s="59" t="n">
        <f aca="false">IFERROR(분석4B_월별매트릭스!AG86/분석4B_월별매트릭스!U86-1,"-")</f>
        <v>0.256705978455098</v>
      </c>
      <c r="L23" s="57" t="n">
        <f aca="false">분석4B_월별매트릭스!AA86-분석4B_월별매트릭스!O86</f>
        <v>22474</v>
      </c>
      <c r="M23" s="57" t="n">
        <f aca="false">분석4B_월별매트릭스!AB86-분석4B_월별매트릭스!P86</f>
        <v>8870</v>
      </c>
      <c r="N23" s="57" t="n">
        <f aca="false">분석4B_월별매트릭스!AC86-분석4B_월별매트릭스!Q86</f>
        <v>35310</v>
      </c>
      <c r="O23" s="57" t="n">
        <f aca="false">분석4B_월별매트릭스!AD86-분석4B_월별매트릭스!R86</f>
        <v>22465</v>
      </c>
      <c r="P23" s="57" t="n">
        <f aca="false">분석4B_월별매트릭스!AE86-분석4B_월별매트릭스!S86</f>
        <v>74972</v>
      </c>
      <c r="Q23" s="57" t="n">
        <f aca="false">분석4B_월별매트릭스!AF86-분석4B_월별매트릭스!T86</f>
        <v>19742</v>
      </c>
      <c r="R23" s="57" t="n">
        <f aca="false">분석4B_월별매트릭스!AG86-분석4B_월별매트릭스!U86</f>
        <v>50281</v>
      </c>
      <c r="S23" s="25" t="n">
        <f aca="false">SUMIFS(데이터_품목별!$H$3:$H$2984,데이터_품목별!$E$3:$E$2984,"82",데이터_품목별!$B$3:$B$2984,2025,데이터_품목별!$C$3:$C$2984,"&lt;=7")</f>
        <v>1110121</v>
      </c>
      <c r="T23" s="25" t="n">
        <f aca="false">SUMIFS(데이터_품목별!$H$3:$H$2984,데이터_품목별!$E$3:$E$2984,"82",데이터_품목별!$B$3:$B$2984,2026,데이터_품목별!$C$3:$C$2984,"&lt;=7")</f>
        <v>1344235</v>
      </c>
      <c r="U23" s="36" t="n">
        <f aca="false">IFERROR(T23/S23-1,"-")</f>
        <v>0.210890524546423</v>
      </c>
      <c r="V23" s="34" t="n">
        <f aca="false">(T23-S23)/(SUMIFS(데이터_총괄!$H$3:$H$33,데이터_총괄!$B$3:$B$33,2026,데이터_총괄!$C$3:$C$33,"&lt;=7")-SUMIFS(데이터_총괄!$H$3:$H$33,데이터_총괄!$B$3:$B$33,2025,데이터_총괄!$C$3:$C$33,"&lt;=7"))</f>
        <v>0.00117248078020269</v>
      </c>
      <c r="W23" s="24" t="n">
        <f aca="false">SUMIFS(데이터_품목별!$G$3:$G$2984,데이터_품목별!$E$3:$E$2984,"82",데이터_품목별!$B$3:$B$2984,2026,데이터_품목별!$C$3:$C$2984,"&lt;=7")</f>
        <v>68245.6</v>
      </c>
      <c r="X23" s="36" t="n">
        <f aca="false">IFERROR((T23/W23)/(S23/SUMIFS(데이터_품목별!$G$3:$G$2984,데이터_품목별!$E$3:$E$2984,"82",데이터_품목별!$B$3:$B$2984,2025,데이터_품목별!$C$3:$C$2984,"&lt;=7"))-1,"-")</f>
        <v>-0.0840819075865564</v>
      </c>
      <c r="Y23" s="67" t="str">
        <f aca="false">IF(OR(W23&lt;100,SUMIFS(데이터_품목별!$G$3:$G$2984,데이터_품목별!$E$3:$E$2984,"82",데이터_품목별!$B$3:$B$2984,2025,데이터_품목별!$C$3:$C$2984,"&lt;=7")&lt;100),"단가 불안정",IF(T23-S23&lt;0,"감소",IF(X23&gt;0.05,"가격 주도",IF(X23&lt;0.02,"물량 주도","혼합"))))</f>
        <v>물량 주도</v>
      </c>
      <c r="Z23" s="25" t="n">
        <f aca="false">SUMIFS(데이터_품목별!$J$3:$J$2984,데이터_품목별!$E$3:$E$2984,"82",데이터_품목별!$B$3:$B$2984,2026,데이터_품목별!$C$3:$C$2984,"&lt;=7")</f>
        <v>653461</v>
      </c>
      <c r="AA23" s="25" t="n">
        <f aca="false">T23-Z23</f>
        <v>690774</v>
      </c>
      <c r="AB23" s="65" t="str">
        <f aca="false">IF(T23=0,"자료 없음",IF(U23&gt;1,"1~7월 2배 이상 급증. ",IF(U23&gt;0.5,"1~7월 +50% 초과 급증. ",IF(U23&gt;0.15,"1~7월 뚜렷한 증가. ",IF(U23&gt;0.02,"1~7월 소폭 증가. ",IF(U23&gt;-0.02,"1~7월 보합. ",IF(U23&gt;-0.15,"1~7월 소폭 감소. ","1~7월 뚜렷한 감소. "))))))&amp;"월별로는 "&amp;COUNTIF(E23:K23,"&gt;0")&amp;"개월 증가·"&amp;COUNTIF(E23:K23,"&lt;0")&amp;"개월 감소"&amp;IF(COUNTIF(E23:K23,"&gt;0")=7," (7개월 내내 증가)",IF(COUNTIF(E23:K23,"&lt;0")=7," (7개월 내내 감소)",""))&amp;IFERROR(", 최대 "&amp;TEXT(MAX(E23:K23),"0.0%")&amp;"("&amp;SUBSTITUTE(INDEX($E$5:$K$5,MATCH(MAX(E23:K23),E23:K23,0))," YoY","")&amp;")","")&amp;IFERROR(", 최소 "&amp;TEXT(MIN(E23:K23),"0.0%")&amp;"("&amp;SUBSTITUTE(INDEX($E$5:$K$5,MATCH(MIN(E23:K23),E23:K23,0))," YoY","")&amp;")","")&amp;". "&amp;IF(Y23="가격 주도","단가 상승이 주도. ",IF(Y23="물량 주도","물량 확대가 주도. ",IF(Y23="혼합","물량·단가 동반. ",IF(Y23="감소","감소 품목. ","단가 해석 유보. "))))&amp;IF(V23&gt;0.05,"전체 증가의 5% 이상을 설명하는 대형 품목.",IF(V23&gt;0.005,"전체 증가에 의미 있게 기여.",IF(T23/SUMIFS(데이터_총괄!$H$3:$H$33,데이터_총괄!$B$3:$B$33,2026,데이터_총괄!$C$3:$C$33,"&lt;=7")&lt;0.001,"규모가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56.4%(2026.05), 최소 5.9%(2026.02). 물량 확대가 주도. 총량 영향은 제한적.</v>
      </c>
    </row>
    <row r="24" customFormat="false" ht="33.75" hidden="false" customHeight="true" outlineLevel="0" collapsed="false">
      <c r="A24" s="67" t="s">
        <v>19828</v>
      </c>
      <c r="B24" s="68" t="s">
        <v>883</v>
      </c>
      <c r="C24" s="65" t="str">
        <f aca="false">IFERROR(INDEX(데이터_품목별!$F$3:$F$2984,MATCH($B24,데이터_품목별!$E$3:$E$2984,0)),"")</f>
        <v>아연과 그 제품</v>
      </c>
      <c r="D24" s="69" t="s">
        <v>884</v>
      </c>
      <c r="E24" s="59" t="n">
        <f aca="false">IFERROR(분석4B_월별매트릭스!AA83/분석4B_월별매트릭스!O83-1,"-")</f>
        <v>0.65173853190639</v>
      </c>
      <c r="F24" s="59" t="n">
        <f aca="false">IFERROR(분석4B_월별매트릭스!AB83/분석4B_월별매트릭스!P83-1,"-")</f>
        <v>0.491169161097918</v>
      </c>
      <c r="G24" s="59" t="n">
        <f aca="false">IFERROR(분석4B_월별매트릭스!AC83/분석4B_월별매트릭스!Q83-1,"-")</f>
        <v>0.682933318552187</v>
      </c>
      <c r="H24" s="59" t="n">
        <f aca="false">IFERROR(분석4B_월별매트릭스!AD83/분석4B_월별매트릭스!R83-1,"-")</f>
        <v>0.584388434132265</v>
      </c>
      <c r="I24" s="59" t="n">
        <f aca="false">IFERROR(분석4B_월별매트릭스!AE83/분석4B_월별매트릭스!S83-1,"-")</f>
        <v>0.265641191274039</v>
      </c>
      <c r="J24" s="59" t="n">
        <f aca="false">IFERROR(분석4B_월별매트릭스!AF83/분석4B_월별매트릭스!T83-1,"-")</f>
        <v>-0.0231701635799485</v>
      </c>
      <c r="K24" s="59" t="n">
        <f aca="false">IFERROR(분석4B_월별매트릭스!AG83/분석4B_월별매트릭스!U83-1,"-")</f>
        <v>-0.179711377078737</v>
      </c>
      <c r="L24" s="57" t="n">
        <f aca="false">분석4B_월별매트릭스!AA83-분석4B_월별매트릭스!O83</f>
        <v>58706</v>
      </c>
      <c r="M24" s="57" t="n">
        <f aca="false">분석4B_월별매트릭스!AB83-분석4B_월별매트릭스!P83</f>
        <v>44468</v>
      </c>
      <c r="N24" s="57" t="n">
        <f aca="false">분석4B_월별매트릭스!AC83-분석4B_월별매트릭스!Q83</f>
        <v>61604</v>
      </c>
      <c r="O24" s="57" t="n">
        <f aca="false">분석4B_월별매트릭스!AD83-분석4B_월별매트릭스!R83</f>
        <v>59541</v>
      </c>
      <c r="P24" s="57" t="n">
        <f aca="false">분석4B_월별매트릭스!AE83-분석4B_월별매트릭스!S83</f>
        <v>19739</v>
      </c>
      <c r="Q24" s="57" t="n">
        <f aca="false">분석4B_월별매트릭스!AF83-분석4B_월별매트릭스!T83</f>
        <v>-2636</v>
      </c>
      <c r="R24" s="57" t="n">
        <f aca="false">분석4B_월별매트릭스!AG83-분석4B_월별매트릭스!U83</f>
        <v>-24520</v>
      </c>
      <c r="S24" s="25" t="n">
        <f aca="false">SUMIFS(데이터_품목별!$H$3:$H$2984,데이터_품목별!$E$3:$E$2984,"79",데이터_품목별!$B$3:$B$2984,2025,데이터_품목별!$C$3:$C$2984,"&lt;=7")</f>
        <v>697217</v>
      </c>
      <c r="T24" s="25" t="n">
        <f aca="false">SUMIFS(데이터_품목별!$H$3:$H$2984,데이터_품목별!$E$3:$E$2984,"79",데이터_품목별!$B$3:$B$2984,2026,데이터_품목별!$C$3:$C$2984,"&lt;=7")</f>
        <v>914119</v>
      </c>
      <c r="U24" s="36" t="n">
        <f aca="false">IFERROR(T24/S24-1,"-")</f>
        <v>0.311096832119699</v>
      </c>
      <c r="V24" s="34" t="n">
        <f aca="false">(T24-S24)/(SUMIFS(데이터_총괄!$H$3:$H$33,데이터_총괄!$B$3:$B$33,2026,데이터_총괄!$C$3:$C$33,"&lt;=7")-SUMIFS(데이터_총괄!$H$3:$H$33,데이터_총괄!$B$3:$B$33,2025,데이터_총괄!$C$3:$C$33,"&lt;=7"))</f>
        <v>0.00108628030014234</v>
      </c>
      <c r="W24" s="24" t="n">
        <f aca="false">SUMIFS(데이터_품목별!$G$3:$G$2984,데이터_품목별!$E$3:$E$2984,"79",데이터_품목별!$B$3:$B$2984,2026,데이터_품목별!$C$3:$C$2984,"&lt;=7")</f>
        <v>259738.7</v>
      </c>
      <c r="X24" s="36" t="n">
        <f aca="false">IFERROR((T24/W24)/(S24/SUMIFS(데이터_품목별!$G$3:$G$2984,데이터_품목별!$E$3:$E$2984,"79",데이터_품목별!$B$3:$B$2984,2025,데이터_품목별!$C$3:$C$2984,"&lt;=7"))-1,"-")</f>
        <v>0.19566380432569</v>
      </c>
      <c r="Y24" s="67" t="str">
        <f aca="false">IF(OR(W24&lt;100,SUMIFS(데이터_품목별!$G$3:$G$2984,데이터_품목별!$E$3:$E$2984,"79",데이터_품목별!$B$3:$B$2984,2025,데이터_품목별!$C$3:$C$2984,"&lt;=7")&lt;100),"단가 불안정",IF(T24-S24&lt;0,"감소",IF(X24&gt;0.05,"가격 주도",IF(X24&lt;0.02,"물량 주도","혼합"))))</f>
        <v>가격 주도</v>
      </c>
      <c r="Z24" s="25" t="n">
        <f aca="false">SUMIFS(데이터_품목별!$J$3:$J$2984,데이터_품목별!$E$3:$E$2984,"79",데이터_품목별!$B$3:$B$2984,2026,데이터_품목별!$C$3:$C$2984,"&lt;=7")</f>
        <v>67200</v>
      </c>
      <c r="AA24" s="25" t="n">
        <f aca="false">T24-Z24</f>
        <v>846919</v>
      </c>
      <c r="AB24" s="65" t="str">
        <f aca="false">IF(T24=0,"자료 없음",IF(U24&gt;1,"1~7월 2배 이상 급증. ",IF(U24&gt;0.5,"1~7월 +50% 초과 급증. ",IF(U24&gt;0.15,"1~7월 뚜렷한 증가. ",IF(U24&gt;0.02,"1~7월 소폭 증가. ",IF(U24&gt;-0.02,"1~7월 보합. ",IF(U24&gt;-0.15,"1~7월 소폭 감소. ","1~7월 뚜렷한 감소. "))))))&amp;"월별로는 "&amp;COUNTIF(E24:K24,"&gt;0")&amp;"개월 증가·"&amp;COUNTIF(E24:K24,"&lt;0")&amp;"개월 감소"&amp;IF(COUNTIF(E24:K24,"&gt;0")=7," (7개월 내내 증가)",IF(COUNTIF(E24:K24,"&lt;0")=7," (7개월 내내 감소)",""))&amp;IFERROR(", 최대 "&amp;TEXT(MAX(E24:K24),"0.0%")&amp;"("&amp;SUBSTITUTE(INDEX($E$5:$K$5,MATCH(MAX(E24:K24),E24:K24,0))," YoY","")&amp;")","")&amp;IFERROR(", 최소 "&amp;TEXT(MIN(E24:K24),"0.0%")&amp;"("&amp;SUBSTITUTE(INDEX($E$5:$K$5,MATCH(MIN(E24:K24),E24:K24,0))," YoY","")&amp;")","")&amp;". "&amp;IF(Y24="가격 주도","단가 상승이 주도. ",IF(Y24="물량 주도","물량 확대가 주도. ",IF(Y24="혼합","물량·단가 동반. ",IF(Y24="감소","감소 품목. ","단가 해석 유보. "))))&amp;IF(V24&gt;0.05,"전체 증가의 5% 이상을 설명하는 대형 품목.",IF(V24&gt;0.005,"전체 증가에 의미 있게 기여.",IF(T24/SUMIFS(데이터_총괄!$H$3:$H$33,데이터_총괄!$B$3:$B$33,2026,데이터_총괄!$C$3:$C$33,"&lt;=7")&lt;0.001,"규모가 작아 총량 영향은 미미.","총량 영향은 제한적."))))</f>
        <v>1~7월 뚜렷한 증가. 월별로는 5개월 증가·2개월 감소, 최대 68.3%(2026.03), 최소 -18.0%(2026.07). 단가 상승이 주도. 총량 영향은 제한적.</v>
      </c>
    </row>
    <row r="25" customFormat="false" ht="33.75" hidden="false" customHeight="true" outlineLevel="0" collapsed="false">
      <c r="A25" s="67" t="s">
        <v>19808</v>
      </c>
      <c r="B25" s="68" t="s">
        <v>513</v>
      </c>
      <c r="C25" s="65" t="str">
        <f aca="false">IFERROR(INDEX(데이터_품목별!$F$3:$F$2984,MATCH($B25,데이터_품목별!$E$3:$E$2984,0)),"")</f>
        <v>소금, 황, 토석류(土石類), 석고ㆍ석회ㆍ시멘트</v>
      </c>
      <c r="D25" s="69" t="s">
        <v>20003</v>
      </c>
      <c r="E25" s="59" t="n">
        <f aca="false">IFERROR(분석4B_월별매트릭스!AA30/분석4B_월별매트릭스!O30-1,"-")</f>
        <v>1.22797136038186</v>
      </c>
      <c r="F25" s="59" t="n">
        <f aca="false">IFERROR(분석4B_월별매트릭스!AB30/분석4B_월별매트릭스!P30-1,"-")</f>
        <v>1.11164053075995</v>
      </c>
      <c r="G25" s="59" t="n">
        <f aca="false">IFERROR(분석4B_월별매트릭스!AC30/분석4B_월별매트릭스!Q30-1,"-")</f>
        <v>1.33436522727991</v>
      </c>
      <c r="H25" s="59" t="n">
        <f aca="false">IFERROR(분석4B_월별매트릭스!AD30/분석4B_월별매트릭스!R30-1,"-")</f>
        <v>0.101447266823734</v>
      </c>
      <c r="I25" s="59" t="n">
        <f aca="false">IFERROR(분석4B_월별매트릭스!AE30/분석4B_월별매트릭스!S30-1,"-")</f>
        <v>0.333524141363863</v>
      </c>
      <c r="J25" s="59" t="n">
        <f aca="false">IFERROR(분석4B_월별매트릭스!AF30/분석4B_월별매트릭스!T30-1,"-")</f>
        <v>0.630863086308631</v>
      </c>
      <c r="K25" s="59" t="n">
        <f aca="false">IFERROR(분석4B_월별매트릭스!AG30/분석4B_월별매트릭스!U30-1,"-")</f>
        <v>1.11270408490788</v>
      </c>
      <c r="L25" s="57" t="n">
        <f aca="false">분석4B_월별매트릭스!AA30-분석4B_월별매트릭스!O30</f>
        <v>38589</v>
      </c>
      <c r="M25" s="57" t="n">
        <f aca="false">분석4B_월별매트릭스!AB30-분석4B_월별매트릭스!P30</f>
        <v>36862</v>
      </c>
      <c r="N25" s="57" t="n">
        <f aca="false">분석4B_월별매트릭스!AC30-분석4B_월별매트릭스!Q30</f>
        <v>42242</v>
      </c>
      <c r="O25" s="57" t="n">
        <f aca="false">분석4B_월별매트릭스!AD30-분석4B_월별매트릭스!R30</f>
        <v>5124</v>
      </c>
      <c r="P25" s="57" t="n">
        <f aca="false">분석4B_월별매트릭스!AE30-분석4B_월별매트릭스!S30</f>
        <v>13401</v>
      </c>
      <c r="Q25" s="57" t="n">
        <f aca="false">분석4B_월별매트릭스!AF30-분석4B_월별매트릭스!T30</f>
        <v>25232</v>
      </c>
      <c r="R25" s="57" t="n">
        <f aca="false">분석4B_월별매트릭스!AG30-분석4B_월별매트릭스!U30</f>
        <v>52000</v>
      </c>
      <c r="S25" s="25" t="n">
        <f aca="false">SUMIFS(데이터_품목별!$H$3:$H$2984,데이터_품목별!$E$3:$E$2984,"25",데이터_품목별!$B$3:$B$2984,2025,데이터_품목별!$C$3:$C$2984,"&lt;=7")</f>
        <v>273660</v>
      </c>
      <c r="T25" s="25" t="n">
        <f aca="false">SUMIFS(데이터_품목별!$H$3:$H$2984,데이터_품목별!$E$3:$E$2984,"25",데이터_품목별!$B$3:$B$2984,2026,데이터_품목별!$C$3:$C$2984,"&lt;=7")</f>
        <v>487110</v>
      </c>
      <c r="U25" s="36" t="n">
        <f aca="false">IFERROR(T25/S25-1,"-")</f>
        <v>0.779982459986845</v>
      </c>
      <c r="V25" s="34" t="n">
        <f aca="false">(T25-S25)/(SUMIFS(데이터_총괄!$H$3:$H$33,데이터_총괄!$B$3:$B$33,2026,데이터_총괄!$C$3:$C$33,"&lt;=7")-SUMIFS(데이터_총괄!$H$3:$H$33,데이터_총괄!$B$3:$B$33,2025,데이터_총괄!$C$3:$C$33,"&lt;=7"))</f>
        <v>0.00106899212577746</v>
      </c>
      <c r="W25" s="24" t="n">
        <f aca="false">SUMIFS(데이터_품목별!$G$3:$G$2984,데이터_품목별!$E$3:$E$2984,"25",데이터_품목별!$B$3:$B$2984,2026,데이터_품목별!$C$3:$C$2984,"&lt;=7")</f>
        <v>3019640.3</v>
      </c>
      <c r="X25" s="36" t="n">
        <f aca="false">IFERROR((T25/W25)/(S25/SUMIFS(데이터_품목별!$G$3:$G$2984,데이터_품목별!$E$3:$E$2984,"25",데이터_품목별!$B$3:$B$2984,2025,데이터_품목별!$C$3:$C$2984,"&lt;=7"))-1,"-")</f>
        <v>1.31623103620846</v>
      </c>
      <c r="Y25" s="67" t="str">
        <f aca="false">IF(OR(W25&lt;100,SUMIFS(데이터_품목별!$G$3:$G$2984,데이터_품목별!$E$3:$E$2984,"25",데이터_품목별!$B$3:$B$2984,2025,데이터_품목별!$C$3:$C$2984,"&lt;=7")&lt;100),"단가 불안정",IF(T25-S25&lt;0,"감소",IF(X25&gt;0.05,"가격 주도",IF(X25&lt;0.02,"물량 주도","혼합"))))</f>
        <v>가격 주도</v>
      </c>
      <c r="Z25" s="25" t="n">
        <f aca="false">SUMIFS(데이터_품목별!$J$3:$J$2984,데이터_품목별!$E$3:$E$2984,"25",데이터_품목별!$B$3:$B$2984,2026,데이터_품목별!$C$3:$C$2984,"&lt;=7")</f>
        <v>549779</v>
      </c>
      <c r="AA25" s="25" t="n">
        <f aca="false">T25-Z25</f>
        <v>-62669</v>
      </c>
      <c r="AB25" s="65" t="str">
        <f aca="false">IF(T25=0,"자료 없음",IF(U25&gt;1,"1~7월 2배 이상 급증. ",IF(U25&gt;0.5,"1~7월 +50% 초과 급증. ",IF(U25&gt;0.15,"1~7월 뚜렷한 증가. ",IF(U25&gt;0.02,"1~7월 소폭 증가. ",IF(U25&gt;-0.02,"1~7월 보합. ",IF(U25&gt;-0.15,"1~7월 소폭 감소. ","1~7월 뚜렷한 감소. "))))))&amp;"월별로는 "&amp;COUNTIF(E25:K25,"&gt;0")&amp;"개월 증가·"&amp;COUNTIF(E25:K25,"&lt;0")&amp;"개월 감소"&amp;IF(COUNTIF(E25:K25,"&gt;0")=7," (7개월 내내 증가)",IF(COUNTIF(E25:K25,"&lt;0")=7," (7개월 내내 감소)",""))&amp;IFERROR(", 최대 "&amp;TEXT(MAX(E25:K25),"0.0%")&amp;"("&amp;SUBSTITUTE(INDEX($E$5:$K$5,MATCH(MAX(E25:K25),E25:K25,0))," YoY","")&amp;")","")&amp;IFERROR(", 최소 "&amp;TEXT(MIN(E25:K25),"0.0%")&amp;"("&amp;SUBSTITUTE(INDEX($E$5:$K$5,MATCH(MIN(E25:K25),E25:K25,0))," YoY","")&amp;")","")&amp;". "&amp;IF(Y25="가격 주도","단가 상승이 주도. ",IF(Y25="물량 주도","물량 확대가 주도. ",IF(Y25="혼합","물량·단가 동반. ",IF(Y25="감소","감소 품목. ","단가 해석 유보. "))))&amp;IF(V25&gt;0.05,"전체 증가의 5% 이상을 설명하는 대형 품목.",IF(V25&gt;0.005,"전체 증가에 의미 있게 기여.",IF(T25/SUMIFS(데이터_총괄!$H$3:$H$33,데이터_총괄!$B$3:$B$33,2026,데이터_총괄!$C$3:$C$33,"&lt;=7")&lt;0.001,"규모가 작아 총량 영향은 미미.","총량 영향은 제한적."))))</f>
        <v>1~7월 +50% 초과 급증. 월별로는 7개월 증가·0개월 감소 (7개월 내내 증가), 최대 133.4%(2026.03), 최소 10.1%(2026.04). 단가 상승이 주도. 규모가 작아 총량 영향은 미미.</v>
      </c>
    </row>
    <row r="26" customFormat="false" ht="33.75" hidden="false" customHeight="true" outlineLevel="0" collapsed="false">
      <c r="A26" s="67" t="s">
        <v>19812</v>
      </c>
      <c r="B26" s="68" t="s">
        <v>618</v>
      </c>
      <c r="C26" s="65" t="str">
        <f aca="false">IFERROR(INDEX(데이터_품목별!$F$3:$F$2984,MATCH($B26,데이터_품목별!$E$3:$E$2984,0)),"")</f>
        <v>고무와 그 제품</v>
      </c>
      <c r="D26" s="69" t="s">
        <v>20004</v>
      </c>
      <c r="E26" s="59" t="n">
        <f aca="false">IFERROR(분석4B_월별매트릭스!AA45/분석4B_월별매트릭스!O45-1,"-")</f>
        <v>-0.0114185408457518</v>
      </c>
      <c r="F26" s="59" t="n">
        <f aca="false">IFERROR(분석4B_월별매트릭스!AB45/분석4B_월별매트릭스!P45-1,"-")</f>
        <v>-0.149699499240658</v>
      </c>
      <c r="G26" s="59" t="n">
        <f aca="false">IFERROR(분석4B_월별매트릭스!AC45/분석4B_월별매트릭스!Q45-1,"-")</f>
        <v>-0.015375211301618</v>
      </c>
      <c r="H26" s="59" t="n">
        <f aca="false">IFERROR(분석4B_월별매트릭스!AD45/분석4B_월별매트릭스!R45-1,"-")</f>
        <v>0.0542468760553867</v>
      </c>
      <c r="I26" s="59" t="n">
        <f aca="false">IFERROR(분석4B_월별매트릭스!AE45/분석4B_월별매트릭스!S45-1,"-")</f>
        <v>0.0809635131536117</v>
      </c>
      <c r="J26" s="59" t="n">
        <f aca="false">IFERROR(분석4B_월별매트릭스!AF45/분석4B_월별매트릭스!T45-1,"-")</f>
        <v>0.189308301181337</v>
      </c>
      <c r="K26" s="59" t="n">
        <f aca="false">IFERROR(분석4B_월별매트릭스!AG45/분석4B_월별매트릭스!U45-1,"-")</f>
        <v>0.128408828893035</v>
      </c>
      <c r="L26" s="57" t="n">
        <f aca="false">분석4B_월별매트릭스!AA45-분석4B_월별매트릭스!O45</f>
        <v>-7175</v>
      </c>
      <c r="M26" s="57" t="n">
        <f aca="false">분석4B_월별매트릭스!AB45-분석4B_월별매트릭스!P45</f>
        <v>-99459</v>
      </c>
      <c r="N26" s="57" t="n">
        <f aca="false">분석4B_월별매트릭스!AC45-분석4B_월별매트릭스!Q45</f>
        <v>-10187</v>
      </c>
      <c r="O26" s="57" t="n">
        <f aca="false">분석4B_월별매트릭스!AD45-분석4B_월별매트릭스!R45</f>
        <v>38550</v>
      </c>
      <c r="P26" s="57" t="n">
        <f aca="false">분석4B_월별매트릭스!AE45-분석4B_월별매트릭스!S45</f>
        <v>54720</v>
      </c>
      <c r="Q26" s="57" t="n">
        <f aca="false">분석4B_월별매트릭스!AF45-분석4B_월별매트릭스!T45</f>
        <v>118985</v>
      </c>
      <c r="R26" s="57" t="n">
        <f aca="false">분석4B_월별매트릭스!AG45-분석4B_월별매트릭스!U45</f>
        <v>85764</v>
      </c>
      <c r="S26" s="25" t="n">
        <f aca="false">SUMIFS(데이터_품목별!$H$3:$H$2984,데이터_품목별!$E$3:$E$2984,"40",데이터_품목별!$B$3:$B$2984,2025,데이터_품목별!$C$3:$C$2984,"&lt;=7")</f>
        <v>4638238</v>
      </c>
      <c r="T26" s="25" t="n">
        <f aca="false">SUMIFS(데이터_품목별!$H$3:$H$2984,데이터_품목별!$E$3:$E$2984,"40",데이터_품목별!$B$3:$B$2984,2026,데이터_품목별!$C$3:$C$2984,"&lt;=7")</f>
        <v>4819436</v>
      </c>
      <c r="U26" s="36" t="n">
        <f aca="false">IFERROR(T26/S26-1,"-")</f>
        <v>0.0390661281288283</v>
      </c>
      <c r="V26" s="34" t="n">
        <f aca="false">(T26-S26)/(SUMIFS(데이터_총괄!$H$3:$H$33,데이터_총괄!$B$3:$B$33,2026,데이터_총괄!$C$3:$C$33,"&lt;=7")-SUMIFS(데이터_총괄!$H$3:$H$33,데이터_총괄!$B$3:$B$33,2025,데이터_총괄!$C$3:$C$33,"&lt;=7"))</f>
        <v>0.000907468892980201</v>
      </c>
      <c r="W26" s="24" t="n">
        <f aca="false">SUMIFS(데이터_품목별!$G$3:$G$2984,데이터_품목별!$E$3:$E$2984,"40",데이터_품목별!$B$3:$B$2984,2026,데이터_품목별!$C$3:$C$2984,"&lt;=7")</f>
        <v>1687543.5</v>
      </c>
      <c r="X26" s="36" t="n">
        <f aca="false">IFERROR((T26/W26)/(S26/SUMIFS(데이터_품목별!$G$3:$G$2984,데이터_품목별!$E$3:$E$2984,"40",데이터_품목별!$B$3:$B$2984,2025,데이터_품목별!$C$3:$C$2984,"&lt;=7"))-1,"-")</f>
        <v>0.0825200157354435</v>
      </c>
      <c r="Y26" s="67" t="str">
        <f aca="false">IF(OR(W26&lt;100,SUMIFS(데이터_품목별!$G$3:$G$2984,데이터_품목별!$E$3:$E$2984,"40",데이터_품목별!$B$3:$B$2984,2025,데이터_품목별!$C$3:$C$2984,"&lt;=7")&lt;100),"단가 불안정",IF(T26-S26&lt;0,"감소",IF(X26&gt;0.05,"가격 주도",IF(X26&lt;0.02,"물량 주도","혼합"))))</f>
        <v>가격 주도</v>
      </c>
      <c r="Z26" s="25" t="n">
        <f aca="false">SUMIFS(데이터_품목별!$J$3:$J$2984,데이터_품목별!$E$3:$E$2984,"40",데이터_품목별!$B$3:$B$2984,2026,데이터_품목별!$C$3:$C$2984,"&lt;=7")</f>
        <v>1906017</v>
      </c>
      <c r="AA26" s="25" t="n">
        <f aca="false">T26-Z26</f>
        <v>2913419</v>
      </c>
      <c r="AB26" s="65" t="str">
        <f aca="false">IF(T26=0,"자료 없음",IF(U26&gt;1,"1~7월 2배 이상 급증. ",IF(U26&gt;0.5,"1~7월 +50% 초과 급증. ",IF(U26&gt;0.15,"1~7월 뚜렷한 증가. ",IF(U26&gt;0.02,"1~7월 소폭 증가. ",IF(U26&gt;-0.02,"1~7월 보합. ",IF(U26&gt;-0.15,"1~7월 소폭 감소. ","1~7월 뚜렷한 감소. "))))))&amp;"월별로는 "&amp;COUNTIF(E26:K26,"&gt;0")&amp;"개월 증가·"&amp;COUNTIF(E26:K26,"&lt;0")&amp;"개월 감소"&amp;IF(COUNTIF(E26:K26,"&gt;0")=7," (7개월 내내 증가)",IF(COUNTIF(E26:K26,"&lt;0")=7," (7개월 내내 감소)",""))&amp;IFERROR(", 최대 "&amp;TEXT(MAX(E26:K26),"0.0%")&amp;"("&amp;SUBSTITUTE(INDEX($E$5:$K$5,MATCH(MAX(E26:K26),E26:K26,0))," YoY","")&amp;")","")&amp;IFERROR(", 최소 "&amp;TEXT(MIN(E26:K26),"0.0%")&amp;"("&amp;SUBSTITUTE(INDEX($E$5:$K$5,MATCH(MIN(E26:K26),E26:K26,0))," YoY","")&amp;")","")&amp;". "&amp;IF(Y26="가격 주도","단가 상승이 주도. ",IF(Y26="물량 주도","물량 확대가 주도. ",IF(Y26="혼합","물량·단가 동반. ",IF(Y26="감소","감소 품목. ","단가 해석 유보. "))))&amp;IF(V26&gt;0.05,"전체 증가의 5% 이상을 설명하는 대형 품목.",IF(V26&gt;0.005,"전체 증가에 의미 있게 기여.",IF(T26/SUMIFS(데이터_총괄!$H$3:$H$33,데이터_총괄!$B$3:$B$33,2026,데이터_총괄!$C$3:$C$33,"&lt;=7")&lt;0.001,"규모가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18.9%(2026.06), 최소 -15.0%(2026.02). 단가 상승이 주도. 총량 영향은 제한적.</v>
      </c>
    </row>
    <row r="27" customFormat="false" ht="33.75" hidden="false" customHeight="true" outlineLevel="0" collapsed="false">
      <c r="A27" s="67" t="s">
        <v>19810</v>
      </c>
      <c r="B27" s="68" t="s">
        <v>562</v>
      </c>
      <c r="C27" s="65" t="str">
        <f aca="false">IFERROR(INDEX(데이터_품목별!$F$3:$F$2984,MATCH($B27,데이터_품목별!$E$3:$E$2984,0)),"")</f>
        <v>유연용ㆍ염색용 추출물(extract), 탄닌과 이들의 유도체, 염료ㆍ안료와 그 밖의 착색제, 페인트ㆍ바니시(varnish), 퍼티(putty)와 그 밖의 매스틱(mastic), 잉크</v>
      </c>
      <c r="D27" s="69" t="s">
        <v>20005</v>
      </c>
      <c r="E27" s="59" t="n">
        <f aca="false">IFERROR(분석4B_월별매트릭스!AA37/분석4B_월별매트릭스!O37-1,"-")</f>
        <v>0.199730384700119</v>
      </c>
      <c r="F27" s="59" t="n">
        <f aca="false">IFERROR(분석4B_월별매트릭스!AB37/분석4B_월별매트릭스!P37-1,"-")</f>
        <v>-0.150684510480606</v>
      </c>
      <c r="G27" s="59" t="n">
        <f aca="false">IFERROR(분석4B_월별매트릭스!AC37/분석4B_월별매트릭스!Q37-1,"-")</f>
        <v>0.104383256861265</v>
      </c>
      <c r="H27" s="59" t="n">
        <f aca="false">IFERROR(분석4B_월별매트릭스!AD37/분석4B_월별매트릭스!R37-1,"-")</f>
        <v>0.145845570738275</v>
      </c>
      <c r="I27" s="59" t="n">
        <f aca="false">IFERROR(분석4B_월별매트릭스!AE37/분석4B_월별매트릭스!S37-1,"-")</f>
        <v>0.110523283725396</v>
      </c>
      <c r="J27" s="59" t="n">
        <f aca="false">IFERROR(분석4B_월별매트릭스!AF37/분석4B_월별매트릭스!T37-1,"-")</f>
        <v>0.0870836108143864</v>
      </c>
      <c r="K27" s="59" t="n">
        <f aca="false">IFERROR(분석4B_월별매트릭스!AG37/분석4B_월별매트릭스!U37-1,"-")</f>
        <v>0.176117004460993</v>
      </c>
      <c r="L27" s="57" t="n">
        <f aca="false">분석4B_월별매트릭스!AA37-분석4B_월별매트릭스!O37</f>
        <v>38077</v>
      </c>
      <c r="M27" s="57" t="n">
        <f aca="false">분석4B_월별매트릭스!AB37-분석4B_월별매트릭스!P37</f>
        <v>-34319</v>
      </c>
      <c r="N27" s="57" t="n">
        <f aca="false">분석4B_월별매트릭스!AC37-분석4B_월별매트릭스!Q37</f>
        <v>23364</v>
      </c>
      <c r="O27" s="57" t="n">
        <f aca="false">분석4B_월별매트릭스!AD37-분석4B_월별매트릭스!R37</f>
        <v>34016</v>
      </c>
      <c r="P27" s="57" t="n">
        <f aca="false">분석4B_월별매트릭스!AE37-분석4B_월별매트릭스!S37</f>
        <v>23022</v>
      </c>
      <c r="Q27" s="57" t="n">
        <f aca="false">분석4B_월별매트릭스!AF37-분석4B_월별매트릭스!T37</f>
        <v>19484</v>
      </c>
      <c r="R27" s="57" t="n">
        <f aca="false">분석4B_월별매트릭스!AG37-분석4B_월별매트릭스!U37</f>
        <v>40111</v>
      </c>
      <c r="S27" s="25" t="n">
        <f aca="false">SUMIFS(데이터_품목별!$H$3:$H$2984,데이터_품목별!$E$3:$E$2984,"32",데이터_품목별!$B$3:$B$2984,2025,데이터_품목별!$C$3:$C$2984,"&lt;=7")</f>
        <v>1535249</v>
      </c>
      <c r="T27" s="25" t="n">
        <f aca="false">SUMIFS(데이터_품목별!$H$3:$H$2984,데이터_품목별!$E$3:$E$2984,"32",데이터_품목별!$B$3:$B$2984,2026,데이터_품목별!$C$3:$C$2984,"&lt;=7")</f>
        <v>1679004</v>
      </c>
      <c r="U27" s="36" t="n">
        <f aca="false">IFERROR(T27/S27-1,"-")</f>
        <v>0.0936362765909635</v>
      </c>
      <c r="V27" s="34" t="n">
        <f aca="false">(T27-S27)/(SUMIFS(데이터_총괄!$H$3:$H$33,데이터_총괄!$B$3:$B$33,2026,데이터_총괄!$C$3:$C$33,"&lt;=7")-SUMIFS(데이터_총괄!$H$3:$H$33,데이터_총괄!$B$3:$B$33,2025,데이터_총괄!$C$3:$C$33,"&lt;=7"))</f>
        <v>0.000719948292532858</v>
      </c>
      <c r="W27" s="24" t="n">
        <f aca="false">SUMIFS(데이터_품목별!$G$3:$G$2984,데이터_품목별!$E$3:$E$2984,"32",데이터_품목별!$B$3:$B$2984,2026,데이터_품목별!$C$3:$C$2984,"&lt;=7")</f>
        <v>216929.6</v>
      </c>
      <c r="X27" s="36" t="n">
        <f aca="false">IFERROR((T27/W27)/(S27/SUMIFS(데이터_품목별!$G$3:$G$2984,데이터_품목별!$E$3:$E$2984,"32",데이터_품목별!$B$3:$B$2984,2025,데이터_품목별!$C$3:$C$2984,"&lt;=7"))-1,"-")</f>
        <v>0.0296332544776468</v>
      </c>
      <c r="Y27" s="67" t="str">
        <f aca="false">IF(OR(W27&lt;100,SUMIFS(데이터_품목별!$G$3:$G$2984,데이터_품목별!$E$3:$E$2984,"32",데이터_품목별!$B$3:$B$2984,2025,데이터_품목별!$C$3:$C$2984,"&lt;=7")&lt;100),"단가 불안정",IF(T27-S27&lt;0,"감소",IF(X27&gt;0.05,"가격 주도",IF(X27&lt;0.02,"물량 주도","혼합"))))</f>
        <v>혼합</v>
      </c>
      <c r="Z27" s="25" t="n">
        <f aca="false">SUMIFS(데이터_품목별!$J$3:$J$2984,데이터_품목별!$E$3:$E$2984,"32",데이터_품목별!$B$3:$B$2984,2026,데이터_품목별!$C$3:$C$2984,"&lt;=7")</f>
        <v>1479783</v>
      </c>
      <c r="AA27" s="25" t="n">
        <f aca="false">T27-Z27</f>
        <v>199221</v>
      </c>
      <c r="AB27" s="65" t="str">
        <f aca="false">IF(T27=0,"자료 없음",IF(U27&gt;1,"1~7월 2배 이상 급증. ",IF(U27&gt;0.5,"1~7월 +50% 초과 급증. ",IF(U27&gt;0.15,"1~7월 뚜렷한 증가. ",IF(U27&gt;0.02,"1~7월 소폭 증가. ",IF(U27&gt;-0.02,"1~7월 보합. ",IF(U27&gt;-0.15,"1~7월 소폭 감소. ","1~7월 뚜렷한 감소. "))))))&amp;"월별로는 "&amp;COUNTIF(E27:K27,"&gt;0")&amp;"개월 증가·"&amp;COUNTIF(E27:K27,"&lt;0")&amp;"개월 감소"&amp;IF(COUNTIF(E27:K27,"&gt;0")=7," (7개월 내내 증가)",IF(COUNTIF(E27:K27,"&lt;0")=7," (7개월 내내 감소)",""))&amp;IFERROR(", 최대 "&amp;TEXT(MAX(E27:K27),"0.0%")&amp;"("&amp;SUBSTITUTE(INDEX($E$5:$K$5,MATCH(MAX(E27:K27),E27:K27,0))," YoY","")&amp;")","")&amp;IFERROR(", 최소 "&amp;TEXT(MIN(E27:K27),"0.0%")&amp;"("&amp;SUBSTITUTE(INDEX($E$5:$K$5,MATCH(MIN(E27:K27),E27:K27,0))," YoY","")&amp;")","")&amp;". "&amp;IF(Y27="가격 주도","단가 상승이 주도. ",IF(Y27="물량 주도","물량 확대가 주도. ",IF(Y27="혼합","물량·단가 동반. ",IF(Y27="감소","감소 품목. ","단가 해석 유보. "))))&amp;IF(V27&gt;0.05,"전체 증가의 5% 이상을 설명하는 대형 품목.",IF(V27&gt;0.005,"전체 증가에 의미 있게 기여.",IF(T27/SUMIFS(데이터_총괄!$H$3:$H$33,데이터_총괄!$B$3:$B$33,2026,데이터_총괄!$C$3:$C$33,"&lt;=7")&lt;0.001,"규모가 작아 총량 영향은 미미.","총량 영향은 제한적."))))</f>
        <v>1~7월 소폭 증가. 월별로는 6개월 증가·1개월 감소, 최대 20.0%(2026.01), 최소 -15.1%(2026.02). 물량·단가 동반. 총량 영향은 제한적.</v>
      </c>
    </row>
    <row r="28" customFormat="false" ht="33.75" hidden="false" customHeight="true" outlineLevel="0" collapsed="false">
      <c r="A28" s="67" t="s">
        <v>19810</v>
      </c>
      <c r="B28" s="68" t="s">
        <v>576</v>
      </c>
      <c r="C28" s="65" t="str">
        <f aca="false">IFERROR(INDEX(데이터_품목별!$F$3:$F$2984,MATCH($B28,데이터_품목별!$E$3:$E$2984,0)),"")</f>
        <v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v>
      </c>
      <c r="D28" s="69" t="s">
        <v>20006</v>
      </c>
      <c r="E28" s="59" t="n">
        <f aca="false">IFERROR(분석4B_월별매트릭스!AA39/분석4B_월별매트릭스!O39-1,"-")</f>
        <v>0.189549232480857</v>
      </c>
      <c r="F28" s="59" t="n">
        <f aca="false">IFERROR(분석4B_월별매트릭스!AB39/분석4B_월별매트릭스!P39-1,"-")</f>
        <v>-0.0652067088231111</v>
      </c>
      <c r="G28" s="59" t="n">
        <f aca="false">IFERROR(분석4B_월별매트릭스!AC39/분석4B_월별매트릭스!Q39-1,"-")</f>
        <v>0.131282745313484</v>
      </c>
      <c r="H28" s="59" t="n">
        <f aca="false">IFERROR(분석4B_월별매트릭스!AD39/분석4B_월별매트릭스!R39-1,"-")</f>
        <v>0.0892784249229441</v>
      </c>
      <c r="I28" s="59" t="n">
        <f aca="false">IFERROR(분석4B_월별매트릭스!AE39/분석4B_월별매트릭스!S39-1,"-")</f>
        <v>0.124954030972909</v>
      </c>
      <c r="J28" s="59" t="n">
        <f aca="false">IFERROR(분석4B_월별매트릭스!AF39/분석4B_월별매트릭스!T39-1,"-")</f>
        <v>0.156169436148761</v>
      </c>
      <c r="K28" s="59" t="n">
        <f aca="false">IFERROR(분석4B_월별매트릭스!AG39/분석4B_월별매트릭스!U39-1,"-")</f>
        <v>0.188152007570005</v>
      </c>
      <c r="L28" s="57" t="n">
        <f aca="false">분석4B_월별매트릭스!AA39-분석4B_월별매트릭스!O39</f>
        <v>26067</v>
      </c>
      <c r="M28" s="57" t="n">
        <f aca="false">분석4B_월별매트릭스!AB39-분석4B_월별매트릭스!P39</f>
        <v>-10085</v>
      </c>
      <c r="N28" s="57" t="n">
        <f aca="false">분석4B_월별매트릭스!AC39-분석4B_월별매트릭스!Q39</f>
        <v>19595</v>
      </c>
      <c r="O28" s="57" t="n">
        <f aca="false">분석4B_월별매트릭스!AD39-분석4B_월별매트릭스!R39</f>
        <v>15091</v>
      </c>
      <c r="P28" s="57" t="n">
        <f aca="false">분석4B_월별매트릭스!AE39-분석4B_월별매트릭스!S39</f>
        <v>18348</v>
      </c>
      <c r="Q28" s="57" t="n">
        <f aca="false">분석4B_월별매트릭스!AF39-분석4B_월별매트릭스!T39</f>
        <v>24473</v>
      </c>
      <c r="R28" s="57" t="n">
        <f aca="false">분석4B_월별매트릭스!AG39-분석4B_월별매트릭스!U39</f>
        <v>32212</v>
      </c>
      <c r="S28" s="25" t="n">
        <f aca="false">SUMIFS(데이터_품목별!$H$3:$H$2984,데이터_품목별!$E$3:$E$2984,"34",데이터_품목별!$B$3:$B$2984,2025,데이터_품목별!$C$3:$C$2984,"&lt;=7")</f>
        <v>1085222</v>
      </c>
      <c r="T28" s="25" t="n">
        <f aca="false">SUMIFS(데이터_품목별!$H$3:$H$2984,데이터_품목별!$E$3:$E$2984,"34",데이터_품목별!$B$3:$B$2984,2026,데이터_품목별!$C$3:$C$2984,"&lt;=7")</f>
        <v>1210923</v>
      </c>
      <c r="U28" s="36" t="n">
        <f aca="false">IFERROR(T28/S28-1,"-")</f>
        <v>0.11582975649222</v>
      </c>
      <c r="V28" s="34" t="n">
        <f aca="false">(T28-S28)/(SUMIFS(데이터_총괄!$H$3:$H$33,데이터_총괄!$B$3:$B$33,2026,데이터_총괄!$C$3:$C$33,"&lt;=7")-SUMIFS(데이터_총괄!$H$3:$H$33,데이터_총괄!$B$3:$B$33,2025,데이터_총괄!$C$3:$C$33,"&lt;=7"))</f>
        <v>0.000629530940278062</v>
      </c>
      <c r="W28" s="24" t="n">
        <f aca="false">SUMIFS(데이터_품목별!$G$3:$G$2984,데이터_품목별!$E$3:$E$2984,"34",데이터_품목별!$B$3:$B$2984,2026,데이터_품목별!$C$3:$C$2984,"&lt;=7")</f>
        <v>338992.7</v>
      </c>
      <c r="X28" s="36" t="n">
        <f aca="false">IFERROR((T28/W28)/(S28/SUMIFS(데이터_품목별!$G$3:$G$2984,데이터_품목별!$E$3:$E$2984,"34",데이터_품목별!$B$3:$B$2984,2025,데이터_품목별!$C$3:$C$2984,"&lt;=7"))-1,"-")</f>
        <v>0.180563759091918</v>
      </c>
      <c r="Y28" s="67" t="str">
        <f aca="false">IF(OR(W28&lt;100,SUMIFS(데이터_품목별!$G$3:$G$2984,데이터_품목별!$E$3:$E$2984,"34",데이터_품목별!$B$3:$B$2984,2025,데이터_품목별!$C$3:$C$2984,"&lt;=7")&lt;100),"단가 불안정",IF(T28-S28&lt;0,"감소",IF(X28&gt;0.05,"가격 주도",IF(X28&lt;0.02,"물량 주도","혼합"))))</f>
        <v>가격 주도</v>
      </c>
      <c r="Z28" s="25" t="n">
        <f aca="false">SUMIFS(데이터_품목별!$J$3:$J$2984,데이터_품목별!$E$3:$E$2984,"34",데이터_품목별!$B$3:$B$2984,2026,데이터_품목별!$C$3:$C$2984,"&lt;=7")</f>
        <v>717385</v>
      </c>
      <c r="AA28" s="25" t="n">
        <f aca="false">T28-Z28</f>
        <v>493538</v>
      </c>
      <c r="AB28" s="65" t="str">
        <f aca="false">IF(T28=0,"자료 없음",IF(U28&gt;1,"1~7월 2배 이상 급증. ",IF(U28&gt;0.5,"1~7월 +50% 초과 급증. ",IF(U28&gt;0.15,"1~7월 뚜렷한 증가. ",IF(U28&gt;0.02,"1~7월 소폭 증가. ",IF(U28&gt;-0.02,"1~7월 보합. ",IF(U28&gt;-0.15,"1~7월 소폭 감소. ","1~7월 뚜렷한 감소. "))))))&amp;"월별로는 "&amp;COUNTIF(E28:K28,"&gt;0")&amp;"개월 증가·"&amp;COUNTIF(E28:K28,"&lt;0")&amp;"개월 감소"&amp;IF(COUNTIF(E28:K28,"&gt;0")=7," (7개월 내내 증가)",IF(COUNTIF(E28:K28,"&lt;0")=7," (7개월 내내 감소)",""))&amp;IFERROR(", 최대 "&amp;TEXT(MAX(E28:K28),"0.0%")&amp;"("&amp;SUBSTITUTE(INDEX($E$5:$K$5,MATCH(MAX(E28:K28),E28:K28,0))," YoY","")&amp;")","")&amp;IFERROR(", 최소 "&amp;TEXT(MIN(E28:K28),"0.0%")&amp;"("&amp;SUBSTITUTE(INDEX($E$5:$K$5,MATCH(MIN(E28:K28),E28:K28,0))," YoY","")&amp;")","")&amp;". "&amp;IF(Y28="가격 주도","단가 상승이 주도. ",IF(Y28="물량 주도","물량 확대가 주도. ",IF(Y28="혼합","물량·단가 동반. ",IF(Y28="감소","감소 품목. ","단가 해석 유보. "))))&amp;IF(V28&gt;0.05,"전체 증가의 5% 이상을 설명하는 대형 품목.",IF(V28&gt;0.005,"전체 증가에 의미 있게 기여.",IF(T28/SUMIFS(데이터_총괄!$H$3:$H$33,데이터_총괄!$B$3:$B$33,2026,데이터_총괄!$C$3:$C$33,"&lt;=7")&lt;0.001,"규모가 작아 총량 영향은 미미.","총량 영향은 제한적."))))</f>
        <v>1~7월 소폭 증가. 월별로는 6개월 증가·1개월 감소, 최대 19.0%(2026.01), 최소 -6.5%(2026.02). 단가 상승이 주도. 총량 영향은 제한적.</v>
      </c>
    </row>
    <row r="29" customFormat="false" ht="33.75" hidden="false" customHeight="true" outlineLevel="0" collapsed="false">
      <c r="A29" s="67" t="s">
        <v>19814</v>
      </c>
      <c r="B29" s="68" t="s">
        <v>632</v>
      </c>
      <c r="C29" s="65" t="str">
        <f aca="false">IFERROR(INDEX(데이터_품목별!$F$3:$F$2984,MATCH($B29,데이터_품목별!$E$3:$E$2984,0)),"")</f>
        <v>가죽제품, 마구, 여행용구ㆍ핸드백과 이와 유사한 용기, 동물 거트(gut)[누에의 거트(gut)는 제외한다]의 제품</v>
      </c>
      <c r="D29" s="69" t="s">
        <v>20007</v>
      </c>
      <c r="E29" s="59" t="n">
        <f aca="false">IFERROR(분석4B_월별매트릭스!AA47/분석4B_월별매트릭스!O47-1,"-")</f>
        <v>0.547638309789035</v>
      </c>
      <c r="F29" s="59" t="n">
        <f aca="false">IFERROR(분석4B_월별매트릭스!AB47/분석4B_월별매트릭스!P47-1,"-")</f>
        <v>0.102289085212679</v>
      </c>
      <c r="G29" s="59" t="n">
        <f aca="false">IFERROR(분석4B_월별매트릭스!AC47/분석4B_월별매트릭스!Q47-1,"-")</f>
        <v>0.383664264606771</v>
      </c>
      <c r="H29" s="59" t="n">
        <f aca="false">IFERROR(분석4B_월별매트릭스!AD47/분석4B_월별매트릭스!R47-1,"-")</f>
        <v>0.482847012601217</v>
      </c>
      <c r="I29" s="59" t="n">
        <f aca="false">IFERROR(분석4B_월별매트릭스!AE47/분석4B_월별매트릭스!S47-1,"-")</f>
        <v>0.447232220266401</v>
      </c>
      <c r="J29" s="59" t="n">
        <f aca="false">IFERROR(분석4B_월별매트릭스!AF47/분석4B_월별매트릭스!T47-1,"-")</f>
        <v>0.42810663521565</v>
      </c>
      <c r="K29" s="59" t="n">
        <f aca="false">IFERROR(분석4B_월별매트릭스!AG47/분석4B_월별매트릭스!U47-1,"-")</f>
        <v>0.567384952520088</v>
      </c>
      <c r="L29" s="57" t="n">
        <f aca="false">분석4B_월별매트릭스!AA47-분석4B_월별매트릭스!O47</f>
        <v>17600</v>
      </c>
      <c r="M29" s="57" t="n">
        <f aca="false">분석4B_월별매트릭스!AB47-분석4B_월별매트릭스!P47</f>
        <v>3624</v>
      </c>
      <c r="N29" s="57" t="n">
        <f aca="false">분석4B_월별매트릭스!AC47-분석4B_월별매트릭스!Q47</f>
        <v>14801</v>
      </c>
      <c r="O29" s="57" t="n">
        <f aca="false">분석4B_월별매트릭스!AD47-분석4B_월별매트릭스!R47</f>
        <v>20155</v>
      </c>
      <c r="P29" s="57" t="n">
        <f aca="false">분석4B_월별매트릭스!AE47-분석4B_월별매트릭스!S47</f>
        <v>17023</v>
      </c>
      <c r="Q29" s="57" t="n">
        <f aca="false">분석4B_월별매트릭스!AF47-분석4B_월별매트릭스!T47</f>
        <v>21053</v>
      </c>
      <c r="R29" s="57" t="n">
        <f aca="false">분석4B_월별매트릭스!AG47-분석4B_월별매트릭스!U47</f>
        <v>24856</v>
      </c>
      <c r="S29" s="25" t="n">
        <f aca="false">SUMIFS(데이터_품목별!$H$3:$H$2984,데이터_품목별!$E$3:$E$2984,"42",데이터_품목별!$B$3:$B$2984,2025,데이터_품목별!$C$3:$C$2984,"&lt;=7")</f>
        <v>278935</v>
      </c>
      <c r="T29" s="25" t="n">
        <f aca="false">SUMIFS(데이터_품목별!$H$3:$H$2984,데이터_품목별!$E$3:$E$2984,"42",데이터_품목별!$B$3:$B$2984,2026,데이터_품목별!$C$3:$C$2984,"&lt;=7")</f>
        <v>398047</v>
      </c>
      <c r="U29" s="36" t="n">
        <f aca="false">IFERROR(T29/S29-1,"-")</f>
        <v>0.427024217111514</v>
      </c>
      <c r="V29" s="34" t="n">
        <f aca="false">(T29-S29)/(SUMIFS(데이터_총괄!$H$3:$H$33,데이터_총괄!$B$3:$B$33,2026,데이터_총괄!$C$3:$C$33,"&lt;=7")-SUMIFS(데이터_총괄!$H$3:$H$33,데이터_총괄!$B$3:$B$33,2025,데이터_총괄!$C$3:$C$33,"&lt;=7"))</f>
        <v>0.000596532162499905</v>
      </c>
      <c r="W29" s="24" t="n">
        <f aca="false">SUMIFS(데이터_품목별!$G$3:$G$2984,데이터_품목별!$E$3:$E$2984,"42",데이터_품목별!$B$3:$B$2984,2026,데이터_품목별!$C$3:$C$2984,"&lt;=7")</f>
        <v>6716.6</v>
      </c>
      <c r="X29" s="36" t="n">
        <f aca="false">IFERROR((T29/W29)/(S29/SUMIFS(데이터_품목별!$G$3:$G$2984,데이터_품목별!$E$3:$E$2984,"42",데이터_품목별!$B$3:$B$2984,2025,데이터_품목별!$C$3:$C$2984,"&lt;=7"))-1,"-")</f>
        <v>0.280149036024477</v>
      </c>
      <c r="Y29" s="67" t="str">
        <f aca="false">IF(OR(W29&lt;100,SUMIFS(데이터_품목별!$G$3:$G$2984,데이터_품목별!$E$3:$E$2984,"42",데이터_품목별!$B$3:$B$2984,2025,데이터_품목별!$C$3:$C$2984,"&lt;=7")&lt;100),"단가 불안정",IF(T29-S29&lt;0,"감소",IF(X29&gt;0.05,"가격 주도",IF(X29&lt;0.02,"물량 주도","혼합"))))</f>
        <v>가격 주도</v>
      </c>
      <c r="Z29" s="25" t="n">
        <f aca="false">SUMIFS(데이터_품목별!$J$3:$J$2984,데이터_품목별!$E$3:$E$2984,"42",데이터_품목별!$B$3:$B$2984,2026,데이터_품목별!$C$3:$C$2984,"&lt;=7")</f>
        <v>2281673</v>
      </c>
      <c r="AA29" s="25" t="n">
        <f aca="false">T29-Z29</f>
        <v>-1883626</v>
      </c>
      <c r="AB29" s="65" t="str">
        <f aca="false">IF(T29=0,"자료 없음",IF(U29&gt;1,"1~7월 2배 이상 급증. ",IF(U29&gt;0.5,"1~7월 +50% 초과 급증. ",IF(U29&gt;0.15,"1~7월 뚜렷한 증가. ",IF(U29&gt;0.02,"1~7월 소폭 증가. ",IF(U29&gt;-0.02,"1~7월 보합. ",IF(U29&gt;-0.15,"1~7월 소폭 감소. ","1~7월 뚜렷한 감소. "))))))&amp;"월별로는 "&amp;COUNTIF(E29:K29,"&gt;0")&amp;"개월 증가·"&amp;COUNTIF(E29:K29,"&lt;0")&amp;"개월 감소"&amp;IF(COUNTIF(E29:K29,"&gt;0")=7," (7개월 내내 증가)",IF(COUNTIF(E29:K29,"&lt;0")=7," (7개월 내내 감소)",""))&amp;IFERROR(", 최대 "&amp;TEXT(MAX(E29:K29),"0.0%")&amp;"("&amp;SUBSTITUTE(INDEX($E$5:$K$5,MATCH(MAX(E29:K29),E29:K29,0))," YoY","")&amp;")","")&amp;IFERROR(", 최소 "&amp;TEXT(MIN(E29:K29),"0.0%")&amp;"("&amp;SUBSTITUTE(INDEX($E$5:$K$5,MATCH(MIN(E29:K29),E29:K29,0))," YoY","")&amp;")","")&amp;". "&amp;IF(Y29="가격 주도","단가 상승이 주도. ",IF(Y29="물량 주도","물량 확대가 주도. ",IF(Y29="혼합","물량·단가 동반. ",IF(Y29="감소","감소 품목. ","단가 해석 유보. "))))&amp;IF(V29&gt;0.05,"전체 증가의 5% 이상을 설명하는 대형 품목.",IF(V29&gt;0.005,"전체 증가에 의미 있게 기여.",IF(T29/SUMIFS(데이터_총괄!$H$3:$H$33,데이터_총괄!$B$3:$B$33,2026,데이터_총괄!$C$3:$C$33,"&lt;=7")&lt;0.001,"규모가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56.7%(2026.07), 최소 10.2%(2026.02). 단가 상승이 주도. 규모가 작아 총량 영향은 미미.</v>
      </c>
    </row>
    <row r="30" customFormat="false" ht="33.75" hidden="false" customHeight="true" outlineLevel="0" collapsed="false">
      <c r="A30" s="67" t="s">
        <v>19828</v>
      </c>
      <c r="B30" s="68" t="s">
        <v>897</v>
      </c>
      <c r="C30" s="65" t="str">
        <f aca="false">IFERROR(INDEX(데이터_품목별!$F$3:$F$2984,MATCH($B30,데이터_품목별!$E$3:$E$2984,0)),"")</f>
        <v>그 밖의 비금속(卑金屬), 서멧(cermet), 이들의 제품</v>
      </c>
      <c r="D30" s="69" t="s">
        <v>20008</v>
      </c>
      <c r="E30" s="59" t="n">
        <f aca="false">IFERROR(분석4B_월별매트릭스!AA85/분석4B_월별매트릭스!O85-1,"-")</f>
        <v>0.469477698246491</v>
      </c>
      <c r="F30" s="59" t="n">
        <f aca="false">IFERROR(분석4B_월별매트릭스!AB85/분석4B_월별매트릭스!P85-1,"-")</f>
        <v>-0.0762539478614636</v>
      </c>
      <c r="G30" s="59" t="n">
        <f aca="false">IFERROR(분석4B_월별매트릭스!AC85/분석4B_월별매트릭스!Q85-1,"-")</f>
        <v>0.412261993473289</v>
      </c>
      <c r="H30" s="59" t="n">
        <f aca="false">IFERROR(분석4B_월별매트릭스!AD85/분석4B_월별매트릭스!R85-1,"-")</f>
        <v>0.213293753762481</v>
      </c>
      <c r="I30" s="59" t="n">
        <f aca="false">IFERROR(분석4B_월별매트릭스!AE85/분석4B_월별매트릭스!S85-1,"-")</f>
        <v>0.23090508738933</v>
      </c>
      <c r="J30" s="59" t="n">
        <f aca="false">IFERROR(분석4B_월별매트릭스!AF85/분석4B_월별매트릭스!T85-1,"-")</f>
        <v>0.330545031696613</v>
      </c>
      <c r="K30" s="59" t="n">
        <f aca="false">IFERROR(분석4B_월별매트릭스!AG85/분석4B_월별매트릭스!U85-1,"-")</f>
        <v>0.974015381030063</v>
      </c>
      <c r="L30" s="57" t="n">
        <f aca="false">분석4B_월별매트릭스!AA85-분석4B_월별매트릭스!O85</f>
        <v>15020</v>
      </c>
      <c r="M30" s="57" t="n">
        <f aca="false">분석4B_월별매트릭스!AB85-분석4B_월별매트릭스!P85</f>
        <v>-2849</v>
      </c>
      <c r="N30" s="57" t="n">
        <f aca="false">분석4B_월별매트릭스!AC85-분석4B_월별매트릭스!Q85</f>
        <v>16044</v>
      </c>
      <c r="O30" s="57" t="n">
        <f aca="false">분석4B_월별매트릭스!AD85-분석4B_월별매트릭스!R85</f>
        <v>10275</v>
      </c>
      <c r="P30" s="57" t="n">
        <f aca="false">분석4B_월별매트릭스!AE85-분석4B_월별매트릭스!S85</f>
        <v>10067</v>
      </c>
      <c r="Q30" s="57" t="n">
        <f aca="false">분석4B_월별매트릭스!AF85-분석4B_월별매트릭스!T85</f>
        <v>17624</v>
      </c>
      <c r="R30" s="57" t="n">
        <f aca="false">분석4B_월별매트릭스!AG85-분석4B_월별매트릭스!U85</f>
        <v>41795</v>
      </c>
      <c r="S30" s="25" t="n">
        <f aca="false">SUMIFS(데이터_품목별!$H$3:$H$2984,데이터_품목별!$E$3:$E$2984,"81",데이터_품목별!$B$3:$B$2984,2025,데이터_품목별!$C$3:$C$2984,"&lt;=7")</f>
        <v>296271</v>
      </c>
      <c r="T30" s="25" t="n">
        <f aca="false">SUMIFS(데이터_품목별!$H$3:$H$2984,데이터_품목별!$E$3:$E$2984,"81",데이터_품목별!$B$3:$B$2984,2026,데이터_품목별!$C$3:$C$2984,"&lt;=7")</f>
        <v>404247</v>
      </c>
      <c r="U30" s="36" t="n">
        <f aca="false">IFERROR(T30/S30-1,"-")</f>
        <v>0.364450114928562</v>
      </c>
      <c r="V30" s="34" t="n">
        <f aca="false">(T30-S30)/(SUMIFS(데이터_총괄!$H$3:$H$33,데이터_총괄!$B$3:$B$33,2026,데이터_총괄!$C$3:$C$33,"&lt;=7")-SUMIFS(데이터_총괄!$H$3:$H$33,데이터_총괄!$B$3:$B$33,2025,데이터_총괄!$C$3:$C$33,"&lt;=7"))</f>
        <v>0.000540761273239386</v>
      </c>
      <c r="W30" s="24" t="n">
        <f aca="false">SUMIFS(데이터_품목별!$G$3:$G$2984,데이터_품목별!$E$3:$E$2984,"81",데이터_품목별!$B$3:$B$2984,2026,데이터_품목별!$C$3:$C$2984,"&lt;=7")</f>
        <v>49871.8</v>
      </c>
      <c r="X30" s="36" t="n">
        <f aca="false">IFERROR((T30/W30)/(S30/SUMIFS(데이터_품목별!$G$3:$G$2984,데이터_품목별!$E$3:$E$2984,"81",데이터_품목별!$B$3:$B$2984,2025,데이터_품목별!$C$3:$C$2984,"&lt;=7"))-1,"-")</f>
        <v>-0.366879147041547</v>
      </c>
      <c r="Y30" s="67" t="str">
        <f aca="false">IF(OR(W30&lt;100,SUMIFS(데이터_품목별!$G$3:$G$2984,데이터_품목별!$E$3:$E$2984,"81",데이터_품목별!$B$3:$B$2984,2025,데이터_품목별!$C$3:$C$2984,"&lt;=7")&lt;100),"단가 불안정",IF(T30-S30&lt;0,"감소",IF(X30&gt;0.05,"가격 주도",IF(X30&lt;0.02,"물량 주도","혼합"))))</f>
        <v>물량 주도</v>
      </c>
      <c r="Z30" s="25" t="n">
        <f aca="false">SUMIFS(데이터_품목별!$J$3:$J$2984,데이터_품목별!$E$3:$E$2984,"81",데이터_품목별!$B$3:$B$2984,2026,데이터_품목별!$C$3:$C$2984,"&lt;=7")</f>
        <v>1229356</v>
      </c>
      <c r="AA30" s="25" t="n">
        <f aca="false">T30-Z30</f>
        <v>-825109</v>
      </c>
      <c r="AB30" s="65" t="str">
        <f aca="false">IF(T30=0,"자료 없음",IF(U30&gt;1,"1~7월 2배 이상 급증. ",IF(U30&gt;0.5,"1~7월 +50% 초과 급증. ",IF(U30&gt;0.15,"1~7월 뚜렷한 증가. ",IF(U30&gt;0.02,"1~7월 소폭 증가. ",IF(U30&gt;-0.02,"1~7월 보합. ",IF(U30&gt;-0.15,"1~7월 소폭 감소. ","1~7월 뚜렷한 감소. "))))))&amp;"월별로는 "&amp;COUNTIF(E30:K30,"&gt;0")&amp;"개월 증가·"&amp;COUNTIF(E30:K30,"&lt;0")&amp;"개월 감소"&amp;IF(COUNTIF(E30:K30,"&gt;0")=7," (7개월 내내 증가)",IF(COUNTIF(E30:K30,"&lt;0")=7," (7개월 내내 감소)",""))&amp;IFERROR(", 최대 "&amp;TEXT(MAX(E30:K30),"0.0%")&amp;"("&amp;SUBSTITUTE(INDEX($E$5:$K$5,MATCH(MAX(E30:K30),E30:K30,0))," YoY","")&amp;")","")&amp;IFERROR(", 최소 "&amp;TEXT(MIN(E30:K30),"0.0%")&amp;"("&amp;SUBSTITUTE(INDEX($E$5:$K$5,MATCH(MIN(E30:K30),E30:K30,0))," YoY","")&amp;")","")&amp;". "&amp;IF(Y30="가격 주도","단가 상승이 주도. ",IF(Y30="물량 주도","물량 확대가 주도. ",IF(Y30="혼합","물량·단가 동반. ",IF(Y30="감소","감소 품목. ","단가 해석 유보. "))))&amp;IF(V30&gt;0.05,"전체 증가의 5% 이상을 설명하는 대형 품목.",IF(V30&gt;0.005,"전체 증가에 의미 있게 기여.",IF(T30/SUMIFS(데이터_총괄!$H$3:$H$33,데이터_총괄!$B$3:$B$33,2026,데이터_총괄!$C$3:$C$33,"&lt;=7")&lt;0.001,"규모가 작아 총량 영향은 미미.","총량 영향은 제한적."))))</f>
        <v>1~7월 뚜렷한 증가. 월별로는 6개월 증가·1개월 감소, 최대 97.4%(2026.07), 최소 -7.6%(2026.02). 물량 확대가 주도. 규모가 작아 총량 영향은 미미.</v>
      </c>
    </row>
    <row r="31" customFormat="false" ht="33.75" hidden="false" customHeight="true" outlineLevel="0" collapsed="false">
      <c r="A31" s="67" t="s">
        <v>19838</v>
      </c>
      <c r="B31" s="68" t="s">
        <v>995</v>
      </c>
      <c r="C31" s="65" t="str">
        <f aca="false">IFERROR(INDEX(데이터_품목별!$F$3:$F$2984,MATCH($B31,데이터_품목별!$E$3:$E$2984,0)),"")</f>
        <v>완구ㆍ게임용구ㆍ운동용구와 이들의 부분품과 부속품</v>
      </c>
      <c r="D31" s="69" t="s">
        <v>20009</v>
      </c>
      <c r="E31" s="59" t="n">
        <f aca="false">IFERROR(분석4B_월별매트릭스!AA99/분석4B_월별매트릭스!O99-1,"-")</f>
        <v>0.262206951359185</v>
      </c>
      <c r="F31" s="59" t="n">
        <f aca="false">IFERROR(분석4B_월별매트릭스!AB99/분석4B_월별매트릭스!P99-1,"-")</f>
        <v>0.241168820271858</v>
      </c>
      <c r="G31" s="59" t="n">
        <f aca="false">IFERROR(분석4B_월별매트릭스!AC99/분석4B_월별매트릭스!Q99-1,"-")</f>
        <v>0.427679945289793</v>
      </c>
      <c r="H31" s="59" t="n">
        <f aca="false">IFERROR(분석4B_월별매트릭스!AD99/분석4B_월별매트릭스!R99-1,"-")</f>
        <v>0.231874490311056</v>
      </c>
      <c r="I31" s="59" t="n">
        <f aca="false">IFERROR(분석4B_월별매트릭스!AE99/분석4B_월별매트릭스!S99-1,"-")</f>
        <v>0.299991589217377</v>
      </c>
      <c r="J31" s="59" t="n">
        <f aca="false">IFERROR(분석4B_월별매트릭스!AF99/분석4B_월별매트릭스!T99-1,"-")</f>
        <v>0.29531650944267</v>
      </c>
      <c r="K31" s="59" t="n">
        <f aca="false">IFERROR(분석4B_월별매트릭스!AG99/분석4B_월별매트릭스!U99-1,"-")</f>
        <v>0.230869209130079</v>
      </c>
      <c r="L31" s="57" t="n">
        <f aca="false">분석4B_월별매트릭스!AA99-분석4B_월별매트릭스!O99</f>
        <v>11218</v>
      </c>
      <c r="M31" s="57" t="n">
        <f aca="false">분석4B_월별매트릭스!AB99-분석4B_월별매트릭스!P99</f>
        <v>11497</v>
      </c>
      <c r="N31" s="57" t="n">
        <f aca="false">분석4B_월별매트릭스!AC99-분석4B_월별매트릭스!Q99</f>
        <v>20012</v>
      </c>
      <c r="O31" s="57" t="n">
        <f aca="false">분석4B_월별매트릭스!AD99-분석4B_월별매트릭스!R99</f>
        <v>11942</v>
      </c>
      <c r="P31" s="57" t="n">
        <f aca="false">분석4B_월별매트릭스!AE99-분석4B_월별매트릭스!S99</f>
        <v>14267</v>
      </c>
      <c r="Q31" s="57" t="n">
        <f aca="false">분석4B_월별매트릭스!AF99-분석4B_월별매트릭스!T99</f>
        <v>15997</v>
      </c>
      <c r="R31" s="57" t="n">
        <f aca="false">분석4B_월별매트릭스!AG99-분석4B_월별매트릭스!U99</f>
        <v>12967</v>
      </c>
      <c r="S31" s="25" t="n">
        <f aca="false">SUMIFS(데이터_품목별!$H$3:$H$2984,데이터_품목별!$E$3:$E$2984,"95",데이터_품목별!$B$3:$B$2984,2025,데이터_품목별!$C$3:$C$2984,"&lt;=7")</f>
        <v>346642</v>
      </c>
      <c r="T31" s="25" t="n">
        <f aca="false">SUMIFS(데이터_품목별!$H$3:$H$2984,데이터_품목별!$E$3:$E$2984,"95",데이터_품목별!$B$3:$B$2984,2026,데이터_품목별!$C$3:$C$2984,"&lt;=7")</f>
        <v>444542</v>
      </c>
      <c r="U31" s="36" t="n">
        <f aca="false">IFERROR(T31/S31-1,"-")</f>
        <v>0.282423941703544</v>
      </c>
      <c r="V31" s="34" t="n">
        <f aca="false">(T31-S31)/(SUMIFS(데이터_총괄!$H$3:$H$33,데이터_총괄!$B$3:$B$33,2026,데이터_총괄!$C$3:$C$33,"&lt;=7")-SUMIFS(데이터_총괄!$H$3:$H$33,데이터_총괄!$B$3:$B$33,2025,데이터_총괄!$C$3:$C$33,"&lt;=7"))</f>
        <v>0.000490299035435058</v>
      </c>
      <c r="W31" s="24" t="n">
        <f aca="false">SUMIFS(데이터_품목별!$G$3:$G$2984,데이터_품목별!$E$3:$E$2984,"95",데이터_품목별!$B$3:$B$2984,2026,데이터_품목별!$C$3:$C$2984,"&lt;=7")</f>
        <v>18019.3</v>
      </c>
      <c r="X31" s="36" t="n">
        <f aca="false">IFERROR((T31/W31)/(S31/SUMIFS(데이터_품목별!$G$3:$G$2984,데이터_품목별!$E$3:$E$2984,"95",데이터_품목별!$B$3:$B$2984,2025,데이터_품목별!$C$3:$C$2984,"&lt;=7"))-1,"-")</f>
        <v>0.0986714998725975</v>
      </c>
      <c r="Y31" s="67" t="str">
        <f aca="false">IF(OR(W31&lt;100,SUMIFS(데이터_품목별!$G$3:$G$2984,데이터_품목별!$E$3:$E$2984,"95",데이터_품목별!$B$3:$B$2984,2025,데이터_품목별!$C$3:$C$2984,"&lt;=7")&lt;100),"단가 불안정",IF(T31-S31&lt;0,"감소",IF(X31&gt;0.05,"가격 주도",IF(X31&lt;0.02,"물량 주도","혼합"))))</f>
        <v>가격 주도</v>
      </c>
      <c r="Z31" s="25" t="n">
        <f aca="false">SUMIFS(데이터_품목별!$J$3:$J$2984,데이터_품목별!$E$3:$E$2984,"95",데이터_품목별!$B$3:$B$2984,2026,데이터_품목별!$C$3:$C$2984,"&lt;=7")</f>
        <v>1580822</v>
      </c>
      <c r="AA31" s="25" t="n">
        <f aca="false">T31-Z31</f>
        <v>-1136280</v>
      </c>
      <c r="AB31" s="65" t="str">
        <f aca="false">IF(T31=0,"자료 없음",IF(U31&gt;1,"1~7월 2배 이상 급증. ",IF(U31&gt;0.5,"1~7월 +50% 초과 급증. ",IF(U31&gt;0.15,"1~7월 뚜렷한 증가. ",IF(U31&gt;0.02,"1~7월 소폭 증가. ",IF(U31&gt;-0.02,"1~7월 보합. ",IF(U31&gt;-0.15,"1~7월 소폭 감소. ","1~7월 뚜렷한 감소. "))))))&amp;"월별로는 "&amp;COUNTIF(E31:K31,"&gt;0")&amp;"개월 증가·"&amp;COUNTIF(E31:K31,"&lt;0")&amp;"개월 감소"&amp;IF(COUNTIF(E31:K31,"&gt;0")=7," (7개월 내내 증가)",IF(COUNTIF(E31:K31,"&lt;0")=7," (7개월 내내 감소)",""))&amp;IFERROR(", 최대 "&amp;TEXT(MAX(E31:K31),"0.0%")&amp;"("&amp;SUBSTITUTE(INDEX($E$5:$K$5,MATCH(MAX(E31:K31),E31:K31,0))," YoY","")&amp;")","")&amp;IFERROR(", 최소 "&amp;TEXT(MIN(E31:K31),"0.0%")&amp;"("&amp;SUBSTITUTE(INDEX($E$5:$K$5,MATCH(MIN(E31:K31),E31:K31,0))," YoY","")&amp;")","")&amp;". "&amp;IF(Y31="가격 주도","단가 상승이 주도. ",IF(Y31="물량 주도","물량 확대가 주도. ",IF(Y31="혼합","물량·단가 동반. ",IF(Y31="감소","감소 품목. ","단가 해석 유보. "))))&amp;IF(V31&gt;0.05,"전체 증가의 5% 이상을 설명하는 대형 품목.",IF(V31&gt;0.005,"전체 증가에 의미 있게 기여.",IF(T31/SUMIFS(데이터_총괄!$H$3:$H$33,데이터_총괄!$B$3:$B$33,2026,데이터_총괄!$C$3:$C$33,"&lt;=7")&lt;0.001,"규모가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42.8%(2026.03), 최소 23.1%(2026.07). 단가 상승이 주도. 규모가 작아 총량 영향은 미미.</v>
      </c>
    </row>
    <row r="32" customFormat="false" ht="33.75" hidden="false" customHeight="true" outlineLevel="0" collapsed="false">
      <c r="A32" s="67" t="s">
        <v>19828</v>
      </c>
      <c r="B32" s="68" t="s">
        <v>876</v>
      </c>
      <c r="C32" s="65" t="str">
        <f aca="false">IFERROR(INDEX(데이터_품목별!$F$3:$F$2984,MATCH($B32,데이터_품목별!$E$3:$E$2984,0)),"")</f>
        <v>납과 그 제품</v>
      </c>
      <c r="D32" s="69" t="s">
        <v>877</v>
      </c>
      <c r="E32" s="59" t="n">
        <f aca="false">IFERROR(분석4B_월별매트릭스!AA82/분석4B_월별매트릭스!O82-1,"-")</f>
        <v>0.199288528477986</v>
      </c>
      <c r="F32" s="59" t="n">
        <f aca="false">IFERROR(분석4B_월별매트릭스!AB82/분석4B_월별매트릭스!P82-1,"-")</f>
        <v>0.328166226912929</v>
      </c>
      <c r="G32" s="59" t="n">
        <f aca="false">IFERROR(분석4B_월별매트릭스!AC82/분석4B_월별매트릭스!Q82-1,"-")</f>
        <v>-0.0990624071952824</v>
      </c>
      <c r="H32" s="59" t="n">
        <f aca="false">IFERROR(분석4B_월별매트릭스!AD82/분석4B_월별매트릭스!R82-1,"-")</f>
        <v>0.941310135879545</v>
      </c>
      <c r="I32" s="59" t="n">
        <f aca="false">IFERROR(분석4B_월별매트릭스!AE82/분석4B_월별매트릭스!S82-1,"-")</f>
        <v>0.155939794578067</v>
      </c>
      <c r="J32" s="59" t="n">
        <f aca="false">IFERROR(분석4B_월별매트릭스!AF82/분석4B_월별매트릭스!T82-1,"-")</f>
        <v>0.304008851817176</v>
      </c>
      <c r="K32" s="59" t="n">
        <f aca="false">IFERROR(분석4B_월별매트릭스!AG82/분석4B_월별매트릭스!U82-1,"-")</f>
        <v>0.151375346809354</v>
      </c>
      <c r="L32" s="57" t="n">
        <f aca="false">분석4B_월별매트릭스!AA82-분석4B_월별매트릭스!O82</f>
        <v>10420</v>
      </c>
      <c r="M32" s="57" t="n">
        <f aca="false">분석4B_월별매트릭스!AB82-분석4B_월별매트릭스!P82</f>
        <v>15920</v>
      </c>
      <c r="N32" s="57" t="n">
        <f aca="false">분석4B_월별매트릭스!AC82-분석4B_월별매트릭스!Q82</f>
        <v>-9340</v>
      </c>
      <c r="O32" s="57" t="n">
        <f aca="false">분석4B_월별매트릭스!AD82-분석4B_월별매트릭스!R82</f>
        <v>41011</v>
      </c>
      <c r="P32" s="57" t="n">
        <f aca="false">분석4B_월별매트릭스!AE82-분석4B_월별매트릭스!S82</f>
        <v>7242</v>
      </c>
      <c r="Q32" s="57" t="n">
        <f aca="false">분석4B_월별매트릭스!AF82-분석4B_월별매트릭스!T82</f>
        <v>17859</v>
      </c>
      <c r="R32" s="57" t="n">
        <f aca="false">분석4B_월별매트릭스!AG82-분석4B_월별매트릭스!U82</f>
        <v>9548</v>
      </c>
      <c r="S32" s="25" t="n">
        <f aca="false">SUMIFS(데이터_품목별!$H$3:$H$2984,데이터_품목별!$E$3:$E$2984,"78",데이터_품목별!$B$3:$B$2984,2025,데이터_품목별!$C$3:$C$2984,"&lt;=7")</f>
        <v>406911</v>
      </c>
      <c r="T32" s="25" t="n">
        <f aca="false">SUMIFS(데이터_품목별!$H$3:$H$2984,데이터_품목별!$E$3:$E$2984,"78",데이터_품목별!$B$3:$B$2984,2026,데이터_품목별!$C$3:$C$2984,"&lt;=7")</f>
        <v>499571</v>
      </c>
      <c r="U32" s="36" t="n">
        <f aca="false">IFERROR(T32/S32-1,"-")</f>
        <v>0.22771564297844</v>
      </c>
      <c r="V32" s="34" t="n">
        <f aca="false">(T32-S32)/(SUMIFS(데이터_총괄!$H$3:$H$33,데이터_총괄!$B$3:$B$33,2026,데이터_총괄!$C$3:$C$33,"&lt;=7")-SUMIFS(데이터_총괄!$H$3:$H$33,데이터_총괄!$B$3:$B$33,2025,데이터_총괄!$C$3:$C$33,"&lt;=7"))</f>
        <v>0.000464056267859167</v>
      </c>
      <c r="W32" s="24" t="n">
        <f aca="false">SUMIFS(데이터_품목별!$G$3:$G$2984,데이터_품목별!$E$3:$E$2984,"78",데이터_품목별!$B$3:$B$2984,2026,데이터_품목별!$C$3:$C$2984,"&lt;=7")</f>
        <v>221421.1</v>
      </c>
      <c r="X32" s="36" t="n">
        <f aca="false">IFERROR((T32/W32)/(S32/SUMIFS(데이터_품목별!$G$3:$G$2984,데이터_품목별!$E$3:$E$2984,"78",데이터_품목별!$B$3:$B$2984,2025,데이터_품목별!$C$3:$C$2984,"&lt;=7"))-1,"-")</f>
        <v>0.0231740874913919</v>
      </c>
      <c r="Y32" s="67" t="str">
        <f aca="false">IF(OR(W32&lt;100,SUMIFS(데이터_품목별!$G$3:$G$2984,데이터_품목별!$E$3:$E$2984,"78",데이터_품목별!$B$3:$B$2984,2025,데이터_품목별!$C$3:$C$2984,"&lt;=7")&lt;100),"단가 불안정",IF(T32-S32&lt;0,"감소",IF(X32&gt;0.05,"가격 주도",IF(X32&lt;0.02,"물량 주도","혼합"))))</f>
        <v>혼합</v>
      </c>
      <c r="Z32" s="25" t="n">
        <f aca="false">SUMIFS(데이터_품목별!$J$3:$J$2984,데이터_품목별!$E$3:$E$2984,"78",데이터_품목별!$B$3:$B$2984,2026,데이터_품목별!$C$3:$C$2984,"&lt;=7")</f>
        <v>236346</v>
      </c>
      <c r="AA32" s="25" t="n">
        <f aca="false">T32-Z32</f>
        <v>263225</v>
      </c>
      <c r="AB32" s="65" t="str">
        <f aca="false">IF(T32=0,"자료 없음",IF(U32&gt;1,"1~7월 2배 이상 급증. ",IF(U32&gt;0.5,"1~7월 +50% 초과 급증. ",IF(U32&gt;0.15,"1~7월 뚜렷한 증가. ",IF(U32&gt;0.02,"1~7월 소폭 증가. ",IF(U32&gt;-0.02,"1~7월 보합. ",IF(U32&gt;-0.15,"1~7월 소폭 감소. ","1~7월 뚜렷한 감소. "))))))&amp;"월별로는 "&amp;COUNTIF(E32:K32,"&gt;0")&amp;"개월 증가·"&amp;COUNTIF(E32:K32,"&lt;0")&amp;"개월 감소"&amp;IF(COUNTIF(E32:K32,"&gt;0")=7," (7개월 내내 증가)",IF(COUNTIF(E32:K32,"&lt;0")=7," (7개월 내내 감소)",""))&amp;IFERROR(", 최대 "&amp;TEXT(MAX(E32:K32),"0.0%")&amp;"("&amp;SUBSTITUTE(INDEX($E$5:$K$5,MATCH(MAX(E32:K32),E32:K32,0))," YoY","")&amp;")","")&amp;IFERROR(", 최소 "&amp;TEXT(MIN(E32:K32),"0.0%")&amp;"("&amp;SUBSTITUTE(INDEX($E$5:$K$5,MATCH(MIN(E32:K32),E32:K32,0))," YoY","")&amp;")","")&amp;". "&amp;IF(Y32="가격 주도","단가 상승이 주도. ",IF(Y32="물량 주도","물량 확대가 주도. ",IF(Y32="혼합","물량·단가 동반. ",IF(Y32="감소","감소 품목. ","단가 해석 유보. "))))&amp;IF(V32&gt;0.05,"전체 증가의 5% 이상을 설명하는 대형 품목.",IF(V32&gt;0.005,"전체 증가에 의미 있게 기여.",IF(T32/SUMIFS(데이터_총괄!$H$3:$H$33,데이터_총괄!$B$3:$B$33,2026,데이터_총괄!$C$3:$C$33,"&lt;=7")&lt;0.001,"규모가 작아 총량 영향은 미미.","총량 영향은 제한적."))))</f>
        <v>1~7월 뚜렷한 증가. 월별로는 6개월 증가·1개월 감소, 최대 94.1%(2026.04), 최소 -9.9%(2026.03). 물량·단가 동반. 규모가 작아 총량 영향은 미미.</v>
      </c>
    </row>
    <row r="33" customFormat="false" ht="33.75" hidden="false" customHeight="true" outlineLevel="0" collapsed="false">
      <c r="A33" s="67" t="s">
        <v>19824</v>
      </c>
      <c r="B33" s="68" t="s">
        <v>813</v>
      </c>
      <c r="C33" s="65" t="str">
        <f aca="false">IFERROR(INDEX(데이터_품목별!$F$3:$F$2984,MATCH($B33,데이터_품목별!$E$3:$E$2984,0)),"")</f>
        <v>돌ㆍ플라스터(plaster)ㆍ시멘트ㆍ석면ㆍ운모나 이와 유사한 재료의 제품</v>
      </c>
      <c r="D33" s="69" t="s">
        <v>20010</v>
      </c>
      <c r="E33" s="59" t="n">
        <f aca="false">IFERROR(분석4B_월별매트릭스!AA73/분석4B_월별매트릭스!O73-1,"-")</f>
        <v>0.148902253459894</v>
      </c>
      <c r="F33" s="59" t="n">
        <f aca="false">IFERROR(분석4B_월별매트릭스!AB73/분석4B_월별매트릭스!P73-1,"-")</f>
        <v>0.0574591536285434</v>
      </c>
      <c r="G33" s="59" t="n">
        <f aca="false">IFERROR(분석4B_월별매트릭스!AC73/분석4B_월별매트릭스!Q73-1,"-")</f>
        <v>0.117535134567691</v>
      </c>
      <c r="H33" s="59" t="n">
        <f aca="false">IFERROR(분석4B_월별매트릭스!AD73/분석4B_월별매트릭스!R73-1,"-")</f>
        <v>0.132998614958449</v>
      </c>
      <c r="I33" s="59" t="n">
        <f aca="false">IFERROR(분석4B_월별매트릭스!AE73/분석4B_월별매트릭스!S73-1,"-")</f>
        <v>0.188608940125641</v>
      </c>
      <c r="J33" s="59" t="n">
        <f aca="false">IFERROR(분석4B_월별매트릭스!AF73/분석4B_월별매트릭스!T73-1,"-")</f>
        <v>0.269289114400795</v>
      </c>
      <c r="K33" s="59" t="n">
        <f aca="false">IFERROR(분석4B_월별매트릭스!AG73/분석4B_월별매트릭스!U73-1,"-")</f>
        <v>0.306007912411445</v>
      </c>
      <c r="L33" s="57" t="n">
        <f aca="false">분석4B_월별매트릭스!AA73-분석4B_월별매트릭스!O73</f>
        <v>10275</v>
      </c>
      <c r="M33" s="57" t="n">
        <f aca="false">분석4B_월별매트릭스!AB73-분석4B_월별매트릭스!P73</f>
        <v>3981</v>
      </c>
      <c r="N33" s="57" t="n">
        <f aca="false">분석4B_월별매트릭스!AC73-분석4B_월별매트릭스!Q73</f>
        <v>8957</v>
      </c>
      <c r="O33" s="57" t="n">
        <f aca="false">분석4B_월별매트릭스!AD73-분석4B_월별매트릭스!R73</f>
        <v>11523</v>
      </c>
      <c r="P33" s="57" t="n">
        <f aca="false">분석4B_월별매트릭스!AE73-분석4B_월별매트릭스!S73</f>
        <v>14021</v>
      </c>
      <c r="Q33" s="57" t="n">
        <f aca="false">분석4B_월별매트릭스!AF73-분석4B_월별매트릭스!T73</f>
        <v>20592</v>
      </c>
      <c r="R33" s="57" t="n">
        <f aca="false">분석4B_월별매트릭스!AG73-분석4B_월별매트릭스!U73</f>
        <v>23282</v>
      </c>
      <c r="S33" s="25" t="n">
        <f aca="false">SUMIFS(데이터_품목별!$H$3:$H$2984,데이터_품목별!$E$3:$E$2984,"68",데이터_품목별!$B$3:$B$2984,2025,데이터_품목별!$C$3:$C$2984,"&lt;=7")</f>
        <v>528026</v>
      </c>
      <c r="T33" s="25" t="n">
        <f aca="false">SUMIFS(데이터_품목별!$H$3:$H$2984,데이터_품목별!$E$3:$E$2984,"68",데이터_품목별!$B$3:$B$2984,2026,데이터_품목별!$C$3:$C$2984,"&lt;=7")</f>
        <v>620657</v>
      </c>
      <c r="U33" s="36" t="n">
        <f aca="false">IFERROR(T33/S33-1,"-")</f>
        <v>0.17542886145758</v>
      </c>
      <c r="V33" s="34" t="n">
        <f aca="false">(T33-S33)/(SUMIFS(데이터_총괄!$H$3:$H$33,데이터_총괄!$B$3:$B$33,2026,데이터_총괄!$C$3:$C$33,"&lt;=7")-SUMIFS(데이터_총괄!$H$3:$H$33,데이터_총괄!$B$3:$B$33,2025,데이터_총괄!$C$3:$C$33,"&lt;=7"))</f>
        <v>0.000463911031168385</v>
      </c>
      <c r="W33" s="24" t="n">
        <f aca="false">SUMIFS(데이터_품목별!$G$3:$G$2984,데이터_품목별!$E$3:$E$2984,"68",데이터_품목별!$B$3:$B$2984,2026,데이터_품목별!$C$3:$C$2984,"&lt;=7")</f>
        <v>78815.7</v>
      </c>
      <c r="X33" s="36" t="n">
        <f aca="false">IFERROR((T33/W33)/(S33/SUMIFS(데이터_품목별!$G$3:$G$2984,데이터_품목별!$E$3:$E$2984,"68",데이터_품목별!$B$3:$B$2984,2025,데이터_품목별!$C$3:$C$2984,"&lt;=7"))-1,"-")</f>
        <v>0.128091481352442</v>
      </c>
      <c r="Y33" s="67" t="str">
        <f aca="false">IF(OR(W33&lt;100,SUMIFS(데이터_품목별!$G$3:$G$2984,데이터_품목별!$E$3:$E$2984,"68",데이터_품목별!$B$3:$B$2984,2025,데이터_품목별!$C$3:$C$2984,"&lt;=7")&lt;100),"단가 불안정",IF(T33-S33&lt;0,"감소",IF(X33&gt;0.05,"가격 주도",IF(X33&lt;0.02,"물량 주도","혼합"))))</f>
        <v>가격 주도</v>
      </c>
      <c r="Z33" s="25" t="n">
        <f aca="false">SUMIFS(데이터_품목별!$J$3:$J$2984,데이터_품목별!$E$3:$E$2984,"68",데이터_품목별!$B$3:$B$2984,2026,데이터_품목별!$C$3:$C$2984,"&lt;=7")</f>
        <v>710530</v>
      </c>
      <c r="AA33" s="25" t="n">
        <f aca="false">T33-Z33</f>
        <v>-89873</v>
      </c>
      <c r="AB33" s="65" t="str">
        <f aca="false">IF(T33=0,"자료 없음",IF(U33&gt;1,"1~7월 2배 이상 급증. ",IF(U33&gt;0.5,"1~7월 +50% 초과 급증. ",IF(U33&gt;0.15,"1~7월 뚜렷한 증가. ",IF(U33&gt;0.02,"1~7월 소폭 증가. ",IF(U33&gt;-0.02,"1~7월 보합. ",IF(U33&gt;-0.15,"1~7월 소폭 감소. ","1~7월 뚜렷한 감소. "))))))&amp;"월별로는 "&amp;COUNTIF(E33:K33,"&gt;0")&amp;"개월 증가·"&amp;COUNTIF(E33:K33,"&lt;0")&amp;"개월 감소"&amp;IF(COUNTIF(E33:K33,"&gt;0")=7," (7개월 내내 증가)",IF(COUNTIF(E33:K33,"&lt;0")=7," (7개월 내내 감소)",""))&amp;IFERROR(", 최대 "&amp;TEXT(MAX(E33:K33),"0.0%")&amp;"("&amp;SUBSTITUTE(INDEX($E$5:$K$5,MATCH(MAX(E33:K33),E33:K33,0))," YoY","")&amp;")","")&amp;IFERROR(", 최소 "&amp;TEXT(MIN(E33:K33),"0.0%")&amp;"("&amp;SUBSTITUTE(INDEX($E$5:$K$5,MATCH(MIN(E33:K33),E33:K33,0))," YoY","")&amp;")","")&amp;". "&amp;IF(Y33="가격 주도","단가 상승이 주도. ",IF(Y33="물량 주도","물량 확대가 주도. ",IF(Y33="혼합","물량·단가 동반. ",IF(Y33="감소","감소 품목. ","단가 해석 유보. "))))&amp;IF(V33&gt;0.05,"전체 증가의 5% 이상을 설명하는 대형 품목.",IF(V33&gt;0.005,"전체 증가에 의미 있게 기여.",IF(T33/SUMIFS(데이터_총괄!$H$3:$H$33,데이터_총괄!$B$3:$B$33,2026,데이터_총괄!$C$3:$C$33,"&lt;=7")&lt;0.001,"규모가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30.6%(2026.07), 최소 5.7%(2026.02). 단가 상승이 주도. 총량 영향은 제한적.</v>
      </c>
    </row>
    <row r="34" customFormat="false" ht="33.75" hidden="false" customHeight="true" outlineLevel="0" collapsed="false">
      <c r="A34" s="67" t="s">
        <v>19810</v>
      </c>
      <c r="B34" s="68" t="s">
        <v>555</v>
      </c>
      <c r="C34" s="65" t="str">
        <f aca="false">IFERROR(INDEX(데이터_품목별!$F$3:$F$2984,MATCH($B34,데이터_품목별!$E$3:$E$2984,0)),"")</f>
        <v>비료</v>
      </c>
      <c r="D34" s="69" t="s">
        <v>20011</v>
      </c>
      <c r="E34" s="59" t="n">
        <f aca="false">IFERROR(분석4B_월별매트릭스!AA36/분석4B_월별매트릭스!O36-1,"-")</f>
        <v>-0.132734744293214</v>
      </c>
      <c r="F34" s="59" t="n">
        <f aca="false">IFERROR(분석4B_월별매트릭스!AB36/분석4B_월별매트릭스!P36-1,"-")</f>
        <v>0.17110368795762</v>
      </c>
      <c r="G34" s="59" t="n">
        <f aca="false">IFERROR(분석4B_월별매트릭스!AC36/분석4B_월별매트릭스!Q36-1,"-")</f>
        <v>0.159857430351817</v>
      </c>
      <c r="H34" s="59" t="n">
        <f aca="false">IFERROR(분석4B_월별매트릭스!AD36/분석4B_월별매트릭스!R36-1,"-")</f>
        <v>0.277816537828259</v>
      </c>
      <c r="I34" s="59" t="n">
        <f aca="false">IFERROR(분석4B_월별매트릭스!AE36/분석4B_월별매트릭스!S36-1,"-")</f>
        <v>0.0201360794409708</v>
      </c>
      <c r="J34" s="59" t="n">
        <f aca="false">IFERROR(분석4B_월별매트릭스!AF36/분석4B_월별매트릭스!T36-1,"-")</f>
        <v>0.349819833160571</v>
      </c>
      <c r="K34" s="59" t="n">
        <f aca="false">IFERROR(분석4B_월별매트릭스!AG36/분석4B_월별매트릭스!U36-1,"-")</f>
        <v>0.941141498216409</v>
      </c>
      <c r="L34" s="57" t="n">
        <f aca="false">분석4B_월별매트릭스!AA36-분석4B_월별매트릭스!O36</f>
        <v>-5588</v>
      </c>
      <c r="M34" s="57" t="n">
        <f aca="false">분석4B_월별매트릭스!AB36-분석4B_월별매트릭스!P36</f>
        <v>5071</v>
      </c>
      <c r="N34" s="57" t="n">
        <f aca="false">분석4B_월별매트릭스!AC36-분석4B_월별매트릭스!Q36</f>
        <v>6593</v>
      </c>
      <c r="O34" s="57" t="n">
        <f aca="false">분석4B_월별매트릭스!AD36-분석4B_월별매트릭스!R36</f>
        <v>9955</v>
      </c>
      <c r="P34" s="57" t="n">
        <f aca="false">분석4B_월별매트릭스!AE36-분석4B_월별매트릭스!S36</f>
        <v>657</v>
      </c>
      <c r="Q34" s="57" t="n">
        <f aca="false">분석4B_월별매트릭스!AF36-분석4B_월별매트릭스!T36</f>
        <v>14174</v>
      </c>
      <c r="R34" s="57" t="n">
        <f aca="false">분석4B_월별매트릭스!AG36-분석4B_월별매트릭스!U36</f>
        <v>36409</v>
      </c>
      <c r="S34" s="25" t="n">
        <f aca="false">SUMIFS(데이터_품목별!$H$3:$H$2984,데이터_품목별!$E$3:$E$2984,"31",데이터_품목별!$B$3:$B$2984,2025,데이터_품목별!$C$3:$C$2984,"&lt;=7")</f>
        <v>260644</v>
      </c>
      <c r="T34" s="25" t="n">
        <f aca="false">SUMIFS(데이터_품목별!$H$3:$H$2984,데이터_품목별!$E$3:$E$2984,"31",데이터_품목별!$B$3:$B$2984,2026,데이터_품목별!$C$3:$C$2984,"&lt;=7")</f>
        <v>327915</v>
      </c>
      <c r="U34" s="36" t="n">
        <f aca="false">IFERROR(T34/S34-1,"-")</f>
        <v>0.258095333098019</v>
      </c>
      <c r="V34" s="34" t="n">
        <f aca="false">(T34-S34)/(SUMIFS(데이터_총괄!$H$3:$H$33,데이터_총괄!$B$3:$B$33,2026,데이터_총괄!$C$3:$C$33,"&lt;=7")-SUMIFS(데이터_총괄!$H$3:$H$33,데이터_총괄!$B$3:$B$33,2025,데이터_총괄!$C$3:$C$33,"&lt;=7"))</f>
        <v>0.000336904049159875</v>
      </c>
      <c r="W34" s="24" t="n">
        <f aca="false">SUMIFS(데이터_품목별!$G$3:$G$2984,데이터_품목별!$E$3:$E$2984,"31",데이터_품목별!$B$3:$B$2984,2026,데이터_품목별!$C$3:$C$2984,"&lt;=7")</f>
        <v>692517.6</v>
      </c>
      <c r="X34" s="36" t="n">
        <f aca="false">IFERROR((T34/W34)/(S34/SUMIFS(데이터_품목별!$G$3:$G$2984,데이터_품목별!$E$3:$E$2984,"31",데이터_품목별!$B$3:$B$2984,2025,데이터_품목별!$C$3:$C$2984,"&lt;=7"))-1,"-")</f>
        <v>0.234914811734041</v>
      </c>
      <c r="Y34" s="67" t="str">
        <f aca="false">IF(OR(W34&lt;100,SUMIFS(데이터_품목별!$G$3:$G$2984,데이터_품목별!$E$3:$E$2984,"31",데이터_품목별!$B$3:$B$2984,2025,데이터_품목별!$C$3:$C$2984,"&lt;=7")&lt;100),"단가 불안정",IF(T34-S34&lt;0,"감소",IF(X34&gt;0.05,"가격 주도",IF(X34&lt;0.02,"물량 주도","혼합"))))</f>
        <v>가격 주도</v>
      </c>
      <c r="Z34" s="25" t="n">
        <f aca="false">SUMIFS(데이터_품목별!$J$3:$J$2984,데이터_품목별!$E$3:$E$2984,"31",데이터_품목별!$B$3:$B$2984,2026,데이터_품목별!$C$3:$C$2984,"&lt;=7")</f>
        <v>543653</v>
      </c>
      <c r="AA34" s="25" t="n">
        <f aca="false">T34-Z34</f>
        <v>-215738</v>
      </c>
      <c r="AB34" s="65" t="str">
        <f aca="false">IF(T34=0,"자료 없음",IF(U34&gt;1,"1~7월 2배 이상 급증. ",IF(U34&gt;0.5,"1~7월 +50% 초과 급증. ",IF(U34&gt;0.15,"1~7월 뚜렷한 증가. ",IF(U34&gt;0.02,"1~7월 소폭 증가. ",IF(U34&gt;-0.02,"1~7월 보합. ",IF(U34&gt;-0.15,"1~7월 소폭 감소. ","1~7월 뚜렷한 감소. "))))))&amp;"월별로는 "&amp;COUNTIF(E34:K34,"&gt;0")&amp;"개월 증가·"&amp;COUNTIF(E34:K34,"&lt;0")&amp;"개월 감소"&amp;IF(COUNTIF(E34:K34,"&gt;0")=7," (7개월 내내 증가)",IF(COUNTIF(E34:K34,"&lt;0")=7," (7개월 내내 감소)",""))&amp;IFERROR(", 최대 "&amp;TEXT(MAX(E34:K34),"0.0%")&amp;"("&amp;SUBSTITUTE(INDEX($E$5:$K$5,MATCH(MAX(E34:K34),E34:K34,0))," YoY","")&amp;")","")&amp;IFERROR(", 최소 "&amp;TEXT(MIN(E34:K34),"0.0%")&amp;"("&amp;SUBSTITUTE(INDEX($E$5:$K$5,MATCH(MIN(E34:K34),E34:K34,0))," YoY","")&amp;")","")&amp;". "&amp;IF(Y34="가격 주도","단가 상승이 주도. ",IF(Y34="물량 주도","물량 확대가 주도. ",IF(Y34="혼합","물량·단가 동반. ",IF(Y34="감소","감소 품목. ","단가 해석 유보. "))))&amp;IF(V34&gt;0.05,"전체 증가의 5% 이상을 설명하는 대형 품목.",IF(V34&gt;0.005,"전체 증가에 의미 있게 기여.",IF(T34/SUMIFS(데이터_총괄!$H$3:$H$33,데이터_총괄!$B$3:$B$33,2026,데이터_총괄!$C$3:$C$33,"&lt;=7")&lt;0.001,"규모가 작아 총량 영향은 미미.","총량 영향은 제한적."))))</f>
        <v>1~7월 뚜렷한 증가. 월별로는 6개월 증가·1개월 감소, 최대 94.1%(2026.07), 최소 -13.3%(2026.01). 단가 상승이 주도. 규모가 작아 총량 영향은 미미.</v>
      </c>
    </row>
    <row r="35" customFormat="false" ht="33.75" hidden="false" customHeight="true" outlineLevel="0" collapsed="false">
      <c r="A35" s="67" t="s">
        <v>19836</v>
      </c>
      <c r="B35" s="68" t="s">
        <v>981</v>
      </c>
      <c r="C35" s="65" t="str">
        <f aca="false">IFERROR(INDEX(데이터_품목별!$F$3:$F$2984,MATCH($B35,데이터_품목별!$E$3:$E$2984,0)),"")</f>
        <v>무기ㆍ총포탄과 이들의 부분품과 부속품</v>
      </c>
      <c r="D35" s="69" t="s">
        <v>20012</v>
      </c>
      <c r="E35" s="59" t="n">
        <f aca="false">IFERROR(분석4B_월별매트릭스!AA97/분석4B_월별매트릭스!O97-1,"-")</f>
        <v>0.546455760575033</v>
      </c>
      <c r="F35" s="59" t="n">
        <f aca="false">IFERROR(분석4B_월별매트릭스!AB97/분석4B_월별매트릭스!P97-1,"-")</f>
        <v>0.252730716615806</v>
      </c>
      <c r="G35" s="59" t="n">
        <f aca="false">IFERROR(분석4B_월별매트릭스!AC97/분석4B_월별매트릭스!Q97-1,"-")</f>
        <v>1.37175496215907</v>
      </c>
      <c r="H35" s="59" t="n">
        <f aca="false">IFERROR(분석4B_월별매트릭스!AD97/분석4B_월별매트릭스!R97-1,"-")</f>
        <v>-0.130490026996886</v>
      </c>
      <c r="I35" s="59" t="n">
        <f aca="false">IFERROR(분석4B_월별매트릭스!AE97/분석4B_월별매트릭스!S97-1,"-")</f>
        <v>-0.554004747906231</v>
      </c>
      <c r="J35" s="59" t="n">
        <f aca="false">IFERROR(분석4B_월별매트릭스!AF97/분석4B_월별매트릭스!T97-1,"-")</f>
        <v>-0.427919129144581</v>
      </c>
      <c r="K35" s="59" t="n">
        <f aca="false">IFERROR(분석4B_월별매트릭스!AG97/분석4B_월별매트릭스!U97-1,"-")</f>
        <v>0.436281991336645</v>
      </c>
      <c r="L35" s="57" t="n">
        <f aca="false">분석4B_월별매트릭스!AA97-분석4B_월별매트릭스!O97</f>
        <v>71995</v>
      </c>
      <c r="M35" s="57" t="n">
        <f aca="false">분석4B_월별매트릭스!AB97-분석4B_월별매트릭스!P97</f>
        <v>72051</v>
      </c>
      <c r="N35" s="57" t="n">
        <f aca="false">분석4B_월별매트릭스!AC97-분석4B_월별매트릭스!Q97</f>
        <v>192128</v>
      </c>
      <c r="O35" s="57" t="n">
        <f aca="false">분석4B_월별매트릭스!AD97-분석4B_월별매트릭스!R97</f>
        <v>-42825</v>
      </c>
      <c r="P35" s="57" t="n">
        <f aca="false">분석4B_월별매트릭스!AE97-분석4B_월별매트릭스!S97</f>
        <v>-154723</v>
      </c>
      <c r="Q35" s="57" t="n">
        <f aca="false">분석4B_월별매트릭스!AF97-분석4B_월별매트릭스!T97</f>
        <v>-171314</v>
      </c>
      <c r="R35" s="57" t="n">
        <f aca="false">분석4B_월별매트릭스!AG97-분석4B_월별매트릭스!U97</f>
        <v>98906</v>
      </c>
      <c r="S35" s="25" t="n">
        <f aca="false">SUMIFS(데이터_품목별!$H$3:$H$2984,데이터_품목별!$E$3:$E$2984,"93",데이터_품목별!$B$3:$B$2984,2025,데이터_품목별!$C$3:$C$2984,"&lt;=7")</f>
        <v>1791410</v>
      </c>
      <c r="T35" s="25" t="n">
        <f aca="false">SUMIFS(데이터_품목별!$H$3:$H$2984,데이터_품목별!$E$3:$E$2984,"93",데이터_품목별!$B$3:$B$2984,2026,데이터_품목별!$C$3:$C$2984,"&lt;=7")</f>
        <v>1857628</v>
      </c>
      <c r="U35" s="36" t="n">
        <f aca="false">IFERROR(T35/S35-1,"-")</f>
        <v>0.0369641790544879</v>
      </c>
      <c r="V35" s="34" t="n">
        <f aca="false">(T35-S35)/(SUMIFS(데이터_총괄!$H$3:$H$33,데이터_총괄!$B$3:$B$33,2026,데이터_총괄!$C$3:$C$33,"&lt;=7")-SUMIFS(데이터_총괄!$H$3:$H$33,데이터_총괄!$B$3:$B$33,2025,데이터_총괄!$C$3:$C$33,"&lt;=7"))</f>
        <v>0.000331630454835942</v>
      </c>
      <c r="W35" s="24" t="n">
        <f aca="false">SUMIFS(데이터_품목별!$G$3:$G$2984,데이터_품목별!$E$3:$E$2984,"93",데이터_품목별!$B$3:$B$2984,2026,데이터_품목별!$C$3:$C$2984,"&lt;=7")</f>
        <v>14915.3</v>
      </c>
      <c r="X35" s="36" t="n">
        <f aca="false">IFERROR((T35/W35)/(S35/SUMIFS(데이터_품목별!$G$3:$G$2984,데이터_품목별!$E$3:$E$2984,"93",데이터_품목별!$B$3:$B$2984,2025,데이터_품목별!$C$3:$C$2984,"&lt;=7"))-1,"-")</f>
        <v>0.0900106258989075</v>
      </c>
      <c r="Y35" s="67" t="str">
        <f aca="false">IF(OR(W35&lt;100,SUMIFS(데이터_품목별!$G$3:$G$2984,데이터_품목별!$E$3:$E$2984,"93",데이터_품목별!$B$3:$B$2984,2025,데이터_품목별!$C$3:$C$2984,"&lt;=7")&lt;100),"단가 불안정",IF(T35-S35&lt;0,"감소",IF(X35&gt;0.05,"가격 주도",IF(X35&lt;0.02,"물량 주도","혼합"))))</f>
        <v>가격 주도</v>
      </c>
      <c r="Z35" s="25" t="n">
        <f aca="false">SUMIFS(데이터_품목별!$J$3:$J$2984,데이터_품목별!$E$3:$E$2984,"93",데이터_품목별!$B$3:$B$2984,2026,데이터_품목별!$C$3:$C$2984,"&lt;=7")</f>
        <v>216411</v>
      </c>
      <c r="AA35" s="25" t="n">
        <f aca="false">T35-Z35</f>
        <v>1641217</v>
      </c>
      <c r="AB35" s="65" t="str">
        <f aca="false">IF(T35=0,"자료 없음",IF(U35&gt;1,"1~7월 2배 이상 급증. ",IF(U35&gt;0.5,"1~7월 +50% 초과 급증. ",IF(U35&gt;0.15,"1~7월 뚜렷한 증가. ",IF(U35&gt;0.02,"1~7월 소폭 증가. ",IF(U35&gt;-0.02,"1~7월 보합. ",IF(U35&gt;-0.15,"1~7월 소폭 감소. ","1~7월 뚜렷한 감소. "))))))&amp;"월별로는 "&amp;COUNTIF(E35:K35,"&gt;0")&amp;"개월 증가·"&amp;COUNTIF(E35:K35,"&lt;0")&amp;"개월 감소"&amp;IF(COUNTIF(E35:K35,"&gt;0")=7," (7개월 내내 증가)",IF(COUNTIF(E35:K35,"&lt;0")=7," (7개월 내내 감소)",""))&amp;IFERROR(", 최대 "&amp;TEXT(MAX(E35:K35),"0.0%")&amp;"("&amp;SUBSTITUTE(INDEX($E$5:$K$5,MATCH(MAX(E35:K35),E35:K35,0))," YoY","")&amp;")","")&amp;IFERROR(", 최소 "&amp;TEXT(MIN(E35:K35),"0.0%")&amp;"("&amp;SUBSTITUTE(INDEX($E$5:$K$5,MATCH(MIN(E35:K35),E35:K35,0))," YoY","")&amp;")","")&amp;". "&amp;IF(Y35="가격 주도","단가 상승이 주도. ",IF(Y35="물량 주도","물량 확대가 주도. ",IF(Y35="혼합","물량·단가 동반. ",IF(Y35="감소","감소 품목. ","단가 해석 유보. "))))&amp;IF(V35&gt;0.05,"전체 증가의 5% 이상을 설명하는 대형 품목.",IF(V35&gt;0.005,"전체 증가에 의미 있게 기여.",IF(T35/SUMIFS(데이터_총괄!$H$3:$H$33,데이터_총괄!$B$3:$B$33,2026,데이터_총괄!$C$3:$C$33,"&lt;=7")&lt;0.001,"규모가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137.2%(2026.03), 최소 -55.4%(2026.05). 단가 상승이 주도. 총량 영향은 제한적.</v>
      </c>
    </row>
    <row r="36" customFormat="false" ht="33.75" hidden="false" customHeight="true" outlineLevel="0" collapsed="false">
      <c r="A36" s="67" t="s">
        <v>19818</v>
      </c>
      <c r="B36" s="68" t="s">
        <v>674</v>
      </c>
      <c r="C36" s="65" t="str">
        <f aca="false">IFERROR(INDEX(데이터_품목별!$F$3:$F$2984,MATCH($B36,데이터_품목별!$E$3:$E$2984,0)),"")</f>
        <v>종이와 판지, 제지용 펄프ㆍ종이ㆍ판지의 제품</v>
      </c>
      <c r="D36" s="69" t="s">
        <v>20013</v>
      </c>
      <c r="E36" s="59" t="n">
        <f aca="false">IFERROR(분석4B_월별매트릭스!AA53/분석4B_월별매트릭스!O53-1,"-")</f>
        <v>0.0643502372237388</v>
      </c>
      <c r="F36" s="59" t="n">
        <f aca="false">IFERROR(분석4B_월별매트릭스!AB53/분석4B_월별매트릭스!P53-1,"-")</f>
        <v>-0.179712301377622</v>
      </c>
      <c r="G36" s="59" t="n">
        <f aca="false">IFERROR(분석4B_월별매트릭스!AC53/분석4B_월별매트릭스!Q53-1,"-")</f>
        <v>0.121200085974077</v>
      </c>
      <c r="H36" s="59" t="n">
        <f aca="false">IFERROR(분석4B_월별매트릭스!AD53/분석4B_월별매트릭스!R53-1,"-")</f>
        <v>0.0833297312250914</v>
      </c>
      <c r="I36" s="59" t="n">
        <f aca="false">IFERROR(분석4B_월별매트릭스!AE53/분석4B_월별매트릭스!S53-1,"-")</f>
        <v>-0.0101064157269847</v>
      </c>
      <c r="J36" s="59" t="n">
        <f aca="false">IFERROR(분석4B_월별매트릭스!AF53/분석4B_월별매트릭스!T53-1,"-")</f>
        <v>0.121024553560768</v>
      </c>
      <c r="K36" s="59" t="n">
        <f aca="false">IFERROR(분석4B_월별매트릭스!AG53/분석4B_월별매트릭스!U53-1,"-")</f>
        <v>0.0645655532745435</v>
      </c>
      <c r="L36" s="57" t="n">
        <f aca="false">분석4B_월별매트릭스!AA53-분석4B_월별매트릭스!O53</f>
        <v>13414</v>
      </c>
      <c r="M36" s="57" t="n">
        <f aca="false">분석4B_월별매트릭스!AB53-분석4B_월별매트릭스!P53</f>
        <v>-42514</v>
      </c>
      <c r="N36" s="57" t="n">
        <f aca="false">분석4B_월별매트릭스!AC53-분석4B_월별매트릭스!Q53</f>
        <v>25939</v>
      </c>
      <c r="O36" s="57" t="n">
        <f aca="false">분석4B_월별매트릭스!AD53-분석4B_월별매트릭스!R53</f>
        <v>19278</v>
      </c>
      <c r="P36" s="57" t="n">
        <f aca="false">분석4B_월별매트릭스!AE53-분석4B_월별매트릭스!S53</f>
        <v>-2134</v>
      </c>
      <c r="Q36" s="57" t="n">
        <f aca="false">분석4B_월별매트릭스!AF53-분석4B_월별매트릭스!T53</f>
        <v>25340</v>
      </c>
      <c r="R36" s="57" t="n">
        <f aca="false">분석4B_월별매트릭스!AG53-분석4B_월별매트릭스!U53</f>
        <v>15002</v>
      </c>
      <c r="S36" s="25" t="n">
        <f aca="false">SUMIFS(데이터_품목별!$H$3:$H$2984,데이터_품목별!$E$3:$E$2984,"48",데이터_품목별!$B$3:$B$2984,2025,데이터_품목별!$C$3:$C$2984,"&lt;=7")</f>
        <v>1543269</v>
      </c>
      <c r="T36" s="25" t="n">
        <f aca="false">SUMIFS(데이터_품목별!$H$3:$H$2984,데이터_품목별!$E$3:$E$2984,"48",데이터_품목별!$B$3:$B$2984,2026,데이터_품목별!$C$3:$C$2984,"&lt;=7")</f>
        <v>1597594</v>
      </c>
      <c r="U36" s="36" t="n">
        <f aca="false">IFERROR(T36/S36-1,"-")</f>
        <v>0.0352012513696576</v>
      </c>
      <c r="V36" s="34" t="n">
        <f aca="false">(T36-S36)/(SUMIFS(데이터_총괄!$H$3:$H$33,데이터_총괄!$B$3:$B$33,2026,데이터_총괄!$C$3:$C$33,"&lt;=7")-SUMIFS(데이터_총괄!$H$3:$H$33,데이터_총괄!$B$3:$B$33,2025,데이터_총괄!$C$3:$C$33,"&lt;=7"))</f>
        <v>0.000272068387129822</v>
      </c>
      <c r="W36" s="24" t="n">
        <f aca="false">SUMIFS(데이터_품목별!$G$3:$G$2984,데이터_품목별!$E$3:$E$2984,"48",데이터_품목별!$B$3:$B$2984,2026,데이터_품목별!$C$3:$C$2984,"&lt;=7")</f>
        <v>1619758</v>
      </c>
      <c r="X36" s="36" t="n">
        <f aca="false">IFERROR((T36/W36)/(S36/SUMIFS(데이터_품목별!$G$3:$G$2984,데이터_품목별!$E$3:$E$2984,"48",데이터_품목별!$B$3:$B$2984,2025,데이터_품목별!$C$3:$C$2984,"&lt;=7"))-1,"-")</f>
        <v>0.0437867805230245</v>
      </c>
      <c r="Y36" s="67" t="str">
        <f aca="false">IF(OR(W36&lt;100,SUMIFS(데이터_품목별!$G$3:$G$2984,데이터_품목별!$E$3:$E$2984,"48",데이터_품목별!$B$3:$B$2984,2025,데이터_품목별!$C$3:$C$2984,"&lt;=7")&lt;100),"단가 불안정",IF(T36-S36&lt;0,"감소",IF(X36&gt;0.05,"가격 주도",IF(X36&lt;0.02,"물량 주도","혼합"))))</f>
        <v>혼합</v>
      </c>
      <c r="Z36" s="25" t="n">
        <f aca="false">SUMIFS(데이터_품목별!$J$3:$J$2984,데이터_품목별!$E$3:$E$2984,"48",데이터_품목별!$B$3:$B$2984,2026,데이터_품목별!$C$3:$C$2984,"&lt;=7")</f>
        <v>1371250</v>
      </c>
      <c r="AA36" s="25" t="n">
        <f aca="false">T36-Z36</f>
        <v>226344</v>
      </c>
      <c r="AB36" s="65" t="str">
        <f aca="false">IF(T36=0,"자료 없음",IF(U36&gt;1,"1~7월 2배 이상 급증. ",IF(U36&gt;0.5,"1~7월 +50% 초과 급증. ",IF(U36&gt;0.15,"1~7월 뚜렷한 증가. ",IF(U36&gt;0.02,"1~7월 소폭 증가. ",IF(U36&gt;-0.02,"1~7월 보합. ",IF(U36&gt;-0.15,"1~7월 소폭 감소. ","1~7월 뚜렷한 감소. "))))))&amp;"월별로는 "&amp;COUNTIF(E36:K36,"&gt;0")&amp;"개월 증가·"&amp;COUNTIF(E36:K36,"&lt;0")&amp;"개월 감소"&amp;IF(COUNTIF(E36:K36,"&gt;0")=7," (7개월 내내 증가)",IF(COUNTIF(E36:K36,"&lt;0")=7," (7개월 내내 감소)",""))&amp;IFERROR(", 최대 "&amp;TEXT(MAX(E36:K36),"0.0%")&amp;"("&amp;SUBSTITUTE(INDEX($E$5:$K$5,MATCH(MAX(E36:K36),E36:K36,0))," YoY","")&amp;")","")&amp;IFERROR(", 최소 "&amp;TEXT(MIN(E36:K36),"0.0%")&amp;"("&amp;SUBSTITUTE(INDEX($E$5:$K$5,MATCH(MIN(E36:K36),E36:K36,0))," YoY","")&amp;")","")&amp;". "&amp;IF(Y36="가격 주도","단가 상승이 주도. ",IF(Y36="물량 주도","물량 확대가 주도. ",IF(Y36="혼합","물량·단가 동반. ",IF(Y36="감소","감소 품목. ","단가 해석 유보. "))))&amp;IF(V36&gt;0.05,"전체 증가의 5% 이상을 설명하는 대형 품목.",IF(V36&gt;0.005,"전체 증가에 의미 있게 기여.",IF(T36/SUMIFS(데이터_총괄!$H$3:$H$33,데이터_총괄!$B$3:$B$33,2026,데이터_총괄!$C$3:$C$33,"&lt;=7")&lt;0.001,"규모가 작아 총량 영향은 미미.","총량 영향은 제한적."))))</f>
        <v>1~7월 소폭 증가. 월별로는 5개월 증가·2개월 감소, 최대 12.1%(2026.03), 최소 -18.0%(2026.02). 물량·단가 동반. 총량 영향은 제한적.</v>
      </c>
    </row>
    <row r="37" customFormat="false" ht="33.75" hidden="false" customHeight="true" outlineLevel="0" collapsed="false">
      <c r="A37" s="67" t="s">
        <v>19820</v>
      </c>
      <c r="B37" s="68" t="s">
        <v>765</v>
      </c>
      <c r="C37" s="65" t="str">
        <f aca="false">IFERROR(INDEX(데이터_품목별!$F$3:$F$2984,MATCH($B37,데이터_품목별!$E$3:$E$2984,0)),"")</f>
        <v>의류와 그 부속품(메리야스 편물이나 뜨개질 편물로 한정한다)</v>
      </c>
      <c r="D37" s="69" t="s">
        <v>20014</v>
      </c>
      <c r="E37" s="59" t="n">
        <f aca="false">IFERROR(분석4B_월별매트릭스!AA66/분석4B_월별매트릭스!O66-1,"-")</f>
        <v>0.109128917391536</v>
      </c>
      <c r="F37" s="59" t="n">
        <f aca="false">IFERROR(분석4B_월별매트릭스!AB66/분석4B_월별매트릭스!P66-1,"-")</f>
        <v>-0.0931010474057032</v>
      </c>
      <c r="G37" s="59" t="n">
        <f aca="false">IFERROR(분석4B_월별매트릭스!AC66/분석4B_월별매트릭스!Q66-1,"-")</f>
        <v>0.0962672176308539</v>
      </c>
      <c r="H37" s="59" t="n">
        <f aca="false">IFERROR(분석4B_월별매트릭스!AD66/분석4B_월별매트릭스!R66-1,"-")</f>
        <v>0.535350412249706</v>
      </c>
      <c r="I37" s="59" t="n">
        <f aca="false">IFERROR(분석4B_월별매트릭스!AE66/분석4B_월별매트릭스!S66-1,"-")</f>
        <v>-0.0344376456479374</v>
      </c>
      <c r="J37" s="59" t="n">
        <f aca="false">IFERROR(분석4B_월별매트릭스!AF66/분석4B_월별매트릭스!T66-1,"-")</f>
        <v>0.253476437479307</v>
      </c>
      <c r="K37" s="59" t="n">
        <f aca="false">IFERROR(분석4B_월별매트릭스!AG66/분석4B_월별매트릭스!U66-1,"-")</f>
        <v>-0.0671417179018856</v>
      </c>
      <c r="L37" s="57" t="n">
        <f aca="false">분석4B_월별매트릭스!AA66-분석4B_월별매트릭스!O66</f>
        <v>6160</v>
      </c>
      <c r="M37" s="57" t="n">
        <f aca="false">분석4B_월별매트릭스!AB66-분석4B_월별매트릭스!P66</f>
        <v>-6151</v>
      </c>
      <c r="N37" s="57" t="n">
        <f aca="false">분석4B_월별매트릭스!AC66-분석4B_월별매트릭스!Q66</f>
        <v>6989</v>
      </c>
      <c r="O37" s="57" t="n">
        <f aca="false">분석4B_월별매트릭스!AD66-분석4B_월별매트릭스!R66</f>
        <v>36361</v>
      </c>
      <c r="P37" s="57" t="n">
        <f aca="false">분석4B_월별매트릭스!AE66-분석4B_월별매트릭스!S66</f>
        <v>-2527</v>
      </c>
      <c r="Q37" s="57" t="n">
        <f aca="false">분석4B_월별매트릭스!AF66-분석4B_월별매트릭스!T66</f>
        <v>18374</v>
      </c>
      <c r="R37" s="57" t="n">
        <f aca="false">분석4B_월별매트릭스!AG66-분석4B_월별매트릭스!U66</f>
        <v>-5220</v>
      </c>
      <c r="S37" s="25" t="n">
        <f aca="false">SUMIFS(데이터_품목별!$H$3:$H$2984,데이터_품목별!$E$3:$E$2984,"61",데이터_품목별!$B$3:$B$2984,2025,데이터_품목별!$C$3:$C$2984,"&lt;=7")</f>
        <v>486648</v>
      </c>
      <c r="T37" s="25" t="n">
        <f aca="false">SUMIFS(데이터_품목별!$H$3:$H$2984,데이터_품목별!$E$3:$E$2984,"61",데이터_품목별!$B$3:$B$2984,2026,데이터_품목별!$C$3:$C$2984,"&lt;=7")</f>
        <v>540634</v>
      </c>
      <c r="U37" s="36" t="n">
        <f aca="false">IFERROR(T37/S37-1,"-")</f>
        <v>0.110934392004077</v>
      </c>
      <c r="V37" s="34" t="n">
        <f aca="false">(T37-S37)/(SUMIFS(데이터_총괄!$H$3:$H$33,데이터_총괄!$B$3:$B$33,2026,데이터_총괄!$C$3:$C$33,"&lt;=7")-SUMIFS(데이터_총괄!$H$3:$H$33,데이터_총괄!$B$3:$B$33,2025,데이터_총괄!$C$3:$C$33,"&lt;=7"))</f>
        <v>0.00027037062029619</v>
      </c>
      <c r="W37" s="24" t="n">
        <f aca="false">SUMIFS(데이터_품목별!$G$3:$G$2984,데이터_품목별!$E$3:$E$2984,"61",데이터_품목별!$B$3:$B$2984,2026,데이터_품목별!$C$3:$C$2984,"&lt;=7")</f>
        <v>16415.1</v>
      </c>
      <c r="X37" s="36" t="n">
        <f aca="false">IFERROR((T37/W37)/(S37/SUMIFS(데이터_품목별!$G$3:$G$2984,데이터_품목별!$E$3:$E$2984,"61",데이터_품목별!$B$3:$B$2984,2025,데이터_품목별!$C$3:$C$2984,"&lt;=7"))-1,"-")</f>
        <v>0.180046745941279</v>
      </c>
      <c r="Y37" s="67" t="str">
        <f aca="false">IF(OR(W37&lt;100,SUMIFS(데이터_품목별!$G$3:$G$2984,데이터_품목별!$E$3:$E$2984,"61",데이터_품목별!$B$3:$B$2984,2025,데이터_품목별!$C$3:$C$2984,"&lt;=7")&lt;100),"단가 불안정",IF(T37-S37&lt;0,"감소",IF(X37&gt;0.05,"가격 주도",IF(X37&lt;0.02,"물량 주도","혼합"))))</f>
        <v>가격 주도</v>
      </c>
      <c r="Z37" s="25" t="n">
        <f aca="false">SUMIFS(데이터_품목별!$J$3:$J$2984,데이터_품목별!$E$3:$E$2984,"61",데이터_품목별!$B$3:$B$2984,2026,데이터_품목별!$C$3:$C$2984,"&lt;=7")</f>
        <v>2885804</v>
      </c>
      <c r="AA37" s="25" t="n">
        <f aca="false">T37-Z37</f>
        <v>-2345170</v>
      </c>
      <c r="AB37" s="65" t="str">
        <f aca="false">IF(T37=0,"자료 없음",IF(U37&gt;1,"1~7월 2배 이상 급증. ",IF(U37&gt;0.5,"1~7월 +50% 초과 급증. ",IF(U37&gt;0.15,"1~7월 뚜렷한 증가. ",IF(U37&gt;0.02,"1~7월 소폭 증가. ",IF(U37&gt;-0.02,"1~7월 보합. ",IF(U37&gt;-0.15,"1~7월 소폭 감소. ","1~7월 뚜렷한 감소. "))))))&amp;"월별로는 "&amp;COUNTIF(E37:K37,"&gt;0")&amp;"개월 증가·"&amp;COUNTIF(E37:K37,"&lt;0")&amp;"개월 감소"&amp;IF(COUNTIF(E37:K37,"&gt;0")=7," (7개월 내내 증가)",IF(COUNTIF(E37:K37,"&lt;0")=7," (7개월 내내 감소)",""))&amp;IFERROR(", 최대 "&amp;TEXT(MAX(E37:K37),"0.0%")&amp;"("&amp;SUBSTITUTE(INDEX($E$5:$K$5,MATCH(MAX(E37:K37),E37:K37,0))," YoY","")&amp;")","")&amp;IFERROR(", 최소 "&amp;TEXT(MIN(E37:K37),"0.0%")&amp;"("&amp;SUBSTITUTE(INDEX($E$5:$K$5,MATCH(MIN(E37:K37),E37:K37,0))," YoY","")&amp;")","")&amp;". "&amp;IF(Y37="가격 주도","단가 상승이 주도. ",IF(Y37="물량 주도","물량 확대가 주도. ",IF(Y37="혼합","물량·단가 동반. ",IF(Y37="감소","감소 품목. ","단가 해석 유보. "))))&amp;IF(V37&gt;0.05,"전체 증가의 5% 이상을 설명하는 대형 품목.",IF(V37&gt;0.005,"전체 증가에 의미 있게 기여.",IF(T37/SUMIFS(데이터_총괄!$H$3:$H$33,데이터_총괄!$B$3:$B$33,2026,데이터_총괄!$C$3:$C$33,"&lt;=7")&lt;0.001,"규모가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53.5%(2026.04), 최소 -9.3%(2026.02). 단가 상승이 주도. 규모가 작아 총량 영향은 미미.</v>
      </c>
    </row>
    <row r="38" customFormat="false" ht="33.75" hidden="false" customHeight="true" outlineLevel="0" collapsed="false">
      <c r="A38" s="67" t="s">
        <v>19828</v>
      </c>
      <c r="B38" s="68" t="s">
        <v>862</v>
      </c>
      <c r="C38" s="65" t="str">
        <f aca="false">IFERROR(INDEX(데이터_품목별!$F$3:$F$2984,MATCH($B38,데이터_품목별!$E$3:$E$2984,0)),"")</f>
        <v>니켈과 그 제품</v>
      </c>
      <c r="D38" s="69" t="s">
        <v>863</v>
      </c>
      <c r="E38" s="59" t="n">
        <f aca="false">IFERROR(분석4B_월별매트릭스!AA80/분석4B_월별매트릭스!O80-1,"-")</f>
        <v>0.507807440454774</v>
      </c>
      <c r="F38" s="59" t="n">
        <f aca="false">IFERROR(분석4B_월별매트릭스!AB80/분석4B_월별매트릭스!P80-1,"-")</f>
        <v>0.0263036455929857</v>
      </c>
      <c r="G38" s="59" t="n">
        <f aca="false">IFERROR(분석4B_월별매트릭스!AC80/분석4B_월별매트릭스!Q80-1,"-")</f>
        <v>0.251633399268717</v>
      </c>
      <c r="H38" s="59" t="n">
        <f aca="false">IFERROR(분석4B_월별매트릭스!AD80/분석4B_월별매트릭스!R80-1,"-")</f>
        <v>0.469148299820549</v>
      </c>
      <c r="I38" s="59" t="n">
        <f aca="false">IFERROR(분석4B_월별매트릭스!AE80/분석4B_월별매트릭스!S80-1,"-")</f>
        <v>0.0475600309837336</v>
      </c>
      <c r="J38" s="59" t="n">
        <f aca="false">IFERROR(분석4B_월별매트릭스!AF80/분석4B_월별매트릭스!T80-1,"-")</f>
        <v>1.2122259820509</v>
      </c>
      <c r="K38" s="59" t="n">
        <f aca="false">IFERROR(분석4B_월별매트릭스!AG80/분석4B_월별매트릭스!U80-1,"-")</f>
        <v>0.596338149048777</v>
      </c>
      <c r="L38" s="57" t="n">
        <f aca="false">분석4B_월별매트릭스!AA80-분석4B_월별매트릭스!O80</f>
        <v>7057</v>
      </c>
      <c r="M38" s="57" t="n">
        <f aca="false">분석4B_월별매트릭스!AB80-분석4B_월별매트릭스!P80</f>
        <v>570</v>
      </c>
      <c r="N38" s="57" t="n">
        <f aca="false">분석4B_월별매트릭스!AC80-분석4B_월별매트릭스!Q80</f>
        <v>4198</v>
      </c>
      <c r="O38" s="57" t="n">
        <f aca="false">분석4B_월별매트릭스!AD80-분석4B_월별매트릭스!R80</f>
        <v>10196</v>
      </c>
      <c r="P38" s="57" t="n">
        <f aca="false">분석4B_월별매트릭스!AE80-분석4B_월별매트릭스!S80</f>
        <v>921</v>
      </c>
      <c r="Q38" s="57" t="n">
        <f aca="false">분석4B_월별매트릭스!AF80-분석4B_월별매트릭스!T80</f>
        <v>16479</v>
      </c>
      <c r="R38" s="57" t="n">
        <f aca="false">분석4B_월별매트릭스!AG80-분석4B_월별매트릭스!U80</f>
        <v>12507</v>
      </c>
      <c r="S38" s="25" t="n">
        <f aca="false">SUMIFS(데이터_품목별!$H$3:$H$2984,데이터_품목별!$E$3:$E$2984,"75",데이터_품목별!$B$3:$B$2984,2025,데이터_품목별!$C$3:$C$2984,"&lt;=7")</f>
        <v>127915</v>
      </c>
      <c r="T38" s="25" t="n">
        <f aca="false">SUMIFS(데이터_품목별!$H$3:$H$2984,데이터_품목별!$E$3:$E$2984,"75",데이터_품목별!$B$3:$B$2984,2026,데이터_품목별!$C$3:$C$2984,"&lt;=7")</f>
        <v>179843</v>
      </c>
      <c r="U38" s="36" t="n">
        <f aca="false">IFERROR(T38/S38-1,"-")</f>
        <v>0.405957080874018</v>
      </c>
      <c r="V38" s="34" t="n">
        <f aca="false">(T38-S38)/(SUMIFS(데이터_총괄!$H$3:$H$33,데이터_총괄!$B$3:$B$33,2026,데이터_총괄!$C$3:$C$33,"&lt;=7")-SUMIFS(데이터_총괄!$H$3:$H$33,데이터_총괄!$B$3:$B$33,2025,데이터_총괄!$C$3:$C$33,"&lt;=7"))</f>
        <v>0.000260063823412377</v>
      </c>
      <c r="W38" s="24" t="n">
        <f aca="false">SUMIFS(데이터_품목별!$G$3:$G$2984,데이터_품목별!$E$3:$E$2984,"75",데이터_품목별!$B$3:$B$2984,2026,데이터_품목별!$C$3:$C$2984,"&lt;=7")</f>
        <v>8648.4</v>
      </c>
      <c r="X38" s="36" t="n">
        <f aca="false">IFERROR((T38/W38)/(S38/SUMIFS(데이터_품목별!$G$3:$G$2984,데이터_품목별!$E$3:$E$2984,"75",데이터_품목별!$B$3:$B$2984,2025,데이터_품목별!$C$3:$C$2984,"&lt;=7"))-1,"-")</f>
        <v>0.503351846050423</v>
      </c>
      <c r="Y38" s="67" t="str">
        <f aca="false">IF(OR(W38&lt;100,SUMIFS(데이터_품목별!$G$3:$G$2984,데이터_품목별!$E$3:$E$2984,"75",데이터_품목별!$B$3:$B$2984,2025,데이터_품목별!$C$3:$C$2984,"&lt;=7")&lt;100),"단가 불안정",IF(T38-S38&lt;0,"감소",IF(X38&gt;0.05,"가격 주도",IF(X38&lt;0.02,"물량 주도","혼합"))))</f>
        <v>가격 주도</v>
      </c>
      <c r="Z38" s="25" t="n">
        <f aca="false">SUMIFS(데이터_품목별!$J$3:$J$2984,데이터_품목별!$E$3:$E$2984,"75",데이터_품목별!$B$3:$B$2984,2026,데이터_품목별!$C$3:$C$2984,"&lt;=7")</f>
        <v>838506</v>
      </c>
      <c r="AA38" s="25" t="n">
        <f aca="false">T38-Z38</f>
        <v>-658663</v>
      </c>
      <c r="AB38" s="65" t="str">
        <f aca="false">IF(T38=0,"자료 없음",IF(U38&gt;1,"1~7월 2배 이상 급증. ",IF(U38&gt;0.5,"1~7월 +50% 초과 급증. ",IF(U38&gt;0.15,"1~7월 뚜렷한 증가. ",IF(U38&gt;0.02,"1~7월 소폭 증가. ",IF(U38&gt;-0.02,"1~7월 보합. ",IF(U38&gt;-0.15,"1~7월 소폭 감소. ","1~7월 뚜렷한 감소. "))))))&amp;"월별로는 "&amp;COUNTIF(E38:K38,"&gt;0")&amp;"개월 증가·"&amp;COUNTIF(E38:K38,"&lt;0")&amp;"개월 감소"&amp;IF(COUNTIF(E38:K38,"&gt;0")=7," (7개월 내내 증가)",IF(COUNTIF(E38:K38,"&lt;0")=7," (7개월 내내 감소)",""))&amp;IFERROR(", 최대 "&amp;TEXT(MAX(E38:K38),"0.0%")&amp;"("&amp;SUBSTITUTE(INDEX($E$5:$K$5,MATCH(MAX(E38:K38),E38:K38,0))," YoY","")&amp;")","")&amp;IFERROR(", 최소 "&amp;TEXT(MIN(E38:K38),"0.0%")&amp;"("&amp;SUBSTITUTE(INDEX($E$5:$K$5,MATCH(MIN(E38:K38),E38:K38,0))," YoY","")&amp;")","")&amp;". "&amp;IF(Y38="가격 주도","단가 상승이 주도. ",IF(Y38="물량 주도","물량 확대가 주도. ",IF(Y38="혼합","물량·단가 동반. ",IF(Y38="감소","감소 품목. ","단가 해석 유보. "))))&amp;IF(V38&gt;0.05,"전체 증가의 5% 이상을 설명하는 대형 품목.",IF(V38&gt;0.005,"전체 증가에 의미 있게 기여.",IF(T38/SUMIFS(데이터_총괄!$H$3:$H$33,데이터_총괄!$B$3:$B$33,2026,데이터_총괄!$C$3:$C$33,"&lt;=7")&lt;0.001,"규모가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121.2%(2026.06), 최소 2.6%(2026.02). 단가 상승이 주도. 규모가 작아 총량 영향은 미미.</v>
      </c>
    </row>
    <row r="39" customFormat="false" ht="33.75" hidden="false" customHeight="true" outlineLevel="0" collapsed="false">
      <c r="A39" s="67" t="s">
        <v>19808</v>
      </c>
      <c r="B39" s="68" t="s">
        <v>520</v>
      </c>
      <c r="C39" s="65" t="str">
        <f aca="false">IFERROR(INDEX(데이터_품목별!$F$3:$F$2984,MATCH($B39,데이터_품목별!$E$3:$E$2984,0)),"")</f>
        <v>광(鑛)ㆍ슬래그(slag)ㆍ회(灰)</v>
      </c>
      <c r="D39" s="69" t="s">
        <v>20015</v>
      </c>
      <c r="E39" s="59" t="n">
        <f aca="false">IFERROR(분석4B_월별매트릭스!AA31/분석4B_월별매트릭스!O31-1,"-")</f>
        <v>0.371138032114971</v>
      </c>
      <c r="F39" s="59" t="n">
        <f aca="false">IFERROR(분석4B_월별매트릭스!AB31/분석4B_월별매트릭스!P31-1,"-")</f>
        <v>0.561697926949655</v>
      </c>
      <c r="G39" s="59" t="n">
        <f aca="false">IFERROR(분석4B_월별매트릭스!AC31/분석4B_월별매트릭스!Q31-1,"-")</f>
        <v>-0.211796436936617</v>
      </c>
      <c r="H39" s="59" t="n">
        <f aca="false">IFERROR(분석4B_월별매트릭스!AD31/분석4B_월별매트릭스!R31-1,"-")</f>
        <v>-0.412177587798125</v>
      </c>
      <c r="I39" s="59" t="n">
        <f aca="false">IFERROR(분석4B_월별매트릭스!AE31/분석4B_월별매트릭스!S31-1,"-")</f>
        <v>0.496209884997757</v>
      </c>
      <c r="J39" s="59" t="n">
        <f aca="false">IFERROR(분석4B_월별매트릭스!AF31/분석4B_월별매트릭스!T31-1,"-")</f>
        <v>0.653728461622527</v>
      </c>
      <c r="K39" s="59" t="n">
        <f aca="false">IFERROR(분석4B_월별매트릭스!AG31/분석4B_월별매트릭스!U31-1,"-")</f>
        <v>-0.233914833676455</v>
      </c>
      <c r="L39" s="57" t="n">
        <f aca="false">분석4B_월별매트릭스!AA31-분석4B_월별매트릭스!O31</f>
        <v>14307</v>
      </c>
      <c r="M39" s="57" t="n">
        <f aca="false">분석4B_월별매트릭스!AB31-분석4B_월별매트릭스!P31</f>
        <v>18208</v>
      </c>
      <c r="N39" s="57" t="n">
        <f aca="false">분석4B_월별매트릭스!AC31-분석4B_월별매트릭스!Q31</f>
        <v>-14920</v>
      </c>
      <c r="O39" s="57" t="n">
        <f aca="false">분석4B_월별매트릭스!AD31-분석4B_월별매트릭스!R31</f>
        <v>-16971</v>
      </c>
      <c r="P39" s="57" t="n">
        <f aca="false">분석4B_월별매트릭스!AE31-분석4B_월별매트릭스!S31</f>
        <v>21013</v>
      </c>
      <c r="Q39" s="57" t="n">
        <f aca="false">분석4B_월별매트릭스!AF31-분석4B_월별매트릭스!T31</f>
        <v>35891</v>
      </c>
      <c r="R39" s="57" t="n">
        <f aca="false">분석4B_월별매트릭스!AG31-분석4B_월별매트릭스!U31</f>
        <v>-10794</v>
      </c>
      <c r="S39" s="25" t="n">
        <f aca="false">SUMIFS(데이터_품목별!$H$3:$H$2984,데이터_품목별!$E$3:$E$2984,"26",데이터_품목별!$B$3:$B$2984,2025,데이터_품목별!$C$3:$C$2984,"&lt;=7")</f>
        <v>325978</v>
      </c>
      <c r="T39" s="25" t="n">
        <f aca="false">SUMIFS(데이터_품목별!$H$3:$H$2984,데이터_품목별!$E$3:$E$2984,"26",데이터_품목별!$B$3:$B$2984,2026,데이터_품목별!$C$3:$C$2984,"&lt;=7")</f>
        <v>372712</v>
      </c>
      <c r="U39" s="36" t="n">
        <f aca="false">IFERROR(T39/S39-1,"-")</f>
        <v>0.143365503193467</v>
      </c>
      <c r="V39" s="34" t="n">
        <f aca="false">(T39-S39)/(SUMIFS(데이터_총괄!$H$3:$H$33,데이터_총괄!$B$3:$B$33,2026,데이터_총괄!$C$3:$C$33,"&lt;=7")-SUMIFS(데이터_총괄!$H$3:$H$33,데이터_총괄!$B$3:$B$33,2025,데이터_총괄!$C$3:$C$33,"&lt;=7"))</f>
        <v>0.000234051431277038</v>
      </c>
      <c r="W39" s="24" t="n">
        <f aca="false">SUMIFS(데이터_품목별!$G$3:$G$2984,데이터_품목별!$E$3:$E$2984,"26",데이터_품목별!$B$3:$B$2984,2026,데이터_품목별!$C$3:$C$2984,"&lt;=7")</f>
        <v>1386172.8</v>
      </c>
      <c r="X39" s="36" t="n">
        <f aca="false">IFERROR((T39/W39)/(S39/SUMIFS(데이터_품목별!$G$3:$G$2984,데이터_품목별!$E$3:$E$2984,"26",데이터_품목별!$B$3:$B$2984,2025,데이터_품목별!$C$3:$C$2984,"&lt;=7"))-1,"-")</f>
        <v>-0.00576364429025511</v>
      </c>
      <c r="Y39" s="67" t="str">
        <f aca="false">IF(OR(W39&lt;100,SUMIFS(데이터_품목별!$G$3:$G$2984,데이터_품목별!$E$3:$E$2984,"26",데이터_품목별!$B$3:$B$2984,2025,데이터_품목별!$C$3:$C$2984,"&lt;=7")&lt;100),"단가 불안정",IF(T39-S39&lt;0,"감소",IF(X39&gt;0.05,"가격 주도",IF(X39&lt;0.02,"물량 주도","혼합"))))</f>
        <v>물량 주도</v>
      </c>
      <c r="Z39" s="25" t="n">
        <f aca="false">SUMIFS(데이터_품목별!$J$3:$J$2984,데이터_품목별!$E$3:$E$2984,"26",데이터_품목별!$B$3:$B$2984,2026,데이터_품목별!$C$3:$C$2984,"&lt;=7")</f>
        <v>15150573</v>
      </c>
      <c r="AA39" s="25" t="n">
        <f aca="false">T39-Z39</f>
        <v>-14777861</v>
      </c>
      <c r="AB39" s="65" t="str">
        <f aca="false">IF(T39=0,"자료 없음",IF(U39&gt;1,"1~7월 2배 이상 급증. ",IF(U39&gt;0.5,"1~7월 +50% 초과 급증. ",IF(U39&gt;0.15,"1~7월 뚜렷한 증가. ",IF(U39&gt;0.02,"1~7월 소폭 증가. ",IF(U39&gt;-0.02,"1~7월 보합. ",IF(U39&gt;-0.15,"1~7월 소폭 감소. ","1~7월 뚜렷한 감소. "))))))&amp;"월별로는 "&amp;COUNTIF(E39:K39,"&gt;0")&amp;"개월 증가·"&amp;COUNTIF(E39:K39,"&lt;0")&amp;"개월 감소"&amp;IF(COUNTIF(E39:K39,"&gt;0")=7," (7개월 내내 증가)",IF(COUNTIF(E39:K39,"&lt;0")=7," (7개월 내내 감소)",""))&amp;IFERROR(", 최대 "&amp;TEXT(MAX(E39:K39),"0.0%")&amp;"("&amp;SUBSTITUTE(INDEX($E$5:$K$5,MATCH(MAX(E39:K39),E39:K39,0))," YoY","")&amp;")","")&amp;IFERROR(", 최소 "&amp;TEXT(MIN(E39:K39),"0.0%")&amp;"("&amp;SUBSTITUTE(INDEX($E$5:$K$5,MATCH(MIN(E39:K39),E39:K39,0))," YoY","")&amp;")","")&amp;". "&amp;IF(Y39="가격 주도","단가 상승이 주도. ",IF(Y39="물량 주도","물량 확대가 주도. ",IF(Y39="혼합","물량·단가 동반. ",IF(Y39="감소","감소 품목. ","단가 해석 유보. "))))&amp;IF(V39&gt;0.05,"전체 증가의 5% 이상을 설명하는 대형 품목.",IF(V39&gt;0.005,"전체 증가에 의미 있게 기여.",IF(T39/SUMIFS(데이터_총괄!$H$3:$H$33,데이터_총괄!$B$3:$B$33,2026,데이터_총괄!$C$3:$C$33,"&lt;=7")&lt;0.001,"규모가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65.4%(2026.06), 최소 -41.2%(2026.04). 물량 확대가 주도. 규모가 작아 총량 영향은 미미.</v>
      </c>
    </row>
    <row r="40" customFormat="false" ht="33.75" hidden="false" customHeight="true" outlineLevel="0" collapsed="false">
      <c r="A40" s="67" t="s">
        <v>19820</v>
      </c>
      <c r="B40" s="68" t="s">
        <v>772</v>
      </c>
      <c r="C40" s="65" t="str">
        <f aca="false">IFERROR(INDEX(데이터_품목별!$F$3:$F$2984,MATCH($B40,데이터_품목별!$E$3:$E$2984,0)),"")</f>
        <v>의류와 그 부속품(메리야스 편물이나 뜨개질편물은 제외한다)</v>
      </c>
      <c r="D40" s="69" t="s">
        <v>20016</v>
      </c>
      <c r="E40" s="59" t="n">
        <f aca="false">IFERROR(분석4B_월별매트릭스!AA67/분석4B_월별매트릭스!O67-1,"-")</f>
        <v>0.189392272673425</v>
      </c>
      <c r="F40" s="59" t="n">
        <f aca="false">IFERROR(분석4B_월별매트릭스!AB67/분석4B_월별매트릭스!P67-1,"-")</f>
        <v>-0.108010928275342</v>
      </c>
      <c r="G40" s="59" t="n">
        <f aca="false">IFERROR(분석4B_월별매트릭스!AC67/분석4B_월별매트릭스!Q67-1,"-")</f>
        <v>0.267184742469857</v>
      </c>
      <c r="H40" s="59" t="n">
        <f aca="false">IFERROR(분석4B_월별매트릭스!AD67/분석4B_월별매트릭스!R67-1,"-")</f>
        <v>0.159379356324626</v>
      </c>
      <c r="I40" s="59" t="n">
        <f aca="false">IFERROR(분석4B_월별매트릭스!AE67/분석4B_월별매트릭스!S67-1,"-")</f>
        <v>-0.0981636872187766</v>
      </c>
      <c r="J40" s="59" t="n">
        <f aca="false">IFERROR(분석4B_월별매트릭스!AF67/분석4B_월별매트릭스!T67-1,"-")</f>
        <v>0.174824980553395</v>
      </c>
      <c r="K40" s="59" t="n">
        <f aca="false">IFERROR(분석4B_월별매트릭스!AG67/분석4B_월별매트릭스!U67-1,"-")</f>
        <v>0.0767254824011499</v>
      </c>
      <c r="L40" s="57" t="n">
        <f aca="false">분석4B_월별매트릭스!AA67-분석4B_월별매트릭스!O67</f>
        <v>11191</v>
      </c>
      <c r="M40" s="57" t="n">
        <f aca="false">분석4B_월별매트릭스!AB67-분석4B_월별매트릭스!P67</f>
        <v>-6879</v>
      </c>
      <c r="N40" s="57" t="n">
        <f aca="false">분석4B_월별매트릭스!AC67-분석4B_월별매트릭스!Q67</f>
        <v>18016</v>
      </c>
      <c r="O40" s="57" t="n">
        <f aca="false">분석4B_월별매트릭스!AD67-분석4B_월별매트릭스!R67</f>
        <v>13148</v>
      </c>
      <c r="P40" s="57" t="n">
        <f aca="false">분석4B_월별매트릭스!AE67-분석4B_월별매트릭스!S67</f>
        <v>-8072</v>
      </c>
      <c r="Q40" s="57" t="n">
        <f aca="false">분석4B_월별매트릭스!AF67-분석4B_월별매트릭스!T67</f>
        <v>12586</v>
      </c>
      <c r="R40" s="57" t="n">
        <f aca="false">분석4B_월별매트릭스!AG67-분석4B_월별매트릭스!U67</f>
        <v>5018</v>
      </c>
      <c r="S40" s="25" t="n">
        <f aca="false">SUMIFS(데이터_품목별!$H$3:$H$2984,데이터_품목별!$E$3:$E$2984,"62",데이터_품목별!$B$3:$B$2984,2025,데이터_품목별!$C$3:$C$2984,"&lt;=7")</f>
        <v>492325</v>
      </c>
      <c r="T40" s="25" t="n">
        <f aca="false">SUMIFS(데이터_품목별!$H$3:$H$2984,데이터_품목별!$E$3:$E$2984,"62",데이터_품목별!$B$3:$B$2984,2026,데이터_품목별!$C$3:$C$2984,"&lt;=7")</f>
        <v>537333</v>
      </c>
      <c r="U40" s="36" t="n">
        <f aca="false">IFERROR(T40/S40-1,"-")</f>
        <v>0.091419286040725</v>
      </c>
      <c r="V40" s="34" t="n">
        <f aca="false">(T40-S40)/(SUMIFS(데이터_총괄!$H$3:$H$33,데이터_총괄!$B$3:$B$33,2026,데이터_총괄!$C$3:$C$33,"&lt;=7")-SUMIFS(데이터_총괄!$H$3:$H$33,데이터_총괄!$B$3:$B$33,2025,데이터_총괄!$C$3:$C$33,"&lt;=7"))</f>
        <v>0.000225407344094598</v>
      </c>
      <c r="W40" s="24" t="n">
        <f aca="false">SUMIFS(데이터_품목별!$G$3:$G$2984,데이터_품목별!$E$3:$E$2984,"62",데이터_품목별!$B$3:$B$2984,2026,데이터_품목별!$C$3:$C$2984,"&lt;=7")</f>
        <v>18888.3</v>
      </c>
      <c r="X40" s="36" t="n">
        <f aca="false">IFERROR((T40/W40)/(S40/SUMIFS(데이터_품목별!$G$3:$G$2984,데이터_품목별!$E$3:$E$2984,"62",데이터_품목별!$B$3:$B$2984,2025,데이터_품목별!$C$3:$C$2984,"&lt;=7"))-1,"-")</f>
        <v>0.100785881566379</v>
      </c>
      <c r="Y40" s="67" t="str">
        <f aca="false">IF(OR(W40&lt;100,SUMIFS(데이터_품목별!$G$3:$G$2984,데이터_품목별!$E$3:$E$2984,"62",데이터_품목별!$B$3:$B$2984,2025,데이터_품목별!$C$3:$C$2984,"&lt;=7")&lt;100),"단가 불안정",IF(T40-S40&lt;0,"감소",IF(X40&gt;0.05,"가격 주도",IF(X40&lt;0.02,"물량 주도","혼합"))))</f>
        <v>가격 주도</v>
      </c>
      <c r="Z40" s="25" t="n">
        <f aca="false">SUMIFS(데이터_품목별!$J$3:$J$2984,데이터_품목별!$E$3:$E$2984,"62",데이터_품목별!$B$3:$B$2984,2026,데이터_품목별!$C$3:$C$2984,"&lt;=7")</f>
        <v>3731244</v>
      </c>
      <c r="AA40" s="25" t="n">
        <f aca="false">T40-Z40</f>
        <v>-3193911</v>
      </c>
      <c r="AB40" s="65" t="str">
        <f aca="false">IF(T40=0,"자료 없음",IF(U40&gt;1,"1~7월 2배 이상 급증. ",IF(U40&gt;0.5,"1~7월 +50% 초과 급증. ",IF(U40&gt;0.15,"1~7월 뚜렷한 증가. ",IF(U40&gt;0.02,"1~7월 소폭 증가. ",IF(U40&gt;-0.02,"1~7월 보합. ",IF(U40&gt;-0.15,"1~7월 소폭 감소. ","1~7월 뚜렷한 감소. "))))))&amp;"월별로는 "&amp;COUNTIF(E40:K40,"&gt;0")&amp;"개월 증가·"&amp;COUNTIF(E40:K40,"&lt;0")&amp;"개월 감소"&amp;IF(COUNTIF(E40:K40,"&gt;0")=7," (7개월 내내 증가)",IF(COUNTIF(E40:K40,"&lt;0")=7," (7개월 내내 감소)",""))&amp;IFERROR(", 최대 "&amp;TEXT(MAX(E40:K40),"0.0%")&amp;"("&amp;SUBSTITUTE(INDEX($E$5:$K$5,MATCH(MAX(E40:K40),E40:K40,0))," YoY","")&amp;")","")&amp;IFERROR(", 최소 "&amp;TEXT(MIN(E40:K40),"0.0%")&amp;"("&amp;SUBSTITUTE(INDEX($E$5:$K$5,MATCH(MIN(E40:K40),E40:K40,0))," YoY","")&amp;")","")&amp;". "&amp;IF(Y40="가격 주도","단가 상승이 주도. ",IF(Y40="물량 주도","물량 확대가 주도. ",IF(Y40="혼합","물량·단가 동반. ",IF(Y40="감소","감소 품목. ","단가 해석 유보. "))))&amp;IF(V40&gt;0.05,"전체 증가의 5% 이상을 설명하는 대형 품목.",IF(V40&gt;0.005,"전체 증가에 의미 있게 기여.",IF(T40/SUMIFS(데이터_총괄!$H$3:$H$33,데이터_총괄!$B$3:$B$33,2026,데이터_총괄!$C$3:$C$33,"&lt;=7")&lt;0.001,"규모가 작아 총량 영향은 미미.","총량 영향은 제한적."))))</f>
        <v>1~7월 소폭 증가. 월별로는 5개월 증가·2개월 감소, 최대 26.7%(2026.03), 최소 -10.8%(2026.02). 단가 상승이 주도. 규모가 작아 총량 영향은 미미.</v>
      </c>
    </row>
    <row r="41" customFormat="false" ht="33.75" hidden="false" customHeight="true" outlineLevel="0" collapsed="false">
      <c r="A41" s="67" t="s">
        <v>19806</v>
      </c>
      <c r="B41" s="68" t="s">
        <v>478</v>
      </c>
      <c r="C41" s="65" t="str">
        <f aca="false">IFERROR(INDEX(데이터_품목별!$F$3:$F$2984,MATCH($B41,데이터_품목별!$E$3:$E$2984,0)),"")</f>
        <v>채소ㆍ과실ㆍ견과류나 식물의그 밖의 부분의 조제품</v>
      </c>
      <c r="D41" s="69" t="s">
        <v>20017</v>
      </c>
      <c r="E41" s="59" t="n">
        <f aca="false">IFERROR(분석4B_월별매트릭스!AA25/분석4B_월별매트릭스!O25-1,"-")</f>
        <v>0.350223689235638</v>
      </c>
      <c r="F41" s="59" t="n">
        <f aca="false">IFERROR(분석4B_월별매트릭스!AB25/분석4B_월별매트릭스!P25-1,"-")</f>
        <v>-0.0313393050118873</v>
      </c>
      <c r="G41" s="59" t="n">
        <f aca="false">IFERROR(분석4B_월별매트릭스!AC25/분석4B_월별매트릭스!Q25-1,"-")</f>
        <v>0.101761113478199</v>
      </c>
      <c r="H41" s="59" t="n">
        <f aca="false">IFERROR(분석4B_월별매트릭스!AD25/분석4B_월별매트릭스!R25-1,"-")</f>
        <v>-0.0525919983956683</v>
      </c>
      <c r="I41" s="59" t="n">
        <f aca="false">IFERROR(분석4B_월별매트릭스!AE25/분석4B_월별매트릭스!S25-1,"-")</f>
        <v>-0.081701681673098</v>
      </c>
      <c r="J41" s="59" t="n">
        <f aca="false">IFERROR(분석4B_월별매트릭스!AF25/분석4B_월별매트릭스!T25-1,"-")</f>
        <v>0.213931345527437</v>
      </c>
      <c r="K41" s="59" t="n">
        <f aca="false">IFERROR(분석4B_월별매트릭스!AG25/분석4B_월별매트릭스!U25-1,"-")</f>
        <v>0.0717231170478976</v>
      </c>
      <c r="L41" s="57" t="n">
        <f aca="false">분석4B_월별매트릭스!AA25-분석4B_월별매트릭스!O25</f>
        <v>25677</v>
      </c>
      <c r="M41" s="57" t="n">
        <f aca="false">분석4B_월별매트릭스!AB25-분석4B_월별매트릭스!P25</f>
        <v>-2610</v>
      </c>
      <c r="N41" s="57" t="n">
        <f aca="false">분석4B_월별매트릭스!AC25-분석4B_월별매트릭스!Q25</f>
        <v>8598</v>
      </c>
      <c r="O41" s="57" t="n">
        <f aca="false">분석4B_월별매트릭스!AD25-분석4B_월별매트릭스!R25</f>
        <v>-5245</v>
      </c>
      <c r="P41" s="57" t="n">
        <f aca="false">분석4B_월별매트릭스!AE25-분석4B_월별매트릭스!S25</f>
        <v>-6860</v>
      </c>
      <c r="Q41" s="57" t="n">
        <f aca="false">분석4B_월별매트릭스!AF25-분석4B_월별매트릭스!T25</f>
        <v>17076</v>
      </c>
      <c r="R41" s="57" t="n">
        <f aca="false">분석4B_월별매트릭스!AG25-분석4B_월별매트릭스!U25</f>
        <v>6105</v>
      </c>
      <c r="S41" s="25" t="n">
        <f aca="false">SUMIFS(데이터_품목별!$H$3:$H$2984,데이터_품목별!$E$3:$E$2984,"20",데이터_품목별!$B$3:$B$2984,2025,데이터_품목별!$C$3:$C$2984,"&lt;=7")</f>
        <v>589723</v>
      </c>
      <c r="T41" s="25" t="n">
        <f aca="false">SUMIFS(데이터_품목별!$H$3:$H$2984,데이터_품목별!$E$3:$E$2984,"20",데이터_품목별!$B$3:$B$2984,2026,데이터_품목별!$C$3:$C$2984,"&lt;=7")</f>
        <v>632464</v>
      </c>
      <c r="U41" s="36" t="n">
        <f aca="false">IFERROR(T41/S41-1,"-")</f>
        <v>0.0724763999369196</v>
      </c>
      <c r="V41" s="34" t="n">
        <f aca="false">(T41-S41)/(SUMIFS(데이터_총괄!$H$3:$H$33,데이터_총괄!$B$3:$B$33,2026,데이터_총괄!$C$3:$C$33,"&lt;=7")-SUMIFS(데이터_총괄!$H$3:$H$33,데이터_총괄!$B$3:$B$33,2025,데이터_총괄!$C$3:$C$33,"&lt;=7"))</f>
        <v>0.000214053841404799</v>
      </c>
      <c r="W41" s="24" t="n">
        <f aca="false">SUMIFS(데이터_품목별!$G$3:$G$2984,데이터_품목별!$E$3:$E$2984,"20",데이터_품목별!$B$3:$B$2984,2026,데이터_품목별!$C$3:$C$2984,"&lt;=7")</f>
        <v>70166.9</v>
      </c>
      <c r="X41" s="36" t="n">
        <f aca="false">IFERROR((T41/W41)/(S41/SUMIFS(데이터_품목별!$G$3:$G$2984,데이터_품목별!$E$3:$E$2984,"20",데이터_품목별!$B$3:$B$2984,2025,데이터_품목별!$C$3:$C$2984,"&lt;=7"))-1,"-")</f>
        <v>0.0588883474571333</v>
      </c>
      <c r="Y41" s="67" t="str">
        <f aca="false">IF(OR(W41&lt;100,SUMIFS(데이터_품목별!$G$3:$G$2984,데이터_품목별!$E$3:$E$2984,"20",데이터_품목별!$B$3:$B$2984,2025,데이터_품목별!$C$3:$C$2984,"&lt;=7")&lt;100),"단가 불안정",IF(T41-S41&lt;0,"감소",IF(X41&gt;0.05,"가격 주도",IF(X41&lt;0.02,"물량 주도","혼합"))))</f>
        <v>가격 주도</v>
      </c>
      <c r="Z41" s="25" t="n">
        <f aca="false">SUMIFS(데이터_품목별!$J$3:$J$2984,데이터_품목별!$E$3:$E$2984,"20",데이터_품목별!$B$3:$B$2984,2026,데이터_품목별!$C$3:$C$2984,"&lt;=7")</f>
        <v>997866</v>
      </c>
      <c r="AA41" s="25" t="n">
        <f aca="false">T41-Z41</f>
        <v>-365402</v>
      </c>
      <c r="AB41" s="65" t="str">
        <f aca="false">IF(T41=0,"자료 없음",IF(U41&gt;1,"1~7월 2배 이상 급증. ",IF(U41&gt;0.5,"1~7월 +50% 초과 급증. ",IF(U41&gt;0.15,"1~7월 뚜렷한 증가. ",IF(U41&gt;0.02,"1~7월 소폭 증가. ",IF(U41&gt;-0.02,"1~7월 보합. ",IF(U41&gt;-0.15,"1~7월 소폭 감소. ","1~7월 뚜렷한 감소. "))))))&amp;"월별로는 "&amp;COUNTIF(E41:K41,"&gt;0")&amp;"개월 증가·"&amp;COUNTIF(E41:K41,"&lt;0")&amp;"개월 감소"&amp;IF(COUNTIF(E41:K41,"&gt;0")=7," (7개월 내내 증가)",IF(COUNTIF(E41:K41,"&lt;0")=7," (7개월 내내 감소)",""))&amp;IFERROR(", 최대 "&amp;TEXT(MAX(E41:K41),"0.0%")&amp;"("&amp;SUBSTITUTE(INDEX($E$5:$K$5,MATCH(MAX(E41:K41),E41:K41,0))," YoY","")&amp;")","")&amp;IFERROR(", 최소 "&amp;TEXT(MIN(E41:K41),"0.0%")&amp;"("&amp;SUBSTITUTE(INDEX($E$5:$K$5,MATCH(MIN(E41:K41),E41:K41,0))," YoY","")&amp;")","")&amp;". "&amp;IF(Y41="가격 주도","단가 상승이 주도. ",IF(Y41="물량 주도","물량 확대가 주도. ",IF(Y41="혼합","물량·단가 동반. ",IF(Y41="감소","감소 품목. ","단가 해석 유보. "))))&amp;IF(V41&gt;0.05,"전체 증가의 5% 이상을 설명하는 대형 품목.",IF(V41&gt;0.005,"전체 증가에 의미 있게 기여.",IF(T41/SUMIFS(데이터_총괄!$H$3:$H$33,데이터_총괄!$B$3:$B$33,2026,데이터_총괄!$C$3:$C$33,"&lt;=7")&lt;0.001,"규모가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35.0%(2026.01), 최소 -8.2%(2026.05). 단가 상승이 주도. 총량 영향은 제한적.</v>
      </c>
    </row>
    <row r="42" customFormat="false" ht="33.75" hidden="false" customHeight="true" outlineLevel="0" collapsed="false">
      <c r="A42" s="67" t="s">
        <v>19822</v>
      </c>
      <c r="B42" s="68" t="s">
        <v>786</v>
      </c>
      <c r="C42" s="65" t="str">
        <f aca="false">IFERROR(INDEX(데이터_품목별!$F$3:$F$2984,MATCH($B42,데이터_품목별!$E$3:$E$2984,0)),"")</f>
        <v>신발류ㆍ각반과 이와 유사한 것, 이들의 부분품</v>
      </c>
      <c r="D42" s="69" t="s">
        <v>20018</v>
      </c>
      <c r="E42" s="59" t="n">
        <f aca="false">IFERROR(분석4B_월별매트릭스!AA69/분석4B_월별매트릭스!O69-1,"-")</f>
        <v>0.0800342312844173</v>
      </c>
      <c r="F42" s="59" t="n">
        <f aca="false">IFERROR(분석4B_월별매트릭스!AB69/분석4B_월별매트릭스!P69-1,"-")</f>
        <v>-0.141431477243834</v>
      </c>
      <c r="G42" s="59" t="n">
        <f aca="false">IFERROR(분석4B_월별매트릭스!AC69/분석4B_월별매트릭스!Q69-1,"-")</f>
        <v>0.310056435710886</v>
      </c>
      <c r="H42" s="59" t="n">
        <f aca="false">IFERROR(분석4B_월별매트릭스!AD69/분석4B_월별매트릭스!R69-1,"-")</f>
        <v>0.155079780771619</v>
      </c>
      <c r="I42" s="59" t="n">
        <f aca="false">IFERROR(분석4B_월별매트릭스!AE69/분석4B_월별매트릭스!S69-1,"-")</f>
        <v>0.264289813970762</v>
      </c>
      <c r="J42" s="59" t="n">
        <f aca="false">IFERROR(분석4B_월별매트릭스!AF69/분석4B_월별매트릭스!T69-1,"-")</f>
        <v>0.265523833014738</v>
      </c>
      <c r="K42" s="59" t="n">
        <f aca="false">IFERROR(분석4B_월별매트릭스!AG69/분석4B_월별매트릭스!U69-1,"-")</f>
        <v>0.174595158738175</v>
      </c>
      <c r="L42" s="57" t="n">
        <f aca="false">분석4B_월별매트릭스!AA69-분석4B_월별매트릭스!O69</f>
        <v>2151</v>
      </c>
      <c r="M42" s="57" t="n">
        <f aca="false">분석4B_월별매트릭스!AB69-분석4B_월별매트릭스!P69</f>
        <v>-4450</v>
      </c>
      <c r="N42" s="57" t="n">
        <f aca="false">분석4B_월별매트릭스!AC69-분석4B_월별매트릭스!Q69</f>
        <v>9120</v>
      </c>
      <c r="O42" s="57" t="n">
        <f aca="false">분석4B_월별매트릭스!AD69-분석4B_월별매트릭스!R69</f>
        <v>5744</v>
      </c>
      <c r="P42" s="57" t="n">
        <f aca="false">분석4B_월별매트릭스!AE69-분석4B_월별매트릭스!S69</f>
        <v>7828</v>
      </c>
      <c r="Q42" s="57" t="n">
        <f aca="false">분석4B_월별매트릭스!AF69-분석4B_월별매트릭스!T69</f>
        <v>8612</v>
      </c>
      <c r="R42" s="57" t="n">
        <f aca="false">분석4B_월별매트릭스!AG69-분석4B_월별매트릭스!U69</f>
        <v>5186</v>
      </c>
      <c r="S42" s="25" t="n">
        <f aca="false">SUMIFS(데이터_품목별!$H$3:$H$2984,데이터_품목별!$E$3:$E$2984,"64",데이터_품목별!$B$3:$B$2984,2025,데이터_품목별!$C$3:$C$2984,"&lt;=7")</f>
        <v>216549</v>
      </c>
      <c r="T42" s="25" t="n">
        <f aca="false">SUMIFS(데이터_품목별!$H$3:$H$2984,데이터_품목별!$E$3:$E$2984,"64",데이터_품목별!$B$3:$B$2984,2026,데이터_품목별!$C$3:$C$2984,"&lt;=7")</f>
        <v>250740</v>
      </c>
      <c r="U42" s="36" t="n">
        <f aca="false">IFERROR(T42/S42-1,"-")</f>
        <v>0.157890361996592</v>
      </c>
      <c r="V42" s="34" t="n">
        <f aca="false">(T42-S42)/(SUMIFS(데이터_총괄!$H$3:$H$33,데이터_총괄!$B$3:$B$33,2026,데이터_총괄!$C$3:$C$33,"&lt;=7")-SUMIFS(데이터_총괄!$H$3:$H$33,데이터_총괄!$B$3:$B$33,2025,데이터_총괄!$C$3:$C$33,"&lt;=7"))</f>
        <v>0.000171234058432687</v>
      </c>
      <c r="W42" s="24" t="n">
        <f aca="false">SUMIFS(데이터_품목별!$G$3:$G$2984,데이터_품목별!$E$3:$E$2984,"64",데이터_품목별!$B$3:$B$2984,2026,데이터_품목별!$C$3:$C$2984,"&lt;=7")</f>
        <v>9206.2</v>
      </c>
      <c r="X42" s="36" t="n">
        <f aca="false">IFERROR((T42/W42)/(S42/SUMIFS(데이터_품목별!$G$3:$G$2984,데이터_품목별!$E$3:$E$2984,"64",데이터_품목별!$B$3:$B$2984,2025,데이터_품목별!$C$3:$C$2984,"&lt;=7"))-1,"-")</f>
        <v>0.0992298870085175</v>
      </c>
      <c r="Y42" s="67" t="str">
        <f aca="false">IF(OR(W42&lt;100,SUMIFS(데이터_품목별!$G$3:$G$2984,데이터_품목별!$E$3:$E$2984,"64",데이터_품목별!$B$3:$B$2984,2025,데이터_품목별!$C$3:$C$2984,"&lt;=7")&lt;100),"단가 불안정",IF(T42-S42&lt;0,"감소",IF(X42&gt;0.05,"가격 주도",IF(X42&lt;0.02,"물량 주도","혼합"))))</f>
        <v>가격 주도</v>
      </c>
      <c r="Z42" s="25" t="n">
        <f aca="false">SUMIFS(데이터_품목별!$J$3:$J$2984,데이터_품목별!$E$3:$E$2984,"64",데이터_품목별!$B$3:$B$2984,2026,데이터_품목별!$C$3:$C$2984,"&lt;=7")</f>
        <v>2069663</v>
      </c>
      <c r="AA42" s="25" t="n">
        <f aca="false">T42-Z42</f>
        <v>-1818923</v>
      </c>
      <c r="AB42" s="65" t="str">
        <f aca="false">IF(T42=0,"자료 없음",IF(U42&gt;1,"1~7월 2배 이상 급증. ",IF(U42&gt;0.5,"1~7월 +50% 초과 급증. ",IF(U42&gt;0.15,"1~7월 뚜렷한 증가. ",IF(U42&gt;0.02,"1~7월 소폭 증가. ",IF(U42&gt;-0.02,"1~7월 보합. ",IF(U42&gt;-0.15,"1~7월 소폭 감소. ","1~7월 뚜렷한 감소. "))))))&amp;"월별로는 "&amp;COUNTIF(E42:K42,"&gt;0")&amp;"개월 증가·"&amp;COUNTIF(E42:K42,"&lt;0")&amp;"개월 감소"&amp;IF(COUNTIF(E42:K42,"&gt;0")=7," (7개월 내내 증가)",IF(COUNTIF(E42:K42,"&lt;0")=7," (7개월 내내 감소)",""))&amp;IFERROR(", 최대 "&amp;TEXT(MAX(E42:K42),"0.0%")&amp;"("&amp;SUBSTITUTE(INDEX($E$5:$K$5,MATCH(MAX(E42:K42),E42:K42,0))," YoY","")&amp;")","")&amp;IFERROR(", 최소 "&amp;TEXT(MIN(E42:K42),"0.0%")&amp;"("&amp;SUBSTITUTE(INDEX($E$5:$K$5,MATCH(MIN(E42:K42),E42:K42,0))," YoY","")&amp;")","")&amp;". "&amp;IF(Y42="가격 주도","단가 상승이 주도. ",IF(Y42="물량 주도","물량 확대가 주도. ",IF(Y42="혼합","물량·단가 동반. ",IF(Y42="감소","감소 품목. ","단가 해석 유보. "))))&amp;IF(V42&gt;0.05,"전체 증가의 5% 이상을 설명하는 대형 품목.",IF(V42&gt;0.005,"전체 증가에 의미 있게 기여.",IF(T42/SUMIFS(데이터_총괄!$H$3:$H$33,데이터_총괄!$B$3:$B$33,2026,데이터_총괄!$C$3:$C$33,"&lt;=7")&lt;0.001,"규모가 작아 총량 영향은 미미.","총량 영향은 제한적."))))</f>
        <v>1~7월 뚜렷한 증가. 월별로는 6개월 증가·1개월 감소, 최대 31.0%(2026.03), 최소 -14.1%(2026.02). 단가 상승이 주도. 규모가 작아 총량 영향은 미미.</v>
      </c>
    </row>
    <row r="43" customFormat="false" ht="33.75" hidden="false" customHeight="true" outlineLevel="0" collapsed="false">
      <c r="A43" s="67" t="s">
        <v>19810</v>
      </c>
      <c r="B43" s="68" t="s">
        <v>590</v>
      </c>
      <c r="C43" s="65" t="str">
        <f aca="false">IFERROR(INDEX(데이터_품목별!$F$3:$F$2984,MATCH($B43,데이터_품목별!$E$3:$E$2984,0)),"")</f>
        <v>화약류, 화공품, 성냥, 발화성 합금, 특정 가연성 조제품</v>
      </c>
      <c r="D43" s="69" t="s">
        <v>20019</v>
      </c>
      <c r="E43" s="59" t="n">
        <f aca="false">IFERROR(분석4B_월별매트릭스!AA41/분석4B_월별매트릭스!O41-1,"-")</f>
        <v>1.04665629860031</v>
      </c>
      <c r="F43" s="59" t="n">
        <f aca="false">IFERROR(분석4B_월별매트릭스!AB41/분석4B_월별매트릭스!P41-1,"-")</f>
        <v>5.08907446068198</v>
      </c>
      <c r="G43" s="59" t="n">
        <f aca="false">IFERROR(분석4B_월별매트릭스!AC41/분석4B_월별매트릭스!Q41-1,"-")</f>
        <v>0.0359846134756174</v>
      </c>
      <c r="H43" s="59" t="n">
        <f aca="false">IFERROR(분석4B_월별매트릭스!AD41/분석4B_월별매트릭스!R41-1,"-")</f>
        <v>0.847647820457488</v>
      </c>
      <c r="I43" s="59" t="n">
        <f aca="false">IFERROR(분석4B_월별매트릭스!AE41/분석4B_월별매트릭스!S41-1,"-")</f>
        <v>2.36148261367979</v>
      </c>
      <c r="J43" s="59" t="n">
        <f aca="false">IFERROR(분석4B_월별매트릭스!AF41/분석4B_월별매트릭스!T41-1,"-")</f>
        <v>0.389028056112224</v>
      </c>
      <c r="K43" s="59" t="n">
        <f aca="false">IFERROR(분석4B_월별매트릭스!AG41/분석4B_월별매트릭스!U41-1,"-")</f>
        <v>0.312569275105298</v>
      </c>
      <c r="L43" s="57" t="n">
        <f aca="false">분석4B_월별매트릭스!AA41-분석4B_월별매트릭스!O41</f>
        <v>2019</v>
      </c>
      <c r="M43" s="57" t="n">
        <f aca="false">분석4B_월별매트릭스!AB41-분석4B_월별매트릭스!P41</f>
        <v>7313</v>
      </c>
      <c r="N43" s="57" t="n">
        <f aca="false">분석4B_월별매트릭스!AC41-분석4B_월별매트릭스!Q41</f>
        <v>290</v>
      </c>
      <c r="O43" s="57" t="n">
        <f aca="false">분석4B_월별매트릭스!AD41-분석4B_월별매트릭스!R41</f>
        <v>1964</v>
      </c>
      <c r="P43" s="57" t="n">
        <f aca="false">분석4B_월별매트릭스!AE41-분석4B_월별매트릭스!S41</f>
        <v>6180</v>
      </c>
      <c r="Q43" s="57" t="n">
        <f aca="false">분석4B_월별매트릭스!AF41-분석4B_월별매트릭스!T41</f>
        <v>1553</v>
      </c>
      <c r="R43" s="57" t="n">
        <f aca="false">분석4B_월별매트릭스!AG41-분석4B_월별매트릭스!U41</f>
        <v>1410</v>
      </c>
      <c r="S43" s="25" t="n">
        <f aca="false">SUMIFS(데이터_품목별!$H$3:$H$2984,데이터_품목별!$E$3:$E$2984,"36",데이터_품목별!$B$3:$B$2984,2025,데이터_품목별!$C$3:$C$2984,"&lt;=7")</f>
        <v>24862</v>
      </c>
      <c r="T43" s="25" t="n">
        <f aca="false">SUMIFS(데이터_품목별!$H$3:$H$2984,데이터_품목별!$E$3:$E$2984,"36",데이터_품목별!$B$3:$B$2984,2026,데이터_품목별!$C$3:$C$2984,"&lt;=7")</f>
        <v>45591</v>
      </c>
      <c r="U43" s="36" t="n">
        <f aca="false">IFERROR(T43/S43-1,"-")</f>
        <v>0.833762368272866</v>
      </c>
      <c r="V43" s="34" t="n">
        <f aca="false">(T43-S43)/(SUMIFS(데이터_총괄!$H$3:$H$33,데이터_총괄!$B$3:$B$33,2026,데이터_총괄!$C$3:$C$33,"&lt;=7")-SUMIFS(데이터_총괄!$H$3:$H$33,데이터_총괄!$B$3:$B$33,2025,데이터_총괄!$C$3:$C$33,"&lt;=7"))</f>
        <v>0.000103814184939053</v>
      </c>
      <c r="W43" s="24" t="n">
        <f aca="false">SUMIFS(데이터_품목별!$G$3:$G$2984,데이터_품목별!$E$3:$E$2984,"36",데이터_품목별!$B$3:$B$2984,2026,데이터_품목별!$C$3:$C$2984,"&lt;=7")</f>
        <v>1620.4</v>
      </c>
      <c r="X43" s="36" t="n">
        <f aca="false">IFERROR((T43/W43)/(S43/SUMIFS(데이터_품목별!$G$3:$G$2984,데이터_품목별!$E$3:$E$2984,"36",데이터_품목별!$B$3:$B$2984,2025,데이터_품목별!$C$3:$C$2984,"&lt;=7"))-1,"-")</f>
        <v>0.583323209979367</v>
      </c>
      <c r="Y43" s="67" t="str">
        <f aca="false">IF(OR(W43&lt;100,SUMIFS(데이터_품목별!$G$3:$G$2984,데이터_품목별!$E$3:$E$2984,"36",데이터_품목별!$B$3:$B$2984,2025,데이터_품목별!$C$3:$C$2984,"&lt;=7")&lt;100),"단가 불안정",IF(T43-S43&lt;0,"감소",IF(X43&gt;0.05,"가격 주도",IF(X43&lt;0.02,"물량 주도","혼합"))))</f>
        <v>가격 주도</v>
      </c>
      <c r="Z43" s="25" t="n">
        <f aca="false">SUMIFS(데이터_품목별!$J$3:$J$2984,데이터_품목별!$E$3:$E$2984,"36",데이터_품목별!$B$3:$B$2984,2026,데이터_품목별!$C$3:$C$2984,"&lt;=7")</f>
        <v>40890</v>
      </c>
      <c r="AA43" s="25" t="n">
        <f aca="false">T43-Z43</f>
        <v>4701</v>
      </c>
      <c r="AB43" s="65" t="str">
        <f aca="false">IF(T43=0,"자료 없음",IF(U43&gt;1,"1~7월 2배 이상 급증. ",IF(U43&gt;0.5,"1~7월 +50% 초과 급증. ",IF(U43&gt;0.15,"1~7월 뚜렷한 증가. ",IF(U43&gt;0.02,"1~7월 소폭 증가. ",IF(U43&gt;-0.02,"1~7월 보합. ",IF(U43&gt;-0.15,"1~7월 소폭 감소. ","1~7월 뚜렷한 감소. "))))))&amp;"월별로는 "&amp;COUNTIF(E43:K43,"&gt;0")&amp;"개월 증가·"&amp;COUNTIF(E43:K43,"&lt;0")&amp;"개월 감소"&amp;IF(COUNTIF(E43:K43,"&gt;0")=7," (7개월 내내 증가)",IF(COUNTIF(E43:K43,"&lt;0")=7," (7개월 내내 감소)",""))&amp;IFERROR(", 최대 "&amp;TEXT(MAX(E43:K43),"0.0%")&amp;"("&amp;SUBSTITUTE(INDEX($E$5:$K$5,MATCH(MAX(E43:K43),E43:K43,0))," YoY","")&amp;")","")&amp;IFERROR(", 최소 "&amp;TEXT(MIN(E43:K43),"0.0%")&amp;"("&amp;SUBSTITUTE(INDEX($E$5:$K$5,MATCH(MIN(E43:K43),E43:K43,0))," YoY","")&amp;")","")&amp;". "&amp;IF(Y43="가격 주도","단가 상승이 주도. ",IF(Y43="물량 주도","물량 확대가 주도. ",IF(Y43="혼합","물량·단가 동반. ",IF(Y43="감소","감소 품목. ","단가 해석 유보. "))))&amp;IF(V43&gt;0.05,"전체 증가의 5% 이상을 설명하는 대형 품목.",IF(V43&gt;0.005,"전체 증가에 의미 있게 기여.",IF(T43/SUMIFS(데이터_총괄!$H$3:$H$33,데이터_총괄!$B$3:$B$33,2026,데이터_총괄!$C$3:$C$33,"&lt;=7")&lt;0.001,"규모가 작아 총량 영향은 미미.","총량 영향은 제한적."))))</f>
        <v>1~7월 +50% 초과 급증. 월별로는 7개월 증가·0개월 감소 (7개월 내내 증가), 최대 508.9%(2026.02), 최소 3.6%(2026.03). 단가 상승이 주도. 규모가 작아 총량 영향은 미미.</v>
      </c>
    </row>
    <row r="44" customFormat="false" ht="33.75" hidden="false" customHeight="true" outlineLevel="0" collapsed="false">
      <c r="A44" s="67" t="s">
        <v>19824</v>
      </c>
      <c r="B44" s="68" t="s">
        <v>820</v>
      </c>
      <c r="C44" s="65" t="str">
        <f aca="false">IFERROR(INDEX(데이터_품목별!$F$3:$F$2984,MATCH($B44,데이터_품목별!$E$3:$E$2984,0)),"")</f>
        <v>도자제품</v>
      </c>
      <c r="D44" s="69" t="s">
        <v>20020</v>
      </c>
      <c r="E44" s="59" t="n">
        <f aca="false">IFERROR(분석4B_월별매트릭스!AA74/분석4B_월별매트릭스!O74-1,"-")</f>
        <v>0.340828035354319</v>
      </c>
      <c r="F44" s="59" t="n">
        <f aca="false">IFERROR(분석4B_월별매트릭스!AB74/분석4B_월별매트릭스!P74-1,"-")</f>
        <v>0.000393483906508285</v>
      </c>
      <c r="G44" s="59" t="n">
        <f aca="false">IFERROR(분석4B_월별매트릭스!AC74/분석4B_월별매트릭스!Q74-1,"-")</f>
        <v>0.0814019042846403</v>
      </c>
      <c r="H44" s="59" t="n">
        <f aca="false">IFERROR(분석4B_월별매트릭스!AD74/분석4B_월별매트릭스!R74-1,"-")</f>
        <v>-0.113547420133781</v>
      </c>
      <c r="I44" s="59" t="n">
        <f aca="false">IFERROR(분석4B_월별매트릭스!AE74/분석4B_월별매트릭스!S74-1,"-")</f>
        <v>0.190648348999759</v>
      </c>
      <c r="J44" s="59" t="n">
        <f aca="false">IFERROR(분석4B_월별매트릭스!AF74/분석4B_월별매트릭스!T74-1,"-")</f>
        <v>0.309002515808799</v>
      </c>
      <c r="K44" s="59" t="n">
        <f aca="false">IFERROR(분석4B_월별매트릭스!AG74/분석4B_월별매트릭스!U74-1,"-")</f>
        <v>-0.0593638730139733</v>
      </c>
      <c r="L44" s="57" t="n">
        <f aca="false">분석4B_월별매트릭스!AA74-분석4B_월별매트릭스!O74</f>
        <v>8792</v>
      </c>
      <c r="M44" s="57" t="n">
        <f aca="false">분석4B_월별매트릭스!AB74-분석4B_월별매트릭스!P74</f>
        <v>10</v>
      </c>
      <c r="N44" s="57" t="n">
        <f aca="false">분석4B_월별매트릭스!AC74-분석4B_월별매트릭스!Q74</f>
        <v>2599</v>
      </c>
      <c r="O44" s="57" t="n">
        <f aca="false">분석4B_월별매트릭스!AD74-분석4B_월별매트릭스!R74</f>
        <v>-4091</v>
      </c>
      <c r="P44" s="57" t="n">
        <f aca="false">분석4B_월별매트릭스!AE74-분석4B_월별매트릭스!S74</f>
        <v>5537</v>
      </c>
      <c r="Q44" s="57" t="n">
        <f aca="false">분석4B_월별매트릭스!AF74-분석4B_월별매트릭스!T74</f>
        <v>9089</v>
      </c>
      <c r="R44" s="57" t="n">
        <f aca="false">분석4B_월별매트릭스!AG74-분석4B_월별매트릭스!U74</f>
        <v>-1984</v>
      </c>
      <c r="S44" s="25" t="n">
        <f aca="false">SUMIFS(데이터_품목별!$H$3:$H$2984,데이터_품목별!$E$3:$E$2984,"69",데이터_품목별!$B$3:$B$2984,2025,데이터_품목별!$C$3:$C$2984,"&lt;=7")</f>
        <v>211045</v>
      </c>
      <c r="T44" s="25" t="n">
        <f aca="false">SUMIFS(데이터_품목별!$H$3:$H$2984,데이터_품목별!$E$3:$E$2984,"69",데이터_품목별!$B$3:$B$2984,2026,데이터_품목별!$C$3:$C$2984,"&lt;=7")</f>
        <v>230997</v>
      </c>
      <c r="U44" s="36" t="n">
        <f aca="false">IFERROR(T44/S44-1,"-")</f>
        <v>0.0945390793432681</v>
      </c>
      <c r="V44" s="34" t="n">
        <f aca="false">(T44-S44)/(SUMIFS(데이터_총괄!$H$3:$H$33,데이터_총괄!$B$3:$B$33,2026,데이터_총괄!$C$3:$C$33,"&lt;=7")-SUMIFS(데이터_총괄!$H$3:$H$33,데이터_총괄!$B$3:$B$33,2025,데이터_총괄!$C$3:$C$33,"&lt;=7"))</f>
        <v>9.99228432584298E-005</v>
      </c>
      <c r="W44" s="24" t="n">
        <f aca="false">SUMIFS(데이터_품목별!$G$3:$G$2984,데이터_품목별!$E$3:$E$2984,"69",데이터_품목별!$B$3:$B$2984,2026,데이터_품목별!$C$3:$C$2984,"&lt;=7")</f>
        <v>18448.9</v>
      </c>
      <c r="X44" s="36" t="n">
        <f aca="false">IFERROR((T44/W44)/(S44/SUMIFS(데이터_품목별!$G$3:$G$2984,데이터_품목별!$E$3:$E$2984,"69",데이터_품목별!$B$3:$B$2984,2025,데이터_품목별!$C$3:$C$2984,"&lt;=7"))-1,"-")</f>
        <v>0.133731254259613</v>
      </c>
      <c r="Y44" s="67" t="str">
        <f aca="false">IF(OR(W44&lt;100,SUMIFS(데이터_품목별!$G$3:$G$2984,데이터_품목별!$E$3:$E$2984,"69",데이터_품목별!$B$3:$B$2984,2025,데이터_품목별!$C$3:$C$2984,"&lt;=7")&lt;100),"단가 불안정",IF(T44-S44&lt;0,"감소",IF(X44&gt;0.05,"가격 주도",IF(X44&lt;0.02,"물량 주도","혼합"))))</f>
        <v>가격 주도</v>
      </c>
      <c r="Z44" s="25" t="n">
        <f aca="false">SUMIFS(데이터_품목별!$J$3:$J$2984,데이터_품목별!$E$3:$E$2984,"69",데이터_품목별!$B$3:$B$2984,2026,데이터_품목별!$C$3:$C$2984,"&lt;=7")</f>
        <v>886970</v>
      </c>
      <c r="AA44" s="25" t="n">
        <f aca="false">T44-Z44</f>
        <v>-655973</v>
      </c>
      <c r="AB44" s="65" t="str">
        <f aca="false">IF(T44=0,"자료 없음",IF(U44&gt;1,"1~7월 2배 이상 급증. ",IF(U44&gt;0.5,"1~7월 +50% 초과 급증. ",IF(U44&gt;0.15,"1~7월 뚜렷한 증가. ",IF(U44&gt;0.02,"1~7월 소폭 증가. ",IF(U44&gt;-0.02,"1~7월 보합. ",IF(U44&gt;-0.15,"1~7월 소폭 감소. ","1~7월 뚜렷한 감소. "))))))&amp;"월별로는 "&amp;COUNTIF(E44:K44,"&gt;0")&amp;"개월 증가·"&amp;COUNTIF(E44:K44,"&lt;0")&amp;"개월 감소"&amp;IF(COUNTIF(E44:K44,"&gt;0")=7," (7개월 내내 증가)",IF(COUNTIF(E44:K44,"&lt;0")=7," (7개월 내내 감소)",""))&amp;IFERROR(", 최대 "&amp;TEXT(MAX(E44:K44),"0.0%")&amp;"("&amp;SUBSTITUTE(INDEX($E$5:$K$5,MATCH(MAX(E44:K44),E44:K44,0))," YoY","")&amp;")","")&amp;IFERROR(", 최소 "&amp;TEXT(MIN(E44:K44),"0.0%")&amp;"("&amp;SUBSTITUTE(INDEX($E$5:$K$5,MATCH(MIN(E44:K44),E44:K44,0))," YoY","")&amp;")","")&amp;". "&amp;IF(Y44="가격 주도","단가 상승이 주도. ",IF(Y44="물량 주도","물량 확대가 주도. ",IF(Y44="혼합","물량·단가 동반. ",IF(Y44="감소","감소 품목. ","단가 해석 유보. "))))&amp;IF(V44&gt;0.05,"전체 증가의 5% 이상을 설명하는 대형 품목.",IF(V44&gt;0.005,"전체 증가에 의미 있게 기여.",IF(T44/SUMIFS(데이터_총괄!$H$3:$H$33,데이터_총괄!$B$3:$B$33,2026,데이터_총괄!$C$3:$C$33,"&lt;=7")&lt;0.001,"규모가 작아 총량 영향은 미미.","총량 영향은 제한적."))))</f>
        <v>1~7월 소폭 증가. 월별로는 5개월 증가·2개월 감소, 최대 34.1%(2026.01), 최소 -11.4%(2026.04). 단가 상승이 주도. 규모가 작아 총량 영향은 미미.</v>
      </c>
    </row>
    <row r="45" customFormat="false" ht="33.75" hidden="false" customHeight="true" outlineLevel="0" collapsed="false">
      <c r="A45" s="67" t="s">
        <v>19802</v>
      </c>
      <c r="B45" s="68" t="s">
        <v>394</v>
      </c>
      <c r="C45" s="65" t="str">
        <f aca="false">IFERROR(INDEX(데이터_품목별!$F$3:$F$2984,MATCH($B45,데이터_품목별!$E$3:$E$2984,0)),"")</f>
        <v>식용의 과실과 견과류, 감귤류ㆍ멜론의 껍질</v>
      </c>
      <c r="D45" s="69" t="s">
        <v>20021</v>
      </c>
      <c r="E45" s="59" t="n">
        <f aca="false">IFERROR(분석4B_월별매트릭스!AA13/분석4B_월별매트릭스!O13-1,"-")</f>
        <v>0.338115288594105</v>
      </c>
      <c r="F45" s="59" t="n">
        <f aca="false">IFERROR(분석4B_월별매트릭스!AB13/분석4B_월별매트릭스!P13-1,"-")</f>
        <v>0.0420407162129017</v>
      </c>
      <c r="G45" s="59" t="n">
        <f aca="false">IFERROR(분석4B_월별매트릭스!AC13/분석4B_월별매트릭스!Q13-1,"-")</f>
        <v>0.147251699058066</v>
      </c>
      <c r="H45" s="59" t="n">
        <f aca="false">IFERROR(분석4B_월별매트릭스!AD13/분석4B_월별매트릭스!R13-1,"-")</f>
        <v>0.156004880599617</v>
      </c>
      <c r="I45" s="59" t="n">
        <f aca="false">IFERROR(분석4B_월별매트릭스!AE13/분석4B_월별매트릭스!S13-1,"-")</f>
        <v>0.220657276995305</v>
      </c>
      <c r="J45" s="59" t="n">
        <f aca="false">IFERROR(분석4B_월별매트릭스!AF13/분석4B_월별매트릭스!T13-1,"-")</f>
        <v>0.822631913541005</v>
      </c>
      <c r="K45" s="59" t="n">
        <f aca="false">IFERROR(분석4B_월별매트릭스!AG13/분석4B_월별매트릭스!U13-1,"-")</f>
        <v>0.456315789473684</v>
      </c>
      <c r="L45" s="57" t="n">
        <f aca="false">분석4B_월별매트릭스!AA13-분석4B_월별매트릭스!O13</f>
        <v>9074</v>
      </c>
      <c r="M45" s="57" t="n">
        <f aca="false">분석4B_월별매트릭스!AB13-분석4B_월별매트릭스!P13</f>
        <v>857</v>
      </c>
      <c r="N45" s="57" t="n">
        <f aca="false">분석4B_월별매트릭스!AC13-분석4B_월별매트릭스!Q13</f>
        <v>2470</v>
      </c>
      <c r="O45" s="57" t="n">
        <f aca="false">분석4B_월별매트릭스!AD13-분석4B_월별매트릭스!R13</f>
        <v>1790</v>
      </c>
      <c r="P45" s="57" t="n">
        <f aca="false">분석4B_월별매트릭스!AE13-분석4B_월별매트릭스!S13</f>
        <v>987</v>
      </c>
      <c r="Q45" s="57" t="n">
        <f aca="false">분석4B_월별매트릭스!AF13-분석4B_월별매트릭스!T13</f>
        <v>1294</v>
      </c>
      <c r="R45" s="57" t="n">
        <f aca="false">분석4B_월별매트릭스!AG13-분석4B_월별매트릭스!U13</f>
        <v>2601</v>
      </c>
      <c r="S45" s="25" t="n">
        <f aca="false">SUMIFS(데이터_품목별!$H$3:$H$2984,데이터_품목별!$E$3:$E$2984,"08",데이터_품목별!$B$3:$B$2984,2025,데이터_품목별!$C$3:$C$2984,"&lt;=7")</f>
        <v>87216</v>
      </c>
      <c r="T45" s="25" t="n">
        <f aca="false">SUMIFS(데이터_품목별!$H$3:$H$2984,데이터_품목별!$E$3:$E$2984,"08",데이터_품목별!$B$3:$B$2984,2026,데이터_품목별!$C$3:$C$2984,"&lt;=7")</f>
        <v>106289</v>
      </c>
      <c r="U45" s="36" t="n">
        <f aca="false">IFERROR(T45/S45-1,"-")</f>
        <v>0.218686938176481</v>
      </c>
      <c r="V45" s="34" t="n">
        <f aca="false">(T45-S45)/(SUMIFS(데이터_총괄!$H$3:$H$33,데이터_총괄!$B$3:$B$33,2026,데이터_총괄!$C$3:$C$33,"&lt;=7")-SUMIFS(데이터_총괄!$H$3:$H$33,데이터_총괄!$B$3:$B$33,2025,데이터_총괄!$C$3:$C$33,"&lt;=7"))</f>
        <v>9.55206690791917E-005</v>
      </c>
      <c r="W45" s="24" t="n">
        <f aca="false">SUMIFS(데이터_품목별!$G$3:$G$2984,데이터_품목별!$E$3:$E$2984,"08",데이터_품목별!$B$3:$B$2984,2026,데이터_품목별!$C$3:$C$2984,"&lt;=7")</f>
        <v>12773.2</v>
      </c>
      <c r="X45" s="36" t="n">
        <f aca="false">IFERROR((T45/W45)/(S45/SUMIFS(데이터_품목별!$G$3:$G$2984,데이터_품목별!$E$3:$E$2984,"08",데이터_품목별!$B$3:$B$2984,2025,데이터_품목별!$C$3:$C$2984,"&lt;=7"))-1,"-")</f>
        <v>-0.0939419637684406</v>
      </c>
      <c r="Y45" s="67" t="str">
        <f aca="false">IF(OR(W45&lt;100,SUMIFS(데이터_품목별!$G$3:$G$2984,데이터_품목별!$E$3:$E$2984,"08",데이터_품목별!$B$3:$B$2984,2025,데이터_품목별!$C$3:$C$2984,"&lt;=7")&lt;100),"단가 불안정",IF(T45-S45&lt;0,"감소",IF(X45&gt;0.05,"가격 주도",IF(X45&lt;0.02,"물량 주도","혼합"))))</f>
        <v>물량 주도</v>
      </c>
      <c r="Z45" s="25" t="n">
        <f aca="false">SUMIFS(데이터_품목별!$J$3:$J$2984,데이터_품목별!$E$3:$E$2984,"08",데이터_품목별!$B$3:$B$2984,2026,데이터_품목별!$C$3:$C$2984,"&lt;=7")</f>
        <v>1285466</v>
      </c>
      <c r="AA45" s="25" t="n">
        <f aca="false">T45-Z45</f>
        <v>-1179177</v>
      </c>
      <c r="AB45" s="65" t="str">
        <f aca="false">IF(T45=0,"자료 없음",IF(U45&gt;1,"1~7월 2배 이상 급증. ",IF(U45&gt;0.5,"1~7월 +50% 초과 급증. ",IF(U45&gt;0.15,"1~7월 뚜렷한 증가. ",IF(U45&gt;0.02,"1~7월 소폭 증가. ",IF(U45&gt;-0.02,"1~7월 보합. ",IF(U45&gt;-0.15,"1~7월 소폭 감소. ","1~7월 뚜렷한 감소. "))))))&amp;"월별로는 "&amp;COUNTIF(E45:K45,"&gt;0")&amp;"개월 증가·"&amp;COUNTIF(E45:K45,"&lt;0")&amp;"개월 감소"&amp;IF(COUNTIF(E45:K45,"&gt;0")=7," (7개월 내내 증가)",IF(COUNTIF(E45:K45,"&lt;0")=7," (7개월 내내 감소)",""))&amp;IFERROR(", 최대 "&amp;TEXT(MAX(E45:K45),"0.0%")&amp;"("&amp;SUBSTITUTE(INDEX($E$5:$K$5,MATCH(MAX(E45:K45),E45:K45,0))," YoY","")&amp;")","")&amp;IFERROR(", 최소 "&amp;TEXT(MIN(E45:K45),"0.0%")&amp;"("&amp;SUBSTITUTE(INDEX($E$5:$K$5,MATCH(MIN(E45:K45),E45:K45,0))," YoY","")&amp;")","")&amp;". "&amp;IF(Y45="가격 주도","단가 상승이 주도. ",IF(Y45="물량 주도","물량 확대가 주도. ",IF(Y45="혼합","물량·단가 동반. ",IF(Y45="감소","감소 품목. ","단가 해석 유보. "))))&amp;IF(V45&gt;0.05,"전체 증가의 5% 이상을 설명하는 대형 품목.",IF(V45&gt;0.005,"전체 증가에 의미 있게 기여.",IF(T45/SUMIFS(데이터_총괄!$H$3:$H$33,데이터_총괄!$B$3:$B$33,2026,데이터_총괄!$C$3:$C$33,"&lt;=7")&lt;0.001,"규모가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82.3%(2026.06), 최소 4.2%(2026.02). 물량 확대가 주도. 규모가 작아 총량 영향은 미미.</v>
      </c>
    </row>
    <row r="46" customFormat="false" ht="33.75" hidden="false" customHeight="true" outlineLevel="0" collapsed="false">
      <c r="A46" s="67" t="s">
        <v>19828</v>
      </c>
      <c r="B46" s="68" t="s">
        <v>890</v>
      </c>
      <c r="C46" s="65" t="str">
        <f aca="false">IFERROR(INDEX(데이터_품목별!$F$3:$F$2984,MATCH($B46,데이터_품목별!$E$3:$E$2984,0)),"")</f>
        <v>주석과 그 제품</v>
      </c>
      <c r="D46" s="69" t="s">
        <v>891</v>
      </c>
      <c r="E46" s="59" t="n">
        <f aca="false">IFERROR(분석4B_월별매트릭스!AA84/분석4B_월별매트릭스!O84-1,"-")</f>
        <v>0.50947782546495</v>
      </c>
      <c r="F46" s="59" t="n">
        <f aca="false">IFERROR(분석4B_월별매트릭스!AB84/분석4B_월별매트릭스!P84-1,"-")</f>
        <v>-0.0954271631982475</v>
      </c>
      <c r="G46" s="59" t="n">
        <f aca="false">IFERROR(분석4B_월별매트릭스!AC84/분석4B_월별매트릭스!Q84-1,"-")</f>
        <v>0.249819181252712</v>
      </c>
      <c r="H46" s="59" t="n">
        <f aca="false">IFERROR(분석4B_월별매트릭스!AD84/분석4B_월별매트릭스!R84-1,"-")</f>
        <v>1.09483027094363</v>
      </c>
      <c r="I46" s="59" t="n">
        <f aca="false">IFERROR(분석4B_월별매트릭스!AE84/분석4B_월별매트릭스!S84-1,"-")</f>
        <v>0.36959126614299</v>
      </c>
      <c r="J46" s="59" t="n">
        <f aca="false">IFERROR(분석4B_월별매트릭스!AF84/분석4B_월별매트릭스!T84-1,"-")</f>
        <v>0.529026339929236</v>
      </c>
      <c r="K46" s="59" t="n">
        <f aca="false">IFERROR(분석4B_월별매트릭스!AG84/분석4B_월별매트릭스!U84-1,"-")</f>
        <v>-0.101450821420952</v>
      </c>
      <c r="L46" s="57" t="n">
        <f aca="false">분석4B_월별매트릭스!AA84-분석4B_월별매트릭스!O84</f>
        <v>2849</v>
      </c>
      <c r="M46" s="57" t="n">
        <f aca="false">분석4B_월별매트릭스!AB84-분석4B_월별매트릭스!P84</f>
        <v>-697</v>
      </c>
      <c r="N46" s="57" t="n">
        <f aca="false">분석4B_월별매트릭스!AC84-분석4B_월별매트릭스!Q84</f>
        <v>1727</v>
      </c>
      <c r="O46" s="57" t="n">
        <f aca="false">분석4B_월별매트릭스!AD84-분석4B_월별매트릭스!R84</f>
        <v>7031</v>
      </c>
      <c r="P46" s="57" t="n">
        <f aca="false">분석4B_월별매트릭스!AE84-분석4B_월별매트릭스!S84</f>
        <v>2776</v>
      </c>
      <c r="Q46" s="57" t="n">
        <f aca="false">분석4B_월별매트릭스!AF84-분석4B_월별매트릭스!T84</f>
        <v>4037</v>
      </c>
      <c r="R46" s="57" t="n">
        <f aca="false">분석4B_월별매트릭스!AG84-분석4B_월별매트릭스!U84</f>
        <v>-951</v>
      </c>
      <c r="S46" s="25" t="n">
        <f aca="false">SUMIFS(데이터_품목별!$H$3:$H$2984,데이터_품목별!$E$3:$E$2984,"80",데이터_품목별!$B$3:$B$2984,2025,데이터_품목별!$C$3:$C$2984,"&lt;=7")</f>
        <v>50747</v>
      </c>
      <c r="T46" s="25" t="n">
        <f aca="false">SUMIFS(데이터_품목별!$H$3:$H$2984,데이터_품목별!$E$3:$E$2984,"80",데이터_품목별!$B$3:$B$2984,2026,데이터_품목별!$C$3:$C$2984,"&lt;=7")</f>
        <v>67519</v>
      </c>
      <c r="U46" s="36" t="n">
        <f aca="false">IFERROR(T46/S46-1,"-")</f>
        <v>0.330502295702209</v>
      </c>
      <c r="V46" s="34" t="n">
        <f aca="false">(T46-S46)/(SUMIFS(데이터_총괄!$H$3:$H$33,데이터_총괄!$B$3:$B$33,2026,데이터_총괄!$C$3:$C$33,"&lt;=7")-SUMIFS(데이터_총괄!$H$3:$H$33,데이터_총괄!$B$3:$B$33,2025,데이터_총괄!$C$3:$C$33,"&lt;=7"))</f>
        <v>8.39968888898549E-005</v>
      </c>
      <c r="W46" s="24" t="n">
        <f aca="false">SUMIFS(데이터_품목별!$G$3:$G$2984,데이터_품목별!$E$3:$E$2984,"80",데이터_품목별!$B$3:$B$2984,2026,데이터_품목별!$C$3:$C$2984,"&lt;=7")</f>
        <v>964.5</v>
      </c>
      <c r="X46" s="36" t="n">
        <f aca="false">IFERROR((T46/W46)/(S46/SUMIFS(데이터_품목별!$G$3:$G$2984,데이터_품목별!$E$3:$E$2984,"80",데이터_품목별!$B$3:$B$2984,2025,데이터_품목별!$C$3:$C$2984,"&lt;=7"))-1,"-")</f>
        <v>0.792625954655283</v>
      </c>
      <c r="Y46" s="67" t="str">
        <f aca="false">IF(OR(W46&lt;100,SUMIFS(데이터_품목별!$G$3:$G$2984,데이터_품목별!$E$3:$E$2984,"80",데이터_품목별!$B$3:$B$2984,2025,데이터_품목별!$C$3:$C$2984,"&lt;=7")&lt;100),"단가 불안정",IF(T46-S46&lt;0,"감소",IF(X46&gt;0.05,"가격 주도",IF(X46&lt;0.02,"물량 주도","혼합"))))</f>
        <v>가격 주도</v>
      </c>
      <c r="Z46" s="25" t="n">
        <f aca="false">SUMIFS(데이터_품목별!$J$3:$J$2984,데이터_품목별!$E$3:$E$2984,"80",데이터_품목별!$B$3:$B$2984,2026,데이터_품목별!$C$3:$C$2984,"&lt;=7")</f>
        <v>401624</v>
      </c>
      <c r="AA46" s="25" t="n">
        <f aca="false">T46-Z46</f>
        <v>-334105</v>
      </c>
      <c r="AB46" s="65" t="str">
        <f aca="false">IF(T46=0,"자료 없음",IF(U46&gt;1,"1~7월 2배 이상 급증. ",IF(U46&gt;0.5,"1~7월 +50% 초과 급증. ",IF(U46&gt;0.15,"1~7월 뚜렷한 증가. ",IF(U46&gt;0.02,"1~7월 소폭 증가. ",IF(U46&gt;-0.02,"1~7월 보합. ",IF(U46&gt;-0.15,"1~7월 소폭 감소. ","1~7월 뚜렷한 감소. "))))))&amp;"월별로는 "&amp;COUNTIF(E46:K46,"&gt;0")&amp;"개월 증가·"&amp;COUNTIF(E46:K46,"&lt;0")&amp;"개월 감소"&amp;IF(COUNTIF(E46:K46,"&gt;0")=7," (7개월 내내 증가)",IF(COUNTIF(E46:K46,"&lt;0")=7," (7개월 내내 감소)",""))&amp;IFERROR(", 최대 "&amp;TEXT(MAX(E46:K46),"0.0%")&amp;"("&amp;SUBSTITUTE(INDEX($E$5:$K$5,MATCH(MAX(E46:K46),E46:K46,0))," YoY","")&amp;")","")&amp;IFERROR(", 최소 "&amp;TEXT(MIN(E46:K46),"0.0%")&amp;"("&amp;SUBSTITUTE(INDEX($E$5:$K$5,MATCH(MIN(E46:K46),E46:K46,0))," YoY","")&amp;")","")&amp;". "&amp;IF(Y46="가격 주도","단가 상승이 주도. ",IF(Y46="물량 주도","물량 확대가 주도. ",IF(Y46="혼합","물량·단가 동반. ",IF(Y46="감소","감소 품목. ","단가 해석 유보. "))))&amp;IF(V46&gt;0.05,"전체 증가의 5% 이상을 설명하는 대형 품목.",IF(V46&gt;0.005,"전체 증가에 의미 있게 기여.",IF(T46/SUMIFS(데이터_총괄!$H$3:$H$33,데이터_총괄!$B$3:$B$33,2026,데이터_총괄!$C$3:$C$33,"&lt;=7")&lt;0.001,"규모가 작아 총량 영향은 미미.","총량 영향은 제한적."))))</f>
        <v>1~7월 뚜렷한 증가. 월별로는 5개월 증가·2개월 감소, 최대 109.5%(2026.04), 최소 -10.1%(2026.07). 단가 상승이 주도. 규모가 작아 총량 영향은 미미.</v>
      </c>
    </row>
    <row r="47" customFormat="false" ht="33.75" hidden="false" customHeight="true" outlineLevel="0" collapsed="false">
      <c r="A47" s="67" t="s">
        <v>19810</v>
      </c>
      <c r="B47" s="68" t="s">
        <v>583</v>
      </c>
      <c r="C47" s="65" t="str">
        <f aca="false">IFERROR(INDEX(데이터_품목별!$F$3:$F$2984,MATCH($B47,데이터_품목별!$E$3:$E$2984,0)),"")</f>
        <v>단백질계 물질, 변성전분, 글루(glue), 효소</v>
      </c>
      <c r="D47" s="69" t="s">
        <v>20022</v>
      </c>
      <c r="E47" s="59" t="n">
        <f aca="false">IFERROR(분석4B_월별매트릭스!AA40/분석4B_월별매트릭스!O40-1,"-")</f>
        <v>0.129715191137505</v>
      </c>
      <c r="F47" s="59" t="n">
        <f aca="false">IFERROR(분석4B_월별매트릭스!AB40/분석4B_월별매트릭스!P40-1,"-")</f>
        <v>-0.280157870621069</v>
      </c>
      <c r="G47" s="59" t="n">
        <f aca="false">IFERROR(분석4B_월별매트릭스!AC40/분석4B_월별매트릭스!Q40-1,"-")</f>
        <v>-0.104445989699907</v>
      </c>
      <c r="H47" s="59" t="n">
        <f aca="false">IFERROR(분석4B_월별매트릭스!AD40/분석4B_월별매트릭스!R40-1,"-")</f>
        <v>0.204858846548029</v>
      </c>
      <c r="I47" s="59" t="n">
        <f aca="false">IFERROR(분석4B_월별매트릭스!AE40/분석4B_월별매트릭스!S40-1,"-")</f>
        <v>-0.0347003154574133</v>
      </c>
      <c r="J47" s="59" t="n">
        <f aca="false">IFERROR(분석4B_월별매트릭스!AF40/분석4B_월별매트릭스!T40-1,"-")</f>
        <v>0.192390912369275</v>
      </c>
      <c r="K47" s="59" t="n">
        <f aca="false">IFERROR(분석4B_월별매트릭스!AG40/분석4B_월별매트릭스!U40-1,"-")</f>
        <v>0.110208515361183</v>
      </c>
      <c r="L47" s="57" t="n">
        <f aca="false">분석4B_월별매트릭스!AA40-분석4B_월별매트릭스!O40</f>
        <v>9742</v>
      </c>
      <c r="M47" s="57" t="n">
        <f aca="false">분석4B_월별매트릭스!AB40-분석4B_월별매트릭스!P40</f>
        <v>-26903</v>
      </c>
      <c r="N47" s="57" t="n">
        <f aca="false">분석4B_월별매트릭스!AC40-분석4B_월별매트릭스!Q40</f>
        <v>-9613</v>
      </c>
      <c r="O47" s="57" t="n">
        <f aca="false">분석4B_월별매트릭스!AD40-분석4B_월별매트릭스!R40</f>
        <v>17590</v>
      </c>
      <c r="P47" s="57" t="n">
        <f aca="false">분석4B_월별매트릭스!AE40-분석4B_월별매트릭스!S40</f>
        <v>-2827</v>
      </c>
      <c r="Q47" s="57" t="n">
        <f aca="false">분석4B_월별매트릭스!AF40-분석4B_월별매트릭스!T40</f>
        <v>14938</v>
      </c>
      <c r="R47" s="57" t="n">
        <f aca="false">분석4B_월별매트릭스!AG40-분석4B_월별매트릭스!U40</f>
        <v>9334</v>
      </c>
      <c r="S47" s="25" t="n">
        <f aca="false">SUMIFS(데이터_품목별!$H$3:$H$2984,데이터_품목별!$E$3:$E$2984,"35",데이터_품목별!$B$3:$B$2984,2025,데이터_품목별!$C$3:$C$2984,"&lt;=7")</f>
        <v>592840</v>
      </c>
      <c r="T47" s="25" t="n">
        <f aca="false">SUMIFS(데이터_품목별!$H$3:$H$2984,데이터_품목별!$E$3:$E$2984,"35",데이터_품목별!$B$3:$B$2984,2026,데이터_품목별!$C$3:$C$2984,"&lt;=7")</f>
        <v>605101</v>
      </c>
      <c r="U47" s="36" t="n">
        <f aca="false">IFERROR(T47/S47-1,"-")</f>
        <v>0.0206818028473112</v>
      </c>
      <c r="V47" s="34" t="n">
        <f aca="false">(T47-S47)/(SUMIFS(데이터_총괄!$H$3:$H$33,데이터_총괄!$B$3:$B$33,2026,데이터_총괄!$C$3:$C$33,"&lt;=7")-SUMIFS(데이터_총괄!$H$3:$H$33,데이터_총괄!$B$3:$B$33,2025,데이터_총괄!$C$3:$C$33,"&lt;=7"))</f>
        <v>6.14050712305337E-005</v>
      </c>
      <c r="W47" s="24" t="n">
        <f aca="false">SUMIFS(데이터_품목별!$G$3:$G$2984,데이터_품목별!$E$3:$E$2984,"35",데이터_품목별!$B$3:$B$2984,2026,데이터_품목별!$C$3:$C$2984,"&lt;=7")</f>
        <v>52749.7</v>
      </c>
      <c r="X47" s="36" t="n">
        <f aca="false">IFERROR((T47/W47)/(S47/SUMIFS(데이터_품목별!$G$3:$G$2984,데이터_품목별!$E$3:$E$2984,"35",데이터_품목별!$B$3:$B$2984,2025,데이터_품목별!$C$3:$C$2984,"&lt;=7"))-1,"-")</f>
        <v>-0.0815049900447229</v>
      </c>
      <c r="Y47" s="67" t="str">
        <f aca="false">IF(OR(W47&lt;100,SUMIFS(데이터_품목별!$G$3:$G$2984,데이터_품목별!$E$3:$E$2984,"35",데이터_품목별!$B$3:$B$2984,2025,데이터_품목별!$C$3:$C$2984,"&lt;=7")&lt;100),"단가 불안정",IF(T47-S47&lt;0,"감소",IF(X47&gt;0.05,"가격 주도",IF(X47&lt;0.02,"물량 주도","혼합"))))</f>
        <v>물량 주도</v>
      </c>
      <c r="Z47" s="25" t="n">
        <f aca="false">SUMIFS(데이터_품목별!$J$3:$J$2984,데이터_품목별!$E$3:$E$2984,"35",데이터_품목별!$B$3:$B$2984,2026,데이터_품목별!$C$3:$C$2984,"&lt;=7")</f>
        <v>633019</v>
      </c>
      <c r="AA47" s="25" t="n">
        <f aca="false">T47-Z47</f>
        <v>-27918</v>
      </c>
      <c r="AB47" s="65" t="str">
        <f aca="false">IF(T47=0,"자료 없음",IF(U47&gt;1,"1~7월 2배 이상 급증. ",IF(U47&gt;0.5,"1~7월 +50% 초과 급증. ",IF(U47&gt;0.15,"1~7월 뚜렷한 증가. ",IF(U47&gt;0.02,"1~7월 소폭 증가. ",IF(U47&gt;-0.02,"1~7월 보합. ",IF(U47&gt;-0.15,"1~7월 소폭 감소. ","1~7월 뚜렷한 감소. "))))))&amp;"월별로는 "&amp;COUNTIF(E47:K47,"&gt;0")&amp;"개월 증가·"&amp;COUNTIF(E47:K47,"&lt;0")&amp;"개월 감소"&amp;IF(COUNTIF(E47:K47,"&gt;0")=7," (7개월 내내 증가)",IF(COUNTIF(E47:K47,"&lt;0")=7," (7개월 내내 감소)",""))&amp;IFERROR(", 최대 "&amp;TEXT(MAX(E47:K47),"0.0%")&amp;"("&amp;SUBSTITUTE(INDEX($E$5:$K$5,MATCH(MAX(E47:K47),E47:K47,0))," YoY","")&amp;")","")&amp;IFERROR(", 최소 "&amp;TEXT(MIN(E47:K47),"0.0%")&amp;"("&amp;SUBSTITUTE(INDEX($E$5:$K$5,MATCH(MIN(E47:K47),E47:K47,0))," YoY","")&amp;")","")&amp;". "&amp;IF(Y47="가격 주도","단가 상승이 주도. ",IF(Y47="물량 주도","물량 확대가 주도. ",IF(Y47="혼합","물량·단가 동반. ",IF(Y47="감소","감소 품목. ","단가 해석 유보. "))))&amp;IF(V47&gt;0.05,"전체 증가의 5% 이상을 설명하는 대형 품목.",IF(V47&gt;0.005,"전체 증가에 의미 있게 기여.",IF(T47/SUMIFS(데이터_총괄!$H$3:$H$33,데이터_총괄!$B$3:$B$33,2026,데이터_총괄!$C$3:$C$33,"&lt;=7")&lt;0.001,"규모가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20.5%(2026.04), 최소 -28.0%(2026.02). 물량 확대가 주도. 총량 영향은 제한적.</v>
      </c>
    </row>
    <row r="48" customFormat="false" ht="33.75" hidden="false" customHeight="true" outlineLevel="0" collapsed="false">
      <c r="A48" s="67" t="s">
        <v>19822</v>
      </c>
      <c r="B48" s="68" t="s">
        <v>793</v>
      </c>
      <c r="C48" s="65" t="str">
        <f aca="false">IFERROR(INDEX(데이터_품목별!$F$3:$F$2984,MATCH($B48,데이터_품목별!$E$3:$E$2984,0)),"")</f>
        <v>모자류와 그 부분품</v>
      </c>
      <c r="D48" s="69" t="s">
        <v>20023</v>
      </c>
      <c r="E48" s="59" t="n">
        <f aca="false">IFERROR(분석4B_월별매트릭스!AA70/분석4B_월별매트릭스!O70-1,"-")</f>
        <v>0.375071551230681</v>
      </c>
      <c r="F48" s="59" t="n">
        <f aca="false">IFERROR(분석4B_월별매트릭스!AB70/분석4B_월별매트릭스!P70-1,"-")</f>
        <v>0.175129258915551</v>
      </c>
      <c r="G48" s="59" t="n">
        <f aca="false">IFERROR(분석4B_월별매트릭스!AC70/분석4B_월별매트릭스!Q70-1,"-")</f>
        <v>0.064987984536621</v>
      </c>
      <c r="H48" s="59" t="n">
        <f aca="false">IFERROR(분석4B_월별매트릭스!AD70/분석4B_월별매트릭스!R70-1,"-")</f>
        <v>0.183757413430266</v>
      </c>
      <c r="I48" s="59" t="n">
        <f aca="false">IFERROR(분석4B_월별매트릭스!AE70/분석4B_월별매트릭스!S70-1,"-")</f>
        <v>0.189433887175405</v>
      </c>
      <c r="J48" s="59" t="n">
        <f aca="false">IFERROR(분석4B_월별매트릭스!AF70/분석4B_월별매트릭스!T70-1,"-")</f>
        <v>0.132780487804878</v>
      </c>
      <c r="K48" s="59" t="n">
        <f aca="false">IFERROR(분석4B_월별매트릭스!AG70/분석4B_월별매트릭스!U70-1,"-")</f>
        <v>0.217757367011098</v>
      </c>
      <c r="L48" s="57" t="n">
        <f aca="false">분석4B_월별매트릭스!AA70-분석4B_월별매트릭스!O70</f>
        <v>2621</v>
      </c>
      <c r="M48" s="57" t="n">
        <f aca="false">분석4B_월별매트릭스!AB70-분석4B_월별매트릭스!P70</f>
        <v>1321</v>
      </c>
      <c r="N48" s="57" t="n">
        <f aca="false">분석4B_월별매트릭스!AC70-분석4B_월별매트릭스!Q70</f>
        <v>622</v>
      </c>
      <c r="O48" s="57" t="n">
        <f aca="false">분석4B_월별매트릭스!AD70-분석4B_월별매트릭스!R70</f>
        <v>1921</v>
      </c>
      <c r="P48" s="57" t="n">
        <f aca="false">분석4B_월별매트릭스!AE70-분석4B_월별매트릭스!S70</f>
        <v>1904</v>
      </c>
      <c r="Q48" s="57" t="n">
        <f aca="false">분석4B_월별매트릭스!AF70-분석4B_월별매트릭스!T70</f>
        <v>1361</v>
      </c>
      <c r="R48" s="57" t="n">
        <f aca="false">분석4B_월별매트릭스!AG70-분석4B_월별매트릭스!U70</f>
        <v>2276</v>
      </c>
      <c r="S48" s="25" t="n">
        <f aca="false">SUMIFS(데이터_품목별!$H$3:$H$2984,데이터_품목별!$E$3:$E$2984,"65",데이터_품목별!$B$3:$B$2984,2025,데이터_품목별!$C$3:$C$2984,"&lt;=7")</f>
        <v>65309</v>
      </c>
      <c r="T48" s="25" t="n">
        <f aca="false">SUMIFS(데이터_품목별!$H$3:$H$2984,데이터_품목별!$E$3:$E$2984,"65",데이터_품목별!$B$3:$B$2984,2026,데이터_품목별!$C$3:$C$2984,"&lt;=7")</f>
        <v>77335</v>
      </c>
      <c r="U48" s="36" t="n">
        <f aca="false">IFERROR(T48/S48-1,"-")</f>
        <v>0.184140011330751</v>
      </c>
      <c r="V48" s="34" t="n">
        <f aca="false">(T48-S48)/(SUMIFS(데이터_총괄!$H$3:$H$33,데이터_총괄!$B$3:$B$33,2026,데이터_총괄!$C$3:$C$33,"&lt;=7")-SUMIFS(데이터_총괄!$H$3:$H$33,데이터_총괄!$B$3:$B$33,2025,데이터_총괄!$C$3:$C$33,"&lt;=7"))</f>
        <v>6.02281532190195E-005</v>
      </c>
      <c r="W48" s="24" t="n">
        <f aca="false">SUMIFS(데이터_품목별!$G$3:$G$2984,데이터_품목별!$E$3:$E$2984,"65",데이터_품목별!$B$3:$B$2984,2026,데이터_품목별!$C$3:$C$2984,"&lt;=7")</f>
        <v>1758.5</v>
      </c>
      <c r="X48" s="36" t="n">
        <f aca="false">IFERROR((T48/W48)/(S48/SUMIFS(데이터_품목별!$G$3:$G$2984,데이터_품목별!$E$3:$E$2984,"65",데이터_품목별!$B$3:$B$2984,2025,데이터_품목별!$C$3:$C$2984,"&lt;=7"))-1,"-")</f>
        <v>0.239761259517228</v>
      </c>
      <c r="Y48" s="67" t="str">
        <f aca="false">IF(OR(W48&lt;100,SUMIFS(데이터_품목별!$G$3:$G$2984,데이터_품목별!$E$3:$E$2984,"65",데이터_품목별!$B$3:$B$2984,2025,데이터_품목별!$C$3:$C$2984,"&lt;=7")&lt;100),"단가 불안정",IF(T48-S48&lt;0,"감소",IF(X48&gt;0.05,"가격 주도",IF(X48&lt;0.02,"물량 주도","혼합"))))</f>
        <v>가격 주도</v>
      </c>
      <c r="Z48" s="25" t="n">
        <f aca="false">SUMIFS(데이터_품목별!$J$3:$J$2984,데이터_품목별!$E$3:$E$2984,"65",데이터_품목별!$B$3:$B$2984,2026,데이터_품목별!$C$3:$C$2984,"&lt;=7")</f>
        <v>186129</v>
      </c>
      <c r="AA48" s="25" t="n">
        <f aca="false">T48-Z48</f>
        <v>-108794</v>
      </c>
      <c r="AB48" s="65" t="str">
        <f aca="false">IF(T48=0,"자료 없음",IF(U48&gt;1,"1~7월 2배 이상 급증. ",IF(U48&gt;0.5,"1~7월 +50% 초과 급증. ",IF(U48&gt;0.15,"1~7월 뚜렷한 증가. ",IF(U48&gt;0.02,"1~7월 소폭 증가. ",IF(U48&gt;-0.02,"1~7월 보합. ",IF(U48&gt;-0.15,"1~7월 소폭 감소. ","1~7월 뚜렷한 감소. "))))))&amp;"월별로는 "&amp;COUNTIF(E48:K48,"&gt;0")&amp;"개월 증가·"&amp;COUNTIF(E48:K48,"&lt;0")&amp;"개월 감소"&amp;IF(COUNTIF(E48:K48,"&gt;0")=7," (7개월 내내 증가)",IF(COUNTIF(E48:K48,"&lt;0")=7," (7개월 내내 감소)",""))&amp;IFERROR(", 최대 "&amp;TEXT(MAX(E48:K48),"0.0%")&amp;"("&amp;SUBSTITUTE(INDEX($E$5:$K$5,MATCH(MAX(E48:K48),E48:K48,0))," YoY","")&amp;")","")&amp;IFERROR(", 최소 "&amp;TEXT(MIN(E48:K48),"0.0%")&amp;"("&amp;SUBSTITUTE(INDEX($E$5:$K$5,MATCH(MIN(E48:K48),E48:K48,0))," YoY","")&amp;")","")&amp;". "&amp;IF(Y48="가격 주도","단가 상승이 주도. ",IF(Y48="물량 주도","물량 확대가 주도. ",IF(Y48="혼합","물량·단가 동반. ",IF(Y48="감소","감소 품목. ","단가 해석 유보. "))))&amp;IF(V48&gt;0.05,"전체 증가의 5% 이상을 설명하는 대형 품목.",IF(V48&gt;0.005,"전체 증가에 의미 있게 기여.",IF(T48/SUMIFS(데이터_총괄!$H$3:$H$33,데이터_총괄!$B$3:$B$33,2026,데이터_총괄!$C$3:$C$33,"&lt;=7")&lt;0.001,"규모가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37.5%(2026.01), 최소 6.5%(2026.03). 단가 상승이 주도. 규모가 작아 총량 영향은 미미.</v>
      </c>
    </row>
    <row r="49" customFormat="false" ht="33.75" hidden="false" customHeight="true" outlineLevel="0" collapsed="false">
      <c r="A49" s="67" t="s">
        <v>19806</v>
      </c>
      <c r="B49" s="68" t="s">
        <v>499</v>
      </c>
      <c r="C49" s="65" t="str">
        <f aca="false">IFERROR(INDEX(데이터_품목별!$F$3:$F$2984,MATCH($B49,데이터_품목별!$E$3:$E$2984,0)),"")</f>
        <v>식품 공업에서 생기는 잔재물과 웨이스트(waste), 조제 사료</v>
      </c>
      <c r="D49" s="69" t="s">
        <v>20024</v>
      </c>
      <c r="E49" s="59" t="n">
        <f aca="false">IFERROR(분석4B_월별매트릭스!AA28/분석4B_월별매트릭스!O28-1,"-")</f>
        <v>0.0739778427339324</v>
      </c>
      <c r="F49" s="59" t="n">
        <f aca="false">IFERROR(분석4B_월별매트릭스!AB28/분석4B_월별매트릭스!P28-1,"-")</f>
        <v>-0.00120861412247286</v>
      </c>
      <c r="G49" s="59" t="n">
        <f aca="false">IFERROR(분석4B_월별매트릭스!AC28/분석4B_월별매트릭스!Q28-1,"-")</f>
        <v>0.179641346523578</v>
      </c>
      <c r="H49" s="59" t="n">
        <f aca="false">IFERROR(분석4B_월별매트릭스!AD28/분석4B_월별매트릭스!R28-1,"-")</f>
        <v>0.174298270484831</v>
      </c>
      <c r="I49" s="59" t="n">
        <f aca="false">IFERROR(분석4B_월별매트릭스!AE28/분석4B_월별매트릭스!S28-1,"-")</f>
        <v>0.102044630508728</v>
      </c>
      <c r="J49" s="59" t="n">
        <f aca="false">IFERROR(분석4B_월별매트릭스!AF28/분석4B_월별매트릭스!T28-1,"-")</f>
        <v>0.0955215750359908</v>
      </c>
      <c r="K49" s="59" t="n">
        <f aca="false">IFERROR(분석4B_월별매트릭스!AG28/분석4B_월별매트릭스!U28-1,"-")</f>
        <v>-0.182381527021297</v>
      </c>
      <c r="L49" s="57" t="n">
        <f aca="false">분석4B_월별매트릭스!AA28-분석4B_월별매트릭스!O28</f>
        <v>2050</v>
      </c>
      <c r="M49" s="57" t="n">
        <f aca="false">분석4B_월별매트릭스!AB28-분석4B_월별매트릭스!P28</f>
        <v>-33</v>
      </c>
      <c r="N49" s="57" t="n">
        <f aca="false">분석4B_월별매트릭스!AC28-분석4B_월별매트릭스!Q28</f>
        <v>5139</v>
      </c>
      <c r="O49" s="57" t="n">
        <f aca="false">분석4B_월별매트릭스!AD28-분석4B_월별매트릭스!R28</f>
        <v>4918</v>
      </c>
      <c r="P49" s="57" t="n">
        <f aca="false">분석4B_월별매트릭스!AE28-분석4B_월별매트릭스!S28</f>
        <v>2730</v>
      </c>
      <c r="Q49" s="57" t="n">
        <f aca="false">분석4B_월별매트릭스!AF28-분석4B_월별매트릭스!T28</f>
        <v>2455</v>
      </c>
      <c r="R49" s="57" t="n">
        <f aca="false">분석4B_월별매트릭스!AG28-분석4B_월별매트릭스!U28</f>
        <v>-5592</v>
      </c>
      <c r="S49" s="25" t="n">
        <f aca="false">SUMIFS(데이터_품목별!$H$3:$H$2984,데이터_품목별!$E$3:$E$2984,"23",데이터_품목별!$B$3:$B$2984,2025,데이터_품목별!$C$3:$C$2984,"&lt;=7")</f>
        <v>194953</v>
      </c>
      <c r="T49" s="25" t="n">
        <f aca="false">SUMIFS(데이터_품목별!$H$3:$H$2984,데이터_품목별!$E$3:$E$2984,"23",데이터_품목별!$B$3:$B$2984,2026,데이터_품목별!$C$3:$C$2984,"&lt;=7")</f>
        <v>206620</v>
      </c>
      <c r="U49" s="36" t="n">
        <f aca="false">IFERROR(T49/S49-1,"-")</f>
        <v>0.0598451934568844</v>
      </c>
      <c r="V49" s="34" t="n">
        <f aca="false">(T49-S49)/(SUMIFS(데이터_총괄!$H$3:$H$33,데이터_총괄!$B$3:$B$33,2026,데이터_총괄!$C$3:$C$33,"&lt;=7")-SUMIFS(데이터_총괄!$H$3:$H$33,데이터_총괄!$B$3:$B$33,2025,데이터_총괄!$C$3:$C$33,"&lt;=7"))</f>
        <v>5.84302231503659E-005</v>
      </c>
      <c r="W49" s="24" t="n">
        <f aca="false">SUMIFS(데이터_품목별!$G$3:$G$2984,데이터_품목별!$E$3:$E$2984,"23",데이터_품목별!$B$3:$B$2984,2026,데이터_품목별!$C$3:$C$2984,"&lt;=7")</f>
        <v>185499.4</v>
      </c>
      <c r="X49" s="36" t="n">
        <f aca="false">IFERROR((T49/W49)/(S49/SUMIFS(데이터_품목별!$G$3:$G$2984,데이터_품목별!$E$3:$E$2984,"23",데이터_품목별!$B$3:$B$2984,2025,데이터_품목별!$C$3:$C$2984,"&lt;=7"))-1,"-")</f>
        <v>0.0550755889864776</v>
      </c>
      <c r="Y49" s="67" t="str">
        <f aca="false">IF(OR(W49&lt;100,SUMIFS(데이터_품목별!$G$3:$G$2984,데이터_품목별!$E$3:$E$2984,"23",데이터_품목별!$B$3:$B$2984,2025,데이터_품목별!$C$3:$C$2984,"&lt;=7")&lt;100),"단가 불안정",IF(T49-S49&lt;0,"감소",IF(X49&gt;0.05,"가격 주도",IF(X49&lt;0.02,"물량 주도","혼합"))))</f>
        <v>가격 주도</v>
      </c>
      <c r="Z49" s="25" t="n">
        <f aca="false">SUMIFS(데이터_품목별!$J$3:$J$2984,데이터_품목별!$E$3:$E$2984,"23",데이터_품목별!$B$3:$B$2984,2026,데이터_품목별!$C$3:$C$2984,"&lt;=7")</f>
        <v>1335200</v>
      </c>
      <c r="AA49" s="25" t="n">
        <f aca="false">T49-Z49</f>
        <v>-1128580</v>
      </c>
      <c r="AB49" s="65" t="str">
        <f aca="false">IF(T49=0,"자료 없음",IF(U49&gt;1,"1~7월 2배 이상 급증. ",IF(U49&gt;0.5,"1~7월 +50% 초과 급증. ",IF(U49&gt;0.15,"1~7월 뚜렷한 증가. ",IF(U49&gt;0.02,"1~7월 소폭 증가. ",IF(U49&gt;-0.02,"1~7월 보합. ",IF(U49&gt;-0.15,"1~7월 소폭 감소. ","1~7월 뚜렷한 감소. "))))))&amp;"월별로는 "&amp;COUNTIF(E49:K49,"&gt;0")&amp;"개월 증가·"&amp;COUNTIF(E49:K49,"&lt;0")&amp;"개월 감소"&amp;IF(COUNTIF(E49:K49,"&gt;0")=7," (7개월 내내 증가)",IF(COUNTIF(E49:K49,"&lt;0")=7," (7개월 내내 감소)",""))&amp;IFERROR(", 최대 "&amp;TEXT(MAX(E49:K49),"0.0%")&amp;"("&amp;SUBSTITUTE(INDEX($E$5:$K$5,MATCH(MAX(E49:K49),E49:K49,0))," YoY","")&amp;")","")&amp;IFERROR(", 최소 "&amp;TEXT(MIN(E49:K49),"0.0%")&amp;"("&amp;SUBSTITUTE(INDEX($E$5:$K$5,MATCH(MIN(E49:K49),E49:K49,0))," YoY","")&amp;")","")&amp;". "&amp;IF(Y49="가격 주도","단가 상승이 주도. ",IF(Y49="물량 주도","물량 확대가 주도. ",IF(Y49="혼합","물량·단가 동반. ",IF(Y49="감소","감소 품목. ","단가 해석 유보. "))))&amp;IF(V49&gt;0.05,"전체 증가의 5% 이상을 설명하는 대형 품목.",IF(V49&gt;0.005,"전체 증가에 의미 있게 기여.",IF(T49/SUMIFS(데이터_총괄!$H$3:$H$33,데이터_총괄!$B$3:$B$33,2026,데이터_총괄!$C$3:$C$33,"&lt;=7")&lt;0.001,"규모가 작아 총량 영향은 미미.","총량 영향은 제한적."))))</f>
        <v>1~7월 소폭 증가. 월별로는 5개월 증가·2개월 감소, 최대 18.0%(2026.03), 최소 -18.2%(2026.07). 단가 상승이 주도. 규모가 작아 총량 영향은 미미.</v>
      </c>
    </row>
    <row r="50" customFormat="false" ht="33.75" hidden="false" customHeight="true" outlineLevel="0" collapsed="false">
      <c r="A50" s="67" t="s">
        <v>19806</v>
      </c>
      <c r="B50" s="68" t="s">
        <v>450</v>
      </c>
      <c r="C50" s="65" t="str">
        <f aca="false">IFERROR(INDEX(데이터_품목별!$F$3:$F$2984,MATCH($B50,데이터_품목별!$E$3:$E$2984,0)),"")</f>
        <v>육류ㆍ어류ㆍ갑각류ㆍ연체동물이나 그 밖의 수생(水生) 무척추동물 또는 곤충의 조제품</v>
      </c>
      <c r="D50" s="69" t="s">
        <v>20025</v>
      </c>
      <c r="E50" s="59" t="n">
        <f aca="false">IFERROR(분석4B_월별매트릭스!AA21/분석4B_월별매트릭스!O21-1,"-")</f>
        <v>0.233549266962155</v>
      </c>
      <c r="F50" s="59" t="n">
        <f aca="false">IFERROR(분석4B_월별매트릭스!AB21/분석4B_월별매트릭스!P21-1,"-")</f>
        <v>-0.207869872024877</v>
      </c>
      <c r="G50" s="59" t="n">
        <f aca="false">IFERROR(분석4B_월별매트릭스!AC21/분석4B_월별매트릭스!Q21-1,"-")</f>
        <v>0.0914734270495414</v>
      </c>
      <c r="H50" s="59" t="n">
        <f aca="false">IFERROR(분석4B_월별매트릭스!AD21/분석4B_월별매트릭스!R21-1,"-")</f>
        <v>0.0727990019219746</v>
      </c>
      <c r="I50" s="59" t="n">
        <f aca="false">IFERROR(분석4B_월별매트릭스!AE21/분석4B_월별매트릭스!S21-1,"-")</f>
        <v>0.137939854569372</v>
      </c>
      <c r="J50" s="59" t="n">
        <f aca="false">IFERROR(분석4B_월별매트릭스!AF21/분석4B_월별매트릭스!T21-1,"-")</f>
        <v>0.175309724810876</v>
      </c>
      <c r="K50" s="59" t="n">
        <f aca="false">IFERROR(분석4B_월별매트릭스!AG21/분석4B_월별매트릭스!U21-1,"-")</f>
        <v>-0.0368860880882252</v>
      </c>
      <c r="L50" s="57" t="n">
        <f aca="false">분석4B_월별매트릭스!AA21-분석4B_월별매트릭스!O21</f>
        <v>4795</v>
      </c>
      <c r="M50" s="57" t="n">
        <f aca="false">분석4B_월별매트릭스!AB21-분석4B_월별매트릭스!P21</f>
        <v>-5214</v>
      </c>
      <c r="N50" s="57" t="n">
        <f aca="false">분석4B_월별매트릭스!AC21-분석4B_월별매트릭스!Q21</f>
        <v>2284</v>
      </c>
      <c r="O50" s="57" t="n">
        <f aca="false">분석4B_월별매트릭스!AD21-분석4B_월별매트릭스!R21</f>
        <v>2159</v>
      </c>
      <c r="P50" s="57" t="n">
        <f aca="false">분석4B_월별매트릭스!AE21-분석4B_월별매트릭스!S21</f>
        <v>3775</v>
      </c>
      <c r="Q50" s="57" t="n">
        <f aca="false">분석4B_월별매트릭스!AF21-분석4B_월별매트릭스!T21</f>
        <v>4797</v>
      </c>
      <c r="R50" s="57" t="n">
        <f aca="false">분석4B_월별매트릭스!AG21-분석4B_월별매트릭스!U21</f>
        <v>-1077</v>
      </c>
      <c r="S50" s="25" t="n">
        <f aca="false">SUMIFS(데이터_품목별!$H$3:$H$2984,데이터_품목별!$E$3:$E$2984,"16",데이터_품목별!$B$3:$B$2984,2025,데이터_품목별!$C$3:$C$2984,"&lt;=7")</f>
        <v>184168</v>
      </c>
      <c r="T50" s="25" t="n">
        <f aca="false">SUMIFS(데이터_품목별!$H$3:$H$2984,데이터_품목별!$E$3:$E$2984,"16",데이터_품목별!$B$3:$B$2984,2026,데이터_품목별!$C$3:$C$2984,"&lt;=7")</f>
        <v>195687</v>
      </c>
      <c r="U50" s="36" t="n">
        <f aca="false">IFERROR(T50/S50-1,"-")</f>
        <v>0.0625461535120109</v>
      </c>
      <c r="V50" s="34" t="n">
        <f aca="false">(T50-S50)/(SUMIFS(데이터_총괄!$H$3:$H$33,데이터_총괄!$B$3:$B$33,2026,데이터_총괄!$C$3:$C$33,"&lt;=7")-SUMIFS(데이터_총괄!$H$3:$H$33,데이터_총괄!$B$3:$B$33,2025,데이터_총괄!$C$3:$C$33,"&lt;=7"))</f>
        <v>5.76890152111995E-005</v>
      </c>
      <c r="W50" s="24" t="n">
        <f aca="false">SUMIFS(데이터_품목별!$G$3:$G$2984,데이터_품목별!$E$3:$E$2984,"16",데이터_품목별!$B$3:$B$2984,2026,데이터_품목별!$C$3:$C$2984,"&lt;=7")</f>
        <v>31109.3</v>
      </c>
      <c r="X50" s="36" t="n">
        <f aca="false">IFERROR((T50/W50)/(S50/SUMIFS(데이터_품목별!$G$3:$G$2984,데이터_품목별!$E$3:$E$2984,"16",데이터_품목별!$B$3:$B$2984,2025,데이터_품목별!$C$3:$C$2984,"&lt;=7"))-1,"-")</f>
        <v>0.0496696214179415</v>
      </c>
      <c r="Y50" s="67" t="str">
        <f aca="false">IF(OR(W50&lt;100,SUMIFS(데이터_품목별!$G$3:$G$2984,데이터_품목별!$E$3:$E$2984,"16",데이터_품목별!$B$3:$B$2984,2025,데이터_품목별!$C$3:$C$2984,"&lt;=7")&lt;100),"단가 불안정",IF(T50-S50&lt;0,"감소",IF(X50&gt;0.05,"가격 주도",IF(X50&lt;0.02,"물량 주도","혼합"))))</f>
        <v>혼합</v>
      </c>
      <c r="Z50" s="25" t="n">
        <f aca="false">SUMIFS(데이터_품목별!$J$3:$J$2984,데이터_품목별!$E$3:$E$2984,"16",데이터_품목별!$B$3:$B$2984,2026,데이터_품목별!$C$3:$C$2984,"&lt;=7")</f>
        <v>592988</v>
      </c>
      <c r="AA50" s="25" t="n">
        <f aca="false">T50-Z50</f>
        <v>-397301</v>
      </c>
      <c r="AB50" s="65" t="str">
        <f aca="false">IF(T50=0,"자료 없음",IF(U50&gt;1,"1~7월 2배 이상 급증. ",IF(U50&gt;0.5,"1~7월 +50% 초과 급증. ",IF(U50&gt;0.15,"1~7월 뚜렷한 증가. ",IF(U50&gt;0.02,"1~7월 소폭 증가. ",IF(U50&gt;-0.02,"1~7월 보합. ",IF(U50&gt;-0.15,"1~7월 소폭 감소. ","1~7월 뚜렷한 감소. "))))))&amp;"월별로는 "&amp;COUNTIF(E50:K50,"&gt;0")&amp;"개월 증가·"&amp;COUNTIF(E50:K50,"&lt;0")&amp;"개월 감소"&amp;IF(COUNTIF(E50:K50,"&gt;0")=7," (7개월 내내 증가)",IF(COUNTIF(E50:K50,"&lt;0")=7," (7개월 내내 감소)",""))&amp;IFERROR(", 최대 "&amp;TEXT(MAX(E50:K50),"0.0%")&amp;"("&amp;SUBSTITUTE(INDEX($E$5:$K$5,MATCH(MAX(E50:K50),E50:K50,0))," YoY","")&amp;")","")&amp;IFERROR(", 최소 "&amp;TEXT(MIN(E50:K50),"0.0%")&amp;"("&amp;SUBSTITUTE(INDEX($E$5:$K$5,MATCH(MIN(E50:K50),E50:K50,0))," YoY","")&amp;")","")&amp;". "&amp;IF(Y50="가격 주도","단가 상승이 주도. ",IF(Y50="물량 주도","물량 확대가 주도. ",IF(Y50="혼합","물량·단가 동반. ",IF(Y50="감소","감소 품목. ","단가 해석 유보. "))))&amp;IF(V50&gt;0.05,"전체 증가의 5% 이상을 설명하는 대형 품목.",IF(V50&gt;0.005,"전체 증가에 의미 있게 기여.",IF(T50/SUMIFS(데이터_총괄!$H$3:$H$33,데이터_총괄!$B$3:$B$33,2026,데이터_총괄!$C$3:$C$33,"&lt;=7")&lt;0.001,"규모가 작아 총량 영향은 미미.","총량 영향은 제한적."))))</f>
        <v>1~7월 소폭 증가. 월별로는 5개월 증가·2개월 감소, 최대 23.4%(2026.01), 최소 -20.8%(2026.02). 물량·단가 동반. 규모가 작아 총량 영향은 미미.</v>
      </c>
    </row>
    <row r="51" customFormat="false" ht="33.75" hidden="false" customHeight="true" outlineLevel="0" collapsed="false">
      <c r="A51" s="67" t="s">
        <v>19806</v>
      </c>
      <c r="B51" s="68" t="s">
        <v>492</v>
      </c>
      <c r="C51" s="65" t="str">
        <f aca="false">IFERROR(INDEX(데이터_품목별!$F$3:$F$2984,MATCH($B51,데이터_품목별!$E$3:$E$2984,0)),"")</f>
        <v>음료ㆍ주류ㆍ식초</v>
      </c>
      <c r="D51" s="69" t="s">
        <v>20026</v>
      </c>
      <c r="E51" s="59" t="n">
        <f aca="false">IFERROR(분석4B_월별매트릭스!AA27/분석4B_월별매트릭스!O27-1,"-")</f>
        <v>0.177848553399214</v>
      </c>
      <c r="F51" s="59" t="n">
        <f aca="false">IFERROR(분석4B_월별매트릭스!AB27/분석4B_월별매트릭스!P27-1,"-")</f>
        <v>-0.177103255855815</v>
      </c>
      <c r="G51" s="59" t="n">
        <f aca="false">IFERROR(분석4B_월별매트릭스!AC27/분석4B_월별매트릭스!Q27-1,"-")</f>
        <v>0.104669759310215</v>
      </c>
      <c r="H51" s="59" t="n">
        <f aca="false">IFERROR(분석4B_월별매트릭스!AD27/분석4B_월별매트릭스!R27-1,"-")</f>
        <v>0.061310006565481</v>
      </c>
      <c r="I51" s="59" t="n">
        <f aca="false">IFERROR(분석4B_월별매트릭스!AE27/분석4B_월별매트릭스!S27-1,"-")</f>
        <v>-0.108914595425405</v>
      </c>
      <c r="J51" s="59" t="n">
        <f aca="false">IFERROR(분석4B_월별매트릭스!AF27/분석4B_월별매트릭스!T27-1,"-")</f>
        <v>0.0668993105796238</v>
      </c>
      <c r="K51" s="59" t="n">
        <f aca="false">IFERROR(분석4B_월별매트릭스!AG27/분석4B_월별매트릭스!U27-1,"-")</f>
        <v>0.0272830808615285</v>
      </c>
      <c r="L51" s="57" t="n">
        <f aca="false">분석4B_월별매트릭스!AA27-분석4B_월별매트릭스!O27</f>
        <v>11950</v>
      </c>
      <c r="M51" s="57" t="n">
        <f aca="false">분석4B_월별매트릭스!AB27-분석4B_월별매트릭스!P27</f>
        <v>-15742</v>
      </c>
      <c r="N51" s="57" t="n">
        <f aca="false">분석4B_월별매트릭스!AC27-분석4B_월별매트릭스!Q27</f>
        <v>10537</v>
      </c>
      <c r="O51" s="57" t="n">
        <f aca="false">분석4B_월별매트릭스!AD27-분석4B_월별매트릭스!R27</f>
        <v>6350</v>
      </c>
      <c r="P51" s="57" t="n">
        <f aca="false">분석4B_월별매트릭스!AE27-분석4B_월별매트릭스!S27</f>
        <v>-10771</v>
      </c>
      <c r="Q51" s="57" t="n">
        <f aca="false">분석4B_월별매트릭스!AF27-분석4B_월별매트릭스!T27</f>
        <v>6288</v>
      </c>
      <c r="R51" s="57" t="n">
        <f aca="false">분석4B_월별매트릭스!AG27-분석4B_월별매트릭스!U27</f>
        <v>2707</v>
      </c>
      <c r="S51" s="25" t="n">
        <f aca="false">SUMIFS(데이터_품목별!$H$3:$H$2984,데이터_품목별!$E$3:$E$2984,"22",데이터_품목별!$B$3:$B$2984,2025,데이터_품목별!$C$3:$C$2984,"&lt;=7")</f>
        <v>652424</v>
      </c>
      <c r="T51" s="25" t="n">
        <f aca="false">SUMIFS(데이터_품목별!$H$3:$H$2984,데이터_품목별!$E$3:$E$2984,"22",데이터_품목별!$B$3:$B$2984,2026,데이터_품목별!$C$3:$C$2984,"&lt;=7")</f>
        <v>663743</v>
      </c>
      <c r="U51" s="36" t="n">
        <f aca="false">IFERROR(T51/S51-1,"-")</f>
        <v>0.0173491471803613</v>
      </c>
      <c r="V51" s="34" t="n">
        <f aca="false">(T51-S51)/(SUMIFS(데이터_총괄!$H$3:$H$33,데이터_총괄!$B$3:$B$33,2026,데이터_총괄!$C$3:$C$33,"&lt;=7")-SUMIFS(데이터_총괄!$H$3:$H$33,데이터_총괄!$B$3:$B$33,2025,데이터_총괄!$C$3:$C$33,"&lt;=7"))</f>
        <v>5.66873828609747E-005</v>
      </c>
      <c r="W51" s="24" t="n">
        <f aca="false">SUMIFS(데이터_품목별!$G$3:$G$2984,데이터_품목별!$E$3:$E$2984,"22",데이터_품목별!$B$3:$B$2984,2026,데이터_품목별!$C$3:$C$2984,"&lt;=7")</f>
        <v>570749.1</v>
      </c>
      <c r="X51" s="36" t="n">
        <f aca="false">IFERROR((T51/W51)/(S51/SUMIFS(데이터_품목별!$G$3:$G$2984,데이터_품목별!$E$3:$E$2984,"22",데이터_품목별!$B$3:$B$2984,2025,데이터_품목별!$C$3:$C$2984,"&lt;=7"))-1,"-")</f>
        <v>-0.0295669875944287</v>
      </c>
      <c r="Y51" s="67" t="str">
        <f aca="false">IF(OR(W51&lt;100,SUMIFS(데이터_품목별!$G$3:$G$2984,데이터_품목별!$E$3:$E$2984,"22",데이터_품목별!$B$3:$B$2984,2025,데이터_품목별!$C$3:$C$2984,"&lt;=7")&lt;100),"단가 불안정",IF(T51-S51&lt;0,"감소",IF(X51&gt;0.05,"가격 주도",IF(X51&lt;0.02,"물량 주도","혼합"))))</f>
        <v>물량 주도</v>
      </c>
      <c r="Z51" s="25" t="n">
        <f aca="false">SUMIFS(데이터_품목별!$J$3:$J$2984,데이터_품목별!$E$3:$E$2984,"22",데이터_품목별!$B$3:$B$2984,2026,데이터_품목별!$C$3:$C$2984,"&lt;=7")</f>
        <v>867937</v>
      </c>
      <c r="AA51" s="25" t="n">
        <f aca="false">T51-Z51</f>
        <v>-204194</v>
      </c>
      <c r="AB51" s="65" t="str">
        <f aca="false">IF(T51=0,"자료 없음",IF(U51&gt;1,"1~7월 2배 이상 급증. ",IF(U51&gt;0.5,"1~7월 +50% 초과 급증. ",IF(U51&gt;0.15,"1~7월 뚜렷한 증가. ",IF(U51&gt;0.02,"1~7월 소폭 증가. ",IF(U51&gt;-0.02,"1~7월 보합. ",IF(U51&gt;-0.15,"1~7월 소폭 감소. ","1~7월 뚜렷한 감소. "))))))&amp;"월별로는 "&amp;COUNTIF(E51:K51,"&gt;0")&amp;"개월 증가·"&amp;COUNTIF(E51:K51,"&lt;0")&amp;"개월 감소"&amp;IF(COUNTIF(E51:K51,"&gt;0")=7," (7개월 내내 증가)",IF(COUNTIF(E51:K51,"&lt;0")=7," (7개월 내내 감소)",""))&amp;IFERROR(", 최대 "&amp;TEXT(MAX(E51:K51),"0.0%")&amp;"("&amp;SUBSTITUTE(INDEX($E$5:$K$5,MATCH(MAX(E51:K51),E51:K51,0))," YoY","")&amp;")","")&amp;IFERROR(", 최소 "&amp;TEXT(MIN(E51:K51),"0.0%")&amp;"("&amp;SUBSTITUTE(INDEX($E$5:$K$5,MATCH(MIN(E51:K51),E51:K51,0))," YoY","")&amp;")","")&amp;". "&amp;IF(Y51="가격 주도","단가 상승이 주도. ",IF(Y51="물량 주도","물량 확대가 주도. ",IF(Y51="혼합","물량·단가 동반. ",IF(Y51="감소","감소 품목. ","단가 해석 유보. "))))&amp;IF(V51&gt;0.05,"전체 증가의 5% 이상을 설명하는 대형 품목.",IF(V51&gt;0.005,"전체 증가에 의미 있게 기여.",IF(T51/SUMIFS(데이터_총괄!$H$3:$H$33,데이터_총괄!$B$3:$B$33,2026,데이터_총괄!$C$3:$C$33,"&lt;=7")&lt;0.001,"규모가 작아 총량 영향은 미미.","총량 영향은 제한적."))))</f>
        <v>1~7월 보합. 월별로는 5개월 증가·2개월 감소, 최대 17.8%(2026.01), 최소 -17.7%(2026.02). 물량 확대가 주도. 총량 영향은 제한적.</v>
      </c>
    </row>
    <row r="52" customFormat="false" ht="33.75" hidden="false" customHeight="true" outlineLevel="0" collapsed="false">
      <c r="A52" s="67" t="s">
        <v>19818</v>
      </c>
      <c r="B52" s="68" t="s">
        <v>667</v>
      </c>
      <c r="C52" s="65" t="str">
        <f aca="false">IFERROR(INDEX(데이터_품목별!$F$3:$F$2984,MATCH($B52,데이터_품목별!$E$3:$E$2984,0)),"")</f>
        <v>목재나 그 밖의 섬유질 셀룰로오스재료의 펄프, 회수한 종이ㆍ판지[웨이스트(waste)와 스크랩(scrap)]</v>
      </c>
      <c r="D52" s="69" t="s">
        <v>20027</v>
      </c>
      <c r="E52" s="59" t="n">
        <f aca="false">IFERROR(분석4B_월별매트릭스!AA52/분석4B_월별매트릭스!O52-1,"-")</f>
        <v>0.412241887905605</v>
      </c>
      <c r="F52" s="59" t="n">
        <f aca="false">IFERROR(분석4B_월별매트릭스!AB52/분석4B_월별매트릭스!P52-1,"-")</f>
        <v>-0.0050638738635056</v>
      </c>
      <c r="G52" s="59" t="n">
        <f aca="false">IFERROR(분석4B_월별매트릭스!AC52/분석4B_월별매트릭스!Q52-1,"-")</f>
        <v>0.419754571703561</v>
      </c>
      <c r="H52" s="59" t="n">
        <f aca="false">IFERROR(분석4B_월별매트릭스!AD52/분석4B_월별매트릭스!R52-1,"-")</f>
        <v>0.0462868296310066</v>
      </c>
      <c r="I52" s="59" t="n">
        <f aca="false">IFERROR(분석4B_월별매트릭스!AE52/분석4B_월별매트릭스!S52-1,"-")</f>
        <v>0.347136222910217</v>
      </c>
      <c r="J52" s="59" t="n">
        <f aca="false">IFERROR(분석4B_월별매트릭스!AF52/분석4B_월별매트릭스!T52-1,"-")</f>
        <v>0.365314215985357</v>
      </c>
      <c r="K52" s="59" t="n">
        <f aca="false">IFERROR(분석4B_월별매트릭스!AG52/분석4B_월별매트릭스!U52-1,"-")</f>
        <v>-0.0691037735849057</v>
      </c>
      <c r="L52" s="57" t="n">
        <f aca="false">분석4B_월별매트릭스!AA52-분석4B_월별매트릭스!O52</f>
        <v>2795</v>
      </c>
      <c r="M52" s="57" t="n">
        <f aca="false">분석4B_월별매트릭스!AB52-분석4B_월별매트릭스!P52</f>
        <v>-44</v>
      </c>
      <c r="N52" s="57" t="n">
        <f aca="false">분석4B_월별매트릭스!AC52-분석4B_월별매트릭스!Q52</f>
        <v>3489</v>
      </c>
      <c r="O52" s="57" t="n">
        <f aca="false">분석4B_월별매트릭스!AD52-분석4B_월별매트릭스!R52</f>
        <v>498</v>
      </c>
      <c r="P52" s="57" t="n">
        <f aca="false">분석4B_월별매트릭스!AE52-분석4B_월별매트릭스!S52</f>
        <v>2691</v>
      </c>
      <c r="Q52" s="57" t="n">
        <f aca="false">분석4B_월별매트릭스!AF52-분석4B_월별매트릭스!T52</f>
        <v>2395</v>
      </c>
      <c r="R52" s="57" t="n">
        <f aca="false">분석4B_월별매트릭스!AG52-분석4B_월별매트릭스!U52</f>
        <v>-586</v>
      </c>
      <c r="S52" s="25" t="n">
        <f aca="false">SUMIFS(데이터_품목별!$H$3:$H$2984,데이터_품목별!$E$3:$E$2984,"47",데이터_품목별!$B$3:$B$2984,2025,데이터_품목별!$C$3:$C$2984,"&lt;=7")</f>
        <v>57328</v>
      </c>
      <c r="T52" s="25" t="n">
        <f aca="false">SUMIFS(데이터_품목별!$H$3:$H$2984,데이터_품목별!$E$3:$E$2984,"47",데이터_품목별!$B$3:$B$2984,2026,데이터_품목별!$C$3:$C$2984,"&lt;=7")</f>
        <v>68566</v>
      </c>
      <c r="U52" s="36" t="n">
        <f aca="false">IFERROR(T52/S52-1,"-")</f>
        <v>0.196029863243092</v>
      </c>
      <c r="V52" s="34" t="n">
        <f aca="false">(T52-S52)/(SUMIFS(데이터_총괄!$H$3:$H$33,데이터_총괄!$B$3:$B$33,2026,데이터_총괄!$C$3:$C$33,"&lt;=7")-SUMIFS(데이터_총괄!$H$3:$H$33,데이터_총괄!$B$3:$B$33,2025,데이터_총괄!$C$3:$C$33,"&lt;=7"))</f>
        <v>5.62817217591336E-005</v>
      </c>
      <c r="W52" s="24" t="n">
        <f aca="false">SUMIFS(데이터_품목별!$G$3:$G$2984,데이터_품목별!$E$3:$E$2984,"47",데이터_품목별!$B$3:$B$2984,2026,데이터_품목별!$C$3:$C$2984,"&lt;=7")</f>
        <v>347855.9</v>
      </c>
      <c r="X52" s="36" t="n">
        <f aca="false">IFERROR((T52/W52)/(S52/SUMIFS(데이터_품목별!$G$3:$G$2984,데이터_품목별!$E$3:$E$2984,"47",데이터_품목별!$B$3:$B$2984,2025,데이터_품목별!$C$3:$C$2984,"&lt;=7"))-1,"-")</f>
        <v>0.128366012511532</v>
      </c>
      <c r="Y52" s="67" t="str">
        <f aca="false">IF(OR(W52&lt;100,SUMIFS(데이터_품목별!$G$3:$G$2984,데이터_품목별!$E$3:$E$2984,"47",데이터_품목별!$B$3:$B$2984,2025,데이터_품목별!$C$3:$C$2984,"&lt;=7")&lt;100),"단가 불안정",IF(T52-S52&lt;0,"감소",IF(X52&gt;0.05,"가격 주도",IF(X52&lt;0.02,"물량 주도","혼합"))))</f>
        <v>가격 주도</v>
      </c>
      <c r="Z52" s="25" t="n">
        <f aca="false">SUMIFS(데이터_품목별!$J$3:$J$2984,데이터_품목별!$E$3:$E$2984,"47",데이터_품목별!$B$3:$B$2984,2026,데이터_품목별!$C$3:$C$2984,"&lt;=7")</f>
        <v>781746</v>
      </c>
      <c r="AA52" s="25" t="n">
        <f aca="false">T52-Z52</f>
        <v>-713180</v>
      </c>
      <c r="AB52" s="65" t="str">
        <f aca="false">IF(T52=0,"자료 없음",IF(U52&gt;1,"1~7월 2배 이상 급증. ",IF(U52&gt;0.5,"1~7월 +50% 초과 급증. ",IF(U52&gt;0.15,"1~7월 뚜렷한 증가. ",IF(U52&gt;0.02,"1~7월 소폭 증가. ",IF(U52&gt;-0.02,"1~7월 보합. ",IF(U52&gt;-0.15,"1~7월 소폭 감소. ","1~7월 뚜렷한 감소. "))))))&amp;"월별로는 "&amp;COUNTIF(E52:K52,"&gt;0")&amp;"개월 증가·"&amp;COUNTIF(E52:K52,"&lt;0")&amp;"개월 감소"&amp;IF(COUNTIF(E52:K52,"&gt;0")=7," (7개월 내내 증가)",IF(COUNTIF(E52:K52,"&lt;0")=7," (7개월 내내 감소)",""))&amp;IFERROR(", 최대 "&amp;TEXT(MAX(E52:K52),"0.0%")&amp;"("&amp;SUBSTITUTE(INDEX($E$5:$K$5,MATCH(MAX(E52:K52),E52:K52,0))," YoY","")&amp;")","")&amp;IFERROR(", 최소 "&amp;TEXT(MIN(E52:K52),"0.0%")&amp;"("&amp;SUBSTITUTE(INDEX($E$5:$K$5,MATCH(MIN(E52:K52),E52:K52,0))," YoY","")&amp;")","")&amp;". "&amp;IF(Y52="가격 주도","단가 상승이 주도. ",IF(Y52="물량 주도","물량 확대가 주도. ",IF(Y52="혼합","물량·단가 동반. ",IF(Y52="감소","감소 품목. ","단가 해석 유보. "))))&amp;IF(V52&gt;0.05,"전체 증가의 5% 이상을 설명하는 대형 품목.",IF(V52&gt;0.005,"전체 증가에 의미 있게 기여.",IF(T52/SUMIFS(데이터_총괄!$H$3:$H$33,데이터_총괄!$B$3:$B$33,2026,데이터_총괄!$C$3:$C$33,"&lt;=7")&lt;0.001,"규모가 작아 총량 영향은 미미.","총량 영향은 제한적."))))</f>
        <v>1~7월 뚜렷한 증가. 월별로는 5개월 증가·2개월 감소, 최대 42.0%(2026.03), 최소 -6.9%(2026.07). 단가 상승이 주도. 규모가 작아 총량 영향은 미미.</v>
      </c>
    </row>
    <row r="53" customFormat="false" ht="33.75" hidden="false" customHeight="true" outlineLevel="0" collapsed="false">
      <c r="A53" s="67" t="s">
        <v>19806</v>
      </c>
      <c r="B53" s="68" t="s">
        <v>485</v>
      </c>
      <c r="C53" s="65" t="str">
        <f aca="false">IFERROR(INDEX(데이터_품목별!$F$3:$F$2984,MATCH($B53,데이터_품목별!$E$3:$E$2984,0)),"")</f>
        <v>각종 조제 식료품</v>
      </c>
      <c r="D53" s="69" t="s">
        <v>20028</v>
      </c>
      <c r="E53" s="59" t="n">
        <f aca="false">IFERROR(분석4B_월별매트릭스!AA26/분석4B_월별매트릭스!O26-1,"-")</f>
        <v>0.203669578397351</v>
      </c>
      <c r="F53" s="59" t="n">
        <f aca="false">IFERROR(분석4B_월별매트릭스!AB26/분석4B_월별매트릭스!P26-1,"-")</f>
        <v>-0.0486412391624688</v>
      </c>
      <c r="G53" s="59" t="n">
        <f aca="false">IFERROR(분석4B_월별매트릭스!AC26/분석4B_월별매트릭스!Q26-1,"-")</f>
        <v>0.0425534564564938</v>
      </c>
      <c r="H53" s="59" t="n">
        <f aca="false">IFERROR(분석4B_월별매트릭스!AD26/분석4B_월별매트릭스!R26-1,"-")</f>
        <v>0.025355967737239</v>
      </c>
      <c r="I53" s="59" t="n">
        <f aca="false">IFERROR(분석4B_월별매트릭스!AE26/분석4B_월별매트릭스!S26-1,"-")</f>
        <v>-0.128466337312034</v>
      </c>
      <c r="J53" s="59" t="n">
        <f aca="false">IFERROR(분석4B_월별매트릭스!AF26/분석4B_월별매트릭스!T26-1,"-")</f>
        <v>0.0767165641361673</v>
      </c>
      <c r="K53" s="59" t="n">
        <f aca="false">IFERROR(분석4B_월별매트릭스!AG26/분석4B_월별매트릭스!U26-1,"-")</f>
        <v>-0.0682044036829062</v>
      </c>
      <c r="L53" s="57" t="n">
        <f aca="false">분석4B_월별매트릭스!AA26-분석4B_월별매트릭스!O26</f>
        <v>25531</v>
      </c>
      <c r="M53" s="57" t="n">
        <f aca="false">분석4B_월별매트릭스!AB26-분석4B_월별매트릭스!P26</f>
        <v>-7097</v>
      </c>
      <c r="N53" s="57" t="n">
        <f aca="false">분석4B_월별매트릭스!AC26-분석4B_월별매트릭스!Q26</f>
        <v>6834</v>
      </c>
      <c r="O53" s="57" t="n">
        <f aca="false">분석4B_월별매트릭스!AD26-분석4B_월별매트릭스!R26</f>
        <v>4354</v>
      </c>
      <c r="P53" s="57" t="n">
        <f aca="false">분석4B_월별매트릭스!AE26-분석4B_월별매트릭스!S26</f>
        <v>-21375</v>
      </c>
      <c r="Q53" s="57" t="n">
        <f aca="false">분석4B_월별매트릭스!AF26-분석4B_월별매트릭스!T26</f>
        <v>12059</v>
      </c>
      <c r="R53" s="57" t="n">
        <f aca="false">분석4B_월별매트릭스!AG26-분석4B_월별매트릭스!U26</f>
        <v>-11393</v>
      </c>
      <c r="S53" s="25" t="n">
        <f aca="false">SUMIFS(데이터_품목별!$H$3:$H$2984,데이터_품목별!$E$3:$E$2984,"21",데이터_품목별!$B$3:$B$2984,2025,데이터_품목별!$C$3:$C$2984,"&lt;=7")</f>
        <v>1094190</v>
      </c>
      <c r="T53" s="25" t="n">
        <f aca="false">SUMIFS(데이터_품목별!$H$3:$H$2984,데이터_품목별!$E$3:$E$2984,"21",데이터_품목별!$B$3:$B$2984,2026,데이터_품목별!$C$3:$C$2984,"&lt;=7")</f>
        <v>1103103</v>
      </c>
      <c r="U53" s="36" t="n">
        <f aca="false">IFERROR(T53/S53-1,"-")</f>
        <v>0.00814575165190679</v>
      </c>
      <c r="V53" s="34" t="n">
        <f aca="false">(T53-S53)/(SUMIFS(데이터_총괄!$H$3:$H$33,데이터_총괄!$B$3:$B$33,2026,데이터_총괄!$C$3:$C$33,"&lt;=7")-SUMIFS(데이터_총괄!$H$3:$H$33,데이터_총괄!$B$3:$B$33,2025,데이터_총괄!$C$3:$C$33,"&lt;=7"))</f>
        <v>4.46377456877699E-005</v>
      </c>
      <c r="W53" s="24" t="n">
        <f aca="false">SUMIFS(데이터_품목별!$G$3:$G$2984,데이터_품목별!$E$3:$E$2984,"21",데이터_품목별!$B$3:$B$2984,2026,데이터_품목별!$C$3:$C$2984,"&lt;=7")</f>
        <v>262334.9</v>
      </c>
      <c r="X53" s="36" t="n">
        <f aca="false">IFERROR((T53/W53)/(S53/SUMIFS(데이터_품목별!$G$3:$G$2984,데이터_품목별!$E$3:$E$2984,"21",데이터_품목별!$B$3:$B$2984,2025,데이터_품목별!$C$3:$C$2984,"&lt;=7"))-1,"-")</f>
        <v>-0.00917452446345246</v>
      </c>
      <c r="Y53" s="67" t="str">
        <f aca="false">IF(OR(W53&lt;100,SUMIFS(데이터_품목별!$G$3:$G$2984,데이터_품목별!$E$3:$E$2984,"21",데이터_품목별!$B$3:$B$2984,2025,데이터_품목별!$C$3:$C$2984,"&lt;=7")&lt;100),"단가 불안정",IF(T53-S53&lt;0,"감소",IF(X53&gt;0.05,"가격 주도",IF(X53&lt;0.02,"물량 주도","혼합"))))</f>
        <v>물량 주도</v>
      </c>
      <c r="Z53" s="25" t="n">
        <f aca="false">SUMIFS(데이터_품목별!$J$3:$J$2984,데이터_품목별!$E$3:$E$2984,"21",데이터_품목별!$B$3:$B$2984,2026,데이터_품목별!$C$3:$C$2984,"&lt;=7")</f>
        <v>1655356</v>
      </c>
      <c r="AA53" s="25" t="n">
        <f aca="false">T53-Z53</f>
        <v>-552253</v>
      </c>
      <c r="AB53" s="65" t="str">
        <f aca="false">IF(T53=0,"자료 없음",IF(U53&gt;1,"1~7월 2배 이상 급증. ",IF(U53&gt;0.5,"1~7월 +50% 초과 급증. ",IF(U53&gt;0.15,"1~7월 뚜렷한 증가. ",IF(U53&gt;0.02,"1~7월 소폭 증가. ",IF(U53&gt;-0.02,"1~7월 보합. ",IF(U53&gt;-0.15,"1~7월 소폭 감소. ","1~7월 뚜렷한 감소. "))))))&amp;"월별로는 "&amp;COUNTIF(E53:K53,"&gt;0")&amp;"개월 증가·"&amp;COUNTIF(E53:K53,"&lt;0")&amp;"개월 감소"&amp;IF(COUNTIF(E53:K53,"&gt;0")=7," (7개월 내내 증가)",IF(COUNTIF(E53:K53,"&lt;0")=7," (7개월 내내 감소)",""))&amp;IFERROR(", 최대 "&amp;TEXT(MAX(E53:K53),"0.0%")&amp;"("&amp;SUBSTITUTE(INDEX($E$5:$K$5,MATCH(MAX(E53:K53),E53:K53,0))," YoY","")&amp;")","")&amp;IFERROR(", 최소 "&amp;TEXT(MIN(E53:K53),"0.0%")&amp;"("&amp;SUBSTITUTE(INDEX($E$5:$K$5,MATCH(MIN(E53:K53),E53:K53,0))," YoY","")&amp;")","")&amp;". "&amp;IF(Y53="가격 주도","단가 상승이 주도. ",IF(Y53="물량 주도","물량 확대가 주도. ",IF(Y53="혼합","물량·단가 동반. ",IF(Y53="감소","감소 품목. ","단가 해석 유보. "))))&amp;IF(V53&gt;0.05,"전체 증가의 5% 이상을 설명하는 대형 품목.",IF(V53&gt;0.005,"전체 증가에 의미 있게 기여.",IF(T53/SUMIFS(데이터_총괄!$H$3:$H$33,데이터_총괄!$B$3:$B$33,2026,데이터_총괄!$C$3:$C$33,"&lt;=7")&lt;0.001,"규모가 작아 총량 영향은 미미.","총량 영향은 제한적."))))</f>
        <v>1~7월 보합. 월별로는 4개월 증가·3개월 감소, 최대 20.4%(2026.01), 최소 -12.8%(2026.05). 물량 확대가 주도. 총량 영향은 제한적.</v>
      </c>
    </row>
    <row r="54" customFormat="false" ht="33.75" hidden="false" customHeight="true" outlineLevel="0" collapsed="false">
      <c r="A54" s="67" t="s">
        <v>19816</v>
      </c>
      <c r="B54" s="68" t="s">
        <v>646</v>
      </c>
      <c r="C54" s="65" t="str">
        <f aca="false">IFERROR(INDEX(데이터_품목별!$F$3:$F$2984,MATCH($B54,데이터_품목별!$E$3:$E$2984,0)),"")</f>
        <v>목재와 그 제품, 목탄</v>
      </c>
      <c r="D54" s="69" t="s">
        <v>20029</v>
      </c>
      <c r="E54" s="59" t="n">
        <f aca="false">IFERROR(분석4B_월별매트릭스!AA49/분석4B_월별매트릭스!O49-1,"-")</f>
        <v>0.471098877831887</v>
      </c>
      <c r="F54" s="59" t="n">
        <f aca="false">IFERROR(분석4B_월별매트릭스!AB49/분석4B_월별매트릭스!P49-1,"-")</f>
        <v>0.19231538923354</v>
      </c>
      <c r="G54" s="59" t="n">
        <f aca="false">IFERROR(분석4B_월별매트릭스!AC49/분석4B_월별매트릭스!Q49-1,"-")</f>
        <v>0.245171339563863</v>
      </c>
      <c r="H54" s="59" t="n">
        <f aca="false">IFERROR(분석4B_월별매트릭스!AD49/분석4B_월별매트릭스!R49-1,"-")</f>
        <v>0.157995296884186</v>
      </c>
      <c r="I54" s="59" t="n">
        <f aca="false">IFERROR(분석4B_월별매트릭스!AE49/분석4B_월별매트릭스!S49-1,"-")</f>
        <v>0.292912740680049</v>
      </c>
      <c r="J54" s="59" t="n">
        <f aca="false">IFERROR(분석4B_월별매트릭스!AF49/분석4B_월별매트릭스!T49-1,"-")</f>
        <v>0.111738312346215</v>
      </c>
      <c r="K54" s="59" t="n">
        <f aca="false">IFERROR(분석4B_월별매트릭스!AG49/분석4B_월별매트릭스!U49-1,"-")</f>
        <v>0.0943977591036416</v>
      </c>
      <c r="L54" s="57" t="n">
        <f aca="false">분석4B_월별매트릭스!AA49-분석4B_월별매트릭스!O49</f>
        <v>2225</v>
      </c>
      <c r="M54" s="57" t="n">
        <f aca="false">분석4B_월별매트릭스!AB49-분석4B_월별매트릭스!P49</f>
        <v>961</v>
      </c>
      <c r="N54" s="57" t="n">
        <f aca="false">분석4B_월별매트릭스!AC49-분석4B_월별매트릭스!Q49</f>
        <v>1574</v>
      </c>
      <c r="O54" s="57" t="n">
        <f aca="false">분석4B_월별매트릭스!AD49-분석4B_월별매트릭스!R49</f>
        <v>1075</v>
      </c>
      <c r="P54" s="57" t="n">
        <f aca="false">분석4B_월별매트릭스!AE49-분석4B_월별매트릭스!S49</f>
        <v>1430</v>
      </c>
      <c r="Q54" s="57" t="n">
        <f aca="false">분석4B_월별매트릭스!AF49-분석4B_월별매트릭스!T49</f>
        <v>772</v>
      </c>
      <c r="R54" s="57" t="n">
        <f aca="false">분석4B_월별매트릭스!AG49-분석4B_월별매트릭스!U49</f>
        <v>674</v>
      </c>
      <c r="S54" s="25" t="n">
        <f aca="false">SUMIFS(데이터_품목별!$H$3:$H$2984,데이터_품목별!$E$3:$E$2984,"44",데이터_품목별!$B$3:$B$2984,2025,데이터_품목별!$C$3:$C$2984,"&lt;=7")</f>
        <v>41875</v>
      </c>
      <c r="T54" s="25" t="n">
        <f aca="false">SUMIFS(데이터_품목별!$H$3:$H$2984,데이터_품목별!$E$3:$E$2984,"44",데이터_품목별!$B$3:$B$2984,2026,데이터_품목별!$C$3:$C$2984,"&lt;=7")</f>
        <v>50586</v>
      </c>
      <c r="U54" s="36" t="n">
        <f aca="false">IFERROR(T54/S54-1,"-")</f>
        <v>0.208023880597015</v>
      </c>
      <c r="V54" s="34" t="n">
        <f aca="false">(T54-S54)/(SUMIFS(데이터_총괄!$H$3:$H$33,데이터_총괄!$B$3:$B$33,2026,데이터_총괄!$C$3:$C$33,"&lt;=7")-SUMIFS(데이터_총괄!$H$3:$H$33,데이터_총괄!$B$3:$B$33,2025,데이터_총괄!$C$3:$C$33,"&lt;=7"))</f>
        <v>4.36260970140428E-005</v>
      </c>
      <c r="W54" s="24" t="n">
        <f aca="false">SUMIFS(데이터_품목별!$G$3:$G$2984,데이터_품목별!$E$3:$E$2984,"44",데이터_품목별!$B$3:$B$2984,2026,데이터_품목별!$C$3:$C$2984,"&lt;=7")</f>
        <v>31886.5</v>
      </c>
      <c r="X54" s="36" t="n">
        <f aca="false">IFERROR((T54/W54)/(S54/SUMIFS(데이터_품목별!$G$3:$G$2984,데이터_품목별!$E$3:$E$2984,"44",데이터_품목별!$B$3:$B$2984,2025,데이터_품목별!$C$3:$C$2984,"&lt;=7"))-1,"-")</f>
        <v>0.107275980837818</v>
      </c>
      <c r="Y54" s="67" t="str">
        <f aca="false">IF(OR(W54&lt;100,SUMIFS(데이터_품목별!$G$3:$G$2984,데이터_품목별!$E$3:$E$2984,"44",데이터_품목별!$B$3:$B$2984,2025,데이터_품목별!$C$3:$C$2984,"&lt;=7")&lt;100),"단가 불안정",IF(T54-S54&lt;0,"감소",IF(X54&gt;0.05,"가격 주도",IF(X54&lt;0.02,"물량 주도","혼합"))))</f>
        <v>가격 주도</v>
      </c>
      <c r="Z54" s="25" t="n">
        <f aca="false">SUMIFS(데이터_품목별!$J$3:$J$2984,데이터_품목별!$E$3:$E$2984,"44",데이터_품목별!$B$3:$B$2984,2026,데이터_품목별!$C$3:$C$2984,"&lt;=7")</f>
        <v>1504104</v>
      </c>
      <c r="AA54" s="25" t="n">
        <f aca="false">T54-Z54</f>
        <v>-1453518</v>
      </c>
      <c r="AB54" s="65" t="str">
        <f aca="false">IF(T54=0,"자료 없음",IF(U54&gt;1,"1~7월 2배 이상 급증. ",IF(U54&gt;0.5,"1~7월 +50% 초과 급증. ",IF(U54&gt;0.15,"1~7월 뚜렷한 증가. ",IF(U54&gt;0.02,"1~7월 소폭 증가. ",IF(U54&gt;-0.02,"1~7월 보합. ",IF(U54&gt;-0.15,"1~7월 소폭 감소. ","1~7월 뚜렷한 감소. "))))))&amp;"월별로는 "&amp;COUNTIF(E54:K54,"&gt;0")&amp;"개월 증가·"&amp;COUNTIF(E54:K54,"&lt;0")&amp;"개월 감소"&amp;IF(COUNTIF(E54:K54,"&gt;0")=7," (7개월 내내 증가)",IF(COUNTIF(E54:K54,"&lt;0")=7," (7개월 내내 감소)",""))&amp;IFERROR(", 최대 "&amp;TEXT(MAX(E54:K54),"0.0%")&amp;"("&amp;SUBSTITUTE(INDEX($E$5:$K$5,MATCH(MAX(E54:K54),E54:K54,0))," YoY","")&amp;")","")&amp;IFERROR(", 최소 "&amp;TEXT(MIN(E54:K54),"0.0%")&amp;"("&amp;SUBSTITUTE(INDEX($E$5:$K$5,MATCH(MIN(E54:K54),E54:K54,0))," YoY","")&amp;")","")&amp;". "&amp;IF(Y54="가격 주도","단가 상승이 주도. ",IF(Y54="물량 주도","물량 확대가 주도. ",IF(Y54="혼합","물량·단가 동반. ",IF(Y54="감소","감소 품목. ","단가 해석 유보. "))))&amp;IF(V54&gt;0.05,"전체 증가의 5% 이상을 설명하는 대형 품목.",IF(V54&gt;0.005,"전체 증가에 의미 있게 기여.",IF(T54/SUMIFS(데이터_총괄!$H$3:$H$33,데이터_총괄!$B$3:$B$33,2026,데이터_총괄!$C$3:$C$33,"&lt;=7")&lt;0.001,"규모가 작아 총량 영향은 미미.","총량 영향은 제한적."))))</f>
        <v>1~7월 뚜렷한 증가. 월별로는 7개월 증가·0개월 감소 (7개월 내내 증가), 최대 47.1%(2026.01), 최소 9.4%(2026.07). 단가 상승이 주도. 규모가 작아 총량 영향은 미미.</v>
      </c>
    </row>
    <row r="55" customFormat="false" ht="33.75" hidden="false" customHeight="true" outlineLevel="0" collapsed="false">
      <c r="A55" s="67" t="s">
        <v>19800</v>
      </c>
      <c r="B55" s="68" t="s">
        <v>373</v>
      </c>
      <c r="C55" s="65" t="str">
        <f aca="false">IFERROR(INDEX(데이터_품목별!$F$3:$F$2984,MATCH($B55,데이터_품목별!$E$3:$E$2984,0)),"")</f>
        <v>다른 류로 분류되지 않은 동물성 생산품</v>
      </c>
      <c r="D55" s="69" t="s">
        <v>20030</v>
      </c>
      <c r="E55" s="59" t="n">
        <f aca="false">IFERROR(분석4B_월별매트릭스!AA10/분석4B_월별매트릭스!O10-1,"-")</f>
        <v>0.474104970455336</v>
      </c>
      <c r="F55" s="59" t="n">
        <f aca="false">IFERROR(분석4B_월별매트릭스!AB10/분석4B_월별매트릭스!P10-1,"-")</f>
        <v>-0.516521948866377</v>
      </c>
      <c r="G55" s="59" t="n">
        <f aca="false">IFERROR(분석4B_월별매트릭스!AC10/분석4B_월별매트릭스!Q10-1,"-")</f>
        <v>0.83566026759744</v>
      </c>
      <c r="H55" s="59" t="n">
        <f aca="false">IFERROR(분석4B_월별매트릭스!AD10/분석4B_월별매트릭스!R10-1,"-")</f>
        <v>0.252117447769622</v>
      </c>
      <c r="I55" s="59" t="n">
        <f aca="false">IFERROR(분석4B_월별매트릭스!AE10/분석4B_월별매트릭스!S10-1,"-")</f>
        <v>0.0329969384283932</v>
      </c>
      <c r="J55" s="59" t="n">
        <f aca="false">IFERROR(분석4B_월별매트릭스!AF10/분석4B_월별매트릭스!T10-1,"-")</f>
        <v>0.0668424673240082</v>
      </c>
      <c r="K55" s="59" t="n">
        <f aca="false">IFERROR(분석4B_월별매트릭스!AG10/분석4B_월별매트릭스!U10-1,"-")</f>
        <v>0.573301190296821</v>
      </c>
      <c r="L55" s="57" t="n">
        <f aca="false">분석4B_월별매트릭스!AA10-분석4B_월별매트릭스!O10</f>
        <v>1364</v>
      </c>
      <c r="M55" s="57" t="n">
        <f aca="false">분석4B_월별매트릭스!AB10-분석4B_월별매트릭스!P10</f>
        <v>-4283</v>
      </c>
      <c r="N55" s="57" t="n">
        <f aca="false">분석4B_월별매트릭스!AC10-분석4B_월별매트릭스!Q10</f>
        <v>2873</v>
      </c>
      <c r="O55" s="57" t="n">
        <f aca="false">분석4B_월별매트릭스!AD10-분석4B_월별매트릭스!R10</f>
        <v>1786</v>
      </c>
      <c r="P55" s="57" t="n">
        <f aca="false">분석4B_월별매트릭스!AE10-분석4B_월별매트릭스!S10</f>
        <v>291</v>
      </c>
      <c r="Q55" s="57" t="n">
        <f aca="false">분석4B_월별매트릭스!AF10-분석4B_월별매트릭스!T10</f>
        <v>583</v>
      </c>
      <c r="R55" s="57" t="n">
        <f aca="false">분석4B_월별매트릭스!AG10-분석4B_월별매트릭스!U10</f>
        <v>3805</v>
      </c>
      <c r="S55" s="25" t="n">
        <f aca="false">SUMIFS(데이터_품목별!$H$3:$H$2984,데이터_품목별!$E$3:$E$2984,"05",데이터_품목별!$B$3:$B$2984,2025,데이터_품목별!$C$3:$C$2984,"&lt;=7")</f>
        <v>45869</v>
      </c>
      <c r="T55" s="25" t="n">
        <f aca="false">SUMIFS(데이터_품목별!$H$3:$H$2984,데이터_품목별!$E$3:$E$2984,"05",데이터_품목별!$B$3:$B$2984,2026,데이터_품목별!$C$3:$C$2984,"&lt;=7")</f>
        <v>52288</v>
      </c>
      <c r="U55" s="36" t="n">
        <f aca="false">IFERROR(T55/S55-1,"-")</f>
        <v>0.139942008764089</v>
      </c>
      <c r="V55" s="34" t="n">
        <f aca="false">(T55-S55)/(SUMIFS(데이터_총괄!$H$3:$H$33,데이터_총괄!$B$3:$B$33,2026,데이터_총괄!$C$3:$C$33,"&lt;=7")-SUMIFS(데이터_총괄!$H$3:$H$33,데이터_총괄!$B$3:$B$33,2025,데이터_총괄!$C$3:$C$33,"&lt;=7"))</f>
        <v>3.21473902804662E-005</v>
      </c>
      <c r="W55" s="24" t="n">
        <f aca="false">SUMIFS(데이터_품목별!$G$3:$G$2984,데이터_품목별!$E$3:$E$2984,"05",데이터_품목별!$B$3:$B$2984,2026,데이터_품목별!$C$3:$C$2984,"&lt;=7")</f>
        <v>12854.2</v>
      </c>
      <c r="X55" s="36" t="n">
        <f aca="false">IFERROR((T55/W55)/(S55/SUMIFS(데이터_품목별!$G$3:$G$2984,데이터_품목별!$E$3:$E$2984,"05",데이터_품목별!$B$3:$B$2984,2025,데이터_품목별!$C$3:$C$2984,"&lt;=7"))-1,"-")</f>
        <v>0.271289592369486</v>
      </c>
      <c r="Y55" s="67" t="str">
        <f aca="false">IF(OR(W55&lt;100,SUMIFS(데이터_품목별!$G$3:$G$2984,데이터_품목별!$E$3:$E$2984,"05",데이터_품목별!$B$3:$B$2984,2025,데이터_품목별!$C$3:$C$2984,"&lt;=7")&lt;100),"단가 불안정",IF(T55-S55&lt;0,"감소",IF(X55&gt;0.05,"가격 주도",IF(X55&lt;0.02,"물량 주도","혼합"))))</f>
        <v>가격 주도</v>
      </c>
      <c r="Z55" s="25" t="n">
        <f aca="false">SUMIFS(데이터_품목별!$J$3:$J$2984,데이터_품목별!$E$3:$E$2984,"05",데이터_품목별!$B$3:$B$2984,2026,데이터_품목별!$C$3:$C$2984,"&lt;=7")</f>
        <v>131622</v>
      </c>
      <c r="AA55" s="25" t="n">
        <f aca="false">T55-Z55</f>
        <v>-79334</v>
      </c>
      <c r="AB55" s="65" t="str">
        <f aca="false">IF(T55=0,"자료 없음",IF(U55&gt;1,"1~7월 2배 이상 급증. ",IF(U55&gt;0.5,"1~7월 +50% 초과 급증. ",IF(U55&gt;0.15,"1~7월 뚜렷한 증가. ",IF(U55&gt;0.02,"1~7월 소폭 증가. ",IF(U55&gt;-0.02,"1~7월 보합. ",IF(U55&gt;-0.15,"1~7월 소폭 감소. ","1~7월 뚜렷한 감소. "))))))&amp;"월별로는 "&amp;COUNTIF(E55:K55,"&gt;0")&amp;"개월 증가·"&amp;COUNTIF(E55:K55,"&lt;0")&amp;"개월 감소"&amp;IF(COUNTIF(E55:K55,"&gt;0")=7," (7개월 내내 증가)",IF(COUNTIF(E55:K55,"&lt;0")=7," (7개월 내내 감소)",""))&amp;IFERROR(", 최대 "&amp;TEXT(MAX(E55:K55),"0.0%")&amp;"("&amp;SUBSTITUTE(INDEX($E$5:$K$5,MATCH(MAX(E55:K55),E55:K55,0))," YoY","")&amp;")","")&amp;IFERROR(", 최소 "&amp;TEXT(MIN(E55:K55),"0.0%")&amp;"("&amp;SUBSTITUTE(INDEX($E$5:$K$5,MATCH(MIN(E55:K55),E55:K55,0))," YoY","")&amp;")","")&amp;". "&amp;IF(Y55="가격 주도","단가 상승이 주도. ",IF(Y55="물량 주도","물량 확대가 주도. ",IF(Y55="혼합","물량·단가 동반. ",IF(Y55="감소","감소 품목. ","단가 해석 유보. "))))&amp;IF(V55&gt;0.05,"전체 증가의 5% 이상을 설명하는 대형 품목.",IF(V55&gt;0.005,"전체 증가에 의미 있게 기여.",IF(T55/SUMIFS(데이터_총괄!$H$3:$H$33,데이터_총괄!$B$3:$B$33,2026,데이터_총괄!$C$3:$C$33,"&lt;=7")&lt;0.001,"규모가 작아 총량 영향은 미미.","총량 영향은 제한적."))))</f>
        <v>1~7월 소폭 증가. 월별로는 6개월 증가·1개월 감소, 최대 83.6%(2026.03), 최소 -51.7%(2026.02). 단가 상승이 주도. 규모가 작아 총량 영향은 미미.</v>
      </c>
    </row>
    <row r="56" customFormat="false" ht="33.75" hidden="false" customHeight="true" outlineLevel="0" collapsed="false">
      <c r="A56" s="67" t="s">
        <v>19838</v>
      </c>
      <c r="B56" s="68" t="s">
        <v>1002</v>
      </c>
      <c r="C56" s="65" t="str">
        <f aca="false">IFERROR(INDEX(데이터_품목별!$F$3:$F$2984,MATCH($B56,데이터_품목별!$E$3:$E$2984,0)),"")</f>
        <v>잡품</v>
      </c>
      <c r="D56" s="69" t="s">
        <v>20031</v>
      </c>
      <c r="E56" s="59" t="n">
        <f aca="false">IFERROR(분석4B_월별매트릭스!AA100/분석4B_월별매트릭스!O100-1,"-")</f>
        <v>0.165459433813064</v>
      </c>
      <c r="F56" s="59" t="n">
        <f aca="false">IFERROR(분석4B_월별매트릭스!AB100/분석4B_월별매트릭스!P100-1,"-")</f>
        <v>-0.129394395230932</v>
      </c>
      <c r="G56" s="59" t="n">
        <f aca="false">IFERROR(분석4B_월별매트릭스!AC100/분석4B_월별매트릭스!Q100-1,"-")</f>
        <v>0.0206860158311346</v>
      </c>
      <c r="H56" s="59" t="n">
        <f aca="false">IFERROR(분석4B_월별매트릭스!AD100/분석4B_월별매트릭스!R100-1,"-")</f>
        <v>-0.030285946238499</v>
      </c>
      <c r="I56" s="59" t="n">
        <f aca="false">IFERROR(분석4B_월별매트릭스!AE100/분석4B_월별매트릭스!S100-1,"-")</f>
        <v>-0.0203921369946296</v>
      </c>
      <c r="J56" s="59" t="n">
        <f aca="false">IFERROR(분석4B_월별매트릭스!AF100/분석4B_월별매트릭스!T100-1,"-")</f>
        <v>0.141693502557303</v>
      </c>
      <c r="K56" s="59" t="n">
        <f aca="false">IFERROR(분석4B_월별매트릭스!AG100/분석4B_월별매트릭스!U100-1,"-")</f>
        <v>0.0447655139744196</v>
      </c>
      <c r="L56" s="57" t="n">
        <f aca="false">분석4B_월별매트릭스!AA100-분석4B_월별매트릭스!O100</f>
        <v>5231</v>
      </c>
      <c r="M56" s="57" t="n">
        <f aca="false">분석4B_월별매트릭스!AB100-분석4B_월별매트릭스!P100</f>
        <v>-4645</v>
      </c>
      <c r="N56" s="57" t="n">
        <f aca="false">분석4B_월별매트릭스!AC100-분석4B_월별매트릭스!Q100</f>
        <v>784</v>
      </c>
      <c r="O56" s="57" t="n">
        <f aca="false">분석4B_월별매트릭스!AD100-분석4B_월별매트릭스!R100</f>
        <v>-1343</v>
      </c>
      <c r="P56" s="57" t="n">
        <f aca="false">분석4B_월별매트릭스!AE100-분석4B_월별매트릭스!S100</f>
        <v>-805</v>
      </c>
      <c r="Q56" s="57" t="n">
        <f aca="false">분석4B_월별매트릭스!AF100-분석4B_월별매트릭스!T100</f>
        <v>5236</v>
      </c>
      <c r="R56" s="57" t="n">
        <f aca="false">분석4B_월별매트릭스!AG100-분석4B_월별매트릭스!U100</f>
        <v>1890</v>
      </c>
      <c r="S56" s="25" t="n">
        <f aca="false">SUMIFS(데이터_품목별!$H$3:$H$2984,데이터_품목별!$E$3:$E$2984,"96",데이터_품목별!$B$3:$B$2984,2025,데이터_품목별!$C$3:$C$2984,"&lt;=7")</f>
        <v>268406</v>
      </c>
      <c r="T56" s="25" t="n">
        <f aca="false">SUMIFS(데이터_품목별!$H$3:$H$2984,데이터_품목별!$E$3:$E$2984,"96",데이터_품목별!$B$3:$B$2984,2026,데이터_품목별!$C$3:$C$2984,"&lt;=7")</f>
        <v>274754</v>
      </c>
      <c r="U56" s="36" t="n">
        <f aca="false">IFERROR(T56/S56-1,"-")</f>
        <v>0.0236507380609972</v>
      </c>
      <c r="V56" s="34" t="n">
        <f aca="false">(T56-S56)/(SUMIFS(데이터_총괄!$H$3:$H$33,데이터_총괄!$B$3:$B$33,2026,데이터_총괄!$C$3:$C$33,"&lt;=7")-SUMIFS(데이터_총괄!$H$3:$H$33,데이터_총괄!$B$3:$B$33,2025,데이터_총괄!$C$3:$C$33,"&lt;=7"))</f>
        <v>3.17918107961364E-005</v>
      </c>
      <c r="W56" s="24" t="n">
        <f aca="false">SUMIFS(데이터_품목별!$G$3:$G$2984,데이터_품목별!$E$3:$E$2984,"96",데이터_품목별!$B$3:$B$2984,2026,데이터_품목별!$C$3:$C$2984,"&lt;=7")</f>
        <v>15693.3</v>
      </c>
      <c r="X56" s="36" t="n">
        <f aca="false">IFERROR((T56/W56)/(S56/SUMIFS(데이터_품목별!$G$3:$G$2984,데이터_품목별!$E$3:$E$2984,"96",데이터_품목별!$B$3:$B$2984,2025,데이터_품목별!$C$3:$C$2984,"&lt;=7"))-1,"-")</f>
        <v>0.0660036163098681</v>
      </c>
      <c r="Y56" s="67" t="str">
        <f aca="false">IF(OR(W56&lt;100,SUMIFS(데이터_품목별!$G$3:$G$2984,데이터_품목별!$E$3:$E$2984,"96",데이터_품목별!$B$3:$B$2984,2025,데이터_품목별!$C$3:$C$2984,"&lt;=7")&lt;100),"단가 불안정",IF(T56-S56&lt;0,"감소",IF(X56&gt;0.05,"가격 주도",IF(X56&lt;0.02,"물량 주도","혼합"))))</f>
        <v>가격 주도</v>
      </c>
      <c r="Z56" s="25" t="n">
        <f aca="false">SUMIFS(데이터_품목별!$J$3:$J$2984,데이터_품목별!$E$3:$E$2984,"96",데이터_품목별!$B$3:$B$2984,2026,데이터_품목별!$C$3:$C$2984,"&lt;=7")</f>
        <v>691008</v>
      </c>
      <c r="AA56" s="25" t="n">
        <f aca="false">T56-Z56</f>
        <v>-416254</v>
      </c>
      <c r="AB56" s="65" t="str">
        <f aca="false">IF(T56=0,"자료 없음",IF(U56&gt;1,"1~7월 2배 이상 급증. ",IF(U56&gt;0.5,"1~7월 +50% 초과 급증. ",IF(U56&gt;0.15,"1~7월 뚜렷한 증가. ",IF(U56&gt;0.02,"1~7월 소폭 증가. ",IF(U56&gt;-0.02,"1~7월 보합. ",IF(U56&gt;-0.15,"1~7월 소폭 감소. ","1~7월 뚜렷한 감소. "))))))&amp;"월별로는 "&amp;COUNTIF(E56:K56,"&gt;0")&amp;"개월 증가·"&amp;COUNTIF(E56:K56,"&lt;0")&amp;"개월 감소"&amp;IF(COUNTIF(E56:K56,"&gt;0")=7," (7개월 내내 증가)",IF(COUNTIF(E56:K56,"&lt;0")=7," (7개월 내내 감소)",""))&amp;IFERROR(", 최대 "&amp;TEXT(MAX(E56:K56),"0.0%")&amp;"("&amp;SUBSTITUTE(INDEX($E$5:$K$5,MATCH(MAX(E56:K56),E56:K56,0))," YoY","")&amp;")","")&amp;IFERROR(", 최소 "&amp;TEXT(MIN(E56:K56),"0.0%")&amp;"("&amp;SUBSTITUTE(INDEX($E$5:$K$5,MATCH(MIN(E56:K56),E56:K56,0))," YoY","")&amp;")","")&amp;". "&amp;IF(Y56="가격 주도","단가 상승이 주도. ",IF(Y56="물량 주도","물량 확대가 주도. ",IF(Y56="혼합","물량·단가 동반. ",IF(Y56="감소","감소 품목. ","단가 해석 유보. "))))&amp;IF(V56&gt;0.05,"전체 증가의 5% 이상을 설명하는 대형 품목.",IF(V56&gt;0.005,"전체 증가에 의미 있게 기여.",IF(T56/SUMIFS(데이터_총괄!$H$3:$H$33,데이터_총괄!$B$3:$B$33,2026,데이터_총괄!$C$3:$C$33,"&lt;=7")&lt;0.001,"규모가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16.5%(2026.01), 최소 -12.9%(2026.02). 단가 상승이 주도. 규모가 작아 총량 영향은 미미.</v>
      </c>
    </row>
    <row r="57" customFormat="false" ht="33.75" hidden="false" customHeight="true" outlineLevel="0" collapsed="false">
      <c r="A57" s="67" t="s">
        <v>19820</v>
      </c>
      <c r="B57" s="68" t="s">
        <v>751</v>
      </c>
      <c r="C57" s="65" t="str">
        <f aca="false">IFERROR(INDEX(데이터_품목별!$F$3:$F$2984,MATCH($B57,데이터_품목별!$E$3:$E$2984,0)),"")</f>
        <v>침투ㆍ도포ㆍ피복하거나 적층한 방직용 섬유의 직물, 공업용인 방직용 섬유제품</v>
      </c>
      <c r="D57" s="69" t="s">
        <v>20032</v>
      </c>
      <c r="E57" s="59" t="n">
        <f aca="false">IFERROR(분석4B_월별매트릭스!AA64/분석4B_월별매트릭스!O64-1,"-")</f>
        <v>0.11729783850639</v>
      </c>
      <c r="F57" s="59" t="n">
        <f aca="false">IFERROR(분석4B_월별매트릭스!AB64/분석4B_월별매트릭스!P64-1,"-")</f>
        <v>-0.201067223013501</v>
      </c>
      <c r="G57" s="59" t="n">
        <f aca="false">IFERROR(분석4B_월별매트릭스!AC64/분석4B_월별매트릭스!Q64-1,"-")</f>
        <v>-0.0179541460297172</v>
      </c>
      <c r="H57" s="59" t="n">
        <f aca="false">IFERROR(분석4B_월별매트릭스!AD64/분석4B_월별매트릭스!R64-1,"-")</f>
        <v>0.0783720015729454</v>
      </c>
      <c r="I57" s="59" t="n">
        <f aca="false">IFERROR(분석4B_월별매트릭스!AE64/분석4B_월별매트릭스!S64-1,"-")</f>
        <v>-0.0101363199275977</v>
      </c>
      <c r="J57" s="59" t="n">
        <f aca="false">IFERROR(분석4B_월별매트릭스!AF64/분석4B_월별매트릭스!T64-1,"-")</f>
        <v>0.0911909957505455</v>
      </c>
      <c r="K57" s="59" t="n">
        <f aca="false">IFERROR(분석4B_월별매트릭스!AG64/분석4B_월별매트릭스!U64-1,"-")</f>
        <v>0.0272247564558528</v>
      </c>
      <c r="L57" s="57" t="n">
        <f aca="false">분석4B_월별매트릭스!AA64-분석4B_월별매트릭스!O64</f>
        <v>9958</v>
      </c>
      <c r="M57" s="57" t="n">
        <f aca="false">분석4B_월별매트릭스!AB64-분석4B_월별매트릭스!P64</f>
        <v>-20046</v>
      </c>
      <c r="N57" s="57" t="n">
        <f aca="false">분석4B_월별매트릭스!AC64-분석4B_월별매트릭스!Q64</f>
        <v>-1798</v>
      </c>
      <c r="O57" s="57" t="n">
        <f aca="false">분석4B_월별매트릭스!AD64-분석4B_월별매트릭스!R64</f>
        <v>7972</v>
      </c>
      <c r="P57" s="57" t="n">
        <f aca="false">분석4B_월별매트릭스!AE64-분석4B_월별매트릭스!S64</f>
        <v>-896</v>
      </c>
      <c r="Q57" s="57" t="n">
        <f aca="false">분석4B_월별매트릭스!AF64-분석4B_월별매트릭스!T64</f>
        <v>7940</v>
      </c>
      <c r="R57" s="57" t="n">
        <f aca="false">분석4B_월별매트릭스!AG64-분석4B_월별매트릭스!U64</f>
        <v>2817</v>
      </c>
      <c r="S57" s="25" t="n">
        <f aca="false">SUMIFS(데이터_품목별!$H$3:$H$2984,데이터_품목별!$E$3:$E$2984,"59",데이터_품목별!$B$3:$B$2984,2025,데이터_품목별!$C$3:$C$2984,"&lt;=7")</f>
        <v>665394</v>
      </c>
      <c r="T57" s="25" t="n">
        <f aca="false">SUMIFS(데이터_품목별!$H$3:$H$2984,데이터_품목별!$E$3:$E$2984,"59",데이터_품목별!$B$3:$B$2984,2026,데이터_품목별!$C$3:$C$2984,"&lt;=7")</f>
        <v>671341</v>
      </c>
      <c r="U57" s="36" t="n">
        <f aca="false">IFERROR(T57/S57-1,"-")</f>
        <v>0.00893756180548677</v>
      </c>
      <c r="V57" s="34" t="n">
        <f aca="false">(T57-S57)/(SUMIFS(데이터_총괄!$H$3:$H$33,데이터_총괄!$B$3:$B$33,2026,데이터_총괄!$C$3:$C$33,"&lt;=7")-SUMIFS(데이터_총괄!$H$3:$H$33,데이터_총괄!$B$3:$B$33,2025,데이터_총괄!$C$3:$C$33,"&lt;=7"))</f>
        <v>2.97835379339356E-005</v>
      </c>
      <c r="W57" s="24" t="n">
        <f aca="false">SUMIFS(데이터_품목별!$G$3:$G$2984,데이터_품목별!$E$3:$E$2984,"59",데이터_품목별!$B$3:$B$2984,2026,데이터_품목별!$C$3:$C$2984,"&lt;=7")</f>
        <v>64829.4</v>
      </c>
      <c r="X57" s="36" t="n">
        <f aca="false">IFERROR((T57/W57)/(S57/SUMIFS(데이터_품목별!$G$3:$G$2984,데이터_품목별!$E$3:$E$2984,"59",데이터_품목별!$B$3:$B$2984,2025,데이터_품목별!$C$3:$C$2984,"&lt;=7"))-1,"-")</f>
        <v>-0.00315330424859805</v>
      </c>
      <c r="Y57" s="67" t="str">
        <f aca="false">IF(OR(W57&lt;100,SUMIFS(데이터_품목별!$G$3:$G$2984,데이터_품목별!$E$3:$E$2984,"59",데이터_품목별!$B$3:$B$2984,2025,데이터_품목별!$C$3:$C$2984,"&lt;=7")&lt;100),"단가 불안정",IF(T57-S57&lt;0,"감소",IF(X57&gt;0.05,"가격 주도",IF(X57&lt;0.02,"물량 주도","혼합"))))</f>
        <v>물량 주도</v>
      </c>
      <c r="Z57" s="25" t="n">
        <f aca="false">SUMIFS(데이터_품목별!$J$3:$J$2984,데이터_품목별!$E$3:$E$2984,"59",데이터_품목별!$B$3:$B$2984,2026,데이터_품목별!$C$3:$C$2984,"&lt;=7")</f>
        <v>259820</v>
      </c>
      <c r="AA57" s="25" t="n">
        <f aca="false">T57-Z57</f>
        <v>411521</v>
      </c>
      <c r="AB57" s="65" t="str">
        <f aca="false">IF(T57=0,"자료 없음",IF(U57&gt;1,"1~7월 2배 이상 급증. ",IF(U57&gt;0.5,"1~7월 +50% 초과 급증. ",IF(U57&gt;0.15,"1~7월 뚜렷한 증가. ",IF(U57&gt;0.02,"1~7월 소폭 증가. ",IF(U57&gt;-0.02,"1~7월 보합. ",IF(U57&gt;-0.15,"1~7월 소폭 감소. ","1~7월 뚜렷한 감소. "))))))&amp;"월별로는 "&amp;COUNTIF(E57:K57,"&gt;0")&amp;"개월 증가·"&amp;COUNTIF(E57:K57,"&lt;0")&amp;"개월 감소"&amp;IF(COUNTIF(E57:K57,"&gt;0")=7," (7개월 내내 증가)",IF(COUNTIF(E57:K57,"&lt;0")=7," (7개월 내내 감소)",""))&amp;IFERROR(", 최대 "&amp;TEXT(MAX(E57:K57),"0.0%")&amp;"("&amp;SUBSTITUTE(INDEX($E$5:$K$5,MATCH(MAX(E57:K57),E57:K57,0))," YoY","")&amp;")","")&amp;IFERROR(", 최소 "&amp;TEXT(MIN(E57:K57),"0.0%")&amp;"("&amp;SUBSTITUTE(INDEX($E$5:$K$5,MATCH(MIN(E57:K57),E57:K57,0))," YoY","")&amp;")","")&amp;". "&amp;IF(Y57="가격 주도","단가 상승이 주도. ",IF(Y57="물량 주도","물량 확대가 주도. ",IF(Y57="혼합","물량·단가 동반. ",IF(Y57="감소","감소 품목. ","단가 해석 유보. "))))&amp;IF(V57&gt;0.05,"전체 증가의 5% 이상을 설명하는 대형 품목.",IF(V57&gt;0.005,"전체 증가에 의미 있게 기여.",IF(T57/SUMIFS(데이터_총괄!$H$3:$H$33,데이터_총괄!$B$3:$B$33,2026,데이터_총괄!$C$3:$C$33,"&lt;=7")&lt;0.001,"규모가 작아 총량 영향은 미미.","총량 영향은 제한적."))))</f>
        <v>1~7월 보합. 월별로는 4개월 증가·3개월 감소, 최대 11.7%(2026.01), 최소 -20.1%(2026.02). 물량 확대가 주도. 총량 영향은 제한적.</v>
      </c>
    </row>
    <row r="58" customFormat="false" ht="33.75" hidden="false" customHeight="true" outlineLevel="0" collapsed="false">
      <c r="A58" s="67" t="s">
        <v>19820</v>
      </c>
      <c r="B58" s="68" t="s">
        <v>688</v>
      </c>
      <c r="C58" s="65" t="str">
        <f aca="false">IFERROR(INDEX(데이터_품목별!$F$3:$F$2984,MATCH($B58,데이터_품목별!$E$3:$E$2984,0)),"")</f>
        <v>견</v>
      </c>
      <c r="D58" s="69" t="s">
        <v>20033</v>
      </c>
      <c r="E58" s="59" t="n">
        <f aca="false">IFERROR(분석4B_월별매트릭스!AA55/분석4B_월별매트릭스!O55-1,"-")</f>
        <v>0.223082881487219</v>
      </c>
      <c r="F58" s="59" t="n">
        <f aca="false">IFERROR(분석4B_월별매트릭스!AB55/분석4B_월별매트릭스!P55-1,"-")</f>
        <v>0.0299833425874514</v>
      </c>
      <c r="G58" s="59" t="n">
        <f aca="false">IFERROR(분석4B_월별매트릭스!AC55/분석4B_월별매트릭스!Q55-1,"-")</f>
        <v>-0.0512409927942354</v>
      </c>
      <c r="H58" s="59" t="n">
        <f aca="false">IFERROR(분석4B_월별매트릭스!AD55/분석4B_월별매트릭스!R55-1,"-")</f>
        <v>0.279461279461279</v>
      </c>
      <c r="I58" s="59" t="n">
        <f aca="false">IFERROR(분석4B_월별매트릭스!AE55/분석4B_월별매트릭스!S55-1,"-")</f>
        <v>0.692589204025618</v>
      </c>
      <c r="J58" s="59" t="n">
        <f aca="false">IFERROR(분석4B_월별매트릭스!AF55/분석4B_월별매트릭스!T55-1,"-")</f>
        <v>0.0849673202614378</v>
      </c>
      <c r="K58" s="59" t="n">
        <f aca="false">IFERROR(분석4B_월별매트릭스!AG55/분석4B_월별매트릭스!U55-1,"-")</f>
        <v>0.0124497991967871</v>
      </c>
      <c r="L58" s="57" t="n">
        <f aca="false">분석4B_월별매트릭스!AA55-분석4B_월별매트릭스!O55</f>
        <v>288</v>
      </c>
      <c r="M58" s="57" t="n">
        <f aca="false">분석4B_월별매트릭스!AB55-분석4B_월별매트릭스!P55</f>
        <v>54</v>
      </c>
      <c r="N58" s="57" t="n">
        <f aca="false">분석4B_월별매트릭스!AC55-분석4B_월별매트릭스!Q55</f>
        <v>-64</v>
      </c>
      <c r="O58" s="57" t="n">
        <f aca="false">분석4B_월별매트릭스!AD55-분석4B_월별매트릭스!R55</f>
        <v>415</v>
      </c>
      <c r="P58" s="57" t="n">
        <f aca="false">분석4B_월별매트릭스!AE55-분석4B_월별매트릭스!S55</f>
        <v>757</v>
      </c>
      <c r="Q58" s="57" t="n">
        <f aca="false">분석4B_월별매트릭스!AF55-분석4B_월별매트릭스!T55</f>
        <v>130</v>
      </c>
      <c r="R58" s="57" t="n">
        <f aca="false">분석4B_월별매트릭스!AG55-분석4B_월별매트릭스!U55</f>
        <v>31</v>
      </c>
      <c r="S58" s="25" t="n">
        <f aca="false">SUMIFS(데이터_품목별!$H$3:$H$2984,데이터_품목별!$E$3:$E$2984,"50",데이터_품목별!$B$3:$B$2984,2025,데이터_품목별!$C$3:$C$2984,"&lt;=7")</f>
        <v>10939</v>
      </c>
      <c r="T58" s="25" t="n">
        <f aca="false">SUMIFS(데이터_품목별!$H$3:$H$2984,데이터_품목별!$E$3:$E$2984,"50",데이터_품목별!$B$3:$B$2984,2026,데이터_품목별!$C$3:$C$2984,"&lt;=7")</f>
        <v>12550</v>
      </c>
      <c r="U58" s="36" t="n">
        <f aca="false">IFERROR(T58/S58-1,"-")</f>
        <v>0.147271231373983</v>
      </c>
      <c r="V58" s="34" t="n">
        <f aca="false">(T58-S58)/(SUMIFS(데이터_총괄!$H$3:$H$33,데이터_총괄!$B$3:$B$33,2026,데이터_총괄!$C$3:$C$33,"&lt;=7")-SUMIFS(데이터_총괄!$H$3:$H$33,데이터_총괄!$B$3:$B$33,2025,데이터_총괄!$C$3:$C$33,"&lt;=7"))</f>
        <v>8.06814858106107E-006</v>
      </c>
      <c r="W58" s="24" t="n">
        <f aca="false">SUMIFS(데이터_품목별!$G$3:$G$2984,데이터_품목별!$E$3:$E$2984,"50",데이터_품목별!$B$3:$B$2984,2026,데이터_품목별!$C$3:$C$2984,"&lt;=7")</f>
        <v>87.2</v>
      </c>
      <c r="X58" s="36" t="n">
        <f aca="false">IFERROR((T58/W58)/(S58/SUMIFS(데이터_품목별!$G$3:$G$2984,데이터_품목별!$E$3:$E$2984,"50",데이터_품목별!$B$3:$B$2984,2025,데이터_품목별!$C$3:$C$2984,"&lt;=7"))-1,"-")</f>
        <v>-0.00534741867118005</v>
      </c>
      <c r="Y58" s="67" t="str">
        <f aca="false">IF(OR(W58&lt;100,SUMIFS(데이터_품목별!$G$3:$G$2984,데이터_품목별!$E$3:$E$2984,"50",데이터_품목별!$B$3:$B$2984,2025,데이터_품목별!$C$3:$C$2984,"&lt;=7")&lt;100),"단가 불안정",IF(T58-S58&lt;0,"감소",IF(X58&gt;0.05,"가격 주도",IF(X58&lt;0.02,"물량 주도","혼합"))))</f>
        <v>단가 불안정</v>
      </c>
      <c r="Z58" s="25" t="n">
        <f aca="false">SUMIFS(데이터_품목별!$J$3:$J$2984,데이터_품목별!$E$3:$E$2984,"50",데이터_품목별!$B$3:$B$2984,2026,데이터_품목별!$C$3:$C$2984,"&lt;=7")</f>
        <v>16549</v>
      </c>
      <c r="AA58" s="25" t="n">
        <f aca="false">T58-Z58</f>
        <v>-3999</v>
      </c>
      <c r="AB58" s="65" t="str">
        <f aca="false">IF(T58=0,"자료 없음",IF(U58&gt;1,"1~7월 2배 이상 급증. ",IF(U58&gt;0.5,"1~7월 +50% 초과 급증. ",IF(U58&gt;0.15,"1~7월 뚜렷한 증가. ",IF(U58&gt;0.02,"1~7월 소폭 증가. ",IF(U58&gt;-0.02,"1~7월 보합. ",IF(U58&gt;-0.15,"1~7월 소폭 감소. ","1~7월 뚜렷한 감소. "))))))&amp;"월별로는 "&amp;COUNTIF(E58:K58,"&gt;0")&amp;"개월 증가·"&amp;COUNTIF(E58:K58,"&lt;0")&amp;"개월 감소"&amp;IF(COUNTIF(E58:K58,"&gt;0")=7," (7개월 내내 증가)",IF(COUNTIF(E58:K58,"&lt;0")=7," (7개월 내내 감소)",""))&amp;IFERROR(", 최대 "&amp;TEXT(MAX(E58:K58),"0.0%")&amp;"("&amp;SUBSTITUTE(INDEX($E$5:$K$5,MATCH(MAX(E58:K58),E58:K58,0))," YoY","")&amp;")","")&amp;IFERROR(", 최소 "&amp;TEXT(MIN(E58:K58),"0.0%")&amp;"("&amp;SUBSTITUTE(INDEX($E$5:$K$5,MATCH(MIN(E58:K58),E58:K58,0))," YoY","")&amp;")","")&amp;". "&amp;IF(Y58="가격 주도","단가 상승이 주도. ",IF(Y58="물량 주도","물량 확대가 주도. ",IF(Y58="혼합","물량·단가 동반. ",IF(Y58="감소","감소 품목. ","단가 해석 유보. "))))&amp;IF(V58&gt;0.05,"전체 증가의 5% 이상을 설명하는 대형 품목.",IF(V58&gt;0.005,"전체 증가에 의미 있게 기여.",IF(T58/SUMIFS(데이터_총괄!$H$3:$H$33,데이터_총괄!$B$3:$B$33,2026,데이터_총괄!$C$3:$C$33,"&lt;=7")&lt;0.001,"규모가 작아 총량 영향은 미미.","총량 영향은 제한적."))))</f>
        <v>1~7월 소폭 증가. 월별로는 6개월 증가·1개월 감소, 최대 69.3%(2026.05), 최소 -5.1%(2026.03). 단가 해석 유보. 규모가 작아 총량 영향은 미미.</v>
      </c>
    </row>
    <row r="59" customFormat="false" ht="33.75" hidden="false" customHeight="true" outlineLevel="0" collapsed="false">
      <c r="A59" s="67" t="s">
        <v>19802</v>
      </c>
      <c r="B59" s="68" t="s">
        <v>401</v>
      </c>
      <c r="C59" s="65" t="str">
        <f aca="false">IFERROR(INDEX(데이터_품목별!$F$3:$F$2984,MATCH($B59,데이터_품목별!$E$3:$E$2984,0)),"")</f>
        <v>커피ㆍ차ㆍ마테(maté)ㆍ향신료</v>
      </c>
      <c r="D59" s="69" t="s">
        <v>20034</v>
      </c>
      <c r="E59" s="59" t="n">
        <f aca="false">IFERROR(분석4B_월별매트릭스!AA14/분석4B_월별매트릭스!O14-1,"-")</f>
        <v>0.522172949002217</v>
      </c>
      <c r="F59" s="59" t="n">
        <f aca="false">IFERROR(분석4B_월별매트릭스!AB14/분석4B_월별매트릭스!P14-1,"-")</f>
        <v>-0.019471083987213</v>
      </c>
      <c r="G59" s="59" t="n">
        <f aca="false">IFERROR(분석4B_월별매트릭스!AC14/분석4B_월별매트릭스!Q14-1,"-")</f>
        <v>0.0313157894736842</v>
      </c>
      <c r="H59" s="59" t="n">
        <f aca="false">IFERROR(분석4B_월별매트릭스!AD14/분석4B_월별매트릭스!R14-1,"-")</f>
        <v>0.294504771306351</v>
      </c>
      <c r="I59" s="59" t="n">
        <f aca="false">IFERROR(분석4B_월별매트릭스!AE14/분석4B_월별매트릭스!S14-1,"-")</f>
        <v>-0.0559089387345162</v>
      </c>
      <c r="J59" s="59" t="n">
        <f aca="false">IFERROR(분석4B_월별매트릭스!AF14/분석4B_월별매트릭스!T14-1,"-")</f>
        <v>-0.234257468300021</v>
      </c>
      <c r="K59" s="59" t="n">
        <f aca="false">IFERROR(분석4B_월별매트릭스!AG14/분석4B_월별매트릭스!U14-1,"-")</f>
        <v>0.130365659777425</v>
      </c>
      <c r="L59" s="57" t="n">
        <f aca="false">분석4B_월별매트릭스!AA14-분석4B_월별매트릭스!O14</f>
        <v>1413</v>
      </c>
      <c r="M59" s="57" t="n">
        <f aca="false">분석4B_월별매트릭스!AB14-분석4B_월별매트릭스!P14</f>
        <v>-67</v>
      </c>
      <c r="N59" s="57" t="n">
        <f aca="false">분석4B_월별매트릭스!AC14-분석4B_월별매트릭스!Q14</f>
        <v>119</v>
      </c>
      <c r="O59" s="57" t="n">
        <f aca="false">분석4B_월별매트릭스!AD14-분석4B_월별매트릭스!R14</f>
        <v>895</v>
      </c>
      <c r="P59" s="57" t="n">
        <f aca="false">분석4B_월별매트릭스!AE14-분석4B_월별매트릭스!S14</f>
        <v>-167</v>
      </c>
      <c r="Q59" s="57" t="n">
        <f aca="false">분석4B_월별매트릭스!AF14-분석4B_월별매트릭스!T14</f>
        <v>-1090</v>
      </c>
      <c r="R59" s="57" t="n">
        <f aca="false">분석4B_월별매트릭스!AG14-분석4B_월별매트릭스!U14</f>
        <v>492</v>
      </c>
      <c r="S59" s="25" t="n">
        <f aca="false">SUMIFS(데이터_품목별!$H$3:$H$2984,데이터_품목별!$E$3:$E$2984,"09",데이터_품목별!$B$3:$B$2984,2025,데이터_품목별!$C$3:$C$2984,"&lt;=7")</f>
        <v>24400</v>
      </c>
      <c r="T59" s="25" t="n">
        <f aca="false">SUMIFS(데이터_품목별!$H$3:$H$2984,데이터_품목별!$E$3:$E$2984,"09",데이터_품목별!$B$3:$B$2984,2026,데이터_품목별!$C$3:$C$2984,"&lt;=7")</f>
        <v>25995</v>
      </c>
      <c r="U59" s="36" t="n">
        <f aca="false">IFERROR(T59/S59-1,"-")</f>
        <v>0.0653688524590164</v>
      </c>
      <c r="V59" s="34" t="n">
        <f aca="false">(T59-S59)/(SUMIFS(데이터_총괄!$H$3:$H$33,데이터_총괄!$B$3:$B$33,2026,데이터_총괄!$C$3:$C$33,"&lt;=7")-SUMIFS(데이터_총괄!$H$3:$H$33,데이터_총괄!$B$3:$B$33,2025,데이터_총괄!$C$3:$C$33,"&lt;=7"))</f>
        <v>7.98801799304308E-006</v>
      </c>
      <c r="W59" s="24" t="n">
        <f aca="false">SUMIFS(데이터_품목별!$G$3:$G$2984,데이터_품목별!$E$3:$E$2984,"09",데이터_품목별!$B$3:$B$2984,2026,데이터_품목별!$C$3:$C$2984,"&lt;=7")</f>
        <v>3045.7</v>
      </c>
      <c r="X59" s="36" t="n">
        <f aca="false">IFERROR((T59/W59)/(S59/SUMIFS(데이터_품목별!$G$3:$G$2984,데이터_품목별!$E$3:$E$2984,"09",데이터_품목별!$B$3:$B$2984,2025,데이터_품목별!$C$3:$C$2984,"&lt;=7"))-1,"-")</f>
        <v>-0.0176723418719321</v>
      </c>
      <c r="Y59" s="67" t="str">
        <f aca="false">IF(OR(W59&lt;100,SUMIFS(데이터_품목별!$G$3:$G$2984,데이터_품목별!$E$3:$E$2984,"09",데이터_품목별!$B$3:$B$2984,2025,데이터_품목별!$C$3:$C$2984,"&lt;=7")&lt;100),"단가 불안정",IF(T59-S59&lt;0,"감소",IF(X59&gt;0.05,"가격 주도",IF(X59&lt;0.02,"물량 주도","혼합"))))</f>
        <v>물량 주도</v>
      </c>
      <c r="Z59" s="25" t="n">
        <f aca="false">SUMIFS(데이터_품목별!$J$3:$J$2984,데이터_품목별!$E$3:$E$2984,"09",데이터_품목별!$B$3:$B$2984,2026,데이터_품목별!$C$3:$C$2984,"&lt;=7")</f>
        <v>986200</v>
      </c>
      <c r="AA59" s="25" t="n">
        <f aca="false">T59-Z59</f>
        <v>-960205</v>
      </c>
      <c r="AB59" s="65" t="str">
        <f aca="false">IF(T59=0,"자료 없음",IF(U59&gt;1,"1~7월 2배 이상 급증. ",IF(U59&gt;0.5,"1~7월 +50% 초과 급증. ",IF(U59&gt;0.15,"1~7월 뚜렷한 증가. ",IF(U59&gt;0.02,"1~7월 소폭 증가. ",IF(U59&gt;-0.02,"1~7월 보합. ",IF(U59&gt;-0.15,"1~7월 소폭 감소. ","1~7월 뚜렷한 감소. "))))))&amp;"월별로는 "&amp;COUNTIF(E59:K59,"&gt;0")&amp;"개월 증가·"&amp;COUNTIF(E59:K59,"&lt;0")&amp;"개월 감소"&amp;IF(COUNTIF(E59:K59,"&gt;0")=7," (7개월 내내 증가)",IF(COUNTIF(E59:K59,"&lt;0")=7," (7개월 내내 감소)",""))&amp;IFERROR(", 최대 "&amp;TEXT(MAX(E59:K59),"0.0%")&amp;"("&amp;SUBSTITUTE(INDEX($E$5:$K$5,MATCH(MAX(E59:K59),E59:K59,0))," YoY","")&amp;")","")&amp;IFERROR(", 최소 "&amp;TEXT(MIN(E59:K59),"0.0%")&amp;"("&amp;SUBSTITUTE(INDEX($E$5:$K$5,MATCH(MIN(E59:K59),E59:K59,0))," YoY","")&amp;")","")&amp;". "&amp;IF(Y59="가격 주도","단가 상승이 주도. ",IF(Y59="물량 주도","물량 확대가 주도. ",IF(Y59="혼합","물량·단가 동반. ",IF(Y59="감소","감소 품목. ","단가 해석 유보. "))))&amp;IF(V59&gt;0.05,"전체 증가의 5% 이상을 설명하는 대형 품목.",IF(V59&gt;0.005,"전체 증가에 의미 있게 기여.",IF(T59/SUMIFS(데이터_총괄!$H$3:$H$33,데이터_총괄!$B$3:$B$33,2026,데이터_총괄!$C$3:$C$33,"&lt;=7")&lt;0.001,"규모가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52.2%(2026.01), 최소 -23.4%(2026.06). 물량 확대가 주도. 규모가 작아 총량 영향은 미미.</v>
      </c>
    </row>
    <row r="60" customFormat="false" ht="33.75" hidden="false" customHeight="true" outlineLevel="0" collapsed="false">
      <c r="A60" s="67" t="s">
        <v>19800</v>
      </c>
      <c r="B60" s="68" t="s">
        <v>352</v>
      </c>
      <c r="C60" s="65" t="str">
        <f aca="false">IFERROR(INDEX(데이터_품목별!$F$3:$F$2984,MATCH($B60,데이터_품목별!$E$3:$E$2984,0)),"")</f>
        <v>육과 식용 설육(屑肉)</v>
      </c>
      <c r="D60" s="69" t="s">
        <v>20035</v>
      </c>
      <c r="E60" s="59" t="n">
        <f aca="false">IFERROR(분석4B_월별매트릭스!AA7/분석4B_월별매트릭스!O7-1,"-")</f>
        <v>0.500852079072938</v>
      </c>
      <c r="F60" s="59" t="n">
        <f aca="false">IFERROR(분석4B_월별매트릭스!AB7/분석4B_월별매트릭스!P7-1,"-")</f>
        <v>-0.318316831683168</v>
      </c>
      <c r="G60" s="59" t="n">
        <f aca="false">IFERROR(분석4B_월별매트릭스!AC7/분석4B_월별매트릭스!Q7-1,"-")</f>
        <v>-0.0405744244358331</v>
      </c>
      <c r="H60" s="59" t="n">
        <f aca="false">IFERROR(분석4B_월별매트릭스!AD7/분석4B_월별매트릭스!R7-1,"-")</f>
        <v>0.078599096191091</v>
      </c>
      <c r="I60" s="59" t="n">
        <f aca="false">IFERROR(분석4B_월별매트릭스!AE7/분석4B_월별매트릭스!S7-1,"-")</f>
        <v>-0.0765705556616384</v>
      </c>
      <c r="J60" s="59" t="n">
        <f aca="false">IFERROR(분석4B_월별매트릭스!AF7/분석4B_월별매트릭스!T7-1,"-")</f>
        <v>0.269537480063796</v>
      </c>
      <c r="K60" s="59" t="n">
        <f aca="false">IFERROR(분석4B_월별매트릭스!AG7/분석4B_월별매트릭스!U7-1,"-")</f>
        <v>0.05650284185891</v>
      </c>
      <c r="L60" s="57" t="n">
        <f aca="false">분석4B_월별매트릭스!AA7-분석4B_월별매트릭스!O7</f>
        <v>2939</v>
      </c>
      <c r="M60" s="57" t="n">
        <f aca="false">분석4B_월별매트릭스!AB7-분석4B_월별매트릭스!P7</f>
        <v>-2572</v>
      </c>
      <c r="N60" s="57" t="n">
        <f aca="false">분석4B_월별매트릭스!AC7-분석4B_월별매트릭스!Q7</f>
        <v>-356</v>
      </c>
      <c r="O60" s="57" t="n">
        <f aca="false">분석4B_월별매트릭스!AD7-분석4B_월별매트릭스!R7</f>
        <v>487</v>
      </c>
      <c r="P60" s="57" t="n">
        <f aca="false">분석4B_월별매트릭스!AE7-분석4B_월별매트릭스!S7</f>
        <v>-401</v>
      </c>
      <c r="Q60" s="57" t="n">
        <f aca="false">분석4B_월별매트릭스!AF7-분석4B_월별매트릭스!T7</f>
        <v>1014</v>
      </c>
      <c r="R60" s="57" t="n">
        <f aca="false">분석4B_월별매트릭스!AG7-분석4B_월별매트릭스!U7</f>
        <v>338</v>
      </c>
      <c r="S60" s="25" t="n">
        <f aca="false">SUMIFS(데이터_품목별!$H$3:$H$2984,데이터_품목별!$E$3:$E$2984,"02",데이터_품목별!$B$3:$B$2984,2025,데이터_품목별!$C$3:$C$2984,"&lt;=7")</f>
        <v>43899</v>
      </c>
      <c r="T60" s="25" t="n">
        <f aca="false">SUMIFS(데이터_품목별!$H$3:$H$2984,데이터_품목별!$E$3:$E$2984,"02",데이터_품목별!$B$3:$B$2984,2026,데이터_품목별!$C$3:$C$2984,"&lt;=7")</f>
        <v>45348</v>
      </c>
      <c r="U60" s="36" t="n">
        <f aca="false">IFERROR(T60/S60-1,"-")</f>
        <v>0.0330075855942049</v>
      </c>
      <c r="V60" s="34" t="n">
        <f aca="false">(T60-S60)/(SUMIFS(데이터_총괄!$H$3:$H$33,데이터_총괄!$B$3:$B$33,2026,데이터_총괄!$C$3:$C$33,"&lt;=7")-SUMIFS(데이터_총괄!$H$3:$H$33,데이터_총괄!$B$3:$B$33,2025,데이터_총괄!$C$3:$C$33,"&lt;=7"))</f>
        <v>7.25682637737895E-006</v>
      </c>
      <c r="W60" s="24" t="n">
        <f aca="false">SUMIFS(데이터_품목별!$G$3:$G$2984,데이터_품목별!$E$3:$E$2984,"02",데이터_품목별!$B$3:$B$2984,2026,데이터_품목별!$C$3:$C$2984,"&lt;=7")</f>
        <v>31078.4</v>
      </c>
      <c r="X60" s="36" t="n">
        <f aca="false">IFERROR((T60/W60)/(S60/SUMIFS(데이터_품목별!$G$3:$G$2984,데이터_품목별!$E$3:$E$2984,"02",데이터_품목별!$B$3:$B$2984,2025,데이터_품목별!$C$3:$C$2984,"&lt;=7"))-1,"-")</f>
        <v>0.0505410333071161</v>
      </c>
      <c r="Y60" s="67" t="str">
        <f aca="false">IF(OR(W60&lt;100,SUMIFS(데이터_품목별!$G$3:$G$2984,데이터_품목별!$E$3:$E$2984,"02",데이터_품목별!$B$3:$B$2984,2025,데이터_품목별!$C$3:$C$2984,"&lt;=7")&lt;100),"단가 불안정",IF(T60-S60&lt;0,"감소",IF(X60&gt;0.05,"가격 주도",IF(X60&lt;0.02,"물량 주도","혼합"))))</f>
        <v>가격 주도</v>
      </c>
      <c r="Z60" s="25" t="n">
        <f aca="false">SUMIFS(데이터_품목별!$J$3:$J$2984,데이터_품목별!$E$3:$E$2984,"02",데이터_품목별!$B$3:$B$2984,2026,데이터_품목별!$C$3:$C$2984,"&lt;=7")</f>
        <v>5009604</v>
      </c>
      <c r="AA60" s="25" t="n">
        <f aca="false">T60-Z60</f>
        <v>-4964256</v>
      </c>
      <c r="AB60" s="65" t="str">
        <f aca="false">IF(T60=0,"자료 없음",IF(U60&gt;1,"1~7월 2배 이상 급증. ",IF(U60&gt;0.5,"1~7월 +50% 초과 급증. ",IF(U60&gt;0.15,"1~7월 뚜렷한 증가. ",IF(U60&gt;0.02,"1~7월 소폭 증가. ",IF(U60&gt;-0.02,"1~7월 보합. ",IF(U60&gt;-0.15,"1~7월 소폭 감소. ","1~7월 뚜렷한 감소. "))))))&amp;"월별로는 "&amp;COUNTIF(E60:K60,"&gt;0")&amp;"개월 증가·"&amp;COUNTIF(E60:K60,"&lt;0")&amp;"개월 감소"&amp;IF(COUNTIF(E60:K60,"&gt;0")=7," (7개월 내내 증가)",IF(COUNTIF(E60:K60,"&lt;0")=7," (7개월 내내 감소)",""))&amp;IFERROR(", 최대 "&amp;TEXT(MAX(E60:K60),"0.0%")&amp;"("&amp;SUBSTITUTE(INDEX($E$5:$K$5,MATCH(MAX(E60:K60),E60:K60,0))," YoY","")&amp;")","")&amp;IFERROR(", 최소 "&amp;TEXT(MIN(E60:K60),"0.0%")&amp;"("&amp;SUBSTITUTE(INDEX($E$5:$K$5,MATCH(MIN(E60:K60),E60:K60,0))," YoY","")&amp;")","")&amp;". "&amp;IF(Y60="가격 주도","단가 상승이 주도. ",IF(Y60="물량 주도","물량 확대가 주도. ",IF(Y60="혼합","물량·단가 동반. ",IF(Y60="감소","감소 품목. ","단가 해석 유보. "))))&amp;IF(V60&gt;0.05,"전체 증가의 5% 이상을 설명하는 대형 품목.",IF(V60&gt;0.005,"전체 증가에 의미 있게 기여.",IF(T60/SUMIFS(데이터_총괄!$H$3:$H$33,데이터_총괄!$B$3:$B$33,2026,데이터_총괄!$C$3:$C$33,"&lt;=7")&lt;0.001,"규모가 작아 총량 영향은 미미.","총량 영향은 제한적."))))</f>
        <v>1~7월 소폭 증가. 월별로는 4개월 증가·3개월 감소, 최대 50.1%(2026.01), 최소 -31.8%(2026.02). 단가 상승이 주도. 규모가 작아 총량 영향은 미미.</v>
      </c>
    </row>
    <row r="61" customFormat="false" ht="33.75" hidden="false" customHeight="true" outlineLevel="0" collapsed="false">
      <c r="A61" s="67" t="s">
        <v>19800</v>
      </c>
      <c r="B61" s="68" t="s">
        <v>345</v>
      </c>
      <c r="C61" s="65" t="str">
        <f aca="false">IFERROR(INDEX(데이터_품목별!$F$3:$F$2984,MATCH($B61,데이터_품목별!$E$3:$E$2984,0)),"")</f>
        <v>살아 있는 동물</v>
      </c>
      <c r="D61" s="69" t="s">
        <v>20036</v>
      </c>
      <c r="E61" s="59" t="n">
        <f aca="false">IFERROR(분석4B_월별매트릭스!AA6/분석4B_월별매트릭스!O6-1,"-")</f>
        <v>-0.207436399217221</v>
      </c>
      <c r="F61" s="59" t="n">
        <f aca="false">IFERROR(분석4B_월별매트릭스!AB6/분석4B_월별매트릭스!P6-1,"-")</f>
        <v>-0.196388261851016</v>
      </c>
      <c r="G61" s="59" t="n">
        <f aca="false">IFERROR(분석4B_월별매트릭스!AC6/분석4B_월별매트릭스!Q6-1,"-")</f>
        <v>-0.326039387308534</v>
      </c>
      <c r="H61" s="59" t="n">
        <f aca="false">IFERROR(분석4B_월별매트릭스!AD6/분석4B_월별매트릭스!R6-1,"-")</f>
        <v>0.0470588235294118</v>
      </c>
      <c r="I61" s="59" t="n">
        <f aca="false">IFERROR(분석4B_월별매트릭스!AE6/분석4B_월별매트릭스!S6-1,"-")</f>
        <v>0.525233644859813</v>
      </c>
      <c r="J61" s="59" t="n">
        <f aca="false">IFERROR(분석4B_월별매트릭스!AF6/분석4B_월별매트릭스!T6-1,"-")</f>
        <v>2.35353535353535</v>
      </c>
      <c r="K61" s="59" t="n">
        <f aca="false">IFERROR(분석4B_월별매트릭스!AG6/분석4B_월별매트릭스!U6-1,"-")</f>
        <v>-0.0384615384615384</v>
      </c>
      <c r="L61" s="57" t="n">
        <f aca="false">분석4B_월별매트릭스!AA6-분석4B_월별매트릭스!O6</f>
        <v>-106</v>
      </c>
      <c r="M61" s="57" t="n">
        <f aca="false">분석4B_월별매트릭스!AB6-분석4B_월별매트릭스!P6</f>
        <v>-87</v>
      </c>
      <c r="N61" s="57" t="n">
        <f aca="false">분석4B_월별매트릭스!AC6-분석4B_월별매트릭스!Q6</f>
        <v>-298</v>
      </c>
      <c r="O61" s="57" t="n">
        <f aca="false">분석4B_월별매트릭스!AD6-분석4B_월별매트릭스!R6</f>
        <v>28</v>
      </c>
      <c r="P61" s="57" t="n">
        <f aca="false">분석4B_월별매트릭스!AE6-분석4B_월별매트릭스!S6</f>
        <v>281</v>
      </c>
      <c r="Q61" s="57" t="n">
        <f aca="false">분석4B_월별매트릭스!AF6-분석4B_월별매트릭스!T6</f>
        <v>1398</v>
      </c>
      <c r="R61" s="57" t="n">
        <f aca="false">분석4B_월별매트릭스!AG6-분석4B_월별매트릭스!U6</f>
        <v>-18</v>
      </c>
      <c r="S61" s="25" t="n">
        <f aca="false">SUMIFS(데이터_품목별!$H$3:$H$2984,데이터_품목별!$E$3:$E$2984,"01",데이터_품목별!$B$3:$B$2984,2025,데이터_품목별!$C$3:$C$2984,"&lt;=7")</f>
        <v>4060</v>
      </c>
      <c r="T61" s="25" t="n">
        <f aca="false">SUMIFS(데이터_품목별!$H$3:$H$2984,데이터_품목별!$E$3:$E$2984,"01",데이터_품목별!$B$3:$B$2984,2026,데이터_품목별!$C$3:$C$2984,"&lt;=7")</f>
        <v>5258</v>
      </c>
      <c r="U61" s="36" t="n">
        <f aca="false">IFERROR(T61/S61-1,"-")</f>
        <v>0.295073891625616</v>
      </c>
      <c r="V61" s="34" t="n">
        <f aca="false">(T61-S61)/(SUMIFS(데이터_총괄!$H$3:$H$33,데이터_총괄!$B$3:$B$33,2026,데이터_총괄!$C$3:$C$33,"&lt;=7")-SUMIFS(데이터_총괄!$H$3:$H$33,데이터_총괄!$B$3:$B$33,2025,데이터_총괄!$C$3:$C$33,"&lt;=7"))</f>
        <v>5.99977777784678E-006</v>
      </c>
      <c r="W61" s="24" t="n">
        <f aca="false">SUMIFS(데이터_품목별!$G$3:$G$2984,데이터_품목별!$E$3:$E$2984,"01",데이터_품목별!$B$3:$B$2984,2026,데이터_품목별!$C$3:$C$2984,"&lt;=7")</f>
        <v>20.8</v>
      </c>
      <c r="X61" s="36" t="n">
        <f aca="false">IFERROR((T61/W61)/(S61/SUMIFS(데이터_품목별!$G$3:$G$2984,데이터_품목별!$E$3:$E$2984,"01",데이터_품목별!$B$3:$B$2984,2025,데이터_품목별!$C$3:$C$2984,"&lt;=7"))-1,"-")</f>
        <v>1.35977406214475</v>
      </c>
      <c r="Y61" s="67" t="str">
        <f aca="false">IF(OR(W61&lt;100,SUMIFS(데이터_품목별!$G$3:$G$2984,데이터_품목별!$E$3:$E$2984,"01",데이터_품목별!$B$3:$B$2984,2025,데이터_품목별!$C$3:$C$2984,"&lt;=7")&lt;100),"단가 불안정",IF(T61-S61&lt;0,"감소",IF(X61&gt;0.05,"가격 주도",IF(X61&lt;0.02,"물량 주도","혼합"))))</f>
        <v>단가 불안정</v>
      </c>
      <c r="Z61" s="25" t="n">
        <f aca="false">SUMIFS(데이터_품목별!$J$3:$J$2984,데이터_품목별!$E$3:$E$2984,"01",데이터_품목별!$B$3:$B$2984,2026,데이터_품목별!$C$3:$C$2984,"&lt;=7")</f>
        <v>48086</v>
      </c>
      <c r="AA61" s="25" t="n">
        <f aca="false">T61-Z61</f>
        <v>-42828</v>
      </c>
      <c r="AB61" s="65" t="str">
        <f aca="false">IF(T61=0,"자료 없음",IF(U61&gt;1,"1~7월 2배 이상 급증. ",IF(U61&gt;0.5,"1~7월 +50% 초과 급증. ",IF(U61&gt;0.15,"1~7월 뚜렷한 증가. ",IF(U61&gt;0.02,"1~7월 소폭 증가. ",IF(U61&gt;-0.02,"1~7월 보합. ",IF(U61&gt;-0.15,"1~7월 소폭 감소. ","1~7월 뚜렷한 감소. "))))))&amp;"월별로는 "&amp;COUNTIF(E61:K61,"&gt;0")&amp;"개월 증가·"&amp;COUNTIF(E61:K61,"&lt;0")&amp;"개월 감소"&amp;IF(COUNTIF(E61:K61,"&gt;0")=7," (7개월 내내 증가)",IF(COUNTIF(E61:K61,"&lt;0")=7," (7개월 내내 감소)",""))&amp;IFERROR(", 최대 "&amp;TEXT(MAX(E61:K61),"0.0%")&amp;"("&amp;SUBSTITUTE(INDEX($E$5:$K$5,MATCH(MAX(E61:K61),E61:K61,0))," YoY","")&amp;")","")&amp;IFERROR(", 최소 "&amp;TEXT(MIN(E61:K61),"0.0%")&amp;"("&amp;SUBSTITUTE(INDEX($E$5:$K$5,MATCH(MIN(E61:K61),E61:K61,0))," YoY","")&amp;")","")&amp;". "&amp;IF(Y61="가격 주도","단가 상승이 주도. ",IF(Y61="물량 주도","물량 확대가 주도. ",IF(Y61="혼합","물량·단가 동반. ",IF(Y61="감소","감소 품목. ","단가 해석 유보. "))))&amp;IF(V61&gt;0.05,"전체 증가의 5% 이상을 설명하는 대형 품목.",IF(V61&gt;0.005,"전체 증가에 의미 있게 기여.",IF(T61/SUMIFS(데이터_총괄!$H$3:$H$33,데이터_총괄!$B$3:$B$33,2026,데이터_총괄!$C$3:$C$33,"&lt;=7")&lt;0.001,"규모가 작아 총량 영향은 미미.","총량 영향은 제한적."))))</f>
        <v>1~7월 뚜렷한 증가. 월별로는 3개월 증가·4개월 감소, 최대 235.4%(2026.06), 최소 -32.6%(2026.03). 단가 해석 유보. 규모가 작아 총량 영향은 미미.</v>
      </c>
    </row>
    <row r="62" customFormat="false" ht="33.75" hidden="false" customHeight="true" outlineLevel="0" collapsed="false">
      <c r="A62" s="67" t="s">
        <v>19822</v>
      </c>
      <c r="B62" s="68" t="s">
        <v>800</v>
      </c>
      <c r="C62" s="65" t="str">
        <f aca="false">IFERROR(INDEX(데이터_품목별!$F$3:$F$2984,MATCH($B62,데이터_품목별!$E$3:$E$2984,0)),"")</f>
        <v>산류(傘類)ㆍ지팡이ㆍ시트스틱(seat-stick)ㆍ채찍ㆍ승마용 채찍과 이들의 부분품</v>
      </c>
      <c r="D62" s="69" t="s">
        <v>20037</v>
      </c>
      <c r="E62" s="59" t="n">
        <f aca="false">IFERROR(분석4B_월별매트릭스!AA71/분석4B_월별매트릭스!O71-1,"-")</f>
        <v>1.72</v>
      </c>
      <c r="F62" s="59" t="n">
        <f aca="false">IFERROR(분석4B_월별매트릭스!AB71/분석4B_월별매트릭스!P71-1,"-")</f>
        <v>-0.0879629629629629</v>
      </c>
      <c r="G62" s="59" t="n">
        <f aca="false">IFERROR(분석4B_월별매트릭스!AC71/분석4B_월별매트릭스!Q71-1,"-")</f>
        <v>3.72307692307692</v>
      </c>
      <c r="H62" s="59" t="n">
        <f aca="false">IFERROR(분석4B_월별매트릭스!AD71/분석4B_월별매트릭스!R71-1,"-")</f>
        <v>-0.497991967871486</v>
      </c>
      <c r="I62" s="59" t="n">
        <f aca="false">IFERROR(분석4B_월별매트릭스!AE71/분석4B_월별매트릭스!S71-1,"-")</f>
        <v>0.671428571428572</v>
      </c>
      <c r="J62" s="59" t="n">
        <f aca="false">IFERROR(분석4B_월별매트릭스!AF71/분석4B_월별매트릭스!T71-1,"-")</f>
        <v>0.0660377358490567</v>
      </c>
      <c r="K62" s="59" t="n">
        <f aca="false">IFERROR(분석4B_월별매트릭스!AG71/분석4B_월별매트릭스!U71-1,"-")</f>
        <v>1.86871508379888</v>
      </c>
      <c r="L62" s="57" t="n">
        <f aca="false">분석4B_월별매트릭스!AA71-분석4B_월별매트릭스!O71</f>
        <v>86</v>
      </c>
      <c r="M62" s="57" t="n">
        <f aca="false">분석4B_월별매트릭스!AB71-분석4B_월별매트릭스!P71</f>
        <v>-19</v>
      </c>
      <c r="N62" s="57" t="n">
        <f aca="false">분석4B_월별매트릭스!AC71-분석4B_월별매트릭스!Q71</f>
        <v>242</v>
      </c>
      <c r="O62" s="57" t="n">
        <f aca="false">분석4B_월별매트릭스!AD71-분석4B_월별매트릭스!R71</f>
        <v>-124</v>
      </c>
      <c r="P62" s="57" t="n">
        <f aca="false">분석4B_월별매트릭스!AE71-분석4B_월별매트릭스!S71</f>
        <v>141</v>
      </c>
      <c r="Q62" s="57" t="n">
        <f aca="false">분석4B_월별매트릭스!AF71-분석4B_월별매트릭스!T71</f>
        <v>21</v>
      </c>
      <c r="R62" s="57" t="n">
        <f aca="false">분석4B_월별매트릭스!AG71-분석4B_월별매트릭스!U71</f>
        <v>669</v>
      </c>
      <c r="S62" s="25" t="n">
        <f aca="false">SUMIFS(데이터_품목별!$H$3:$H$2984,데이터_품목별!$E$3:$E$2984,"66",데이터_품목별!$B$3:$B$2984,2025,데이터_품목별!$C$3:$C$2984,"&lt;=7")</f>
        <v>1466</v>
      </c>
      <c r="T62" s="25" t="n">
        <f aca="false">SUMIFS(데이터_품목별!$H$3:$H$2984,데이터_품목별!$E$3:$E$2984,"66",데이터_품목별!$B$3:$B$2984,2026,데이터_품목별!$C$3:$C$2984,"&lt;=7")</f>
        <v>2482</v>
      </c>
      <c r="U62" s="36" t="n">
        <f aca="false">IFERROR(T62/S62-1,"-")</f>
        <v>0.693042291950887</v>
      </c>
      <c r="V62" s="34" t="n">
        <f aca="false">(T62-S62)/(SUMIFS(데이터_총괄!$H$3:$H$33,데이터_총괄!$B$3:$B$33,2026,데이터_총괄!$C$3:$C$33,"&lt;=7")-SUMIFS(데이터_총괄!$H$3:$H$33,데이터_총괄!$B$3:$B$33,2025,데이터_총괄!$C$3:$C$33,"&lt;=7"))</f>
        <v>5.08829233914218E-006</v>
      </c>
      <c r="W62" s="24" t="n">
        <f aca="false">SUMIFS(데이터_품목별!$G$3:$G$2984,데이터_품목별!$E$3:$E$2984,"66",데이터_품목별!$B$3:$B$2984,2026,데이터_품목별!$C$3:$C$2984,"&lt;=7")</f>
        <v>55.1</v>
      </c>
      <c r="X62" s="36" t="n">
        <f aca="false">IFERROR((T62/W62)/(S62/SUMIFS(데이터_품목별!$G$3:$G$2984,데이터_품목별!$E$3:$E$2984,"66",데이터_품목별!$B$3:$B$2984,2025,데이터_품목별!$C$3:$C$2984,"&lt;=7"))-1,"-")</f>
        <v>1.56875382227031</v>
      </c>
      <c r="Y62" s="67" t="str">
        <f aca="false">IF(OR(W62&lt;100,SUMIFS(데이터_품목별!$G$3:$G$2984,데이터_품목별!$E$3:$E$2984,"66",데이터_품목별!$B$3:$B$2984,2025,데이터_품목별!$C$3:$C$2984,"&lt;=7")&lt;100),"단가 불안정",IF(T62-S62&lt;0,"감소",IF(X62&gt;0.05,"가격 주도",IF(X62&lt;0.02,"물량 주도","혼합"))))</f>
        <v>단가 불안정</v>
      </c>
      <c r="Z62" s="25" t="n">
        <f aca="false">SUMIFS(데이터_품목별!$J$3:$J$2984,데이터_품목별!$E$3:$E$2984,"66",데이터_품목별!$B$3:$B$2984,2026,데이터_품목별!$C$3:$C$2984,"&lt;=7")</f>
        <v>93055</v>
      </c>
      <c r="AA62" s="25" t="n">
        <f aca="false">T62-Z62</f>
        <v>-90573</v>
      </c>
      <c r="AB62" s="65" t="str">
        <f aca="false">IF(T62=0,"자료 없음",IF(U62&gt;1,"1~7월 2배 이상 급증. ",IF(U62&gt;0.5,"1~7월 +50% 초과 급증. ",IF(U62&gt;0.15,"1~7월 뚜렷한 증가. ",IF(U62&gt;0.02,"1~7월 소폭 증가. ",IF(U62&gt;-0.02,"1~7월 보합. ",IF(U62&gt;-0.15,"1~7월 소폭 감소. ","1~7월 뚜렷한 감소. "))))))&amp;"월별로는 "&amp;COUNTIF(E62:K62,"&gt;0")&amp;"개월 증가·"&amp;COUNTIF(E62:K62,"&lt;0")&amp;"개월 감소"&amp;IF(COUNTIF(E62:K62,"&gt;0")=7," (7개월 내내 증가)",IF(COUNTIF(E62:K62,"&lt;0")=7," (7개월 내내 감소)",""))&amp;IFERROR(", 최대 "&amp;TEXT(MAX(E62:K62),"0.0%")&amp;"("&amp;SUBSTITUTE(INDEX($E$5:$K$5,MATCH(MAX(E62:K62),E62:K62,0))," YoY","")&amp;")","")&amp;IFERROR(", 최소 "&amp;TEXT(MIN(E62:K62),"0.0%")&amp;"("&amp;SUBSTITUTE(INDEX($E$5:$K$5,MATCH(MIN(E62:K62),E62:K62,0))," YoY","")&amp;")","")&amp;". "&amp;IF(Y62="가격 주도","단가 상승이 주도. ",IF(Y62="물량 주도","물량 확대가 주도. ",IF(Y62="혼합","물량·단가 동반. ",IF(Y62="감소","감소 품목. ","단가 해석 유보. "))))&amp;IF(V62&gt;0.05,"전체 증가의 5% 이상을 설명하는 대형 품목.",IF(V62&gt;0.005,"전체 증가에 의미 있게 기여.",IF(T62/SUMIFS(데이터_총괄!$H$3:$H$33,데이터_총괄!$B$3:$B$33,2026,데이터_총괄!$C$3:$C$33,"&lt;=7")&lt;0.001,"규모가 작아 총량 영향은 미미.","총량 영향은 제한적."))))</f>
        <v>1~7월 +50% 초과 급증. 월별로는 5개월 증가·2개월 감소, 최대 372.3%(2026.03), 최소 -49.8%(2026.04). 단가 해석 유보. 규모가 작아 총량 영향은 미미.</v>
      </c>
    </row>
    <row r="63" customFormat="false" ht="33.75" hidden="false" customHeight="true" outlineLevel="0" collapsed="false">
      <c r="A63" s="67" t="s">
        <v>19802</v>
      </c>
      <c r="B63" s="68" t="s">
        <v>387</v>
      </c>
      <c r="C63" s="65" t="str">
        <f aca="false">IFERROR(INDEX(데이터_품목별!$F$3:$F$2984,MATCH($B63,데이터_품목별!$E$3:$E$2984,0)),"")</f>
        <v>식용의 채소ㆍ뿌리ㆍ괴경(塊莖)</v>
      </c>
      <c r="D63" s="69" t="s">
        <v>20038</v>
      </c>
      <c r="E63" s="59" t="n">
        <f aca="false">IFERROR(분석4B_월별매트릭스!AA12/분석4B_월별매트릭스!O12-1,"-")</f>
        <v>-0.134972454601102</v>
      </c>
      <c r="F63" s="59" t="n">
        <f aca="false">IFERROR(분석4B_월별매트릭스!AB12/분석4B_월별매트릭스!P12-1,"-")</f>
        <v>0.00862641008626408</v>
      </c>
      <c r="G63" s="59" t="n">
        <f aca="false">IFERROR(분석4B_월별매트릭스!AC12/분석4B_월별매트릭스!Q12-1,"-")</f>
        <v>0.145311554748941</v>
      </c>
      <c r="H63" s="59" t="n">
        <f aca="false">IFERROR(분석4B_월별매트릭스!AD12/분석4B_월별매트릭스!R12-1,"-")</f>
        <v>-0.0100513035284263</v>
      </c>
      <c r="I63" s="59" t="n">
        <f aca="false">IFERROR(분석4B_월별매트릭스!AE12/분석4B_월별매트릭스!S12-1,"-")</f>
        <v>0.0101555061885117</v>
      </c>
      <c r="J63" s="59" t="n">
        <f aca="false">IFERROR(분석4B_월별매트릭스!AF12/분석4B_월별매트릭스!T12-1,"-")</f>
        <v>-0.0399115125818048</v>
      </c>
      <c r="K63" s="59" t="n">
        <f aca="false">IFERROR(분석4B_월별매트릭스!AG12/분석4B_월별매트릭스!U12-1,"-")</f>
        <v>0.0925587996755879</v>
      </c>
      <c r="L63" s="57" t="n">
        <f aca="false">분석4B_월별매트릭스!AA12-분석4B_월별매트릭스!O12</f>
        <v>-1323</v>
      </c>
      <c r="M63" s="57" t="n">
        <f aca="false">분석4B_월별매트릭스!AB12-분석4B_월별매트릭스!P12</f>
        <v>65</v>
      </c>
      <c r="N63" s="57" t="n">
        <f aca="false">분석4B_월별매트릭스!AC12-분석4B_월별매트릭스!Q12</f>
        <v>1201</v>
      </c>
      <c r="O63" s="57" t="n">
        <f aca="false">분석4B_월별매트릭스!AD12-분석4B_월별매트릭스!R12</f>
        <v>-96</v>
      </c>
      <c r="P63" s="57" t="n">
        <f aca="false">분석4B_월별매트릭스!AE12-분석4B_월별매트릭스!S12</f>
        <v>96</v>
      </c>
      <c r="Q63" s="57" t="n">
        <f aca="false">분석4B_월별매트릭스!AF12-분석4B_월별매트릭스!T12</f>
        <v>-433</v>
      </c>
      <c r="R63" s="57" t="n">
        <f aca="false">분석4B_월별매트릭스!AG12-분석4B_월별매트릭스!U12</f>
        <v>913</v>
      </c>
      <c r="S63" s="25" t="n">
        <f aca="false">SUMIFS(데이터_품목별!$H$3:$H$2984,데이터_품목별!$E$3:$E$2984,"07",데이터_품목별!$B$3:$B$2984,2025,데이터_품목별!$C$3:$C$2984,"&lt;=7")</f>
        <v>65319</v>
      </c>
      <c r="T63" s="25" t="n">
        <f aca="false">SUMIFS(데이터_품목별!$H$3:$H$2984,데이터_품목별!$E$3:$E$2984,"07",데이터_품목별!$B$3:$B$2984,2026,데이터_품목별!$C$3:$C$2984,"&lt;=7")</f>
        <v>65742</v>
      </c>
      <c r="U63" s="36" t="n">
        <f aca="false">IFERROR(T63/S63-1,"-")</f>
        <v>0.00647591053139207</v>
      </c>
      <c r="V63" s="34" t="n">
        <f aca="false">(T63-S63)/(SUMIFS(데이터_총괄!$H$3:$H$33,데이터_총괄!$B$3:$B$33,2026,데이터_총괄!$C$3:$C$33,"&lt;=7")-SUMIFS(데이터_총괄!$H$3:$H$33,데이터_총괄!$B$3:$B$33,2025,데이터_총괄!$C$3:$C$33,"&lt;=7"))</f>
        <v>2.11845242072553E-006</v>
      </c>
      <c r="W63" s="24" t="n">
        <f aca="false">SUMIFS(데이터_품목별!$G$3:$G$2984,데이터_품목별!$E$3:$E$2984,"07",데이터_품목별!$B$3:$B$2984,2026,데이터_품목별!$C$3:$C$2984,"&lt;=7")</f>
        <v>33758.1</v>
      </c>
      <c r="X63" s="36" t="n">
        <f aca="false">IFERROR((T63/W63)/(S63/SUMIFS(데이터_품목별!$G$3:$G$2984,데이터_품목별!$E$3:$E$2984,"07",데이터_품목별!$B$3:$B$2984,2025,데이터_품목별!$C$3:$C$2984,"&lt;=7"))-1,"-")</f>
        <v>-0.153832884197465</v>
      </c>
      <c r="Y63" s="67" t="str">
        <f aca="false">IF(OR(W63&lt;100,SUMIFS(데이터_품목별!$G$3:$G$2984,데이터_품목별!$E$3:$E$2984,"07",데이터_품목별!$B$3:$B$2984,2025,데이터_품목별!$C$3:$C$2984,"&lt;=7")&lt;100),"단가 불안정",IF(T63-S63&lt;0,"감소",IF(X63&gt;0.05,"가격 주도",IF(X63&lt;0.02,"물량 주도","혼합"))))</f>
        <v>물량 주도</v>
      </c>
      <c r="Z63" s="25" t="n">
        <f aca="false">SUMIFS(데이터_품목별!$J$3:$J$2984,데이터_품목별!$E$3:$E$2984,"07",데이터_품목별!$B$3:$B$2984,2026,데이터_품목별!$C$3:$C$2984,"&lt;=7")</f>
        <v>411974</v>
      </c>
      <c r="AA63" s="25" t="n">
        <f aca="false">T63-Z63</f>
        <v>-346232</v>
      </c>
      <c r="AB63" s="65" t="str">
        <f aca="false">IF(T63=0,"자료 없음",IF(U63&gt;1,"1~7월 2배 이상 급증. ",IF(U63&gt;0.5,"1~7월 +50% 초과 급증. ",IF(U63&gt;0.15,"1~7월 뚜렷한 증가. ",IF(U63&gt;0.02,"1~7월 소폭 증가. ",IF(U63&gt;-0.02,"1~7월 보합. ",IF(U63&gt;-0.15,"1~7월 소폭 감소. ","1~7월 뚜렷한 감소. "))))))&amp;"월별로는 "&amp;COUNTIF(E63:K63,"&gt;0")&amp;"개월 증가·"&amp;COUNTIF(E63:K63,"&lt;0")&amp;"개월 감소"&amp;IF(COUNTIF(E63:K63,"&gt;0")=7," (7개월 내내 증가)",IF(COUNTIF(E63:K63,"&lt;0")=7," (7개월 내내 감소)",""))&amp;IFERROR(", 최대 "&amp;TEXT(MAX(E63:K63),"0.0%")&amp;"("&amp;SUBSTITUTE(INDEX($E$5:$K$5,MATCH(MAX(E63:K63),E63:K63,0))," YoY","")&amp;")","")&amp;IFERROR(", 최소 "&amp;TEXT(MIN(E63:K63),"0.0%")&amp;"("&amp;SUBSTITUTE(INDEX($E$5:$K$5,MATCH(MIN(E63:K63),E63:K63,0))," YoY","")&amp;")","")&amp;". "&amp;IF(Y63="가격 주도","단가 상승이 주도. ",IF(Y63="물량 주도","물량 확대가 주도. ",IF(Y63="혼합","물량·단가 동반. ",IF(Y63="감소","감소 품목. ","단가 해석 유보. "))))&amp;IF(V63&gt;0.05,"전체 증가의 5% 이상을 설명하는 대형 품목.",IF(V63&gt;0.005,"전체 증가에 의미 있게 기여.",IF(T63/SUMIFS(데이터_총괄!$H$3:$H$33,데이터_총괄!$B$3:$B$33,2026,데이터_총괄!$C$3:$C$33,"&lt;=7")&lt;0.001,"규모가 작아 총량 영향은 미미.","총량 영향은 제한적."))))</f>
        <v>1~7월 보합. 월별로는 4개월 증가·3개월 감소, 최대 14.5%(2026.03), 최소 -13.5%(2026.01). 물량 확대가 주도. 규모가 작아 총량 영향은 미미.</v>
      </c>
    </row>
    <row r="64" customFormat="false" ht="33.75" hidden="false" customHeight="true" outlineLevel="0" collapsed="false">
      <c r="A64" s="67" t="s">
        <v>19802</v>
      </c>
      <c r="B64" s="68" t="s">
        <v>436</v>
      </c>
      <c r="C64" s="65" t="str">
        <f aca="false">IFERROR(INDEX(데이터_품목별!$F$3:$F$2984,MATCH($B64,데이터_품목별!$E$3:$E$2984,0)),"")</f>
        <v>식물성 편조물(編組物)용 재료와 다른 류로 분류되지 않은 식물성 생산품</v>
      </c>
      <c r="D64" s="69" t="s">
        <v>20039</v>
      </c>
      <c r="E64" s="59" t="n">
        <f aca="false">IFERROR(분석4B_월별매트릭스!AA19/분석4B_월별매트릭스!O19-1,"-")</f>
        <v>2.78571428571429</v>
      </c>
      <c r="F64" s="59" t="n">
        <f aca="false">IFERROR(분석4B_월별매트릭스!AB19/분석4B_월별매트릭스!P19-1,"-")</f>
        <v>-0.771428571428572</v>
      </c>
      <c r="G64" s="59" t="n">
        <f aca="false">IFERROR(분석4B_월별매트릭스!AC19/분석4B_월별매트릭스!Q19-1,"-")</f>
        <v>2.52941176470588</v>
      </c>
      <c r="H64" s="59" t="n">
        <f aca="false">IFERROR(분석4B_월별매트릭스!AD19/분석4B_월별매트릭스!R19-1,"-")</f>
        <v>4.8</v>
      </c>
      <c r="I64" s="59" t="n">
        <f aca="false">IFERROR(분석4B_월별매트릭스!AE19/분석4B_월별매트릭스!S19-1,"-")</f>
        <v>-0.25</v>
      </c>
      <c r="J64" s="59" t="n">
        <f aca="false">IFERROR(분석4B_월별매트릭스!AF19/분석4B_월별매트릭스!T19-1,"-")</f>
        <v>2.05263157894737</v>
      </c>
      <c r="K64" s="59" t="n">
        <f aca="false">IFERROR(분석4B_월별매트릭스!AG19/분석4B_월별매트릭스!U19-1,"-")</f>
        <v>0</v>
      </c>
      <c r="L64" s="57" t="n">
        <f aca="false">분석4B_월별매트릭스!AA19-분석4B_월별매트릭스!O19</f>
        <v>39</v>
      </c>
      <c r="M64" s="57" t="n">
        <f aca="false">분석4B_월별매트릭스!AB19-분석4B_월별매트릭스!P19</f>
        <v>-27</v>
      </c>
      <c r="N64" s="57" t="n">
        <f aca="false">분석4B_월별매트릭스!AC19-분석4B_월별매트릭스!Q19</f>
        <v>43</v>
      </c>
      <c r="O64" s="57" t="n">
        <f aca="false">분석4B_월별매트릭스!AD19-분석4B_월별매트릭스!R19</f>
        <v>48</v>
      </c>
      <c r="P64" s="57" t="n">
        <f aca="false">분석4B_월별매트릭스!AE19-분석4B_월별매트릭스!S19</f>
        <v>-7</v>
      </c>
      <c r="Q64" s="57" t="n">
        <f aca="false">분석4B_월별매트릭스!AF19-분석4B_월별매트릭스!T19</f>
        <v>39</v>
      </c>
      <c r="R64" s="57" t="n">
        <f aca="false">분석4B_월별매트릭스!AG19-분석4B_월별매트릭스!U19</f>
        <v>0</v>
      </c>
      <c r="S64" s="25" t="n">
        <f aca="false">SUMIFS(데이터_품목별!$H$3:$H$2984,데이터_품목별!$E$3:$E$2984,"14",데이터_품목별!$B$3:$B$2984,2025,데이터_품목별!$C$3:$C$2984,"&lt;=7")</f>
        <v>167</v>
      </c>
      <c r="T64" s="25" t="n">
        <f aca="false">SUMIFS(데이터_품목별!$H$3:$H$2984,데이터_품목별!$E$3:$E$2984,"14",데이터_품목별!$B$3:$B$2984,2026,데이터_품목별!$C$3:$C$2984,"&lt;=7")</f>
        <v>302</v>
      </c>
      <c r="U64" s="36" t="n">
        <f aca="false">IFERROR(T64/S64-1,"-")</f>
        <v>0.808383233532934</v>
      </c>
      <c r="V64" s="34" t="n">
        <f aca="false">(T64-S64)/(SUMIFS(데이터_총괄!$H$3:$H$33,데이터_총괄!$B$3:$B$33,2026,데이터_총괄!$C$3:$C$33,"&lt;=7")-SUMIFS(데이터_총괄!$H$3:$H$33,데이터_총괄!$B$3:$B$33,2025,데이터_총괄!$C$3:$C$33,"&lt;=7"))</f>
        <v>6.76101836401766E-007</v>
      </c>
      <c r="W64" s="24" t="n">
        <f aca="false">SUMIFS(데이터_품목별!$G$3:$G$2984,데이터_품목별!$E$3:$E$2984,"14",데이터_품목별!$B$3:$B$2984,2026,데이터_품목별!$C$3:$C$2984,"&lt;=7")</f>
        <v>78.1</v>
      </c>
      <c r="X64" s="36" t="n">
        <f aca="false">IFERROR((T64/W64)/(S64/SUMIFS(데이터_품목별!$G$3:$G$2984,데이터_품목별!$E$3:$E$2984,"14",데이터_품목별!$B$3:$B$2984,2025,데이터_품목별!$C$3:$C$2984,"&lt;=7"))-1,"-")</f>
        <v>1.24137640212533</v>
      </c>
      <c r="Y64" s="67" t="str">
        <f aca="false">IF(OR(W64&lt;100,SUMIFS(데이터_품목별!$G$3:$G$2984,데이터_품목별!$E$3:$E$2984,"14",데이터_품목별!$B$3:$B$2984,2025,데이터_품목별!$C$3:$C$2984,"&lt;=7")&lt;100),"단가 불안정",IF(T64-S64&lt;0,"감소",IF(X64&gt;0.05,"가격 주도",IF(X64&lt;0.02,"물량 주도","혼합"))))</f>
        <v>단가 불안정</v>
      </c>
      <c r="Z64" s="25" t="n">
        <f aca="false">SUMIFS(데이터_품목별!$J$3:$J$2984,데이터_품목별!$E$3:$E$2984,"14",데이터_품목별!$B$3:$B$2984,2026,데이터_품목별!$C$3:$C$2984,"&lt;=7")</f>
        <v>66630</v>
      </c>
      <c r="AA64" s="25" t="n">
        <f aca="false">T64-Z64</f>
        <v>-66328</v>
      </c>
      <c r="AB64" s="65" t="str">
        <f aca="false">IF(T64=0,"자료 없음",IF(U64&gt;1,"1~7월 2배 이상 급증. ",IF(U64&gt;0.5,"1~7월 +50% 초과 급증. ",IF(U64&gt;0.15,"1~7월 뚜렷한 증가. ",IF(U64&gt;0.02,"1~7월 소폭 증가. ",IF(U64&gt;-0.02,"1~7월 보합. ",IF(U64&gt;-0.15,"1~7월 소폭 감소. ","1~7월 뚜렷한 감소. "))))))&amp;"월별로는 "&amp;COUNTIF(E64:K64,"&gt;0")&amp;"개월 증가·"&amp;COUNTIF(E64:K64,"&lt;0")&amp;"개월 감소"&amp;IF(COUNTIF(E64:K64,"&gt;0")=7," (7개월 내내 증가)",IF(COUNTIF(E64:K64,"&lt;0")=7," (7개월 내내 감소)",""))&amp;IFERROR(", 최대 "&amp;TEXT(MAX(E64:K64),"0.0%")&amp;"("&amp;SUBSTITUTE(INDEX($E$5:$K$5,MATCH(MAX(E64:K64),E64:K64,0))," YoY","")&amp;")","")&amp;IFERROR(", 최소 "&amp;TEXT(MIN(E64:K64),"0.0%")&amp;"("&amp;SUBSTITUTE(INDEX($E$5:$K$5,MATCH(MIN(E64:K64),E64:K64,0))," YoY","")&amp;")","")&amp;". "&amp;IF(Y64="가격 주도","단가 상승이 주도. ",IF(Y64="물량 주도","물량 확대가 주도. ",IF(Y64="혼합","물량·단가 동반. ",IF(Y64="감소","감소 품목. ","단가 해석 유보. "))))&amp;IF(V64&gt;0.05,"전체 증가의 5% 이상을 설명하는 대형 품목.",IF(V64&gt;0.005,"전체 증가에 의미 있게 기여.",IF(T64/SUMIFS(데이터_총괄!$H$3:$H$33,데이터_총괄!$B$3:$B$33,2026,데이터_총괄!$C$3:$C$33,"&lt;=7")&lt;0.001,"규모가 작아 총량 영향은 미미.","총량 영향은 제한적."))))</f>
        <v>1~7월 +50% 초과 급증. 월별로는 4개월 증가·2개월 감소, 최대 480.0%(2026.04), 최소 -77.1%(2026.02). 단가 해석 유보. 규모가 작아 총량 영향은 미미.</v>
      </c>
    </row>
    <row r="65" customFormat="false" ht="33.75" hidden="false" customHeight="true" outlineLevel="0" collapsed="false">
      <c r="A65" s="61" t="s">
        <v>19842</v>
      </c>
      <c r="B65" s="68" t="s">
        <v>1016</v>
      </c>
      <c r="C65" s="65" t="str">
        <f aca="false">IFERROR(INDEX(데이터_품목별!$F$3:$F$2984,MATCH($B65,데이터_품목별!$E$3:$E$2984,0)),"")</f>
        <v>일시적 입법 ; 설치된 간이 수정에 따른 입법을 트레이드한다 ; 추가적 수입제한농업인 것의 제 22 부에 따른 확립된 것 조정 행위, 수정된 것처럼</v>
      </c>
      <c r="D65" s="69" t="s">
        <v>20040</v>
      </c>
      <c r="E65" s="59" t="str">
        <f aca="false">IFERROR(분석4B_월별매트릭스!AA102/분석4B_월별매트릭스!O102-1,"-")</f>
        <v>-</v>
      </c>
      <c r="F65" s="59" t="str">
        <f aca="false">IFERROR(분석4B_월별매트릭스!AB102/분석4B_월별매트릭스!P102-1,"-")</f>
        <v>-</v>
      </c>
      <c r="G65" s="59" t="str">
        <f aca="false">IFERROR(분석4B_월별매트릭스!AC102/분석4B_월별매트릭스!Q102-1,"-")</f>
        <v>-</v>
      </c>
      <c r="H65" s="59" t="str">
        <f aca="false">IFERROR(분석4B_월별매트릭스!AD102/분석4B_월별매트릭스!R102-1,"-")</f>
        <v>-</v>
      </c>
      <c r="I65" s="59" t="str">
        <f aca="false">IFERROR(분석4B_월별매트릭스!AE102/분석4B_월별매트릭스!S102-1,"-")</f>
        <v>-</v>
      </c>
      <c r="J65" s="59" t="str">
        <f aca="false">IFERROR(분석4B_월별매트릭스!AF102/분석4B_월별매트릭스!T102-1,"-")</f>
        <v>-</v>
      </c>
      <c r="K65" s="59" t="str">
        <f aca="false">IFERROR(분석4B_월별매트릭스!AG102/분석4B_월별매트릭스!U102-1,"-")</f>
        <v>-</v>
      </c>
      <c r="L65" s="57" t="n">
        <f aca="false">분석4B_월별매트릭스!AA102-분석4B_월별매트릭스!O102</f>
        <v>0</v>
      </c>
      <c r="M65" s="57" t="n">
        <f aca="false">분석4B_월별매트릭스!AB102-분석4B_월별매트릭스!P102</f>
        <v>0</v>
      </c>
      <c r="N65" s="57" t="n">
        <f aca="false">분석4B_월별매트릭스!AC102-분석4B_월별매트릭스!Q102</f>
        <v>0</v>
      </c>
      <c r="O65" s="57" t="n">
        <f aca="false">분석4B_월별매트릭스!AD102-분석4B_월별매트릭스!R102</f>
        <v>0</v>
      </c>
      <c r="P65" s="57" t="n">
        <f aca="false">분석4B_월별매트릭스!AE102-분석4B_월별매트릭스!S102</f>
        <v>0</v>
      </c>
      <c r="Q65" s="57" t="n">
        <f aca="false">분석4B_월별매트릭스!AF102-분석4B_월별매트릭스!T102</f>
        <v>0</v>
      </c>
      <c r="R65" s="57" t="n">
        <f aca="false">분석4B_월별매트릭스!AG102-분석4B_월별매트릭스!U102</f>
        <v>0</v>
      </c>
      <c r="S65" s="25" t="n">
        <f aca="false">SUMIFS(데이터_품목별!$H$3:$H$2984,데이터_품목별!$E$3:$E$2984,"99",데이터_품목별!$B$3:$B$2984,2025,데이터_품목별!$C$3:$C$2984,"&lt;=7")</f>
        <v>0</v>
      </c>
      <c r="T65" s="25" t="n">
        <f aca="false">SUMIFS(데이터_품목별!$H$3:$H$2984,데이터_품목별!$E$3:$E$2984,"99",데이터_품목별!$B$3:$B$2984,2026,데이터_품목별!$C$3:$C$2984,"&lt;=7")</f>
        <v>0</v>
      </c>
      <c r="U65" s="36" t="str">
        <f aca="false">IFERROR(T65/S65-1,"-")</f>
        <v>-</v>
      </c>
      <c r="V65" s="34" t="n">
        <f aca="false">(T65-S65)/(SUMIFS(데이터_총괄!$H$3:$H$33,데이터_총괄!$B$3:$B$33,2026,데이터_총괄!$C$3:$C$33,"&lt;=7")-SUMIFS(데이터_총괄!$H$3:$H$33,데이터_총괄!$B$3:$B$33,2025,데이터_총괄!$C$3:$C$33,"&lt;=7"))</f>
        <v>0</v>
      </c>
      <c r="W65" s="24" t="n">
        <f aca="false">SUMIFS(데이터_품목별!$G$3:$G$2984,데이터_품목별!$E$3:$E$2984,"99",데이터_품목별!$B$3:$B$2984,2026,데이터_품목별!$C$3:$C$2984,"&lt;=7")</f>
        <v>0</v>
      </c>
      <c r="X65" s="36" t="str">
        <f aca="false">IFERROR((T65/W65)/(S65/SUMIFS(데이터_품목별!$G$3:$G$2984,데이터_품목별!$E$3:$E$2984,"99",데이터_품목별!$B$3:$B$2984,2025,데이터_품목별!$C$3:$C$2984,"&lt;=7"))-1,"-")</f>
        <v>-</v>
      </c>
      <c r="Y65" s="67" t="str">
        <f aca="false">IF(OR(W65&lt;100,SUMIFS(데이터_품목별!$G$3:$G$2984,데이터_품목별!$E$3:$E$2984,"99",데이터_품목별!$B$3:$B$2984,2025,데이터_품목별!$C$3:$C$2984,"&lt;=7")&lt;100),"단가 불안정",IF(T65-S65&lt;0,"감소",IF(X65&gt;0.05,"가격 주도",IF(X65&lt;0.02,"물량 주도","혼합"))))</f>
        <v>단가 불안정</v>
      </c>
      <c r="Z65" s="25" t="n">
        <f aca="false">SUMIFS(데이터_품목별!$J$3:$J$2984,데이터_품목별!$E$3:$E$2984,"99",데이터_품목별!$B$3:$B$2984,2026,데이터_품목별!$C$3:$C$2984,"&lt;=7")</f>
        <v>0</v>
      </c>
      <c r="AA65" s="25" t="n">
        <f aca="false">T65-Z65</f>
        <v>0</v>
      </c>
      <c r="AB65" s="65" t="str">
        <f aca="false">IF(T65=0,"자료 없음",IF(U65&gt;1,"1~7월 2배 이상 급증. ",IF(U65&gt;0.5,"1~7월 +50% 초과 급증. ",IF(U65&gt;0.15,"1~7월 뚜렷한 증가. ",IF(U65&gt;0.02,"1~7월 소폭 증가. ",IF(U65&gt;-0.02,"1~7월 보합. ",IF(U65&gt;-0.15,"1~7월 소폭 감소. ","1~7월 뚜렷한 감소. "))))))&amp;"월별로는 "&amp;COUNTIF(E65:K65,"&gt;0")&amp;"개월 증가·"&amp;COUNTIF(E65:K65,"&lt;0")&amp;"개월 감소"&amp;IF(COUNTIF(E65:K65,"&gt;0")=7," (7개월 내내 증가)",IF(COUNTIF(E65:K65,"&lt;0")=7," (7개월 내내 감소)",""))&amp;IFERROR(", 최대 "&amp;TEXT(MAX(E65:K65),"0.0%")&amp;"("&amp;SUBSTITUTE(INDEX($E$5:$K$5,MATCH(MAX(E65:K65),E65:K65,0))," YoY","")&amp;")","")&amp;IFERROR(", 최소 "&amp;TEXT(MIN(E65:K65),"0.0%")&amp;"("&amp;SUBSTITUTE(INDEX($E$5:$K$5,MATCH(MIN(E65:K65),E65:K65,0))," YoY","")&amp;")","")&amp;". "&amp;IF(Y65="가격 주도","단가 상승이 주도. ",IF(Y65="물량 주도","물량 확대가 주도. ",IF(Y65="혼합","물량·단가 동반. ",IF(Y65="감소","감소 품목. ","단가 해석 유보. "))))&amp;IF(V65&gt;0.05,"전체 증가의 5% 이상을 설명하는 대형 품목.",IF(V65&gt;0.005,"전체 증가에 의미 있게 기여.",IF(T65/SUMIFS(데이터_총괄!$H$3:$H$33,데이터_총괄!$B$3:$B$33,2026,데이터_총괄!$C$3:$C$33,"&lt;=7")&lt;0.001,"규모가 작아 총량 영향은 미미.","총량 영향은 제한적."))))</f>
        <v>자료 없음</v>
      </c>
    </row>
    <row r="66" customFormat="false" ht="33.75" hidden="false" customHeight="true" outlineLevel="0" collapsed="false">
      <c r="A66" s="67" t="s">
        <v>19816</v>
      </c>
      <c r="B66" s="68" t="s">
        <v>653</v>
      </c>
      <c r="C66" s="65" t="str">
        <f aca="false">IFERROR(INDEX(데이터_품목별!$F$3:$F$2984,MATCH($B66,데이터_품목별!$E$3:$E$2984,0)),"")</f>
        <v>코르크(cork)와 그 제품</v>
      </c>
      <c r="D66" s="69" t="s">
        <v>20041</v>
      </c>
      <c r="E66" s="59" t="n">
        <f aca="false">IFERROR(분석4B_월별매트릭스!AA50/분석4B_월별매트릭스!O50-1,"-")</f>
        <v>-0.210526315789474</v>
      </c>
      <c r="F66" s="59" t="n">
        <f aca="false">IFERROR(분석4B_월별매트릭스!AB50/분석4B_월별매트릭스!P50-1,"-")</f>
        <v>-0.0540540540540541</v>
      </c>
      <c r="G66" s="59" t="n">
        <f aca="false">IFERROR(분석4B_월별매트릭스!AC50/분석4B_월별매트릭스!Q50-1,"-")</f>
        <v>-0.30188679245283</v>
      </c>
      <c r="H66" s="59" t="n">
        <f aca="false">IFERROR(분석4B_월별매트릭스!AD50/분석4B_월별매트릭스!R50-1,"-")</f>
        <v>0.272727272727273</v>
      </c>
      <c r="I66" s="59" t="n">
        <f aca="false">IFERROR(분석4B_월별매트릭스!AE50/분석4B_월별매트릭스!S50-1,"-")</f>
        <v>-0.169014084507042</v>
      </c>
      <c r="J66" s="59" t="n">
        <f aca="false">IFERROR(분석4B_월별매트릭스!AF50/분석4B_월별매트릭스!T50-1,"-")</f>
        <v>0.666666666666667</v>
      </c>
      <c r="K66" s="59" t="n">
        <f aca="false">IFERROR(분석4B_월별매트릭스!AG50/분석4B_월별매트릭스!U50-1,"-")</f>
        <v>-0.636363636363636</v>
      </c>
      <c r="L66" s="57" t="n">
        <f aca="false">분석4B_월별매트릭스!AA50-분석4B_월별매트릭스!O50</f>
        <v>-4</v>
      </c>
      <c r="M66" s="57" t="n">
        <f aca="false">분석4B_월별매트릭스!AB50-분석4B_월별매트릭스!P50</f>
        <v>-2</v>
      </c>
      <c r="N66" s="57" t="n">
        <f aca="false">분석4B_월별매트릭스!AC50-분석4B_월별매트릭스!Q50</f>
        <v>-16</v>
      </c>
      <c r="O66" s="57" t="n">
        <f aca="false">분석4B_월별매트릭스!AD50-분석4B_월별매트릭스!R50</f>
        <v>9</v>
      </c>
      <c r="P66" s="57" t="n">
        <f aca="false">분석4B_월별매트릭스!AE50-분석4B_월별매트릭스!S50</f>
        <v>-12</v>
      </c>
      <c r="Q66" s="57" t="n">
        <f aca="false">분석4B_월별매트릭스!AF50-분석4B_월별매트릭스!T50</f>
        <v>12</v>
      </c>
      <c r="R66" s="57" t="n">
        <f aca="false">분석4B_월별매트릭스!AG50-분석4B_월별매트릭스!U50</f>
        <v>-42</v>
      </c>
      <c r="S66" s="25" t="n">
        <f aca="false">SUMIFS(데이터_품목별!$H$3:$H$2984,데이터_품목별!$E$3:$E$2984,"45",데이터_품목별!$B$3:$B$2984,2025,데이터_품목별!$C$3:$C$2984,"&lt;=7")</f>
        <v>297</v>
      </c>
      <c r="T66" s="25" t="n">
        <f aca="false">SUMIFS(데이터_품목별!$H$3:$H$2984,데이터_품목별!$E$3:$E$2984,"45",데이터_품목별!$B$3:$B$2984,2026,데이터_품목별!$C$3:$C$2984,"&lt;=7")</f>
        <v>242</v>
      </c>
      <c r="U66" s="36" t="n">
        <f aca="false">IFERROR(T66/S66-1,"-")</f>
        <v>-0.185185185185185</v>
      </c>
      <c r="V66" s="34" t="n">
        <f aca="false">(T66-S66)/(SUMIFS(데이터_총괄!$H$3:$H$33,데이터_총괄!$B$3:$B$33,2026,데이터_총괄!$C$3:$C$33,"&lt;=7")-SUMIFS(데이터_총괄!$H$3:$H$33,데이터_총괄!$B$3:$B$33,2025,데이터_총괄!$C$3:$C$33,"&lt;=7"))</f>
        <v>-2.7544889631183E-007</v>
      </c>
      <c r="W66" s="24" t="n">
        <f aca="false">SUMIFS(데이터_품목별!$G$3:$G$2984,데이터_품목별!$E$3:$E$2984,"45",데이터_품목별!$B$3:$B$2984,2026,데이터_품목별!$C$3:$C$2984,"&lt;=7")</f>
        <v>12.5</v>
      </c>
      <c r="X66" s="36" t="n">
        <f aca="false">IFERROR((T66/W66)/(S66/SUMIFS(데이터_품목별!$G$3:$G$2984,데이터_품목별!$E$3:$E$2984,"45",데이터_품목별!$B$3:$B$2984,2025,데이터_품목별!$C$3:$C$2984,"&lt;=7"))-1,"-")</f>
        <v>0.440592592592593</v>
      </c>
      <c r="Y66" s="67" t="str">
        <f aca="false">IF(OR(W66&lt;100,SUMIFS(데이터_품목별!$G$3:$G$2984,데이터_품목별!$E$3:$E$2984,"45",데이터_품목별!$B$3:$B$2984,2025,데이터_품목별!$C$3:$C$2984,"&lt;=7")&lt;100),"단가 불안정",IF(T66-S66&lt;0,"감소",IF(X66&gt;0.05,"가격 주도",IF(X66&lt;0.02,"물량 주도","혼합"))))</f>
        <v>단가 불안정</v>
      </c>
      <c r="Z66" s="25" t="n">
        <f aca="false">SUMIFS(데이터_품목별!$J$3:$J$2984,데이터_품목별!$E$3:$E$2984,"45",데이터_품목별!$B$3:$B$2984,2026,데이터_품목별!$C$3:$C$2984,"&lt;=7")</f>
        <v>2845</v>
      </c>
      <c r="AA66" s="25" t="n">
        <f aca="false">T66-Z66</f>
        <v>-2603</v>
      </c>
      <c r="AB66" s="65" t="str">
        <f aca="false">IF(T66=0,"자료 없음",IF(U66&gt;1,"1~7월 2배 이상 급증. ",IF(U66&gt;0.5,"1~7월 +50% 초과 급증. ",IF(U66&gt;0.15,"1~7월 뚜렷한 증가. ",IF(U66&gt;0.02,"1~7월 소폭 증가. ",IF(U66&gt;-0.02,"1~7월 보합. ",IF(U66&gt;-0.15,"1~7월 소폭 감소. ","1~7월 뚜렷한 감소. "))))))&amp;"월별로는 "&amp;COUNTIF(E66:K66,"&gt;0")&amp;"개월 증가·"&amp;COUNTIF(E66:K66,"&lt;0")&amp;"개월 감소"&amp;IF(COUNTIF(E66:K66,"&gt;0")=7," (7개월 내내 증가)",IF(COUNTIF(E66:K66,"&lt;0")=7," (7개월 내내 감소)",""))&amp;IFERROR(", 최대 "&amp;TEXT(MAX(E66:K66),"0.0%")&amp;"("&amp;SUBSTITUTE(INDEX($E$5:$K$5,MATCH(MAX(E66:K66),E66:K66,0))," YoY","")&amp;")","")&amp;IFERROR(", 최소 "&amp;TEXT(MIN(E66:K66),"0.0%")&amp;"("&amp;SUBSTITUTE(INDEX($E$5:$K$5,MATCH(MIN(E66:K66),E66:K66,0))," YoY","")&amp;")","")&amp;". "&amp;IF(Y66="가격 주도","단가 상승이 주도. ",IF(Y66="물량 주도","물량 확대가 주도. ",IF(Y66="혼합","물량·단가 동반. ",IF(Y66="감소","감소 품목. ","단가 해석 유보. "))))&amp;IF(V66&gt;0.05,"전체 증가의 5% 이상을 설명하는 대형 품목.",IF(V66&gt;0.005,"전체 증가에 의미 있게 기여.",IF(T66/SUMIFS(데이터_총괄!$H$3:$H$33,데이터_총괄!$B$3:$B$33,2026,데이터_총괄!$C$3:$C$33,"&lt;=7")&lt;0.001,"규모가 작아 총량 영향은 미미.","총량 영향은 제한적."))))</f>
        <v>1~7월 뚜렷한 감소. 월별로는 2개월 증가·5개월 감소, 최대 66.7%(2026.06), 최소 -63.6%(2026.07). 단가 해석 유보. 규모가 작아 총량 영향은 미미.</v>
      </c>
    </row>
    <row r="67" customFormat="false" ht="33.75" hidden="false" customHeight="true" outlineLevel="0" collapsed="false">
      <c r="A67" s="67" t="s">
        <v>19822</v>
      </c>
      <c r="B67" s="68" t="s">
        <v>806</v>
      </c>
      <c r="C67" s="65" t="str">
        <f aca="false">IFERROR(INDEX(데이터_품목별!$F$3:$F$2984,MATCH($B67,데이터_품목별!$E$3:$E$2984,0)),"")</f>
        <v>조제 깃털ㆍ솜털과 그 제품, 조화, 사람 머리카락으로 된 제품</v>
      </c>
      <c r="D67" s="69" t="s">
        <v>20042</v>
      </c>
      <c r="E67" s="59" t="n">
        <f aca="false">IFERROR(분석4B_월별매트릭스!AA72/분석4B_월별매트릭스!O72-1,"-")</f>
        <v>0.0388768898488121</v>
      </c>
      <c r="F67" s="59" t="n">
        <f aca="false">IFERROR(분석4B_월별매트릭스!AB72/분석4B_월별매트릭스!P72-1,"-")</f>
        <v>-0.109497882637629</v>
      </c>
      <c r="G67" s="59" t="n">
        <f aca="false">IFERROR(분석4B_월별매트릭스!AC72/분석4B_월별매트릭스!Q72-1,"-")</f>
        <v>-0.0164383561643836</v>
      </c>
      <c r="H67" s="59" t="n">
        <f aca="false">IFERROR(분석4B_월별매트릭스!AD72/분석4B_월별매트릭스!R72-1,"-")</f>
        <v>-0.00957854406130265</v>
      </c>
      <c r="I67" s="59" t="n">
        <f aca="false">IFERROR(분석4B_월별매트릭스!AE72/분석4B_월별매트릭스!S72-1,"-")</f>
        <v>-0.174878180833784</v>
      </c>
      <c r="J67" s="59" t="n">
        <f aca="false">IFERROR(분석4B_월별매트릭스!AF72/분석4B_월별매트릭스!T72-1,"-")</f>
        <v>0.049771167048055</v>
      </c>
      <c r="K67" s="59" t="n">
        <f aca="false">IFERROR(분석4B_월별매트릭스!AG72/분석4B_월별매트릭스!U72-1,"-")</f>
        <v>0.190419161676647</v>
      </c>
      <c r="L67" s="57" t="n">
        <f aca="false">분석4B_월별매트릭스!AA72-분석4B_월별매트릭스!O72</f>
        <v>54</v>
      </c>
      <c r="M67" s="57" t="n">
        <f aca="false">분석4B_월별매트릭스!AB72-분석4B_월별매트릭스!P72</f>
        <v>-181</v>
      </c>
      <c r="N67" s="57" t="n">
        <f aca="false">분석4B_월별매트릭스!AC72-분석4B_월별매트릭스!Q72</f>
        <v>-30</v>
      </c>
      <c r="O67" s="57" t="n">
        <f aca="false">분석4B_월별매트릭스!AD72-분석4B_월별매트릭스!R72</f>
        <v>-15</v>
      </c>
      <c r="P67" s="57" t="n">
        <f aca="false">분석4B_월별매트릭스!AE72-분석4B_월별매트릭스!S72</f>
        <v>-323</v>
      </c>
      <c r="Q67" s="57" t="n">
        <f aca="false">분석4B_월별매트릭스!AF72-분석4B_월별매트릭스!T72</f>
        <v>87</v>
      </c>
      <c r="R67" s="57" t="n">
        <f aca="false">분석4B_월별매트릭스!AG72-분석4B_월별매트릭스!U72</f>
        <v>318</v>
      </c>
      <c r="S67" s="25" t="n">
        <f aca="false">SUMIFS(데이터_품목별!$H$3:$H$2984,데이터_품목별!$E$3:$E$2984,"67",데이터_품목별!$B$3:$B$2984,2025,데이터_품목별!$C$3:$C$2984,"&lt;=7")</f>
        <v>11698</v>
      </c>
      <c r="T67" s="25" t="n">
        <f aca="false">SUMIFS(데이터_품목별!$H$3:$H$2984,데이터_품목별!$E$3:$E$2984,"67",데이터_품목별!$B$3:$B$2984,2026,데이터_품목별!$C$3:$C$2984,"&lt;=7")</f>
        <v>11608</v>
      </c>
      <c r="U67" s="36" t="n">
        <f aca="false">IFERROR(T67/S67-1,"-")</f>
        <v>-0.00769362284151132</v>
      </c>
      <c r="V67" s="34" t="n">
        <f aca="false">(T67-S67)/(SUMIFS(데이터_총괄!$H$3:$H$33,데이터_총괄!$B$3:$B$33,2026,데이터_총괄!$C$3:$C$33,"&lt;=7")-SUMIFS(데이터_총괄!$H$3:$H$33,데이터_총괄!$B$3:$B$33,2025,데이터_총괄!$C$3:$C$33,"&lt;=7"))</f>
        <v>-4.50734557601177E-007</v>
      </c>
      <c r="W67" s="24" t="n">
        <f aca="false">SUMIFS(데이터_품목별!$G$3:$G$2984,데이터_품목별!$E$3:$E$2984,"67",데이터_품목별!$B$3:$B$2984,2026,데이터_품목별!$C$3:$C$2984,"&lt;=7")</f>
        <v>172.6</v>
      </c>
      <c r="X67" s="36" t="n">
        <f aca="false">IFERROR((T67/W67)/(S67/SUMIFS(데이터_품목별!$G$3:$G$2984,데이터_품목별!$E$3:$E$2984,"67",데이터_품목별!$B$3:$B$2984,2025,데이터_품목별!$C$3:$C$2984,"&lt;=7"))-1,"-")</f>
        <v>-0.257782425891304</v>
      </c>
      <c r="Y67" s="67" t="str">
        <f aca="false">IF(OR(W67&lt;100,SUMIFS(데이터_품목별!$G$3:$G$2984,데이터_품목별!$E$3:$E$2984,"67",데이터_품목별!$B$3:$B$2984,2025,데이터_품목별!$C$3:$C$2984,"&lt;=7")&lt;100),"단가 불안정",IF(T67-S67&lt;0,"감소",IF(X67&gt;0.05,"가격 주도",IF(X67&lt;0.02,"물량 주도","혼합"))))</f>
        <v>감소</v>
      </c>
      <c r="Z67" s="25" t="n">
        <f aca="false">SUMIFS(데이터_품목별!$J$3:$J$2984,데이터_품목별!$E$3:$E$2984,"67",데이터_품목별!$B$3:$B$2984,2026,데이터_품목별!$C$3:$C$2984,"&lt;=7")</f>
        <v>57087</v>
      </c>
      <c r="AA67" s="25" t="n">
        <f aca="false">T67-Z67</f>
        <v>-45479</v>
      </c>
      <c r="AB67" s="65" t="str">
        <f aca="false">IF(T67=0,"자료 없음",IF(U67&gt;1,"1~7월 2배 이상 급증. ",IF(U67&gt;0.5,"1~7월 +50% 초과 급증. ",IF(U67&gt;0.15,"1~7월 뚜렷한 증가. ",IF(U67&gt;0.02,"1~7월 소폭 증가. ",IF(U67&gt;-0.02,"1~7월 보합. ",IF(U67&gt;-0.15,"1~7월 소폭 감소. ","1~7월 뚜렷한 감소. "))))))&amp;"월별로는 "&amp;COUNTIF(E67:K67,"&gt;0")&amp;"개월 증가·"&amp;COUNTIF(E67:K67,"&lt;0")&amp;"개월 감소"&amp;IF(COUNTIF(E67:K67,"&gt;0")=7," (7개월 내내 증가)",IF(COUNTIF(E67:K67,"&lt;0")=7," (7개월 내내 감소)",""))&amp;IFERROR(", 최대 "&amp;TEXT(MAX(E67:K67),"0.0%")&amp;"("&amp;SUBSTITUTE(INDEX($E$5:$K$5,MATCH(MAX(E67:K67),E67:K67,0))," YoY","")&amp;")","")&amp;IFERROR(", 최소 "&amp;TEXT(MIN(E67:K67),"0.0%")&amp;"("&amp;SUBSTITUTE(INDEX($E$5:$K$5,MATCH(MIN(E67:K67),E67:K67,0))," YoY","")&amp;")","")&amp;". "&amp;IF(Y67="가격 주도","단가 상승이 주도. ",IF(Y67="물량 주도","물량 확대가 주도. ",IF(Y67="혼합","물량·단가 동반. ",IF(Y67="감소","감소 품목. ","단가 해석 유보. "))))&amp;IF(V67&gt;0.05,"전체 증가의 5% 이상을 설명하는 대형 품목.",IF(V67&gt;0.005,"전체 증가에 의미 있게 기여.",IF(T67/SUMIFS(데이터_총괄!$H$3:$H$33,데이터_총괄!$B$3:$B$33,2026,데이터_총괄!$C$3:$C$33,"&lt;=7")&lt;0.001,"규모가 작아 총량 영향은 미미.","총량 영향은 제한적."))))</f>
        <v>1~7월 보합. 월별로는 3개월 증가·4개월 감소, 최대 19.0%(2026.07), 최소 -17.5%(2026.05). 감소 품목. 규모가 작아 총량 영향은 미미.</v>
      </c>
    </row>
    <row r="68" customFormat="false" ht="33.75" hidden="false" customHeight="true" outlineLevel="0" collapsed="false">
      <c r="A68" s="67" t="s">
        <v>19820</v>
      </c>
      <c r="B68" s="68" t="s">
        <v>695</v>
      </c>
      <c r="C68" s="65" t="str">
        <f aca="false">IFERROR(INDEX(데이터_품목별!$F$3:$F$2984,MATCH($B68,데이터_품목별!$E$3:$E$2984,0)),"")</f>
        <v>양모ㆍ동물의 부드러운 털이나 거친 털ㆍ말의 털로 만든 실과 직물</v>
      </c>
      <c r="D68" s="69" t="s">
        <v>20043</v>
      </c>
      <c r="E68" s="59" t="n">
        <f aca="false">IFERROR(분석4B_월별매트릭스!AA56/분석4B_월별매트릭스!O56-1,"-")</f>
        <v>-0.162149954832882</v>
      </c>
      <c r="F68" s="59" t="n">
        <f aca="false">IFERROR(분석4B_월별매트릭스!AB56/분석4B_월별매트릭스!P56-1,"-")</f>
        <v>-0.600160901045857</v>
      </c>
      <c r="G68" s="59" t="n">
        <f aca="false">IFERROR(분석4B_월별매트릭스!AC56/분석4B_월별매트릭스!Q56-1,"-")</f>
        <v>0.183451536643026</v>
      </c>
      <c r="H68" s="59" t="n">
        <f aca="false">IFERROR(분석4B_월별매트릭스!AD56/분석4B_월별매트릭스!R56-1,"-")</f>
        <v>0.332079257587158</v>
      </c>
      <c r="I68" s="59" t="n">
        <f aca="false">IFERROR(분석4B_월별매트릭스!AE56/분석4B_월별매트릭스!S56-1,"-")</f>
        <v>-0.260958503798948</v>
      </c>
      <c r="J68" s="59" t="n">
        <f aca="false">IFERROR(분석4B_월별매트릭스!AF56/분석4B_월별매트릭스!T56-1,"-")</f>
        <v>0.285586392121755</v>
      </c>
      <c r="K68" s="59" t="n">
        <f aca="false">IFERROR(분석4B_월별매트릭스!AG56/분석4B_월별매트릭스!U56-1,"-")</f>
        <v>-0.108978752570254</v>
      </c>
      <c r="L68" s="57" t="n">
        <f aca="false">분석4B_월별매트릭스!AA56-분석4B_월별매트릭스!O56</f>
        <v>-359</v>
      </c>
      <c r="M68" s="57" t="n">
        <f aca="false">분석4B_월별매트릭스!AB56-분석4B_월별매트릭스!P56</f>
        <v>-746</v>
      </c>
      <c r="N68" s="57" t="n">
        <f aca="false">분석4B_월별매트릭스!AC56-분석4B_월별매트릭스!Q56</f>
        <v>388</v>
      </c>
      <c r="O68" s="57" t="n">
        <f aca="false">분석4B_월별매트릭스!AD56-분석4B_월별매트릭스!R56</f>
        <v>1324</v>
      </c>
      <c r="P68" s="57" t="n">
        <f aca="false">분석4B_월별매트릭스!AE56-분석4B_월별매트릭스!S56</f>
        <v>-1786</v>
      </c>
      <c r="Q68" s="57" t="n">
        <f aca="false">분석4B_월별매트릭스!AF56-분석4B_월별매트릭스!T56</f>
        <v>1595</v>
      </c>
      <c r="R68" s="57" t="n">
        <f aca="false">분석4B_월별매트릭스!AG56-분석4B_월별매트릭스!U56</f>
        <v>-636</v>
      </c>
      <c r="S68" s="25" t="n">
        <f aca="false">SUMIFS(데이터_품목별!$H$3:$H$2984,데이터_품목별!$E$3:$E$2984,"51",데이터_품목별!$B$3:$B$2984,2025,데이터_품목별!$C$3:$C$2984,"&lt;=7")</f>
        <v>27824</v>
      </c>
      <c r="T68" s="25" t="n">
        <f aca="false">SUMIFS(데이터_품목별!$H$3:$H$2984,데이터_품목별!$E$3:$E$2984,"51",데이터_품목별!$B$3:$B$2984,2026,데이터_품목별!$C$3:$C$2984,"&lt;=7")</f>
        <v>27604</v>
      </c>
      <c r="U68" s="36" t="n">
        <f aca="false">IFERROR(T68/S68-1,"-")</f>
        <v>-0.00790684301322597</v>
      </c>
      <c r="V68" s="34" t="n">
        <f aca="false">(T68-S68)/(SUMIFS(데이터_총괄!$H$3:$H$33,데이터_총괄!$B$3:$B$33,2026,데이터_총괄!$C$3:$C$33,"&lt;=7")-SUMIFS(데이터_총괄!$H$3:$H$33,데이터_총괄!$B$3:$B$33,2025,데이터_총괄!$C$3:$C$33,"&lt;=7"))</f>
        <v>-1.10179558524732E-006</v>
      </c>
      <c r="W68" s="24" t="n">
        <f aca="false">SUMIFS(데이터_품목별!$G$3:$G$2984,데이터_품목별!$E$3:$E$2984,"51",데이터_품목별!$B$3:$B$2984,2026,데이터_품목별!$C$3:$C$2984,"&lt;=7")</f>
        <v>1290.6</v>
      </c>
      <c r="X68" s="36" t="n">
        <f aca="false">IFERROR((T68/W68)/(S68/SUMIFS(데이터_품목별!$G$3:$G$2984,데이터_품목별!$E$3:$E$2984,"51",데이터_품목별!$B$3:$B$2984,2025,데이터_품목별!$C$3:$C$2984,"&lt;=7"))-1,"-")</f>
        <v>0.155059025018074</v>
      </c>
      <c r="Y68" s="67" t="str">
        <f aca="false">IF(OR(W68&lt;100,SUMIFS(데이터_품목별!$G$3:$G$2984,데이터_품목별!$E$3:$E$2984,"51",데이터_품목별!$B$3:$B$2984,2025,데이터_품목별!$C$3:$C$2984,"&lt;=7")&lt;100),"단가 불안정",IF(T68-S68&lt;0,"감소",IF(X68&gt;0.05,"가격 주도",IF(X68&lt;0.02,"물량 주도","혼합"))))</f>
        <v>감소</v>
      </c>
      <c r="Z68" s="25" t="n">
        <f aca="false">SUMIFS(데이터_품목별!$J$3:$J$2984,데이터_품목별!$E$3:$E$2984,"51",데이터_품목별!$B$3:$B$2984,2026,데이터_품목별!$C$3:$C$2984,"&lt;=7")</f>
        <v>132960</v>
      </c>
      <c r="AA68" s="25" t="n">
        <f aca="false">T68-Z68</f>
        <v>-105356</v>
      </c>
      <c r="AB68" s="65" t="str">
        <f aca="false">IF(T68=0,"자료 없음",IF(U68&gt;1,"1~7월 2배 이상 급증. ",IF(U68&gt;0.5,"1~7월 +50% 초과 급증. ",IF(U68&gt;0.15,"1~7월 뚜렷한 증가. ",IF(U68&gt;0.02,"1~7월 소폭 증가. ",IF(U68&gt;-0.02,"1~7월 보합. ",IF(U68&gt;-0.15,"1~7월 소폭 감소. ","1~7월 뚜렷한 감소. "))))))&amp;"월별로는 "&amp;COUNTIF(E68:K68,"&gt;0")&amp;"개월 증가·"&amp;COUNTIF(E68:K68,"&lt;0")&amp;"개월 감소"&amp;IF(COUNTIF(E68:K68,"&gt;0")=7," (7개월 내내 증가)",IF(COUNTIF(E68:K68,"&lt;0")=7," (7개월 내내 감소)",""))&amp;IFERROR(", 최대 "&amp;TEXT(MAX(E68:K68),"0.0%")&amp;"("&amp;SUBSTITUTE(INDEX($E$5:$K$5,MATCH(MAX(E68:K68),E68:K68,0))," YoY","")&amp;")","")&amp;IFERROR(", 최소 "&amp;TEXT(MIN(E68:K68),"0.0%")&amp;"("&amp;SUBSTITUTE(INDEX($E$5:$K$5,MATCH(MIN(E68:K68),E68:K68,0))," YoY","")&amp;")","")&amp;". "&amp;IF(Y68="가격 주도","단가 상승이 주도. ",IF(Y68="물량 주도","물량 확대가 주도. ",IF(Y68="혼합","물량·단가 동반. ",IF(Y68="감소","감소 품목. ","단가 해석 유보. "))))&amp;IF(V68&gt;0.05,"전체 증가의 5% 이상을 설명하는 대형 품목.",IF(V68&gt;0.005,"전체 증가에 의미 있게 기여.",IF(T68/SUMIFS(데이터_총괄!$H$3:$H$33,데이터_총괄!$B$3:$B$33,2026,데이터_총괄!$C$3:$C$33,"&lt;=7")&lt;0.001,"규모가 작아 총량 영향은 미미.","총량 영향은 제한적."))))</f>
        <v>1~7월 보합. 월별로는 3개월 증가·4개월 감소, 최대 33.2%(2026.04), 최소 -60.0%(2026.02). 감소 품목. 규모가 작아 총량 영향은 미미.</v>
      </c>
    </row>
    <row r="69" customFormat="false" ht="33.75" hidden="false" customHeight="true" outlineLevel="0" collapsed="false">
      <c r="A69" s="67" t="s">
        <v>19816</v>
      </c>
      <c r="B69" s="68" t="s">
        <v>660</v>
      </c>
      <c r="C69" s="65" t="str">
        <f aca="false">IFERROR(INDEX(데이터_품목별!$F$3:$F$2984,MATCH($B69,데이터_품목별!$E$3:$E$2984,0)),"")</f>
        <v>짚ㆍ에스파르토(esparto)나 그 밖의 조물 재료의 제품, 바구니 세공물(basketware)과 지조세공물(枝條細工物)</v>
      </c>
      <c r="D69" s="69" t="s">
        <v>20044</v>
      </c>
      <c r="E69" s="59" t="n">
        <f aca="false">IFERROR(분석4B_월별매트릭스!AA51/분석4B_월별매트릭스!O51-1,"-")</f>
        <v>-0.373134328358209</v>
      </c>
      <c r="F69" s="59" t="n">
        <f aca="false">IFERROR(분석4B_월별매트릭스!AB51/분석4B_월별매트릭스!P51-1,"-")</f>
        <v>-0.861842105263158</v>
      </c>
      <c r="G69" s="59" t="n">
        <f aca="false">IFERROR(분석4B_월별매트릭스!AC51/분석4B_월별매트릭스!Q51-1,"-")</f>
        <v>-0.267857142857143</v>
      </c>
      <c r="H69" s="59" t="n">
        <f aca="false">IFERROR(분석4B_월별매트릭스!AD51/분석4B_월별매트릭스!R51-1,"-")</f>
        <v>-0.327731092436975</v>
      </c>
      <c r="I69" s="59" t="n">
        <f aca="false">IFERROR(분석4B_월별매트릭스!AE51/분석4B_월별매트릭스!S51-1,"-")</f>
        <v>-0.685185185185185</v>
      </c>
      <c r="J69" s="59" t="n">
        <f aca="false">IFERROR(분석4B_월별매트릭스!AF51/분석4B_월별매트릭스!T51-1,"-")</f>
        <v>-0.115702479338843</v>
      </c>
      <c r="K69" s="59" t="n">
        <f aca="false">IFERROR(분석4B_월별매트릭스!AG51/분석4B_월별매트릭스!U51-1,"-")</f>
        <v>-0.488</v>
      </c>
      <c r="L69" s="57" t="n">
        <f aca="false">분석4B_월별매트릭스!AA51-분석4B_월별매트릭스!O51</f>
        <v>-25</v>
      </c>
      <c r="M69" s="57" t="n">
        <f aca="false">분석4B_월별매트릭스!AB51-분석4B_월별매트릭스!P51</f>
        <v>-131</v>
      </c>
      <c r="N69" s="57" t="n">
        <f aca="false">분석4B_월별매트릭스!AC51-분석4B_월별매트릭스!Q51</f>
        <v>-30</v>
      </c>
      <c r="O69" s="57" t="n">
        <f aca="false">분석4B_월별매트릭스!AD51-분석4B_월별매트릭스!R51</f>
        <v>-39</v>
      </c>
      <c r="P69" s="57" t="n">
        <f aca="false">분석4B_월별매트릭스!AE51-분석4B_월별매트릭스!S51</f>
        <v>-111</v>
      </c>
      <c r="Q69" s="57" t="n">
        <f aca="false">분석4B_월별매트릭스!AF51-분석4B_월별매트릭스!T51</f>
        <v>-14</v>
      </c>
      <c r="R69" s="57" t="n">
        <f aca="false">분석4B_월별매트릭스!AG51-분석4B_월별매트릭스!U51</f>
        <v>-61</v>
      </c>
      <c r="S69" s="25" t="n">
        <f aca="false">SUMIFS(데이터_품목별!$H$3:$H$2984,데이터_품목별!$E$3:$E$2984,"46",데이터_품목별!$B$3:$B$2984,2025,데이터_품목별!$C$3:$C$2984,"&lt;=7")</f>
        <v>858</v>
      </c>
      <c r="T69" s="25" t="n">
        <f aca="false">SUMIFS(데이터_품목별!$H$3:$H$2984,데이터_품목별!$E$3:$E$2984,"46",데이터_품목별!$B$3:$B$2984,2026,데이터_품목별!$C$3:$C$2984,"&lt;=7")</f>
        <v>447</v>
      </c>
      <c r="U69" s="36" t="n">
        <f aca="false">IFERROR(T69/S69-1,"-")</f>
        <v>-0.479020979020979</v>
      </c>
      <c r="V69" s="34" t="n">
        <f aca="false">(T69-S69)/(SUMIFS(데이터_총괄!$H$3:$H$33,데이터_총괄!$B$3:$B$33,2026,데이터_총괄!$C$3:$C$33,"&lt;=7")-SUMIFS(데이터_총괄!$H$3:$H$33,데이터_총괄!$B$3:$B$33,2025,데이터_총괄!$C$3:$C$33,"&lt;=7"))</f>
        <v>-2.05835447971204E-006</v>
      </c>
      <c r="W69" s="24" t="n">
        <f aca="false">SUMIFS(데이터_품목별!$G$3:$G$2984,데이터_품목별!$E$3:$E$2984,"46",데이터_품목별!$B$3:$B$2984,2026,데이터_품목별!$C$3:$C$2984,"&lt;=7")</f>
        <v>13.1</v>
      </c>
      <c r="X69" s="36" t="n">
        <f aca="false">IFERROR((T69/W69)/(S69/SUMIFS(데이터_품목별!$G$3:$G$2984,데이터_품목별!$E$3:$E$2984,"46",데이터_품목별!$B$3:$B$2984,2025,데이터_품목별!$C$3:$C$2984,"&lt;=7"))-1,"-")</f>
        <v>-0.168819729888432</v>
      </c>
      <c r="Y69" s="67" t="str">
        <f aca="false">IF(OR(W69&lt;100,SUMIFS(데이터_품목별!$G$3:$G$2984,데이터_품목별!$E$3:$E$2984,"46",데이터_품목별!$B$3:$B$2984,2025,데이터_품목별!$C$3:$C$2984,"&lt;=7")&lt;100),"단가 불안정",IF(T69-S69&lt;0,"감소",IF(X69&gt;0.05,"가격 주도",IF(X69&lt;0.02,"물량 주도","혼합"))))</f>
        <v>단가 불안정</v>
      </c>
      <c r="Z69" s="25" t="n">
        <f aca="false">SUMIFS(데이터_품목별!$J$3:$J$2984,데이터_품목별!$E$3:$E$2984,"46",데이터_품목별!$B$3:$B$2984,2026,데이터_품목별!$C$3:$C$2984,"&lt;=7")</f>
        <v>16685</v>
      </c>
      <c r="AA69" s="25" t="n">
        <f aca="false">T69-Z69</f>
        <v>-16238</v>
      </c>
      <c r="AB69" s="65" t="str">
        <f aca="false">IF(T69=0,"자료 없음",IF(U69&gt;1,"1~7월 2배 이상 급증. ",IF(U69&gt;0.5,"1~7월 +50% 초과 급증. ",IF(U69&gt;0.15,"1~7월 뚜렷한 증가. ",IF(U69&gt;0.02,"1~7월 소폭 증가. ",IF(U69&gt;-0.02,"1~7월 보합. ",IF(U69&gt;-0.15,"1~7월 소폭 감소. ","1~7월 뚜렷한 감소. "))))))&amp;"월별로는 "&amp;COUNTIF(E69:K69,"&gt;0")&amp;"개월 증가·"&amp;COUNTIF(E69:K69,"&lt;0")&amp;"개월 감소"&amp;IF(COUNTIF(E69:K69,"&gt;0")=7," (7개월 내내 증가)",IF(COUNTIF(E69:K69,"&lt;0")=7," (7개월 내내 감소)",""))&amp;IFERROR(", 최대 "&amp;TEXT(MAX(E69:K69),"0.0%")&amp;"("&amp;SUBSTITUTE(INDEX($E$5:$K$5,MATCH(MAX(E69:K69),E69:K69,0))," YoY","")&amp;")","")&amp;IFERROR(", 최소 "&amp;TEXT(MIN(E69:K69),"0.0%")&amp;"("&amp;SUBSTITUTE(INDEX($E$5:$K$5,MATCH(MIN(E69:K69),E69:K69,0))," YoY","")&amp;")","")&amp;". "&amp;IF(Y69="가격 주도","단가 상승이 주도. ",IF(Y69="물량 주도","물량 확대가 주도. ",IF(Y69="혼합","물량·단가 동반. ",IF(Y69="감소","감소 품목. ","단가 해석 유보. "))))&amp;IF(V69&gt;0.05,"전체 증가의 5% 이상을 설명하는 대형 품목.",IF(V69&gt;0.005,"전체 증가에 의미 있게 기여.",IF(T69/SUMIFS(데이터_총괄!$H$3:$H$33,데이터_총괄!$B$3:$B$33,2026,데이터_총괄!$C$3:$C$33,"&lt;=7")&lt;0.001,"규모가 작아 총량 영향은 미미.","총량 영향은 제한적."))))</f>
        <v>1~7월 뚜렷한 감소. 월별로는 0개월 증가·7개월 감소 (7개월 내내 감소), 최대 -11.6%(2026.06), 최소 -86.2%(2026.02). 단가 해석 유보. 규모가 작아 총량 영향은 미미.</v>
      </c>
    </row>
    <row r="70" customFormat="false" ht="33.75" hidden="false" customHeight="true" outlineLevel="0" collapsed="false">
      <c r="A70" s="67" t="s">
        <v>19802</v>
      </c>
      <c r="B70" s="68" t="s">
        <v>380</v>
      </c>
      <c r="C70" s="65" t="str">
        <f aca="false">IFERROR(INDEX(데이터_품목별!$F$3:$F$2984,MATCH($B70,데이터_품목별!$E$3:$E$2984,0)),"")</f>
        <v>살아 있는 수목과 그 밖의 식물, 인경(鱗莖)ㆍ뿌리와 이와 유사한 물품, 절화(切花)와 장식용 잎</v>
      </c>
      <c r="D70" s="69" t="s">
        <v>20045</v>
      </c>
      <c r="E70" s="59" t="n">
        <f aca="false">IFERROR(분석4B_월별매트릭스!AA11/분석4B_월별매트릭스!O11-1,"-")</f>
        <v>-0.162679425837321</v>
      </c>
      <c r="F70" s="59" t="n">
        <f aca="false">IFERROR(분석4B_월별매트릭스!AB11/분석4B_월별매트릭스!P11-1,"-")</f>
        <v>-0.373770491803279</v>
      </c>
      <c r="G70" s="59" t="n">
        <f aca="false">IFERROR(분석4B_월별매트릭스!AC11/분석4B_월별매트릭스!Q11-1,"-")</f>
        <v>0.234042553191489</v>
      </c>
      <c r="H70" s="59" t="n">
        <f aca="false">IFERROR(분석4B_월별매트릭스!AD11/분석4B_월별매트릭스!R11-1,"-")</f>
        <v>-0.391527599486521</v>
      </c>
      <c r="I70" s="59" t="n">
        <f aca="false">IFERROR(분석4B_월별매트릭스!AE11/분석4B_월별매트릭스!S11-1,"-")</f>
        <v>-0.272540983606557</v>
      </c>
      <c r="J70" s="59" t="n">
        <f aca="false">IFERROR(분석4B_월별매트릭스!AF11/분석4B_월별매트릭스!T11-1,"-")</f>
        <v>-0.0676056338028169</v>
      </c>
      <c r="K70" s="59" t="n">
        <f aca="false">IFERROR(분석4B_월별매트릭스!AG11/분석4B_월별매트릭스!U11-1,"-")</f>
        <v>-0.0858585858585859</v>
      </c>
      <c r="L70" s="57" t="n">
        <f aca="false">분석4B_월별매트릭스!AA11-분석4B_월별매트릭스!O11</f>
        <v>-68</v>
      </c>
      <c r="M70" s="57" t="n">
        <f aca="false">분석4B_월별매트릭스!AB11-분석4B_월별매트릭스!P11</f>
        <v>-114</v>
      </c>
      <c r="N70" s="57" t="n">
        <f aca="false">분석4B_월별매트릭스!AC11-분석4B_월별매트릭스!Q11</f>
        <v>143</v>
      </c>
      <c r="O70" s="57" t="n">
        <f aca="false">분석4B_월별매트릭스!AD11-분석4B_월별매트릭스!R11</f>
        <v>-305</v>
      </c>
      <c r="P70" s="57" t="n">
        <f aca="false">분석4B_월별매트릭스!AE11-분석4B_월별매트릭스!S11</f>
        <v>-133</v>
      </c>
      <c r="Q70" s="57" t="n">
        <f aca="false">분석4B_월별매트릭스!AF11-분석4B_월별매트릭스!T11</f>
        <v>-24</v>
      </c>
      <c r="R70" s="57" t="n">
        <f aca="false">분석4B_월별매트릭스!AG11-분석4B_월별매트릭스!U11</f>
        <v>-17</v>
      </c>
      <c r="S70" s="25" t="n">
        <f aca="false">SUMIFS(데이터_품목별!$H$3:$H$2984,데이터_품목별!$E$3:$E$2984,"06",데이터_품목별!$B$3:$B$2984,2025,데이터_품목별!$C$3:$C$2984,"&lt;=7")</f>
        <v>3154</v>
      </c>
      <c r="T70" s="25" t="n">
        <f aca="false">SUMIFS(데이터_품목별!$H$3:$H$2984,데이터_품목별!$E$3:$E$2984,"06",데이터_품목별!$B$3:$B$2984,2026,데이터_품목별!$C$3:$C$2984,"&lt;=7")</f>
        <v>2636</v>
      </c>
      <c r="U70" s="36" t="n">
        <f aca="false">IFERROR(T70/S70-1,"-")</f>
        <v>-0.16423589093215</v>
      </c>
      <c r="V70" s="34" t="n">
        <f aca="false">(T70-S70)/(SUMIFS(데이터_총괄!$H$3:$H$33,데이터_총괄!$B$3:$B$33,2026,데이터_총괄!$C$3:$C$33,"&lt;=7")-SUMIFS(데이터_총괄!$H$3:$H$33,데이터_총괄!$B$3:$B$33,2025,데이터_총괄!$C$3:$C$33,"&lt;=7"))</f>
        <v>-2.59422778708233E-006</v>
      </c>
      <c r="W70" s="24" t="n">
        <f aca="false">SUMIFS(데이터_품목별!$G$3:$G$2984,데이터_품목별!$E$3:$E$2984,"06",데이터_품목별!$B$3:$B$2984,2026,데이터_품목별!$C$3:$C$2984,"&lt;=7")</f>
        <v>648.2</v>
      </c>
      <c r="X70" s="36" t="n">
        <f aca="false">IFERROR((T70/W70)/(S70/SUMIFS(데이터_품목별!$G$3:$G$2984,데이터_품목별!$E$3:$E$2984,"06",데이터_품목별!$B$3:$B$2984,2025,데이터_품목별!$C$3:$C$2984,"&lt;=7"))-1,"-")</f>
        <v>-0.248044386904705</v>
      </c>
      <c r="Y70" s="67" t="str">
        <f aca="false">IF(OR(W70&lt;100,SUMIFS(데이터_품목별!$G$3:$G$2984,데이터_품목별!$E$3:$E$2984,"06",데이터_품목별!$B$3:$B$2984,2025,데이터_품목별!$C$3:$C$2984,"&lt;=7")&lt;100),"단가 불안정",IF(T70-S70&lt;0,"감소",IF(X70&gt;0.05,"가격 주도",IF(X70&lt;0.02,"물량 주도","혼합"))))</f>
        <v>감소</v>
      </c>
      <c r="Z70" s="25" t="n">
        <f aca="false">SUMIFS(데이터_품목별!$J$3:$J$2984,데이터_품목별!$E$3:$E$2984,"06",데이터_품목별!$B$3:$B$2984,2026,데이터_품목별!$C$3:$C$2984,"&lt;=7")</f>
        <v>98448</v>
      </c>
      <c r="AA70" s="25" t="n">
        <f aca="false">T70-Z70</f>
        <v>-95812</v>
      </c>
      <c r="AB70" s="65" t="str">
        <f aca="false">IF(T70=0,"자료 없음",IF(U70&gt;1,"1~7월 2배 이상 급증. ",IF(U70&gt;0.5,"1~7월 +50% 초과 급증. ",IF(U70&gt;0.15,"1~7월 뚜렷한 증가. ",IF(U70&gt;0.02,"1~7월 소폭 증가. ",IF(U70&gt;-0.02,"1~7월 보합. ",IF(U70&gt;-0.15,"1~7월 소폭 감소. ","1~7월 뚜렷한 감소. "))))))&amp;"월별로는 "&amp;COUNTIF(E70:K70,"&gt;0")&amp;"개월 증가·"&amp;COUNTIF(E70:K70,"&lt;0")&amp;"개월 감소"&amp;IF(COUNTIF(E70:K70,"&gt;0")=7," (7개월 내내 증가)",IF(COUNTIF(E70:K70,"&lt;0")=7," (7개월 내내 감소)",""))&amp;IFERROR(", 최대 "&amp;TEXT(MAX(E70:K70),"0.0%")&amp;"("&amp;SUBSTITUTE(INDEX($E$5:$K$5,MATCH(MAX(E70:K70),E70:K70,0))," YoY","")&amp;")","")&amp;IFERROR(", 최소 "&amp;TEXT(MIN(E70:K70),"0.0%")&amp;"("&amp;SUBSTITUTE(INDEX($E$5:$K$5,MATCH(MIN(E70:K70),E70:K70,0))," YoY","")&amp;")","")&amp;". "&amp;IF(Y70="가격 주도","단가 상승이 주도. ",IF(Y70="물량 주도","물량 확대가 주도. ",IF(Y70="혼합","물량·단가 동반. ",IF(Y70="감소","감소 품목. ","단가 해석 유보. "))))&amp;IF(V70&gt;0.05,"전체 증가의 5% 이상을 설명하는 대형 품목.",IF(V70&gt;0.005,"전체 증가에 의미 있게 기여.",IF(T70/SUMIFS(데이터_총괄!$H$3:$H$33,데이터_총괄!$B$3:$B$33,2026,데이터_총괄!$C$3:$C$33,"&lt;=7")&lt;0.001,"규모가 작아 총량 영향은 미미.","총량 영향은 제한적."))))</f>
        <v>1~7월 뚜렷한 감소. 월별로는 1개월 증가·6개월 감소, 최대 23.4%(2026.03), 최소 -39.2%(2026.04). 감소 품목. 규모가 작아 총량 영향은 미미.</v>
      </c>
    </row>
    <row r="71" customFormat="false" ht="33.75" hidden="false" customHeight="true" outlineLevel="0" collapsed="false">
      <c r="A71" s="67" t="s">
        <v>19802</v>
      </c>
      <c r="B71" s="68" t="s">
        <v>415</v>
      </c>
      <c r="C71" s="65" t="str">
        <f aca="false">IFERROR(INDEX(데이터_품목별!$F$3:$F$2984,MATCH($B71,데이터_품목별!$E$3:$E$2984,0)),"")</f>
        <v>제분공업의 생산품과 맥아, 전분, 이눌린(inulin), 밀의 글루텐(gluten)</v>
      </c>
      <c r="D71" s="69" t="s">
        <v>20046</v>
      </c>
      <c r="E71" s="59" t="n">
        <f aca="false">IFERROR(분석4B_월별매트릭스!AA16/분석4B_월별매트릭스!O16-1,"-")</f>
        <v>-0.0273459988485896</v>
      </c>
      <c r="F71" s="59" t="n">
        <f aca="false">IFERROR(분석4B_월별매트릭스!AB16/분석4B_월별매트릭스!P16-1,"-")</f>
        <v>-0.188590418166713</v>
      </c>
      <c r="G71" s="59" t="n">
        <f aca="false">IFERROR(분석4B_월별매트릭스!AC16/분석4B_월별매트릭스!Q16-1,"-")</f>
        <v>-0.193782383419689</v>
      </c>
      <c r="H71" s="59" t="n">
        <f aca="false">IFERROR(분석4B_월별매트릭스!AD16/분석4B_월별매트릭스!R16-1,"-")</f>
        <v>0.0116156282998945</v>
      </c>
      <c r="I71" s="59" t="n">
        <f aca="false">IFERROR(분석4B_월별매트릭스!AE16/분석4B_월별매트릭스!S16-1,"-")</f>
        <v>0.107964601769911</v>
      </c>
      <c r="J71" s="59" t="n">
        <f aca="false">IFERROR(분석4B_월별매트릭스!AF16/분석4B_월별매트릭스!T16-1,"-")</f>
        <v>0.0433446049800184</v>
      </c>
      <c r="K71" s="59" t="n">
        <f aca="false">IFERROR(분석4B_월별매트릭스!AG16/분석4B_월별매트릭스!U16-1,"-")</f>
        <v>0.065975494816211</v>
      </c>
      <c r="L71" s="57" t="n">
        <f aca="false">분석4B_월별매트릭스!AA16-분석4B_월별매트릭스!O16</f>
        <v>-95</v>
      </c>
      <c r="M71" s="57" t="n">
        <f aca="false">분석4B_월별매트릭스!AB16-분석4B_월별매트릭스!P16</f>
        <v>-681</v>
      </c>
      <c r="N71" s="57" t="n">
        <f aca="false">분석4B_월별매트릭스!AC16-분석4B_월별매트릭스!Q16</f>
        <v>-748</v>
      </c>
      <c r="O71" s="57" t="n">
        <f aca="false">분석4B_월별매트릭스!AD16-분석4B_월별매트릭스!R16</f>
        <v>44</v>
      </c>
      <c r="P71" s="57" t="n">
        <f aca="false">분석4B_월별매트릭스!AE16-분석4B_월별매트릭스!S16</f>
        <v>366</v>
      </c>
      <c r="Q71" s="57" t="n">
        <f aca="false">분석4B_월별매트릭스!AF16-분석4B_월별매트릭스!T16</f>
        <v>141</v>
      </c>
      <c r="R71" s="57" t="n">
        <f aca="false">분석4B_월별매트릭스!AG16-분석4B_월별매트릭스!U16</f>
        <v>210</v>
      </c>
      <c r="S71" s="25" t="n">
        <f aca="false">SUMIFS(데이터_품목별!$H$3:$H$2984,데이터_품목별!$E$3:$E$2984,"11",데이터_품목별!$B$3:$B$2984,2025,데이터_품목별!$C$3:$C$2984,"&lt;=7")</f>
        <v>24559</v>
      </c>
      <c r="T71" s="25" t="n">
        <f aca="false">SUMIFS(데이터_품목별!$H$3:$H$2984,데이터_품목별!$E$3:$E$2984,"11",데이터_품목별!$B$3:$B$2984,2026,데이터_품목별!$C$3:$C$2984,"&lt;=7")</f>
        <v>23796</v>
      </c>
      <c r="U71" s="36" t="n">
        <f aca="false">IFERROR(T71/S71-1,"-")</f>
        <v>-0.031068040229651</v>
      </c>
      <c r="V71" s="34" t="n">
        <f aca="false">(T71-S71)/(SUMIFS(데이터_총괄!$H$3:$H$33,데이터_총괄!$B$3:$B$33,2026,데이터_총괄!$C$3:$C$33,"&lt;=7")-SUMIFS(데이터_총괄!$H$3:$H$33,데이터_총괄!$B$3:$B$33,2025,데이터_총괄!$C$3:$C$33,"&lt;=7"))</f>
        <v>-3.82122741610776E-006</v>
      </c>
      <c r="W71" s="24" t="n">
        <f aca="false">SUMIFS(데이터_품목별!$G$3:$G$2984,데이터_품목별!$E$3:$E$2984,"11",데이터_품목별!$B$3:$B$2984,2026,데이터_품목별!$C$3:$C$2984,"&lt;=7")</f>
        <v>35712</v>
      </c>
      <c r="X71" s="36" t="n">
        <f aca="false">IFERROR((T71/W71)/(S71/SUMIFS(데이터_품목별!$G$3:$G$2984,데이터_품목별!$E$3:$E$2984,"11",데이터_품목별!$B$3:$B$2984,2025,데이터_품목별!$C$3:$C$2984,"&lt;=7"))-1,"-")</f>
        <v>-0.074031295110261</v>
      </c>
      <c r="Y71" s="67" t="str">
        <f aca="false">IF(OR(W71&lt;100,SUMIFS(데이터_품목별!$G$3:$G$2984,데이터_품목별!$E$3:$E$2984,"11",데이터_품목별!$B$3:$B$2984,2025,데이터_품목별!$C$3:$C$2984,"&lt;=7")&lt;100),"단가 불안정",IF(T71-S71&lt;0,"감소",IF(X71&gt;0.05,"가격 주도",IF(X71&lt;0.02,"물량 주도","혼합"))))</f>
        <v>감소</v>
      </c>
      <c r="Z71" s="25" t="n">
        <f aca="false">SUMIFS(데이터_품목별!$J$3:$J$2984,데이터_품목별!$E$3:$E$2984,"11",데이터_품목별!$B$3:$B$2984,2026,데이터_품목별!$C$3:$C$2984,"&lt;=7")</f>
        <v>177830</v>
      </c>
      <c r="AA71" s="25" t="n">
        <f aca="false">T71-Z71</f>
        <v>-154034</v>
      </c>
      <c r="AB71" s="65" t="str">
        <f aca="false">IF(T71=0,"자료 없음",IF(U71&gt;1,"1~7월 2배 이상 급증. ",IF(U71&gt;0.5,"1~7월 +50% 초과 급증. ",IF(U71&gt;0.15,"1~7월 뚜렷한 증가. ",IF(U71&gt;0.02,"1~7월 소폭 증가. ",IF(U71&gt;-0.02,"1~7월 보합. ",IF(U71&gt;-0.15,"1~7월 소폭 감소. ","1~7월 뚜렷한 감소. "))))))&amp;"월별로는 "&amp;COUNTIF(E71:K71,"&gt;0")&amp;"개월 증가·"&amp;COUNTIF(E71:K71,"&lt;0")&amp;"개월 감소"&amp;IF(COUNTIF(E71:K71,"&gt;0")=7," (7개월 내내 증가)",IF(COUNTIF(E71:K71,"&lt;0")=7," (7개월 내내 감소)",""))&amp;IFERROR(", 최대 "&amp;TEXT(MAX(E71:K71),"0.0%")&amp;"("&amp;SUBSTITUTE(INDEX($E$5:$K$5,MATCH(MAX(E71:K71),E71:K71,0))," YoY","")&amp;")","")&amp;IFERROR(", 최소 "&amp;TEXT(MIN(E71:K71),"0.0%")&amp;"("&amp;SUBSTITUTE(INDEX($E$5:$K$5,MATCH(MIN(E71:K71),E71:K71,0))," YoY","")&amp;")","")&amp;". "&amp;IF(Y71="가격 주도","단가 상승이 주도. ",IF(Y71="물량 주도","물량 확대가 주도. ",IF(Y71="혼합","물량·단가 동반. ",IF(Y71="감소","감소 품목. ","단가 해석 유보. "))))&amp;IF(V71&gt;0.05,"전체 증가의 5% 이상을 설명하는 대형 품목.",IF(V71&gt;0.005,"전체 증가에 의미 있게 기여.",IF(T71/SUMIFS(데이터_총괄!$H$3:$H$33,데이터_총괄!$B$3:$B$33,2026,데이터_총괄!$C$3:$C$33,"&lt;=7")&lt;0.001,"규모가 작아 총량 영향은 미미.","총량 영향은 제한적."))))</f>
        <v>1~7월 소폭 감소. 월별로는 4개월 증가·3개월 감소, 최대 10.8%(2026.05), 최소 -19.4%(2026.03). 감소 품목. 규모가 작아 총량 영향은 미미.</v>
      </c>
    </row>
    <row r="72" customFormat="false" ht="33.75" hidden="false" customHeight="true" outlineLevel="0" collapsed="false">
      <c r="A72" s="67" t="s">
        <v>19820</v>
      </c>
      <c r="B72" s="68" t="s">
        <v>702</v>
      </c>
      <c r="C72" s="65" t="str">
        <f aca="false">IFERROR(INDEX(데이터_품목별!$F$3:$F$2984,MATCH($B72,데이터_품목별!$E$3:$E$2984,0)),"")</f>
        <v>면</v>
      </c>
      <c r="D72" s="69" t="s">
        <v>20047</v>
      </c>
      <c r="E72" s="59" t="n">
        <f aca="false">IFERROR(분석4B_월별매트릭스!AA57/분석4B_월별매트릭스!O57-1,"-")</f>
        <v>0.0424311926605505</v>
      </c>
      <c r="F72" s="59" t="n">
        <f aca="false">IFERROR(분석4B_월별매트릭스!AB57/분석4B_월별매트릭스!P57-1,"-")</f>
        <v>-0.132849087259868</v>
      </c>
      <c r="G72" s="59" t="n">
        <f aca="false">IFERROR(분석4B_월별매트릭스!AC57/분석4B_월별매트릭스!Q57-1,"-")</f>
        <v>0.123702763059947</v>
      </c>
      <c r="H72" s="59" t="n">
        <f aca="false">IFERROR(분석4B_월별매트릭스!AD57/분석4B_월별매트릭스!R57-1,"-")</f>
        <v>0.0801469087941236</v>
      </c>
      <c r="I72" s="59" t="n">
        <f aca="false">IFERROR(분석4B_월별매트릭스!AE57/분석4B_월별매트릭스!S57-1,"-")</f>
        <v>-0.151997920380273</v>
      </c>
      <c r="J72" s="59" t="n">
        <f aca="false">IFERROR(분석4B_월별매트릭스!AF57/분석4B_월별매트릭스!T57-1,"-")</f>
        <v>-0.0506183148435325</v>
      </c>
      <c r="K72" s="59" t="n">
        <f aca="false">IFERROR(분석4B_월별매트릭스!AG57/분석4B_월별매트릭스!U57-1,"-")</f>
        <v>0.0662531231153614</v>
      </c>
      <c r="L72" s="57" t="n">
        <f aca="false">분석4B_월별매트릭스!AA57-분석4B_월별매트릭스!O57</f>
        <v>888</v>
      </c>
      <c r="M72" s="57" t="n">
        <f aca="false">분석4B_월별매트릭스!AB57-분석4B_월별매트릭스!P57</f>
        <v>-2780</v>
      </c>
      <c r="N72" s="57" t="n">
        <f aca="false">분석4B_월별매트릭스!AC57-분석4B_월별매트릭스!Q57</f>
        <v>2825</v>
      </c>
      <c r="O72" s="57" t="n">
        <f aca="false">분석4B_월별매트릭스!AD57-분석4B_월별매트릭스!R57</f>
        <v>1964</v>
      </c>
      <c r="P72" s="57" t="n">
        <f aca="false">분석4B_월별매트릭스!AE57-분석4B_월별매트릭스!S57</f>
        <v>-4093</v>
      </c>
      <c r="Q72" s="57" t="n">
        <f aca="false">분석4B_월별매트릭스!AF57-분석4B_월별매트릭스!T57</f>
        <v>-1273</v>
      </c>
      <c r="R72" s="57" t="n">
        <f aca="false">분석4B_월별매트릭스!AG57-분석4B_월별매트릭스!U57</f>
        <v>1538</v>
      </c>
      <c r="S72" s="25" t="n">
        <f aca="false">SUMIFS(데이터_품목별!$H$3:$H$2984,데이터_품목별!$E$3:$E$2984,"52",데이터_품목별!$B$3:$B$2984,2025,데이터_품목별!$C$3:$C$2984,"&lt;=7")</f>
        <v>164487</v>
      </c>
      <c r="T72" s="25" t="n">
        <f aca="false">SUMIFS(데이터_품목별!$H$3:$H$2984,데이터_품목별!$E$3:$E$2984,"52",데이터_품목별!$B$3:$B$2984,2026,데이터_품목별!$C$3:$C$2984,"&lt;=7")</f>
        <v>163556</v>
      </c>
      <c r="U72" s="36" t="n">
        <f aca="false">IFERROR(T72/S72-1,"-")</f>
        <v>-0.00566002176463798</v>
      </c>
      <c r="V72" s="34" t="n">
        <f aca="false">(T72-S72)/(SUMIFS(데이터_총괄!$H$3:$H$33,데이터_총괄!$B$3:$B$33,2026,데이터_총괄!$C$3:$C$33,"&lt;=7")-SUMIFS(데이터_총괄!$H$3:$H$33,데이터_총괄!$B$3:$B$33,2025,데이터_총괄!$C$3:$C$33,"&lt;=7"))</f>
        <v>-4.66259859029662E-006</v>
      </c>
      <c r="W72" s="24" t="n">
        <f aca="false">SUMIFS(데이터_품목별!$G$3:$G$2984,데이터_품목별!$E$3:$E$2984,"52",데이터_품목별!$B$3:$B$2984,2026,데이터_품목별!$C$3:$C$2984,"&lt;=7")</f>
        <v>20917.9</v>
      </c>
      <c r="X72" s="36" t="n">
        <f aca="false">IFERROR((T72/W72)/(S72/SUMIFS(데이터_품목별!$G$3:$G$2984,데이터_품목별!$E$3:$E$2984,"52",데이터_품목별!$B$3:$B$2984,2025,데이터_품목별!$C$3:$C$2984,"&lt;=7"))-1,"-")</f>
        <v>0.00545849973652834</v>
      </c>
      <c r="Y72" s="67" t="str">
        <f aca="false">IF(OR(W72&lt;100,SUMIFS(데이터_품목별!$G$3:$G$2984,데이터_품목별!$E$3:$E$2984,"52",데이터_품목별!$B$3:$B$2984,2025,데이터_품목별!$C$3:$C$2984,"&lt;=7")&lt;100),"단가 불안정",IF(T72-S72&lt;0,"감소",IF(X72&gt;0.05,"가격 주도",IF(X72&lt;0.02,"물량 주도","혼합"))))</f>
        <v>감소</v>
      </c>
      <c r="Z72" s="25" t="n">
        <f aca="false">SUMIFS(데이터_품목별!$J$3:$J$2984,데이터_품목별!$E$3:$E$2984,"52",데이터_품목별!$B$3:$B$2984,2026,데이터_품목별!$C$3:$C$2984,"&lt;=7")</f>
        <v>402430</v>
      </c>
      <c r="AA72" s="25" t="n">
        <f aca="false">T72-Z72</f>
        <v>-238874</v>
      </c>
      <c r="AB72" s="65" t="str">
        <f aca="false">IF(T72=0,"자료 없음",IF(U72&gt;1,"1~7월 2배 이상 급증. ",IF(U72&gt;0.5,"1~7월 +50% 초과 급증. ",IF(U72&gt;0.15,"1~7월 뚜렷한 증가. ",IF(U72&gt;0.02,"1~7월 소폭 증가. ",IF(U72&gt;-0.02,"1~7월 보합. ",IF(U72&gt;-0.15,"1~7월 소폭 감소. ","1~7월 뚜렷한 감소. "))))))&amp;"월별로는 "&amp;COUNTIF(E72:K72,"&gt;0")&amp;"개월 증가·"&amp;COUNTIF(E72:K72,"&lt;0")&amp;"개월 감소"&amp;IF(COUNTIF(E72:K72,"&gt;0")=7," (7개월 내내 증가)",IF(COUNTIF(E72:K72,"&lt;0")=7," (7개월 내내 감소)",""))&amp;IFERROR(", 최대 "&amp;TEXT(MAX(E72:K72),"0.0%")&amp;"("&amp;SUBSTITUTE(INDEX($E$5:$K$5,MATCH(MAX(E72:K72),E72:K72,0))," YoY","")&amp;")","")&amp;IFERROR(", 최소 "&amp;TEXT(MIN(E72:K72),"0.0%")&amp;"("&amp;SUBSTITUTE(INDEX($E$5:$K$5,MATCH(MIN(E72:K72),E72:K72,0))," YoY","")&amp;")","")&amp;". "&amp;IF(Y72="가격 주도","단가 상승이 주도. ",IF(Y72="물량 주도","물량 확대가 주도. ",IF(Y72="혼합","물량·단가 동반. ",IF(Y72="감소","감소 품목. ","단가 해석 유보. "))))&amp;IF(V72&gt;0.05,"전체 증가의 5% 이상을 설명하는 대형 품목.",IF(V72&gt;0.005,"전체 증가에 의미 있게 기여.",IF(T72/SUMIFS(데이터_총괄!$H$3:$H$33,데이터_총괄!$B$3:$B$33,2026,데이터_총괄!$C$3:$C$33,"&lt;=7")&lt;0.001,"규모가 작아 총량 영향은 미미.","총량 영향은 제한적."))))</f>
        <v>1~7월 보합. 월별로는 4개월 증가·3개월 감소, 최대 12.4%(2026.03), 최소 -15.2%(2026.05). 감소 품목. 규모가 작아 총량 영향은 미미.</v>
      </c>
    </row>
    <row r="73" customFormat="false" ht="33.75" hidden="false" customHeight="true" outlineLevel="0" collapsed="false">
      <c r="A73" s="67" t="s">
        <v>19820</v>
      </c>
      <c r="B73" s="68" t="s">
        <v>709</v>
      </c>
      <c r="C73" s="65" t="str">
        <f aca="false">IFERROR(INDEX(데이터_품목별!$F$3:$F$2984,MATCH($B73,데이터_품목별!$E$3:$E$2984,0)),"")</f>
        <v>그 밖의 식물성 방직용 섬유, 종이실(paper yarn)과 종이실로 만든 직물</v>
      </c>
      <c r="D73" s="69" t="s">
        <v>20048</v>
      </c>
      <c r="E73" s="59" t="n">
        <f aca="false">IFERROR(분석4B_월별매트릭스!AA58/분석4B_월별매트릭스!O58-1,"-")</f>
        <v>-0.299492385786802</v>
      </c>
      <c r="F73" s="59" t="n">
        <f aca="false">IFERROR(분석4B_월별매트릭스!AB58/분석4B_월별매트릭스!P58-1,"-")</f>
        <v>-0.420318725099602</v>
      </c>
      <c r="G73" s="59" t="n">
        <f aca="false">IFERROR(분석4B_월별매트릭스!AC58/분석4B_월별매트릭스!Q58-1,"-")</f>
        <v>-0.0239043824701195</v>
      </c>
      <c r="H73" s="59" t="n">
        <f aca="false">IFERROR(분석4B_월별매트릭스!AD58/분석4B_월별매트릭스!R58-1,"-")</f>
        <v>-0.306167400881057</v>
      </c>
      <c r="I73" s="59" t="n">
        <f aca="false">IFERROR(분석4B_월별매트릭스!AE58/분석4B_월별매트릭스!S58-1,"-")</f>
        <v>-0.133501259445844</v>
      </c>
      <c r="J73" s="59" t="n">
        <f aca="false">IFERROR(분석4B_월별매트릭스!AF58/분석4B_월별매트릭스!T58-1,"-")</f>
        <v>0.00301204819277112</v>
      </c>
      <c r="K73" s="59" t="n">
        <f aca="false">IFERROR(분석4B_월별매트릭스!AG58/분석4B_월별매트릭스!U58-1,"-")</f>
        <v>-0.535502958579882</v>
      </c>
      <c r="L73" s="57" t="n">
        <f aca="false">분석4B_월별매트릭스!AA58-분석4B_월별매트릭스!O58</f>
        <v>-354</v>
      </c>
      <c r="M73" s="57" t="n">
        <f aca="false">분석4B_월별매트릭스!AB58-분석4B_월별매트릭스!P58</f>
        <v>-211</v>
      </c>
      <c r="N73" s="57" t="n">
        <f aca="false">분석4B_월별매트릭스!AC58-분석4B_월별매트릭스!Q58</f>
        <v>-12</v>
      </c>
      <c r="O73" s="57" t="n">
        <f aca="false">분석4B_월별매트릭스!AD58-분석4B_월별매트릭스!R58</f>
        <v>-139</v>
      </c>
      <c r="P73" s="57" t="n">
        <f aca="false">분석4B_월별매트릭스!AE58-분석4B_월별매트릭스!S58</f>
        <v>-53</v>
      </c>
      <c r="Q73" s="57" t="n">
        <f aca="false">분석4B_월별매트릭스!AF58-분석4B_월별매트릭스!T58</f>
        <v>1</v>
      </c>
      <c r="R73" s="57" t="n">
        <f aca="false">분석4B_월별매트릭스!AG58-분석4B_월별매트릭스!U58</f>
        <v>-181</v>
      </c>
      <c r="S73" s="25" t="n">
        <f aca="false">SUMIFS(데이터_품목별!$H$3:$H$2984,데이터_품목별!$E$3:$E$2984,"53",데이터_품목별!$B$3:$B$2984,2025,데이터_품목별!$C$3:$C$2984,"&lt;=7")</f>
        <v>3707</v>
      </c>
      <c r="T73" s="25" t="n">
        <f aca="false">SUMIFS(데이터_품목별!$H$3:$H$2984,데이터_품목별!$E$3:$E$2984,"53",데이터_품목별!$B$3:$B$2984,2026,데이터_품목별!$C$3:$C$2984,"&lt;=7")</f>
        <v>2758</v>
      </c>
      <c r="U73" s="36" t="n">
        <f aca="false">IFERROR(T73/S73-1,"-")</f>
        <v>-0.256002158079309</v>
      </c>
      <c r="V73" s="34" t="n">
        <f aca="false">(T73-S73)/(SUMIFS(데이터_총괄!$H$3:$H$33,데이터_총괄!$B$3:$B$33,2026,데이터_총괄!$C$3:$C$33,"&lt;=7")-SUMIFS(데이터_총괄!$H$3:$H$33,데이터_총괄!$B$3:$B$33,2025,데이터_총괄!$C$3:$C$33,"&lt;=7"))</f>
        <v>-4.75274550181686E-006</v>
      </c>
      <c r="W73" s="24" t="n">
        <f aca="false">SUMIFS(데이터_품목별!$G$3:$G$2984,데이터_품목별!$E$3:$E$2984,"53",데이터_품목별!$B$3:$B$2984,2026,데이터_품목별!$C$3:$C$2984,"&lt;=7")</f>
        <v>152.6</v>
      </c>
      <c r="X73" s="36" t="n">
        <f aca="false">IFERROR((T73/W73)/(S73/SUMIFS(데이터_품목별!$G$3:$G$2984,데이터_품목별!$E$3:$E$2984,"53",데이터_품목별!$B$3:$B$2984,2025,데이터_품목별!$C$3:$C$2984,"&lt;=7"))-1,"-")</f>
        <v>0.0808933260407414</v>
      </c>
      <c r="Y73" s="67" t="str">
        <f aca="false">IF(OR(W73&lt;100,SUMIFS(데이터_품목별!$G$3:$G$2984,데이터_품목별!$E$3:$E$2984,"53",데이터_품목별!$B$3:$B$2984,2025,데이터_품목별!$C$3:$C$2984,"&lt;=7")&lt;100),"단가 불안정",IF(T73-S73&lt;0,"감소",IF(X73&gt;0.05,"가격 주도",IF(X73&lt;0.02,"물량 주도","혼합"))))</f>
        <v>감소</v>
      </c>
      <c r="Z73" s="25" t="n">
        <f aca="false">SUMIFS(데이터_품목별!$J$3:$J$2984,데이터_품목별!$E$3:$E$2984,"53",데이터_품목별!$B$3:$B$2984,2026,데이터_품목별!$C$3:$C$2984,"&lt;=7")</f>
        <v>27284</v>
      </c>
      <c r="AA73" s="25" t="n">
        <f aca="false">T73-Z73</f>
        <v>-24526</v>
      </c>
      <c r="AB73" s="65" t="str">
        <f aca="false">IF(T73=0,"자료 없음",IF(U73&gt;1,"1~7월 2배 이상 급증. ",IF(U73&gt;0.5,"1~7월 +50% 초과 급증. ",IF(U73&gt;0.15,"1~7월 뚜렷한 증가. ",IF(U73&gt;0.02,"1~7월 소폭 증가. ",IF(U73&gt;-0.02,"1~7월 보합. ",IF(U73&gt;-0.15,"1~7월 소폭 감소. ","1~7월 뚜렷한 감소. "))))))&amp;"월별로는 "&amp;COUNTIF(E73:K73,"&gt;0")&amp;"개월 증가·"&amp;COUNTIF(E73:K73,"&lt;0")&amp;"개월 감소"&amp;IF(COUNTIF(E73:K73,"&gt;0")=7," (7개월 내내 증가)",IF(COUNTIF(E73:K73,"&lt;0")=7," (7개월 내내 감소)",""))&amp;IFERROR(", 최대 "&amp;TEXT(MAX(E73:K73),"0.0%")&amp;"("&amp;SUBSTITUTE(INDEX($E$5:$K$5,MATCH(MAX(E73:K73),E73:K73,0))," YoY","")&amp;")","")&amp;IFERROR(", 최소 "&amp;TEXT(MIN(E73:K73),"0.0%")&amp;"("&amp;SUBSTITUTE(INDEX($E$5:$K$5,MATCH(MIN(E73:K73),E73:K73,0))," YoY","")&amp;")","")&amp;". "&amp;IF(Y73="가격 주도","단가 상승이 주도. ",IF(Y73="물량 주도","물량 확대가 주도. ",IF(Y73="혼합","물량·단가 동반. ",IF(Y73="감소","감소 품목. ","단가 해석 유보. "))))&amp;IF(V73&gt;0.05,"전체 증가의 5% 이상을 설명하는 대형 품목.",IF(V73&gt;0.005,"전체 증가에 의미 있게 기여.",IF(T73/SUMIFS(데이터_총괄!$H$3:$H$33,데이터_총괄!$B$3:$B$33,2026,데이터_총괄!$C$3:$C$33,"&lt;=7")&lt;0.001,"규모가 작아 총량 영향은 미미.","총량 영향은 제한적."))))</f>
        <v>1~7월 뚜렷한 감소. 월별로는 1개월 증가·6개월 감소, 최대 0.3%(2026.06), 최소 -53.6%(2026.07). 감소 품목. 규모가 작아 총량 영향은 미미.</v>
      </c>
    </row>
    <row r="74" customFormat="false" ht="33.75" hidden="false" customHeight="true" outlineLevel="0" collapsed="false">
      <c r="A74" s="67" t="s">
        <v>19820</v>
      </c>
      <c r="B74" s="68" t="s">
        <v>744</v>
      </c>
      <c r="C74" s="65" t="str">
        <f aca="false">IFERROR(INDEX(데이터_품목별!$F$3:$F$2984,MATCH($B74,데이터_품목별!$E$3:$E$2984,0)),"")</f>
        <v>특수직물, 터프트(tuft)한 직물, 레이스, 태피스트리(tapestry), 트리밍(trimming), 자수천</v>
      </c>
      <c r="D74" s="69" t="s">
        <v>20049</v>
      </c>
      <c r="E74" s="59" t="n">
        <f aca="false">IFERROR(분석4B_월별매트릭스!AA63/분석4B_월별매트릭스!O63-1,"-")</f>
        <v>0.0758601240834744</v>
      </c>
      <c r="F74" s="59" t="n">
        <f aca="false">IFERROR(분석4B_월별매트릭스!AB63/분석4B_월별매트릭스!P63-1,"-")</f>
        <v>-0.229552561943709</v>
      </c>
      <c r="G74" s="59" t="n">
        <f aca="false">IFERROR(분석4B_월별매트릭스!AC63/분석4B_월별매트릭스!Q63-1,"-")</f>
        <v>-0.032781543274244</v>
      </c>
      <c r="H74" s="59" t="n">
        <f aca="false">IFERROR(분석4B_월별매트릭스!AD63/분석4B_월별매트릭스!R63-1,"-")</f>
        <v>0.0218298188467911</v>
      </c>
      <c r="I74" s="59" t="n">
        <f aca="false">IFERROR(분석4B_월별매트릭스!AE63/분석4B_월별매트릭스!S63-1,"-")</f>
        <v>-0.0174990169091624</v>
      </c>
      <c r="J74" s="59" t="n">
        <f aca="false">IFERROR(분석4B_월별매트릭스!AF63/분석4B_월별매트릭스!T63-1,"-")</f>
        <v>-0.027854085478822</v>
      </c>
      <c r="K74" s="59" t="n">
        <f aca="false">IFERROR(분석4B_월별매트릭스!AG63/분석4B_월별매트릭스!U63-1,"-")</f>
        <v>0.153724247226624</v>
      </c>
      <c r="L74" s="57" t="n">
        <f aca="false">분석4B_월별매트릭스!AA63-분석4B_월별매트릭스!O63</f>
        <v>1076</v>
      </c>
      <c r="M74" s="57" t="n">
        <f aca="false">분석4B_월별매트릭스!AB63-분석4B_월별매트릭스!P63</f>
        <v>-3817</v>
      </c>
      <c r="N74" s="57" t="n">
        <f aca="false">분석4B_월별매트릭스!AC63-분석4B_월별매트릭스!Q63</f>
        <v>-503</v>
      </c>
      <c r="O74" s="57" t="n">
        <f aca="false">분석4B_월별매트릭스!AD63-분석4B_월별매트릭스!R63</f>
        <v>382</v>
      </c>
      <c r="P74" s="57" t="n">
        <f aca="false">분석4B_월별매트릭스!AE63-분석4B_월별매트릭스!S63</f>
        <v>-267</v>
      </c>
      <c r="Q74" s="57" t="n">
        <f aca="false">분석4B_월별매트릭스!AF63-분석4B_월별매트릭스!T63</f>
        <v>-436</v>
      </c>
      <c r="R74" s="57" t="n">
        <f aca="false">분석4B_월별매트릭스!AG63-분석4B_월별매트릭스!U63</f>
        <v>2134</v>
      </c>
      <c r="S74" s="25" t="n">
        <f aca="false">SUMIFS(데이터_품목별!$H$3:$H$2984,데이터_품목별!$E$3:$E$2984,"58",데이터_품목별!$B$3:$B$2984,2025,데이터_품목별!$C$3:$C$2984,"&lt;=7")</f>
        <v>108448</v>
      </c>
      <c r="T74" s="25" t="n">
        <f aca="false">SUMIFS(데이터_품목별!$H$3:$H$2984,데이터_품목별!$E$3:$E$2984,"58",데이터_품목별!$B$3:$B$2984,2026,데이터_품목별!$C$3:$C$2984,"&lt;=7")</f>
        <v>107017</v>
      </c>
      <c r="U74" s="36" t="n">
        <f aca="false">IFERROR(T74/S74-1,"-")</f>
        <v>-0.013195264089702</v>
      </c>
      <c r="V74" s="34" t="n">
        <f aca="false">(T74-S74)/(SUMIFS(데이터_총괄!$H$3:$H$33,데이터_총괄!$B$3:$B$33,2026,데이터_총괄!$C$3:$C$33,"&lt;=7")-SUMIFS(데이터_총괄!$H$3:$H$33,데이터_총괄!$B$3:$B$33,2025,데이터_총괄!$C$3:$C$33,"&lt;=7"))</f>
        <v>-7.16667946585872E-006</v>
      </c>
      <c r="W74" s="24" t="n">
        <f aca="false">SUMIFS(데이터_품목별!$G$3:$G$2984,데이터_품목별!$E$3:$E$2984,"58",데이터_품목별!$B$3:$B$2984,2026,데이터_품목별!$C$3:$C$2984,"&lt;=7")</f>
        <v>8983.5</v>
      </c>
      <c r="X74" s="36" t="n">
        <f aca="false">IFERROR((T74/W74)/(S74/SUMIFS(데이터_품목별!$G$3:$G$2984,데이터_품목별!$E$3:$E$2984,"58",데이터_품목별!$B$3:$B$2984,2025,데이터_품목별!$C$3:$C$2984,"&lt;=7"))-1,"-")</f>
        <v>-0.026530611664646</v>
      </c>
      <c r="Y74" s="67" t="str">
        <f aca="false">IF(OR(W74&lt;100,SUMIFS(데이터_품목별!$G$3:$G$2984,데이터_품목별!$E$3:$E$2984,"58",데이터_품목별!$B$3:$B$2984,2025,데이터_품목별!$C$3:$C$2984,"&lt;=7")&lt;100),"단가 불안정",IF(T74-S74&lt;0,"감소",IF(X74&gt;0.05,"가격 주도",IF(X74&lt;0.02,"물량 주도","혼합"))))</f>
        <v>감소</v>
      </c>
      <c r="Z74" s="25" t="n">
        <f aca="false">SUMIFS(데이터_품목별!$J$3:$J$2984,데이터_품목별!$E$3:$E$2984,"58",데이터_품목별!$B$3:$B$2984,2026,데이터_품목별!$C$3:$C$2984,"&lt;=7")</f>
        <v>46389</v>
      </c>
      <c r="AA74" s="25" t="n">
        <f aca="false">T74-Z74</f>
        <v>60628</v>
      </c>
      <c r="AB74" s="65" t="str">
        <f aca="false">IF(T74=0,"자료 없음",IF(U74&gt;1,"1~7월 2배 이상 급증. ",IF(U74&gt;0.5,"1~7월 +50% 초과 급증. ",IF(U74&gt;0.15,"1~7월 뚜렷한 증가. ",IF(U74&gt;0.02,"1~7월 소폭 증가. ",IF(U74&gt;-0.02,"1~7월 보합. ",IF(U74&gt;-0.15,"1~7월 소폭 감소. ","1~7월 뚜렷한 감소. "))))))&amp;"월별로는 "&amp;COUNTIF(E74:K74,"&gt;0")&amp;"개월 증가·"&amp;COUNTIF(E74:K74,"&lt;0")&amp;"개월 감소"&amp;IF(COUNTIF(E74:K74,"&gt;0")=7," (7개월 내내 증가)",IF(COUNTIF(E74:K74,"&lt;0")=7," (7개월 내내 감소)",""))&amp;IFERROR(", 최대 "&amp;TEXT(MAX(E74:K74),"0.0%")&amp;"("&amp;SUBSTITUTE(INDEX($E$5:$K$5,MATCH(MAX(E74:K74),E74:K74,0))," YoY","")&amp;")","")&amp;IFERROR(", 최소 "&amp;TEXT(MIN(E74:K74),"0.0%")&amp;"("&amp;SUBSTITUTE(INDEX($E$5:$K$5,MATCH(MIN(E74:K74),E74:K74,0))," YoY","")&amp;")","")&amp;". "&amp;IF(Y74="가격 주도","단가 상승이 주도. ",IF(Y74="물량 주도","물량 확대가 주도. ",IF(Y74="혼합","물량·단가 동반. ",IF(Y74="감소","감소 품목. ","단가 해석 유보. "))))&amp;IF(V74&gt;0.05,"전체 증가의 5% 이상을 설명하는 대형 품목.",IF(V74&gt;0.005,"전체 증가에 의미 있게 기여.",IF(T74/SUMIFS(데이터_총괄!$H$3:$H$33,데이터_총괄!$B$3:$B$33,2026,데이터_총괄!$C$3:$C$33,"&lt;=7")&lt;0.001,"규모가 작아 총량 영향은 미미.","총량 영향은 제한적."))))</f>
        <v>1~7월 보합. 월별로는 3개월 증가·4개월 감소, 최대 15.4%(2026.07), 최소 -23.0%(2026.02). 감소 품목. 규모가 작아 총량 영향은 미미.</v>
      </c>
    </row>
    <row r="75" customFormat="false" ht="33.75" hidden="false" customHeight="true" outlineLevel="0" collapsed="false">
      <c r="A75" s="67" t="s">
        <v>19814</v>
      </c>
      <c r="B75" s="68" t="s">
        <v>639</v>
      </c>
      <c r="C75" s="65" t="str">
        <f aca="false">IFERROR(INDEX(데이터_품목별!$F$3:$F$2984,MATCH($B75,데이터_품목별!$E$3:$E$2984,0)),"")</f>
        <v>모피ㆍ인조모피와 이들의 제품</v>
      </c>
      <c r="D75" s="69" t="s">
        <v>20050</v>
      </c>
      <c r="E75" s="59" t="n">
        <f aca="false">IFERROR(분석4B_월별매트릭스!AA48/분석4B_월별매트릭스!O48-1,"-")</f>
        <v>0.193384223918575</v>
      </c>
      <c r="F75" s="59" t="n">
        <f aca="false">IFERROR(분석4B_월별매트릭스!AB48/분석4B_월별매트릭스!P48-1,"-")</f>
        <v>-0.60126582278481</v>
      </c>
      <c r="G75" s="59" t="n">
        <f aca="false">IFERROR(분석4B_월별매트릭스!AC48/분석4B_월별매트릭스!Q48-1,"-")</f>
        <v>-0.215077605321508</v>
      </c>
      <c r="H75" s="59" t="n">
        <f aca="false">IFERROR(분석4B_월별매트릭스!AD48/분석4B_월별매트릭스!R48-1,"-")</f>
        <v>-0.666125541125541</v>
      </c>
      <c r="I75" s="59" t="n">
        <f aca="false">IFERROR(분석4B_월별매트릭스!AE48/분석4B_월별매트릭스!S48-1,"-")</f>
        <v>-0.631410256410256</v>
      </c>
      <c r="J75" s="59" t="n">
        <f aca="false">IFERROR(분석4B_월별매트릭스!AF48/분석4B_월별매트릭스!T48-1,"-")</f>
        <v>-0.175420168067227</v>
      </c>
      <c r="K75" s="59" t="n">
        <f aca="false">IFERROR(분석4B_월별매트릭스!AG48/분석4B_월별매트릭스!U48-1,"-")</f>
        <v>-0.18925421010425</v>
      </c>
      <c r="L75" s="57" t="n">
        <f aca="false">분석4B_월별매트릭스!AA48-분석4B_월별매트릭스!O48</f>
        <v>76</v>
      </c>
      <c r="M75" s="57" t="n">
        <f aca="false">분석4B_월별매트릭스!AB48-분석4B_월별매트릭스!P48</f>
        <v>-475</v>
      </c>
      <c r="N75" s="57" t="n">
        <f aca="false">분석4B_월별매트릭스!AC48-분석4B_월별매트릭스!Q48</f>
        <v>-97</v>
      </c>
      <c r="O75" s="57" t="n">
        <f aca="false">분석4B_월별매트릭스!AD48-분석4B_월별매트릭스!R48</f>
        <v>-1231</v>
      </c>
      <c r="P75" s="57" t="n">
        <f aca="false">분석4B_월별매트릭스!AE48-분석4B_월별매트릭스!S48</f>
        <v>-591</v>
      </c>
      <c r="Q75" s="57" t="n">
        <f aca="false">분석4B_월별매트릭스!AF48-분석4B_월별매트릭스!T48</f>
        <v>-167</v>
      </c>
      <c r="R75" s="57" t="n">
        <f aca="false">분석4B_월별매트릭스!AG48-분석4B_월별매트릭스!U48</f>
        <v>-236</v>
      </c>
      <c r="S75" s="25" t="n">
        <f aca="false">SUMIFS(데이터_품목별!$H$3:$H$2984,데이터_품목별!$E$3:$E$2984,"43",데이터_품목별!$B$3:$B$2984,2025,데이터_품목별!$C$3:$C$2984,"&lt;=7")</f>
        <v>6617</v>
      </c>
      <c r="T75" s="25" t="n">
        <f aca="false">SUMIFS(데이터_품목별!$H$3:$H$2984,데이터_품목별!$E$3:$E$2984,"43",데이터_품목별!$B$3:$B$2984,2026,데이터_품목별!$C$3:$C$2984,"&lt;=7")</f>
        <v>3896</v>
      </c>
      <c r="U75" s="36" t="n">
        <f aca="false">IFERROR(T75/S75-1,"-")</f>
        <v>-0.411213540879553</v>
      </c>
      <c r="V75" s="34" t="n">
        <f aca="false">(T75-S75)/(SUMIFS(데이터_총괄!$H$3:$H$33,데이터_총괄!$B$3:$B$33,2026,데이터_총괄!$C$3:$C$33,"&lt;=7")-SUMIFS(데이터_총괄!$H$3:$H$33,데이터_총괄!$B$3:$B$33,2025,데이터_총괄!$C$3:$C$33,"&lt;=7"))</f>
        <v>-1.36272081248089E-005</v>
      </c>
      <c r="W75" s="24" t="n">
        <f aca="false">SUMIFS(데이터_품목별!$G$3:$G$2984,데이터_품목별!$E$3:$E$2984,"43",데이터_품목별!$B$3:$B$2984,2026,데이터_품목별!$C$3:$C$2984,"&lt;=7")</f>
        <v>64.6</v>
      </c>
      <c r="X75" s="36" t="n">
        <f aca="false">IFERROR((T75/W75)/(S75/SUMIFS(데이터_품목별!$G$3:$G$2984,데이터_품목별!$E$3:$E$2984,"43",데이터_품목별!$B$3:$B$2984,2025,데이터_품목별!$C$3:$C$2984,"&lt;=7"))-1,"-")</f>
        <v>-0.450405209211099</v>
      </c>
      <c r="Y75" s="67" t="str">
        <f aca="false">IF(OR(W75&lt;100,SUMIFS(데이터_품목별!$G$3:$G$2984,데이터_품목별!$E$3:$E$2984,"43",데이터_품목별!$B$3:$B$2984,2025,데이터_품목별!$C$3:$C$2984,"&lt;=7")&lt;100),"단가 불안정",IF(T75-S75&lt;0,"감소",IF(X75&gt;0.05,"가격 주도",IF(X75&lt;0.02,"물량 주도","혼합"))))</f>
        <v>단가 불안정</v>
      </c>
      <c r="Z75" s="25" t="n">
        <f aca="false">SUMIFS(데이터_품목별!$J$3:$J$2984,데이터_품목별!$E$3:$E$2984,"43",데이터_품목별!$B$3:$B$2984,2026,데이터_품목별!$C$3:$C$2984,"&lt;=7")</f>
        <v>65907</v>
      </c>
      <c r="AA75" s="25" t="n">
        <f aca="false">T75-Z75</f>
        <v>-62011</v>
      </c>
      <c r="AB75" s="65" t="str">
        <f aca="false">IF(T75=0,"자료 없음",IF(U75&gt;1,"1~7월 2배 이상 급증. ",IF(U75&gt;0.5,"1~7월 +50% 초과 급증. ",IF(U75&gt;0.15,"1~7월 뚜렷한 증가. ",IF(U75&gt;0.02,"1~7월 소폭 증가. ",IF(U75&gt;-0.02,"1~7월 보합. ",IF(U75&gt;-0.15,"1~7월 소폭 감소. ","1~7월 뚜렷한 감소. "))))))&amp;"월별로는 "&amp;COUNTIF(E75:K75,"&gt;0")&amp;"개월 증가·"&amp;COUNTIF(E75:K75,"&lt;0")&amp;"개월 감소"&amp;IF(COUNTIF(E75:K75,"&gt;0")=7," (7개월 내내 증가)",IF(COUNTIF(E75:K75,"&lt;0")=7," (7개월 내내 감소)",""))&amp;IFERROR(", 최대 "&amp;TEXT(MAX(E75:K75),"0.0%")&amp;"("&amp;SUBSTITUTE(INDEX($E$5:$K$5,MATCH(MAX(E75:K75),E75:K75,0))," YoY","")&amp;")","")&amp;IFERROR(", 최소 "&amp;TEXT(MIN(E75:K75),"0.0%")&amp;"("&amp;SUBSTITUTE(INDEX($E$5:$K$5,MATCH(MIN(E75:K75),E75:K75,0))," YoY","")&amp;")","")&amp;". "&amp;IF(Y75="가격 주도","단가 상승이 주도. ",IF(Y75="물량 주도","물량 확대가 주도. ",IF(Y75="혼합","물량·단가 동반. ",IF(Y75="감소","감소 품목. ","단가 해석 유보. "))))&amp;IF(V75&gt;0.05,"전체 증가의 5% 이상을 설명하는 대형 품목.",IF(V75&gt;0.005,"전체 증가에 의미 있게 기여.",IF(T75/SUMIFS(데이터_총괄!$H$3:$H$33,데이터_총괄!$B$3:$B$33,2026,데이터_총괄!$C$3:$C$33,"&lt;=7")&lt;0.001,"규모가 작아 총량 영향은 미미.","총량 영향은 제한적."))))</f>
        <v>1~7월 뚜렷한 감소. 월별로는 1개월 증가·6개월 감소, 최대 19.3%(2026.01), 최소 -66.6%(2026.04). 단가 해석 유보. 규모가 작아 총량 영향은 미미.</v>
      </c>
    </row>
    <row r="76" customFormat="false" ht="33.75" hidden="false" customHeight="true" outlineLevel="0" collapsed="false">
      <c r="A76" s="67" t="s">
        <v>19800</v>
      </c>
      <c r="B76" s="68" t="s">
        <v>366</v>
      </c>
      <c r="C76" s="65" t="str">
        <f aca="false">IFERROR(INDEX(데이터_품목별!$F$3:$F$2984,MATCH($B76,데이터_품목별!$E$3:$E$2984,0)),"")</f>
        <v>낙농품, 새의 알, 천연꿀, 다른 류로 분류되지 않은 식용인 동물성 생산품</v>
      </c>
      <c r="D76" s="69" t="s">
        <v>20051</v>
      </c>
      <c r="E76" s="59" t="n">
        <f aca="false">IFERROR(분석4B_월별매트릭스!AA9/분석4B_월별매트릭스!O9-1,"-")</f>
        <v>0.0870967741935484</v>
      </c>
      <c r="F76" s="59" t="n">
        <f aca="false">IFERROR(분석4B_월별매트릭스!AB9/분석4B_월별매트릭스!P9-1,"-")</f>
        <v>0.0352299528301887</v>
      </c>
      <c r="G76" s="59" t="n">
        <f aca="false">IFERROR(분석4B_월별매트릭스!AC9/분석4B_월별매트릭스!Q9-1,"-")</f>
        <v>0.0236757624398074</v>
      </c>
      <c r="H76" s="59" t="n">
        <f aca="false">IFERROR(분석4B_월별매트릭스!AD9/분석4B_월별매트릭스!R9-1,"-")</f>
        <v>-0.249089142579548</v>
      </c>
      <c r="I76" s="59" t="n">
        <f aca="false">IFERROR(분석4B_월별매트릭스!AE9/분석4B_월별매트릭스!S9-1,"-")</f>
        <v>-0.314910979228487</v>
      </c>
      <c r="J76" s="59" t="n">
        <f aca="false">IFERROR(분석4B_월별매트릭스!AF9/분석4B_월별매트릭스!T9-1,"-")</f>
        <v>0.300289596792159</v>
      </c>
      <c r="K76" s="59" t="n">
        <f aca="false">IFERROR(분석4B_월별매트릭스!AG9/분석4B_월별매트릭스!U9-1,"-")</f>
        <v>-0.0924752976944515</v>
      </c>
      <c r="L76" s="57" t="n">
        <f aca="false">분석4B_월별매트릭스!AA9-분석4B_월별매트릭스!O9</f>
        <v>567</v>
      </c>
      <c r="M76" s="57" t="n">
        <f aca="false">분석4B_월별매트릭스!AB9-분석4B_월별매트릭스!P9</f>
        <v>239</v>
      </c>
      <c r="N76" s="57" t="n">
        <f aca="false">분석4B_월별매트릭스!AC9-분석4B_월별매트릭스!Q9</f>
        <v>177</v>
      </c>
      <c r="O76" s="57" t="n">
        <f aca="false">분석4B_월별매트릭스!AD9-분석4B_월별매트릭스!R9</f>
        <v>-2051</v>
      </c>
      <c r="P76" s="57" t="n">
        <f aca="false">분석4B_월별매트릭스!AE9-분석4B_월별매트릭스!S9</f>
        <v>-2547</v>
      </c>
      <c r="Q76" s="57" t="n">
        <f aca="false">분석4B_월별매트릭스!AF9-분석4B_월별매트릭스!T9</f>
        <v>1348</v>
      </c>
      <c r="R76" s="57" t="n">
        <f aca="false">분석4B_월별매트릭스!AG9-분석4B_월별매트릭스!U9</f>
        <v>-730</v>
      </c>
      <c r="S76" s="25" t="n">
        <f aca="false">SUMIFS(데이터_품목별!$H$3:$H$2984,데이터_품목별!$E$3:$E$2984,"04",데이터_품목별!$B$3:$B$2984,2025,데이터_품목별!$C$3:$C$2984,"&lt;=7")</f>
        <v>49475</v>
      </c>
      <c r="T76" s="25" t="n">
        <f aca="false">SUMIFS(데이터_품목별!$H$3:$H$2984,데이터_품목별!$E$3:$E$2984,"04",데이터_품목별!$B$3:$B$2984,2026,데이터_품목별!$C$3:$C$2984,"&lt;=7")</f>
        <v>46478</v>
      </c>
      <c r="U76" s="36" t="n">
        <f aca="false">IFERROR(T76/S76-1,"-")</f>
        <v>-0.0605760485093482</v>
      </c>
      <c r="V76" s="34" t="n">
        <f aca="false">(T76-S76)/(SUMIFS(데이터_총괄!$H$3:$H$33,데이터_총괄!$B$3:$B$33,2026,데이터_총괄!$C$3:$C$33,"&lt;=7")-SUMIFS(데이터_총괄!$H$3:$H$33,데이터_총괄!$B$3:$B$33,2025,데이터_총괄!$C$3:$C$33,"&lt;=7"))</f>
        <v>-1.50094607681192E-005</v>
      </c>
      <c r="W76" s="24" t="n">
        <f aca="false">SUMIFS(데이터_품목별!$G$3:$G$2984,데이터_품목별!$E$3:$E$2984,"04",데이터_품목별!$B$3:$B$2984,2026,데이터_품목별!$C$3:$C$2984,"&lt;=7")</f>
        <v>17362.4</v>
      </c>
      <c r="X76" s="36" t="n">
        <f aca="false">IFERROR((T76/W76)/(S76/SUMIFS(데이터_품목별!$G$3:$G$2984,데이터_품목별!$E$3:$E$2984,"04",데이터_품목별!$B$3:$B$2984,2025,데이터_품목별!$C$3:$C$2984,"&lt;=7"))-1,"-")</f>
        <v>0.0254429464498647</v>
      </c>
      <c r="Y76" s="67" t="str">
        <f aca="false">IF(OR(W76&lt;100,SUMIFS(데이터_품목별!$G$3:$G$2984,데이터_품목별!$E$3:$E$2984,"04",데이터_품목별!$B$3:$B$2984,2025,데이터_품목별!$C$3:$C$2984,"&lt;=7")&lt;100),"단가 불안정",IF(T76-S76&lt;0,"감소",IF(X76&gt;0.05,"가격 주도",IF(X76&lt;0.02,"물량 주도","혼합"))))</f>
        <v>감소</v>
      </c>
      <c r="Z76" s="25" t="n">
        <f aca="false">SUMIFS(데이터_품목별!$J$3:$J$2984,데이터_품목별!$E$3:$E$2984,"04",데이터_품목별!$B$3:$B$2984,2026,데이터_품목별!$C$3:$C$2984,"&lt;=7")</f>
        <v>1052716</v>
      </c>
      <c r="AA76" s="25" t="n">
        <f aca="false">T76-Z76</f>
        <v>-1006238</v>
      </c>
      <c r="AB76" s="65" t="str">
        <f aca="false">IF(T76=0,"자료 없음",IF(U76&gt;1,"1~7월 2배 이상 급증. ",IF(U76&gt;0.5,"1~7월 +50% 초과 급증. ",IF(U76&gt;0.15,"1~7월 뚜렷한 증가. ",IF(U76&gt;0.02,"1~7월 소폭 증가. ",IF(U76&gt;-0.02,"1~7월 보합. ",IF(U76&gt;-0.15,"1~7월 소폭 감소. ","1~7월 뚜렷한 감소. "))))))&amp;"월별로는 "&amp;COUNTIF(E76:K76,"&gt;0")&amp;"개월 증가·"&amp;COUNTIF(E76:K76,"&lt;0")&amp;"개월 감소"&amp;IF(COUNTIF(E76:K76,"&gt;0")=7," (7개월 내내 증가)",IF(COUNTIF(E76:K76,"&lt;0")=7," (7개월 내내 감소)",""))&amp;IFERROR(", 최대 "&amp;TEXT(MAX(E76:K76),"0.0%")&amp;"("&amp;SUBSTITUTE(INDEX($E$5:$K$5,MATCH(MAX(E76:K76),E76:K76,0))," YoY","")&amp;")","")&amp;IFERROR(", 최소 "&amp;TEXT(MIN(E76:K76),"0.0%")&amp;"("&amp;SUBSTITUTE(INDEX($E$5:$K$5,MATCH(MIN(E76:K76),E76:K76,0))," YoY","")&amp;")","")&amp;". "&amp;IF(Y76="가격 주도","단가 상승이 주도. ",IF(Y76="물량 주도","물량 확대가 주도. ",IF(Y76="혼합","물량·단가 동반. ",IF(Y76="감소","감소 품목. ","단가 해석 유보. "))))&amp;IF(V76&gt;0.05,"전체 증가의 5% 이상을 설명하는 대형 품목.",IF(V76&gt;0.005,"전체 증가에 의미 있게 기여.",IF(T76/SUMIFS(데이터_총괄!$H$3:$H$33,데이터_총괄!$B$3:$B$33,2026,데이터_총괄!$C$3:$C$33,"&lt;=7")&lt;0.001,"규모가 작아 총량 영향은 미미.","총량 영향은 제한적."))))</f>
        <v>1~7월 소폭 감소. 월별로는 4개월 증가·3개월 감소, 최대 30.0%(2026.06), 최소 -31.5%(2026.05). 감소 품목. 규모가 작아 총량 영향은 미미.</v>
      </c>
    </row>
    <row r="77" customFormat="false" ht="33.75" hidden="false" customHeight="true" outlineLevel="0" collapsed="false">
      <c r="A77" s="67" t="s">
        <v>19802</v>
      </c>
      <c r="B77" s="68" t="s">
        <v>429</v>
      </c>
      <c r="C77" s="65" t="str">
        <f aca="false">IFERROR(INDEX(데이터_품목별!$F$3:$F$2984,MATCH($B77,데이터_품목별!$E$3:$E$2984,0)),"")</f>
        <v>락(lac), 검ㆍ수지ㆍ그 밖의 식물성 수액과 추출물(extract)</v>
      </c>
      <c r="D77" s="69" t="s">
        <v>20052</v>
      </c>
      <c r="E77" s="59" t="n">
        <f aca="false">IFERROR(분석4B_월별매트릭스!AA18/분석4B_월별매트릭스!O18-1,"-")</f>
        <v>-0.0978102189781022</v>
      </c>
      <c r="F77" s="59" t="n">
        <f aca="false">IFERROR(분석4B_월별매트릭스!AB18/분석4B_월별매트릭스!P18-1,"-")</f>
        <v>-0.249092956336795</v>
      </c>
      <c r="G77" s="59" t="n">
        <f aca="false">IFERROR(분석4B_월별매트릭스!AC18/분석4B_월별매트릭스!Q18-1,"-")</f>
        <v>-0.0766759477404155</v>
      </c>
      <c r="H77" s="59" t="n">
        <f aca="false">IFERROR(분석4B_월별매트릭스!AD18/분석4B_월별매트릭스!R18-1,"-")</f>
        <v>-0.295148247978437</v>
      </c>
      <c r="I77" s="59" t="n">
        <f aca="false">IFERROR(분석4B_월별매트릭스!AE18/분석4B_월별매트릭스!S18-1,"-")</f>
        <v>0.195578461955785</v>
      </c>
      <c r="J77" s="59" t="n">
        <f aca="false">IFERROR(분석4B_월별매트릭스!AF18/분석4B_월별매트릭스!T18-1,"-")</f>
        <v>0.286164939161785</v>
      </c>
      <c r="K77" s="59" t="n">
        <f aca="false">IFERROR(분석4B_월별매트릭스!AG18/분석4B_월별매트릭스!U18-1,"-")</f>
        <v>-0.182246561385634</v>
      </c>
      <c r="L77" s="57" t="n">
        <f aca="false">분석4B_월별매트릭스!AA18-분석4B_월별매트릭스!O18</f>
        <v>-804</v>
      </c>
      <c r="M77" s="57" t="n">
        <f aca="false">분석4B_월별매트릭스!AB18-분석4B_월별매트릭스!P18</f>
        <v>-1991</v>
      </c>
      <c r="N77" s="57" t="n">
        <f aca="false">분석4B_월별매트릭스!AC18-분석4B_월별매트릭스!Q18</f>
        <v>-716</v>
      </c>
      <c r="O77" s="57" t="n">
        <f aca="false">분석4B_월별매트릭스!AD18-분석4B_월별매트릭스!R18</f>
        <v>-3285</v>
      </c>
      <c r="P77" s="57" t="n">
        <f aca="false">분석4B_월별매트릭스!AE18-분석4B_월별매트릭스!S18</f>
        <v>1442</v>
      </c>
      <c r="Q77" s="57" t="n">
        <f aca="false">분석4B_월별매트릭스!AF18-분석4B_월별매트릭스!T18</f>
        <v>1905</v>
      </c>
      <c r="R77" s="57" t="n">
        <f aca="false">분석4B_월별매트릭스!AG18-분석4B_월별매트릭스!U18</f>
        <v>-1431</v>
      </c>
      <c r="S77" s="25" t="n">
        <f aca="false">SUMIFS(데이터_품목별!$H$3:$H$2984,데이터_품목별!$E$3:$E$2984,"13",데이터_품목별!$B$3:$B$2984,2025,데이터_품목별!$C$3:$C$2984,"&lt;=7")</f>
        <v>58563</v>
      </c>
      <c r="T77" s="25" t="n">
        <f aca="false">SUMIFS(데이터_품목별!$H$3:$H$2984,데이터_품목별!$E$3:$E$2984,"13",데이터_품목별!$B$3:$B$2984,2026,데이터_품목별!$C$3:$C$2984,"&lt;=7")</f>
        <v>53683</v>
      </c>
      <c r="U77" s="36" t="n">
        <f aca="false">IFERROR(T77/S77-1,"-")</f>
        <v>-0.0833290644263443</v>
      </c>
      <c r="V77" s="34" t="n">
        <f aca="false">(T77-S77)/(SUMIFS(데이터_총괄!$H$3:$H$33,데이터_총괄!$B$3:$B$33,2026,데이터_총괄!$C$3:$C$33,"&lt;=7")-SUMIFS(데이터_총괄!$H$3:$H$33,데이터_총괄!$B$3:$B$33,2025,데이터_총괄!$C$3:$C$33,"&lt;=7"))</f>
        <v>-2.4439829345486E-005</v>
      </c>
      <c r="W77" s="24" t="n">
        <f aca="false">SUMIFS(데이터_품목별!$G$3:$G$2984,데이터_품목별!$E$3:$E$2984,"13",데이터_품목별!$B$3:$B$2984,2026,데이터_품목별!$C$3:$C$2984,"&lt;=7")</f>
        <v>2476.7</v>
      </c>
      <c r="X77" s="36" t="n">
        <f aca="false">IFERROR((T77/W77)/(S77/SUMIFS(데이터_품목별!$G$3:$G$2984,데이터_품목별!$E$3:$E$2984,"13",데이터_품목별!$B$3:$B$2984,2025,데이터_품목별!$C$3:$C$2984,"&lt;=7"))-1,"-")</f>
        <v>-0.116528637616863</v>
      </c>
      <c r="Y77" s="67" t="str">
        <f aca="false">IF(OR(W77&lt;100,SUMIFS(데이터_품목별!$G$3:$G$2984,데이터_품목별!$E$3:$E$2984,"13",데이터_품목별!$B$3:$B$2984,2025,데이터_품목별!$C$3:$C$2984,"&lt;=7")&lt;100),"단가 불안정",IF(T77-S77&lt;0,"감소",IF(X77&gt;0.05,"가격 주도",IF(X77&lt;0.02,"물량 주도","혼합"))))</f>
        <v>감소</v>
      </c>
      <c r="Z77" s="25" t="n">
        <f aca="false">SUMIFS(데이터_품목별!$J$3:$J$2984,데이터_품목별!$E$3:$E$2984,"13",데이터_품목별!$B$3:$B$2984,2026,데이터_품목별!$C$3:$C$2984,"&lt;=7")</f>
        <v>211596</v>
      </c>
      <c r="AA77" s="25" t="n">
        <f aca="false">T77-Z77</f>
        <v>-157913</v>
      </c>
      <c r="AB77" s="65" t="str">
        <f aca="false">IF(T77=0,"자료 없음",IF(U77&gt;1,"1~7월 2배 이상 급증. ",IF(U77&gt;0.5,"1~7월 +50% 초과 급증. ",IF(U77&gt;0.15,"1~7월 뚜렷한 증가. ",IF(U77&gt;0.02,"1~7월 소폭 증가. ",IF(U77&gt;-0.02,"1~7월 보합. ",IF(U77&gt;-0.15,"1~7월 소폭 감소. ","1~7월 뚜렷한 감소. "))))))&amp;"월별로는 "&amp;COUNTIF(E77:K77,"&gt;0")&amp;"개월 증가·"&amp;COUNTIF(E77:K77,"&lt;0")&amp;"개월 감소"&amp;IF(COUNTIF(E77:K77,"&gt;0")=7," (7개월 내내 증가)",IF(COUNTIF(E77:K77,"&lt;0")=7," (7개월 내내 감소)",""))&amp;IFERROR(", 최대 "&amp;TEXT(MAX(E77:K77),"0.0%")&amp;"("&amp;SUBSTITUTE(INDEX($E$5:$K$5,MATCH(MAX(E77:K77),E77:K77,0))," YoY","")&amp;")","")&amp;IFERROR(", 최소 "&amp;TEXT(MIN(E77:K77),"0.0%")&amp;"("&amp;SUBSTITUTE(INDEX($E$5:$K$5,MATCH(MIN(E77:K77),E77:K77,0))," YoY","")&amp;")","")&amp;". "&amp;IF(Y77="가격 주도","단가 상승이 주도. ",IF(Y77="물량 주도","물량 확대가 주도. ",IF(Y77="혼합","물량·단가 동반. ",IF(Y77="감소","감소 품목. ","단가 해석 유보. "))))&amp;IF(V77&gt;0.05,"전체 증가의 5% 이상을 설명하는 대형 품목.",IF(V77&gt;0.005,"전체 증가에 의미 있게 기여.",IF(T77/SUMIFS(데이터_총괄!$H$3:$H$33,데이터_총괄!$B$3:$B$33,2026,데이터_총괄!$C$3:$C$33,"&lt;=7")&lt;0.001,"규모가 작아 총량 영향은 미미.","총량 영향은 제한적."))))</f>
        <v>1~7월 소폭 감소. 월별로는 2개월 증가·5개월 감소, 최대 28.6%(2026.06), 최소 -29.5%(2026.04). 감소 품목. 규모가 작아 총량 영향은 미미.</v>
      </c>
    </row>
    <row r="78" customFormat="false" ht="33.75" hidden="false" customHeight="true" outlineLevel="0" collapsed="false">
      <c r="A78" s="67" t="s">
        <v>19814</v>
      </c>
      <c r="B78" s="68" t="s">
        <v>625</v>
      </c>
      <c r="C78" s="65" t="str">
        <f aca="false">IFERROR(INDEX(데이터_품목별!$F$3:$F$2984,MATCH($B78,데이터_품목별!$E$3:$E$2984,0)),"")</f>
        <v>원피(모피는 제외한다)와 가죽</v>
      </c>
      <c r="D78" s="69" t="s">
        <v>20053</v>
      </c>
      <c r="E78" s="59" t="n">
        <f aca="false">IFERROR(분석4B_월별매트릭스!AA46/분석4B_월별매트릭스!O46-1,"-")</f>
        <v>-0.111688097593142</v>
      </c>
      <c r="F78" s="59" t="n">
        <f aca="false">IFERROR(분석4B_월별매트릭스!AB46/분석4B_월별매트릭스!P46-1,"-")</f>
        <v>-0.00712445881514767</v>
      </c>
      <c r="G78" s="59" t="n">
        <f aca="false">IFERROR(분석4B_월별매트릭스!AC46/분석4B_월별매트릭스!Q46-1,"-")</f>
        <v>-0.0995574450290971</v>
      </c>
      <c r="H78" s="59" t="n">
        <f aca="false">IFERROR(분석4B_월별매트릭스!AD46/분석4B_월별매트릭스!R46-1,"-")</f>
        <v>-0.0294233032561789</v>
      </c>
      <c r="I78" s="59" t="n">
        <f aca="false">IFERROR(분석4B_월별매트릭스!AE46/분석4B_월별매트릭스!S46-1,"-")</f>
        <v>0.0118673293437468</v>
      </c>
      <c r="J78" s="59" t="n">
        <f aca="false">IFERROR(분석4B_월별매트릭스!AF46/분석4B_월별매트릭스!T46-1,"-")</f>
        <v>-0.0945356326615416</v>
      </c>
      <c r="K78" s="59" t="n">
        <f aca="false">IFERROR(분석4B_월별매트릭스!AG46/분석4B_월별매트릭스!U46-1,"-")</f>
        <v>0.137268681189974</v>
      </c>
      <c r="L78" s="57" t="n">
        <f aca="false">분석4B_월별매트릭스!AA46-분석4B_월별매트릭스!O46</f>
        <v>-2710</v>
      </c>
      <c r="M78" s="57" t="n">
        <f aca="false">분석4B_월별매트릭스!AB46-분석4B_월별매트릭스!P46</f>
        <v>-130</v>
      </c>
      <c r="N78" s="57" t="n">
        <f aca="false">분석4B_월별매트릭스!AC46-분석4B_월별매트릭스!Q46</f>
        <v>-2857</v>
      </c>
      <c r="O78" s="57" t="n">
        <f aca="false">분석4B_월별매트릭스!AD46-분석4B_월별매트릭스!R46</f>
        <v>-825</v>
      </c>
      <c r="P78" s="57" t="n">
        <f aca="false">분석4B_월별매트릭스!AE46-분석4B_월별매트릭스!S46</f>
        <v>234</v>
      </c>
      <c r="Q78" s="57" t="n">
        <f aca="false">분석4B_월별매트릭스!AF46-분석4B_월별매트릭스!T46</f>
        <v>-2275</v>
      </c>
      <c r="R78" s="57" t="n">
        <f aca="false">분석4B_월별매트릭스!AG46-분석4B_월별매트릭스!U46</f>
        <v>2930</v>
      </c>
      <c r="S78" s="25" t="n">
        <f aca="false">SUMIFS(데이터_품목별!$H$3:$H$2984,데이터_품목별!$E$3:$E$2984,"41",데이터_품목별!$B$3:$B$2984,2025,데이터_품목별!$C$3:$C$2984,"&lt;=7")</f>
        <v>164375</v>
      </c>
      <c r="T78" s="25" t="n">
        <f aca="false">SUMIFS(데이터_품목별!$H$3:$H$2984,데이터_품목별!$E$3:$E$2984,"41",데이터_품목별!$B$3:$B$2984,2026,데이터_품목별!$C$3:$C$2984,"&lt;=7")</f>
        <v>158742</v>
      </c>
      <c r="U78" s="36" t="n">
        <f aca="false">IFERROR(T78/S78-1,"-")</f>
        <v>-0.0342692015209125</v>
      </c>
      <c r="V78" s="34" t="n">
        <f aca="false">(T78-S78)/(SUMIFS(데이터_총괄!$H$3:$H$33,데이터_총괄!$B$3:$B$33,2026,데이터_총괄!$C$3:$C$33,"&lt;=7")-SUMIFS(데이터_총괄!$H$3:$H$33,데이터_총괄!$B$3:$B$33,2025,데이터_총괄!$C$3:$C$33,"&lt;=7"))</f>
        <v>-2.82109751440826E-005</v>
      </c>
      <c r="W78" s="24" t="n">
        <f aca="false">SUMIFS(데이터_품목별!$G$3:$G$2984,데이터_품목별!$E$3:$E$2984,"41",데이터_품목별!$B$3:$B$2984,2026,데이터_품목별!$C$3:$C$2984,"&lt;=7")</f>
        <v>17644.3</v>
      </c>
      <c r="X78" s="36" t="n">
        <f aca="false">IFERROR((T78/W78)/(S78/SUMIFS(데이터_품목별!$G$3:$G$2984,데이터_품목별!$E$3:$E$2984,"41",데이터_품목별!$B$3:$B$2984,2025,데이터_품목별!$C$3:$C$2984,"&lt;=7"))-1,"-")</f>
        <v>0.0729697568656529</v>
      </c>
      <c r="Y78" s="67" t="str">
        <f aca="false">IF(OR(W78&lt;100,SUMIFS(데이터_품목별!$G$3:$G$2984,데이터_품목별!$E$3:$E$2984,"41",데이터_품목별!$B$3:$B$2984,2025,데이터_품목별!$C$3:$C$2984,"&lt;=7")&lt;100),"단가 불안정",IF(T78-S78&lt;0,"감소",IF(X78&gt;0.05,"가격 주도",IF(X78&lt;0.02,"물량 주도","혼합"))))</f>
        <v>감소</v>
      </c>
      <c r="Z78" s="25" t="n">
        <f aca="false">SUMIFS(데이터_품목별!$J$3:$J$2984,데이터_품목별!$E$3:$E$2984,"41",데이터_품목별!$B$3:$B$2984,2026,데이터_품목별!$C$3:$C$2984,"&lt;=7")</f>
        <v>137154</v>
      </c>
      <c r="AA78" s="25" t="n">
        <f aca="false">T78-Z78</f>
        <v>21588</v>
      </c>
      <c r="AB78" s="65" t="str">
        <f aca="false">IF(T78=0,"자료 없음",IF(U78&gt;1,"1~7월 2배 이상 급증. ",IF(U78&gt;0.5,"1~7월 +50% 초과 급증. ",IF(U78&gt;0.15,"1~7월 뚜렷한 증가. ",IF(U78&gt;0.02,"1~7월 소폭 증가. ",IF(U78&gt;-0.02,"1~7월 보합. ",IF(U78&gt;-0.15,"1~7월 소폭 감소. ","1~7월 뚜렷한 감소. "))))))&amp;"월별로는 "&amp;COUNTIF(E78:K78,"&gt;0")&amp;"개월 증가·"&amp;COUNTIF(E78:K78,"&lt;0")&amp;"개월 감소"&amp;IF(COUNTIF(E78:K78,"&gt;0")=7," (7개월 내내 증가)",IF(COUNTIF(E78:K78,"&lt;0")=7," (7개월 내내 감소)",""))&amp;IFERROR(", 최대 "&amp;TEXT(MAX(E78:K78),"0.0%")&amp;"("&amp;SUBSTITUTE(INDEX($E$5:$K$5,MATCH(MAX(E78:K78),E78:K78,0))," YoY","")&amp;")","")&amp;IFERROR(", 최소 "&amp;TEXT(MIN(E78:K78),"0.0%")&amp;"("&amp;SUBSTITUTE(INDEX($E$5:$K$5,MATCH(MIN(E78:K78),E78:K78,0))," YoY","")&amp;")","")&amp;". "&amp;IF(Y78="가격 주도","단가 상승이 주도. ",IF(Y78="물량 주도","물량 확대가 주도. ",IF(Y78="혼합","물량·단가 동반. ",IF(Y78="감소","감소 품목. ","단가 해석 유보. "))))&amp;IF(V78&gt;0.05,"전체 증가의 5% 이상을 설명하는 대형 품목.",IF(V78&gt;0.005,"전체 증가에 의미 있게 기여.",IF(T78/SUMIFS(데이터_총괄!$H$3:$H$33,데이터_총괄!$B$3:$B$33,2026,데이터_총괄!$C$3:$C$33,"&lt;=7")&lt;0.001,"규모가 작아 총량 영향은 미미.","총량 영향은 제한적."))))</f>
        <v>1~7월 소폭 감소. 월별로는 2개월 증가·5개월 감소, 최대 13.7%(2026.07), 최소 -11.2%(2026.01). 감소 품목. 규모가 작아 총량 영향은 미미.</v>
      </c>
    </row>
    <row r="79" customFormat="false" ht="33.75" hidden="false" customHeight="true" outlineLevel="0" collapsed="false">
      <c r="A79" s="67" t="s">
        <v>19834</v>
      </c>
      <c r="B79" s="68" t="s">
        <v>974</v>
      </c>
      <c r="C79" s="65" t="str">
        <f aca="false">IFERROR(INDEX(데이터_품목별!$F$3:$F$2984,MATCH($B79,데이터_품목별!$E$3:$E$2984,0)),"")</f>
        <v>악기와 그 부분품과 부속품</v>
      </c>
      <c r="D79" s="69" t="s">
        <v>20054</v>
      </c>
      <c r="E79" s="59" t="n">
        <f aca="false">IFERROR(분석4B_월별매트릭스!AA96/분석4B_월별매트릭스!O96-1,"-")</f>
        <v>0.0311203319502074</v>
      </c>
      <c r="F79" s="59" t="n">
        <f aca="false">IFERROR(분석4B_월별매트릭스!AB96/분석4B_월별매트릭스!P96-1,"-")</f>
        <v>-0.360936408106219</v>
      </c>
      <c r="G79" s="59" t="n">
        <f aca="false">IFERROR(분석4B_월별매트릭스!AC96/분석4B_월별매트릭스!Q96-1,"-")</f>
        <v>-0.0771772732118111</v>
      </c>
      <c r="H79" s="59" t="n">
        <f aca="false">IFERROR(분석4B_월별매트릭스!AD96/분석4B_월별매트릭스!R96-1,"-")</f>
        <v>0.040782122905028</v>
      </c>
      <c r="I79" s="59" t="n">
        <f aca="false">IFERROR(분석4B_월별매트릭스!AE96/분석4B_월별매트릭스!S96-1,"-")</f>
        <v>-0.15513033291028</v>
      </c>
      <c r="J79" s="59" t="n">
        <f aca="false">IFERROR(분석4B_월별매트릭스!AF96/분석4B_월별매트릭스!T96-1,"-")</f>
        <v>-0.09484705399302</v>
      </c>
      <c r="K79" s="59" t="n">
        <f aca="false">IFERROR(분석4B_월별매트릭스!AG96/분석4B_월별매트릭스!U96-1,"-")</f>
        <v>-0.0687763299696287</v>
      </c>
      <c r="L79" s="57" t="n">
        <f aca="false">분석4B_월별매트릭스!AA96-분석4B_월별매트릭스!O96</f>
        <v>240</v>
      </c>
      <c r="M79" s="57" t="n">
        <f aca="false">분석4B_월별매트릭스!AB96-분석4B_월별매트릭스!P96</f>
        <v>-3099</v>
      </c>
      <c r="N79" s="57" t="n">
        <f aca="false">분석4B_월별매트릭스!AC96-분석4B_월별매트릭스!Q96</f>
        <v>-724</v>
      </c>
      <c r="O79" s="57" t="n">
        <f aca="false">분석4B_월별매트릭스!AD96-분석4B_월별매트릭스!R96</f>
        <v>365</v>
      </c>
      <c r="P79" s="57" t="n">
        <f aca="false">분석4B_월별매트릭스!AE96-분석4B_월별매트릭스!S96</f>
        <v>-1589</v>
      </c>
      <c r="Q79" s="57" t="n">
        <f aca="false">분석4B_월별매트릭스!AF96-분석4B_월별매트릭스!T96</f>
        <v>-924</v>
      </c>
      <c r="R79" s="57" t="n">
        <f aca="false">분석4B_월별매트릭스!AG96-분석4B_월별매트릭스!U96</f>
        <v>-702</v>
      </c>
      <c r="S79" s="25" t="n">
        <f aca="false">SUMIFS(데이터_품목별!$H$3:$H$2984,데이터_품목별!$E$3:$E$2984,"92",데이터_품목별!$B$3:$B$2984,2025,데이터_품목별!$C$3:$C$2984,"&lt;=7")</f>
        <v>64821</v>
      </c>
      <c r="T79" s="25" t="n">
        <f aca="false">SUMIFS(데이터_품목별!$H$3:$H$2984,데이터_품목별!$E$3:$E$2984,"92",데이터_품목별!$B$3:$B$2984,2026,데이터_품목별!$C$3:$C$2984,"&lt;=7")</f>
        <v>58388</v>
      </c>
      <c r="U79" s="36" t="n">
        <f aca="false">IFERROR(T79/S79-1,"-")</f>
        <v>-0.0992425294271918</v>
      </c>
      <c r="V79" s="34" t="n">
        <f aca="false">(T79-S79)/(SUMIFS(데이터_총괄!$H$3:$H$33,데이터_총괄!$B$3:$B$33,2026,데이터_총괄!$C$3:$C$33,"&lt;=7")-SUMIFS(데이터_총괄!$H$3:$H$33,데이터_총괄!$B$3:$B$33,2025,데이터_총괄!$C$3:$C$33,"&lt;=7"))</f>
        <v>-3.22175045449819E-005</v>
      </c>
      <c r="W79" s="24" t="n">
        <f aca="false">SUMIFS(데이터_품목별!$G$3:$G$2984,데이터_품목별!$E$3:$E$2984,"92",데이터_품목별!$B$3:$B$2984,2026,데이터_품목별!$C$3:$C$2984,"&lt;=7")</f>
        <v>2237.6</v>
      </c>
      <c r="X79" s="36" t="n">
        <f aca="false">IFERROR((T79/W79)/(S79/SUMIFS(데이터_품목별!$G$3:$G$2984,데이터_품목별!$E$3:$E$2984,"92",데이터_품목별!$B$3:$B$2984,2025,데이터_품목별!$C$3:$C$2984,"&lt;=7"))-1,"-")</f>
        <v>0.146275874801605</v>
      </c>
      <c r="Y79" s="67" t="str">
        <f aca="false">IF(OR(W79&lt;100,SUMIFS(데이터_품목별!$G$3:$G$2984,데이터_품목별!$E$3:$E$2984,"92",데이터_품목별!$B$3:$B$2984,2025,데이터_품목별!$C$3:$C$2984,"&lt;=7")&lt;100),"단가 불안정",IF(T79-S79&lt;0,"감소",IF(X79&gt;0.05,"가격 주도",IF(X79&lt;0.02,"물량 주도","혼합"))))</f>
        <v>감소</v>
      </c>
      <c r="Z79" s="25" t="n">
        <f aca="false">SUMIFS(데이터_품목별!$J$3:$J$2984,데이터_품목별!$E$3:$E$2984,"92",데이터_품목별!$B$3:$B$2984,2026,데이터_품목별!$C$3:$C$2984,"&lt;=7")</f>
        <v>99634</v>
      </c>
      <c r="AA79" s="25" t="n">
        <f aca="false">T79-Z79</f>
        <v>-41246</v>
      </c>
      <c r="AB79" s="65" t="str">
        <f aca="false">IF(T79=0,"자료 없음",IF(U79&gt;1,"1~7월 2배 이상 급증. ",IF(U79&gt;0.5,"1~7월 +50% 초과 급증. ",IF(U79&gt;0.15,"1~7월 뚜렷한 증가. ",IF(U79&gt;0.02,"1~7월 소폭 증가. ",IF(U79&gt;-0.02,"1~7월 보합. ",IF(U79&gt;-0.15,"1~7월 소폭 감소. ","1~7월 뚜렷한 감소. "))))))&amp;"월별로는 "&amp;COUNTIF(E79:K79,"&gt;0")&amp;"개월 증가·"&amp;COUNTIF(E79:K79,"&lt;0")&amp;"개월 감소"&amp;IF(COUNTIF(E79:K79,"&gt;0")=7," (7개월 내내 증가)",IF(COUNTIF(E79:K79,"&lt;0")=7," (7개월 내내 감소)",""))&amp;IFERROR(", 최대 "&amp;TEXT(MAX(E79:K79),"0.0%")&amp;"("&amp;SUBSTITUTE(INDEX($E$5:$K$5,MATCH(MAX(E79:K79),E79:K79,0))," YoY","")&amp;")","")&amp;IFERROR(", 최소 "&amp;TEXT(MIN(E79:K79),"0.0%")&amp;"("&amp;SUBSTITUTE(INDEX($E$5:$K$5,MATCH(MIN(E79:K79),E79:K79,0))," YoY","")&amp;")","")&amp;". "&amp;IF(Y79="가격 주도","단가 상승이 주도. ",IF(Y79="물량 주도","물량 확대가 주도. ",IF(Y79="혼합","물량·단가 동반. ",IF(Y79="감소","감소 품목. ","단가 해석 유보. "))))&amp;IF(V79&gt;0.05,"전체 증가의 5% 이상을 설명하는 대형 품목.",IF(V79&gt;0.005,"전체 증가에 의미 있게 기여.",IF(T79/SUMIFS(데이터_총괄!$H$3:$H$33,데이터_총괄!$B$3:$B$33,2026,데이터_총괄!$C$3:$C$33,"&lt;=7")&lt;0.001,"규모가 작아 총량 영향은 미미.","총량 영향은 제한적."))))</f>
        <v>1~7월 소폭 감소. 월별로는 2개월 증가·5개월 감소, 최대 4.1%(2026.04), 최소 -36.1%(2026.02). 감소 품목. 규모가 작아 총량 영향은 미미.</v>
      </c>
    </row>
    <row r="80" customFormat="false" ht="33.75" hidden="false" customHeight="true" outlineLevel="0" collapsed="false">
      <c r="A80" s="67" t="s">
        <v>19810</v>
      </c>
      <c r="B80" s="68" t="s">
        <v>597</v>
      </c>
      <c r="C80" s="65" t="str">
        <f aca="false">IFERROR(INDEX(데이터_품목별!$F$3:$F$2984,MATCH($B80,데이터_품목별!$E$3:$E$2984,0)),"")</f>
        <v>사진용이나 영화용 재료</v>
      </c>
      <c r="D80" s="69" t="s">
        <v>20055</v>
      </c>
      <c r="E80" s="59" t="n">
        <f aca="false">IFERROR(분석4B_월별매트릭스!AA42/분석4B_월별매트릭스!O42-1,"-")</f>
        <v>0.0718653935977232</v>
      </c>
      <c r="F80" s="59" t="n">
        <f aca="false">IFERROR(분석4B_월별매트릭스!AB42/분석4B_월별매트릭스!P42-1,"-")</f>
        <v>-0.170035405804996</v>
      </c>
      <c r="G80" s="59" t="n">
        <f aca="false">IFERROR(분석4B_월별매트릭스!AC42/분석4B_월별매트릭스!Q42-1,"-")</f>
        <v>-0.00180153290196039</v>
      </c>
      <c r="H80" s="59" t="n">
        <f aca="false">IFERROR(분석4B_월별매트릭스!AD42/분석4B_월별매트릭스!R42-1,"-")</f>
        <v>-0.0393059199737619</v>
      </c>
      <c r="I80" s="59" t="n">
        <f aca="false">IFERROR(분석4B_월별매트릭스!AE42/분석4B_월별매트릭스!S42-1,"-")</f>
        <v>-0.0256159822419534</v>
      </c>
      <c r="J80" s="59" t="n">
        <f aca="false">IFERROR(분석4B_월별매트릭스!AF42/분석4B_월별매트릭스!T42-1,"-")</f>
        <v>0.0142160981347672</v>
      </c>
      <c r="K80" s="59" t="n">
        <f aca="false">IFERROR(분석4B_월별매트릭스!AG42/분석4B_월별매트릭스!U42-1,"-")</f>
        <v>0.0915781853281854</v>
      </c>
      <c r="L80" s="57" t="n">
        <f aca="false">분석4B_월별매트릭스!AA42-분석4B_월별매트릭스!O42</f>
        <v>6616</v>
      </c>
      <c r="M80" s="57" t="n">
        <f aca="false">분석4B_월별매트릭스!AB42-분석4B_월별매트릭스!P42</f>
        <v>-17481</v>
      </c>
      <c r="N80" s="57" t="n">
        <f aca="false">분석4B_월별매트릭스!AC42-분석4B_월별매트릭스!Q42</f>
        <v>-169</v>
      </c>
      <c r="O80" s="57" t="n">
        <f aca="false">분석4B_월별매트릭스!AD42-분석4B_월별매트릭스!R42</f>
        <v>-3835</v>
      </c>
      <c r="P80" s="57" t="n">
        <f aca="false">분석4B_월별매트릭스!AE42-분석4B_월별매트릭스!S42</f>
        <v>-2308</v>
      </c>
      <c r="Q80" s="57" t="n">
        <f aca="false">분석4B_월별매트릭스!AF42-분석4B_월별매트릭스!T42</f>
        <v>1269</v>
      </c>
      <c r="R80" s="57" t="n">
        <f aca="false">분석4B_월별매트릭스!AG42-분석4B_월별매트릭스!U42</f>
        <v>9108</v>
      </c>
      <c r="S80" s="25" t="n">
        <f aca="false">SUMIFS(데이터_품목별!$H$3:$H$2984,데이터_품목별!$E$3:$E$2984,"37",데이터_품목별!$B$3:$B$2984,2025,데이터_품목별!$C$3:$C$2984,"&lt;=7")</f>
        <v>665067</v>
      </c>
      <c r="T80" s="25" t="n">
        <f aca="false">SUMIFS(데이터_품목별!$H$3:$H$2984,데이터_품목별!$E$3:$E$2984,"37",데이터_품목별!$B$3:$B$2984,2026,데이터_품목별!$C$3:$C$2984,"&lt;=7")</f>
        <v>658267</v>
      </c>
      <c r="U80" s="36" t="n">
        <f aca="false">IFERROR(T80/S80-1,"-")</f>
        <v>-0.0102245337687782</v>
      </c>
      <c r="V80" s="34" t="n">
        <f aca="false">(T80-S80)/(SUMIFS(데이터_총괄!$H$3:$H$33,데이터_총괄!$B$3:$B$33,2026,데이터_총괄!$C$3:$C$33,"&lt;=7")-SUMIFS(데이터_총괄!$H$3:$H$33,데이터_총괄!$B$3:$B$33,2025,데이터_총괄!$C$3:$C$33,"&lt;=7"))</f>
        <v>-3.40554999076445E-005</v>
      </c>
      <c r="W80" s="24" t="n">
        <f aca="false">SUMIFS(데이터_품목별!$G$3:$G$2984,데이터_품목별!$E$3:$E$2984,"37",데이터_품목별!$B$3:$B$2984,2026,데이터_품목별!$C$3:$C$2984,"&lt;=7")</f>
        <v>11827.5</v>
      </c>
      <c r="X80" s="36" t="n">
        <f aca="false">IFERROR((T80/W80)/(S80/SUMIFS(데이터_품목별!$G$3:$G$2984,데이터_품목별!$E$3:$E$2984,"37",데이터_품목별!$B$3:$B$2984,2025,데이터_품목별!$C$3:$C$2984,"&lt;=7"))-1,"-")</f>
        <v>0.0808155617470068</v>
      </c>
      <c r="Y80" s="67" t="str">
        <f aca="false">IF(OR(W80&lt;100,SUMIFS(데이터_품목별!$G$3:$G$2984,데이터_품목별!$E$3:$E$2984,"37",데이터_품목별!$B$3:$B$2984,2025,데이터_품목별!$C$3:$C$2984,"&lt;=7")&lt;100),"단가 불안정",IF(T80-S80&lt;0,"감소",IF(X80&gt;0.05,"가격 주도",IF(X80&lt;0.02,"물량 주도","혼합"))))</f>
        <v>감소</v>
      </c>
      <c r="Z80" s="25" t="n">
        <f aca="false">SUMIFS(데이터_품목별!$J$3:$J$2984,데이터_품목별!$E$3:$E$2984,"37",데이터_품목별!$B$3:$B$2984,2026,데이터_품목별!$C$3:$C$2984,"&lt;=7")</f>
        <v>705974</v>
      </c>
      <c r="AA80" s="25" t="n">
        <f aca="false">T80-Z80</f>
        <v>-47707</v>
      </c>
      <c r="AB80" s="65" t="str">
        <f aca="false">IF(T80=0,"자료 없음",IF(U80&gt;1,"1~7월 2배 이상 급증. ",IF(U80&gt;0.5,"1~7월 +50% 초과 급증. ",IF(U80&gt;0.15,"1~7월 뚜렷한 증가. ",IF(U80&gt;0.02,"1~7월 소폭 증가. ",IF(U80&gt;-0.02,"1~7월 보합. ",IF(U80&gt;-0.15,"1~7월 소폭 감소. ","1~7월 뚜렷한 감소. "))))))&amp;"월별로는 "&amp;COUNTIF(E80:K80,"&gt;0")&amp;"개월 증가·"&amp;COUNTIF(E80:K80,"&lt;0")&amp;"개월 감소"&amp;IF(COUNTIF(E80:K80,"&gt;0")=7," (7개월 내내 증가)",IF(COUNTIF(E80:K80,"&lt;0")=7," (7개월 내내 감소)",""))&amp;IFERROR(", 최대 "&amp;TEXT(MAX(E80:K80),"0.0%")&amp;"("&amp;SUBSTITUTE(INDEX($E$5:$K$5,MATCH(MAX(E80:K80),E80:K80,0))," YoY","")&amp;")","")&amp;IFERROR(", 최소 "&amp;TEXT(MIN(E80:K80),"0.0%")&amp;"("&amp;SUBSTITUTE(INDEX($E$5:$K$5,MATCH(MIN(E80:K80),E80:K80,0))," YoY","")&amp;")","")&amp;". "&amp;IF(Y80="가격 주도","단가 상승이 주도. ",IF(Y80="물량 주도","물량 확대가 주도. ",IF(Y80="혼합","물량·단가 동반. ",IF(Y80="감소","감소 품목. ","단가 해석 유보. "))))&amp;IF(V80&gt;0.05,"전체 증가의 5% 이상을 설명하는 대형 품목.",IF(V80&gt;0.005,"전체 증가에 의미 있게 기여.",IF(T80/SUMIFS(데이터_총괄!$H$3:$H$33,데이터_총괄!$B$3:$B$33,2026,데이터_총괄!$C$3:$C$33,"&lt;=7")&lt;0.001,"규모가 작아 총량 영향은 미미.","총량 영향은 제한적."))))</f>
        <v>1~7월 보합. 월별로는 3개월 증가·4개월 감소, 최대 9.2%(2026.07), 최소 -17.0%(2026.02). 감소 품목. 총량 영향은 제한적.</v>
      </c>
    </row>
    <row r="81" customFormat="false" ht="33.75" hidden="false" customHeight="true" outlineLevel="0" collapsed="false">
      <c r="A81" s="67" t="s">
        <v>19820</v>
      </c>
      <c r="B81" s="68" t="s">
        <v>737</v>
      </c>
      <c r="C81" s="65" t="str">
        <f aca="false">IFERROR(INDEX(데이터_품목별!$F$3:$F$2984,MATCH($B81,데이터_품목별!$E$3:$E$2984,0)),"")</f>
        <v>양탄자류와 그 밖의 방직용 섬유로 만든 바닥깔개</v>
      </c>
      <c r="D81" s="69" t="s">
        <v>20056</v>
      </c>
      <c r="E81" s="59" t="n">
        <f aca="false">IFERROR(분석4B_월별매트릭스!AA62/분석4B_월별매트릭스!O62-1,"-")</f>
        <v>-0.264635124298316</v>
      </c>
      <c r="F81" s="59" t="n">
        <f aca="false">IFERROR(분석4B_월별매트릭스!AB62/분석4B_월별매트릭스!P62-1,"-")</f>
        <v>-0.234634064645788</v>
      </c>
      <c r="G81" s="59" t="n">
        <f aca="false">IFERROR(분석4B_월별매트릭스!AC62/분석4B_월별매트릭스!Q62-1,"-")</f>
        <v>0.185350529100529</v>
      </c>
      <c r="H81" s="59" t="n">
        <f aca="false">IFERROR(분석4B_월별매트릭스!AD62/분석4B_월별매트릭스!R62-1,"-")</f>
        <v>-0.325910670613979</v>
      </c>
      <c r="I81" s="59" t="n">
        <f aca="false">IFERROR(분석4B_월별매트릭스!AE62/분석4B_월별매트릭스!S62-1,"-")</f>
        <v>-0.387049420975371</v>
      </c>
      <c r="J81" s="59" t="n">
        <f aca="false">IFERROR(분석4B_월별매트릭스!AF62/분석4B_월별매트릭스!T62-1,"-")</f>
        <v>-0.340690690690691</v>
      </c>
      <c r="K81" s="59" t="n">
        <f aca="false">IFERROR(분석4B_월별매트릭스!AG62/분석4B_월별매트릭스!U62-1,"-")</f>
        <v>-0.0251133589117545</v>
      </c>
      <c r="L81" s="57" t="n">
        <f aca="false">분석4B_월별매트릭스!AA62-분석4B_월별매트릭스!O62</f>
        <v>-1650</v>
      </c>
      <c r="M81" s="57" t="n">
        <f aca="false">분석4B_월별매트릭스!AB62-분석4B_월별매트릭스!P62</f>
        <v>-1401</v>
      </c>
      <c r="N81" s="57" t="n">
        <f aca="false">분석4B_월별매트릭스!AC62-분석4B_월별매트릭스!Q62</f>
        <v>1121</v>
      </c>
      <c r="O81" s="57" t="n">
        <f aca="false">분석4B_월별매트릭스!AD62-분석4B_월별매트릭스!R62</f>
        <v>-2532</v>
      </c>
      <c r="P81" s="57" t="n">
        <f aca="false">분석4B_월별매트릭스!AE62-분석4B_월별매트릭스!S62</f>
        <v>-2373</v>
      </c>
      <c r="Q81" s="57" t="n">
        <f aca="false">분석4B_월별매트릭스!AF62-분석4B_월별매트릭스!T62</f>
        <v>-2269</v>
      </c>
      <c r="R81" s="57" t="n">
        <f aca="false">분석4B_월별매트릭스!AG62-분석4B_월별매트릭스!U62</f>
        <v>-144</v>
      </c>
      <c r="S81" s="25" t="n">
        <f aca="false">SUMIFS(데이터_품목별!$H$3:$H$2984,데이터_품목별!$E$3:$E$2984,"57",데이터_품목별!$B$3:$B$2984,2025,데이터_품목별!$C$3:$C$2984,"&lt;=7")</f>
        <v>44548</v>
      </c>
      <c r="T81" s="25" t="n">
        <f aca="false">SUMIFS(데이터_품목별!$H$3:$H$2984,데이터_품목별!$E$3:$E$2984,"57",데이터_품목별!$B$3:$B$2984,2026,데이터_품목별!$C$3:$C$2984,"&lt;=7")</f>
        <v>35300</v>
      </c>
      <c r="U81" s="36" t="n">
        <f aca="false">IFERROR(T81/S81-1,"-")</f>
        <v>-0.207596300619556</v>
      </c>
      <c r="V81" s="34" t="n">
        <f aca="false">(T81-S81)/(SUMIFS(데이터_총괄!$H$3:$H$33,데이터_총괄!$B$3:$B$33,2026,데이터_총괄!$C$3:$C$33,"&lt;=7")-SUMIFS(데이터_총괄!$H$3:$H$33,데이터_총괄!$B$3:$B$33,2025,데이터_총괄!$C$3:$C$33,"&lt;=7"))</f>
        <v>-4.63154798743965E-005</v>
      </c>
      <c r="W81" s="24" t="n">
        <f aca="false">SUMIFS(데이터_품목별!$G$3:$G$2984,데이터_품목별!$E$3:$E$2984,"57",데이터_품목별!$B$3:$B$2984,2026,데이터_품목별!$C$3:$C$2984,"&lt;=7")</f>
        <v>3737.2</v>
      </c>
      <c r="X81" s="36" t="n">
        <f aca="false">IFERROR((T81/W81)/(S81/SUMIFS(데이터_품목별!$G$3:$G$2984,데이터_품목별!$E$3:$E$2984,"57",데이터_품목별!$B$3:$B$2984,2025,데이터_품목별!$C$3:$C$2984,"&lt;=7"))-1,"-")</f>
        <v>-0.141612132994812</v>
      </c>
      <c r="Y81" s="67" t="str">
        <f aca="false">IF(OR(W81&lt;100,SUMIFS(데이터_품목별!$G$3:$G$2984,데이터_품목별!$E$3:$E$2984,"57",데이터_품목별!$B$3:$B$2984,2025,데이터_품목별!$C$3:$C$2984,"&lt;=7")&lt;100),"단가 불안정",IF(T81-S81&lt;0,"감소",IF(X81&gt;0.05,"가격 주도",IF(X81&lt;0.02,"물량 주도","혼합"))))</f>
        <v>감소</v>
      </c>
      <c r="Z81" s="25" t="n">
        <f aca="false">SUMIFS(데이터_품목별!$J$3:$J$2984,데이터_품목별!$E$3:$E$2984,"57",데이터_품목별!$B$3:$B$2984,2026,데이터_품목별!$C$3:$C$2984,"&lt;=7")</f>
        <v>64698</v>
      </c>
      <c r="AA81" s="25" t="n">
        <f aca="false">T81-Z81</f>
        <v>-29398</v>
      </c>
      <c r="AB81" s="65" t="str">
        <f aca="false">IF(T81=0,"자료 없음",IF(U81&gt;1,"1~7월 2배 이상 급증. ",IF(U81&gt;0.5,"1~7월 +50% 초과 급증. ",IF(U81&gt;0.15,"1~7월 뚜렷한 증가. ",IF(U81&gt;0.02,"1~7월 소폭 증가. ",IF(U81&gt;-0.02,"1~7월 보합. ",IF(U81&gt;-0.15,"1~7월 소폭 감소. ","1~7월 뚜렷한 감소. "))))))&amp;"월별로는 "&amp;COUNTIF(E81:K81,"&gt;0")&amp;"개월 증가·"&amp;COUNTIF(E81:K81,"&lt;0")&amp;"개월 감소"&amp;IF(COUNTIF(E81:K81,"&gt;0")=7," (7개월 내내 증가)",IF(COUNTIF(E81:K81,"&lt;0")=7," (7개월 내내 감소)",""))&amp;IFERROR(", 최대 "&amp;TEXT(MAX(E81:K81),"0.0%")&amp;"("&amp;SUBSTITUTE(INDEX($E$5:$K$5,MATCH(MAX(E81:K81),E81:K81,0))," YoY","")&amp;")","")&amp;IFERROR(", 최소 "&amp;TEXT(MIN(E81:K81),"0.0%")&amp;"("&amp;SUBSTITUTE(INDEX($E$5:$K$5,MATCH(MIN(E81:K81),E81:K81,0))," YoY","")&amp;")","")&amp;". "&amp;IF(Y81="가격 주도","단가 상승이 주도. ",IF(Y81="물량 주도","물량 확대가 주도. ",IF(Y81="혼합","물량·단가 동반. ",IF(Y81="감소","감소 품목. ","단가 해석 유보. "))))&amp;IF(V81&gt;0.05,"전체 증가의 5% 이상을 설명하는 대형 품목.",IF(V81&gt;0.005,"전체 증가에 의미 있게 기여.",IF(T81/SUMIFS(데이터_총괄!$H$3:$H$33,데이터_총괄!$B$3:$B$33,2026,데이터_총괄!$C$3:$C$33,"&lt;=7")&lt;0.001,"규모가 작아 총량 영향은 미미.","총량 영향은 제한적."))))</f>
        <v>1~7월 뚜렷한 감소. 월별로는 1개월 증가·6개월 감소, 최대 18.5%(2026.03), 최소 -38.7%(2026.05). 감소 품목. 규모가 작아 총량 영향은 미미.</v>
      </c>
    </row>
    <row r="82" customFormat="false" ht="33.75" hidden="false" customHeight="true" outlineLevel="0" collapsed="false">
      <c r="A82" s="67" t="s">
        <v>19820</v>
      </c>
      <c r="B82" s="68" t="s">
        <v>723</v>
      </c>
      <c r="C82" s="65" t="str">
        <f aca="false">IFERROR(INDEX(데이터_품목별!$F$3:$F$2984,MATCH($B82,데이터_품목별!$E$3:$E$2984,0)),"")</f>
        <v>인조스테이플섬유</v>
      </c>
      <c r="D82" s="69" t="s">
        <v>20057</v>
      </c>
      <c r="E82" s="59" t="n">
        <f aca="false">IFERROR(분석4B_월별매트릭스!AA60/분석4B_월별매트릭스!O60-1,"-")</f>
        <v>0.0635946689688665</v>
      </c>
      <c r="F82" s="59" t="n">
        <f aca="false">IFERROR(분석4B_월별매트릭스!AB60/분석4B_월별매트릭스!P60-1,"-")</f>
        <v>-0.166447185027828</v>
      </c>
      <c r="G82" s="59" t="n">
        <f aca="false">IFERROR(분석4B_월별매트릭스!AC60/분석4B_월별매트릭스!Q60-1,"-")</f>
        <v>0.0697441566975041</v>
      </c>
      <c r="H82" s="59" t="n">
        <f aca="false">IFERROR(분석4B_월별매트릭스!AD60/분석4B_월별매트릭스!R60-1,"-")</f>
        <v>-0.0400348989908076</v>
      </c>
      <c r="I82" s="59" t="n">
        <f aca="false">IFERROR(분석4B_월별매트릭스!AE60/분석4B_월별매트릭스!S60-1,"-")</f>
        <v>-0.0830555778652317</v>
      </c>
      <c r="J82" s="59" t="n">
        <f aca="false">IFERROR(분석4B_월별매트릭스!AF60/분석4B_월별매트릭스!T60-1,"-")</f>
        <v>0.0931259196972882</v>
      </c>
      <c r="K82" s="59" t="n">
        <f aca="false">IFERROR(분석4B_월별매트릭스!AG60/분석4B_월별매트릭스!U60-1,"-")</f>
        <v>0.000355925622330666</v>
      </c>
      <c r="L82" s="57" t="n">
        <f aca="false">분석4B_월별매트릭스!AA60-분석4B_월별매트릭스!O60</f>
        <v>5893</v>
      </c>
      <c r="M82" s="57" t="n">
        <f aca="false">분석4B_월별매트릭스!AB60-분석4B_월별매트릭스!P60</f>
        <v>-17316</v>
      </c>
      <c r="N82" s="57" t="n">
        <f aca="false">분석4B_월별매트릭스!AC60-분석4B_월별매트릭스!Q60</f>
        <v>6687</v>
      </c>
      <c r="O82" s="57" t="n">
        <f aca="false">분석4B_월별매트릭스!AD60-분석4B_월별매트릭스!R60</f>
        <v>-4451</v>
      </c>
      <c r="P82" s="57" t="n">
        <f aca="false">분석4B_월별매트릭스!AE60-분석4B_월별매트릭스!S60</f>
        <v>-8273</v>
      </c>
      <c r="Q82" s="57" t="n">
        <f aca="false">분석4B_월별매트릭스!AF60-분석4B_월별매트릭스!T60</f>
        <v>7974</v>
      </c>
      <c r="R82" s="57" t="n">
        <f aca="false">분석4B_월별매트릭스!AG60-분석4B_월별매트릭스!U60</f>
        <v>33</v>
      </c>
      <c r="S82" s="25" t="n">
        <f aca="false">SUMIFS(데이터_품목별!$H$3:$H$2984,데이터_품목별!$E$3:$E$2984,"55",데이터_품목별!$B$3:$B$2984,2025,데이터_품목별!$C$3:$C$2984,"&lt;=7")</f>
        <v>681705</v>
      </c>
      <c r="T82" s="25" t="n">
        <f aca="false">SUMIFS(데이터_품목별!$H$3:$H$2984,데이터_품목별!$E$3:$E$2984,"55",데이터_품목별!$B$3:$B$2984,2026,데이터_품목별!$C$3:$C$2984,"&lt;=7")</f>
        <v>672252</v>
      </c>
      <c r="U82" s="36" t="n">
        <f aca="false">IFERROR(T82/S82-1,"-")</f>
        <v>-0.0138667018725108</v>
      </c>
      <c r="V82" s="34" t="n">
        <f aca="false">(T82-S82)/(SUMIFS(데이터_총괄!$H$3:$H$33,데이터_총괄!$B$3:$B$33,2026,데이터_총괄!$C$3:$C$33,"&lt;=7")-SUMIFS(데이터_총괄!$H$3:$H$33,데이터_총괄!$B$3:$B$33,2025,데이터_총괄!$C$3:$C$33,"&lt;=7"))</f>
        <v>-4.7342153033377E-005</v>
      </c>
      <c r="W82" s="24" t="n">
        <f aca="false">SUMIFS(데이터_품목별!$G$3:$G$2984,데이터_품목별!$E$3:$E$2984,"55",데이터_품목별!$B$3:$B$2984,2026,데이터_품목별!$C$3:$C$2984,"&lt;=7")</f>
        <v>364454.7</v>
      </c>
      <c r="X82" s="36" t="n">
        <f aca="false">IFERROR((T82/W82)/(S82/SUMIFS(데이터_품목별!$G$3:$G$2984,데이터_품목별!$E$3:$E$2984,"55",데이터_품목별!$B$3:$B$2984,2025,데이터_품목별!$C$3:$C$2984,"&lt;=7"))-1,"-")</f>
        <v>0.0400908291400928</v>
      </c>
      <c r="Y82" s="67" t="str">
        <f aca="false">IF(OR(W82&lt;100,SUMIFS(데이터_품목별!$G$3:$G$2984,데이터_품목별!$E$3:$E$2984,"55",데이터_품목별!$B$3:$B$2984,2025,데이터_품목별!$C$3:$C$2984,"&lt;=7")&lt;100),"단가 불안정",IF(T82-S82&lt;0,"감소",IF(X82&gt;0.05,"가격 주도",IF(X82&lt;0.02,"물량 주도","혼합"))))</f>
        <v>감소</v>
      </c>
      <c r="Z82" s="25" t="n">
        <f aca="false">SUMIFS(데이터_품목별!$J$3:$J$2984,데이터_품목별!$E$3:$E$2984,"55",데이터_품목별!$B$3:$B$2984,2026,데이터_품목별!$C$3:$C$2984,"&lt;=7")</f>
        <v>325940</v>
      </c>
      <c r="AA82" s="25" t="n">
        <f aca="false">T82-Z82</f>
        <v>346312</v>
      </c>
      <c r="AB82" s="65" t="str">
        <f aca="false">IF(T82=0,"자료 없음",IF(U82&gt;1,"1~7월 2배 이상 급증. ",IF(U82&gt;0.5,"1~7월 +50% 초과 급증. ",IF(U82&gt;0.15,"1~7월 뚜렷한 증가. ",IF(U82&gt;0.02,"1~7월 소폭 증가. ",IF(U82&gt;-0.02,"1~7월 보합. ",IF(U82&gt;-0.15,"1~7월 소폭 감소. ","1~7월 뚜렷한 감소. "))))))&amp;"월별로는 "&amp;COUNTIF(E82:K82,"&gt;0")&amp;"개월 증가·"&amp;COUNTIF(E82:K82,"&lt;0")&amp;"개월 감소"&amp;IF(COUNTIF(E82:K82,"&gt;0")=7," (7개월 내내 증가)",IF(COUNTIF(E82:K82,"&lt;0")=7," (7개월 내내 감소)",""))&amp;IFERROR(", 최대 "&amp;TEXT(MAX(E82:K82),"0.0%")&amp;"("&amp;SUBSTITUTE(INDEX($E$5:$K$5,MATCH(MAX(E82:K82),E82:K82,0))," YoY","")&amp;")","")&amp;IFERROR(", 최소 "&amp;TEXT(MIN(E82:K82),"0.0%")&amp;"("&amp;SUBSTITUTE(INDEX($E$5:$K$5,MATCH(MIN(E82:K82),E82:K82,0))," YoY","")&amp;")","")&amp;". "&amp;IF(Y82="가격 주도","단가 상승이 주도. ",IF(Y82="물량 주도","물량 확대가 주도. ",IF(Y82="혼합","물량·단가 동반. ",IF(Y82="감소","감소 품목. ","단가 해석 유보. "))))&amp;IF(V82&gt;0.05,"전체 증가의 5% 이상을 설명하는 대형 품목.",IF(V82&gt;0.005,"전체 증가에 의미 있게 기여.",IF(T82/SUMIFS(데이터_총괄!$H$3:$H$33,데이터_총괄!$B$3:$B$33,2026,데이터_총괄!$C$3:$C$33,"&lt;=7")&lt;0.001,"규모가 작아 총량 영향은 미미.","총량 영향은 제한적."))))</f>
        <v>1~7월 보합. 월별로는 4개월 증가·3개월 감소, 최대 9.3%(2026.06), 최소 -16.6%(2026.02). 감소 품목. 총량 영향은 제한적.</v>
      </c>
    </row>
    <row r="83" customFormat="false" ht="33.75" hidden="false" customHeight="true" outlineLevel="0" collapsed="false">
      <c r="A83" s="67" t="s">
        <v>19802</v>
      </c>
      <c r="B83" s="68" t="s">
        <v>408</v>
      </c>
      <c r="C83" s="65" t="str">
        <f aca="false">IFERROR(INDEX(데이터_품목별!$F$3:$F$2984,MATCH($B83,데이터_품목별!$E$3:$E$2984,0)),"")</f>
        <v>곡물</v>
      </c>
      <c r="D83" s="69" t="s">
        <v>20058</v>
      </c>
      <c r="E83" s="59" t="n">
        <f aca="false">IFERROR(분석4B_월별매트릭스!AA15/분석4B_월별매트릭스!O15-1,"-")</f>
        <v>-0.641975308641975</v>
      </c>
      <c r="F83" s="59" t="n">
        <f aca="false">IFERROR(분석4B_월별매트릭스!AB15/분석4B_월별매트릭스!P15-1,"-")</f>
        <v>0.0503715937241949</v>
      </c>
      <c r="G83" s="59" t="n">
        <f aca="false">IFERROR(분석4B_월별매트릭스!AC15/분석4B_월별매트릭스!Q15-1,"-")</f>
        <v>0.0084626234132581</v>
      </c>
      <c r="H83" s="59" t="n">
        <f aca="false">IFERROR(분석4B_월별매트릭스!AD15/분석4B_월별매트릭스!R15-1,"-")</f>
        <v>-0.914354868739527</v>
      </c>
      <c r="I83" s="59" t="n">
        <f aca="false">IFERROR(분석4B_월별매트릭스!AE15/분석4B_월별매트릭스!S15-1,"-")</f>
        <v>0.681041181041181</v>
      </c>
      <c r="J83" s="59" t="n">
        <f aca="false">IFERROR(분석4B_월별매트릭스!AF15/분석4B_월별매트릭스!T15-1,"-")</f>
        <v>0.175418994413408</v>
      </c>
      <c r="K83" s="59" t="n">
        <f aca="false">IFERROR(분석4B_월별매트릭스!AG15/분석4B_월별매트릭스!U15-1,"-")</f>
        <v>0.0674019607843137</v>
      </c>
      <c r="L83" s="57" t="n">
        <f aca="false">분석4B_월별매트릭스!AA15-분석4B_월별매트릭스!O15</f>
        <v>-2028</v>
      </c>
      <c r="M83" s="57" t="n">
        <f aca="false">분석4B_월별매트릭스!AB15-분석4B_월별매트릭스!P15</f>
        <v>61</v>
      </c>
      <c r="N83" s="57" t="n">
        <f aca="false">분석4B_월별매트릭스!AC15-분석4B_월별매트릭스!Q15</f>
        <v>12</v>
      </c>
      <c r="O83" s="57" t="n">
        <f aca="false">분석4B_월별매트릭스!AD15-분석4B_월별매트릭스!R15</f>
        <v>-14733</v>
      </c>
      <c r="P83" s="57" t="n">
        <f aca="false">분석4B_월별매트릭스!AE15-분석4B_월별매트릭스!S15</f>
        <v>7012</v>
      </c>
      <c r="Q83" s="57" t="n">
        <f aca="false">분석4B_월별매트릭스!AF15-분석4B_월별매트릭스!T15</f>
        <v>157</v>
      </c>
      <c r="R83" s="57" t="n">
        <f aca="false">분석4B_월별매트릭스!AG15-분석4B_월별매트릭스!U15</f>
        <v>55</v>
      </c>
      <c r="S83" s="25" t="n">
        <f aca="false">SUMIFS(데이터_품목별!$H$3:$H$2984,데이터_품목별!$E$3:$E$2984,"10",데이터_품목별!$B$3:$B$2984,2025,데이터_품목별!$C$3:$C$2984,"&lt;=7")</f>
        <v>33908</v>
      </c>
      <c r="T83" s="25" t="n">
        <f aca="false">SUMIFS(데이터_품목별!$H$3:$H$2984,데이터_품목별!$E$3:$E$2984,"10",데이터_품목별!$B$3:$B$2984,2026,데이터_품목별!$C$3:$C$2984,"&lt;=7")</f>
        <v>24444</v>
      </c>
      <c r="U83" s="36" t="n">
        <f aca="false">IFERROR(T83/S83-1,"-")</f>
        <v>-0.279108175061932</v>
      </c>
      <c r="V83" s="34" t="n">
        <f aca="false">(T83-S83)/(SUMIFS(데이터_총괄!$H$3:$H$33,데이터_총괄!$B$3:$B$33,2026,데이터_총괄!$C$3:$C$33,"&lt;=7")-SUMIFS(데이터_총괄!$H$3:$H$33,데이터_총괄!$B$3:$B$33,2025,데이터_총괄!$C$3:$C$33,"&lt;=7"))</f>
        <v>-4.73972428126393E-005</v>
      </c>
      <c r="W83" s="24" t="n">
        <f aca="false">SUMIFS(데이터_품목별!$G$3:$G$2984,데이터_품목별!$E$3:$E$2984,"10",데이터_품목별!$B$3:$B$2984,2026,데이터_품목별!$C$3:$C$2984,"&lt;=7")</f>
        <v>54641.8</v>
      </c>
      <c r="X83" s="36" t="n">
        <f aca="false">IFERROR((T83/W83)/(S83/SUMIFS(데이터_품목별!$G$3:$G$2984,데이터_품목별!$E$3:$E$2984,"10",데이터_품목별!$B$3:$B$2984,2025,데이터_품목별!$C$3:$C$2984,"&lt;=7"))-1,"-")</f>
        <v>0.0489013125310407</v>
      </c>
      <c r="Y83" s="67" t="str">
        <f aca="false">IF(OR(W83&lt;100,SUMIFS(데이터_품목별!$G$3:$G$2984,데이터_품목별!$E$3:$E$2984,"10",데이터_품목별!$B$3:$B$2984,2025,데이터_품목별!$C$3:$C$2984,"&lt;=7")&lt;100),"단가 불안정",IF(T83-S83&lt;0,"감소",IF(X83&gt;0.05,"가격 주도",IF(X83&lt;0.02,"물량 주도","혼합"))))</f>
        <v>감소</v>
      </c>
      <c r="Z83" s="25" t="n">
        <f aca="false">SUMIFS(데이터_품목별!$J$3:$J$2984,데이터_품목별!$E$3:$E$2984,"10",데이터_품목별!$B$3:$B$2984,2026,데이터_품목별!$C$3:$C$2984,"&lt;=7")</f>
        <v>2614719</v>
      </c>
      <c r="AA83" s="25" t="n">
        <f aca="false">T83-Z83</f>
        <v>-2590275</v>
      </c>
      <c r="AB83" s="65" t="str">
        <f aca="false">IF(T83=0,"자료 없음",IF(U83&gt;1,"1~7월 2배 이상 급증. ",IF(U83&gt;0.5,"1~7월 +50% 초과 급증. ",IF(U83&gt;0.15,"1~7월 뚜렷한 증가. ",IF(U83&gt;0.02,"1~7월 소폭 증가. ",IF(U83&gt;-0.02,"1~7월 보합. ",IF(U83&gt;-0.15,"1~7월 소폭 감소. ","1~7월 뚜렷한 감소. "))))))&amp;"월별로는 "&amp;COUNTIF(E83:K83,"&gt;0")&amp;"개월 증가·"&amp;COUNTIF(E83:K83,"&lt;0")&amp;"개월 감소"&amp;IF(COUNTIF(E83:K83,"&gt;0")=7," (7개월 내내 증가)",IF(COUNTIF(E83:K83,"&lt;0")=7," (7개월 내내 감소)",""))&amp;IFERROR(", 최대 "&amp;TEXT(MAX(E83:K83),"0.0%")&amp;"("&amp;SUBSTITUTE(INDEX($E$5:$K$5,MATCH(MAX(E83:K83),E83:K83,0))," YoY","")&amp;")","")&amp;IFERROR(", 최소 "&amp;TEXT(MIN(E83:K83),"0.0%")&amp;"("&amp;SUBSTITUTE(INDEX($E$5:$K$5,MATCH(MIN(E83:K83),E83:K83,0))," YoY","")&amp;")","")&amp;". "&amp;IF(Y83="가격 주도","단가 상승이 주도. ",IF(Y83="물량 주도","물량 확대가 주도. ",IF(Y83="혼합","물량·단가 동반. ",IF(Y83="감소","감소 품목. ","단가 해석 유보. "))))&amp;IF(V83&gt;0.05,"전체 증가의 5% 이상을 설명하는 대형 품목.",IF(V83&gt;0.005,"전체 증가에 의미 있게 기여.",IF(T83/SUMIFS(데이터_총괄!$H$3:$H$33,데이터_총괄!$B$3:$B$33,2026,데이터_총괄!$C$3:$C$33,"&lt;=7")&lt;0.001,"규모가 작아 총량 영향은 미미.","총량 영향은 제한적."))))</f>
        <v>1~7월 뚜렷한 감소. 월별로는 5개월 증가·2개월 감소, 최대 68.1%(2026.05), 최소 -91.4%(2026.04). 감소 품목. 규모가 작아 총량 영향은 미미.</v>
      </c>
    </row>
    <row r="84" customFormat="false" ht="33.75" hidden="false" customHeight="true" outlineLevel="0" collapsed="false">
      <c r="A84" s="67" t="s">
        <v>19820</v>
      </c>
      <c r="B84" s="68" t="s">
        <v>730</v>
      </c>
      <c r="C84" s="65" t="str">
        <f aca="false">IFERROR(INDEX(데이터_품목별!$F$3:$F$2984,MATCH($B84,데이터_품목별!$E$3:$E$2984,0)),"")</f>
        <v>워딩(wadding)ㆍ펠트(felt)ㆍ부직포, 특수사, 끈ㆍ배의 밧줄(cordage)ㆍ로프ㆍ케이블과 이들의 제품</v>
      </c>
      <c r="D84" s="69" t="s">
        <v>20059</v>
      </c>
      <c r="E84" s="59" t="n">
        <f aca="false">IFERROR(분석4B_월별매트릭스!AA61/분석4B_월별매트릭스!O61-1,"-")</f>
        <v>0.0372285418821097</v>
      </c>
      <c r="F84" s="59" t="n">
        <f aca="false">IFERROR(분석4B_월별매트릭스!AB61/분석4B_월별매트릭스!P61-1,"-")</f>
        <v>-0.106018178120551</v>
      </c>
      <c r="G84" s="59" t="n">
        <f aca="false">IFERROR(분석4B_월별매트릭스!AC61/분석4B_월별매트릭스!Q61-1,"-")</f>
        <v>-0.0229988829551193</v>
      </c>
      <c r="H84" s="59" t="n">
        <f aca="false">IFERROR(분석4B_월별매트릭스!AD61/분석4B_월별매트릭스!R61-1,"-")</f>
        <v>-0.10006050720825</v>
      </c>
      <c r="I84" s="59" t="n">
        <f aca="false">IFERROR(분석4B_월별매트릭스!AE61/분석4B_월별매트릭스!S61-1,"-")</f>
        <v>-0.073027356997513</v>
      </c>
      <c r="J84" s="59" t="n">
        <f aca="false">IFERROR(분석4B_월별매트릭스!AF61/분석4B_월별매트릭스!T61-1,"-")</f>
        <v>0.069622392232771</v>
      </c>
      <c r="K84" s="59" t="n">
        <f aca="false">IFERROR(분석4B_월별매트릭스!AG61/분석4B_월별매트릭스!U61-1,"-")</f>
        <v>0.055264604612135</v>
      </c>
      <c r="L84" s="57" t="n">
        <f aca="false">분석4B_월별매트릭스!AA61-분석4B_월별매트릭스!O61</f>
        <v>2052</v>
      </c>
      <c r="M84" s="57" t="n">
        <f aca="false">분석4B_월별매트릭스!AB61-분석4B_월별매트릭스!P61</f>
        <v>-6777</v>
      </c>
      <c r="N84" s="57" t="n">
        <f aca="false">분석4B_월별매트릭스!AC61-분석4B_월별매트릭스!Q61</f>
        <v>-1503</v>
      </c>
      <c r="O84" s="57" t="n">
        <f aca="false">분석4B_월별매트릭스!AD61-분석4B_월별매트릭스!R61</f>
        <v>-7607</v>
      </c>
      <c r="P84" s="57" t="n">
        <f aca="false">분석4B_월별매트릭스!AE61-분석4B_월별매트릭스!S61</f>
        <v>-4522</v>
      </c>
      <c r="Q84" s="57" t="n">
        <f aca="false">분석4B_월별매트릭스!AF61-분석4B_월별매트릭스!T61</f>
        <v>4532</v>
      </c>
      <c r="R84" s="57" t="n">
        <f aca="false">분석4B_월별매트릭스!AG61-분석4B_월별매트릭스!U61</f>
        <v>3820</v>
      </c>
      <c r="S84" s="25" t="n">
        <f aca="false">SUMIFS(데이터_품목별!$H$3:$H$2984,데이터_품목별!$E$3:$E$2984,"56",데이터_품목별!$B$3:$B$2984,2025,데이터_품목별!$C$3:$C$2984,"&lt;=7")</f>
        <v>456555</v>
      </c>
      <c r="T84" s="25" t="n">
        <f aca="false">SUMIFS(데이터_품목별!$H$3:$H$2984,데이터_품목별!$E$3:$E$2984,"56",데이터_품목별!$B$3:$B$2984,2026,데이터_품목별!$C$3:$C$2984,"&lt;=7")</f>
        <v>446550</v>
      </c>
      <c r="U84" s="36" t="n">
        <f aca="false">IFERROR(T84/S84-1,"-")</f>
        <v>-0.0219141176857115</v>
      </c>
      <c r="V84" s="34" t="n">
        <f aca="false">(T84-S84)/(SUMIFS(데이터_총괄!$H$3:$H$33,데이터_총괄!$B$3:$B$33,2026,데이터_총괄!$C$3:$C$33,"&lt;=7")-SUMIFS(데이터_총괄!$H$3:$H$33,데이터_총괄!$B$3:$B$33,2025,데이터_총괄!$C$3:$C$33,"&lt;=7"))</f>
        <v>-5.01066583199975E-005</v>
      </c>
      <c r="W84" s="24" t="n">
        <f aca="false">SUMIFS(데이터_품목별!$G$3:$G$2984,데이터_품목별!$E$3:$E$2984,"56",데이터_품목별!$B$3:$B$2984,2026,데이터_품목별!$C$3:$C$2984,"&lt;=7")</f>
        <v>70784.1</v>
      </c>
      <c r="X84" s="36" t="n">
        <f aca="false">IFERROR((T84/W84)/(S84/SUMIFS(데이터_품목별!$G$3:$G$2984,데이터_품목별!$E$3:$E$2984,"56",데이터_품목별!$B$3:$B$2984,2025,데이터_품목별!$C$3:$C$2984,"&lt;=7"))-1,"-")</f>
        <v>-0.0121697518718064</v>
      </c>
      <c r="Y84" s="67" t="str">
        <f aca="false">IF(OR(W84&lt;100,SUMIFS(데이터_품목별!$G$3:$G$2984,데이터_품목별!$E$3:$E$2984,"56",데이터_품목별!$B$3:$B$2984,2025,데이터_품목별!$C$3:$C$2984,"&lt;=7")&lt;100),"단가 불안정",IF(T84-S84&lt;0,"감소",IF(X84&gt;0.05,"가격 주도",IF(X84&lt;0.02,"물량 주도","혼합"))))</f>
        <v>감소</v>
      </c>
      <c r="Z84" s="25" t="n">
        <f aca="false">SUMIFS(데이터_품목별!$J$3:$J$2984,데이터_품목별!$E$3:$E$2984,"56",데이터_품목별!$B$3:$B$2984,2026,데이터_품목별!$C$3:$C$2984,"&lt;=7")</f>
        <v>429674</v>
      </c>
      <c r="AA84" s="25" t="n">
        <f aca="false">T84-Z84</f>
        <v>16876</v>
      </c>
      <c r="AB84" s="65" t="str">
        <f aca="false">IF(T84=0,"자료 없음",IF(U84&gt;1,"1~7월 2배 이상 급증. ",IF(U84&gt;0.5,"1~7월 +50% 초과 급증. ",IF(U84&gt;0.15,"1~7월 뚜렷한 증가. ",IF(U84&gt;0.02,"1~7월 소폭 증가. ",IF(U84&gt;-0.02,"1~7월 보합. ",IF(U84&gt;-0.15,"1~7월 소폭 감소. ","1~7월 뚜렷한 감소. "))))))&amp;"월별로는 "&amp;COUNTIF(E84:K84,"&gt;0")&amp;"개월 증가·"&amp;COUNTIF(E84:K84,"&lt;0")&amp;"개월 감소"&amp;IF(COUNTIF(E84:K84,"&gt;0")=7," (7개월 내내 증가)",IF(COUNTIF(E84:K84,"&lt;0")=7," (7개월 내내 감소)",""))&amp;IFERROR(", 최대 "&amp;TEXT(MAX(E84:K84),"0.0%")&amp;"("&amp;SUBSTITUTE(INDEX($E$5:$K$5,MATCH(MAX(E84:K84),E84:K84,0))," YoY","")&amp;")","")&amp;IFERROR(", 최소 "&amp;TEXT(MIN(E84:K84),"0.0%")&amp;"("&amp;SUBSTITUTE(INDEX($E$5:$K$5,MATCH(MIN(E84:K84),E84:K84,0))," YoY","")&amp;")","")&amp;". "&amp;IF(Y84="가격 주도","단가 상승이 주도. ",IF(Y84="물량 주도","물량 확대가 주도. ",IF(Y84="혼합","물량·단가 동반. ",IF(Y84="감소","감소 품목. ","단가 해석 유보. "))))&amp;IF(V84&gt;0.05,"전체 증가의 5% 이상을 설명하는 대형 품목.",IF(V84&gt;0.005,"전체 증가에 의미 있게 기여.",IF(T84/SUMIFS(데이터_총괄!$H$3:$H$33,데이터_총괄!$B$3:$B$33,2026,데이터_총괄!$C$3:$C$33,"&lt;=7")&lt;0.001,"규모가 작아 총량 영향은 미미.","총량 영향은 제한적."))))</f>
        <v>1~7월 소폭 감소. 월별로는 3개월 증가·4개월 감소, 최대 7.0%(2026.06), 최소 -10.6%(2026.02). 감소 품목. 규모가 작아 총량 영향은 미미.</v>
      </c>
    </row>
    <row r="85" customFormat="false" ht="33.75" hidden="false" customHeight="true" outlineLevel="0" collapsed="false">
      <c r="A85" s="67" t="s">
        <v>19806</v>
      </c>
      <c r="B85" s="68" t="s">
        <v>464</v>
      </c>
      <c r="C85" s="65" t="str">
        <f aca="false">IFERROR(INDEX(데이터_품목별!$F$3:$F$2984,MATCH($B85,데이터_품목별!$E$3:$E$2984,0)),"")</f>
        <v>코코아와 그 조제품</v>
      </c>
      <c r="D85" s="69" t="s">
        <v>20060</v>
      </c>
      <c r="E85" s="59" t="n">
        <f aca="false">IFERROR(분석4B_월별매트릭스!AA23/분석4B_월별매트릭스!O23-1,"-")</f>
        <v>-0.0754224652087475</v>
      </c>
      <c r="F85" s="59" t="n">
        <f aca="false">IFERROR(분석4B_월별매트릭스!AB23/분석4B_월별매트릭스!P23-1,"-")</f>
        <v>-0.320320197044335</v>
      </c>
      <c r="G85" s="59" t="n">
        <f aca="false">IFERROR(분석4B_월별매트릭스!AC23/분석4B_월별매트릭스!Q23-1,"-")</f>
        <v>-0.252948885976409</v>
      </c>
      <c r="H85" s="59" t="n">
        <f aca="false">IFERROR(분석4B_월별매트릭스!AD23/분석4B_월별매트릭스!R23-1,"-")</f>
        <v>-0.315733446880988</v>
      </c>
      <c r="I85" s="59" t="n">
        <f aca="false">IFERROR(분석4B_월별매트릭스!AE23/분석4B_월별매트릭스!S23-1,"-")</f>
        <v>-0.308062709966405</v>
      </c>
      <c r="J85" s="59" t="n">
        <f aca="false">IFERROR(분석4B_월별매트릭스!AF23/분석4B_월별매트릭스!T23-1,"-")</f>
        <v>-0.0652382475215861</v>
      </c>
      <c r="K85" s="59" t="n">
        <f aca="false">IFERROR(분석4B_월별매트릭스!AG23/분석4B_월별매트릭스!U23-1,"-")</f>
        <v>-0.267795746848338</v>
      </c>
      <c r="L85" s="57" t="n">
        <f aca="false">분석4B_월별매트릭스!AA23-분석4B_월별매트릭스!O23</f>
        <v>-607</v>
      </c>
      <c r="M85" s="57" t="n">
        <f aca="false">분석4B_월별매트릭스!AB23-분석4B_월별매트릭스!P23</f>
        <v>-2601</v>
      </c>
      <c r="N85" s="57" t="n">
        <f aca="false">분석4B_월별매트릭스!AC23-분석4B_월별매트릭스!Q23</f>
        <v>-2316</v>
      </c>
      <c r="O85" s="57" t="n">
        <f aca="false">분석4B_월별매트릭스!AD23-분석4B_월별매트릭스!R23</f>
        <v>-2966</v>
      </c>
      <c r="P85" s="57" t="n">
        <f aca="false">분석4B_월별매트릭스!AE23-분석4B_월별매트릭스!S23</f>
        <v>-2751</v>
      </c>
      <c r="Q85" s="57" t="n">
        <f aca="false">분석4B_월별매트릭스!AF23-분석4B_월별매트릭스!T23</f>
        <v>-408</v>
      </c>
      <c r="R85" s="57" t="n">
        <f aca="false">분석4B_월별매트릭스!AG23-분석4B_월별매트릭스!U23</f>
        <v>-2103</v>
      </c>
      <c r="S85" s="25" t="n">
        <f aca="false">SUMIFS(데이터_품목별!$H$3:$H$2984,데이터_품목별!$E$3:$E$2984,"18",데이터_품목별!$B$3:$B$2984,2025,데이터_품목별!$C$3:$C$2984,"&lt;=7")</f>
        <v>57755</v>
      </c>
      <c r="T85" s="25" t="n">
        <f aca="false">SUMIFS(데이터_품목별!$H$3:$H$2984,데이터_품목별!$E$3:$E$2984,"18",데이터_품목별!$B$3:$B$2984,2026,데이터_품목별!$C$3:$C$2984,"&lt;=7")</f>
        <v>44003</v>
      </c>
      <c r="U85" s="36" t="n">
        <f aca="false">IFERROR(T85/S85-1,"-")</f>
        <v>-0.23810925460999</v>
      </c>
      <c r="V85" s="34" t="n">
        <f aca="false">(T85-S85)/(SUMIFS(데이터_총괄!$H$3:$H$33,데이터_총괄!$B$3:$B$33,2026,데이터_총괄!$C$3:$C$33,"&lt;=7")-SUMIFS(데이터_총괄!$H$3:$H$33,데이터_총괄!$B$3:$B$33,2025,데이터_총괄!$C$3:$C$33,"&lt;=7"))</f>
        <v>-6.88722404014599E-005</v>
      </c>
      <c r="W85" s="24" t="n">
        <f aca="false">SUMIFS(데이터_품목별!$G$3:$G$2984,데이터_품목별!$E$3:$E$2984,"18",데이터_품목별!$B$3:$B$2984,2026,데이터_품목별!$C$3:$C$2984,"&lt;=7")</f>
        <v>11724.2</v>
      </c>
      <c r="X85" s="36" t="n">
        <f aca="false">IFERROR((T85/W85)/(S85/SUMIFS(데이터_품목별!$G$3:$G$2984,데이터_품목별!$E$3:$E$2984,"18",데이터_품목별!$B$3:$B$2984,2025,데이터_품목별!$C$3:$C$2984,"&lt;=7"))-1,"-")</f>
        <v>0.101564490818574</v>
      </c>
      <c r="Y85" s="67" t="str">
        <f aca="false">IF(OR(W85&lt;100,SUMIFS(데이터_품목별!$G$3:$G$2984,데이터_품목별!$E$3:$E$2984,"18",데이터_품목별!$B$3:$B$2984,2025,데이터_품목별!$C$3:$C$2984,"&lt;=7")&lt;100),"단가 불안정",IF(T85-S85&lt;0,"감소",IF(X85&gt;0.05,"가격 주도",IF(X85&lt;0.02,"물량 주도","혼합"))))</f>
        <v>감소</v>
      </c>
      <c r="Z85" s="25" t="n">
        <f aca="false">SUMIFS(데이터_품목별!$J$3:$J$2984,데이터_품목별!$E$3:$E$2984,"18",데이터_품목별!$B$3:$B$2984,2026,데이터_품목별!$C$3:$C$2984,"&lt;=7")</f>
        <v>313207</v>
      </c>
      <c r="AA85" s="25" t="n">
        <f aca="false">T85-Z85</f>
        <v>-269204</v>
      </c>
      <c r="AB85" s="65" t="str">
        <f aca="false">IF(T85=0,"자료 없음",IF(U85&gt;1,"1~7월 2배 이상 급증. ",IF(U85&gt;0.5,"1~7월 +50% 초과 급증. ",IF(U85&gt;0.15,"1~7월 뚜렷한 증가. ",IF(U85&gt;0.02,"1~7월 소폭 증가. ",IF(U85&gt;-0.02,"1~7월 보합. ",IF(U85&gt;-0.15,"1~7월 소폭 감소. ","1~7월 뚜렷한 감소. "))))))&amp;"월별로는 "&amp;COUNTIF(E85:K85,"&gt;0")&amp;"개월 증가·"&amp;COUNTIF(E85:K85,"&lt;0")&amp;"개월 감소"&amp;IF(COUNTIF(E85:K85,"&gt;0")=7," (7개월 내내 증가)",IF(COUNTIF(E85:K85,"&lt;0")=7," (7개월 내내 감소)",""))&amp;IFERROR(", 최대 "&amp;TEXT(MAX(E85:K85),"0.0%")&amp;"("&amp;SUBSTITUTE(INDEX($E$5:$K$5,MATCH(MAX(E85:K85),E85:K85,0))," YoY","")&amp;")","")&amp;IFERROR(", 최소 "&amp;TEXT(MIN(E85:K85),"0.0%")&amp;"("&amp;SUBSTITUTE(INDEX($E$5:$K$5,MATCH(MIN(E85:K85),E85:K85,0))," YoY","")&amp;")","")&amp;". "&amp;IF(Y85="가격 주도","단가 상승이 주도. ",IF(Y85="물량 주도","물량 확대가 주도. ",IF(Y85="혼합","물량·단가 동반. ",IF(Y85="감소","감소 품목. ","단가 해석 유보. "))))&amp;IF(V85&gt;0.05,"전체 증가의 5% 이상을 설명하는 대형 품목.",IF(V85&gt;0.005,"전체 증가에 의미 있게 기여.",IF(T85/SUMIFS(데이터_총괄!$H$3:$H$33,데이터_총괄!$B$3:$B$33,2026,데이터_총괄!$C$3:$C$33,"&lt;=7")&lt;0.001,"규모가 작아 총량 영향은 미미.","총량 영향은 제한적."))))</f>
        <v>1~7월 뚜렷한 감소. 월별로는 0개월 증가·7개월 감소 (7개월 내내 감소), 최대 -6.5%(2026.06), 최소 -32.0%(2026.02). 감소 품목. 규모가 작아 총량 영향은 미미.</v>
      </c>
    </row>
    <row r="86" customFormat="false" ht="33.75" hidden="false" customHeight="true" outlineLevel="0" collapsed="false">
      <c r="A86" s="67" t="s">
        <v>19806</v>
      </c>
      <c r="B86" s="68" t="s">
        <v>457</v>
      </c>
      <c r="C86" s="65" t="str">
        <f aca="false">IFERROR(INDEX(데이터_품목별!$F$3:$F$2984,MATCH($B86,데이터_품목별!$E$3:$E$2984,0)),"")</f>
        <v>당류(糖類)와 설탕과자</v>
      </c>
      <c r="D86" s="69" t="s">
        <v>20061</v>
      </c>
      <c r="E86" s="59" t="n">
        <f aca="false">IFERROR(분석4B_월별매트릭스!AA22/분석4B_월별매트릭스!O22-1,"-")</f>
        <v>0.0561968408262454</v>
      </c>
      <c r="F86" s="59" t="n">
        <f aca="false">IFERROR(분석4B_월별매트릭스!AB22/분석4B_월별매트릭스!P22-1,"-")</f>
        <v>-0.264426984557031</v>
      </c>
      <c r="G86" s="59" t="n">
        <f aca="false">IFERROR(분석4B_월별매트릭스!AC22/분석4B_월별매트릭스!Q22-1,"-")</f>
        <v>-0.0207231233331876</v>
      </c>
      <c r="H86" s="59" t="n">
        <f aca="false">IFERROR(분석4B_월별매트릭스!AD22/분석4B_월별매트릭스!R22-1,"-")</f>
        <v>-0.0715423774919364</v>
      </c>
      <c r="I86" s="59" t="n">
        <f aca="false">IFERROR(분석4B_월별매트릭스!AE22/분석4B_월별매트릭스!S22-1,"-")</f>
        <v>-0.113488488488488</v>
      </c>
      <c r="J86" s="59" t="n">
        <f aca="false">IFERROR(분석4B_월별매트릭스!AF22/분석4B_월별매트릭스!T22-1,"-")</f>
        <v>-0.244827192013108</v>
      </c>
      <c r="K86" s="59" t="n">
        <f aca="false">IFERROR(분석4B_월별매트릭스!AG22/분석4B_월별매트릭스!U22-1,"-")</f>
        <v>-0.135792503158781</v>
      </c>
      <c r="L86" s="57" t="n">
        <f aca="false">분석4B_월별매트릭스!AA22-분석4B_월별매트릭스!O22</f>
        <v>1110</v>
      </c>
      <c r="M86" s="57" t="n">
        <f aca="false">분석4B_월별매트릭스!AB22-분석4B_월별매트릭스!P22</f>
        <v>-5856</v>
      </c>
      <c r="N86" s="57" t="n">
        <f aca="false">분석4B_월별매트릭스!AC22-분석4B_월별매트릭스!Q22</f>
        <v>-474</v>
      </c>
      <c r="O86" s="57" t="n">
        <f aca="false">분석4B_월별매트릭스!AD22-분석4B_월별매트릭스!R22</f>
        <v>-1841</v>
      </c>
      <c r="P86" s="57" t="n">
        <f aca="false">분석4B_월별매트릭스!AE22-분석4B_월별매트릭스!S22</f>
        <v>-2721</v>
      </c>
      <c r="Q86" s="57" t="n">
        <f aca="false">분석4B_월별매트릭스!AF22-분석4B_월별매트릭스!T22</f>
        <v>-6425</v>
      </c>
      <c r="R86" s="57" t="n">
        <f aca="false">분석4B_월별매트릭스!AG22-분석4B_월별매트릭스!U22</f>
        <v>-3869</v>
      </c>
      <c r="S86" s="25" t="n">
        <f aca="false">SUMIFS(데이터_품목별!$H$3:$H$2984,데이터_품목별!$E$3:$E$2984,"17",데이터_품목별!$B$3:$B$2984,2025,데이터_품목별!$C$3:$C$2984,"&lt;=7")</f>
        <v>169215</v>
      </c>
      <c r="T86" s="25" t="n">
        <f aca="false">SUMIFS(데이터_품목별!$H$3:$H$2984,데이터_품목별!$E$3:$E$2984,"17",데이터_품목별!$B$3:$B$2984,2026,데이터_품목별!$C$3:$C$2984,"&lt;=7")</f>
        <v>149139</v>
      </c>
      <c r="U86" s="36" t="n">
        <f aca="false">IFERROR(T86/S86-1,"-")</f>
        <v>-0.118641964364861</v>
      </c>
      <c r="V86" s="34" t="n">
        <f aca="false">(T86-S86)/(SUMIFS(데이터_총괄!$H$3:$H$33,데이터_총괄!$B$3:$B$33,2026,데이터_총괄!$C$3:$C$33,"&lt;=7")-SUMIFS(데이터_총괄!$H$3:$H$33,데이터_총괄!$B$3:$B$33,2025,데이터_총괄!$C$3:$C$33,"&lt;=7"))</f>
        <v>-0.000100543855315569</v>
      </c>
      <c r="W86" s="24" t="n">
        <f aca="false">SUMIFS(데이터_품목별!$G$3:$G$2984,데이터_품목별!$E$3:$E$2984,"17",데이터_품목별!$B$3:$B$2984,2026,데이터_품목별!$C$3:$C$2984,"&lt;=7")</f>
        <v>162531.6</v>
      </c>
      <c r="X86" s="36" t="n">
        <f aca="false">IFERROR((T86/W86)/(S86/SUMIFS(데이터_품목별!$G$3:$G$2984,데이터_품목별!$E$3:$E$2984,"17",데이터_품목별!$B$3:$B$2984,2025,데이터_품목별!$C$3:$C$2984,"&lt;=7"))-1,"-")</f>
        <v>-0.098481497693246</v>
      </c>
      <c r="Y86" s="67" t="str">
        <f aca="false">IF(OR(W86&lt;100,SUMIFS(데이터_품목별!$G$3:$G$2984,데이터_품목별!$E$3:$E$2984,"17",데이터_품목별!$B$3:$B$2984,2025,데이터_품목별!$C$3:$C$2984,"&lt;=7")&lt;100),"단가 불안정",IF(T86-S86&lt;0,"감소",IF(X86&gt;0.05,"가격 주도",IF(X86&lt;0.02,"물량 주도","혼합"))))</f>
        <v>감소</v>
      </c>
      <c r="Z86" s="25" t="n">
        <f aca="false">SUMIFS(데이터_품목별!$J$3:$J$2984,데이터_품목별!$E$3:$E$2984,"17",데이터_품목별!$B$3:$B$2984,2026,데이터_품목별!$C$3:$C$2984,"&lt;=7")</f>
        <v>739962</v>
      </c>
      <c r="AA86" s="25" t="n">
        <f aca="false">T86-Z86</f>
        <v>-590823</v>
      </c>
      <c r="AB86" s="65" t="str">
        <f aca="false">IF(T86=0,"자료 없음",IF(U86&gt;1,"1~7월 2배 이상 급증. ",IF(U86&gt;0.5,"1~7월 +50% 초과 급증. ",IF(U86&gt;0.15,"1~7월 뚜렷한 증가. ",IF(U86&gt;0.02,"1~7월 소폭 증가. ",IF(U86&gt;-0.02,"1~7월 보합. ",IF(U86&gt;-0.15,"1~7월 소폭 감소. ","1~7월 뚜렷한 감소. "))))))&amp;"월별로는 "&amp;COUNTIF(E86:K86,"&gt;0")&amp;"개월 증가·"&amp;COUNTIF(E86:K86,"&lt;0")&amp;"개월 감소"&amp;IF(COUNTIF(E86:K86,"&gt;0")=7," (7개월 내내 증가)",IF(COUNTIF(E86:K86,"&lt;0")=7," (7개월 내내 감소)",""))&amp;IFERROR(", 최대 "&amp;TEXT(MAX(E86:K86),"0.0%")&amp;"("&amp;SUBSTITUTE(INDEX($E$5:$K$5,MATCH(MAX(E86:K86),E86:K86,0))," YoY","")&amp;")","")&amp;IFERROR(", 최소 "&amp;TEXT(MIN(E86:K86),"0.0%")&amp;"("&amp;SUBSTITUTE(INDEX($E$5:$K$5,MATCH(MIN(E86:K86),E86:K86,0))," YoY","")&amp;")","")&amp;". "&amp;IF(Y86="가격 주도","단가 상승이 주도. ",IF(Y86="물량 주도","물량 확대가 주도. ",IF(Y86="혼합","물량·단가 동반. ",IF(Y86="감소","감소 품목. ","단가 해석 유보. "))))&amp;IF(V86&gt;0.05,"전체 증가의 5% 이상을 설명하는 대형 품목.",IF(V86&gt;0.005,"전체 증가에 의미 있게 기여.",IF(T86/SUMIFS(데이터_총괄!$H$3:$H$33,데이터_총괄!$B$3:$B$33,2026,데이터_총괄!$C$3:$C$33,"&lt;=7")&lt;0.001,"규모가 작아 총량 영향은 미미.","총량 영향은 제한적."))))</f>
        <v>1~7월 소폭 감소. 월별로는 1개월 증가·6개월 감소, 최대 5.6%(2026.01), 최소 -26.4%(2026.02). 감소 품목. 규모가 작아 총량 영향은 미미.</v>
      </c>
    </row>
    <row r="87" customFormat="false" ht="33.75" hidden="false" customHeight="true" outlineLevel="0" collapsed="false">
      <c r="A87" s="67" t="s">
        <v>19818</v>
      </c>
      <c r="B87" s="68" t="s">
        <v>681</v>
      </c>
      <c r="C87" s="65" t="str">
        <f aca="false">IFERROR(INDEX(데이터_품목별!$F$3:$F$2984,MATCH($B87,데이터_품목별!$E$3:$E$2984,0)),"")</f>
        <v>인쇄서적ㆍ신문ㆍ회화ㆍ그 밖의 인쇄물, 수제(手製)문서ㆍ타자문서ㆍ도면</v>
      </c>
      <c r="D87" s="69" t="s">
        <v>20062</v>
      </c>
      <c r="E87" s="59" t="n">
        <f aca="false">IFERROR(분석4B_월별매트릭스!AA54/분석4B_월별매트릭스!O54-1,"-")</f>
        <v>0.260201823492963</v>
      </c>
      <c r="F87" s="59" t="n">
        <f aca="false">IFERROR(분석4B_월별매트릭스!AB54/분석4B_월별매트릭스!P54-1,"-")</f>
        <v>-0.373873727352568</v>
      </c>
      <c r="G87" s="59" t="n">
        <f aca="false">IFERROR(분석4B_월별매트릭스!AC54/분석4B_월별매트릭스!Q54-1,"-")</f>
        <v>-0.303918906688388</v>
      </c>
      <c r="H87" s="59" t="n">
        <f aca="false">IFERROR(분석4B_월별매트릭스!AD54/분석4B_월별매트릭스!R54-1,"-")</f>
        <v>-0.144174200942315</v>
      </c>
      <c r="I87" s="59" t="n">
        <f aca="false">IFERROR(분석4B_월별매트릭스!AE54/분석4B_월별매트릭스!S54-1,"-")</f>
        <v>-0.254705082230741</v>
      </c>
      <c r="J87" s="59" t="n">
        <f aca="false">IFERROR(분석4B_월별매트릭스!AF54/분석4B_월별매트릭스!T54-1,"-")</f>
        <v>-0.0897660889006419</v>
      </c>
      <c r="K87" s="59" t="n">
        <f aca="false">IFERROR(분석4B_월별매트릭스!AG54/분석4B_월별매트릭스!U54-1,"-")</f>
        <v>0.310568725913815</v>
      </c>
      <c r="L87" s="57" t="n">
        <f aca="false">분석4B_월별매트릭스!AA54-분석4B_월별매트릭스!O54</f>
        <v>5879</v>
      </c>
      <c r="M87" s="57" t="n">
        <f aca="false">분석4B_월별매트릭스!AB54-분석4B_월별매트릭스!P54</f>
        <v>-11494</v>
      </c>
      <c r="N87" s="57" t="n">
        <f aca="false">분석4B_월별매트릭스!AC54-분석4B_월별매트릭스!Q54</f>
        <v>-10074</v>
      </c>
      <c r="O87" s="57" t="n">
        <f aca="false">분석4B_월별매트릭스!AD54-분석4B_월별매트릭스!R54</f>
        <v>-5661</v>
      </c>
      <c r="P87" s="57" t="n">
        <f aca="false">분석4B_월별매트릭스!AE54-분석4B_월별매트릭스!S54</f>
        <v>-10299</v>
      </c>
      <c r="Q87" s="57" t="n">
        <f aca="false">분석4B_월별매트릭스!AF54-분석4B_월별매트릭스!T54</f>
        <v>-3734</v>
      </c>
      <c r="R87" s="57" t="n">
        <f aca="false">분석4B_월별매트릭스!AG54-분석4B_월별매트릭스!U54</f>
        <v>13297</v>
      </c>
      <c r="S87" s="25" t="n">
        <f aca="false">SUMIFS(데이터_품목별!$H$3:$H$2984,데이터_품목별!$E$3:$E$2984,"49",데이터_품목별!$B$3:$B$2984,2025,데이터_품목별!$C$3:$C$2984,"&lt;=7")</f>
        <v>250596</v>
      </c>
      <c r="T87" s="25" t="n">
        <f aca="false">SUMIFS(데이터_품목별!$H$3:$H$2984,데이터_품목별!$E$3:$E$2984,"49",데이터_품목별!$B$3:$B$2984,2026,데이터_품목별!$C$3:$C$2984,"&lt;=7")</f>
        <v>228510</v>
      </c>
      <c r="U87" s="36" t="n">
        <f aca="false">IFERROR(T87/S87-1,"-")</f>
        <v>-0.0881338888090791</v>
      </c>
      <c r="V87" s="34" t="n">
        <f aca="false">(T87-S87)/(SUMIFS(데이터_총괄!$H$3:$H$33,데이터_총괄!$B$3:$B$33,2026,데이터_총괄!$C$3:$C$33,"&lt;=7")-SUMIFS(데이터_총괄!$H$3:$H$33,데이터_총괄!$B$3:$B$33,2025,데이터_총괄!$C$3:$C$33,"&lt;=7"))</f>
        <v>-0.000110610260435329</v>
      </c>
      <c r="W87" s="24" t="n">
        <f aca="false">SUMIFS(데이터_품목별!$G$3:$G$2984,데이터_품목별!$E$3:$E$2984,"49",데이터_품목별!$B$3:$B$2984,2026,데이터_품목별!$C$3:$C$2984,"&lt;=7")</f>
        <v>30668.3</v>
      </c>
      <c r="X87" s="36" t="n">
        <f aca="false">IFERROR((T87/W87)/(S87/SUMIFS(데이터_품목별!$G$3:$G$2984,데이터_품목별!$E$3:$E$2984,"49",데이터_품목별!$B$3:$B$2984,2025,데이터_품목별!$C$3:$C$2984,"&lt;=7"))-1,"-")</f>
        <v>-0.131309440765345</v>
      </c>
      <c r="Y87" s="67" t="str">
        <f aca="false">IF(OR(W87&lt;100,SUMIFS(데이터_품목별!$G$3:$G$2984,데이터_품목별!$E$3:$E$2984,"49",데이터_품목별!$B$3:$B$2984,2025,데이터_품목별!$C$3:$C$2984,"&lt;=7")&lt;100),"단가 불안정",IF(T87-S87&lt;0,"감소",IF(X87&gt;0.05,"가격 주도",IF(X87&lt;0.02,"물량 주도","혼합"))))</f>
        <v>감소</v>
      </c>
      <c r="Z87" s="25" t="n">
        <f aca="false">SUMIFS(데이터_품목별!$J$3:$J$2984,데이터_품목별!$E$3:$E$2984,"49",데이터_품목별!$B$3:$B$2984,2026,데이터_품목별!$C$3:$C$2984,"&lt;=7")</f>
        <v>187520</v>
      </c>
      <c r="AA87" s="25" t="n">
        <f aca="false">T87-Z87</f>
        <v>40990</v>
      </c>
      <c r="AB87" s="65" t="str">
        <f aca="false">IF(T87=0,"자료 없음",IF(U87&gt;1,"1~7월 2배 이상 급증. ",IF(U87&gt;0.5,"1~7월 +50% 초과 급증. ",IF(U87&gt;0.15,"1~7월 뚜렷한 증가. ",IF(U87&gt;0.02,"1~7월 소폭 증가. ",IF(U87&gt;-0.02,"1~7월 보합. ",IF(U87&gt;-0.15,"1~7월 소폭 감소. ","1~7월 뚜렷한 감소. "))))))&amp;"월별로는 "&amp;COUNTIF(E87:K87,"&gt;0")&amp;"개월 증가·"&amp;COUNTIF(E87:K87,"&lt;0")&amp;"개월 감소"&amp;IF(COUNTIF(E87:K87,"&gt;0")=7," (7개월 내내 증가)",IF(COUNTIF(E87:K87,"&lt;0")=7," (7개월 내내 감소)",""))&amp;IFERROR(", 최대 "&amp;TEXT(MAX(E87:K87),"0.0%")&amp;"("&amp;SUBSTITUTE(INDEX($E$5:$K$5,MATCH(MAX(E87:K87),E87:K87,0))," YoY","")&amp;")","")&amp;IFERROR(", 최소 "&amp;TEXT(MIN(E87:K87),"0.0%")&amp;"("&amp;SUBSTITUTE(INDEX($E$5:$K$5,MATCH(MIN(E87:K87),E87:K87,0))," YoY","")&amp;")","")&amp;". "&amp;IF(Y87="가격 주도","단가 상승이 주도. ",IF(Y87="물량 주도","물량 확대가 주도. ",IF(Y87="혼합","물량·단가 동반. ",IF(Y87="감소","감소 품목. ","단가 해석 유보. "))))&amp;IF(V87&gt;0.05,"전체 증가의 5% 이상을 설명하는 대형 품목.",IF(V87&gt;0.005,"전체 증가에 의미 있게 기여.",IF(T87/SUMIFS(데이터_총괄!$H$3:$H$33,데이터_총괄!$B$3:$B$33,2026,데이터_총괄!$C$3:$C$33,"&lt;=7")&lt;0.001,"규모가 작아 총량 영향은 미미.","총량 영향은 제한적."))))</f>
        <v>1~7월 소폭 감소. 월별로는 2개월 증가·5개월 감소, 최대 31.1%(2026.07), 최소 -37.4%(2026.02). 감소 품목. 규모가 작아 총량 영향은 미미.</v>
      </c>
    </row>
    <row r="88" customFormat="false" ht="33.75" hidden="false" customHeight="true" outlineLevel="0" collapsed="false">
      <c r="A88" s="67" t="s">
        <v>19828</v>
      </c>
      <c r="B88" s="68" t="s">
        <v>841</v>
      </c>
      <c r="C88" s="65" t="str">
        <f aca="false">IFERROR(INDEX(데이터_품목별!$F$3:$F$2984,MATCH($B88,데이터_품목별!$E$3:$E$2984,0)),"")</f>
        <v>철강</v>
      </c>
      <c r="D88" s="69" t="s">
        <v>20063</v>
      </c>
      <c r="E88" s="59" t="n">
        <f aca="false">IFERROR(분석4B_월별매트릭스!AA77/분석4B_월별매트릭스!O77-1,"-")</f>
        <v>-0.00260247706897443</v>
      </c>
      <c r="F88" s="59" t="n">
        <f aca="false">IFERROR(분석4B_월별매트릭스!AB77/분석4B_월별매트릭스!P77-1,"-")</f>
        <v>-0.0267257347141215</v>
      </c>
      <c r="G88" s="59" t="n">
        <f aca="false">IFERROR(분석4B_월별매트릭스!AC77/분석4B_월별매트릭스!Q77-1,"-")</f>
        <v>0.0420275995025281</v>
      </c>
      <c r="H88" s="59" t="n">
        <f aca="false">IFERROR(분석4B_월별매트릭스!AD77/분석4B_월별매트릭스!R77-1,"-")</f>
        <v>-0.10386173762252</v>
      </c>
      <c r="I88" s="59" t="n">
        <f aca="false">IFERROR(분석4B_월별매트릭스!AE77/분석4B_월별매트릭스!S77-1,"-")</f>
        <v>-0.0298485547351485</v>
      </c>
      <c r="J88" s="59" t="n">
        <f aca="false">IFERROR(분석4B_월별매트릭스!AF77/분석4B_월별매트릭스!T77-1,"-")</f>
        <v>0.122960314606537</v>
      </c>
      <c r="K88" s="59" t="n">
        <f aca="false">IFERROR(분석4B_월별매트릭스!AG77/분석4B_월별매트릭스!U77-1,"-")</f>
        <v>0.0106311149980833</v>
      </c>
      <c r="L88" s="57" t="n">
        <f aca="false">분석4B_월별매트릭스!AA77-분석4B_월별매트릭스!O77</f>
        <v>-5022</v>
      </c>
      <c r="M88" s="57" t="n">
        <f aca="false">분석4B_월별매트릭스!AB77-분석4B_월별매트릭스!P77</f>
        <v>-51568</v>
      </c>
      <c r="N88" s="57" t="n">
        <f aca="false">분석4B_월별매트릭스!AC77-분석4B_월별매트릭스!Q77</f>
        <v>77521</v>
      </c>
      <c r="O88" s="57" t="n">
        <f aca="false">분석4B_월별매트릭스!AD77-분석4B_월별매트릭스!R77</f>
        <v>-224781</v>
      </c>
      <c r="P88" s="57" t="n">
        <f aca="false">분석4B_월별매트릭스!AE77-분석4B_월별매트릭스!S77</f>
        <v>-57529</v>
      </c>
      <c r="Q88" s="57" t="n">
        <f aca="false">분석4B_월별매트릭스!AF77-분석4B_월별매트릭스!T77</f>
        <v>216118</v>
      </c>
      <c r="R88" s="57" t="n">
        <f aca="false">분석4B_월별매트릭스!AG77-분석4B_월별매트릭스!U77</f>
        <v>22075</v>
      </c>
      <c r="S88" s="25" t="n">
        <f aca="false">SUMIFS(데이터_품목별!$H$3:$H$2984,데이터_품목별!$E$3:$E$2984,"72",데이터_품목별!$B$3:$B$2984,2025,데이터_품목별!$C$3:$C$2984,"&lt;=7")</f>
        <v>13629424</v>
      </c>
      <c r="T88" s="25" t="n">
        <f aca="false">SUMIFS(데이터_품목별!$H$3:$H$2984,데이터_품목별!$E$3:$E$2984,"72",데이터_품목별!$B$3:$B$2984,2026,데이터_품목별!$C$3:$C$2984,"&lt;=7")</f>
        <v>13606238</v>
      </c>
      <c r="U88" s="36" t="n">
        <f aca="false">IFERROR(T88/S88-1,"-")</f>
        <v>-0.00170117240464451</v>
      </c>
      <c r="V88" s="34" t="n">
        <f aca="false">(T88-S88)/(SUMIFS(데이터_총괄!$H$3:$H$33,데이터_총괄!$B$3:$B$33,2026,데이터_총괄!$C$3:$C$33,"&lt;=7")-SUMIFS(데이터_총괄!$H$3:$H$33,데이터_총괄!$B$3:$B$33,2025,데이터_총괄!$C$3:$C$33,"&lt;=7"))</f>
        <v>-0.000116119238361565</v>
      </c>
      <c r="W88" s="24" t="n">
        <f aca="false">SUMIFS(데이터_품목별!$G$3:$G$2984,데이터_품목별!$E$3:$E$2984,"72",데이터_품목별!$B$3:$B$2984,2026,데이터_품목별!$C$3:$C$2984,"&lt;=7")</f>
        <v>15695460.6</v>
      </c>
      <c r="X88" s="36" t="n">
        <f aca="false">IFERROR((T88/W88)/(S88/SUMIFS(데이터_품목별!$G$3:$G$2984,데이터_품목별!$E$3:$E$2984,"72",데이터_품목별!$B$3:$B$2984,2025,데이터_품목별!$C$3:$C$2984,"&lt;=7"))-1,"-")</f>
        <v>-0.00263701431296193</v>
      </c>
      <c r="Y88" s="67" t="str">
        <f aca="false">IF(OR(W88&lt;100,SUMIFS(데이터_품목별!$G$3:$G$2984,데이터_품목별!$E$3:$E$2984,"72",데이터_품목별!$B$3:$B$2984,2025,데이터_품목별!$C$3:$C$2984,"&lt;=7")&lt;100),"단가 불안정",IF(T88-S88&lt;0,"감소",IF(X88&gt;0.05,"가격 주도",IF(X88&lt;0.02,"물량 주도","혼합"))))</f>
        <v>감소</v>
      </c>
      <c r="Z88" s="25" t="n">
        <f aca="false">SUMIFS(데이터_품목별!$J$3:$J$2984,데이터_품목별!$E$3:$E$2984,"72",데이터_품목별!$B$3:$B$2984,2026,데이터_품목별!$C$3:$C$2984,"&lt;=7")</f>
        <v>6986916</v>
      </c>
      <c r="AA88" s="25" t="n">
        <f aca="false">T88-Z88</f>
        <v>6619322</v>
      </c>
      <c r="AB88" s="65" t="str">
        <f aca="false">IF(T88=0,"자료 없음",IF(U88&gt;1,"1~7월 2배 이상 급증. ",IF(U88&gt;0.5,"1~7월 +50% 초과 급증. ",IF(U88&gt;0.15,"1~7월 뚜렷한 증가. ",IF(U88&gt;0.02,"1~7월 소폭 증가. ",IF(U88&gt;-0.02,"1~7월 보합. ",IF(U88&gt;-0.15,"1~7월 소폭 감소. ","1~7월 뚜렷한 감소. "))))))&amp;"월별로는 "&amp;COUNTIF(E88:K88,"&gt;0")&amp;"개월 증가·"&amp;COUNTIF(E88:K88,"&lt;0")&amp;"개월 감소"&amp;IF(COUNTIF(E88:K88,"&gt;0")=7," (7개월 내내 증가)",IF(COUNTIF(E88:K88,"&lt;0")=7," (7개월 내내 감소)",""))&amp;IFERROR(", 최대 "&amp;TEXT(MAX(E88:K88),"0.0%")&amp;"("&amp;SUBSTITUTE(INDEX($E$5:$K$5,MATCH(MAX(E88:K88),E88:K88,0))," YoY","")&amp;")","")&amp;IFERROR(", 최소 "&amp;TEXT(MIN(E88:K88),"0.0%")&amp;"("&amp;SUBSTITUTE(INDEX($E$5:$K$5,MATCH(MIN(E88:K88),E88:K88,0))," YoY","")&amp;")","")&amp;". "&amp;IF(Y88="가격 주도","단가 상승이 주도. ",IF(Y88="물량 주도","물량 확대가 주도. ",IF(Y88="혼합","물량·단가 동반. ",IF(Y88="감소","감소 품목. ","단가 해석 유보. "))))&amp;IF(V88&gt;0.05,"전체 증가의 5% 이상을 설명하는 대형 품목.",IF(V88&gt;0.005,"전체 증가에 의미 있게 기여.",IF(T88/SUMIFS(데이터_총괄!$H$3:$H$33,데이터_총괄!$B$3:$B$33,2026,데이터_총괄!$C$3:$C$33,"&lt;=7")&lt;0.001,"규모가 작아 총량 영향은 미미.","총량 영향은 제한적."))))</f>
        <v>1~7월 보합. 월별로는 3개월 증가·4개월 감소, 최대 12.3%(2026.06), 최소 -10.4%(2026.04). 감소 품목. 총량 영향은 제한적.</v>
      </c>
    </row>
    <row r="89" customFormat="false" ht="33.75" hidden="false" customHeight="true" outlineLevel="0" collapsed="false">
      <c r="A89" s="67" t="s">
        <v>19828</v>
      </c>
      <c r="B89" s="68" t="s">
        <v>911</v>
      </c>
      <c r="C89" s="65" t="str">
        <f aca="false">IFERROR(INDEX(데이터_품목별!$F$3:$F$2984,MATCH($B89,데이터_품목별!$E$3:$E$2984,0)),"")</f>
        <v>비금속(卑金屬)으로 만든 각종 제품</v>
      </c>
      <c r="D89" s="69" t="s">
        <v>20064</v>
      </c>
      <c r="E89" s="59" t="n">
        <f aca="false">IFERROR(분석4B_월별매트릭스!AA87/분석4B_월별매트릭스!O87-1,"-")</f>
        <v>0.0924923299043494</v>
      </c>
      <c r="F89" s="59" t="n">
        <f aca="false">IFERROR(분석4B_월별매트릭스!AB87/분석4B_월별매트릭스!P87-1,"-")</f>
        <v>-0.202918150954708</v>
      </c>
      <c r="G89" s="59" t="n">
        <f aca="false">IFERROR(분석4B_월별매트릭스!AC87/분석4B_월별매트릭스!Q87-1,"-")</f>
        <v>0.00153787277469108</v>
      </c>
      <c r="H89" s="59" t="n">
        <f aca="false">IFERROR(분석4B_월별매트릭스!AD87/분석4B_월별매트릭스!R87-1,"-")</f>
        <v>0.0141355030929764</v>
      </c>
      <c r="I89" s="59" t="n">
        <f aca="false">IFERROR(분석4B_월별매트릭스!AE87/분석4B_월별매트릭스!S87-1,"-")</f>
        <v>-0.063474025974026</v>
      </c>
      <c r="J89" s="59" t="n">
        <f aca="false">IFERROR(분석4B_월별매트릭스!AF87/분석4B_월별매트릭스!T87-1,"-")</f>
        <v>0.0272061337465175</v>
      </c>
      <c r="K89" s="59" t="n">
        <f aca="false">IFERROR(분석4B_월별매트릭스!AG87/분석4B_월별매트릭스!U87-1,"-")</f>
        <v>-0.0236870194366503</v>
      </c>
      <c r="L89" s="57" t="n">
        <f aca="false">분석4B_월별매트릭스!AA87-분석4B_월별매트릭스!O87</f>
        <v>11275</v>
      </c>
      <c r="M89" s="57" t="n">
        <f aca="false">분석4B_월별매트릭스!AB87-분석4B_월별매트릭스!P87</f>
        <v>-29108</v>
      </c>
      <c r="N89" s="57" t="n">
        <f aca="false">분석4B_월별매트릭스!AC87-분석4B_월별매트릭스!Q87</f>
        <v>217</v>
      </c>
      <c r="O89" s="57" t="n">
        <f aca="false">분석4B_월별매트릭스!AD87-분석4B_월별매트릭스!R87</f>
        <v>2116</v>
      </c>
      <c r="P89" s="57" t="n">
        <f aca="false">분석4B_월별매트릭스!AE87-분석4B_월별매트릭스!S87</f>
        <v>-8602</v>
      </c>
      <c r="Q89" s="57" t="n">
        <f aca="false">분석4B_월별매트릭스!AF87-분석4B_월별매트릭스!T87</f>
        <v>3740</v>
      </c>
      <c r="R89" s="57" t="n">
        <f aca="false">분석4B_월별매트릭스!AG87-분석4B_월별매트릭스!U87</f>
        <v>-3706</v>
      </c>
      <c r="S89" s="25" t="n">
        <f aca="false">SUMIFS(데이터_품목별!$H$3:$H$2984,데이터_품목별!$E$3:$E$2984,"83",데이터_품목별!$B$3:$B$2984,2025,데이터_품목별!$C$3:$C$2984,"&lt;=7")</f>
        <v>985593</v>
      </c>
      <c r="T89" s="25" t="n">
        <f aca="false">SUMIFS(데이터_품목별!$H$3:$H$2984,데이터_품목별!$E$3:$E$2984,"83",데이터_품목별!$B$3:$B$2984,2026,데이터_품목별!$C$3:$C$2984,"&lt;=7")</f>
        <v>961525</v>
      </c>
      <c r="U89" s="36" t="n">
        <f aca="false">IFERROR(T89/S89-1,"-")</f>
        <v>-0.0244198162933381</v>
      </c>
      <c r="V89" s="34" t="n">
        <f aca="false">(T89-S89)/(SUMIFS(데이터_총괄!$H$3:$H$33,데이터_총괄!$B$3:$B$33,2026,데이터_총괄!$C$3:$C$33,"&lt;=7")-SUMIFS(데이터_총괄!$H$3:$H$33,데이터_총괄!$B$3:$B$33,2025,데이터_총괄!$C$3:$C$33,"&lt;=7"))</f>
        <v>-0.000120536437026057</v>
      </c>
      <c r="W89" s="24" t="n">
        <f aca="false">SUMIFS(데이터_품목별!$G$3:$G$2984,데이터_품목별!$E$3:$E$2984,"83",데이터_품목별!$B$3:$B$2984,2026,데이터_품목별!$C$3:$C$2984,"&lt;=7")</f>
        <v>163673.1</v>
      </c>
      <c r="X89" s="36" t="n">
        <f aca="false">IFERROR((T89/W89)/(S89/SUMIFS(데이터_품목별!$G$3:$G$2984,데이터_품목별!$E$3:$E$2984,"83",데이터_품목별!$B$3:$B$2984,2025,데이터_품목별!$C$3:$C$2984,"&lt;=7"))-1,"-")</f>
        <v>0.016960641872146</v>
      </c>
      <c r="Y89" s="67" t="str">
        <f aca="false">IF(OR(W89&lt;100,SUMIFS(데이터_품목별!$G$3:$G$2984,데이터_품목별!$E$3:$E$2984,"83",데이터_품목별!$B$3:$B$2984,2025,데이터_품목별!$C$3:$C$2984,"&lt;=7")&lt;100),"단가 불안정",IF(T89-S89&lt;0,"감소",IF(X89&gt;0.05,"가격 주도",IF(X89&lt;0.02,"물량 주도","혼합"))))</f>
        <v>감소</v>
      </c>
      <c r="Z89" s="25" t="n">
        <f aca="false">SUMIFS(데이터_품목별!$J$3:$J$2984,데이터_품목별!$E$3:$E$2984,"83",데이터_품목별!$B$3:$B$2984,2026,데이터_품목별!$C$3:$C$2984,"&lt;=7")</f>
        <v>576742</v>
      </c>
      <c r="AA89" s="25" t="n">
        <f aca="false">T89-Z89</f>
        <v>384783</v>
      </c>
      <c r="AB89" s="65" t="str">
        <f aca="false">IF(T89=0,"자료 없음",IF(U89&gt;1,"1~7월 2배 이상 급증. ",IF(U89&gt;0.5,"1~7월 +50% 초과 급증. ",IF(U89&gt;0.15,"1~7월 뚜렷한 증가. ",IF(U89&gt;0.02,"1~7월 소폭 증가. ",IF(U89&gt;-0.02,"1~7월 보합. ",IF(U89&gt;-0.15,"1~7월 소폭 감소. ","1~7월 뚜렷한 감소. "))))))&amp;"월별로는 "&amp;COUNTIF(E89:K89,"&gt;0")&amp;"개월 증가·"&amp;COUNTIF(E89:K89,"&lt;0")&amp;"개월 감소"&amp;IF(COUNTIF(E89:K89,"&gt;0")=7," (7개월 내내 증가)",IF(COUNTIF(E89:K89,"&lt;0")=7," (7개월 내내 감소)",""))&amp;IFERROR(", 최대 "&amp;TEXT(MAX(E89:K89),"0.0%")&amp;"("&amp;SUBSTITUTE(INDEX($E$5:$K$5,MATCH(MAX(E89:K89),E89:K89,0))," YoY","")&amp;")","")&amp;IFERROR(", 최소 "&amp;TEXT(MIN(E89:K89),"0.0%")&amp;"("&amp;SUBSTITUTE(INDEX($E$5:$K$5,MATCH(MIN(E89:K89),E89:K89,0))," YoY","")&amp;")","")&amp;". "&amp;IF(Y89="가격 주도","단가 상승이 주도. ",IF(Y89="물량 주도","물량 확대가 주도. ",IF(Y89="혼합","물량·단가 동반. ",IF(Y89="감소","감소 품목. ","단가 해석 유보. "))))&amp;IF(V89&gt;0.05,"전체 증가의 5% 이상을 설명하는 대형 품목.",IF(V89&gt;0.005,"전체 증가에 의미 있게 기여.",IF(T89/SUMIFS(데이터_총괄!$H$3:$H$33,데이터_총괄!$B$3:$B$33,2026,데이터_총괄!$C$3:$C$33,"&lt;=7")&lt;0.001,"규모가 작아 총량 영향은 미미.","총량 영향은 제한적."))))</f>
        <v>1~7월 소폭 감소. 월별로는 4개월 증가·3개월 감소, 최대 9.2%(2026.01), 최소 -20.3%(2026.02). 감소 품목. 총량 영향은 제한적.</v>
      </c>
    </row>
    <row r="90" customFormat="false" ht="33.75" hidden="false" customHeight="true" outlineLevel="0" collapsed="false">
      <c r="A90" s="67" t="s">
        <v>19806</v>
      </c>
      <c r="B90" s="68" t="s">
        <v>506</v>
      </c>
      <c r="C90" s="65" t="str">
        <f aca="false">IFERROR(INDEX(데이터_품목별!$F$3:$F$2984,MATCH($B90,데이터_품목별!$E$3:$E$2984,0)),"")</f>
        <v>담배와 제조한 담배 대용물, 연소시키지 않고흡입하도록 만들어진 물품(니코틴을 함유하였는지에 상관없다), 니코틴을 함유한 그 밖의 물품으로 인체 내에 니코틴을 흡수시키도록 만들어진 것</v>
      </c>
      <c r="D90" s="69" t="s">
        <v>20065</v>
      </c>
      <c r="E90" s="59" t="n">
        <f aca="false">IFERROR(분석4B_월별매트릭스!AA29/분석4B_월별매트릭스!O29-1,"-")</f>
        <v>0.178039677862895</v>
      </c>
      <c r="F90" s="59" t="n">
        <f aca="false">IFERROR(분석4B_월별매트릭스!AB29/분석4B_월별매트릭스!P29-1,"-")</f>
        <v>-0.169872795380053</v>
      </c>
      <c r="G90" s="59" t="n">
        <f aca="false">IFERROR(분석4B_월별매트릭스!AC29/분석4B_월별매트릭스!Q29-1,"-")</f>
        <v>-0.0943619700332326</v>
      </c>
      <c r="H90" s="59" t="n">
        <f aca="false">IFERROR(분석4B_월별매트릭스!AD29/분석4B_월별매트릭스!R29-1,"-")</f>
        <v>-0.0257526773085471</v>
      </c>
      <c r="I90" s="59" t="n">
        <f aca="false">IFERROR(분석4B_월별매트릭스!AE29/분석4B_월별매트릭스!S29-1,"-")</f>
        <v>-0.299174547867928</v>
      </c>
      <c r="J90" s="59" t="n">
        <f aca="false">IFERROR(분석4B_월별매트릭스!AF29/분석4B_월별매트릭스!T29-1,"-")</f>
        <v>-0.096181076347007</v>
      </c>
      <c r="K90" s="59" t="n">
        <f aca="false">IFERROR(분석4B_월별매트릭스!AG29/분석4B_월별매트릭스!U29-1,"-")</f>
        <v>0.28472176791532</v>
      </c>
      <c r="L90" s="57" t="n">
        <f aca="false">분석4B_월별매트릭스!AA29-분석4B_월별매트릭스!O29</f>
        <v>13596</v>
      </c>
      <c r="M90" s="57" t="n">
        <f aca="false">분석4B_월별매트릭스!AB29-분석4B_월별매트릭스!P29</f>
        <v>-17414</v>
      </c>
      <c r="N90" s="57" t="n">
        <f aca="false">분석4B_월별매트릭스!AC29-분석4B_월별매트릭스!Q29</f>
        <v>-8206</v>
      </c>
      <c r="O90" s="57" t="n">
        <f aca="false">분석4B_월별매트릭스!AD29-분석4B_월별매트릭스!R29</f>
        <v>-2549</v>
      </c>
      <c r="P90" s="57" t="n">
        <f aca="false">분석4B_월별매트릭스!AE29-분석4B_월별매트릭스!S29</f>
        <v>-28850</v>
      </c>
      <c r="Q90" s="57" t="n">
        <f aca="false">분석4B_월별매트릭스!AF29-분석4B_월별매트릭스!T29</f>
        <v>-9170</v>
      </c>
      <c r="R90" s="57" t="n">
        <f aca="false">분석4B_월별매트릭스!AG29-분석4B_월별매트릭스!U29</f>
        <v>21761</v>
      </c>
      <c r="S90" s="25" t="n">
        <f aca="false">SUMIFS(데이터_품목별!$H$3:$H$2984,데이터_품목별!$E$3:$E$2984,"24",데이터_품목별!$B$3:$B$2984,2025,데이터_품목별!$C$3:$C$2984,"&lt;=7")</f>
        <v>633022</v>
      </c>
      <c r="T90" s="25" t="n">
        <f aca="false">SUMIFS(데이터_품목별!$H$3:$H$2984,데이터_품목별!$E$3:$E$2984,"24",데이터_품목별!$B$3:$B$2984,2026,데이터_품목별!$C$3:$C$2984,"&lt;=7")</f>
        <v>602190</v>
      </c>
      <c r="U90" s="36" t="n">
        <f aca="false">IFERROR(T90/S90-1,"-")</f>
        <v>-0.0487060481310286</v>
      </c>
      <c r="V90" s="34" t="n">
        <f aca="false">(T90-S90)/(SUMIFS(데이터_총괄!$H$3:$H$33,데이터_총괄!$B$3:$B$33,2026,데이터_총괄!$C$3:$C$33,"&lt;=7")-SUMIFS(데이터_총괄!$H$3:$H$33,데이터_총괄!$B$3:$B$33,2025,데이터_총괄!$C$3:$C$33,"&lt;=7"))</f>
        <v>-0.000154411643110661</v>
      </c>
      <c r="W90" s="24" t="n">
        <f aca="false">SUMIFS(데이터_품목별!$G$3:$G$2984,데이터_품목별!$E$3:$E$2984,"24",데이터_품목별!$B$3:$B$2984,2026,데이터_품목별!$C$3:$C$2984,"&lt;=7")</f>
        <v>56763.2</v>
      </c>
      <c r="X90" s="36" t="n">
        <f aca="false">IFERROR((T90/W90)/(S90/SUMIFS(데이터_품목별!$G$3:$G$2984,데이터_품목별!$E$3:$E$2984,"24",데이터_품목별!$B$3:$B$2984,2025,데이터_품목별!$C$3:$C$2984,"&lt;=7"))-1,"-")</f>
        <v>0.00982807936165608</v>
      </c>
      <c r="Y90" s="67" t="str">
        <f aca="false">IF(OR(W90&lt;100,SUMIFS(데이터_품목별!$G$3:$G$2984,데이터_품목별!$E$3:$E$2984,"24",데이터_품목별!$B$3:$B$2984,2025,데이터_품목별!$C$3:$C$2984,"&lt;=7")&lt;100),"단가 불안정",IF(T90-S90&lt;0,"감소",IF(X90&gt;0.05,"가격 주도",IF(X90&lt;0.02,"물량 주도","혼합"))))</f>
        <v>감소</v>
      </c>
      <c r="Z90" s="25" t="n">
        <f aca="false">SUMIFS(데이터_품목별!$J$3:$J$2984,데이터_품목별!$E$3:$E$2984,"24",데이터_품목별!$B$3:$B$2984,2026,데이터_품목별!$C$3:$C$2984,"&lt;=7")</f>
        <v>383187</v>
      </c>
      <c r="AA90" s="25" t="n">
        <f aca="false">T90-Z90</f>
        <v>219003</v>
      </c>
      <c r="AB90" s="65" t="str">
        <f aca="false">IF(T90=0,"자료 없음",IF(U90&gt;1,"1~7월 2배 이상 급증. ",IF(U90&gt;0.5,"1~7월 +50% 초과 급증. ",IF(U90&gt;0.15,"1~7월 뚜렷한 증가. ",IF(U90&gt;0.02,"1~7월 소폭 증가. ",IF(U90&gt;-0.02,"1~7월 보합. ",IF(U90&gt;-0.15,"1~7월 소폭 감소. ","1~7월 뚜렷한 감소. "))))))&amp;"월별로는 "&amp;COUNTIF(E90:K90,"&gt;0")&amp;"개월 증가·"&amp;COUNTIF(E90:K90,"&lt;0")&amp;"개월 감소"&amp;IF(COUNTIF(E90:K90,"&gt;0")=7," (7개월 내내 증가)",IF(COUNTIF(E90:K90,"&lt;0")=7," (7개월 내내 감소)",""))&amp;IFERROR(", 최대 "&amp;TEXT(MAX(E90:K90),"0.0%")&amp;"("&amp;SUBSTITUTE(INDEX($E$5:$K$5,MATCH(MAX(E90:K90),E90:K90,0))," YoY","")&amp;")","")&amp;IFERROR(", 최소 "&amp;TEXT(MIN(E90:K90),"0.0%")&amp;"("&amp;SUBSTITUTE(INDEX($E$5:$K$5,MATCH(MIN(E90:K90),E90:K90,0))," YoY","")&amp;")","")&amp;". "&amp;IF(Y90="가격 주도","단가 상승이 주도. ",IF(Y90="물량 주도","물량 확대가 주도. ",IF(Y90="혼합","물량·단가 동반. ",IF(Y90="감소","감소 품목. ","단가 해석 유보. "))))&amp;IF(V90&gt;0.05,"전체 증가의 5% 이상을 설명하는 대형 품목.",IF(V90&gt;0.005,"전체 증가에 의미 있게 기여.",IF(T90/SUMIFS(데이터_총괄!$H$3:$H$33,데이터_총괄!$B$3:$B$33,2026,데이터_총괄!$C$3:$C$33,"&lt;=7")&lt;0.001,"규모가 작아 총량 영향은 미미.","총량 영향은 제한적."))))</f>
        <v>1~7월 소폭 감소. 월별로는 2개월 증가·5개월 감소, 최대 28.5%(2026.07), 최소 -29.9%(2026.05). 감소 품목. 총량 영향은 제한적.</v>
      </c>
    </row>
    <row r="91" customFormat="false" ht="33.75" hidden="false" customHeight="true" outlineLevel="0" collapsed="false">
      <c r="A91" s="67" t="s">
        <v>19804</v>
      </c>
      <c r="B91" s="68" t="s">
        <v>443</v>
      </c>
      <c r="C91" s="65" t="str">
        <f aca="false">IFERROR(INDEX(데이터_품목별!$F$3:$F$2984,MATCH($B91,데이터_품목별!$E$3:$E$2984,0)),"")</f>
        <v>동물성ㆍ식물성ㆍ미생물성 지방과 기름 및이들의 분해생산물, 조제한 식용 지방과 동물성ㆍ식물성 왁스</v>
      </c>
      <c r="D91" s="69" t="s">
        <v>20066</v>
      </c>
      <c r="E91" s="59" t="n">
        <f aca="false">IFERROR(분석4B_월별매트릭스!AA20/분석4B_월별매트릭스!O20-1,"-")</f>
        <v>-0.758203050911751</v>
      </c>
      <c r="F91" s="59" t="n">
        <f aca="false">IFERROR(분석4B_월별매트릭스!AB20/분석4B_월별매트릭스!P20-1,"-")</f>
        <v>-0.359036258638644</v>
      </c>
      <c r="G91" s="59" t="n">
        <f aca="false">IFERROR(분석4B_월별매트릭스!AC20/분석4B_월별매트릭스!Q20-1,"-")</f>
        <v>0.176108199971675</v>
      </c>
      <c r="H91" s="59" t="n">
        <f aca="false">IFERROR(분석4B_월별매트릭스!AD20/분석4B_월별매트릭스!R20-1,"-")</f>
        <v>-0.433521353746978</v>
      </c>
      <c r="I91" s="59" t="n">
        <f aca="false">IFERROR(분석4B_월별매트릭스!AE20/분석4B_월별매트릭스!S20-1,"-")</f>
        <v>0.250875084896296</v>
      </c>
      <c r="J91" s="59" t="n">
        <f aca="false">IFERROR(분석4B_월별매트릭스!AF20/분석4B_월별매트릭스!T20-1,"-")</f>
        <v>0.166936381106503</v>
      </c>
      <c r="K91" s="59" t="n">
        <f aca="false">IFERROR(분석4B_월별매트릭스!AG20/분석4B_월별매트릭스!U20-1,"-")</f>
        <v>-0.184091788062395</v>
      </c>
      <c r="L91" s="57" t="n">
        <f aca="false">분석4B_월별매트릭스!AA20-분석4B_월별매트릭스!O20</f>
        <v>-27983</v>
      </c>
      <c r="M91" s="57" t="n">
        <f aca="false">분석4B_월별매트릭스!AB20-분석4B_월별매트릭스!P20</f>
        <v>-7585</v>
      </c>
      <c r="N91" s="57" t="n">
        <f aca="false">분석4B_월별매트릭스!AC20-분석4B_월별매트릭스!Q20</f>
        <v>4974</v>
      </c>
      <c r="O91" s="57" t="n">
        <f aca="false">분석4B_월별매트릭스!AD20-분석4B_월별매트릭스!R20</f>
        <v>-16140</v>
      </c>
      <c r="P91" s="57" t="n">
        <f aca="false">분석4B_월별매트릭스!AE20-분석4B_월별매트릭스!S20</f>
        <v>9604</v>
      </c>
      <c r="Q91" s="57" t="n">
        <f aca="false">분석4B_월별매트릭스!AF20-분석4B_월별매트릭스!T20</f>
        <v>6602</v>
      </c>
      <c r="R91" s="57" t="n">
        <f aca="false">분석4B_월별매트릭스!AG20-분석4B_월별매트릭스!U20</f>
        <v>-5712</v>
      </c>
      <c r="S91" s="25" t="n">
        <f aca="false">SUMIFS(데이터_품목별!$H$3:$H$2984,데이터_품목별!$E$3:$E$2984,"15",데이터_품목별!$B$3:$B$2984,2025,데이터_품목별!$C$3:$C$2984,"&lt;=7")</f>
        <v>232365</v>
      </c>
      <c r="T91" s="25" t="n">
        <f aca="false">SUMIFS(데이터_품목별!$H$3:$H$2984,데이터_품목별!$E$3:$E$2984,"15",데이터_품목별!$B$3:$B$2984,2026,데이터_품목별!$C$3:$C$2984,"&lt;=7")</f>
        <v>196125</v>
      </c>
      <c r="U91" s="36" t="n">
        <f aca="false">IFERROR(T91/S91-1,"-")</f>
        <v>-0.155961526047382</v>
      </c>
      <c r="V91" s="34" t="n">
        <f aca="false">(T91-S91)/(SUMIFS(데이터_총괄!$H$3:$H$33,데이터_총괄!$B$3:$B$33,2026,데이터_총괄!$C$3:$C$33,"&lt;=7")-SUMIFS(데이터_총괄!$H$3:$H$33,데이터_총괄!$B$3:$B$33,2025,데이터_총괄!$C$3:$C$33,"&lt;=7"))</f>
        <v>-0.000181495781860741</v>
      </c>
      <c r="W91" s="24" t="n">
        <f aca="false">SUMIFS(데이터_품목별!$G$3:$G$2984,데이터_품목별!$E$3:$E$2984,"15",데이터_품목별!$B$3:$B$2984,2026,데이터_품목별!$C$3:$C$2984,"&lt;=7")</f>
        <v>161203.2</v>
      </c>
      <c r="X91" s="36" t="n">
        <f aca="false">IFERROR((T91/W91)/(S91/SUMIFS(데이터_품목별!$G$3:$G$2984,데이터_품목별!$E$3:$E$2984,"15",데이터_품목별!$B$3:$B$2984,2025,데이터_품목별!$C$3:$C$2984,"&lt;=7"))-1,"-")</f>
        <v>0.0522154885321129</v>
      </c>
      <c r="Y91" s="67" t="str">
        <f aca="false">IF(OR(W91&lt;100,SUMIFS(데이터_품목별!$G$3:$G$2984,데이터_품목별!$E$3:$E$2984,"15",데이터_품목별!$B$3:$B$2984,2025,데이터_품목별!$C$3:$C$2984,"&lt;=7")&lt;100),"단가 불안정",IF(T91-S91&lt;0,"감소",IF(X91&gt;0.05,"가격 주도",IF(X91&lt;0.02,"물량 주도","혼합"))))</f>
        <v>감소</v>
      </c>
      <c r="Z91" s="25" t="n">
        <f aca="false">SUMIFS(데이터_품목별!$J$3:$J$2984,데이터_품목별!$E$3:$E$2984,"15",데이터_품목별!$B$3:$B$2984,2026,데이터_품목별!$C$3:$C$2984,"&lt;=7")</f>
        <v>1766843</v>
      </c>
      <c r="AA91" s="25" t="n">
        <f aca="false">T91-Z91</f>
        <v>-1570718</v>
      </c>
      <c r="AB91" s="65" t="str">
        <f aca="false">IF(T91=0,"자료 없음",IF(U91&gt;1,"1~7월 2배 이상 급증. ",IF(U91&gt;0.5,"1~7월 +50% 초과 급증. ",IF(U91&gt;0.15,"1~7월 뚜렷한 증가. ",IF(U91&gt;0.02,"1~7월 소폭 증가. ",IF(U91&gt;-0.02,"1~7월 보합. ",IF(U91&gt;-0.15,"1~7월 소폭 감소. ","1~7월 뚜렷한 감소. "))))))&amp;"월별로는 "&amp;COUNTIF(E91:K91,"&gt;0")&amp;"개월 증가·"&amp;COUNTIF(E91:K91,"&lt;0")&amp;"개월 감소"&amp;IF(COUNTIF(E91:K91,"&gt;0")=7," (7개월 내내 증가)",IF(COUNTIF(E91:K91,"&lt;0")=7," (7개월 내내 감소)",""))&amp;IFERROR(", 최대 "&amp;TEXT(MAX(E91:K91),"0.0%")&amp;"("&amp;SUBSTITUTE(INDEX($E$5:$K$5,MATCH(MAX(E91:K91),E91:K91,0))," YoY","")&amp;")","")&amp;IFERROR(", 최소 "&amp;TEXT(MIN(E91:K91),"0.0%")&amp;"("&amp;SUBSTITUTE(INDEX($E$5:$K$5,MATCH(MIN(E91:K91),E91:K91,0))," YoY","")&amp;")","")&amp;". "&amp;IF(Y91="가격 주도","단가 상승이 주도. ",IF(Y91="물량 주도","물량 확대가 주도. ",IF(Y91="혼합","물량·단가 동반. ",IF(Y91="감소","감소 품목. ","단가 해석 유보. "))))&amp;IF(V91&gt;0.05,"전체 증가의 5% 이상을 설명하는 대형 품목.",IF(V91&gt;0.005,"전체 증가에 의미 있게 기여.",IF(T91/SUMIFS(데이터_총괄!$H$3:$H$33,데이터_총괄!$B$3:$B$33,2026,데이터_총괄!$C$3:$C$33,"&lt;=7")&lt;0.001,"규모가 작아 총량 영향은 미미.","총량 영향은 제한적."))))</f>
        <v>1~7월 뚜렷한 감소. 월별로는 3개월 증가·4개월 감소, 최대 25.1%(2026.05), 최소 -75.8%(2026.01). 감소 품목. 규모가 작아 총량 영향은 미미.</v>
      </c>
    </row>
    <row r="92" customFormat="false" ht="33.75" hidden="false" customHeight="true" outlineLevel="0" collapsed="false">
      <c r="A92" s="67" t="s">
        <v>19838</v>
      </c>
      <c r="B92" s="68" t="s">
        <v>988</v>
      </c>
      <c r="C92" s="65" t="str">
        <f aca="false">IFERROR(INDEX(데이터_품목별!$F$3:$F$2984,MATCH($B92,데이터_품목별!$E$3:$E$2984,0)),"")</f>
        <v>가구, 침구ㆍ매트리스ㆍ매트리스 서포트(mattress support)ㆍ쿠션과 이와 유사한 물품, 다른 류로 분류되지 않은 조명기구, 조명용 사인ㆍ조명용 네임플레이트(name-plate)와 이와 유사한 물품, 조립식 건축물</v>
      </c>
      <c r="D92" s="69" t="s">
        <v>20067</v>
      </c>
      <c r="E92" s="59" t="n">
        <f aca="false">IFERROR(분석4B_월별매트릭스!AA98/분석4B_월별매트릭스!O98-1,"-")</f>
        <v>0.114186302297052</v>
      </c>
      <c r="F92" s="59" t="n">
        <f aca="false">IFERROR(분석4B_월별매트릭스!AB98/분석4B_월별매트릭스!P98-1,"-")</f>
        <v>-0.227223264701094</v>
      </c>
      <c r="G92" s="59" t="n">
        <f aca="false">IFERROR(분석4B_월별매트릭스!AC98/분석4B_월별매트릭스!Q98-1,"-")</f>
        <v>-0.0598992843890803</v>
      </c>
      <c r="H92" s="59" t="n">
        <f aca="false">IFERROR(분석4B_월별매트릭스!AD98/분석4B_월별매트릭스!R98-1,"-")</f>
        <v>-0.00905533537350123</v>
      </c>
      <c r="I92" s="59" t="n">
        <f aca="false">IFERROR(분석4B_월별매트릭스!AE98/분석4B_월별매트릭스!S98-1,"-")</f>
        <v>-0.1381629329695</v>
      </c>
      <c r="J92" s="59" t="n">
        <f aca="false">IFERROR(분석4B_월별매트릭스!AF98/분석4B_월별매트릭스!T98-1,"-")</f>
        <v>-0.0139131419725702</v>
      </c>
      <c r="K92" s="59" t="n">
        <f aca="false">IFERROR(분석4B_월별매트릭스!AG98/분석4B_월별매트릭스!U98-1,"-")</f>
        <v>-0.0106125914315569</v>
      </c>
      <c r="L92" s="57" t="n">
        <f aca="false">분석4B_월별매트릭스!AA98-분석4B_월별매트릭스!O98</f>
        <v>10797</v>
      </c>
      <c r="M92" s="57" t="n">
        <f aca="false">분석4B_월별매트릭스!AB98-분석4B_월별매트릭스!P98</f>
        <v>-26519</v>
      </c>
      <c r="N92" s="57" t="n">
        <f aca="false">분석4B_월별매트릭스!AC98-분석4B_월별매트릭스!Q98</f>
        <v>-7006</v>
      </c>
      <c r="O92" s="57" t="n">
        <f aca="false">분석4B_월별매트릭스!AD98-분석4B_월별매트릭스!R98</f>
        <v>-1083</v>
      </c>
      <c r="P92" s="57" t="n">
        <f aca="false">분석4B_월별매트릭스!AE98-분석4B_월별매트릭스!S98</f>
        <v>-15696</v>
      </c>
      <c r="Q92" s="57" t="n">
        <f aca="false">분석4B_월별매트릭스!AF98-분석4B_월별매트릭스!T98</f>
        <v>-1474</v>
      </c>
      <c r="R92" s="57" t="n">
        <f aca="false">분석4B_월별매트릭스!AG98-분석4B_월별매트릭스!U98</f>
        <v>-1300</v>
      </c>
      <c r="S92" s="25" t="n">
        <f aca="false">SUMIFS(데이터_품목별!$H$3:$H$2984,데이터_품목별!$E$3:$E$2984,"94",데이터_품목별!$B$3:$B$2984,2025,데이터_품목별!$C$3:$C$2984,"&lt;=7")</f>
        <v>789870</v>
      </c>
      <c r="T92" s="25" t="n">
        <f aca="false">SUMIFS(데이터_품목별!$H$3:$H$2984,데이터_품목별!$E$3:$E$2984,"94",데이터_품목별!$B$3:$B$2984,2026,데이터_품목별!$C$3:$C$2984,"&lt;=7")</f>
        <v>747589</v>
      </c>
      <c r="U92" s="36" t="n">
        <f aca="false">IFERROR(T92/S92-1,"-")</f>
        <v>-0.0535290617443377</v>
      </c>
      <c r="V92" s="34" t="n">
        <f aca="false">(T92-S92)/(SUMIFS(데이터_총괄!$H$3:$H$33,데이터_총괄!$B$3:$B$33,2026,데이터_총괄!$C$3:$C$33,"&lt;=7")-SUMIFS(데이터_총괄!$H$3:$H$33,데이터_총괄!$B$3:$B$33,2025,데이터_총괄!$C$3:$C$33,"&lt;=7"))</f>
        <v>-0.000211750086999282</v>
      </c>
      <c r="W92" s="24" t="n">
        <f aca="false">SUMIFS(데이터_품목별!$G$3:$G$2984,데이터_품목별!$E$3:$E$2984,"94",데이터_품목별!$B$3:$B$2984,2026,데이터_품목별!$C$3:$C$2984,"&lt;=7")</f>
        <v>109009.5</v>
      </c>
      <c r="X92" s="36" t="n">
        <f aca="false">IFERROR((T92/W92)/(S92/SUMIFS(데이터_품목별!$G$3:$G$2984,데이터_품목별!$E$3:$E$2984,"94",데이터_품목별!$B$3:$B$2984,2025,데이터_품목별!$C$3:$C$2984,"&lt;=7"))-1,"-")</f>
        <v>-0.0448309704225306</v>
      </c>
      <c r="Y92" s="67" t="str">
        <f aca="false">IF(OR(W92&lt;100,SUMIFS(데이터_품목별!$G$3:$G$2984,데이터_품목별!$E$3:$E$2984,"94",데이터_품목별!$B$3:$B$2984,2025,데이터_품목별!$C$3:$C$2984,"&lt;=7")&lt;100),"단가 불안정",IF(T92-S92&lt;0,"감소",IF(X92&gt;0.05,"가격 주도",IF(X92&lt;0.02,"물량 주도","혼합"))))</f>
        <v>감소</v>
      </c>
      <c r="Z92" s="25" t="n">
        <f aca="false">SUMIFS(데이터_품목별!$J$3:$J$2984,데이터_품목별!$E$3:$E$2984,"94",데이터_품목별!$B$3:$B$2984,2026,데이터_품목별!$C$3:$C$2984,"&lt;=7")</f>
        <v>2296126</v>
      </c>
      <c r="AA92" s="25" t="n">
        <f aca="false">T92-Z92</f>
        <v>-1548537</v>
      </c>
      <c r="AB92" s="65" t="str">
        <f aca="false">IF(T92=0,"자료 없음",IF(U92&gt;1,"1~7월 2배 이상 급증. ",IF(U92&gt;0.5,"1~7월 +50% 초과 급증. ",IF(U92&gt;0.15,"1~7월 뚜렷한 증가. ",IF(U92&gt;0.02,"1~7월 소폭 증가. ",IF(U92&gt;-0.02,"1~7월 보합. ",IF(U92&gt;-0.15,"1~7월 소폭 감소. ","1~7월 뚜렷한 감소. "))))))&amp;"월별로는 "&amp;COUNTIF(E92:K92,"&gt;0")&amp;"개월 증가·"&amp;COUNTIF(E92:K92,"&lt;0")&amp;"개월 감소"&amp;IF(COUNTIF(E92:K92,"&gt;0")=7," (7개월 내내 증가)",IF(COUNTIF(E92:K92,"&lt;0")=7," (7개월 내내 감소)",""))&amp;IFERROR(", 최대 "&amp;TEXT(MAX(E92:K92),"0.0%")&amp;"("&amp;SUBSTITUTE(INDEX($E$5:$K$5,MATCH(MAX(E92:K92),E92:K92,0))," YoY","")&amp;")","")&amp;IFERROR(", 최소 "&amp;TEXT(MIN(E92:K92),"0.0%")&amp;"("&amp;SUBSTITUTE(INDEX($E$5:$K$5,MATCH(MIN(E92:K92),E92:K92,0))," YoY","")&amp;")","")&amp;". "&amp;IF(Y92="가격 주도","단가 상승이 주도. ",IF(Y92="물량 주도","물량 확대가 주도. ",IF(Y92="혼합","물량·단가 동반. ",IF(Y92="감소","감소 품목. ","단가 해석 유보. "))))&amp;IF(V92&gt;0.05,"전체 증가의 5% 이상을 설명하는 대형 품목.",IF(V92&gt;0.005,"전체 증가에 의미 있게 기여.",IF(T92/SUMIFS(데이터_총괄!$H$3:$H$33,데이터_총괄!$B$3:$B$33,2026,데이터_총괄!$C$3:$C$33,"&lt;=7")&lt;0.001,"규모가 작아 총량 영향은 미미.","총량 영향은 제한적."))))</f>
        <v>1~7월 소폭 감소. 월별로는 1개월 증가·6개월 감소, 최대 11.4%(2026.01), 최소 -22.7%(2026.02). 감소 품목. 총량 영향은 제한적.</v>
      </c>
    </row>
    <row r="93" customFormat="false" ht="33.75" hidden="false" customHeight="true" outlineLevel="0" collapsed="false">
      <c r="A93" s="67" t="s">
        <v>19820</v>
      </c>
      <c r="B93" s="68" t="s">
        <v>779</v>
      </c>
      <c r="C93" s="65" t="str">
        <f aca="false">IFERROR(INDEX(데이터_품목별!$F$3:$F$2984,MATCH($B93,데이터_품목별!$E$3:$E$2984,0)),"")</f>
        <v>제품으로 된 방직용 섬유의 그 밖의 물품, 세트, 사용하던 의류ㆍ방직용 섬유제품, 넝마</v>
      </c>
      <c r="D93" s="69" t="s">
        <v>20068</v>
      </c>
      <c r="E93" s="59" t="n">
        <f aca="false">IFERROR(분석4B_월별매트릭스!AA68/분석4B_월별매트릭스!O68-1,"-")</f>
        <v>0.0160824833116697</v>
      </c>
      <c r="F93" s="59" t="n">
        <f aca="false">IFERROR(분석4B_월별매트릭스!AB68/분석4B_월별매트릭스!P68-1,"-")</f>
        <v>-0.26068162000705</v>
      </c>
      <c r="G93" s="59" t="n">
        <f aca="false">IFERROR(분석4B_월별매트릭스!AC68/분석4B_월별매트릭스!Q68-1,"-")</f>
        <v>-0.155910798775397</v>
      </c>
      <c r="H93" s="59" t="n">
        <f aca="false">IFERROR(분석4B_월별매트릭스!AD68/분석4B_월별매트릭스!R68-1,"-")</f>
        <v>-0.0626907489868415</v>
      </c>
      <c r="I93" s="59" t="n">
        <f aca="false">IFERROR(분석4B_월별매트릭스!AE68/분석4B_월별매트릭스!S68-1,"-")</f>
        <v>-0.177802299505215</v>
      </c>
      <c r="J93" s="59" t="n">
        <f aca="false">IFERROR(분석4B_월별매트릭스!AF68/분석4B_월별매트릭스!T68-1,"-")</f>
        <v>0.0425844043142278</v>
      </c>
      <c r="K93" s="59" t="n">
        <f aca="false">IFERROR(분석4B_월별매트릭스!AG68/분석4B_월별매트릭스!U68-1,"-")</f>
        <v>-0.19667176209005</v>
      </c>
      <c r="L93" s="57" t="n">
        <f aca="false">분석4B_월별매트릭스!AA68-분석4B_월별매트릭스!O68</f>
        <v>730</v>
      </c>
      <c r="M93" s="57" t="n">
        <f aca="false">분석4B_월별매트릭스!AB68-분석4B_월별매트릭스!P68</f>
        <v>-14051</v>
      </c>
      <c r="N93" s="57" t="n">
        <f aca="false">분석4B_월별매트릭스!AC68-분석4B_월별매트릭스!Q68</f>
        <v>-8963</v>
      </c>
      <c r="O93" s="57" t="n">
        <f aca="false">분석4B_월별매트릭스!AD68-분석4B_월별매트릭스!R68</f>
        <v>-3759</v>
      </c>
      <c r="P93" s="57" t="n">
        <f aca="false">분석4B_월별매트릭스!AE68-분석4B_월별매트릭스!S68</f>
        <v>-9990</v>
      </c>
      <c r="Q93" s="57" t="n">
        <f aca="false">분석4B_월별매트릭스!AF68-분석4B_월별매트릭스!T68</f>
        <v>2061</v>
      </c>
      <c r="R93" s="57" t="n">
        <f aca="false">분석4B_월별매트릭스!AG68-분석4B_월별매트릭스!U68</f>
        <v>-11322</v>
      </c>
      <c r="S93" s="25" t="n">
        <f aca="false">SUMIFS(데이터_품목별!$H$3:$H$2984,데이터_품목별!$E$3:$E$2984,"63",데이터_품목별!$B$3:$B$2984,2025,데이터_품목별!$C$3:$C$2984,"&lt;=7")</f>
        <v>378893</v>
      </c>
      <c r="T93" s="25" t="n">
        <f aca="false">SUMIFS(데이터_품목별!$H$3:$H$2984,데이터_품목별!$E$3:$E$2984,"63",데이터_품목별!$B$3:$B$2984,2026,데이터_품목별!$C$3:$C$2984,"&lt;=7")</f>
        <v>333599</v>
      </c>
      <c r="U93" s="36" t="n">
        <f aca="false">IFERROR(T93/S93-1,"-")</f>
        <v>-0.119542984430961</v>
      </c>
      <c r="V93" s="34" t="n">
        <f aca="false">(T93-S93)/(SUMIFS(데이터_총괄!$H$3:$H$33,데이터_총괄!$B$3:$B$33,2026,데이터_총괄!$C$3:$C$33,"&lt;=7")-SUMIFS(데이터_총괄!$H$3:$H$33,데이터_총괄!$B$3:$B$33,2025,데이터_총괄!$C$3:$C$33,"&lt;=7"))</f>
        <v>-0.000226839678355419</v>
      </c>
      <c r="W93" s="24" t="n">
        <f aca="false">SUMIFS(데이터_품목별!$G$3:$G$2984,데이터_품목별!$E$3:$E$2984,"63",데이터_품목별!$B$3:$B$2984,2026,데이터_품목별!$C$3:$C$2984,"&lt;=7")</f>
        <v>181976.1</v>
      </c>
      <c r="X93" s="36" t="n">
        <f aca="false">IFERROR((T93/W93)/(S93/SUMIFS(데이터_품목별!$G$3:$G$2984,데이터_품목별!$E$3:$E$2984,"63",데이터_품목별!$B$3:$B$2984,2025,데이터_품목별!$C$3:$C$2984,"&lt;=7"))-1,"-")</f>
        <v>-0.00780266947275787</v>
      </c>
      <c r="Y93" s="67" t="str">
        <f aca="false">IF(OR(W93&lt;100,SUMIFS(데이터_품목별!$G$3:$G$2984,데이터_품목별!$E$3:$E$2984,"63",데이터_품목별!$B$3:$B$2984,2025,데이터_품목별!$C$3:$C$2984,"&lt;=7")&lt;100),"단가 불안정",IF(T93-S93&lt;0,"감소",IF(X93&gt;0.05,"가격 주도",IF(X93&lt;0.02,"물량 주도","혼합"))))</f>
        <v>감소</v>
      </c>
      <c r="Z93" s="25" t="n">
        <f aca="false">SUMIFS(데이터_품목별!$J$3:$J$2984,데이터_품목별!$E$3:$E$2984,"63",데이터_품목별!$B$3:$B$2984,2026,데이터_품목별!$C$3:$C$2984,"&lt;=7")</f>
        <v>776815</v>
      </c>
      <c r="AA93" s="25" t="n">
        <f aca="false">T93-Z93</f>
        <v>-443216</v>
      </c>
      <c r="AB93" s="65" t="str">
        <f aca="false">IF(T93=0,"자료 없음",IF(U93&gt;1,"1~7월 2배 이상 급증. ",IF(U93&gt;0.5,"1~7월 +50% 초과 급증. ",IF(U93&gt;0.15,"1~7월 뚜렷한 증가. ",IF(U93&gt;0.02,"1~7월 소폭 증가. ",IF(U93&gt;-0.02,"1~7월 보합. ",IF(U93&gt;-0.15,"1~7월 소폭 감소. ","1~7월 뚜렷한 감소. "))))))&amp;"월별로는 "&amp;COUNTIF(E93:K93,"&gt;0")&amp;"개월 증가·"&amp;COUNTIF(E93:K93,"&lt;0")&amp;"개월 감소"&amp;IF(COUNTIF(E93:K93,"&gt;0")=7," (7개월 내내 증가)",IF(COUNTIF(E93:K93,"&lt;0")=7," (7개월 내내 감소)",""))&amp;IFERROR(", 최대 "&amp;TEXT(MAX(E93:K93),"0.0%")&amp;"("&amp;SUBSTITUTE(INDEX($E$5:$K$5,MATCH(MAX(E93:K93),E93:K93,0))," YoY","")&amp;")","")&amp;IFERROR(", 최소 "&amp;TEXT(MIN(E93:K93),"0.0%")&amp;"("&amp;SUBSTITUTE(INDEX($E$5:$K$5,MATCH(MIN(E93:K93),E93:K93,0))," YoY","")&amp;")","")&amp;". "&amp;IF(Y93="가격 주도","단가 상승이 주도. ",IF(Y93="물량 주도","물량 확대가 주도. ",IF(Y93="혼합","물량·단가 동반. ",IF(Y93="감소","감소 품목. ","단가 해석 유보. "))))&amp;IF(V93&gt;0.05,"전체 증가의 5% 이상을 설명하는 대형 품목.",IF(V93&gt;0.005,"전체 증가에 의미 있게 기여.",IF(T93/SUMIFS(데이터_총괄!$H$3:$H$33,데이터_총괄!$B$3:$B$33,2026,데이터_총괄!$C$3:$C$33,"&lt;=7")&lt;0.001,"규모가 작아 총량 영향은 미미.","총량 영향은 제한적."))))</f>
        <v>1~7월 소폭 감소. 월별로는 2개월 증가·5개월 감소, 최대 4.3%(2026.06), 최소 -26.1%(2026.02). 감소 품목. 규모가 작아 총량 영향은 미미.</v>
      </c>
    </row>
    <row r="94" customFormat="false" ht="33.75" hidden="false" customHeight="true" outlineLevel="0" collapsed="false">
      <c r="A94" s="67" t="s">
        <v>19840</v>
      </c>
      <c r="B94" s="68" t="s">
        <v>1009</v>
      </c>
      <c r="C94" s="65" t="str">
        <f aca="false">IFERROR(INDEX(데이터_품목별!$F$3:$F$2984,MATCH($B94,데이터_품목별!$E$3:$E$2984,0)),"")</f>
        <v>예술품ㆍ수집품ㆍ골동품</v>
      </c>
      <c r="D94" s="69" t="s">
        <v>20069</v>
      </c>
      <c r="E94" s="59" t="n">
        <f aca="false">IFERROR(분석4B_월별매트릭스!AA101/분석4B_월별매트릭스!O101-1,"-")</f>
        <v>0.10578329047547</v>
      </c>
      <c r="F94" s="59" t="n">
        <f aca="false">IFERROR(분석4B_월별매트릭스!AB101/분석4B_월별매트릭스!P101-1,"-")</f>
        <v>-0.327145892635208</v>
      </c>
      <c r="G94" s="59" t="n">
        <f aca="false">IFERROR(분석4B_월별매트릭스!AC101/분석4B_월별매트릭스!Q101-1,"-")</f>
        <v>0.994987754172125</v>
      </c>
      <c r="H94" s="59" t="n">
        <f aca="false">IFERROR(분석4B_월별매트릭스!AD101/분석4B_월별매트릭스!R101-1,"-")</f>
        <v>-0.692435168182022</v>
      </c>
      <c r="I94" s="59" t="n">
        <f aca="false">IFERROR(분석4B_월별매트릭스!AE101/분석4B_월별매트릭스!S101-1,"-")</f>
        <v>-0.385567160377015</v>
      </c>
      <c r="J94" s="59" t="n">
        <f aca="false">IFERROR(분석4B_월별매트릭스!AF101/분석4B_월별매트릭스!T101-1,"-")</f>
        <v>0.302857142857143</v>
      </c>
      <c r="K94" s="59" t="n">
        <f aca="false">IFERROR(분석4B_월별매트릭스!AG101/분석4B_월별매트릭스!U101-1,"-")</f>
        <v>-0.582146511434971</v>
      </c>
      <c r="L94" s="57" t="n">
        <f aca="false">분석4B_월별매트릭스!AA101-분석4B_월별매트릭스!O101</f>
        <v>2098</v>
      </c>
      <c r="M94" s="57" t="n">
        <f aca="false">분석4B_월별매트릭스!AB101-분석4B_월별매트릭스!P101</f>
        <v>-8160</v>
      </c>
      <c r="N94" s="57" t="n">
        <f aca="false">분석4B_월별매트릭스!AC101-분석4B_월별매트릭스!Q101</f>
        <v>17469</v>
      </c>
      <c r="O94" s="57" t="n">
        <f aca="false">분석4B_월별매트릭스!AD101-분석4B_월별매트릭스!R101</f>
        <v>-30920</v>
      </c>
      <c r="P94" s="57" t="n">
        <f aca="false">분석4B_월별매트릭스!AE101-분석4B_월별매트릭스!S101</f>
        <v>-10595</v>
      </c>
      <c r="Q94" s="57" t="n">
        <f aca="false">분석4B_월별매트릭스!AF101-분석4B_월별매트릭스!T101</f>
        <v>2650</v>
      </c>
      <c r="R94" s="57" t="n">
        <f aca="false">분석4B_월별매트릭스!AG101-분석4B_월별매트릭스!U101</f>
        <v>-21051</v>
      </c>
      <c r="S94" s="25" t="n">
        <f aca="false">SUMIFS(데이터_품목별!$H$3:$H$2984,데이터_품목별!$E$3:$E$2984,"97",데이터_품목별!$B$3:$B$2984,2025,데이터_품목별!$C$3:$C$2984,"&lt;=7")</f>
        <v>179377</v>
      </c>
      <c r="T94" s="25" t="n">
        <f aca="false">SUMIFS(데이터_품목별!$H$3:$H$2984,데이터_품목별!$E$3:$E$2984,"97",데이터_품목별!$B$3:$B$2984,2026,데이터_품목별!$C$3:$C$2984,"&lt;=7")</f>
        <v>130868</v>
      </c>
      <c r="U94" s="36" t="n">
        <f aca="false">IFERROR(T94/S94-1,"-")</f>
        <v>-0.270430434225124</v>
      </c>
      <c r="V94" s="34" t="n">
        <f aca="false">(T94-S94)/(SUMIFS(데이터_총괄!$H$3:$H$33,데이터_총괄!$B$3:$B$33,2026,데이터_총괄!$C$3:$C$33,"&lt;=7")-SUMIFS(데이터_총괄!$H$3:$H$33,데이터_총괄!$B$3:$B$33,2025,데이터_총괄!$C$3:$C$33,"&lt;=7"))</f>
        <v>-0.000242940918385283</v>
      </c>
      <c r="W94" s="24" t="n">
        <f aca="false">SUMIFS(데이터_품목별!$G$3:$G$2984,데이터_품목별!$E$3:$E$2984,"97",데이터_품목별!$B$3:$B$2984,2026,데이터_품목별!$C$3:$C$2984,"&lt;=7")</f>
        <v>79.6</v>
      </c>
      <c r="X94" s="36" t="n">
        <f aca="false">IFERROR((T94/W94)/(S94/SUMIFS(데이터_품목별!$G$3:$G$2984,데이터_품목별!$E$3:$E$2984,"97",데이터_품목별!$B$3:$B$2984,2025,데이터_품목별!$C$3:$C$2984,"&lt;=7"))-1,"-")</f>
        <v>-0.0907876768232696</v>
      </c>
      <c r="Y94" s="67" t="str">
        <f aca="false">IF(OR(W94&lt;100,SUMIFS(데이터_품목별!$G$3:$G$2984,데이터_품목별!$E$3:$E$2984,"97",데이터_품목별!$B$3:$B$2984,2025,데이터_품목별!$C$3:$C$2984,"&lt;=7")&lt;100),"단가 불안정",IF(T94-S94&lt;0,"감소",IF(X94&gt;0.05,"가격 주도",IF(X94&lt;0.02,"물량 주도","혼합"))))</f>
        <v>단가 불안정</v>
      </c>
      <c r="Z94" s="25" t="n">
        <f aca="false">SUMIFS(데이터_품목별!$J$3:$J$2984,데이터_품목별!$E$3:$E$2984,"97",데이터_품목별!$B$3:$B$2984,2026,데이터_품목별!$C$3:$C$2984,"&lt;=7")</f>
        <v>194888</v>
      </c>
      <c r="AA94" s="25" t="n">
        <f aca="false">T94-Z94</f>
        <v>-64020</v>
      </c>
      <c r="AB94" s="65" t="str">
        <f aca="false">IF(T94=0,"자료 없음",IF(U94&gt;1,"1~7월 2배 이상 급증. ",IF(U94&gt;0.5,"1~7월 +50% 초과 급증. ",IF(U94&gt;0.15,"1~7월 뚜렷한 증가. ",IF(U94&gt;0.02,"1~7월 소폭 증가. ",IF(U94&gt;-0.02,"1~7월 보합. ",IF(U94&gt;-0.15,"1~7월 소폭 감소. ","1~7월 뚜렷한 감소. "))))))&amp;"월별로는 "&amp;COUNTIF(E94:K94,"&gt;0")&amp;"개월 증가·"&amp;COUNTIF(E94:K94,"&lt;0")&amp;"개월 감소"&amp;IF(COUNTIF(E94:K94,"&gt;0")=7," (7개월 내내 증가)",IF(COUNTIF(E94:K94,"&lt;0")=7," (7개월 내내 감소)",""))&amp;IFERROR(", 최대 "&amp;TEXT(MAX(E94:K94),"0.0%")&amp;"("&amp;SUBSTITUTE(INDEX($E$5:$K$5,MATCH(MAX(E94:K94),E94:K94,0))," YoY","")&amp;")","")&amp;IFERROR(", 최소 "&amp;TEXT(MIN(E94:K94),"0.0%")&amp;"("&amp;SUBSTITUTE(INDEX($E$5:$K$5,MATCH(MIN(E94:K94),E94:K94,0))," YoY","")&amp;")","")&amp;". "&amp;IF(Y94="가격 주도","단가 상승이 주도. ",IF(Y94="물량 주도","물량 확대가 주도. ",IF(Y94="혼합","물량·단가 동반. ",IF(Y94="감소","감소 품목. ","단가 해석 유보. "))))&amp;IF(V94&gt;0.05,"전체 증가의 5% 이상을 설명하는 대형 품목.",IF(V94&gt;0.005,"전체 증가에 의미 있게 기여.",IF(T94/SUMIFS(데이터_총괄!$H$3:$H$33,데이터_총괄!$B$3:$B$33,2026,데이터_총괄!$C$3:$C$33,"&lt;=7")&lt;0.001,"규모가 작아 총량 영향은 미미.","총량 영향은 제한적."))))</f>
        <v>1~7월 뚜렷한 감소. 월별로는 3개월 증가·4개월 감소, 최대 99.5%(2026.03), 최소 -69.2%(2026.04). 단가 해석 유보. 규모가 작아 총량 영향은 미미.</v>
      </c>
    </row>
    <row r="95" customFormat="false" ht="33.75" hidden="false" customHeight="true" outlineLevel="0" collapsed="false">
      <c r="A95" s="67" t="s">
        <v>19820</v>
      </c>
      <c r="B95" s="68" t="s">
        <v>716</v>
      </c>
      <c r="C95" s="65" t="str">
        <f aca="false">IFERROR(INDEX(데이터_품목별!$F$3:$F$2984,MATCH($B95,데이터_품목별!$E$3:$E$2984,0)),"")</f>
        <v>인조필라멘트, 인조방직용 섬유재료의 스트립(strip)과 이와 유사한 것</v>
      </c>
      <c r="D95" s="69" t="s">
        <v>20070</v>
      </c>
      <c r="E95" s="59" t="n">
        <f aca="false">IFERROR(분석4B_월별매트릭스!AA59/분석4B_월별매트릭스!O59-1,"-")</f>
        <v>0.0143323696713216</v>
      </c>
      <c r="F95" s="59" t="n">
        <f aca="false">IFERROR(분석4B_월별매트릭스!AB59/분석4B_월별매트릭스!P59-1,"-")</f>
        <v>-0.207981570747557</v>
      </c>
      <c r="G95" s="59" t="n">
        <f aca="false">IFERROR(분석4B_월별매트릭스!AC59/분석4B_월별매트릭스!Q59-1,"-")</f>
        <v>-0.0294355381921056</v>
      </c>
      <c r="H95" s="59" t="n">
        <f aca="false">IFERROR(분석4B_월별매트릭스!AD59/분석4B_월별매트릭스!R59-1,"-")</f>
        <v>-0.0801179580106416</v>
      </c>
      <c r="I95" s="59" t="n">
        <f aca="false">IFERROR(분석4B_월별매트릭스!AE59/분석4B_월별매트릭스!S59-1,"-")</f>
        <v>-0.100519711832416</v>
      </c>
      <c r="J95" s="59" t="n">
        <f aca="false">IFERROR(분석4B_월별매트릭스!AF59/분석4B_월별매트릭스!T59-1,"-")</f>
        <v>0.0857416751506686</v>
      </c>
      <c r="K95" s="59" t="n">
        <f aca="false">IFERROR(분석4B_월별매트릭스!AG59/분석4B_월별매트릭스!U59-1,"-")</f>
        <v>0.0126937530154458</v>
      </c>
      <c r="L95" s="57" t="n">
        <f aca="false">분석4B_월별매트릭스!AA59-분석4B_월별매트릭스!O59</f>
        <v>1988</v>
      </c>
      <c r="M95" s="57" t="n">
        <f aca="false">분석4B_월별매트릭스!AB59-분석4B_월별매트릭스!P59</f>
        <v>-31238</v>
      </c>
      <c r="N95" s="57" t="n">
        <f aca="false">분석4B_월별매트릭스!AC59-분석4B_월별매트릭스!Q59</f>
        <v>-4370</v>
      </c>
      <c r="O95" s="57" t="n">
        <f aca="false">분석4B_월별매트릭스!AD59-분석4B_월별매트릭스!R59</f>
        <v>-13883</v>
      </c>
      <c r="P95" s="57" t="n">
        <f aca="false">분석4B_월별매트릭스!AE59-분석4B_월별매트릭스!S59</f>
        <v>-15125</v>
      </c>
      <c r="Q95" s="57" t="n">
        <f aca="false">분석4B_월별매트릭스!AF59-분석4B_월별매트릭스!T59</f>
        <v>11538</v>
      </c>
      <c r="R95" s="57" t="n">
        <f aca="false">분석4B_월별매트릭스!AG59-분석4B_월별매트릭스!U59</f>
        <v>1868</v>
      </c>
      <c r="S95" s="25" t="n">
        <f aca="false">SUMIFS(데이터_품목별!$H$3:$H$2984,데이터_품목별!$E$3:$E$2984,"54",데이터_품목별!$B$3:$B$2984,2025,데이터_품목별!$C$3:$C$2984,"&lt;=7")</f>
        <v>1042839</v>
      </c>
      <c r="T95" s="25" t="n">
        <f aca="false">SUMIFS(데이터_품목별!$H$3:$H$2984,데이터_품목별!$E$3:$E$2984,"54",데이터_품목별!$B$3:$B$2984,2026,데이터_품목별!$C$3:$C$2984,"&lt;=7")</f>
        <v>993617</v>
      </c>
      <c r="U95" s="36" t="n">
        <f aca="false">IFERROR(T95/S95-1,"-")</f>
        <v>-0.0471999992328633</v>
      </c>
      <c r="V95" s="34" t="n">
        <f aca="false">(T95-S95)/(SUMIFS(데이터_총괄!$H$3:$H$33,데이터_총괄!$B$3:$B$33,2026,데이터_총괄!$C$3:$C$33,"&lt;=7")-SUMIFS(데이터_총괄!$H$3:$H$33,데이터_총괄!$B$3:$B$33,2025,데이터_총괄!$C$3:$C$33,"&lt;=7"))</f>
        <v>-0.000246511737713835</v>
      </c>
      <c r="W95" s="24" t="n">
        <f aca="false">SUMIFS(데이터_품목별!$G$3:$G$2984,데이터_품목별!$E$3:$E$2984,"54",데이터_품목별!$B$3:$B$2984,2026,데이터_품목별!$C$3:$C$2984,"&lt;=7")</f>
        <v>148626.2</v>
      </c>
      <c r="X95" s="36" t="n">
        <f aca="false">IFERROR((T95/W95)/(S95/SUMIFS(데이터_품목별!$G$3:$G$2984,데이터_품목별!$E$3:$E$2984,"54",데이터_품목별!$B$3:$B$2984,2025,데이터_품목별!$C$3:$C$2984,"&lt;=7"))-1,"-")</f>
        <v>0.0389266557600407</v>
      </c>
      <c r="Y95" s="67" t="str">
        <f aca="false">IF(OR(W95&lt;100,SUMIFS(데이터_품목별!$G$3:$G$2984,데이터_품목별!$E$3:$E$2984,"54",데이터_품목별!$B$3:$B$2984,2025,데이터_품목별!$C$3:$C$2984,"&lt;=7")&lt;100),"단가 불안정",IF(T95-S95&lt;0,"감소",IF(X95&gt;0.05,"가격 주도",IF(X95&lt;0.02,"물량 주도","혼합"))))</f>
        <v>감소</v>
      </c>
      <c r="Z95" s="25" t="n">
        <f aca="false">SUMIFS(데이터_품목별!$J$3:$J$2984,데이터_품목별!$E$3:$E$2984,"54",데이터_품목별!$B$3:$B$2984,2026,데이터_품목별!$C$3:$C$2984,"&lt;=7")</f>
        <v>568388</v>
      </c>
      <c r="AA95" s="25" t="n">
        <f aca="false">T95-Z95</f>
        <v>425229</v>
      </c>
      <c r="AB95" s="65" t="str">
        <f aca="false">IF(T95=0,"자료 없음",IF(U95&gt;1,"1~7월 2배 이상 급증. ",IF(U95&gt;0.5,"1~7월 +50% 초과 급증. ",IF(U95&gt;0.15,"1~7월 뚜렷한 증가. ",IF(U95&gt;0.02,"1~7월 소폭 증가. ",IF(U95&gt;-0.02,"1~7월 보합. ",IF(U95&gt;-0.15,"1~7월 소폭 감소. ","1~7월 뚜렷한 감소. "))))))&amp;"월별로는 "&amp;COUNTIF(E95:K95,"&gt;0")&amp;"개월 증가·"&amp;COUNTIF(E95:K95,"&lt;0")&amp;"개월 감소"&amp;IF(COUNTIF(E95:K95,"&gt;0")=7," (7개월 내내 증가)",IF(COUNTIF(E95:K95,"&lt;0")=7," (7개월 내내 감소)",""))&amp;IFERROR(", 최대 "&amp;TEXT(MAX(E95:K95),"0.0%")&amp;"("&amp;SUBSTITUTE(INDEX($E$5:$K$5,MATCH(MAX(E95:K95),E95:K95,0))," YoY","")&amp;")","")&amp;IFERROR(", 최소 "&amp;TEXT(MIN(E95:K95),"0.0%")&amp;"("&amp;SUBSTITUTE(INDEX($E$5:$K$5,MATCH(MIN(E95:K95),E95:K95,0))," YoY","")&amp;")","")&amp;". "&amp;IF(Y95="가격 주도","단가 상승이 주도. ",IF(Y95="물량 주도","물량 확대가 주도. ",IF(Y95="혼합","물량·단가 동반. ",IF(Y95="감소","감소 품목. ","단가 해석 유보. "))))&amp;IF(V95&gt;0.05,"전체 증가의 5% 이상을 설명하는 대형 품목.",IF(V95&gt;0.005,"전체 증가에 의미 있게 기여.",IF(T95/SUMIFS(데이터_총괄!$H$3:$H$33,데이터_총괄!$B$3:$B$33,2026,데이터_총괄!$C$3:$C$33,"&lt;=7")&lt;0.001,"규모가 작아 총량 영향은 미미.","총량 영향은 제한적."))))</f>
        <v>1~7월 소폭 감소. 월별로는 3개월 증가·4개월 감소, 최대 8.6%(2026.06), 최소 -20.8%(2026.02). 감소 품목. 총량 영향은 제한적.</v>
      </c>
    </row>
    <row r="96" customFormat="false" ht="33.75" hidden="false" customHeight="true" outlineLevel="0" collapsed="false">
      <c r="A96" s="67" t="s">
        <v>19802</v>
      </c>
      <c r="B96" s="68" t="s">
        <v>422</v>
      </c>
      <c r="C96" s="65" t="str">
        <f aca="false">IFERROR(INDEX(데이터_품목별!$F$3:$F$2984,MATCH($B96,데이터_품목별!$E$3:$E$2984,0)),"")</f>
        <v>채유(採油)에 적합한 종자와 과실, 각종 종자와 과실, 공업용ㆍ의약용 식물, 짚과 사료용 식물</v>
      </c>
      <c r="D96" s="69" t="s">
        <v>20071</v>
      </c>
      <c r="E96" s="59" t="n">
        <f aca="false">IFERROR(분석4B_월별매트릭스!AA17/분석4B_월별매트릭스!O17-1,"-")</f>
        <v>0.0709193385838527</v>
      </c>
      <c r="F96" s="59" t="n">
        <f aca="false">IFERROR(분석4B_월별매트릭스!AB17/분석4B_월별매트릭스!P17-1,"-")</f>
        <v>-0.345489155687456</v>
      </c>
      <c r="G96" s="59" t="n">
        <f aca="false">IFERROR(분석4B_월별매트릭스!AC17/분석4B_월별매트릭스!Q17-1,"-")</f>
        <v>0.0420378492404352</v>
      </c>
      <c r="H96" s="59" t="n">
        <f aca="false">IFERROR(분석4B_월별매트릭스!AD17/분석4B_월별매트릭스!R17-1,"-")</f>
        <v>-0.0561717565196705</v>
      </c>
      <c r="I96" s="59" t="n">
        <f aca="false">IFERROR(분석4B_월별매트릭스!AE17/분석4B_월별매트릭스!S17-1,"-")</f>
        <v>-0.275876400722541</v>
      </c>
      <c r="J96" s="59" t="n">
        <f aca="false">IFERROR(분석4B_월별매트릭스!AF17/분석4B_월별매트릭스!T17-1,"-")</f>
        <v>0.275531742165936</v>
      </c>
      <c r="K96" s="59" t="n">
        <f aca="false">IFERROR(분석4B_월별매트릭스!AG17/분석4B_월별매트릭스!U17-1,"-")</f>
        <v>-0.395319890465522</v>
      </c>
      <c r="L96" s="57" t="n">
        <f aca="false">분석4B_월별매트릭스!AA17-분석4B_월별매트릭스!O17</f>
        <v>3800</v>
      </c>
      <c r="M96" s="57" t="n">
        <f aca="false">분석4B_월별매트릭스!AB17-분석4B_월별매트릭스!P17</f>
        <v>-23050</v>
      </c>
      <c r="N96" s="57" t="n">
        <f aca="false">분석4B_월별매트릭스!AC17-분석4B_월별매트릭스!Q17</f>
        <v>2770</v>
      </c>
      <c r="O96" s="57" t="n">
        <f aca="false">분석4B_월별매트릭스!AD17-분석4B_월별매트릭스!R17</f>
        <v>-3778</v>
      </c>
      <c r="P96" s="57" t="n">
        <f aca="false">분석4B_월별매트릭스!AE17-분석4B_월별매트릭스!S17</f>
        <v>-17258</v>
      </c>
      <c r="Q96" s="57" t="n">
        <f aca="false">분석4B_월별매트릭스!AF17-분석4B_월별매트릭스!T17</f>
        <v>18667</v>
      </c>
      <c r="R96" s="57" t="n">
        <f aca="false">분석4B_월별매트릭스!AG17-분석4B_월별매트릭스!U17</f>
        <v>-31760</v>
      </c>
      <c r="S96" s="25" t="n">
        <f aca="false">SUMIFS(데이터_품목별!$H$3:$H$2984,데이터_품목별!$E$3:$E$2984,"12",데이터_품목별!$B$3:$B$2984,2025,데이터_품목별!$C$3:$C$2984,"&lt;=7")</f>
        <v>464096</v>
      </c>
      <c r="T96" s="25" t="n">
        <f aca="false">SUMIFS(데이터_품목별!$H$3:$H$2984,데이터_품목별!$E$3:$E$2984,"12",데이터_품목별!$B$3:$B$2984,2026,데이터_품목별!$C$3:$C$2984,"&lt;=7")</f>
        <v>413487</v>
      </c>
      <c r="U96" s="36" t="n">
        <f aca="false">IFERROR(T96/S96-1,"-")</f>
        <v>-0.109048558918844</v>
      </c>
      <c r="V96" s="34" t="n">
        <f aca="false">(T96-S96)/(SUMIFS(데이터_총괄!$H$3:$H$33,데이터_총괄!$B$3:$B$33,2026,데이터_총괄!$C$3:$C$33,"&lt;=7")-SUMIFS(데이터_총괄!$H$3:$H$33,데이터_총괄!$B$3:$B$33,2025,데이터_총괄!$C$3:$C$33,"&lt;=7"))</f>
        <v>-0.000253458058062644</v>
      </c>
      <c r="W96" s="24" t="n">
        <f aca="false">SUMIFS(데이터_품목별!$G$3:$G$2984,데이터_품목별!$E$3:$E$2984,"12",데이터_품목별!$B$3:$B$2984,2026,데이터_품목별!$C$3:$C$2984,"&lt;=7")</f>
        <v>22168.1</v>
      </c>
      <c r="X96" s="36" t="n">
        <f aca="false">IFERROR((T96/W96)/(S96/SUMIFS(데이터_품목별!$G$3:$G$2984,데이터_품목별!$E$3:$E$2984,"12",데이터_품목별!$B$3:$B$2984,2025,데이터_품목별!$C$3:$C$2984,"&lt;=7"))-1,"-")</f>
        <v>-0.00356404954449108</v>
      </c>
      <c r="Y96" s="67" t="str">
        <f aca="false">IF(OR(W96&lt;100,SUMIFS(데이터_품목별!$G$3:$G$2984,데이터_품목별!$E$3:$E$2984,"12",데이터_품목별!$B$3:$B$2984,2025,데이터_품목별!$C$3:$C$2984,"&lt;=7")&lt;100),"단가 불안정",IF(T96-S96&lt;0,"감소",IF(X96&gt;0.05,"가격 주도",IF(X96&lt;0.02,"물량 주도","혼합"))))</f>
        <v>감소</v>
      </c>
      <c r="Z96" s="25" t="n">
        <f aca="false">SUMIFS(데이터_품목별!$J$3:$J$2984,데이터_품목별!$E$3:$E$2984,"12",데이터_품목별!$B$3:$B$2984,2026,데이터_품목별!$C$3:$C$2984,"&lt;=7")</f>
        <v>1067739</v>
      </c>
      <c r="AA96" s="25" t="n">
        <f aca="false">T96-Z96</f>
        <v>-654252</v>
      </c>
      <c r="AB96" s="65" t="str">
        <f aca="false">IF(T96=0,"자료 없음",IF(U96&gt;1,"1~7월 2배 이상 급증. ",IF(U96&gt;0.5,"1~7월 +50% 초과 급증. ",IF(U96&gt;0.15,"1~7월 뚜렷한 증가. ",IF(U96&gt;0.02,"1~7월 소폭 증가. ",IF(U96&gt;-0.02,"1~7월 보합. ",IF(U96&gt;-0.15,"1~7월 소폭 감소. ","1~7월 뚜렷한 감소. "))))))&amp;"월별로는 "&amp;COUNTIF(E96:K96,"&gt;0")&amp;"개월 증가·"&amp;COUNTIF(E96:K96,"&lt;0")&amp;"개월 감소"&amp;IF(COUNTIF(E96:K96,"&gt;0")=7," (7개월 내내 증가)",IF(COUNTIF(E96:K96,"&lt;0")=7," (7개월 내내 감소)",""))&amp;IFERROR(", 최대 "&amp;TEXT(MAX(E96:K96),"0.0%")&amp;"("&amp;SUBSTITUTE(INDEX($E$5:$K$5,MATCH(MAX(E96:K96),E96:K96,0))," YoY","")&amp;")","")&amp;IFERROR(", 최소 "&amp;TEXT(MIN(E96:K96),"0.0%")&amp;"("&amp;SUBSTITUTE(INDEX($E$5:$K$5,MATCH(MIN(E96:K96),E96:K96,0))," YoY","")&amp;")","")&amp;". "&amp;IF(Y96="가격 주도","단가 상승이 주도. ",IF(Y96="물량 주도","물량 확대가 주도. ",IF(Y96="혼합","물량·단가 동반. ",IF(Y96="감소","감소 품목. ","단가 해석 유보. "))))&amp;IF(V96&gt;0.05,"전체 증가의 5% 이상을 설명하는 대형 품목.",IF(V96&gt;0.005,"전체 증가에 의미 있게 기여.",IF(T96/SUMIFS(데이터_총괄!$H$3:$H$33,데이터_총괄!$B$3:$B$33,2026,데이터_총괄!$C$3:$C$33,"&lt;=7")&lt;0.001,"규모가 작아 총량 영향은 미미.","총량 영향은 제한적."))))</f>
        <v>1~7월 소폭 감소. 월별로는 3개월 증가·4개월 감소, 최대 27.6%(2026.06), 최소 -39.5%(2026.07). 감소 품목. 규모가 작아 총량 영향은 미미.</v>
      </c>
    </row>
    <row r="97" customFormat="false" ht="33.75" hidden="false" customHeight="true" outlineLevel="0" collapsed="false">
      <c r="A97" s="67" t="s">
        <v>19832</v>
      </c>
      <c r="B97" s="68" t="s">
        <v>946</v>
      </c>
      <c r="C97" s="65" t="str">
        <f aca="false">IFERROR(INDEX(데이터_품목별!$F$3:$F$2984,MATCH($B97,데이터_품목별!$E$3:$E$2984,0)),"")</f>
        <v>항공기와 우주선, 이들의 부분품</v>
      </c>
      <c r="D97" s="69" t="s">
        <v>20072</v>
      </c>
      <c r="E97" s="59" t="n">
        <f aca="false">IFERROR(분석4B_월별매트릭스!AA92/분석4B_월별매트릭스!O92-1,"-")</f>
        <v>-0.245978128494317</v>
      </c>
      <c r="F97" s="59" t="n">
        <f aca="false">IFERROR(분석4B_월별매트릭스!AB92/분석4B_월별매트릭스!P92-1,"-")</f>
        <v>0.283651787184978</v>
      </c>
      <c r="G97" s="59" t="n">
        <f aca="false">IFERROR(분석4B_월별매트릭스!AC92/분석4B_월별매트릭스!Q92-1,"-")</f>
        <v>-0.276553673627583</v>
      </c>
      <c r="H97" s="59" t="n">
        <f aca="false">IFERROR(분석4B_월별매트릭스!AD92/분석4B_월별매트릭스!R92-1,"-")</f>
        <v>0.179308596764675</v>
      </c>
      <c r="I97" s="59" t="n">
        <f aca="false">IFERROR(분석4B_월별매트릭스!AE92/분석4B_월별매트릭스!S92-1,"-")</f>
        <v>-0.55805831251796</v>
      </c>
      <c r="J97" s="59" t="n">
        <f aca="false">IFERROR(분석4B_월별매트릭스!AF92/분석4B_월별매트릭스!T92-1,"-")</f>
        <v>0.359935557389288</v>
      </c>
      <c r="K97" s="59" t="n">
        <f aca="false">IFERROR(분석4B_월별매트릭스!AG92/분석4B_월별매트릭스!U92-1,"-")</f>
        <v>0.50232431087719</v>
      </c>
      <c r="L97" s="57" t="n">
        <f aca="false">분석4B_월별매트릭스!AA92-분석4B_월별매트릭스!O92</f>
        <v>-78973</v>
      </c>
      <c r="M97" s="57" t="n">
        <f aca="false">분석4B_월별매트릭스!AB92-분석4B_월별매트릭스!P92</f>
        <v>34441</v>
      </c>
      <c r="N97" s="57" t="n">
        <f aca="false">분석4B_월별매트릭스!AC92-분석4B_월별매트릭스!Q92</f>
        <v>-59581</v>
      </c>
      <c r="O97" s="57" t="n">
        <f aca="false">분석4B_월별매트릭스!AD92-분석4B_월별매트릭스!R92</f>
        <v>47397</v>
      </c>
      <c r="P97" s="57" t="n">
        <f aca="false">분석4B_월별매트릭스!AE92-분석4B_월별매트릭스!S92</f>
        <v>-176722</v>
      </c>
      <c r="Q97" s="57" t="n">
        <f aca="false">분석4B_월별매트릭스!AF92-분석4B_월별매트릭스!T92</f>
        <v>73280</v>
      </c>
      <c r="R97" s="57" t="n">
        <f aca="false">분석4B_월별매트릭스!AG92-분석4B_월별매트릭스!U92</f>
        <v>102980</v>
      </c>
      <c r="S97" s="25" t="n">
        <f aca="false">SUMIFS(데이터_품목별!$H$3:$H$2984,데이터_품목별!$E$3:$E$2984,"88",데이터_품목별!$B$3:$B$2984,2025,데이터_품목별!$C$3:$C$2984,"&lt;=7")</f>
        <v>1647522</v>
      </c>
      <c r="T97" s="25" t="n">
        <f aca="false">SUMIFS(데이터_품목별!$H$3:$H$2984,데이터_품목별!$E$3:$E$2984,"88",데이터_품목별!$B$3:$B$2984,2026,데이터_품목별!$C$3:$C$2984,"&lt;=7")</f>
        <v>1590344</v>
      </c>
      <c r="U97" s="36" t="n">
        <f aca="false">IFERROR(T97/S97-1,"-")</f>
        <v>-0.034705454616084</v>
      </c>
      <c r="V97" s="34" t="n">
        <f aca="false">(T97-S97)/(SUMIFS(데이터_총괄!$H$3:$H$33,데이터_총괄!$B$3:$B$33,2026,데이터_총괄!$C$3:$C$33,"&lt;=7")-SUMIFS(데이터_총괄!$H$3:$H$33,데이터_총괄!$B$3:$B$33,2025,데이터_총괄!$C$3:$C$33,"&lt;=7"))</f>
        <v>-0.000286356672605779</v>
      </c>
      <c r="W97" s="24" t="n">
        <f aca="false">SUMIFS(데이터_품목별!$G$3:$G$2984,데이터_품목별!$E$3:$E$2984,"88",데이터_품목별!$B$3:$B$2984,2026,데이터_품목별!$C$3:$C$2984,"&lt;=7")</f>
        <v>6770.6</v>
      </c>
      <c r="X97" s="36" t="n">
        <f aca="false">IFERROR((T97/W97)/(S97/SUMIFS(데이터_품목별!$G$3:$G$2984,데이터_품목별!$E$3:$E$2984,"88",데이터_품목별!$B$3:$B$2984,2025,데이터_품목별!$C$3:$C$2984,"&lt;=7"))-1,"-")</f>
        <v>-0.463646046179911</v>
      </c>
      <c r="Y97" s="67" t="str">
        <f aca="false">IF(OR(W97&lt;100,SUMIFS(데이터_품목별!$G$3:$G$2984,데이터_품목별!$E$3:$E$2984,"88",데이터_품목별!$B$3:$B$2984,2025,데이터_품목별!$C$3:$C$2984,"&lt;=7")&lt;100),"단가 불안정",IF(T97-S97&lt;0,"감소",IF(X97&gt;0.05,"가격 주도",IF(X97&lt;0.02,"물량 주도","혼합"))))</f>
        <v>감소</v>
      </c>
      <c r="Z97" s="25" t="n">
        <f aca="false">SUMIFS(데이터_품목별!$J$3:$J$2984,데이터_품목별!$E$3:$E$2984,"88",데이터_품목별!$B$3:$B$2984,2026,데이터_품목별!$C$3:$C$2984,"&lt;=7")</f>
        <v>2921555</v>
      </c>
      <c r="AA97" s="25" t="n">
        <f aca="false">T97-Z97</f>
        <v>-1331211</v>
      </c>
      <c r="AB97" s="65" t="str">
        <f aca="false">IF(T97=0,"자료 없음",IF(U97&gt;1,"1~7월 2배 이상 급증. ",IF(U97&gt;0.5,"1~7월 +50% 초과 급증. ",IF(U97&gt;0.15,"1~7월 뚜렷한 증가. ",IF(U97&gt;0.02,"1~7월 소폭 증가. ",IF(U97&gt;-0.02,"1~7월 보합. ",IF(U97&gt;-0.15,"1~7월 소폭 감소. ","1~7월 뚜렷한 감소. "))))))&amp;"월별로는 "&amp;COUNTIF(E97:K97,"&gt;0")&amp;"개월 증가·"&amp;COUNTIF(E97:K97,"&lt;0")&amp;"개월 감소"&amp;IF(COUNTIF(E97:K97,"&gt;0")=7," (7개월 내내 증가)",IF(COUNTIF(E97:K97,"&lt;0")=7," (7개월 내내 감소)",""))&amp;IFERROR(", 최대 "&amp;TEXT(MAX(E97:K97),"0.0%")&amp;"("&amp;SUBSTITUTE(INDEX($E$5:$K$5,MATCH(MAX(E97:K97),E97:K97,0))," YoY","")&amp;")","")&amp;IFERROR(", 최소 "&amp;TEXT(MIN(E97:K97),"0.0%")&amp;"("&amp;SUBSTITUTE(INDEX($E$5:$K$5,MATCH(MIN(E97:K97),E97:K97,0))," YoY","")&amp;")","")&amp;". "&amp;IF(Y97="가격 주도","단가 상승이 주도. ",IF(Y97="물량 주도","물량 확대가 주도. ",IF(Y97="혼합","물량·단가 동반. ",IF(Y97="감소","감소 품목. ","단가 해석 유보. "))))&amp;IF(V97&gt;0.05,"전체 증가의 5% 이상을 설명하는 대형 품목.",IF(V97&gt;0.005,"전체 증가에 의미 있게 기여.",IF(T97/SUMIFS(데이터_총괄!$H$3:$H$33,데이터_총괄!$B$3:$B$33,2026,데이터_총괄!$C$3:$C$33,"&lt;=7")&lt;0.001,"규모가 작아 총량 영향은 미미.","총량 영향은 제한적."))))</f>
        <v>1~7월 소폭 감소. 월별로는 4개월 증가·3개월 감소, 최대 50.2%(2026.07), 최소 -55.8%(2026.05). 감소 품목. 총량 영향은 제한적.</v>
      </c>
    </row>
    <row r="98" customFormat="false" ht="33.75" hidden="false" customHeight="true" outlineLevel="0" collapsed="false">
      <c r="A98" s="67" t="s">
        <v>19820</v>
      </c>
      <c r="B98" s="68" t="s">
        <v>758</v>
      </c>
      <c r="C98" s="65" t="str">
        <f aca="false">IFERROR(INDEX(데이터_품목별!$F$3:$F$2984,MATCH($B98,데이터_품목별!$E$3:$E$2984,0)),"")</f>
        <v>메리야스 편물과 뜨개질 편물</v>
      </c>
      <c r="D98" s="69" t="s">
        <v>20073</v>
      </c>
      <c r="E98" s="59" t="n">
        <f aca="false">IFERROR(분석4B_월별매트릭스!AA65/분석4B_월별매트릭스!O65-1,"-")</f>
        <v>0.0256819226298288</v>
      </c>
      <c r="F98" s="59" t="n">
        <f aca="false">IFERROR(분석4B_월별매트릭스!AB65/분석4B_월별매트릭스!P65-1,"-")</f>
        <v>-0.26252103533937</v>
      </c>
      <c r="G98" s="59" t="n">
        <f aca="false">IFERROR(분석4B_월별매트릭스!AC65/분석4B_월별매트릭스!Q65-1,"-")</f>
        <v>-0.0461184489501044</v>
      </c>
      <c r="H98" s="59" t="n">
        <f aca="false">IFERROR(분석4B_월별매트릭스!AD65/분석4B_월별매트릭스!R65-1,"-")</f>
        <v>-0.00205879812260645</v>
      </c>
      <c r="I98" s="59" t="n">
        <f aca="false">IFERROR(분석4B_월별매트릭스!AE65/분석4B_월별매트릭스!S65-1,"-")</f>
        <v>-0.217135320649679</v>
      </c>
      <c r="J98" s="59" t="n">
        <f aca="false">IFERROR(분석4B_월별매트릭스!AF65/분석4B_월별매트릭스!T65-1,"-")</f>
        <v>-0.0377148642740445</v>
      </c>
      <c r="K98" s="59" t="n">
        <f aca="false">IFERROR(분석4B_월별매트릭스!AG65/분석4B_월별매트릭스!U65-1,"-")</f>
        <v>0</v>
      </c>
      <c r="L98" s="57" t="n">
        <f aca="false">분석4B_월별매트릭스!AA65-분석4B_월별매트릭스!O65</f>
        <v>2850</v>
      </c>
      <c r="M98" s="57" t="n">
        <f aca="false">분석4B_월별매트릭스!AB65-분석4B_월별매트릭스!P65</f>
        <v>-32760</v>
      </c>
      <c r="N98" s="57" t="n">
        <f aca="false">분석4B_월별매트릭스!AC65-분석4B_월별매트릭스!Q65</f>
        <v>-5873</v>
      </c>
      <c r="O98" s="57" t="n">
        <f aca="false">분석4B_월별매트릭스!AD65-분석4B_월별매트릭스!R65</f>
        <v>-286</v>
      </c>
      <c r="P98" s="57" t="n">
        <f aca="false">분석4B_월별매트릭스!AE65-분석4B_월별매트릭스!S65</f>
        <v>-29799</v>
      </c>
      <c r="Q98" s="57" t="n">
        <f aca="false">분석4B_월별매트릭스!AF65-분석4B_월별매트릭스!T65</f>
        <v>-4917</v>
      </c>
      <c r="R98" s="57" t="n">
        <f aca="false">분석4B_월별매트릭스!AG65-분석4B_월별매트릭스!U65</f>
        <v>0</v>
      </c>
      <c r="S98" s="25" t="n">
        <f aca="false">SUMIFS(데이터_품목별!$H$3:$H$2984,데이터_품목별!$E$3:$E$2984,"60",데이터_품목별!$B$3:$B$2984,2025,데이터_품목별!$C$3:$C$2984,"&lt;=7")</f>
        <v>893874</v>
      </c>
      <c r="T98" s="25" t="n">
        <f aca="false">SUMIFS(데이터_품목별!$H$3:$H$2984,데이터_품목별!$E$3:$E$2984,"60",데이터_품목별!$B$3:$B$2984,2026,데이터_품목별!$C$3:$C$2984,"&lt;=7")</f>
        <v>823089</v>
      </c>
      <c r="U98" s="36" t="n">
        <f aca="false">IFERROR(T98/S98-1,"-")</f>
        <v>-0.0791890132166279</v>
      </c>
      <c r="V98" s="34" t="n">
        <f aca="false">(T98-S98)/(SUMIFS(데이터_총괄!$H$3:$H$33,데이터_총괄!$B$3:$B$33,2026,데이터_총괄!$C$3:$C$33,"&lt;=7")-SUMIFS(데이터_총괄!$H$3:$H$33,데이터_총괄!$B$3:$B$33,2025,데이터_총괄!$C$3:$C$33,"&lt;=7"))</f>
        <v>-0.000354502729553326</v>
      </c>
      <c r="W98" s="24" t="n">
        <f aca="false">SUMIFS(데이터_품목별!$G$3:$G$2984,데이터_품목별!$E$3:$E$2984,"60",데이터_품목별!$B$3:$B$2984,2026,데이터_품목별!$C$3:$C$2984,"&lt;=7")</f>
        <v>109227.6</v>
      </c>
      <c r="X98" s="36" t="n">
        <f aca="false">IFERROR((T98/W98)/(S98/SUMIFS(데이터_품목별!$G$3:$G$2984,데이터_품목별!$E$3:$E$2984,"60",데이터_품목별!$B$3:$B$2984,2025,데이터_품목별!$C$3:$C$2984,"&lt;=7"))-1,"-")</f>
        <v>-0.00756515418456827</v>
      </c>
      <c r="Y98" s="67" t="str">
        <f aca="false">IF(OR(W98&lt;100,SUMIFS(데이터_품목별!$G$3:$G$2984,데이터_품목별!$E$3:$E$2984,"60",데이터_품목별!$B$3:$B$2984,2025,데이터_품목별!$C$3:$C$2984,"&lt;=7")&lt;100),"단가 불안정",IF(T98-S98&lt;0,"감소",IF(X98&gt;0.05,"가격 주도",IF(X98&lt;0.02,"물량 주도","혼합"))))</f>
        <v>감소</v>
      </c>
      <c r="Z98" s="25" t="n">
        <f aca="false">SUMIFS(데이터_품목별!$J$3:$J$2984,데이터_품목별!$E$3:$E$2984,"60",데이터_품목별!$B$3:$B$2984,2026,데이터_품목별!$C$3:$C$2984,"&lt;=7")</f>
        <v>64293</v>
      </c>
      <c r="AA98" s="25" t="n">
        <f aca="false">T98-Z98</f>
        <v>758796</v>
      </c>
      <c r="AB98" s="65" t="str">
        <f aca="false">IF(T98=0,"자료 없음",IF(U98&gt;1,"1~7월 2배 이상 급증. ",IF(U98&gt;0.5,"1~7월 +50% 초과 급증. ",IF(U98&gt;0.15,"1~7월 뚜렷한 증가. ",IF(U98&gt;0.02,"1~7월 소폭 증가. ",IF(U98&gt;-0.02,"1~7월 보합. ",IF(U98&gt;-0.15,"1~7월 소폭 감소. ","1~7월 뚜렷한 감소. "))))))&amp;"월별로는 "&amp;COUNTIF(E98:K98,"&gt;0")&amp;"개월 증가·"&amp;COUNTIF(E98:K98,"&lt;0")&amp;"개월 감소"&amp;IF(COUNTIF(E98:K98,"&gt;0")=7," (7개월 내내 증가)",IF(COUNTIF(E98:K98,"&lt;0")=7," (7개월 내내 감소)",""))&amp;IFERROR(", 최대 "&amp;TEXT(MAX(E98:K98),"0.0%")&amp;"("&amp;SUBSTITUTE(INDEX($E$5:$K$5,MATCH(MAX(E98:K98),E98:K98,0))," YoY","")&amp;")","")&amp;IFERROR(", 최소 "&amp;TEXT(MIN(E98:K98),"0.0%")&amp;"("&amp;SUBSTITUTE(INDEX($E$5:$K$5,MATCH(MIN(E98:K98),E98:K98,0))," YoY","")&amp;")","")&amp;". "&amp;IF(Y98="가격 주도","단가 상승이 주도. ",IF(Y98="물량 주도","물량 확대가 주도. ",IF(Y98="혼합","물량·단가 동반. ",IF(Y98="감소","감소 품목. ","단가 해석 유보. "))))&amp;IF(V98&gt;0.05,"전체 증가의 5% 이상을 설명하는 대형 품목.",IF(V98&gt;0.005,"전체 증가에 의미 있게 기여.",IF(T98/SUMIFS(데이터_총괄!$H$3:$H$33,데이터_총괄!$B$3:$B$33,2026,데이터_총괄!$C$3:$C$33,"&lt;=7")&lt;0.001,"규모가 작아 총량 영향은 미미.","총량 영향은 제한적."))))</f>
        <v>1~7월 소폭 감소. 월별로는 1개월 증가·5개월 감소, 최대 2.6%(2026.01), 최소 -26.3%(2026.02). 감소 품목. 총량 영향은 제한적.</v>
      </c>
    </row>
    <row r="99" customFormat="false" ht="33.75" hidden="false" customHeight="true" outlineLevel="0" collapsed="false">
      <c r="A99" s="67" t="s">
        <v>19834</v>
      </c>
      <c r="B99" s="68" t="s">
        <v>967</v>
      </c>
      <c r="C99" s="65" t="str">
        <f aca="false">IFERROR(INDEX(데이터_품목별!$F$3:$F$2984,MATCH($B99,데이터_품목별!$E$3:$E$2984,0)),"")</f>
        <v>시계와 그 부분품</v>
      </c>
      <c r="D99" s="69" t="s">
        <v>20074</v>
      </c>
      <c r="E99" s="59" t="n">
        <f aca="false">IFERROR(분석4B_월별매트릭스!AA95/분석4B_월별매트릭스!O95-1,"-")</f>
        <v>0.343225627513521</v>
      </c>
      <c r="F99" s="59" t="n">
        <f aca="false">IFERROR(분석4B_월별매트릭스!AB95/분석4B_월별매트릭스!P95-1,"-")</f>
        <v>-0.00112422709387294</v>
      </c>
      <c r="G99" s="59" t="n">
        <f aca="false">IFERROR(분석4B_월별매트릭스!AC95/분석4B_월별매트릭스!Q95-1,"-")</f>
        <v>-0.125429075053344</v>
      </c>
      <c r="H99" s="59" t="n">
        <f aca="false">IFERROR(분석4B_월별매트릭스!AD95/분석4B_월별매트릭스!R95-1,"-")</f>
        <v>-0.0736710756176691</v>
      </c>
      <c r="I99" s="59" t="n">
        <f aca="false">IFERROR(분석4B_월별매트릭스!AE95/분석4B_월별매트릭스!S95-1,"-")</f>
        <v>-0.191561408223596</v>
      </c>
      <c r="J99" s="59" t="n">
        <f aca="false">IFERROR(분석4B_월별매트릭스!AF95/분석4B_월별매트릭스!T95-1,"-")</f>
        <v>-0.822789821833808</v>
      </c>
      <c r="K99" s="59" t="n">
        <f aca="false">IFERROR(분석4B_월별매트릭스!AG95/분석4B_월별매트릭스!U95-1,"-")</f>
        <v>-0.113829109270062</v>
      </c>
      <c r="L99" s="57" t="n">
        <f aca="false">분석4B_월별매트릭스!AA95-분석4B_월별매트릭스!O95</f>
        <v>4950</v>
      </c>
      <c r="M99" s="57" t="n">
        <f aca="false">분석4B_월별매트릭스!AB95-분석4B_월별매트릭스!P95</f>
        <v>-20</v>
      </c>
      <c r="N99" s="57" t="n">
        <f aca="false">분석4B_월별매트릭스!AC95-분석4B_월별매트릭스!Q95</f>
        <v>-2704</v>
      </c>
      <c r="O99" s="57" t="n">
        <f aca="false">분석4B_월별매트릭스!AD95-분석4B_월별매트릭스!R95</f>
        <v>-1476</v>
      </c>
      <c r="P99" s="57" t="n">
        <f aca="false">분석4B_월별매트릭스!AE95-분석4B_월별매트릭스!S95</f>
        <v>-3564</v>
      </c>
      <c r="Q99" s="57" t="n">
        <f aca="false">분석4B_월별매트릭스!AF95-분석4B_월별매트릭스!T95</f>
        <v>-85204</v>
      </c>
      <c r="R99" s="57" t="n">
        <f aca="false">분석4B_월별매트릭스!AG95-분석4B_월별매트릭스!U95</f>
        <v>-2322</v>
      </c>
      <c r="S99" s="25" t="n">
        <f aca="false">SUMIFS(데이터_품목별!$H$3:$H$2984,데이터_품목별!$E$3:$E$2984,"91",데이터_품목별!$B$3:$B$2984,2025,데이터_품목별!$C$3:$C$2984,"&lt;=7")</f>
        <v>216364</v>
      </c>
      <c r="T99" s="25" t="n">
        <f aca="false">SUMIFS(데이터_품목별!$H$3:$H$2984,데이터_품목별!$E$3:$E$2984,"91",데이터_품목별!$B$3:$B$2984,2026,데이터_품목별!$C$3:$C$2984,"&lt;=7")</f>
        <v>126024</v>
      </c>
      <c r="U99" s="36" t="n">
        <f aca="false">IFERROR(T99/S99-1,"-")</f>
        <v>-0.417537113383003</v>
      </c>
      <c r="V99" s="34" t="n">
        <f aca="false">(T99-S99)/(SUMIFS(데이터_총괄!$H$3:$H$33,데이터_총괄!$B$3:$B$33,2026,데이터_총괄!$C$3:$C$33,"&lt;=7")-SUMIFS(데이터_총괄!$H$3:$H$33,데이터_총괄!$B$3:$B$33,2025,데이터_총괄!$C$3:$C$33,"&lt;=7"))</f>
        <v>-0.000452437332596559</v>
      </c>
      <c r="W99" s="24" t="n">
        <f aca="false">SUMIFS(데이터_품목별!$G$3:$G$2984,데이터_품목별!$E$3:$E$2984,"91",데이터_품목별!$B$3:$B$2984,2026,데이터_품목별!$C$3:$C$2984,"&lt;=7")</f>
        <v>106.6</v>
      </c>
      <c r="X99" s="36" t="n">
        <f aca="false">IFERROR((T99/W99)/(S99/SUMIFS(데이터_품목별!$G$3:$G$2984,데이터_품목별!$E$3:$E$2984,"91",데이터_품목별!$B$3:$B$2984,2025,데이터_품목별!$C$3:$C$2984,"&lt;=7"))-1,"-")</f>
        <v>-0.360711465908174</v>
      </c>
      <c r="Y99" s="67" t="str">
        <f aca="false">IF(OR(W99&lt;100,SUMIFS(데이터_품목별!$G$3:$G$2984,데이터_품목별!$E$3:$E$2984,"91",데이터_품목별!$B$3:$B$2984,2025,데이터_품목별!$C$3:$C$2984,"&lt;=7")&lt;100),"단가 불안정",IF(T99-S99&lt;0,"감소",IF(X99&gt;0.05,"가격 주도",IF(X99&lt;0.02,"물량 주도","혼합"))))</f>
        <v>감소</v>
      </c>
      <c r="Z99" s="25" t="n">
        <f aca="false">SUMIFS(데이터_품목별!$J$3:$J$2984,데이터_품목별!$E$3:$E$2984,"91",데이터_품목별!$B$3:$B$2984,2026,데이터_품목별!$C$3:$C$2984,"&lt;=7")</f>
        <v>714714</v>
      </c>
      <c r="AA99" s="25" t="n">
        <f aca="false">T99-Z99</f>
        <v>-588690</v>
      </c>
      <c r="AB99" s="65" t="str">
        <f aca="false">IF(T99=0,"자료 없음",IF(U99&gt;1,"1~7월 2배 이상 급증. ",IF(U99&gt;0.5,"1~7월 +50% 초과 급증. ",IF(U99&gt;0.15,"1~7월 뚜렷한 증가. ",IF(U99&gt;0.02,"1~7월 소폭 증가. ",IF(U99&gt;-0.02,"1~7월 보합. ",IF(U99&gt;-0.15,"1~7월 소폭 감소. ","1~7월 뚜렷한 감소. "))))))&amp;"월별로는 "&amp;COUNTIF(E99:K99,"&gt;0")&amp;"개월 증가·"&amp;COUNTIF(E99:K99,"&lt;0")&amp;"개월 감소"&amp;IF(COUNTIF(E99:K99,"&gt;0")=7," (7개월 내내 증가)",IF(COUNTIF(E99:K99,"&lt;0")=7," (7개월 내내 감소)",""))&amp;IFERROR(", 최대 "&amp;TEXT(MAX(E99:K99),"0.0%")&amp;"("&amp;SUBSTITUTE(INDEX($E$5:$K$5,MATCH(MAX(E99:K99),E99:K99,0))," YoY","")&amp;")","")&amp;IFERROR(", 최소 "&amp;TEXT(MIN(E99:K99),"0.0%")&amp;"("&amp;SUBSTITUTE(INDEX($E$5:$K$5,MATCH(MIN(E99:K99),E99:K99,0))," YoY","")&amp;")","")&amp;". "&amp;IF(Y99="가격 주도","단가 상승이 주도. ",IF(Y99="물량 주도","물량 확대가 주도. ",IF(Y99="혼합","물량·단가 동반. ",IF(Y99="감소","감소 품목. ","단가 해석 유보. "))))&amp;IF(V99&gt;0.05,"전체 증가의 5% 이상을 설명하는 대형 품목.",IF(V99&gt;0.005,"전체 증가에 의미 있게 기여.",IF(T99/SUMIFS(데이터_총괄!$H$3:$H$33,데이터_총괄!$B$3:$B$33,2026,데이터_총괄!$C$3:$C$33,"&lt;=7")&lt;0.001,"규모가 작아 총량 영향은 미미.","총량 영향은 제한적."))))</f>
        <v>1~7월 뚜렷한 감소. 월별로는 1개월 증가·6개월 감소, 최대 34.3%(2026.01), 최소 -82.3%(2026.06). 감소 품목. 규모가 작아 총량 영향은 미미.</v>
      </c>
    </row>
    <row r="100" customFormat="false" ht="33.75" hidden="false" customHeight="true" outlineLevel="0" collapsed="false">
      <c r="A100" s="67" t="s">
        <v>19824</v>
      </c>
      <c r="B100" s="68" t="s">
        <v>827</v>
      </c>
      <c r="C100" s="65" t="str">
        <f aca="false">IFERROR(INDEX(데이터_품목별!$F$3:$F$2984,MATCH($B100,데이터_품목별!$E$3:$E$2984,0)),"")</f>
        <v>유리와 유리제품</v>
      </c>
      <c r="D100" s="69" t="s">
        <v>20075</v>
      </c>
      <c r="E100" s="59" t="n">
        <f aca="false">IFERROR(분석4B_월별매트릭스!AA75/분석4B_월별매트릭스!O75-1,"-")</f>
        <v>-0.119103449996258</v>
      </c>
      <c r="F100" s="59" t="n">
        <f aca="false">IFERROR(분석4B_월별매트릭스!AB75/분석4B_월별매트릭스!P75-1,"-")</f>
        <v>-0.238445660953065</v>
      </c>
      <c r="G100" s="59" t="n">
        <f aca="false">IFERROR(분석4B_월별매트릭스!AC75/분석4B_월별매트릭스!Q75-1,"-")</f>
        <v>-0.0569879370482841</v>
      </c>
      <c r="H100" s="59" t="n">
        <f aca="false">IFERROR(분석4B_월별매트릭스!AD75/분석4B_월별매트릭스!R75-1,"-")</f>
        <v>-0.128931159316683</v>
      </c>
      <c r="I100" s="59" t="n">
        <f aca="false">IFERROR(분석4B_월별매트릭스!AE75/분석4B_월별매트릭스!S75-1,"-")</f>
        <v>-0.13507926818212</v>
      </c>
      <c r="J100" s="59" t="n">
        <f aca="false">IFERROR(분석4B_월별매트릭스!AF75/분석4B_월별매트릭스!T75-1,"-")</f>
        <v>-0.0325460137440531</v>
      </c>
      <c r="K100" s="59" t="n">
        <f aca="false">IFERROR(분석4B_월별매트릭스!AG75/분석4B_월별매트릭스!U75-1,"-")</f>
        <v>-0.0971243799125648</v>
      </c>
      <c r="L100" s="57" t="n">
        <f aca="false">분석4B_월별매트릭스!AA75-분석4B_월별매트릭스!O75</f>
        <v>-19098</v>
      </c>
      <c r="M100" s="57" t="n">
        <f aca="false">분석4B_월별매트릭스!AB75-분석4B_월별매트릭스!P75</f>
        <v>-39855</v>
      </c>
      <c r="N100" s="57" t="n">
        <f aca="false">분석4B_월별매트릭스!AC75-분석4B_월별매트릭스!Q75</f>
        <v>-8839</v>
      </c>
      <c r="O100" s="57" t="n">
        <f aca="false">분석4B_월별매트릭스!AD75-분석4B_월별매트릭스!R75</f>
        <v>-22544</v>
      </c>
      <c r="P100" s="57" t="n">
        <f aca="false">분석4B_월별매트릭스!AE75-분석4B_월별매트릭스!S75</f>
        <v>-22349</v>
      </c>
      <c r="Q100" s="57" t="n">
        <f aca="false">분석4B_월별매트릭스!AF75-분석4B_월별매트릭스!T75</f>
        <v>-5418</v>
      </c>
      <c r="R100" s="57" t="n">
        <f aca="false">분석4B_월별매트릭스!AG75-분석4B_월별매트릭스!U75</f>
        <v>-17151</v>
      </c>
      <c r="S100" s="25" t="n">
        <f aca="false">SUMIFS(데이터_품목별!$H$3:$H$2984,데이터_품목별!$E$3:$E$2984,"70",데이터_품목별!$B$3:$B$2984,2025,데이터_품목별!$C$3:$C$2984,"&lt;=7")</f>
        <v>1165960</v>
      </c>
      <c r="T100" s="25" t="n">
        <f aca="false">SUMIFS(데이터_품목별!$H$3:$H$2984,데이터_품목별!$E$3:$E$2984,"70",데이터_품목별!$B$3:$B$2984,2026,데이터_품목별!$C$3:$C$2984,"&lt;=7")</f>
        <v>1030706</v>
      </c>
      <c r="U100" s="36" t="n">
        <f aca="false">IFERROR(T100/S100-1,"-")</f>
        <v>-0.116002264228618</v>
      </c>
      <c r="V100" s="34" t="n">
        <f aca="false">(T100-S100)/(SUMIFS(데이터_총괄!$H$3:$H$33,데이터_총괄!$B$3:$B$33,2026,데이터_총괄!$C$3:$C$33,"&lt;=7")-SUMIFS(데이터_총괄!$H$3:$H$33,데이터_총괄!$B$3:$B$33,2025,데이터_총괄!$C$3:$C$33,"&lt;=7"))</f>
        <v>-0.000677373909486551</v>
      </c>
      <c r="W100" s="24" t="n">
        <f aca="false">SUMIFS(데이터_품목별!$G$3:$G$2984,데이터_품목별!$E$3:$E$2984,"70",데이터_품목별!$B$3:$B$2984,2026,데이터_품목별!$C$3:$C$2984,"&lt;=7")</f>
        <v>199608.9</v>
      </c>
      <c r="X100" s="36" t="n">
        <f aca="false">IFERROR((T100/W100)/(S100/SUMIFS(데이터_품목별!$G$3:$G$2984,데이터_품목별!$E$3:$E$2984,"70",데이터_품목별!$B$3:$B$2984,2025,데이터_품목별!$C$3:$C$2984,"&lt;=7"))-1,"-")</f>
        <v>-0.0715567867152009</v>
      </c>
      <c r="Y100" s="67" t="str">
        <f aca="false">IF(OR(W100&lt;100,SUMIFS(데이터_품목별!$G$3:$G$2984,데이터_품목별!$E$3:$E$2984,"70",데이터_품목별!$B$3:$B$2984,2025,데이터_품목별!$C$3:$C$2984,"&lt;=7")&lt;100),"단가 불안정",IF(T100-S100&lt;0,"감소",IF(X100&gt;0.05,"가격 주도",IF(X100&lt;0.02,"물량 주도","혼합"))))</f>
        <v>감소</v>
      </c>
      <c r="Z100" s="25" t="n">
        <f aca="false">SUMIFS(데이터_품목별!$J$3:$J$2984,데이터_품목별!$E$3:$E$2984,"70",데이터_품목별!$B$3:$B$2984,2026,데이터_품목별!$C$3:$C$2984,"&lt;=7")</f>
        <v>1739769</v>
      </c>
      <c r="AA100" s="25" t="n">
        <f aca="false">T100-Z100</f>
        <v>-709063</v>
      </c>
      <c r="AB100" s="65" t="str">
        <f aca="false">IF(T100=0,"자료 없음",IF(U100&gt;1,"1~7월 2배 이상 급증. ",IF(U100&gt;0.5,"1~7월 +50% 초과 급증. ",IF(U100&gt;0.15,"1~7월 뚜렷한 증가. ",IF(U100&gt;0.02,"1~7월 소폭 증가. ",IF(U100&gt;-0.02,"1~7월 보합. ",IF(U100&gt;-0.15,"1~7월 소폭 감소. ","1~7월 뚜렷한 감소. "))))))&amp;"월별로는 "&amp;COUNTIF(E100:K100,"&gt;0")&amp;"개월 증가·"&amp;COUNTIF(E100:K100,"&lt;0")&amp;"개월 감소"&amp;IF(COUNTIF(E100:K100,"&gt;0")=7," (7개월 내내 증가)",IF(COUNTIF(E100:K100,"&lt;0")=7," (7개월 내내 감소)",""))&amp;IFERROR(", 최대 "&amp;TEXT(MAX(E100:K100),"0.0%")&amp;"("&amp;SUBSTITUTE(INDEX($E$5:$K$5,MATCH(MAX(E100:K100),E100:K100,0))," YoY","")&amp;")","")&amp;IFERROR(", 최소 "&amp;TEXT(MIN(E100:K100),"0.0%")&amp;"("&amp;SUBSTITUTE(INDEX($E$5:$K$5,MATCH(MIN(E100:K100),E100:K100,0))," YoY","")&amp;")","")&amp;". "&amp;IF(Y100="가격 주도","단가 상승이 주도. ",IF(Y100="물량 주도","물량 확대가 주도. ",IF(Y100="혼합","물량·단가 동반. ",IF(Y100="감소","감소 품목. ","단가 해석 유보. "))))&amp;IF(V100&gt;0.05,"전체 증가의 5% 이상을 설명하는 대형 품목.",IF(V100&gt;0.005,"전체 증가에 의미 있게 기여.",IF(T100/SUMIFS(데이터_총괄!$H$3:$H$33,데이터_총괄!$B$3:$B$33,2026,데이터_총괄!$C$3:$C$33,"&lt;=7")&lt;0.001,"규모가 작아 총량 영향은 미미.","총량 영향은 제한적."))))</f>
        <v>1~7월 소폭 감소. 월별로는 0개월 증가·7개월 감소 (7개월 내내 감소), 최대 -3.3%(2026.06), 최소 -23.8%(2026.02). 감소 품목. 총량 영향은 제한적.</v>
      </c>
    </row>
    <row r="101" customFormat="false" ht="33.75" hidden="false" customHeight="true" outlineLevel="0" collapsed="false">
      <c r="A101" s="67" t="s">
        <v>19828</v>
      </c>
      <c r="B101" s="68" t="s">
        <v>848</v>
      </c>
      <c r="C101" s="65" t="str">
        <f aca="false">IFERROR(INDEX(데이터_품목별!$F$3:$F$2984,MATCH($B101,데이터_품목별!$E$3:$E$2984,0)),"")</f>
        <v>철강의 제품</v>
      </c>
      <c r="D101" s="69" t="s">
        <v>20076</v>
      </c>
      <c r="E101" s="59" t="n">
        <f aca="false">IFERROR(분석4B_월별매트릭스!AA78/분석4B_월별매트릭스!O78-1,"-")</f>
        <v>-0.00749735585998934</v>
      </c>
      <c r="F101" s="59" t="n">
        <f aca="false">IFERROR(분석4B_월별매트릭스!AB78/분석4B_월별매트릭스!P78-1,"-")</f>
        <v>-0.235379379799308</v>
      </c>
      <c r="G101" s="59" t="n">
        <f aca="false">IFERROR(분석4B_월별매트릭스!AC78/분석4B_월별매트릭스!Q78-1,"-")</f>
        <v>-0.169396836851284</v>
      </c>
      <c r="H101" s="59" t="n">
        <f aca="false">IFERROR(분석4B_월별매트릭스!AD78/분석4B_월별매트릭스!R78-1,"-")</f>
        <v>-0.168645675576672</v>
      </c>
      <c r="I101" s="59" t="n">
        <f aca="false">IFERROR(분석4B_월별매트릭스!AE78/분석4B_월별매트릭스!S78-1,"-")</f>
        <v>-0.0370455102319845</v>
      </c>
      <c r="J101" s="59" t="n">
        <f aca="false">IFERROR(분석4B_월별매트릭스!AF78/분석4B_월별매트릭스!T78-1,"-")</f>
        <v>0.158458809928986</v>
      </c>
      <c r="K101" s="59" t="n">
        <f aca="false">IFERROR(분석4B_월별매트릭스!AG78/분석4B_월별매트릭스!U78-1,"-")</f>
        <v>0.212135983374797</v>
      </c>
      <c r="L101" s="57" t="n">
        <f aca="false">분석4B_월별매트릭스!AA78-분석4B_월별매트릭스!O78</f>
        <v>-5997</v>
      </c>
      <c r="M101" s="57" t="n">
        <f aca="false">분석4B_월별매트릭스!AB78-분석4B_월별매트릭스!P78</f>
        <v>-175058</v>
      </c>
      <c r="N101" s="57" t="n">
        <f aca="false">분석4B_월별매트릭스!AC78-분석4B_월별매트릭스!Q78</f>
        <v>-140845</v>
      </c>
      <c r="O101" s="57" t="n">
        <f aca="false">분석4B_월별매트릭스!AD78-분석4B_월별매트릭스!R78</f>
        <v>-154229</v>
      </c>
      <c r="P101" s="57" t="n">
        <f aca="false">분석4B_월별매트릭스!AE78-분석4B_월별매트릭스!S78</f>
        <v>-27366</v>
      </c>
      <c r="Q101" s="57" t="n">
        <f aca="false">분석4B_월별매트릭스!AF78-분석4B_월별매트릭스!T78</f>
        <v>110342</v>
      </c>
      <c r="R101" s="57" t="n">
        <f aca="false">분석4B_월별매트릭스!AG78-분석4B_월별매트릭스!U78</f>
        <v>163633</v>
      </c>
      <c r="S101" s="25" t="n">
        <f aca="false">SUMIFS(데이터_품목별!$H$3:$H$2984,데이터_품목별!$E$3:$E$2984,"73",데이터_품목별!$B$3:$B$2984,2025,데이터_품목별!$C$3:$C$2984,"&lt;=7")</f>
        <v>5495991</v>
      </c>
      <c r="T101" s="25" t="n">
        <f aca="false">SUMIFS(데이터_품목별!$H$3:$H$2984,데이터_품목별!$E$3:$E$2984,"73",데이터_품목별!$B$3:$B$2984,2026,데이터_품목별!$C$3:$C$2984,"&lt;=7")</f>
        <v>5266471</v>
      </c>
      <c r="U101" s="36" t="n">
        <f aca="false">IFERROR(T101/S101-1,"-")</f>
        <v>-0.0417613493180756</v>
      </c>
      <c r="V101" s="34" t="n">
        <f aca="false">(T101-S101)/(SUMIFS(데이터_총괄!$H$3:$H$33,데이터_총괄!$B$3:$B$33,2026,데이터_총괄!$C$3:$C$33,"&lt;=7")-SUMIFS(데이터_총괄!$H$3:$H$33,데이터_총괄!$B$3:$B$33,2025,데이터_총괄!$C$3:$C$33,"&lt;=7"))</f>
        <v>-0.00114947328511802</v>
      </c>
      <c r="W101" s="24" t="n">
        <f aca="false">SUMIFS(데이터_품목별!$G$3:$G$2984,데이터_품목별!$E$3:$E$2984,"73",데이터_품목별!$B$3:$B$2984,2026,데이터_품목별!$C$3:$C$2984,"&lt;=7")</f>
        <v>2269957.1</v>
      </c>
      <c r="X101" s="36" t="n">
        <f aca="false">IFERROR((T101/W101)/(S101/SUMIFS(데이터_품목별!$G$3:$G$2984,데이터_품목별!$E$3:$E$2984,"73",데이터_품목별!$B$3:$B$2984,2025,데이터_품목별!$C$3:$C$2984,"&lt;=7"))-1,"-")</f>
        <v>-0.147598064604774</v>
      </c>
      <c r="Y101" s="67" t="str">
        <f aca="false">IF(OR(W101&lt;100,SUMIFS(데이터_품목별!$G$3:$G$2984,데이터_품목별!$E$3:$E$2984,"73",데이터_품목별!$B$3:$B$2984,2025,데이터_품목별!$C$3:$C$2984,"&lt;=7")&lt;100),"단가 불안정",IF(T101-S101&lt;0,"감소",IF(X101&gt;0.05,"가격 주도",IF(X101&lt;0.02,"물량 주도","혼합"))))</f>
        <v>감소</v>
      </c>
      <c r="Z101" s="25" t="n">
        <f aca="false">SUMIFS(데이터_품목별!$J$3:$J$2984,데이터_품목별!$E$3:$E$2984,"73",데이터_품목별!$B$3:$B$2984,2026,데이터_품목별!$C$3:$C$2984,"&lt;=7")</f>
        <v>4498008</v>
      </c>
      <c r="AA101" s="25" t="n">
        <f aca="false">T101-Z101</f>
        <v>768463</v>
      </c>
      <c r="AB101" s="65" t="str">
        <f aca="false">IF(T101=0,"자료 없음",IF(U101&gt;1,"1~7월 2배 이상 급증. ",IF(U101&gt;0.5,"1~7월 +50% 초과 급증. ",IF(U101&gt;0.15,"1~7월 뚜렷한 증가. ",IF(U101&gt;0.02,"1~7월 소폭 증가. ",IF(U101&gt;-0.02,"1~7월 보합. ",IF(U101&gt;-0.15,"1~7월 소폭 감소. ","1~7월 뚜렷한 감소. "))))))&amp;"월별로는 "&amp;COUNTIF(E101:K101,"&gt;0")&amp;"개월 증가·"&amp;COUNTIF(E101:K101,"&lt;0")&amp;"개월 감소"&amp;IF(COUNTIF(E101:K101,"&gt;0")=7," (7개월 내내 증가)",IF(COUNTIF(E101:K101,"&lt;0")=7," (7개월 내내 감소)",""))&amp;IFERROR(", 최대 "&amp;TEXT(MAX(E101:K101),"0.0%")&amp;"("&amp;SUBSTITUTE(INDEX($E$5:$K$5,MATCH(MAX(E101:K101),E101:K101,0))," YoY","")&amp;")","")&amp;IFERROR(", 최소 "&amp;TEXT(MIN(E101:K101),"0.0%")&amp;"("&amp;SUBSTITUTE(INDEX($E$5:$K$5,MATCH(MIN(E101:K101),E101:K101,0))," YoY","")&amp;")","")&amp;". "&amp;IF(Y101="가격 주도","단가 상승이 주도. ",IF(Y101="물량 주도","물량 확대가 주도. ",IF(Y101="혼합","물량·단가 동반. ",IF(Y101="감소","감소 품목. ","단가 해석 유보. "))))&amp;IF(V101&gt;0.05,"전체 증가의 5% 이상을 설명하는 대형 품목.",IF(V101&gt;0.005,"전체 증가에 의미 있게 기여.",IF(T101/SUMIFS(데이터_총괄!$H$3:$H$33,데이터_총괄!$B$3:$B$33,2026,데이터_총괄!$C$3:$C$33,"&lt;=7")&lt;0.001,"규모가 작아 총량 영향은 미미.","총량 영향은 제한적."))))</f>
        <v>1~7월 소폭 감소. 월별로는 2개월 증가·5개월 감소, 최대 21.2%(2026.07), 최소 -23.5%(2026.02). 감소 품목. 총량 영향은 제한적.</v>
      </c>
    </row>
    <row r="102" customFormat="false" ht="33.75" hidden="false" customHeight="true" outlineLevel="0" collapsed="false">
      <c r="A102" s="67" t="s">
        <v>19832</v>
      </c>
      <c r="B102" s="68" t="s">
        <v>939</v>
      </c>
      <c r="C102" s="65" t="str">
        <f aca="false">IFERROR(INDEX(데이터_품목별!$F$3:$F$2984,MATCH($B102,데이터_품목별!$E$3:$E$2984,0)),"")</f>
        <v>철도용이나 궤도용 외의 차량과 그 부분품ㆍ부속품</v>
      </c>
      <c r="D102" s="69" t="s">
        <v>20077</v>
      </c>
      <c r="E102" s="59" t="n">
        <f aca="false">IFERROR(분석4B_월별매트릭스!AA91/분석4B_월별매트릭스!O91-1,"-")</f>
        <v>0.15542696465098</v>
      </c>
      <c r="F102" s="59" t="n">
        <f aca="false">IFERROR(분석4B_월별매트릭스!AB91/분석4B_월별매트릭스!P91-1,"-")</f>
        <v>-0.203135453941464</v>
      </c>
      <c r="G102" s="59" t="n">
        <f aca="false">IFERROR(분석4B_월별매트릭스!AC91/분석4B_월별매트릭스!Q91-1,"-")</f>
        <v>-0.00826362279795412</v>
      </c>
      <c r="H102" s="59" t="n">
        <f aca="false">IFERROR(분석4B_월별매트릭스!AD91/분석4B_월별매트릭스!R91-1,"-")</f>
        <v>-0.0750928051242432</v>
      </c>
      <c r="I102" s="59" t="n">
        <f aca="false">IFERROR(분석4B_월별매트릭스!AE91/분석4B_월별매트릭스!S91-1,"-")</f>
        <v>-0.0588384819652901</v>
      </c>
      <c r="J102" s="59" t="n">
        <f aca="false">IFERROR(분석4B_월별매트릭스!AF91/분석4B_월별매트릭스!T91-1,"-")</f>
        <v>0.0627247660027805</v>
      </c>
      <c r="K102" s="59" t="n">
        <f aca="false">IFERROR(분석4B_월별매트릭스!AG91/분석4B_월별매트릭스!U91-1,"-")</f>
        <v>0.0828705317306895</v>
      </c>
      <c r="L102" s="57" t="n">
        <f aca="false">분석4B_월별매트릭스!AA91-분석4B_월별매트릭스!O91</f>
        <v>1017290</v>
      </c>
      <c r="M102" s="57" t="n">
        <f aca="false">분석4B_월별매트릭스!AB91-분석4B_월별매트릭스!P91</f>
        <v>-1568484</v>
      </c>
      <c r="N102" s="57" t="n">
        <f aca="false">분석4B_월별매트릭스!AC91-분석4B_월별매트릭스!Q91</f>
        <v>-66830</v>
      </c>
      <c r="O102" s="57" t="n">
        <f aca="false">분석4B_월별매트릭스!AD91-분석4B_월별매트릭스!R91</f>
        <v>-638112</v>
      </c>
      <c r="P102" s="57" t="n">
        <f aca="false">분석4B_월별매트릭스!AE91-분석4B_월별매트릭스!S91</f>
        <v>-451832</v>
      </c>
      <c r="Q102" s="57" t="n">
        <f aca="false">분석4B_월별매트릭스!AF91-분석4B_월별매트릭스!T91</f>
        <v>516239</v>
      </c>
      <c r="R102" s="57" t="n">
        <f aca="false">분석4B_월별매트릭스!AG91-분석4B_월별매트릭스!U91</f>
        <v>637926</v>
      </c>
      <c r="S102" s="25" t="n">
        <f aca="false">SUMIFS(데이터_품목별!$H$3:$H$2984,데이터_품목별!$E$3:$E$2984,"87",데이터_품목별!$B$3:$B$2984,2025,데이터_품목별!$C$3:$C$2984,"&lt;=7")</f>
        <v>54458680</v>
      </c>
      <c r="T102" s="25" t="n">
        <f aca="false">SUMIFS(데이터_품목별!$H$3:$H$2984,데이터_품목별!$E$3:$E$2984,"87",데이터_품목별!$B$3:$B$2984,2026,데이터_품목별!$C$3:$C$2984,"&lt;=7")</f>
        <v>53904877</v>
      </c>
      <c r="U102" s="36" t="n">
        <f aca="false">IFERROR(T102/S102-1,"-")</f>
        <v>-0.010169232893636</v>
      </c>
      <c r="V102" s="34" t="n">
        <f aca="false">(T102-S102)/(SUMIFS(데이터_총괄!$H$3:$H$33,데이터_총괄!$B$3:$B$33,2026,데이터_총괄!$C$3:$C$33,"&lt;=7")-SUMIFS(데이터_총괄!$H$3:$H$33,데이터_총괄!$B$3:$B$33,2025,데이터_총괄!$C$3:$C$33,"&lt;=7"))</f>
        <v>-0.00277353500225783</v>
      </c>
      <c r="W102" s="24" t="n">
        <f aca="false">SUMIFS(데이터_품목별!$G$3:$G$2984,데이터_품목별!$E$3:$E$2984,"87",데이터_품목별!$B$3:$B$2984,2026,데이터_품목별!$C$3:$C$2984,"&lt;=7")</f>
        <v>4996236.1</v>
      </c>
      <c r="X102" s="36" t="n">
        <f aca="false">IFERROR((T102/W102)/(S102/SUMIFS(데이터_품목별!$G$3:$G$2984,데이터_품목별!$E$3:$E$2984,"87",데이터_품목별!$B$3:$B$2984,2025,데이터_품목별!$C$3:$C$2984,"&lt;=7"))-1,"-")</f>
        <v>0.0118493005091791</v>
      </c>
      <c r="Y102" s="67" t="str">
        <f aca="false">IF(OR(W102&lt;100,SUMIFS(데이터_품목별!$G$3:$G$2984,데이터_품목별!$E$3:$E$2984,"87",데이터_품목별!$B$3:$B$2984,2025,데이터_품목별!$C$3:$C$2984,"&lt;=7")&lt;100),"단가 불안정",IF(T102-S102&lt;0,"감소",IF(X102&gt;0.05,"가격 주도",IF(X102&lt;0.02,"물량 주도","혼합"))))</f>
        <v>감소</v>
      </c>
      <c r="Z102" s="25" t="n">
        <f aca="false">SUMIFS(데이터_품목별!$J$3:$J$2984,데이터_품목별!$E$3:$E$2984,"87",데이터_품목별!$B$3:$B$2984,2026,데이터_품목별!$C$3:$C$2984,"&lt;=7")</f>
        <v>12779650</v>
      </c>
      <c r="AA102" s="25" t="n">
        <f aca="false">T102-Z102</f>
        <v>41125227</v>
      </c>
      <c r="AB102" s="65" t="str">
        <f aca="false">IF(T102=0,"자료 없음",IF(U102&gt;1,"1~7월 2배 이상 급증. ",IF(U102&gt;0.5,"1~7월 +50% 초과 급증. ",IF(U102&gt;0.15,"1~7월 뚜렷한 증가. ",IF(U102&gt;0.02,"1~7월 소폭 증가. ",IF(U102&gt;-0.02,"1~7월 보합. ",IF(U102&gt;-0.15,"1~7월 소폭 감소. ","1~7월 뚜렷한 감소. "))))))&amp;"월별로는 "&amp;COUNTIF(E102:K102,"&gt;0")&amp;"개월 증가·"&amp;COUNTIF(E102:K102,"&lt;0")&amp;"개월 감소"&amp;IF(COUNTIF(E102:K102,"&gt;0")=7," (7개월 내내 증가)",IF(COUNTIF(E102:K102,"&lt;0")=7," (7개월 내내 감소)",""))&amp;IFERROR(", 최대 "&amp;TEXT(MAX(E102:K102),"0.0%")&amp;"("&amp;SUBSTITUTE(INDEX($E$5:$K$5,MATCH(MAX(E102:K102),E102:K102,0))," YoY","")&amp;")","")&amp;IFERROR(", 최소 "&amp;TEXT(MIN(E102:K102),"0.0%")&amp;"("&amp;SUBSTITUTE(INDEX($E$5:$K$5,MATCH(MIN(E102:K102),E102:K102,0))," YoY","")&amp;")","")&amp;". "&amp;IF(Y102="가격 주도","단가 상승이 주도. ",IF(Y102="물량 주도","물량 확대가 주도. ",IF(Y102="혼합","물량·단가 동반. ",IF(Y102="감소","감소 품목. ","단가 해석 유보. "))))&amp;IF(V102&gt;0.05,"전체 증가의 5% 이상을 설명하는 대형 품목.",IF(V102&gt;0.005,"전체 증가에 의미 있게 기여.",IF(T102/SUMIFS(데이터_총괄!$H$3:$H$33,데이터_총괄!$B$3:$B$33,2026,데이터_총괄!$C$3:$C$33,"&lt;=7")&lt;0.001,"규모가 작아 총량 영향은 미미.","총량 영향은 제한적."))))</f>
        <v>1~7월 보합. 월별로는 3개월 증가·4개월 감소, 최대 15.5%(2026.01), 최소 -20.3%(2026.02). 감소 품목. 총량 영향은 제한적.</v>
      </c>
    </row>
    <row r="103" customFormat="false" ht="15" hidden="false" customHeight="true" outlineLevel="0" collapsed="false">
      <c r="C103" s="6" t="s">
        <v>20078</v>
      </c>
      <c r="L103" s="30" t="n">
        <f aca="false">SUM(L6:L102)</f>
        <v>16670668</v>
      </c>
      <c r="M103" s="30" t="n">
        <f aca="false">SUM(M6:M102)</f>
        <v>15351026</v>
      </c>
      <c r="N103" s="30" t="n">
        <f aca="false">SUM(N6:N102)</f>
        <v>29253803</v>
      </c>
      <c r="O103" s="30" t="n">
        <f aca="false">SUM(O6:O102)</f>
        <v>27712981</v>
      </c>
      <c r="P103" s="30" t="n">
        <f aca="false">SUM(P6:P102)</f>
        <v>30323638</v>
      </c>
      <c r="Q103" s="30" t="n">
        <f aca="false">SUM(Q6:Q102)</f>
        <v>42116190</v>
      </c>
      <c r="R103" s="30" t="n">
        <f aca="false">SUM(R6:R102)</f>
        <v>38228521</v>
      </c>
      <c r="S103" s="30" t="n">
        <f aca="false">SUM(S6:S102)</f>
        <v>395203591</v>
      </c>
      <c r="T103" s="30" t="n">
        <f aca="false">SUM(T6:T102)</f>
        <v>594860418</v>
      </c>
      <c r="U103" s="41" t="n">
        <f aca="false">T103/S103-1</f>
        <v>0.505199931242528</v>
      </c>
      <c r="V103" s="70" t="n">
        <f aca="false">(T103-S103)/(SUMIFS(데이터_총괄!$H$3:$H$33,데이터_총괄!$B$3:$B$33,2026,데이터_총괄!$C$3:$C$33,"&lt;=7")-SUMIFS(데이터_총괄!$H$3:$H$33,데이터_총괄!$B$3:$B$33,2025,데이터_총괄!$C$3:$C$33,"&lt;=7"))</f>
        <v>0.999913684332219</v>
      </c>
      <c r="W103" s="31" t="n">
        <f aca="false">SUM(W6:W102)</f>
        <v>109680433.6</v>
      </c>
      <c r="Z103" s="30" t="n">
        <f aca="false">SUM(Z6:Z102)</f>
        <v>427113281</v>
      </c>
      <c r="AA103" s="30" t="n">
        <f aca="false">SUM(AA6:AA102)</f>
        <v>167747137</v>
      </c>
    </row>
    <row r="105" customFormat="false" ht="14.25" hidden="false" customHeight="true" outlineLevel="0" collapsed="false">
      <c r="A105" s="23" t="s">
        <v>20079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customFormat="false" ht="15" hidden="false" customHeight="true" outlineLevel="0" collapsed="false">
      <c r="A106" s="5" t="s">
        <v>20080</v>
      </c>
      <c r="B106" s="5" t="s">
        <v>20081</v>
      </c>
      <c r="C106" s="44" t="s">
        <v>20082</v>
      </c>
      <c r="D106" s="44" t="s">
        <v>20083</v>
      </c>
      <c r="E106" s="5" t="s">
        <v>20084</v>
      </c>
    </row>
    <row r="107" customFormat="false" ht="15" hidden="false" customHeight="true" outlineLevel="0" collapsed="false">
      <c r="A107" s="6" t="s">
        <v>20085</v>
      </c>
      <c r="B107" s="25" t="n">
        <f aca="false">COUNTIF($Y$6:$Y$102,A107)</f>
        <v>38</v>
      </c>
      <c r="C107" s="25" t="n">
        <f aca="false">SUMIF($Y$6:$Y$102,A107,$T$6:$T$102)</f>
        <v>494005902</v>
      </c>
      <c r="D107" s="25" t="n">
        <f aca="false">SUMIF($Y$6:$Y$102,A107,$T$6:$T$102)-SUMIF($Y$6:$Y$102,A107,$S$6:$S$102)</f>
        <v>199448022</v>
      </c>
      <c r="E107" s="34" t="n">
        <f aca="false">D107/(SUMIFS(데이터_총괄!$H$3:$H$33,데이터_총괄!$B$3:$B$33,2026,데이터_총괄!$C$3:$C$33,"&lt;=7")-SUMIFS(데이터_총괄!$H$3:$H$33,데이터_총괄!$B$3:$B$33,2025,데이터_총괄!$C$3:$C$33,"&lt;=7"))</f>
        <v>0.998867955117776</v>
      </c>
    </row>
    <row r="108" customFormat="false" ht="15" hidden="false" customHeight="true" outlineLevel="0" collapsed="false">
      <c r="A108" s="6" t="s">
        <v>20086</v>
      </c>
      <c r="B108" s="25" t="n">
        <f aca="false">COUNTIF($Y$6:$Y$102,A108)</f>
        <v>11</v>
      </c>
      <c r="C108" s="25" t="n">
        <f aca="false">SUMIF($Y$6:$Y$102,A108,$T$6:$T$102)</f>
        <v>10124862</v>
      </c>
      <c r="D108" s="25" t="n">
        <f aca="false">SUMIF($Y$6:$Y$102,A108,$T$6:$T$102)-SUMIF($Y$6:$Y$102,A108,$S$6:$S$102)</f>
        <v>908433</v>
      </c>
      <c r="E108" s="34" t="n">
        <f aca="false">D108/(SUMIFS(데이터_총괄!$H$3:$H$33,데이터_총괄!$B$3:$B$33,2026,데이터_총괄!$C$3:$C$33,"&lt;=7")-SUMIFS(데이터_총괄!$H$3:$H$33,데이터_총괄!$B$3:$B$33,2025,데이터_총괄!$C$3:$C$33,"&lt;=7"))</f>
        <v>0.004549579404059</v>
      </c>
    </row>
    <row r="109" customFormat="false" ht="15" hidden="false" customHeight="true" outlineLevel="0" collapsed="false">
      <c r="A109" s="6" t="s">
        <v>20087</v>
      </c>
      <c r="B109" s="25" t="n">
        <f aca="false">COUNTIF($Y$6:$Y$102,A109)</f>
        <v>6</v>
      </c>
      <c r="C109" s="25" t="n">
        <f aca="false">SUMIF($Y$6:$Y$102,A109,$T$6:$T$102)</f>
        <v>7062997</v>
      </c>
      <c r="D109" s="25" t="n">
        <f aca="false">SUMIF($Y$6:$Y$102,A109,$T$6:$T$102)-SUMIF($Y$6:$Y$102,A109,$S$6:$S$102)</f>
        <v>912449</v>
      </c>
      <c r="E109" s="34" t="n">
        <f aca="false">D109/(SUMIFS(데이터_총괄!$H$3:$H$33,데이터_총괄!$B$3:$B$33,2026,데이터_총괄!$C$3:$C$33,"&lt;=7")-SUMIFS(데이터_총괄!$H$3:$H$33,데이터_총괄!$B$3:$B$33,2025,데이터_총괄!$C$3:$C$33,"&lt;=7"))</f>
        <v>0.00456969218165152</v>
      </c>
    </row>
    <row r="110" customFormat="false" ht="15" hidden="false" customHeight="true" outlineLevel="0" collapsed="false">
      <c r="A110" s="6" t="s">
        <v>20088</v>
      </c>
      <c r="B110" s="25" t="n">
        <f aca="false">COUNTIF($Y$6:$Y$102,A110)</f>
        <v>33</v>
      </c>
      <c r="C110" s="25" t="n">
        <f aca="false">SUMIF($Y$6:$Y$102,A110,$T$6:$T$102)</f>
        <v>83510612</v>
      </c>
      <c r="D110" s="25" t="n">
        <f aca="false">SUMIF($Y$6:$Y$102,A110,$T$6:$T$102)-SUMIF($Y$6:$Y$102,A110,$S$6:$S$102)</f>
        <v>-1564341</v>
      </c>
      <c r="E110" s="34" t="n">
        <f aca="false">D110/(SUMIFS(데이터_총괄!$H$3:$H$33,데이터_총괄!$B$3:$B$33,2026,데이터_총괄!$C$3:$C$33,"&lt;=7")-SUMIFS(데이터_총괄!$H$3:$H$33,데이터_총괄!$B$3:$B$33,2025,데이터_총괄!$C$3:$C$33,"&lt;=7"))</f>
        <v>-0.00783447276191537</v>
      </c>
    </row>
    <row r="111" customFormat="false" ht="15" hidden="false" customHeight="true" outlineLevel="0" collapsed="false">
      <c r="A111" s="6" t="s">
        <v>20089</v>
      </c>
      <c r="B111" s="25" t="n">
        <f aca="false">COUNTIF($Y$6:$Y$102,A111)</f>
        <v>9</v>
      </c>
      <c r="C111" s="25" t="n">
        <f aca="false">SUMIF($Y$6:$Y$102,A111,$T$6:$T$102)</f>
        <v>156045</v>
      </c>
      <c r="D111" s="25" t="n">
        <f aca="false">SUMIF($Y$6:$Y$102,A111,$T$6:$T$102)-SUMIF($Y$6:$Y$102,A111,$S$6:$S$102)</f>
        <v>-47736</v>
      </c>
      <c r="E111" s="34" t="n">
        <f aca="false">D111/(SUMIFS(데이터_총괄!$H$3:$H$33,데이터_총괄!$B$3:$B$33,2026,데이터_총괄!$C$3:$C$33,"&lt;=7")-SUMIFS(데이터_총괄!$H$3:$H$33,데이터_총괄!$B$3:$B$33,2025,데이터_총괄!$C$3:$C$33,"&lt;=7"))</f>
        <v>-0.000239069609351664</v>
      </c>
    </row>
    <row r="113" customFormat="false" ht="14.25" hidden="false" customHeight="true" outlineLevel="0" collapsed="false">
      <c r="A113" s="23" t="s">
        <v>20090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customFormat="false" ht="15" hidden="false" customHeight="true" outlineLevel="0" collapsed="false">
      <c r="A114" s="5" t="s">
        <v>19674</v>
      </c>
      <c r="B114" s="44" t="s">
        <v>276</v>
      </c>
      <c r="C114" s="44" t="s">
        <v>284</v>
      </c>
      <c r="D114" s="44" t="s">
        <v>293</v>
      </c>
      <c r="E114" s="44" t="s">
        <v>301</v>
      </c>
      <c r="F114" s="44" t="s">
        <v>309</v>
      </c>
      <c r="G114" s="44" t="s">
        <v>317</v>
      </c>
      <c r="H114" s="44" t="s">
        <v>325</v>
      </c>
    </row>
    <row r="115" customFormat="false" ht="15" hidden="false" customHeight="true" outlineLevel="0" collapsed="false">
      <c r="A115" s="6" t="s">
        <v>20091</v>
      </c>
      <c r="B115" s="25" t="n">
        <f aca="false">COUNTIF(E$6:E$102,"&gt;0")</f>
        <v>75</v>
      </c>
      <c r="C115" s="25" t="n">
        <f aca="false">COUNTIF(F$6:F$102,"&gt;0")</f>
        <v>34</v>
      </c>
      <c r="D115" s="25" t="n">
        <f aca="false">COUNTIF(G$6:G$102,"&gt;0")</f>
        <v>63</v>
      </c>
      <c r="E115" s="25" t="n">
        <f aca="false">COUNTIF(H$6:H$102,"&gt;0")</f>
        <v>59</v>
      </c>
      <c r="F115" s="25" t="n">
        <f aca="false">COUNTIF(I$6:I$102,"&gt;0")</f>
        <v>51</v>
      </c>
      <c r="G115" s="25" t="n">
        <f aca="false">COUNTIF(J$6:J$102,"&gt;0")</f>
        <v>76</v>
      </c>
      <c r="H115" s="25" t="n">
        <f aca="false">COUNTIF(K$6:K$102,"&gt;0")</f>
        <v>64</v>
      </c>
    </row>
    <row r="116" customFormat="false" ht="15" hidden="false" customHeight="true" outlineLevel="0" collapsed="false">
      <c r="A116" s="6" t="s">
        <v>20092</v>
      </c>
      <c r="B116" s="25" t="n">
        <f aca="false">COUNTIF(E$6:E$102,"&lt;0")</f>
        <v>21</v>
      </c>
      <c r="C116" s="25" t="n">
        <f aca="false">COUNTIF(F$6:F$102,"&lt;0")</f>
        <v>62</v>
      </c>
      <c r="D116" s="25" t="n">
        <f aca="false">COUNTIF(G$6:G$102,"&lt;0")</f>
        <v>33</v>
      </c>
      <c r="E116" s="25" t="n">
        <f aca="false">COUNTIF(H$6:H$102,"&lt;0")</f>
        <v>37</v>
      </c>
      <c r="F116" s="25" t="n">
        <f aca="false">COUNTIF(I$6:I$102,"&lt;0")</f>
        <v>45</v>
      </c>
      <c r="G116" s="25" t="n">
        <f aca="false">COUNTIF(J$6:J$102,"&lt;0")</f>
        <v>20</v>
      </c>
      <c r="H116" s="25" t="n">
        <f aca="false">COUNTIF(K$6:K$102,"&lt;0")</f>
        <v>30</v>
      </c>
    </row>
    <row r="117" customFormat="false" ht="15" hidden="false" customHeight="true" outlineLevel="0" collapsed="false">
      <c r="A117" s="6" t="s">
        <v>20093</v>
      </c>
      <c r="B117" s="34" t="n">
        <f aca="false">B115/(B115+B116)</f>
        <v>0.78125</v>
      </c>
      <c r="C117" s="34" t="n">
        <f aca="false">C115/(C115+C116)</f>
        <v>0.354166666666667</v>
      </c>
      <c r="D117" s="34" t="n">
        <f aca="false">D115/(D115+D116)</f>
        <v>0.65625</v>
      </c>
      <c r="E117" s="34" t="n">
        <f aca="false">E115/(E115+E116)</f>
        <v>0.614583333333333</v>
      </c>
      <c r="F117" s="34" t="n">
        <f aca="false">F115/(F115+F116)</f>
        <v>0.53125</v>
      </c>
      <c r="G117" s="34" t="n">
        <f aca="false">G115/(G115+G116)</f>
        <v>0.791666666666667</v>
      </c>
      <c r="H117" s="34" t="n">
        <f aca="false">H115/(H115+H116)</f>
        <v>0.680851063829787</v>
      </c>
    </row>
    <row r="118" customFormat="false" ht="15" hidden="false" customHeight="true" outlineLevel="0" collapsed="false">
      <c r="A118" s="6" t="s">
        <v>20094</v>
      </c>
      <c r="B118" s="34" t="n">
        <f aca="false">IFERROR(SUMIF(L$6:L$102,"&gt;0")/(SUMIF(L$6:L$102,"&gt;0")-SUMIF(L$6:L$102,"&lt;0")),"-")</f>
        <v>0.988147995622246</v>
      </c>
      <c r="C118" s="34" t="n">
        <f aca="false">IFERROR(SUMIF(M$6:M$102,"&gt;0")/(SUMIF(M$6:M$102,"&gt;0")-SUMIF(M$6:M$102,"&lt;0")),"-")</f>
        <v>0.853162110313384</v>
      </c>
      <c r="D118" s="34" t="n">
        <f aca="false">IFERROR(SUMIF(N$6:N$102,"&gt;0")/(SUMIF(N$6:N$102,"&gt;0")-SUMIF(N$6:N$102,"&lt;0")),"-")</f>
        <v>0.987337145185967</v>
      </c>
      <c r="E118" s="34" t="n">
        <f aca="false">IFERROR(SUMIF(O$6:O$102,"&gt;0")/(SUMIF(O$6:O$102,"&gt;0")-SUMIF(O$6:O$102,"&lt;0")),"-")</f>
        <v>0.95824808592456</v>
      </c>
      <c r="F118" s="34" t="n">
        <f aca="false">IFERROR(SUMIF(P$6:P$102,"&gt;0")/(SUMIF(P$6:P$102,"&gt;0")-SUMIF(P$6:P$102,"&lt;0")),"-")</f>
        <v>0.96527449466849</v>
      </c>
      <c r="G118" s="34" t="n">
        <f aca="false">IFERROR(SUMIF(Q$6:Q$102,"&gt;0")/(SUMIF(Q$6:Q$102,"&gt;0")-SUMIF(Q$6:Q$102,"&lt;0")),"-")</f>
        <v>0.992986019093816</v>
      </c>
      <c r="H118" s="34" t="n">
        <f aca="false">IFERROR(SUMIF(R$6:R$102,"&gt;0")/(SUMIF(R$6:R$102,"&gt;0")-SUMIF(R$6:R$102,"&lt;0")),"-")</f>
        <v>0.995679370613512</v>
      </c>
    </row>
    <row r="119" customFormat="false" ht="15" hidden="false" customHeight="true" outlineLevel="0" collapsed="false">
      <c r="A119" s="3" t="s">
        <v>20095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</sheetData>
  <mergeCells count="6">
    <mergeCell ref="A1:AG1"/>
    <mergeCell ref="A2:AG2"/>
    <mergeCell ref="A3:AG3"/>
    <mergeCell ref="A105:AG105"/>
    <mergeCell ref="A113:AG113"/>
    <mergeCell ref="A119:AG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9" min="3" style="1" width="11"/>
    <col collapsed="false" customWidth="true" hidden="false" outlineLevel="0" max="12" min="10" style="1" width="13"/>
    <col collapsed="false" customWidth="true" hidden="false" outlineLevel="0" max="15" min="13" style="1" width="10"/>
    <col collapsed="false" customWidth="true" hidden="false" outlineLevel="0" max="18" min="16" style="1" width="13"/>
    <col collapsed="false" customWidth="true" hidden="false" outlineLevel="0" max="19" min="19" style="1" width="10"/>
  </cols>
  <sheetData>
    <row r="1" customFormat="false" ht="21.75" hidden="false" customHeight="true" outlineLevel="0" collapsed="false">
      <c r="A1" s="2" t="s">
        <v>20096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true" outlineLevel="0" collapsed="false">
      <c r="A2" s="3" t="s">
        <v>20097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" hidden="false" customHeight="true" outlineLevel="0" collapsed="false">
      <c r="A3" s="62" t="s">
        <v>20098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</row>
    <row r="5" customFormat="false" ht="14.25" hidden="false" customHeight="true" outlineLevel="0" collapsed="false">
      <c r="A5" s="23" t="s">
        <v>20099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customFormat="false" ht="27.75" hidden="false" customHeight="true" outlineLevel="0" collapsed="false">
      <c r="A6" s="5" t="s">
        <v>19674</v>
      </c>
      <c r="B6" s="5" t="s">
        <v>19663</v>
      </c>
      <c r="C6" s="44" t="s">
        <v>19967</v>
      </c>
      <c r="D6" s="44" t="s">
        <v>19968</v>
      </c>
      <c r="E6" s="44" t="s">
        <v>19969</v>
      </c>
      <c r="F6" s="44" t="s">
        <v>19970</v>
      </c>
      <c r="G6" s="44" t="s">
        <v>19971</v>
      </c>
      <c r="H6" s="44" t="s">
        <v>19972</v>
      </c>
      <c r="I6" s="44" t="s">
        <v>19973</v>
      </c>
      <c r="J6" s="5" t="s">
        <v>19954</v>
      </c>
      <c r="K6" s="5" t="s">
        <v>19955</v>
      </c>
      <c r="L6" s="5" t="s">
        <v>19956</v>
      </c>
      <c r="M6" s="44" t="s">
        <v>19897</v>
      </c>
      <c r="N6" s="44" t="s">
        <v>19898</v>
      </c>
      <c r="O6" s="5" t="s">
        <v>19957</v>
      </c>
      <c r="P6" s="5" t="s">
        <v>19981</v>
      </c>
      <c r="Q6" s="5" t="s">
        <v>20100</v>
      </c>
      <c r="R6" s="5" t="s">
        <v>20101</v>
      </c>
      <c r="S6" s="5" t="s">
        <v>19982</v>
      </c>
    </row>
    <row r="7" customFormat="false" ht="15" hidden="false" customHeight="true" outlineLevel="0" collapsed="false">
      <c r="A7" s="71" t="s">
        <v>20102</v>
      </c>
      <c r="B7" s="72" t="s">
        <v>20103</v>
      </c>
      <c r="C7" s="59" t="n">
        <f aca="false">IFERROR(분석4B_월별매트릭스!AA231/분석4B_월별매트릭스!O231-1,"-")</f>
        <v>0.204682706204893</v>
      </c>
      <c r="D7" s="59" t="n">
        <f aca="false">IFERROR(분석4B_월별매트릭스!AB231/분석4B_월별매트릭스!P231-1,"-")</f>
        <v>-0.0727381195472435</v>
      </c>
      <c r="E7" s="59" t="n">
        <f aca="false">IFERROR(분석4B_월별매트릭스!AC231/분석4B_월별매트릭스!Q231-1,"-")</f>
        <v>0.16089454344775</v>
      </c>
      <c r="F7" s="59" t="n">
        <f aca="false">IFERROR(분석4B_월별매트릭스!AD231/분석4B_월별매트릭스!R231-1,"-")</f>
        <v>0.0769865909241032</v>
      </c>
      <c r="G7" s="59" t="n">
        <f aca="false">IFERROR(분석4B_월별매트릭스!AE231/분석4B_월별매트릭스!S231-1,"-")</f>
        <v>0.0297981077269918</v>
      </c>
      <c r="H7" s="59" t="n">
        <f aca="false">IFERROR(분석4B_월별매트릭스!AF231/분석4B_월별매트릭스!T231-1,"-")</f>
        <v>0.161084784965084</v>
      </c>
      <c r="I7" s="59" t="n">
        <f aca="false">IFERROR(분석4B_월별매트릭스!AG231/분석4B_월별매트릭스!U231-1,"-")</f>
        <v>0.0259473863895001</v>
      </c>
      <c r="J7" s="30" t="n">
        <f aca="false">SUMIFS(데이터_성질별수출!$G$3:$G$653,데이터_성질별수출!$E$3:$E$653,$B7,데이터_성질별수출!$B$3:$B$653,2024,데이터_성질별수출!$C$3:$C$653,"&lt;=7")</f>
        <v>6630080</v>
      </c>
      <c r="K7" s="30" t="n">
        <f aca="false">SUMIFS(데이터_성질별수출!$G$3:$G$653,데이터_성질별수출!$E$3:$E$653,$B7,데이터_성질별수출!$B$3:$B$653,2025,데이터_성질별수출!$C$3:$C$653,"&lt;=7")</f>
        <v>7049859</v>
      </c>
      <c r="L7" s="30" t="n">
        <f aca="false">SUMIFS(데이터_성질별수출!$G$3:$G$653,데이터_성질별수출!$E$3:$E$653,$B7,데이터_성질별수출!$B$3:$B$653,2026,데이터_성질별수출!$C$3:$C$653,"&lt;=7")</f>
        <v>7616565</v>
      </c>
      <c r="M7" s="36" t="n">
        <f aca="false">IFERROR(K7/J7-1,"-")</f>
        <v>0.0633143189825765</v>
      </c>
      <c r="N7" s="41" t="n">
        <f aca="false">IFERROR(L7/K7-1,"-")</f>
        <v>0.080385437495984</v>
      </c>
      <c r="O7" s="34" t="n">
        <f aca="false">IFERROR((L7-K7)/(SUMIFS(데이터_총괄!$H$3:$H$33,데이터_총괄!$B$3:$B$33,2026,데이터_총괄!$C$3:$C$33,"&lt;=7")-SUMIFS(데이터_총괄!$H$3:$H$33,데이터_총괄!$B$3:$B$33,2025,데이터_총괄!$C$3:$C$33,"&lt;=7")),"-")</f>
        <v>0.00283815531333259</v>
      </c>
      <c r="P7" s="24" t="n">
        <f aca="false">SUMIFS(데이터_성질별수출!$F$3:$F$653,데이터_성질별수출!$E$3:$E$653,$B7,데이터_성질별수출!$B$3:$B$653,2026,데이터_성질별수출!$C$3:$C$653,"&lt;=7")</f>
        <v>2538920.6</v>
      </c>
      <c r="Q7" s="37" t="n">
        <f aca="false">IFERROR(K7/SUMIFS(데이터_성질별수출!$F$3:$F$653,데이터_성질별수출!$E$3:$E$653,$B7,데이터_성질별수출!$B$3:$B$653,2025,데이터_성질별수출!$C$3:$C$653,"&lt;=7"),"-")</f>
        <v>2.88794985173461</v>
      </c>
      <c r="R7" s="37" t="n">
        <f aca="false">IFERROR(L7/P7,"-")</f>
        <v>2.99992248674496</v>
      </c>
      <c r="S7" s="36" t="n">
        <f aca="false">IFERROR(R7/Q7-1,"-")</f>
        <v>0.0387723612801301</v>
      </c>
    </row>
    <row r="8" customFormat="false" ht="15" hidden="false" customHeight="true" outlineLevel="0" collapsed="false">
      <c r="A8" s="71" t="s">
        <v>20102</v>
      </c>
      <c r="B8" s="72" t="s">
        <v>20104</v>
      </c>
      <c r="C8" s="59" t="n">
        <f aca="false">IFERROR(분석4B_월별매트릭스!AA232/분석4B_월별매트릭스!O232-1,"-")</f>
        <v>0.103650170566723</v>
      </c>
      <c r="D8" s="59" t="n">
        <f aca="false">IFERROR(분석4B_월별매트릭스!AB232/분석4B_월별매트릭스!P232-1,"-")</f>
        <v>0.0598530144628575</v>
      </c>
      <c r="E8" s="59" t="n">
        <f aca="false">IFERROR(분석4B_월별매트릭스!AC232/분석4B_월별매트릭스!Q232-1,"-")</f>
        <v>0.783805575965815</v>
      </c>
      <c r="F8" s="59" t="n">
        <f aca="false">IFERROR(분석4B_월별매트릭스!AD232/분석4B_월별매트릭스!R232-1,"-")</f>
        <v>0.397101543928056</v>
      </c>
      <c r="G8" s="59" t="n">
        <f aca="false">IFERROR(분석4B_월별매트릭스!AE232/분석4B_월별매트릭스!S232-1,"-")</f>
        <v>0.451354612511489</v>
      </c>
      <c r="H8" s="59" t="n">
        <f aca="false">IFERROR(분석4B_월별매트릭스!AF232/분석4B_월별매트릭스!T232-1,"-")</f>
        <v>0.426086847684223</v>
      </c>
      <c r="I8" s="59" t="n">
        <f aca="false">IFERROR(분석4B_월별매트릭스!AG232/분석4B_월별매트릭스!U232-1,"-")</f>
        <v>0.316450936045899</v>
      </c>
      <c r="J8" s="30" t="n">
        <f aca="false">SUMIFS(데이터_성질별수출!$G$3:$G$653,데이터_성질별수출!$E$3:$E$653,$B8,데이터_성질별수출!$B$3:$B$653,2024,데이터_성질별수출!$C$3:$C$653,"&lt;=7")</f>
        <v>36844443</v>
      </c>
      <c r="K8" s="30" t="n">
        <f aca="false">SUMIFS(데이터_성질별수출!$G$3:$G$653,데이터_성질별수출!$E$3:$E$653,$B8,데이터_성질별수출!$B$3:$B$653,2025,데이터_성질별수출!$C$3:$C$653,"&lt;=7")</f>
        <v>31751422</v>
      </c>
      <c r="L8" s="30" t="n">
        <f aca="false">SUMIFS(데이터_성질별수출!$G$3:$G$653,데이터_성질별수출!$E$3:$E$653,$B8,데이터_성질별수출!$B$3:$B$653,2026,데이터_성질별수출!$C$3:$C$653,"&lt;=7")</f>
        <v>43087971</v>
      </c>
      <c r="M8" s="36" t="n">
        <f aca="false">IFERROR(K8/J8-1,"-")</f>
        <v>-0.138230370316631</v>
      </c>
      <c r="N8" s="41" t="n">
        <f aca="false">IFERROR(L8/K8-1,"-")</f>
        <v>0.357040670493435</v>
      </c>
      <c r="O8" s="34" t="n">
        <f aca="false">IFERROR((L8-K8)/(SUMIFS(데이터_총괄!$H$3:$H$33,데이터_총괄!$B$3:$B$33,2026,데이터_총괄!$C$3:$C$33,"&lt;=7")-SUMIFS(데이터_총괄!$H$3:$H$33,데이터_총괄!$B$3:$B$33,2025,데이터_총괄!$C$3:$C$33,"&lt;=7")),"-")</f>
        <v>0.0567752710915452</v>
      </c>
      <c r="P8" s="24" t="n">
        <f aca="false">SUMIFS(데이터_성질별수출!$F$3:$F$653,데이터_성질별수출!$E$3:$E$653,$B8,데이터_성질별수출!$B$3:$B$653,2026,데이터_성질별수출!$C$3:$C$653,"&lt;=7")</f>
        <v>40788335</v>
      </c>
      <c r="Q8" s="37" t="n">
        <f aca="false">IFERROR(K8/SUMIFS(데이터_성질별수출!$F$3:$F$653,데이터_성질별수출!$E$3:$E$653,$B8,데이터_성질별수출!$B$3:$B$653,2025,데이터_성질별수출!$C$3:$C$653,"&lt;=7"),"-")</f>
        <v>0.721468341137491</v>
      </c>
      <c r="R8" s="37" t="n">
        <f aca="false">IFERROR(L8/P8,"-")</f>
        <v>1.05637974680751</v>
      </c>
      <c r="S8" s="36" t="n">
        <f aca="false">IFERROR(R8/Q8-1,"-")</f>
        <v>0.464208041536498</v>
      </c>
    </row>
    <row r="9" customFormat="false" ht="15" hidden="false" customHeight="true" outlineLevel="0" collapsed="false">
      <c r="A9" s="71" t="s">
        <v>20102</v>
      </c>
      <c r="B9" s="72" t="s">
        <v>20105</v>
      </c>
      <c r="C9" s="59" t="n">
        <f aca="false">IFERROR(분석4B_월별매트릭스!AA233/분석4B_월별매트릭스!O233-1,"-")</f>
        <v>0.261127137473454</v>
      </c>
      <c r="D9" s="59" t="n">
        <f aca="false">IFERROR(분석4B_월별매트릭스!AB233/분석4B_월별매트릭스!P233-1,"-")</f>
        <v>0.0890968517288182</v>
      </c>
      <c r="E9" s="59" t="n">
        <f aca="false">IFERROR(분석4B_월별매트릭스!AC233/분석4B_월별매트릭스!Q233-1,"-")</f>
        <v>0.485812420740916</v>
      </c>
      <c r="F9" s="59" t="n">
        <f aca="false">IFERROR(분석4B_월별매트릭스!AD233/분석4B_월별매트릭스!R233-1,"-")</f>
        <v>0.237304334513419</v>
      </c>
      <c r="G9" s="59" t="n">
        <f aca="false">IFERROR(분석4B_월별매트릭스!AE233/분석4B_월별매트릭스!S233-1,"-")</f>
        <v>0.277131931986778</v>
      </c>
      <c r="H9" s="59" t="n">
        <f aca="false">IFERROR(분석4B_월별매트릭스!AF233/분석4B_월별매트릭스!T233-1,"-")</f>
        <v>0.370170550315903</v>
      </c>
      <c r="I9" s="59" t="n">
        <f aca="false">IFERROR(분석4B_월별매트릭스!AG233/분석4B_월별매트릭스!U233-1,"-")</f>
        <v>0.236025417759519</v>
      </c>
      <c r="J9" s="30" t="n">
        <f aca="false">SUMIFS(데이터_성질별수출!$G$3:$G$653,데이터_성질별수출!$E$3:$E$653,$B9,데이터_성질별수출!$B$3:$B$653,2024,데이터_성질별수출!$C$3:$C$653,"&lt;=7")</f>
        <v>20229215</v>
      </c>
      <c r="K9" s="30" t="n">
        <f aca="false">SUMIFS(데이터_성질별수출!$G$3:$G$653,데이터_성질별수출!$E$3:$E$653,$B9,데이터_성질별수출!$B$3:$B$653,2025,데이터_성질별수출!$C$3:$C$653,"&lt;=7")</f>
        <v>20252239</v>
      </c>
      <c r="L9" s="30" t="n">
        <f aca="false">SUMIFS(데이터_성질별수출!$G$3:$G$653,데이터_성질별수출!$E$3:$E$653,$B9,데이터_성질별수출!$B$3:$B$653,2026,데이터_성질별수출!$C$3:$C$653,"&lt;=7")</f>
        <v>25893137</v>
      </c>
      <c r="M9" s="36" t="n">
        <f aca="false">IFERROR(K9/J9-1,"-")</f>
        <v>0.00113815587999833</v>
      </c>
      <c r="N9" s="41" t="n">
        <f aca="false">IFERROR(L9/K9-1,"-")</f>
        <v>0.278532067491402</v>
      </c>
      <c r="O9" s="34" t="n">
        <f aca="false">IFERROR((L9-K9)/(SUMIFS(데이터_총괄!$H$3:$H$33,데이터_총괄!$B$3:$B$33,2026,데이터_총괄!$C$3:$C$33,"&lt;=7")-SUMIFS(데이터_총괄!$H$3:$H$33,데이터_총괄!$B$3:$B$33,2025,데이터_총괄!$C$3:$C$33,"&lt;=7")),"-")</f>
        <v>0.0282505296055929</v>
      </c>
      <c r="P9" s="24" t="n">
        <f aca="false">SUMIFS(데이터_성질별수출!$F$3:$F$653,데이터_성질별수출!$E$3:$E$653,$B9,데이터_성질별수출!$B$3:$B$653,2026,데이터_성질별수출!$C$3:$C$653,"&lt;=7")</f>
        <v>6107819.6</v>
      </c>
      <c r="Q9" s="37" t="n">
        <f aca="false">IFERROR(K9/SUMIFS(데이터_성질별수출!$F$3:$F$653,데이터_성질별수출!$E$3:$E$653,$B9,데이터_성질별수출!$B$3:$B$653,2025,데이터_성질별수출!$C$3:$C$653,"&lt;=7"),"-")</f>
        <v>2.90291382915516</v>
      </c>
      <c r="R9" s="37" t="n">
        <f aca="false">IFERROR(L9/P9,"-")</f>
        <v>4.23934213774094</v>
      </c>
      <c r="S9" s="36" t="n">
        <f aca="false">IFERROR(R9/Q9-1,"-")</f>
        <v>0.460374777633245</v>
      </c>
    </row>
    <row r="10" customFormat="false" ht="15" hidden="false" customHeight="true" outlineLevel="0" collapsed="false">
      <c r="A10" s="8" t="s">
        <v>20106</v>
      </c>
      <c r="B10" s="7" t="s">
        <v>15032</v>
      </c>
      <c r="C10" s="59" t="n">
        <f aca="false">IFERROR(분석4B_월별매트릭스!AA234/분석4B_월별매트릭스!O234-1,"-")</f>
        <v>0.0627240143369177</v>
      </c>
      <c r="D10" s="59" t="n">
        <f aca="false">IFERROR(분석4B_월별매트릭스!AB234/분석4B_월별매트릭스!P234-1,"-")</f>
        <v>-0.183130521753626</v>
      </c>
      <c r="E10" s="59" t="n">
        <f aca="false">IFERROR(분석4B_월별매트릭스!AC234/분석4B_월별매트릭스!Q234-1,"-")</f>
        <v>0.0959411362901004</v>
      </c>
      <c r="F10" s="59" t="n">
        <f aca="false">IFERROR(분석4B_월별매트릭스!AD234/분석4B_월별매트릭스!R234-1,"-")</f>
        <v>-0.0484722528366449</v>
      </c>
      <c r="G10" s="59" t="n">
        <f aca="false">IFERROR(분석4B_월별매트릭스!AE234/분석4B_월별매트릭스!S234-1,"-")</f>
        <v>-0.0614876398423205</v>
      </c>
      <c r="H10" s="59" t="n">
        <f aca="false">IFERROR(분석4B_월별매트릭스!AF234/분석4B_월별매트릭스!T234-1,"-")</f>
        <v>0.140462061416143</v>
      </c>
      <c r="I10" s="59" t="n">
        <f aca="false">IFERROR(분석4B_월별매트릭스!AG234/분석4B_월별매트릭스!U234-1,"-")</f>
        <v>-0.0117454177500544</v>
      </c>
      <c r="J10" s="25" t="n">
        <f aca="false">SUMIFS(데이터_성질별수출!$G$3:$G$653,데이터_성질별수출!$E$3:$E$653,$B10,데이터_성질별수출!$B$3:$B$653,2024,데이터_성질별수출!$C$3:$C$653,"&lt;=7")</f>
        <v>641735</v>
      </c>
      <c r="K10" s="25" t="n">
        <f aca="false">SUMIFS(데이터_성질별수출!$G$3:$G$653,데이터_성질별수출!$E$3:$E$653,$B10,데이터_성질별수출!$B$3:$B$653,2025,데이터_성질별수출!$C$3:$C$653,"&lt;=7")</f>
        <v>574639</v>
      </c>
      <c r="L10" s="25" t="n">
        <f aca="false">SUMIFS(데이터_성질별수출!$G$3:$G$653,데이터_성질별수출!$E$3:$E$653,$B10,데이터_성질별수출!$B$3:$B$653,2026,데이터_성질별수출!$C$3:$C$653,"&lt;=7")</f>
        <v>570206</v>
      </c>
      <c r="M10" s="36" t="n">
        <f aca="false">IFERROR(K10/J10-1,"-")</f>
        <v>-0.104554060476676</v>
      </c>
      <c r="N10" s="36" t="n">
        <f aca="false">IFERROR(L10/K10-1,"-")</f>
        <v>-0.00771440852430827</v>
      </c>
      <c r="O10" s="34" t="n">
        <f aca="false">IFERROR((L10-K10)/(SUMIFS(데이터_총괄!$H$3:$H$33,데이터_총괄!$B$3:$B$33,2026,데이터_총괄!$C$3:$C$33,"&lt;=7")-SUMIFS(데이터_총괄!$H$3:$H$33,데이터_총괄!$B$3:$B$33,2025,데이터_총괄!$C$3:$C$33,"&lt;=7")),"-")</f>
        <v>-2.22011810427335E-005</v>
      </c>
      <c r="P10" s="24" t="n">
        <f aca="false">SUMIFS(데이터_성질별수출!$F$3:$F$653,데이터_성질별수출!$E$3:$E$653,$B10,데이터_성질별수출!$B$3:$B$653,2026,데이터_성질별수출!$C$3:$C$653,"&lt;=7")</f>
        <v>359813.8</v>
      </c>
      <c r="Q10" s="37" t="n">
        <f aca="false">IFERROR(K10/SUMIFS(데이터_성질별수출!$F$3:$F$653,데이터_성질별수출!$E$3:$E$653,$B10,데이터_성질별수출!$B$3:$B$653,2025,데이터_성질별수출!$C$3:$C$653,"&lt;=7"),"-")</f>
        <v>1.51402751675501</v>
      </c>
      <c r="R10" s="37" t="n">
        <f aca="false">IFERROR(L10/P10,"-")</f>
        <v>1.58472521065062</v>
      </c>
      <c r="S10" s="36" t="n">
        <f aca="false">IFERROR(R10/Q10-1,"-")</f>
        <v>0.0466951182281945</v>
      </c>
    </row>
    <row r="11" customFormat="false" ht="15" hidden="false" customHeight="true" outlineLevel="0" collapsed="false">
      <c r="A11" s="8" t="s">
        <v>20106</v>
      </c>
      <c r="B11" s="7" t="s">
        <v>15035</v>
      </c>
      <c r="C11" s="59" t="n">
        <f aca="false">IFERROR(분석4B_월별매트릭스!AA235/분석4B_월별매트릭스!O235-1,"-")</f>
        <v>0.0188985804686164</v>
      </c>
      <c r="D11" s="59" t="n">
        <f aca="false">IFERROR(분석4B_월별매트릭스!AB235/분석4B_월별매트릭스!P235-1,"-")</f>
        <v>-0.145001385510638</v>
      </c>
      <c r="E11" s="59" t="n">
        <f aca="false">IFERROR(분석4B_월별매트릭스!AC235/분석4B_월별매트릭스!Q235-1,"-")</f>
        <v>0.0781895661157024</v>
      </c>
      <c r="F11" s="59" t="n">
        <f aca="false">IFERROR(분석4B_월별매트릭스!AD235/분석4B_월별매트릭스!R235-1,"-")</f>
        <v>0.0554616116976681</v>
      </c>
      <c r="G11" s="59" t="n">
        <f aca="false">IFERROR(분석4B_월별매트릭스!AE235/분석4B_월별매트릭스!S235-1,"-")</f>
        <v>-0.0727259389671362</v>
      </c>
      <c r="H11" s="59" t="n">
        <f aca="false">IFERROR(분석4B_월별매트릭스!AF235/분석4B_월별매트릭스!T235-1,"-")</f>
        <v>0.0705876581968017</v>
      </c>
      <c r="I11" s="59" t="n">
        <f aca="false">IFERROR(분석4B_월별매트릭스!AG235/분석4B_월별매트릭스!U235-1,"-")</f>
        <v>0.0710959681998864</v>
      </c>
      <c r="J11" s="25" t="n">
        <f aca="false">SUMIFS(데이터_성질별수출!$G$3:$G$653,데이터_성질별수출!$E$3:$E$653,$B11,데이터_성질별수출!$B$3:$B$653,2024,데이터_성질별수출!$C$3:$C$653,"&lt;=7")</f>
        <v>508415</v>
      </c>
      <c r="K11" s="25" t="n">
        <f aca="false">SUMIFS(데이터_성질별수출!$G$3:$G$653,데이터_성질별수출!$E$3:$E$653,$B11,데이터_성질별수출!$B$3:$B$653,2025,데이터_성질별수출!$C$3:$C$653,"&lt;=7")</f>
        <v>446706</v>
      </c>
      <c r="L11" s="25" t="n">
        <f aca="false">SUMIFS(데이터_성질별수출!$G$3:$G$653,데이터_성질별수출!$E$3:$E$653,$B11,데이터_성질별수출!$B$3:$B$653,2026,데이터_성질별수출!$C$3:$C$653,"&lt;=7")</f>
        <v>450881</v>
      </c>
      <c r="M11" s="36" t="n">
        <f aca="false">IFERROR(K11/J11-1,"-")</f>
        <v>-0.121375254467315</v>
      </c>
      <c r="N11" s="36" t="n">
        <f aca="false">IFERROR(L11/K11-1,"-")</f>
        <v>0.00934619190250419</v>
      </c>
      <c r="O11" s="34" t="n">
        <f aca="false">IFERROR((L11-K11)/(SUMIFS(데이터_총괄!$H$3:$H$33,데이터_총괄!$B$3:$B$33,2026,데이터_총괄!$C$3:$C$33,"&lt;=7")-SUMIFS(데이터_총괄!$H$3:$H$33,데이터_총괄!$B$3:$B$33,2025,데이터_총괄!$C$3:$C$33,"&lt;=7")),"-")</f>
        <v>2.09090753109435E-005</v>
      </c>
      <c r="P11" s="24" t="n">
        <f aca="false">SUMIFS(데이터_성질별수출!$F$3:$F$653,데이터_성질별수출!$E$3:$E$653,$B11,데이터_성질별수출!$B$3:$B$653,2026,데이터_성질별수출!$C$3:$C$653,"&lt;=7")</f>
        <v>118827.5</v>
      </c>
      <c r="Q11" s="37" t="n">
        <f aca="false">IFERROR(K11/SUMIFS(데이터_성질별수출!$F$3:$F$653,데이터_성질별수출!$E$3:$E$653,$B11,데이터_성질별수출!$B$3:$B$653,2025,데이터_성질별수출!$C$3:$C$653,"&lt;=7"),"-")</f>
        <v>3.5249807063755</v>
      </c>
      <c r="R11" s="37" t="n">
        <f aca="false">IFERROR(L11/P11,"-")</f>
        <v>3.79441627569376</v>
      </c>
      <c r="S11" s="36" t="n">
        <f aca="false">IFERROR(R11/Q11-1,"-")</f>
        <v>0.0764360408642641</v>
      </c>
    </row>
    <row r="12" customFormat="false" ht="15" hidden="false" customHeight="true" outlineLevel="0" collapsed="false">
      <c r="A12" s="8" t="s">
        <v>20106</v>
      </c>
      <c r="B12" s="7" t="s">
        <v>15038</v>
      </c>
      <c r="C12" s="59" t="n">
        <f aca="false">IFERROR(분석4B_월별매트릭스!AA236/분석4B_월별매트릭스!O236-1,"-")</f>
        <v>0.0623277997731009</v>
      </c>
      <c r="D12" s="59" t="n">
        <f aca="false">IFERROR(분석4B_월별매트릭스!AB236/분석4B_월별매트릭스!P236-1,"-")</f>
        <v>-0.217912871566758</v>
      </c>
      <c r="E12" s="59" t="n">
        <f aca="false">IFERROR(분석4B_월별매트릭스!AC236/분석4B_월별매트릭스!Q236-1,"-")</f>
        <v>-0.0397718437681118</v>
      </c>
      <c r="F12" s="59" t="n">
        <f aca="false">IFERROR(분석4B_월별매트릭스!AD236/분석4B_월별매트릭스!R236-1,"-")</f>
        <v>-0.000743249087757802</v>
      </c>
      <c r="G12" s="59" t="n">
        <f aca="false">IFERROR(분석4B_월별매트릭스!AE236/분석4B_월별매트릭스!S236-1,"-")</f>
        <v>-0.105652806375219</v>
      </c>
      <c r="H12" s="59" t="n">
        <f aca="false">IFERROR(분석4B_월별매트릭스!AF236/분석4B_월별매트릭스!T236-1,"-")</f>
        <v>0.0538587579267178</v>
      </c>
      <c r="I12" s="59" t="n">
        <f aca="false">IFERROR(분석4B_월별매트릭스!AG236/분석4B_월별매트릭스!U236-1,"-")</f>
        <v>0.0101522499077837</v>
      </c>
      <c r="J12" s="25" t="n">
        <f aca="false">SUMIFS(데이터_성질별수출!$G$3:$G$653,데이터_성질별수출!$E$3:$E$653,$B12,데이터_성질별수출!$B$3:$B$653,2024,데이터_성질별수출!$C$3:$C$653,"&lt;=7")</f>
        <v>2161303</v>
      </c>
      <c r="K12" s="25" t="n">
        <f aca="false">SUMIFS(데이터_성질별수출!$G$3:$G$653,데이터_성질별수출!$E$3:$E$653,$B12,데이터_성질별수출!$B$3:$B$653,2025,데이터_성질별수출!$C$3:$C$653,"&lt;=7")</f>
        <v>1985539</v>
      </c>
      <c r="L12" s="25" t="n">
        <f aca="false">SUMIFS(데이터_성질별수출!$G$3:$G$653,데이터_성질별수출!$E$3:$E$653,$B12,데이터_성질별수출!$B$3:$B$653,2026,데이터_성질별수출!$C$3:$C$653,"&lt;=7")</f>
        <v>1915840</v>
      </c>
      <c r="M12" s="36" t="n">
        <f aca="false">IFERROR(K12/J12-1,"-")</f>
        <v>-0.0813231647760634</v>
      </c>
      <c r="N12" s="36" t="n">
        <f aca="false">IFERROR(L12/K12-1,"-")</f>
        <v>-0.0351033145156051</v>
      </c>
      <c r="O12" s="34" t="n">
        <f aca="false">IFERROR((L12-K12)/(SUMIFS(데이터_총괄!$H$3:$H$33,데이터_총괄!$B$3:$B$33,2026,데이터_총괄!$C$3:$C$33,"&lt;=7")-SUMIFS(데이터_총괄!$H$3:$H$33,데이터_총괄!$B$3:$B$33,2025,데이터_총괄!$C$3:$C$33,"&lt;=7")),"-")</f>
        <v>-0.000349063865891605</v>
      </c>
      <c r="P12" s="24" t="n">
        <f aca="false">SUMIFS(데이터_성질별수출!$F$3:$F$653,데이터_성질별수출!$E$3:$E$653,$B12,데이터_성질별수출!$B$3:$B$653,2026,데이터_성질별수출!$C$3:$C$653,"&lt;=7")</f>
        <v>195505.6</v>
      </c>
      <c r="Q12" s="37" t="n">
        <f aca="false">IFERROR(K12/SUMIFS(데이터_성질별수출!$F$3:$F$653,데이터_성질별수출!$E$3:$E$653,$B12,데이터_성질별수출!$B$3:$B$653,2025,데이터_성질별수출!$C$3:$C$653,"&lt;=7"),"-")</f>
        <v>9.49211149557936</v>
      </c>
      <c r="R12" s="37" t="n">
        <f aca="false">IFERROR(L12/P12,"-")</f>
        <v>9.79941239534827</v>
      </c>
      <c r="S12" s="36" t="n">
        <f aca="false">IFERROR(R12/Q12-1,"-")</f>
        <v>0.0323743457830243</v>
      </c>
    </row>
    <row r="13" customFormat="false" ht="15" hidden="false" customHeight="true" outlineLevel="0" collapsed="false">
      <c r="A13" s="8" t="s">
        <v>20106</v>
      </c>
      <c r="B13" s="7" t="s">
        <v>15041</v>
      </c>
      <c r="C13" s="59" t="n">
        <f aca="false">IFERROR(분석4B_월별매트릭스!AA237/분석4B_월별매트릭스!O237-1,"-")</f>
        <v>0.0112760094051021</v>
      </c>
      <c r="D13" s="59" t="n">
        <f aca="false">IFERROR(분석4B_월별매트릭스!AB237/분석4B_월별매트릭스!P237-1,"-")</f>
        <v>-0.198311023976924</v>
      </c>
      <c r="E13" s="59" t="n">
        <f aca="false">IFERROR(분석4B_월별매트릭스!AC237/분석4B_월별매트릭스!Q237-1,"-")</f>
        <v>-0.0313341001823075</v>
      </c>
      <c r="F13" s="59" t="n">
        <f aca="false">IFERROR(분석4B_월별매트릭스!AD237/분석4B_월별매트릭스!R237-1,"-")</f>
        <v>-0.0593629691577869</v>
      </c>
      <c r="G13" s="59" t="n">
        <f aca="false">IFERROR(분석4B_월별매트릭스!AE237/분석4B_월별매트릭스!S237-1,"-")</f>
        <v>-0.17356783919598</v>
      </c>
      <c r="H13" s="59" t="n">
        <f aca="false">IFERROR(분석4B_월별매트릭스!AF237/분석4B_월별매트릭스!T237-1,"-")</f>
        <v>-0.00699159590538989</v>
      </c>
      <c r="I13" s="59" t="n">
        <f aca="false">IFERROR(분석4B_월별매트릭스!AG237/분석4B_월별매트릭스!U237-1,"-")</f>
        <v>0.0222150872162221</v>
      </c>
      <c r="J13" s="25" t="n">
        <f aca="false">SUMIFS(데이터_성질별수출!$G$3:$G$653,데이터_성질별수출!$E$3:$E$653,$B13,데이터_성질별수출!$B$3:$B$653,2024,데이터_성질별수출!$C$3:$C$653,"&lt;=7")</f>
        <v>1393750</v>
      </c>
      <c r="K13" s="25" t="n">
        <f aca="false">SUMIFS(데이터_성질별수출!$G$3:$G$653,데이터_성질별수출!$E$3:$E$653,$B13,데이터_성질별수출!$B$3:$B$653,2025,데이터_성질별수출!$C$3:$C$653,"&lt;=7")</f>
        <v>1281135</v>
      </c>
      <c r="L13" s="25" t="n">
        <f aca="false">SUMIFS(데이터_성질별수출!$G$3:$G$653,데이터_성질별수출!$E$3:$E$653,$B13,데이터_성질별수출!$B$3:$B$653,2026,데이터_성질별수출!$C$3:$C$653,"&lt;=7")</f>
        <v>1199510</v>
      </c>
      <c r="M13" s="36" t="n">
        <f aca="false">IFERROR(K13/J13-1,"-")</f>
        <v>-0.0808</v>
      </c>
      <c r="N13" s="36" t="n">
        <f aca="false">IFERROR(L13/K13-1,"-")</f>
        <v>-0.0637130357066196</v>
      </c>
      <c r="O13" s="34" t="n">
        <f aca="false">IFERROR((L13-K13)/(SUMIFS(데이터_총괄!$H$3:$H$33,데이터_총괄!$B$3:$B$33,2026,데이터_총괄!$C$3:$C$33,"&lt;=7")-SUMIFS(데이터_총괄!$H$3:$H$33,데이터_총괄!$B$3:$B$33,2025,데이터_총괄!$C$3:$C$33,"&lt;=7")),"-")</f>
        <v>-0.000408791202935512</v>
      </c>
      <c r="P13" s="24" t="n">
        <f aca="false">SUMIFS(데이터_성질별수출!$F$3:$F$653,데이터_성질별수출!$E$3:$E$653,$B13,데이터_성질별수출!$B$3:$B$653,2026,데이터_성질별수출!$C$3:$C$653,"&lt;=7")</f>
        <v>153056.5</v>
      </c>
      <c r="Q13" s="37" t="n">
        <f aca="false">IFERROR(K13/SUMIFS(데이터_성질별수출!$F$3:$F$653,데이터_성질별수출!$E$3:$E$653,$B13,데이터_성질별수출!$B$3:$B$653,2025,데이터_성질별수출!$C$3:$C$653,"&lt;=7"),"-")</f>
        <v>7.98380598591483</v>
      </c>
      <c r="R13" s="37" t="n">
        <f aca="false">IFERROR(L13/P13,"-")</f>
        <v>7.83704056998559</v>
      </c>
      <c r="S13" s="36" t="n">
        <f aca="false">IFERROR(R13/Q13-1,"-")</f>
        <v>-0.0183828885857406</v>
      </c>
    </row>
    <row r="14" customFormat="false" ht="15" hidden="false" customHeight="true" outlineLevel="0" collapsed="false">
      <c r="A14" s="8" t="s">
        <v>20106</v>
      </c>
      <c r="B14" s="7" t="s">
        <v>15044</v>
      </c>
      <c r="C14" s="59" t="n">
        <f aca="false">IFERROR(분석4B_월별매트릭스!AA238/분석4B_월별매트릭스!O238-1,"-")</f>
        <v>0.162150307824811</v>
      </c>
      <c r="D14" s="59" t="n">
        <f aca="false">IFERROR(분석4B_월별매트릭스!AB238/분석4B_월별매트릭스!P238-1,"-")</f>
        <v>-0.0806741894015141</v>
      </c>
      <c r="E14" s="59" t="n">
        <f aca="false">IFERROR(분석4B_월별매트릭스!AC238/분석4B_월별매트릭스!Q238-1,"-")</f>
        <v>0.173907321374518</v>
      </c>
      <c r="F14" s="59" t="n">
        <f aca="false">IFERROR(분석4B_월별매트릭스!AD238/분석4B_월별매트릭스!R238-1,"-")</f>
        <v>0.317009467841985</v>
      </c>
      <c r="G14" s="59" t="n">
        <f aca="false">IFERROR(분석4B_월별매트릭스!AE238/분석4B_월별매트릭스!S238-1,"-")</f>
        <v>-0.0379138798950677</v>
      </c>
      <c r="H14" s="59" t="n">
        <f aca="false">IFERROR(분석4B_월별매트릭스!AF238/분석4B_월별매트릭스!T238-1,"-")</f>
        <v>0.187408754608666</v>
      </c>
      <c r="I14" s="59" t="n">
        <f aca="false">IFERROR(분석4B_월별매트릭스!AG238/분석4B_월별매트릭스!U238-1,"-")</f>
        <v>0.0258784951477822</v>
      </c>
      <c r="J14" s="25" t="n">
        <f aca="false">SUMIFS(데이터_성질별수출!$G$3:$G$653,데이터_성질별수출!$E$3:$E$653,$B14,데이터_성질별수출!$B$3:$B$653,2024,데이터_성질별수출!$C$3:$C$653,"&lt;=7")</f>
        <v>1102874</v>
      </c>
      <c r="K14" s="25" t="n">
        <f aca="false">SUMIFS(데이터_성질별수출!$G$3:$G$653,데이터_성질별수출!$E$3:$E$653,$B14,데이터_성질별수출!$B$3:$B$653,2025,데이터_성질별수출!$C$3:$C$653,"&lt;=7")</f>
        <v>1071657</v>
      </c>
      <c r="L14" s="25" t="n">
        <f aca="false">SUMIFS(데이터_성질별수출!$G$3:$G$653,데이터_성질별수출!$E$3:$E$653,$B14,데이터_성질별수출!$B$3:$B$653,2026,데이터_성질별수출!$C$3:$C$653,"&lt;=7")</f>
        <v>1187522</v>
      </c>
      <c r="M14" s="36" t="n">
        <f aca="false">IFERROR(K14/J14-1,"-")</f>
        <v>-0.0283051373048961</v>
      </c>
      <c r="N14" s="36" t="n">
        <f aca="false">IFERROR(L14/K14-1,"-")</f>
        <v>0.108117615990937</v>
      </c>
      <c r="O14" s="34" t="n">
        <f aca="false">IFERROR((L14-K14)/(SUMIFS(데이터_총괄!$H$3:$H$33,데이터_총괄!$B$3:$B$33,2026,데이터_총괄!$C$3:$C$33,"&lt;=7")-SUMIFS(데이터_총괄!$H$3:$H$33,데이터_총괄!$B$3:$B$33,2025,데이터_총괄!$C$3:$C$33,"&lt;=7")),"-")</f>
        <v>0.000580270661294004</v>
      </c>
      <c r="P14" s="24" t="n">
        <f aca="false">SUMIFS(데이터_성질별수출!$F$3:$F$653,데이터_성질별수출!$E$3:$E$653,$B14,데이터_성질별수출!$B$3:$B$653,2026,데이터_성질별수출!$C$3:$C$653,"&lt;=7")</f>
        <v>37654</v>
      </c>
      <c r="Q14" s="37" t="n">
        <f aca="false">IFERROR(K14/SUMIFS(데이터_성질별수출!$F$3:$F$653,데이터_성질별수출!$E$3:$E$653,$B14,데이터_성질별수출!$B$3:$B$653,2025,데이터_성질별수출!$C$3:$C$653,"&lt;=7"),"-")</f>
        <v>27.4537466376329</v>
      </c>
      <c r="R14" s="37" t="n">
        <f aca="false">IFERROR(L14/P14,"-")</f>
        <v>31.5377383544909</v>
      </c>
      <c r="S14" s="36" t="n">
        <f aca="false">IFERROR(R14/Q14-1,"-")</f>
        <v>0.148758993472307</v>
      </c>
    </row>
    <row r="15" customFormat="false" ht="15" hidden="false" customHeight="true" outlineLevel="0" collapsed="false">
      <c r="A15" s="8" t="s">
        <v>20106</v>
      </c>
      <c r="B15" s="7" t="s">
        <v>15046</v>
      </c>
      <c r="C15" s="59" t="n">
        <f aca="false">IFERROR(분석4B_월별매트릭스!AA239/분석4B_월별매트릭스!O239-1,"-")</f>
        <v>0.165980017269027</v>
      </c>
      <c r="D15" s="59" t="n">
        <f aca="false">IFERROR(분석4B_월별매트릭스!AB239/분석4B_월별매트릭스!P239-1,"-")</f>
        <v>-0.141599373719825</v>
      </c>
      <c r="E15" s="59" t="n">
        <f aca="false">IFERROR(분석4B_월별매트릭스!AC239/분석4B_월별매트릭스!Q239-1,"-")</f>
        <v>-0.0209986869696436</v>
      </c>
      <c r="F15" s="59" t="n">
        <f aca="false">IFERROR(분석4B_월별매트릭스!AD239/분석4B_월별매트릭스!R239-1,"-")</f>
        <v>0.0346090355387738</v>
      </c>
      <c r="G15" s="59" t="n">
        <f aca="false">IFERROR(분석4B_월별매트릭스!AE239/분석4B_월별매트릭스!S239-1,"-")</f>
        <v>-0.0959636322120624</v>
      </c>
      <c r="H15" s="59" t="n">
        <f aca="false">IFERROR(분석4B_월별매트릭스!AF239/분석4B_월별매트릭스!T239-1,"-")</f>
        <v>-0.00386229707239971</v>
      </c>
      <c r="I15" s="59" t="n">
        <f aca="false">IFERROR(분석4B_월별매트릭스!AG239/분석4B_월별매트릭스!U239-1,"-")</f>
        <v>0.0384804947226485</v>
      </c>
      <c r="J15" s="25" t="n">
        <f aca="false">SUMIFS(데이터_성질별수출!$G$3:$G$653,데이터_성질별수출!$E$3:$E$653,$B15,데이터_성질별수출!$B$3:$B$653,2024,데이터_성질별수출!$C$3:$C$653,"&lt;=7")</f>
        <v>677974</v>
      </c>
      <c r="K15" s="25" t="n">
        <f aca="false">SUMIFS(데이터_성질별수출!$G$3:$G$653,데이터_성질별수출!$E$3:$E$653,$B15,데이터_성질별수출!$B$3:$B$653,2025,데이터_성질별수출!$C$3:$C$653,"&lt;=7")</f>
        <v>681202</v>
      </c>
      <c r="L15" s="25" t="n">
        <f aca="false">SUMIFS(데이터_성질별수출!$G$3:$G$653,데이터_성질별수출!$E$3:$E$653,$B15,데이터_성질별수출!$B$3:$B$653,2026,데이터_성질별수출!$C$3:$C$653,"&lt;=7")</f>
        <v>677482</v>
      </c>
      <c r="M15" s="36" t="n">
        <f aca="false">IFERROR(K15/J15-1,"-")</f>
        <v>0.00476124453150129</v>
      </c>
      <c r="N15" s="36" t="n">
        <f aca="false">IFERROR(L15/K15-1,"-")</f>
        <v>-0.00546093522919777</v>
      </c>
      <c r="O15" s="34" t="n">
        <f aca="false">IFERROR((L15-K15)/(SUMIFS(데이터_총괄!$H$3:$H$33,데이터_총괄!$B$3:$B$33,2026,데이터_총괄!$C$3:$C$33,"&lt;=7")-SUMIFS(데이터_총괄!$H$3:$H$33,데이터_총괄!$B$3:$B$33,2025,데이터_총괄!$C$3:$C$33,"&lt;=7")),"-")</f>
        <v>-1.8630361714182E-005</v>
      </c>
      <c r="P15" s="24" t="n">
        <f aca="false">SUMIFS(데이터_성질별수출!$F$3:$F$653,데이터_성질별수출!$E$3:$E$653,$B15,데이터_성질별수출!$B$3:$B$653,2026,데이터_성질별수출!$C$3:$C$653,"&lt;=7")</f>
        <v>122994</v>
      </c>
      <c r="Q15" s="37" t="n">
        <f aca="false">IFERROR(K15/SUMIFS(데이터_성질별수출!$F$3:$F$653,데이터_성질별수출!$E$3:$E$653,$B15,데이터_성질별수출!$B$3:$B$653,2025,데이터_성질별수출!$C$3:$C$653,"&lt;=7"),"-")</f>
        <v>5.69619755679666</v>
      </c>
      <c r="R15" s="37" t="n">
        <f aca="false">IFERROR(L15/P15,"-")</f>
        <v>5.50825243507813</v>
      </c>
      <c r="S15" s="36" t="n">
        <f aca="false">IFERROR(R15/Q15-1,"-")</f>
        <v>-0.0329948390737028</v>
      </c>
    </row>
    <row r="16" customFormat="false" ht="15" hidden="false" customHeight="true" outlineLevel="0" collapsed="false">
      <c r="A16" s="8" t="s">
        <v>20106</v>
      </c>
      <c r="B16" s="7" t="s">
        <v>15049</v>
      </c>
      <c r="C16" s="59" t="n">
        <f aca="false">IFERROR(분석4B_월별매트릭스!AA240/분석4B_월별매트릭스!O240-1,"-")</f>
        <v>0.0515706340145175</v>
      </c>
      <c r="D16" s="59" t="n">
        <f aca="false">IFERROR(분석4B_월별매트릭스!AB240/분석4B_월별매트릭스!P240-1,"-")</f>
        <v>-0.167101979221081</v>
      </c>
      <c r="E16" s="59" t="n">
        <f aca="false">IFERROR(분석4B_월별매트릭스!AC240/분석4B_월별매트릭스!Q240-1,"-")</f>
        <v>-0.0183239887435286</v>
      </c>
      <c r="F16" s="59" t="n">
        <f aca="false">IFERROR(분석4B_월별매트릭스!AD240/분석4B_월별매트릭스!R240-1,"-")</f>
        <v>-0.0476508591894699</v>
      </c>
      <c r="G16" s="59" t="n">
        <f aca="false">IFERROR(분석4B_월별매트릭스!AE240/분석4B_월별매트릭스!S240-1,"-")</f>
        <v>-0.0255632798612664</v>
      </c>
      <c r="H16" s="59" t="n">
        <f aca="false">IFERROR(분석4B_월별매트릭스!AF240/분석4B_월별매트릭스!T240-1,"-")</f>
        <v>0.143512429226715</v>
      </c>
      <c r="I16" s="59" t="n">
        <f aca="false">IFERROR(분석4B_월별매트릭스!AG240/분석4B_월별매트릭스!U240-1,"-")</f>
        <v>0.13098806931824</v>
      </c>
      <c r="J16" s="25" t="n">
        <f aca="false">SUMIFS(데이터_성질별수출!$G$3:$G$653,데이터_성질별수출!$E$3:$E$653,$B16,데이터_성질별수출!$B$3:$B$653,2024,데이터_성질별수출!$C$3:$C$653,"&lt;=7")</f>
        <v>3107539</v>
      </c>
      <c r="K16" s="25" t="n">
        <f aca="false">SUMIFS(데이터_성질별수출!$G$3:$G$653,데이터_성질별수출!$E$3:$E$653,$B16,데이터_성질별수출!$B$3:$B$653,2025,데이터_성질별수출!$C$3:$C$653,"&lt;=7")</f>
        <v>2992340</v>
      </c>
      <c r="L16" s="25" t="n">
        <f aca="false">SUMIFS(데이터_성질별수출!$G$3:$G$653,데이터_성질별수출!$E$3:$E$653,$B16,데이터_성질별수출!$B$3:$B$653,2026,데이터_성질별수출!$C$3:$C$653,"&lt;=7")</f>
        <v>3018446</v>
      </c>
      <c r="M16" s="36" t="n">
        <f aca="false">IFERROR(K16/J16-1,"-")</f>
        <v>-0.0370708139141617</v>
      </c>
      <c r="N16" s="36" t="n">
        <f aca="false">IFERROR(L16/K16-1,"-")</f>
        <v>0.00872427598468084</v>
      </c>
      <c r="O16" s="34" t="n">
        <f aca="false">IFERROR((L16-K16)/(SUMIFS(데이터_총괄!$H$3:$H$33,데이터_총괄!$B$3:$B$33,2026,데이터_총괄!$C$3:$C$33,"&lt;=7")-SUMIFS(데이터_총괄!$H$3:$H$33,데이터_총괄!$B$3:$B$33,2025,데이터_총괄!$C$3:$C$33,"&lt;=7")),"-")</f>
        <v>0.000130743070674848</v>
      </c>
      <c r="P16" s="24" t="n">
        <f aca="false">SUMIFS(데이터_성질별수출!$F$3:$F$653,데이터_성질별수출!$E$3:$E$653,$B16,데이터_성질별수출!$B$3:$B$653,2026,데이터_성질별수출!$C$3:$C$653,"&lt;=7")</f>
        <v>529325.5</v>
      </c>
      <c r="Q16" s="37" t="n">
        <f aca="false">IFERROR(K16/SUMIFS(데이터_성질별수출!$F$3:$F$653,데이터_성질별수출!$E$3:$E$653,$B16,데이터_성질별수출!$B$3:$B$653,2025,데이터_성질별수출!$C$3:$C$653,"&lt;=7"),"-")</f>
        <v>5.62191470953766</v>
      </c>
      <c r="R16" s="37" t="n">
        <f aca="false">IFERROR(L16/P16,"-")</f>
        <v>5.70243829175054</v>
      </c>
      <c r="S16" s="36" t="n">
        <f aca="false">IFERROR(R16/Q16-1,"-")</f>
        <v>0.0143231597014921</v>
      </c>
    </row>
    <row r="17" customFormat="false" ht="15" hidden="false" customHeight="true" outlineLevel="0" collapsed="false">
      <c r="A17" s="8" t="s">
        <v>20106</v>
      </c>
      <c r="B17" s="7" t="s">
        <v>15051</v>
      </c>
      <c r="C17" s="59" t="n">
        <f aca="false">IFERROR(분석4B_월별매트릭스!AA241/분석4B_월별매트릭스!O241-1,"-")</f>
        <v>1.62497662555257</v>
      </c>
      <c r="D17" s="59" t="n">
        <f aca="false">IFERROR(분석4B_월별매트릭스!AB241/분석4B_월별매트릭스!P241-1,"-")</f>
        <v>1.89900051531835</v>
      </c>
      <c r="E17" s="59" t="n">
        <f aca="false">IFERROR(분석4B_월별매트릭스!AC241/분석4B_월별매트릭스!Q241-1,"-")</f>
        <v>4.39230917468159</v>
      </c>
      <c r="F17" s="59" t="n">
        <f aca="false">IFERROR(분석4B_월별매트릭스!AD241/분석4B_월별매트릭스!R241-1,"-")</f>
        <v>1.77135807178362</v>
      </c>
      <c r="G17" s="59" t="n">
        <f aca="false">IFERROR(분석4B_월별매트릭스!AE241/분석4B_월별매트릭스!S241-1,"-")</f>
        <v>2.14298301996825</v>
      </c>
      <c r="H17" s="59" t="n">
        <f aca="false">IFERROR(분석4B_월별매트릭스!AF241/분석4B_월별매트릭스!T241-1,"-")</f>
        <v>1.58405159930568</v>
      </c>
      <c r="I17" s="59" t="n">
        <f aca="false">IFERROR(분석4B_월별매트릭스!AG241/분석4B_월별매트릭스!U241-1,"-")</f>
        <v>1.13790238353975</v>
      </c>
      <c r="J17" s="25" t="n">
        <f aca="false">SUMIFS(데이터_성질별수출!$G$3:$G$653,데이터_성질별수출!$E$3:$E$653,$B17,데이터_성질별수출!$B$3:$B$653,2024,데이터_성질별수출!$C$3:$C$653,"&lt;=7")</f>
        <v>1842573</v>
      </c>
      <c r="K17" s="25" t="n">
        <f aca="false">SUMIFS(데이터_성질별수출!$G$3:$G$653,데이터_성질별수출!$E$3:$E$653,$B17,데이터_성질별수출!$B$3:$B$653,2025,데이터_성질별수출!$C$3:$C$653,"&lt;=7")</f>
        <v>2793764</v>
      </c>
      <c r="L17" s="25" t="n">
        <f aca="false">SUMIFS(데이터_성질별수출!$G$3:$G$653,데이터_성질별수출!$E$3:$E$653,$B17,데이터_성질별수출!$B$3:$B$653,2026,데이터_성질별수출!$C$3:$C$653,"&lt;=7")</f>
        <v>8269994</v>
      </c>
      <c r="M17" s="36" t="n">
        <f aca="false">IFERROR(K17/J17-1,"-")</f>
        <v>0.516229750463075</v>
      </c>
      <c r="N17" s="36" t="n">
        <f aca="false">IFERROR(L17/K17-1,"-")</f>
        <v>1.96016198934484</v>
      </c>
      <c r="O17" s="34" t="n">
        <f aca="false">IFERROR((L17-K17)/(SUMIFS(데이터_총괄!$H$3:$H$33,데이터_총괄!$B$3:$B$33,2026,데이터_총괄!$C$3:$C$33,"&lt;=7")-SUMIFS(데이터_총괄!$H$3:$H$33,데이터_총괄!$B$3:$B$33,2025,데이터_총괄!$C$3:$C$33,"&lt;=7")),"-")</f>
        <v>0.0274258456263588</v>
      </c>
      <c r="P17" s="24" t="n">
        <f aca="false">SUMIFS(데이터_성질별수출!$F$3:$F$653,데이터_성질별수출!$E$3:$E$653,$B17,데이터_성질별수출!$B$3:$B$653,2026,데이터_성질별수출!$C$3:$C$653,"&lt;=7")</f>
        <v>2168.4</v>
      </c>
      <c r="Q17" s="37" t="n">
        <f aca="false">IFERROR(K17/SUMIFS(데이터_성질별수출!$F$3:$F$653,데이터_성질별수출!$E$3:$E$653,$B17,데이터_성질별수출!$B$3:$B$653,2025,데이터_성질별수출!$C$3:$C$653,"&lt;=7"),"-")</f>
        <v>1207.22668740818</v>
      </c>
      <c r="R17" s="37" t="n">
        <f aca="false">IFERROR(L17/P17,"-")</f>
        <v>3813.86921232245</v>
      </c>
      <c r="S17" s="36" t="n">
        <f aca="false">IFERROR(R17/Q17-1,"-")</f>
        <v>2.1591988912294</v>
      </c>
    </row>
    <row r="18" customFormat="false" ht="15" hidden="false" customHeight="true" outlineLevel="0" collapsed="false">
      <c r="A18" s="8" t="s">
        <v>20106</v>
      </c>
      <c r="B18" s="7" t="s">
        <v>15054</v>
      </c>
      <c r="C18" s="59" t="n">
        <f aca="false">IFERROR(분석4B_월별매트릭스!AA242/분석4B_월별매트릭스!O242-1,"-")</f>
        <v>-0.0551291397625495</v>
      </c>
      <c r="D18" s="59" t="n">
        <f aca="false">IFERROR(분석4B_월별매트릭스!AB242/분석4B_월별매트릭스!P242-1,"-")</f>
        <v>-0.200621302221306</v>
      </c>
      <c r="E18" s="59" t="n">
        <f aca="false">IFERROR(분석4B_월별매트릭스!AC242/분석4B_월별매트릭스!Q242-1,"-")</f>
        <v>-0.036615747385688</v>
      </c>
      <c r="F18" s="59" t="n">
        <f aca="false">IFERROR(분석4B_월별매트릭스!AD242/분석4B_월별매트릭스!R242-1,"-")</f>
        <v>-0.154383062442711</v>
      </c>
      <c r="G18" s="59" t="n">
        <f aca="false">IFERROR(분석4B_월별매트릭스!AE242/분석4B_월별매트릭스!S242-1,"-")</f>
        <v>-0.122333772939407</v>
      </c>
      <c r="H18" s="59" t="n">
        <f aca="false">IFERROR(분석4B_월별매트릭스!AF242/분석4B_월별매트릭스!T242-1,"-")</f>
        <v>0.0111278967583952</v>
      </c>
      <c r="I18" s="59" t="n">
        <f aca="false">IFERROR(분석4B_월별매트릭스!AG242/분석4B_월별매트릭스!U242-1,"-")</f>
        <v>-0.0924721696740396</v>
      </c>
      <c r="J18" s="25" t="n">
        <f aca="false">SUMIFS(데이터_성질별수출!$G$3:$G$653,데이터_성질별수출!$E$3:$E$653,$B18,데이터_성질별수출!$B$3:$B$653,2024,데이터_성질별수출!$C$3:$C$653,"&lt;=7")</f>
        <v>1471787</v>
      </c>
      <c r="K18" s="25" t="n">
        <f aca="false">SUMIFS(데이터_성질별수출!$G$3:$G$653,데이터_성질별수출!$E$3:$E$653,$B18,데이터_성질별수출!$B$3:$B$653,2025,데이터_성질별수출!$C$3:$C$653,"&lt;=7")</f>
        <v>1437647</v>
      </c>
      <c r="L18" s="25" t="n">
        <f aca="false">SUMIFS(데이터_성질별수출!$G$3:$G$653,데이터_성질별수출!$E$3:$E$653,$B18,데이터_성질별수출!$B$3:$B$653,2026,데이터_성질별수출!$C$3:$C$653,"&lt;=7")</f>
        <v>1302260</v>
      </c>
      <c r="M18" s="36" t="n">
        <f aca="false">IFERROR(K18/J18-1,"-")</f>
        <v>-0.0231962913111747</v>
      </c>
      <c r="N18" s="36" t="n">
        <f aca="false">IFERROR(L18/K18-1,"-")</f>
        <v>-0.0941726306944611</v>
      </c>
      <c r="O18" s="34" t="n">
        <f aca="false">IFERROR((L18-K18)/(SUMIFS(데이터_총괄!$H$3:$H$33,데이터_총괄!$B$3:$B$33,2026,데이터_총괄!$C$3:$C$33,"&lt;=7")-SUMIFS(데이터_총괄!$H$3:$H$33,데이터_총괄!$B$3:$B$33,2025,데이터_총괄!$C$3:$C$33,"&lt;=7")),"-")</f>
        <v>-0.000678039994999451</v>
      </c>
      <c r="P18" s="24" t="n">
        <f aca="false">SUMIFS(데이터_성질별수출!$F$3:$F$653,데이터_성질별수출!$E$3:$E$653,$B18,데이터_성질별수출!$B$3:$B$653,2026,데이터_성질별수출!$C$3:$C$653,"&lt;=7")</f>
        <v>1948590.8</v>
      </c>
      <c r="Q18" s="37" t="n">
        <f aca="false">IFERROR(K18/SUMIFS(데이터_성질별수출!$F$3:$F$653,데이터_성질별수출!$E$3:$E$653,$B18,데이터_성질별수출!$B$3:$B$653,2025,데이터_성질별수출!$C$3:$C$653,"&lt;=7"),"-")</f>
        <v>0.519940227634947</v>
      </c>
      <c r="R18" s="37" t="n">
        <f aca="false">IFERROR(L18/P18,"-")</f>
        <v>0.668308605377794</v>
      </c>
      <c r="S18" s="36" t="n">
        <f aca="false">IFERROR(R18/Q18-1,"-")</f>
        <v>0.285356604196084</v>
      </c>
    </row>
    <row r="19" customFormat="false" ht="15" hidden="false" customHeight="true" outlineLevel="0" collapsed="false">
      <c r="A19" s="8" t="s">
        <v>20106</v>
      </c>
      <c r="B19" s="7" t="s">
        <v>15057</v>
      </c>
      <c r="C19" s="59" t="n">
        <f aca="false">IFERROR(분석4B_월별매트릭스!AA243/분석4B_월별매트릭스!O243-1,"-")</f>
        <v>0.241230486685032</v>
      </c>
      <c r="D19" s="59" t="n">
        <f aca="false">IFERROR(분석4B_월별매트릭스!AB243/분석4B_월별매트릭스!P243-1,"-")</f>
        <v>0.185320306702943</v>
      </c>
      <c r="E19" s="59" t="n">
        <f aca="false">IFERROR(분석4B_월별매트릭스!AC243/분석4B_월별매트릭스!Q243-1,"-")</f>
        <v>0.284850335980452</v>
      </c>
      <c r="F19" s="59" t="n">
        <f aca="false">IFERROR(분석4B_월별매트릭스!AD243/분석4B_월별매트릭스!R243-1,"-")</f>
        <v>0.230770730946252</v>
      </c>
      <c r="G19" s="59" t="n">
        <f aca="false">IFERROR(분석4B_월별매트릭스!AE243/분석4B_월별매트릭스!S243-1,"-")</f>
        <v>0.219382596109999</v>
      </c>
      <c r="H19" s="59" t="n">
        <f aca="false">IFERROR(분석4B_월별매트릭스!AF243/분석4B_월별매트릭스!T243-1,"-")</f>
        <v>0.255030844127313</v>
      </c>
      <c r="I19" s="59" t="n">
        <f aca="false">IFERROR(분석4B_월별매트릭스!AG243/분석4B_월별매트릭스!U243-1,"-")</f>
        <v>0.213962886159409</v>
      </c>
      <c r="J19" s="25" t="n">
        <f aca="false">SUMIFS(데이터_성질별수출!$G$3:$G$653,데이터_성질별수출!$E$3:$E$653,$B19,데이터_성질별수출!$B$3:$B$653,2024,데이터_성질별수출!$C$3:$C$653,"&lt;=7")</f>
        <v>329793</v>
      </c>
      <c r="K19" s="25" t="n">
        <f aca="false">SUMIFS(데이터_성질별수출!$G$3:$G$653,데이터_성질별수출!$E$3:$E$653,$B19,데이터_성질별수출!$B$3:$B$653,2025,데이터_성질별수출!$C$3:$C$653,"&lt;=7")</f>
        <v>356219</v>
      </c>
      <c r="L19" s="25" t="n">
        <f aca="false">SUMIFS(데이터_성질별수출!$G$3:$G$653,데이터_성질별수출!$E$3:$E$653,$B19,데이터_성질별수출!$B$3:$B$653,2026,데이터_성질별수출!$C$3:$C$653,"&lt;=7")</f>
        <v>439188</v>
      </c>
      <c r="M19" s="36" t="n">
        <f aca="false">IFERROR(K19/J19-1,"-")</f>
        <v>0.080129050646921</v>
      </c>
      <c r="N19" s="36" t="n">
        <f aca="false">IFERROR(L19/K19-1,"-")</f>
        <v>0.232915706349184</v>
      </c>
      <c r="O19" s="34" t="n">
        <f aca="false">IFERROR((L19-K19)/(SUMIFS(데이터_총괄!$H$3:$H$33,데이터_총괄!$B$3:$B$33,2026,데이터_총괄!$C$3:$C$33,"&lt;=7")-SUMIFS(데이터_총괄!$H$3:$H$33,데이터_총괄!$B$3:$B$33,2025,데이터_총괄!$C$3:$C$33,"&lt;=7")),"-")</f>
        <v>0.000415522172329023</v>
      </c>
      <c r="P19" s="24" t="n">
        <f aca="false">SUMIFS(데이터_성질별수출!$F$3:$F$653,데이터_성질별수출!$E$3:$E$653,$B19,데이터_성질별수출!$B$3:$B$653,2026,데이터_성질별수출!$C$3:$C$653,"&lt;=7")</f>
        <v>18209.1</v>
      </c>
      <c r="Q19" s="37" t="n">
        <f aca="false">IFERROR(K19/SUMIFS(데이터_성질별수출!$F$3:$F$653,데이터_성질별수출!$E$3:$E$653,$B19,데이터_성질별수출!$B$3:$B$653,2025,데이터_성질별수출!$C$3:$C$653,"&lt;=7"),"-")</f>
        <v>21.2596982501373</v>
      </c>
      <c r="R19" s="37" t="n">
        <f aca="false">IFERROR(L19/P19,"-")</f>
        <v>24.1191492166005</v>
      </c>
      <c r="S19" s="36" t="n">
        <f aca="false">IFERROR(R19/Q19-1,"-")</f>
        <v>0.134501013740624</v>
      </c>
    </row>
    <row r="20" customFormat="false" ht="15" hidden="false" customHeight="true" outlineLevel="0" collapsed="false">
      <c r="A20" s="8" t="s">
        <v>20106</v>
      </c>
      <c r="B20" s="7" t="s">
        <v>15060</v>
      </c>
      <c r="C20" s="59" t="n">
        <f aca="false">IFERROR(분석4B_월별매트릭스!AA244/분석4B_월별매트릭스!O244-1,"-")</f>
        <v>0.15804867191349</v>
      </c>
      <c r="D20" s="59" t="n">
        <f aca="false">IFERROR(분석4B_월별매트릭스!AB244/분석4B_월별매트릭스!P244-1,"-")</f>
        <v>-0.153154045098198</v>
      </c>
      <c r="E20" s="59" t="n">
        <f aca="false">IFERROR(분석4B_월별매트릭스!AC244/분석4B_월별매트릭스!Q244-1,"-")</f>
        <v>0.0750154183008664</v>
      </c>
      <c r="F20" s="59" t="n">
        <f aca="false">IFERROR(분석4B_월별매트릭스!AD244/분석4B_월별매트릭스!R244-1,"-")</f>
        <v>0.00593639521255951</v>
      </c>
      <c r="G20" s="59" t="n">
        <f aca="false">IFERROR(분석4B_월별매트릭스!AE244/분석4B_월별매트릭스!S244-1,"-")</f>
        <v>-0.0554175913759465</v>
      </c>
      <c r="H20" s="59" t="n">
        <f aca="false">IFERROR(분석4B_월별매트릭스!AF244/분석4B_월별매트릭스!T244-1,"-")</f>
        <v>0.126332076863693</v>
      </c>
      <c r="I20" s="59" t="n">
        <f aca="false">IFERROR(분석4B_월별매트릭스!AG244/분석4B_월별매트릭스!U244-1,"-")</f>
        <v>0.116937659862581</v>
      </c>
      <c r="J20" s="25" t="n">
        <f aca="false">SUMIFS(데이터_성질별수출!$G$3:$G$653,데이터_성질별수출!$E$3:$E$653,$B20,데이터_성질별수출!$B$3:$B$653,2024,데이터_성질별수출!$C$3:$C$653,"&lt;=7")</f>
        <v>6991469</v>
      </c>
      <c r="K20" s="25" t="n">
        <f aca="false">SUMIFS(데이터_성질별수출!$G$3:$G$653,데이터_성질별수출!$E$3:$E$653,$B20,데이터_성질별수출!$B$3:$B$653,2025,데이터_성질별수출!$C$3:$C$653,"&lt;=7")</f>
        <v>6631391</v>
      </c>
      <c r="L20" s="25" t="n">
        <f aca="false">SUMIFS(데이터_성질별수출!$G$3:$G$653,데이터_성질별수출!$E$3:$E$653,$B20,데이터_성질별수출!$B$3:$B$653,2026,데이터_성질별수출!$C$3:$C$653,"&lt;=7")</f>
        <v>6861801</v>
      </c>
      <c r="M20" s="36" t="n">
        <f aca="false">IFERROR(K20/J20-1,"-")</f>
        <v>-0.0515024810951747</v>
      </c>
      <c r="N20" s="36" t="n">
        <f aca="false">IFERROR(L20/K20-1,"-")</f>
        <v>0.0347453498066996</v>
      </c>
      <c r="O20" s="34" t="n">
        <f aca="false">IFERROR((L20-K20)/(SUMIFS(데이터_총괄!$H$3:$H$33,데이터_총괄!$B$3:$B$33,2026,데이터_총괄!$C$3:$C$33,"&lt;=7")-SUMIFS(데이터_총괄!$H$3:$H$33,데이터_총괄!$B$3:$B$33,2025,데이터_총괄!$C$3:$C$33,"&lt;=7")),"-")</f>
        <v>0.00115393054907652</v>
      </c>
      <c r="P20" s="24" t="n">
        <f aca="false">SUMIFS(데이터_성질별수출!$F$3:$F$653,데이터_성질별수출!$E$3:$E$653,$B20,데이터_성질별수출!$B$3:$B$653,2026,데이터_성질별수출!$C$3:$C$653,"&lt;=7")</f>
        <v>2621674.5</v>
      </c>
      <c r="Q20" s="37" t="n">
        <f aca="false">IFERROR(K20/SUMIFS(데이터_성질별수출!$F$3:$F$653,데이터_성질별수출!$E$3:$E$653,$B20,데이터_성질별수출!$B$3:$B$653,2025,데이터_성질별수출!$C$3:$C$653,"&lt;=7"),"-")</f>
        <v>2.52564130786914</v>
      </c>
      <c r="R20" s="37" t="n">
        <f aca="false">IFERROR(L20/P20,"-")</f>
        <v>2.6173352183881</v>
      </c>
      <c r="S20" s="36" t="n">
        <f aca="false">IFERROR(R20/Q20-1,"-")</f>
        <v>0.0363051990927079</v>
      </c>
    </row>
    <row r="21" customFormat="false" ht="15" hidden="false" customHeight="true" outlineLevel="0" collapsed="false">
      <c r="A21" s="71" t="s">
        <v>20102</v>
      </c>
      <c r="B21" s="72" t="s">
        <v>20107</v>
      </c>
      <c r="C21" s="59" t="n">
        <f aca="false">IFERROR(분석4B_월별매트릭스!AA245/분석4B_월별매트릭스!O245-1,"-")</f>
        <v>0.37001309464095</v>
      </c>
      <c r="D21" s="59" t="n">
        <f aca="false">IFERROR(분석4B_월별매트릭스!AB245/분석4B_월별매트릭스!P245-1,"-")</f>
        <v>0.33990221327403</v>
      </c>
      <c r="E21" s="59" t="n">
        <f aca="false">IFERROR(분석4B_월별매트릭스!AC245/분석4B_월별매트릭스!Q245-1,"-")</f>
        <v>0.489221354580099</v>
      </c>
      <c r="F21" s="59" t="n">
        <f aca="false">IFERROR(분석4B_월별매트릭스!AD245/분석4B_월별매트릭스!R245-1,"-")</f>
        <v>0.509456270801431</v>
      </c>
      <c r="G21" s="59" t="n">
        <f aca="false">IFERROR(분석4B_월별매트릭스!AE245/분석4B_월별매트릭스!S245-1,"-")</f>
        <v>0.562692093676035</v>
      </c>
      <c r="H21" s="59" t="n">
        <f aca="false">IFERROR(분석4B_월별매트릭스!AF245/분석4B_월별매트릭스!T245-1,"-")</f>
        <v>0.758941624933782</v>
      </c>
      <c r="I21" s="59" t="n">
        <f aca="false">IFERROR(분석4B_월별매트릭스!AG245/분석4B_월별매트릭스!U245-1,"-")</f>
        <v>0.697391436979752</v>
      </c>
      <c r="J21" s="30" t="n">
        <f aca="false">SUMIFS(데이터_성질별수출!$G$3:$G$653,데이터_성질별수출!$E$3:$E$653,$B21,데이터_성질별수출!$B$3:$B$653,2024,데이터_성질별수출!$C$3:$C$653,"&lt;=7")</f>
        <v>328570065</v>
      </c>
      <c r="K21" s="30" t="n">
        <f aca="false">SUMIFS(데이터_성질별수출!$G$3:$G$653,데이터_성질별수출!$E$3:$E$653,$B21,데이터_성질별수출!$B$3:$B$653,2025,데이터_성질별수출!$C$3:$C$653,"&lt;=7")</f>
        <v>336335253</v>
      </c>
      <c r="L21" s="30" t="n">
        <f aca="false">SUMIFS(데이터_성질별수출!$G$3:$G$653,데이터_성질별수출!$E$3:$E$653,$B21,데이터_성질별수출!$B$3:$B$653,2026,데이터_성질별수출!$C$3:$C$653,"&lt;=7")</f>
        <v>518465164</v>
      </c>
      <c r="M21" s="36" t="n">
        <f aca="false">IFERROR(K21/J21-1,"-")</f>
        <v>0.0236332789476728</v>
      </c>
      <c r="N21" s="41" t="n">
        <f aca="false">IFERROR(L21/K21-1,"-")</f>
        <v>0.541512997449601</v>
      </c>
      <c r="O21" s="34" t="n">
        <f aca="false">IFERROR((L21-K21)/(SUMIFS(데이터_총괄!$H$3:$H$33,데이터_총괄!$B$3:$B$33,2026,데이터_총괄!$C$3:$C$33,"&lt;=7")-SUMIFS(데이터_총괄!$H$3:$H$33,데이터_총괄!$B$3:$B$33,2025,데이터_총괄!$C$3:$C$33,"&lt;=7")),"-")</f>
        <v>0.912136054005853</v>
      </c>
      <c r="P21" s="24" t="n">
        <f aca="false">SUMIFS(데이터_성질별수출!$F$3:$F$653,데이터_성질별수출!$E$3:$E$653,$B21,데이터_성질별수출!$B$3:$B$653,2026,데이터_성질별수출!$C$3:$C$653,"&lt;=7")</f>
        <v>60438464.6</v>
      </c>
      <c r="Q21" s="37" t="n">
        <f aca="false">IFERROR(K21/SUMIFS(데이터_성질별수출!$F$3:$F$653,데이터_성질별수출!$E$3:$E$653,$B21,데이터_성질별수출!$B$3:$B$653,2025,데이터_성질별수출!$C$3:$C$653,"&lt;=7"),"-")</f>
        <v>5.48523927925398</v>
      </c>
      <c r="R21" s="37" t="n">
        <f aca="false">IFERROR(L21/P21,"-")</f>
        <v>8.57839734068956</v>
      </c>
      <c r="S21" s="36" t="n">
        <f aca="false">IFERROR(R21/Q21-1,"-")</f>
        <v>0.563905766724595</v>
      </c>
    </row>
    <row r="22" customFormat="false" ht="15" hidden="false" customHeight="true" outlineLevel="0" collapsed="false">
      <c r="A22" s="8" t="s">
        <v>20106</v>
      </c>
      <c r="B22" s="7" t="s">
        <v>15066</v>
      </c>
      <c r="C22" s="59" t="n">
        <f aca="false">IFERROR(분석4B_월별매트릭스!AA246/분석4B_월별매트릭스!O246-1,"-")</f>
        <v>0.0646456137854765</v>
      </c>
      <c r="D22" s="59" t="n">
        <f aca="false">IFERROR(분석4B_월별매트릭스!AB246/분석4B_월별매트릭스!P246-1,"-")</f>
        <v>-0.0670020155104412</v>
      </c>
      <c r="E22" s="59" t="n">
        <f aca="false">IFERROR(분석4B_월별매트릭스!AC246/분석4B_월별매트릭스!Q246-1,"-")</f>
        <v>0.102911771055355</v>
      </c>
      <c r="F22" s="59" t="n">
        <f aca="false">IFERROR(분석4B_월별매트릭스!AD246/분석4B_월별매트릭스!R246-1,"-")</f>
        <v>0.108926220313263</v>
      </c>
      <c r="G22" s="59" t="n">
        <f aca="false">IFERROR(분석4B_월별매트릭스!AE246/분석4B_월별매트릭스!S246-1,"-")</f>
        <v>0.107517885287781</v>
      </c>
      <c r="H22" s="59" t="n">
        <f aca="false">IFERROR(분석4B_월별매트릭스!AF246/분석4B_월별매트릭스!T246-1,"-")</f>
        <v>0.183540178664077</v>
      </c>
      <c r="I22" s="59" t="n">
        <f aca="false">IFERROR(분석4B_월별매트릭스!AG246/분석4B_월별매트릭스!U246-1,"-")</f>
        <v>0.191225030758872</v>
      </c>
      <c r="J22" s="25" t="n">
        <f aca="false">SUMIFS(데이터_성질별수출!$G$3:$G$653,데이터_성질별수출!$E$3:$E$653,$B22,데이터_성질별수출!$B$3:$B$653,2024,데이터_성질별수출!$C$3:$C$653,"&lt;=7")</f>
        <v>50078203</v>
      </c>
      <c r="K22" s="25" t="n">
        <f aca="false">SUMIFS(데이터_성질별수출!$G$3:$G$653,데이터_성질별수출!$E$3:$E$653,$B22,데이터_성질별수출!$B$3:$B$653,2025,데이터_성질별수출!$C$3:$C$653,"&lt;=7")</f>
        <v>46214562</v>
      </c>
      <c r="L22" s="25" t="n">
        <f aca="false">SUMIFS(데이터_성질별수출!$G$3:$G$653,데이터_성질별수출!$E$3:$E$653,$B22,데이터_성질별수출!$B$3:$B$653,2026,데이터_성질별수출!$C$3:$C$653,"&lt;=7")</f>
        <v>50789098</v>
      </c>
      <c r="M22" s="36" t="n">
        <f aca="false">IFERROR(K22/J22-1,"-")</f>
        <v>-0.077152149409195</v>
      </c>
      <c r="N22" s="36" t="n">
        <f aca="false">IFERROR(L22/K22-1,"-")</f>
        <v>0.0989847312628431</v>
      </c>
      <c r="O22" s="34" t="n">
        <f aca="false">IFERROR((L22-K22)/(SUMIFS(데이터_총괄!$H$3:$H$33,데이터_총괄!$B$3:$B$33,2026,데이터_총괄!$C$3:$C$33,"&lt;=7")-SUMIFS(데이터_총괄!$H$3:$H$33,데이터_총괄!$B$3:$B$33,2025,데이터_총괄!$C$3:$C$33,"&lt;=7")),"-")</f>
        <v>0.0229100162243406</v>
      </c>
      <c r="P22" s="24" t="n">
        <f aca="false">SUMIFS(데이터_성질별수출!$F$3:$F$653,데이터_성질별수출!$E$3:$E$653,$B22,데이터_성질별수출!$B$3:$B$653,2026,데이터_성질별수출!$C$3:$C$653,"&lt;=7")</f>
        <v>25092690.6</v>
      </c>
      <c r="Q22" s="37" t="n">
        <f aca="false">IFERROR(K22/SUMIFS(데이터_성질별수출!$F$3:$F$653,데이터_성질별수출!$E$3:$E$653,$B22,데이터_성질별수출!$B$3:$B$653,2025,데이터_성질별수출!$C$3:$C$653,"&lt;=7"),"-")</f>
        <v>1.75929037939831</v>
      </c>
      <c r="R22" s="37" t="n">
        <f aca="false">IFERROR(L22/P22,"-")</f>
        <v>2.02405946853702</v>
      </c>
      <c r="S22" s="36" t="n">
        <f aca="false">IFERROR(R22/Q22-1,"-")</f>
        <v>0.15049766214789</v>
      </c>
    </row>
    <row r="23" customFormat="false" ht="15" hidden="false" customHeight="true" outlineLevel="0" collapsed="false">
      <c r="A23" s="8" t="s">
        <v>20106</v>
      </c>
      <c r="B23" s="7" t="s">
        <v>15069</v>
      </c>
      <c r="C23" s="59" t="n">
        <f aca="false">IFERROR(분석4B_월별매트릭스!AA247/분석4B_월별매트릭스!O247-1,"-")</f>
        <v>0.0912111139813345</v>
      </c>
      <c r="D23" s="59" t="n">
        <f aca="false">IFERROR(분석4B_월별매트릭스!AB247/분석4B_월별매트릭스!P247-1,"-")</f>
        <v>-0.0263777518511539</v>
      </c>
      <c r="E23" s="59" t="n">
        <f aca="false">IFERROR(분석4B_월별매트릭스!AC247/분석4B_월별매트릭스!Q247-1,"-")</f>
        <v>0.0602377641436682</v>
      </c>
      <c r="F23" s="59" t="n">
        <f aca="false">IFERROR(분석4B_월별매트릭스!AD247/분석4B_월별매트릭스!R247-1,"-")</f>
        <v>-0.0087379738477702</v>
      </c>
      <c r="G23" s="59" t="n">
        <f aca="false">IFERROR(분석4B_월별매트릭스!AE247/분석4B_월별매트릭스!S247-1,"-")</f>
        <v>0.0665047725085353</v>
      </c>
      <c r="H23" s="59" t="n">
        <f aca="false">IFERROR(분석4B_월별매트릭스!AF247/분석4B_월별매트릭스!T247-1,"-")</f>
        <v>0.177872184228649</v>
      </c>
      <c r="I23" s="59" t="n">
        <f aca="false">IFERROR(분석4B_월별매트릭스!AG247/분석4B_월별매트릭스!U247-1,"-")</f>
        <v>0.112986714719808</v>
      </c>
      <c r="J23" s="25" t="n">
        <f aca="false">SUMIFS(데이터_성질별수출!$G$3:$G$653,데이터_성질별수출!$E$3:$E$653,$B23,데이터_성질별수출!$B$3:$B$653,2024,데이터_성질별수출!$C$3:$C$653,"&lt;=7")</f>
        <v>28181864</v>
      </c>
      <c r="K23" s="25" t="n">
        <f aca="false">SUMIFS(데이터_성질별수출!$G$3:$G$653,데이터_성질별수출!$E$3:$E$653,$B23,데이터_성질별수출!$B$3:$B$653,2025,데이터_성질별수출!$C$3:$C$653,"&lt;=7")</f>
        <v>27417172</v>
      </c>
      <c r="L23" s="25" t="n">
        <f aca="false">SUMIFS(데이터_성질별수출!$G$3:$G$653,데이터_성질별수출!$E$3:$E$653,$B23,데이터_성질별수출!$B$3:$B$653,2026,데이터_성질별수출!$C$3:$C$653,"&lt;=7")</f>
        <v>29235558</v>
      </c>
      <c r="M23" s="36" t="n">
        <f aca="false">IFERROR(K23/J23-1,"-")</f>
        <v>-0.0271341881431264</v>
      </c>
      <c r="N23" s="36" t="n">
        <f aca="false">IFERROR(L23/K23-1,"-")</f>
        <v>0.0663228869848429</v>
      </c>
      <c r="O23" s="34" t="n">
        <f aca="false">IFERROR((L23-K23)/(SUMIFS(데이터_총괄!$H$3:$H$33,데이터_총괄!$B$3:$B$33,2026,데이터_총괄!$C$3:$C$33,"&lt;=7")-SUMIFS(데이터_총괄!$H$3:$H$33,데이터_총괄!$B$3:$B$33,2025,데이터_총괄!$C$3:$C$33,"&lt;=7")),"-")</f>
        <v>0.00910677121397971</v>
      </c>
      <c r="P23" s="24" t="n">
        <f aca="false">SUMIFS(데이터_성질별수출!$F$3:$F$653,데이터_성질별수출!$E$3:$E$653,$B23,데이터_성질별수출!$B$3:$B$653,2026,데이터_성질별수출!$C$3:$C$653,"&lt;=7")</f>
        <v>19271069.5</v>
      </c>
      <c r="Q23" s="37" t="n">
        <f aca="false">IFERROR(K23/SUMIFS(데이터_성질별수출!$F$3:$F$653,데이터_성질별수출!$E$3:$E$653,$B23,데이터_성질별수출!$B$3:$B$653,2025,데이터_성질별수출!$C$3:$C$653,"&lt;=7"),"-")</f>
        <v>1.44965612270216</v>
      </c>
      <c r="R23" s="37" t="n">
        <f aca="false">IFERROR(L23/P23,"-")</f>
        <v>1.51706982323944</v>
      </c>
      <c r="S23" s="36" t="n">
        <f aca="false">IFERROR(R23/Q23-1,"-")</f>
        <v>0.0465032358236952</v>
      </c>
    </row>
    <row r="24" customFormat="false" ht="15" hidden="false" customHeight="true" outlineLevel="0" collapsed="false">
      <c r="A24" s="8" t="s">
        <v>20106</v>
      </c>
      <c r="B24" s="7" t="s">
        <v>15072</v>
      </c>
      <c r="C24" s="59" t="n">
        <f aca="false">IFERROR(분석4B_월별매트릭스!AA248/분석4B_월별매트릭스!O248-1,"-")</f>
        <v>0.11067625908713</v>
      </c>
      <c r="D24" s="59" t="n">
        <f aca="false">IFERROR(분석4B_월별매트릭스!AB248/분석4B_월별매트릭스!P248-1,"-")</f>
        <v>-0.136345811801858</v>
      </c>
      <c r="E24" s="59" t="n">
        <f aca="false">IFERROR(분석4B_월별매트릭스!AC248/분석4B_월별매트릭스!Q248-1,"-")</f>
        <v>-0.00270527539445664</v>
      </c>
      <c r="F24" s="59" t="n">
        <f aca="false">IFERROR(분석4B_월별매트릭스!AD248/분석4B_월별매트릭스!R248-1,"-")</f>
        <v>-0.022037574057529</v>
      </c>
      <c r="G24" s="59" t="n">
        <f aca="false">IFERROR(분석4B_월별매트릭스!AE248/분석4B_월별매트릭스!S248-1,"-")</f>
        <v>-0.0492295996212728</v>
      </c>
      <c r="H24" s="59" t="n">
        <f aca="false">IFERROR(분석4B_월별매트릭스!AF248/분석4B_월별매트릭스!T248-1,"-")</f>
        <v>0.085611663360686</v>
      </c>
      <c r="I24" s="59" t="n">
        <f aca="false">IFERROR(분석4B_월별매트릭스!AG248/분석4B_월별매트릭스!U248-1,"-")</f>
        <v>0.0841352580368908</v>
      </c>
      <c r="J24" s="25" t="n">
        <f aca="false">SUMIFS(데이터_성질별수출!$G$3:$G$653,데이터_성질별수출!$E$3:$E$653,$B24,데이터_성질별수출!$B$3:$B$653,2024,데이터_성질별수출!$C$3:$C$653,"&lt;=7")</f>
        <v>43221349</v>
      </c>
      <c r="K24" s="25" t="n">
        <f aca="false">SUMIFS(데이터_성질별수출!$G$3:$G$653,데이터_성질별수출!$E$3:$E$653,$B24,데이터_성질별수출!$B$3:$B$653,2025,데이터_성질별수출!$C$3:$C$653,"&lt;=7")</f>
        <v>41256048</v>
      </c>
      <c r="L24" s="25" t="n">
        <f aca="false">SUMIFS(데이터_성질별수출!$G$3:$G$653,데이터_성질별수출!$E$3:$E$653,$B24,데이터_성질별수출!$B$3:$B$653,2026,데이터_성질별수출!$C$3:$C$653,"&lt;=7")</f>
        <v>41623938</v>
      </c>
      <c r="M24" s="36" t="n">
        <f aca="false">IFERROR(K24/J24-1,"-")</f>
        <v>-0.0454706075925581</v>
      </c>
      <c r="N24" s="36" t="n">
        <f aca="false">IFERROR(L24/K24-1,"-")</f>
        <v>0.0089172380253193</v>
      </c>
      <c r="O24" s="34" t="n">
        <f aca="false">IFERROR((L24-K24)/(SUMIFS(데이터_총괄!$H$3:$H$33,데이터_총괄!$B$3:$B$33,2026,데이터_총괄!$C$3:$C$33,"&lt;=7")-SUMIFS(데이터_총괄!$H$3:$H$33,데이터_총괄!$B$3:$B$33,2025,데이터_총괄!$C$3:$C$33,"&lt;=7")),"-")</f>
        <v>0.00184245262662108</v>
      </c>
      <c r="P24" s="24" t="n">
        <f aca="false">SUMIFS(데이터_성질별수출!$F$3:$F$653,데이터_성질별수출!$E$3:$E$653,$B24,데이터_성질별수출!$B$3:$B$653,2026,데이터_성질별수출!$C$3:$C$653,"&lt;=7")</f>
        <v>2558006.4</v>
      </c>
      <c r="Q24" s="37" t="n">
        <f aca="false">IFERROR(K24/SUMIFS(데이터_성질별수출!$F$3:$F$653,데이터_성질별수출!$E$3:$E$653,$B24,데이터_성질별수출!$B$3:$B$653,2025,데이터_성질별수출!$C$3:$C$653,"&lt;=7"),"-")</f>
        <v>16.3902814833696</v>
      </c>
      <c r="R24" s="37" t="n">
        <f aca="false">IFERROR(L24/P24,"-")</f>
        <v>16.2720226188644</v>
      </c>
      <c r="S24" s="36" t="n">
        <f aca="false">IFERROR(R24/Q24-1,"-")</f>
        <v>-0.00721518203486338</v>
      </c>
    </row>
    <row r="25" customFormat="false" ht="15" hidden="false" customHeight="true" outlineLevel="0" collapsed="false">
      <c r="A25" s="8" t="s">
        <v>20106</v>
      </c>
      <c r="B25" s="7" t="s">
        <v>15075</v>
      </c>
      <c r="C25" s="59" t="n">
        <f aca="false">IFERROR(분석4B_월별매트릭스!AA249/분석4B_월별매트릭스!O249-1,"-")</f>
        <v>0.799709431791384</v>
      </c>
      <c r="D25" s="59" t="n">
        <f aca="false">IFERROR(분석4B_월별매트릭스!AB249/분석4B_월별매트릭스!P249-1,"-")</f>
        <v>1.0463115062245</v>
      </c>
      <c r="E25" s="59" t="n">
        <f aca="false">IFERROR(분석4B_월별매트릭스!AC249/분석4B_월별매트릭스!Q249-1,"-")</f>
        <v>1.12637842759614</v>
      </c>
      <c r="F25" s="59" t="n">
        <f aca="false">IFERROR(분석4B_월별매트릭스!AD249/분석4B_월별매트릭스!R249-1,"-")</f>
        <v>1.2753835680044</v>
      </c>
      <c r="G25" s="59" t="n">
        <f aca="false">IFERROR(분석4B_월별매트릭스!AE249/분석4B_월별매트릭스!S249-1,"-")</f>
        <v>1.30439043898389</v>
      </c>
      <c r="H25" s="59" t="n">
        <f aca="false">IFERROR(분석4B_월별매트릭스!AF249/분석4B_월별매트릭스!T249-1,"-")</f>
        <v>1.60134812231285</v>
      </c>
      <c r="I25" s="59" t="n">
        <f aca="false">IFERROR(분석4B_월별매트릭스!AG249/분석4B_월별매트릭스!U249-1,"-")</f>
        <v>1.41729779885776</v>
      </c>
      <c r="J25" s="25" t="n">
        <f aca="false">SUMIFS(데이터_성질별수출!$G$3:$G$653,데이터_성질별수출!$E$3:$E$653,$B25,데이터_성질별수출!$B$3:$B$653,2024,데이터_성질별수출!$C$3:$C$653,"&lt;=7")</f>
        <v>125890699</v>
      </c>
      <c r="K25" s="25" t="n">
        <f aca="false">SUMIFS(데이터_성질별수출!$G$3:$G$653,데이터_성질별수출!$E$3:$E$653,$B25,데이터_성질별수출!$B$3:$B$653,2025,데이터_성질별수출!$C$3:$C$653,"&lt;=7")</f>
        <v>136055620</v>
      </c>
      <c r="L25" s="25" t="n">
        <f aca="false">SUMIFS(데이터_성질별수출!$G$3:$G$653,데이터_성질별수출!$E$3:$E$653,$B25,데이터_성질별수출!$B$3:$B$653,2026,데이터_성질별수출!$C$3:$C$653,"&lt;=7")</f>
        <v>306073009</v>
      </c>
      <c r="M25" s="36" t="n">
        <f aca="false">IFERROR(K25/J25-1,"-")</f>
        <v>0.0807440190637119</v>
      </c>
      <c r="N25" s="36" t="n">
        <f aca="false">IFERROR(L25/K25-1,"-")</f>
        <v>1.24961680377481</v>
      </c>
      <c r="O25" s="34" t="n">
        <f aca="false">IFERROR((L25-K25)/(SUMIFS(데이터_총괄!$H$3:$H$33,데이터_총괄!$B$3:$B$33,2026,데이터_총괄!$C$3:$C$33,"&lt;=7")-SUMIFS(데이터_총괄!$H$3:$H$33,데이터_총괄!$B$3:$B$33,2025,데이터_총괄!$C$3:$C$33,"&lt;=7")),"-")</f>
        <v>0.851474584615803</v>
      </c>
      <c r="P25" s="24" t="n">
        <f aca="false">SUMIFS(데이터_성질별수출!$F$3:$F$653,데이터_성질별수출!$E$3:$E$653,$B25,데이터_성질별수출!$B$3:$B$653,2026,데이터_성질별수출!$C$3:$C$653,"&lt;=7")</f>
        <v>1613667.2</v>
      </c>
      <c r="Q25" s="37" t="n">
        <f aca="false">IFERROR(K25/SUMIFS(데이터_성질별수출!$F$3:$F$653,데이터_성질별수출!$E$3:$E$653,$B25,데이터_성질별수출!$B$3:$B$653,2025,데이터_성질별수출!$C$3:$C$653,"&lt;=7"),"-")</f>
        <v>82.5551213947034</v>
      </c>
      <c r="R25" s="37" t="n">
        <f aca="false">IFERROR(L25/P25,"-")</f>
        <v>189.675423160364</v>
      </c>
      <c r="S25" s="36" t="n">
        <f aca="false">IFERROR(R25/Q25-1,"-")</f>
        <v>1.29756095025903</v>
      </c>
    </row>
    <row r="26" customFormat="false" ht="15" hidden="false" customHeight="true" outlineLevel="0" collapsed="false">
      <c r="A26" s="8" t="s">
        <v>20106</v>
      </c>
      <c r="B26" s="7" t="s">
        <v>15078</v>
      </c>
      <c r="C26" s="59" t="n">
        <f aca="false">IFERROR(분석4B_월별매트릭스!AA250/분석4B_월별매트릭스!O250-1,"-")</f>
        <v>0.111846277359762</v>
      </c>
      <c r="D26" s="59" t="n">
        <f aca="false">IFERROR(분석4B_월별매트릭스!AB250/분석4B_월별매트릭스!P250-1,"-")</f>
        <v>-0.101080593527633</v>
      </c>
      <c r="E26" s="59" t="n">
        <f aca="false">IFERROR(분석4B_월별매트릭스!AC250/분석4B_월별매트릭스!Q250-1,"-")</f>
        <v>0.0335676356936474</v>
      </c>
      <c r="F26" s="59" t="n">
        <f aca="false">IFERROR(분석4B_월별매트릭스!AD250/분석4B_월별매트릭스!R250-1,"-")</f>
        <v>0.0444428103109797</v>
      </c>
      <c r="G26" s="59" t="n">
        <f aca="false">IFERROR(분석4B_월별매트릭스!AE250/분석4B_월별매트릭스!S250-1,"-")</f>
        <v>-0.0275553631622419</v>
      </c>
      <c r="H26" s="59" t="n">
        <f aca="false">IFERROR(분석4B_월별매트릭스!AF250/분석4B_월별매트릭스!T250-1,"-")</f>
        <v>0.0698071069666988</v>
      </c>
      <c r="I26" s="59" t="n">
        <f aca="false">IFERROR(분석4B_월별매트릭스!AG250/분석4B_월별매트릭스!U250-1,"-")</f>
        <v>0.160545812629623</v>
      </c>
      <c r="J26" s="25" t="n">
        <f aca="false">SUMIFS(데이터_성질별수출!$G$3:$G$653,데이터_성질별수출!$E$3:$E$653,$B26,데이터_성질별수출!$B$3:$B$653,2024,데이터_성질별수출!$C$3:$C$653,"&lt;=7")</f>
        <v>69538250</v>
      </c>
      <c r="K26" s="25" t="n">
        <f aca="false">SUMIFS(데이터_성질별수출!$G$3:$G$653,데이터_성질별수출!$E$3:$E$653,$B26,데이터_성질별수출!$B$3:$B$653,2025,데이터_성질별수출!$C$3:$C$653,"&lt;=7")</f>
        <v>72148590</v>
      </c>
      <c r="L26" s="25" t="n">
        <f aca="false">SUMIFS(데이터_성질별수출!$G$3:$G$653,데이터_성질별수출!$E$3:$E$653,$B26,데이터_성질별수출!$B$3:$B$653,2026,데이터_성질별수출!$C$3:$C$653,"&lt;=7")</f>
        <v>75156811</v>
      </c>
      <c r="M26" s="36" t="n">
        <f aca="false">IFERROR(K26/J26-1,"-")</f>
        <v>0.0375381894137399</v>
      </c>
      <c r="N26" s="36" t="n">
        <f aca="false">IFERROR(L26/K26-1,"-")</f>
        <v>0.0416947995795898</v>
      </c>
      <c r="O26" s="34" t="n">
        <f aca="false">IFERROR((L26-K26)/(SUMIFS(데이터_총괄!$H$3:$H$33,데이터_총괄!$B$3:$B$33,2026,데이터_총괄!$C$3:$C$33,"&lt;=7")-SUMIFS(데이터_총괄!$H$3:$H$33,데이터_총괄!$B$3:$B$33,2025,데이터_총괄!$C$3:$C$33,"&lt;=7")),"-")</f>
        <v>0.0150656573511286</v>
      </c>
      <c r="P26" s="24" t="n">
        <f aca="false">SUMIFS(데이터_성질별수출!$F$3:$F$653,데이터_성질별수출!$E$3:$E$653,$B26,데이터_성질별수출!$B$3:$B$653,2026,데이터_성질별수출!$C$3:$C$653,"&lt;=7")</f>
        <v>11349996.5</v>
      </c>
      <c r="Q26" s="37" t="n">
        <f aca="false">IFERROR(K26/SUMIFS(데이터_성질별수출!$F$3:$F$653,데이터_성질별수출!$E$3:$E$653,$B26,데이터_성질별수출!$B$3:$B$653,2025,데이터_성질별수출!$C$3:$C$653,"&lt;=7"),"-")</f>
        <v>6.27231153280685</v>
      </c>
      <c r="R26" s="37" t="n">
        <f aca="false">IFERROR(L26/P26,"-")</f>
        <v>6.62174750450364</v>
      </c>
      <c r="S26" s="36" t="n">
        <f aca="false">IFERROR(R26/Q26-1,"-")</f>
        <v>0.0557108762645295</v>
      </c>
    </row>
    <row r="27" customFormat="false" ht="15" hidden="false" customHeight="true" outlineLevel="0" collapsed="false">
      <c r="A27" s="8" t="s">
        <v>20106</v>
      </c>
      <c r="B27" s="7" t="s">
        <v>15081</v>
      </c>
      <c r="C27" s="59" t="n">
        <f aca="false">IFERROR(분석4B_월별매트릭스!AA251/분석4B_월별매트릭스!O251-1,"-")</f>
        <v>0.183509995895729</v>
      </c>
      <c r="D27" s="59" t="n">
        <f aca="false">IFERROR(분석4B_월별매트릭스!AB251/분석4B_월별매트릭스!P251-1,"-")</f>
        <v>0.0636576871875003</v>
      </c>
      <c r="E27" s="59" t="n">
        <f aca="false">IFERROR(분석4B_월별매트릭스!AC251/분석4B_월별매트릭스!Q251-1,"-")</f>
        <v>0.190310178863678</v>
      </c>
      <c r="F27" s="59" t="n">
        <f aca="false">IFERROR(분석4B_월별매트릭스!AD251/분석4B_월별매트릭스!R251-1,"-")</f>
        <v>0.0961647899189577</v>
      </c>
      <c r="G27" s="59" t="n">
        <f aca="false">IFERROR(분석4B_월별매트릭스!AE251/분석4B_월별매트릭스!S251-1,"-")</f>
        <v>0.0812047713537971</v>
      </c>
      <c r="H27" s="59" t="n">
        <f aca="false">IFERROR(분석4B_월별매트릭스!AF251/분석4B_월별매트릭스!T251-1,"-")</f>
        <v>0.265274755701364</v>
      </c>
      <c r="I27" s="59" t="n">
        <f aca="false">IFERROR(분석4B_월별매트릭스!AG251/분석4B_월별매트릭스!U251-1,"-")</f>
        <v>0.326277683777067</v>
      </c>
      <c r="J27" s="25" t="n">
        <f aca="false">SUMIFS(데이터_성질별수출!$G$3:$G$653,데이터_성질별수출!$E$3:$E$653,$B27,데이터_성질별수출!$B$3:$B$653,2024,데이터_성질별수출!$C$3:$C$653,"&lt;=7")</f>
        <v>11659701</v>
      </c>
      <c r="K27" s="25" t="n">
        <f aca="false">SUMIFS(데이터_성질별수출!$G$3:$G$653,데이터_성질별수출!$E$3:$E$653,$B27,데이터_성질별수출!$B$3:$B$653,2025,데이터_성질별수출!$C$3:$C$653,"&lt;=7")</f>
        <v>13243261</v>
      </c>
      <c r="L27" s="25" t="n">
        <f aca="false">SUMIFS(데이터_성질별수출!$G$3:$G$653,데이터_성질별수출!$E$3:$E$653,$B27,데이터_성질별수출!$B$3:$B$653,2026,데이터_성질별수출!$C$3:$C$653,"&lt;=7")</f>
        <v>15586749</v>
      </c>
      <c r="M27" s="36" t="n">
        <f aca="false">IFERROR(K27/J27-1,"-")</f>
        <v>0.13581480348424</v>
      </c>
      <c r="N27" s="36" t="n">
        <f aca="false">IFERROR(L27/K27-1,"-")</f>
        <v>0.176957019875996</v>
      </c>
      <c r="O27" s="34" t="n">
        <f aca="false">IFERROR((L27-K27)/(SUMIFS(데이터_총괄!$H$3:$H$33,데이터_총괄!$B$3:$B$33,2026,데이터_총괄!$C$3:$C$33,"&lt;=7")-SUMIFS(데이터_총괄!$H$3:$H$33,데이터_총괄!$B$3:$B$33,2025,데이터_총괄!$C$3:$C$33,"&lt;=7")),"-")</f>
        <v>0.0117365669658185</v>
      </c>
      <c r="P27" s="24" t="n">
        <f aca="false">SUMIFS(데이터_성질별수출!$F$3:$F$653,데이터_성질별수출!$E$3:$E$653,$B27,데이터_성질별수출!$B$3:$B$653,2026,데이터_성질별수출!$C$3:$C$653,"&lt;=7")</f>
        <v>553034.6</v>
      </c>
      <c r="Q27" s="37" t="n">
        <f aca="false">IFERROR(K27/SUMIFS(데이터_성질별수출!$F$3:$F$653,데이터_성질별수출!$E$3:$E$653,$B27,데이터_성질별수출!$B$3:$B$653,2025,데이터_성질별수출!$C$3:$C$653,"&lt;=7"),"-")</f>
        <v>28.3700432129603</v>
      </c>
      <c r="R27" s="37" t="n">
        <f aca="false">IFERROR(L27/P27,"-")</f>
        <v>28.1840394796275</v>
      </c>
      <c r="S27" s="36" t="n">
        <f aca="false">IFERROR(R27/Q27-1,"-")</f>
        <v>-0.00655634296841046</v>
      </c>
    </row>
    <row r="29" customFormat="false" ht="14.25" hidden="false" customHeight="true" outlineLevel="0" collapsed="false">
      <c r="A29" s="23" t="s">
        <v>20108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 customFormat="false" ht="27.75" hidden="false" customHeight="true" outlineLevel="0" collapsed="false">
      <c r="A30" s="5" t="s">
        <v>19674</v>
      </c>
      <c r="B30" s="5" t="s">
        <v>19663</v>
      </c>
      <c r="C30" s="44" t="s">
        <v>19967</v>
      </c>
      <c r="D30" s="44" t="s">
        <v>19968</v>
      </c>
      <c r="E30" s="44" t="s">
        <v>19969</v>
      </c>
      <c r="F30" s="44" t="s">
        <v>19970</v>
      </c>
      <c r="G30" s="44" t="s">
        <v>19971</v>
      </c>
      <c r="H30" s="44" t="s">
        <v>19972</v>
      </c>
      <c r="I30" s="44" t="s">
        <v>19973</v>
      </c>
      <c r="J30" s="5" t="s">
        <v>20109</v>
      </c>
      <c r="K30" s="5" t="s">
        <v>20110</v>
      </c>
      <c r="L30" s="5" t="s">
        <v>20111</v>
      </c>
      <c r="M30" s="44" t="s">
        <v>19897</v>
      </c>
      <c r="N30" s="44" t="s">
        <v>19898</v>
      </c>
      <c r="O30" s="5" t="s">
        <v>19957</v>
      </c>
      <c r="P30" s="5" t="s">
        <v>19981</v>
      </c>
      <c r="Q30" s="5" t="s">
        <v>20100</v>
      </c>
      <c r="R30" s="5" t="s">
        <v>20101</v>
      </c>
      <c r="S30" s="5" t="s">
        <v>19982</v>
      </c>
    </row>
    <row r="31" customFormat="false" ht="15" hidden="false" customHeight="true" outlineLevel="0" collapsed="false">
      <c r="A31" s="71" t="s">
        <v>20102</v>
      </c>
      <c r="B31" s="72" t="s">
        <v>20112</v>
      </c>
      <c r="C31" s="59" t="n">
        <f aca="false">IFERROR(분석4B_월별매트릭스!AA255/분석4B_월별매트릭스!O255-1,"-")</f>
        <v>0.277241833909012</v>
      </c>
      <c r="D31" s="59" t="n">
        <f aca="false">IFERROR(분석4B_월별매트릭스!AB255/분석4B_월별매트릭스!P255-1,"-")</f>
        <v>0.137269279021085</v>
      </c>
      <c r="E31" s="59" t="n">
        <f aca="false">IFERROR(분석4B_월별매트릭스!AC255/분석4B_월별매트릭스!Q255-1,"-")</f>
        <v>0.022199136213668</v>
      </c>
      <c r="F31" s="59" t="n">
        <f aca="false">IFERROR(분석4B_월별매트릭스!AD255/분석4B_월별매트릭스!R255-1,"-")</f>
        <v>0.050732609257653</v>
      </c>
      <c r="G31" s="59" t="n">
        <f aca="false">IFERROR(분석4B_월별매트릭스!AE255/분석4B_월별매트릭스!S255-1,"-")</f>
        <v>0.0175625352235294</v>
      </c>
      <c r="H31" s="59" t="n">
        <f aca="false">IFERROR(분석4B_월별매트릭스!AF255/분석4B_월별매트릭스!T255-1,"-")</f>
        <v>0.163266159584734</v>
      </c>
      <c r="I31" s="59" t="n">
        <f aca="false">IFERROR(분석4B_월별매트릭스!AG255/분석4B_월별매트릭스!U255-1,"-")</f>
        <v>-0.0304564281766031</v>
      </c>
      <c r="J31" s="30" t="n">
        <f aca="false">SUMIFS(데이터_성질별수입!$G$3:$G$627,데이터_성질별수입!$E$3:$E$627,$B31,데이터_성질별수입!$B$3:$B$627,2024,데이터_성질별수입!$C$3:$C$627,"&lt;=7")</f>
        <v>59230189</v>
      </c>
      <c r="K31" s="30" t="n">
        <f aca="false">SUMIFS(데이터_성질별수입!$G$3:$G$627,데이터_성질별수입!$E$3:$E$627,$B31,데이터_성질별수입!$B$3:$B$627,2025,데이터_성질별수입!$C$3:$C$627,"&lt;=7")</f>
        <v>60611844</v>
      </c>
      <c r="L31" s="30" t="n">
        <f aca="false">SUMIFS(데이터_성질별수입!$G$3:$G$627,데이터_성질별수입!$E$3:$E$627,$B31,데이터_성질별수입!$B$3:$B$627,2026,데이터_성질별수입!$C$3:$C$627,"&lt;=7")</f>
        <v>65829381</v>
      </c>
      <c r="M31" s="36" t="n">
        <f aca="false">IFERROR(K31/J31-1,"-")</f>
        <v>0.0233268713695984</v>
      </c>
      <c r="N31" s="41" t="n">
        <f aca="false">IFERROR(L31/K31-1,"-")</f>
        <v>0.0860811461205504</v>
      </c>
      <c r="O31" s="34" t="n">
        <f aca="false">IFERROR((L31-K31)/(SUMIFS(데이터_총괄!$H$3:$H$33,데이터_총괄!$B$3:$B$33,2026,데이터_총괄!$C$3:$C$33,"&lt;=7")-SUMIFS(데이터_총괄!$H$3:$H$33,데이터_총괄!$B$3:$B$33,2025,데이터_총괄!$C$3:$C$33,"&lt;=7")),"-")</f>
        <v>0.0261302692384753</v>
      </c>
      <c r="P31" s="24" t="n">
        <f aca="false">SUMIFS(데이터_성질별수입!$F$3:$F$627,데이터_성질별수입!$E$3:$E$627,$B31,데이터_성질별수입!$B$3:$B$627,2026,데이터_성질별수입!$C$3:$C$627,"&lt;=7")</f>
        <v>23557803.4</v>
      </c>
      <c r="Q31" s="37" t="n">
        <f aca="false">IFERROR(K31/SUMIFS(데이터_성질별수입!$F$3:$F$627,데이터_성질별수입!$E$3:$E$627,$B31,데이터_성질별수입!$B$3:$B$627,2025,데이터_성질별수입!$C$3:$C$627,"&lt;=7"),"-")</f>
        <v>2.61162153547661</v>
      </c>
      <c r="R31" s="37" t="n">
        <f aca="false">IFERROR(L31/P31,"-")</f>
        <v>2.79437687301525</v>
      </c>
      <c r="S31" s="36" t="n">
        <f aca="false">IFERROR(R31/Q31-1,"-")</f>
        <v>0.0699777265028889</v>
      </c>
    </row>
    <row r="32" customFormat="false" ht="15" hidden="false" customHeight="true" outlineLevel="0" collapsed="false">
      <c r="A32" s="8" t="s">
        <v>20106</v>
      </c>
      <c r="B32" s="7" t="s">
        <v>16341</v>
      </c>
      <c r="C32" s="59" t="n">
        <f aca="false">IFERROR(분석4B_월별매트릭스!AA256/분석4B_월별매트릭스!O256-1,"-")</f>
        <v>0.0360629796415153</v>
      </c>
      <c r="D32" s="59" t="n">
        <f aca="false">IFERROR(분석4B_월별매트릭스!AB256/분석4B_월별매트릭스!P256-1,"-")</f>
        <v>-0.135611830350459</v>
      </c>
      <c r="E32" s="59" t="n">
        <f aca="false">IFERROR(분석4B_월별매트릭스!AC256/분석4B_월별매트릭스!Q256-1,"-")</f>
        <v>0.132544456596589</v>
      </c>
      <c r="F32" s="59" t="n">
        <f aca="false">IFERROR(분석4B_월별매트릭스!AD256/분석4B_월별매트릭스!R256-1,"-")</f>
        <v>0.0456257562360387</v>
      </c>
      <c r="G32" s="59" t="n">
        <f aca="false">IFERROR(분석4B_월별매트릭스!AE256/분석4B_월별매트릭스!S256-1,"-")</f>
        <v>-0.0517232017616627</v>
      </c>
      <c r="H32" s="59" t="n">
        <f aca="false">IFERROR(분석4B_월별매트릭스!AF256/분석4B_월별매트릭스!T256-1,"-")</f>
        <v>-0.0392940164836366</v>
      </c>
      <c r="I32" s="59" t="n">
        <f aca="false">IFERROR(분석4B_월별매트릭스!AG256/분석4B_월별매트릭스!U256-1,"-")</f>
        <v>0.22869389935493</v>
      </c>
      <c r="J32" s="25" t="n">
        <f aca="false">SUMIFS(데이터_성질별수입!$G$3:$G$627,데이터_성질별수입!$E$3:$E$627,$B32,데이터_성질별수입!$B$3:$B$627,2024,데이터_성질별수입!$C$3:$C$627,"&lt;=7")</f>
        <v>5217129</v>
      </c>
      <c r="K32" s="25" t="n">
        <f aca="false">SUMIFS(데이터_성질별수입!$G$3:$G$627,데이터_성질별수입!$E$3:$E$627,$B32,데이터_성질별수입!$B$3:$B$627,2025,데이터_성질별수입!$C$3:$C$627,"&lt;=7")</f>
        <v>4593472</v>
      </c>
      <c r="L32" s="25" t="n">
        <f aca="false">SUMIFS(데이터_성질별수입!$G$3:$G$627,데이터_성질별수입!$E$3:$E$627,$B32,데이터_성질별수입!$B$3:$B$627,2026,데이터_성질별수입!$C$3:$C$627,"&lt;=7")</f>
        <v>4711924</v>
      </c>
      <c r="M32" s="36" t="n">
        <f aca="false">IFERROR(K32/J32-1,"-")</f>
        <v>-0.119540268220318</v>
      </c>
      <c r="N32" s="36" t="n">
        <f aca="false">IFERROR(L32/K32-1,"-")</f>
        <v>0.0257870299416214</v>
      </c>
      <c r="O32" s="34" t="n">
        <f aca="false">IFERROR((L32-K32)/(SUMIFS(데이터_총괄!$H$3:$H$33,데이터_총괄!$B$3:$B$33,2026,데이터_총괄!$C$3:$C$33,"&lt;=7")-SUMIFS(데이터_총괄!$H$3:$H$33,데이터_총괄!$B$3:$B$33,2025,데이터_총괄!$C$3:$C$33,"&lt;=7")),"-")</f>
        <v>0.000593226775744163</v>
      </c>
      <c r="P32" s="24" t="n">
        <f aca="false">SUMIFS(데이터_성질별수입!$F$3:$F$627,데이터_성질별수입!$E$3:$E$627,$B32,데이터_성질별수입!$B$3:$B$627,2026,데이터_성질별수입!$C$3:$C$627,"&lt;=7")</f>
        <v>15236276.9</v>
      </c>
      <c r="Q32" s="37" t="n">
        <f aca="false">IFERROR(K32/SUMIFS(데이터_성질별수입!$F$3:$F$627,데이터_성질별수입!$E$3:$E$627,$B32,데이터_성질별수입!$B$3:$B$627,2025,데이터_성질별수입!$C$3:$C$627,"&lt;=7"),"-")</f>
        <v>0.306244416722235</v>
      </c>
      <c r="R32" s="37" t="n">
        <f aca="false">IFERROR(L32/P32,"-")</f>
        <v>0.30925691564453</v>
      </c>
      <c r="S32" s="36" t="n">
        <f aca="false">IFERROR(R32/Q32-1,"-")</f>
        <v>0.00983691051264835</v>
      </c>
    </row>
    <row r="33" customFormat="false" ht="15" hidden="false" customHeight="true" outlineLevel="0" collapsed="false">
      <c r="A33" s="8" t="s">
        <v>20106</v>
      </c>
      <c r="B33" s="7" t="s">
        <v>16344</v>
      </c>
      <c r="C33" s="59" t="n">
        <f aca="false">IFERROR(분석4B_월별매트릭스!AA257/분석4B_월별매트릭스!O257-1,"-")</f>
        <v>0.247979448879298</v>
      </c>
      <c r="D33" s="59" t="n">
        <f aca="false">IFERROR(분석4B_월별매트릭스!AB257/분석4B_월별매트릭스!P257-1,"-")</f>
        <v>-0.0357405676765099</v>
      </c>
      <c r="E33" s="59" t="n">
        <f aca="false">IFERROR(분석4B_월별매트릭스!AC257/분석4B_월별매트릭스!Q257-1,"-")</f>
        <v>0.10236011570429</v>
      </c>
      <c r="F33" s="59" t="n">
        <f aca="false">IFERROR(분석4B_월별매트릭스!AD257/분석4B_월별매트릭스!R257-1,"-")</f>
        <v>0.0125771555653622</v>
      </c>
      <c r="G33" s="59" t="n">
        <f aca="false">IFERROR(분석4B_월별매트릭스!AE257/분석4B_월별매트릭스!S257-1,"-")</f>
        <v>-0.0386772791234085</v>
      </c>
      <c r="H33" s="59" t="n">
        <f aca="false">IFERROR(분석4B_월별매트릭스!AF257/분석4B_월별매트릭스!T257-1,"-")</f>
        <v>0.0316256742773522</v>
      </c>
      <c r="I33" s="59" t="n">
        <f aca="false">IFERROR(분석4B_월별매트릭스!AG257/분석4B_월별매트릭스!U257-1,"-")</f>
        <v>-0.0433516263109658</v>
      </c>
      <c r="J33" s="25" t="n">
        <f aca="false">SUMIFS(데이터_성질별수입!$G$3:$G$627,데이터_성질별수입!$E$3:$E$627,$B33,데이터_성질별수입!$B$3:$B$627,2024,데이터_성질별수입!$C$3:$C$627,"&lt;=7")</f>
        <v>16431104</v>
      </c>
      <c r="K33" s="25" t="n">
        <f aca="false">SUMIFS(데이터_성질별수입!$G$3:$G$627,데이터_성질별수입!$E$3:$E$627,$B33,데이터_성질별수입!$B$3:$B$627,2025,데이터_성질별수입!$C$3:$C$627,"&lt;=7")</f>
        <v>17198924</v>
      </c>
      <c r="L33" s="25" t="n">
        <f aca="false">SUMIFS(데이터_성질별수입!$G$3:$G$627,데이터_성질별수입!$E$3:$E$627,$B33,데이터_성질별수입!$B$3:$B$627,2026,데이터_성질별수입!$C$3:$C$627,"&lt;=7")</f>
        <v>17857988</v>
      </c>
      <c r="M33" s="36" t="n">
        <f aca="false">IFERROR(K33/J33-1,"-")</f>
        <v>0.046729665882463</v>
      </c>
      <c r="N33" s="36" t="n">
        <f aca="false">IFERROR(L33/K33-1,"-")</f>
        <v>0.0383200716509939</v>
      </c>
      <c r="O33" s="34" t="n">
        <f aca="false">IFERROR((L33-K33)/(SUMIFS(데이터_총괄!$H$3:$H$33,데이터_총괄!$B$3:$B$33,2026,데이터_총괄!$C$3:$C$33,"&lt;=7")-SUMIFS(데이터_총괄!$H$3:$H$33,데이터_총괄!$B$3:$B$33,2025,데이터_총괄!$C$3:$C$33,"&lt;=7")),"-")</f>
        <v>0.00330069911634291</v>
      </c>
      <c r="P33" s="24" t="n">
        <f aca="false">SUMIFS(데이터_성질별수입!$F$3:$F$627,데이터_성질별수입!$E$3:$E$627,$B33,데이터_성질별수입!$B$3:$B$627,2026,데이터_성질별수입!$C$3:$C$627,"&lt;=7")</f>
        <v>5348732.7</v>
      </c>
      <c r="Q33" s="37" t="n">
        <f aca="false">IFERROR(K33/SUMIFS(데이터_성질별수입!$F$3:$F$627,데이터_성질별수입!$E$3:$E$627,$B33,데이터_성질별수입!$B$3:$B$627,2025,데이터_성질별수입!$C$3:$C$627,"&lt;=7"),"-")</f>
        <v>3.15950365133798</v>
      </c>
      <c r="R33" s="37" t="n">
        <f aca="false">IFERROR(L33/P33,"-")</f>
        <v>3.33873255621841</v>
      </c>
      <c r="S33" s="36" t="n">
        <f aca="false">IFERROR(R33/Q33-1,"-")</f>
        <v>0.0567269181045347</v>
      </c>
    </row>
    <row r="34" customFormat="false" ht="15" hidden="false" customHeight="true" outlineLevel="0" collapsed="false">
      <c r="A34" s="8" t="s">
        <v>20106</v>
      </c>
      <c r="B34" s="7" t="s">
        <v>16347</v>
      </c>
      <c r="C34" s="59" t="n">
        <f aca="false">IFERROR(분석4B_월별매트릭스!AA258/분석4B_월별매트릭스!O258-1,"-")</f>
        <v>0.525680168618228</v>
      </c>
      <c r="D34" s="59" t="n">
        <f aca="false">IFERROR(분석4B_월별매트릭스!AB258/분석4B_월별매트릭스!P258-1,"-")</f>
        <v>0.354100523341245</v>
      </c>
      <c r="E34" s="59" t="n">
        <f aca="false">IFERROR(분석4B_월별매트릭스!AC258/분석4B_월별매트릭스!Q258-1,"-")</f>
        <v>-0.00574844584544021</v>
      </c>
      <c r="F34" s="59" t="n">
        <f aca="false">IFERROR(분석4B_월별매트릭스!AD258/분석4B_월별매트릭스!R258-1,"-")</f>
        <v>0.0766414796395658</v>
      </c>
      <c r="G34" s="59" t="n">
        <f aca="false">IFERROR(분석4B_월별매트릭스!AE258/분석4B_월별매트릭스!S258-1,"-")</f>
        <v>0.0431351737473837</v>
      </c>
      <c r="H34" s="59" t="n">
        <f aca="false">IFERROR(분석4B_월별매트릭스!AF258/분석4B_월별매트릭스!T258-1,"-")</f>
        <v>0.31065270072026</v>
      </c>
      <c r="I34" s="59" t="n">
        <f aca="false">IFERROR(분석4B_월별매트릭스!AG258/분석4B_월별매트릭스!U258-1,"-")</f>
        <v>-0.0657185580022559</v>
      </c>
      <c r="J34" s="25" t="n">
        <f aca="false">SUMIFS(데이터_성질별수입!$G$3:$G$627,데이터_성질별수입!$E$3:$E$627,$B34,데이터_성질별수입!$B$3:$B$627,2024,데이터_성질별수입!$C$3:$C$627,"&lt;=7")</f>
        <v>23828484</v>
      </c>
      <c r="K34" s="25" t="n">
        <f aca="false">SUMIFS(데이터_성질별수입!$G$3:$G$627,데이터_성질별수입!$E$3:$E$627,$B34,데이터_성질별수입!$B$3:$B$627,2025,데이터_성질별수입!$C$3:$C$627,"&lt;=7")</f>
        <v>25387283</v>
      </c>
      <c r="L34" s="25" t="n">
        <f aca="false">SUMIFS(데이터_성질별수입!$G$3:$G$627,데이터_성질별수입!$E$3:$E$627,$B34,데이터_성질별수입!$B$3:$B$627,2026,데이터_성질별수입!$C$3:$C$627,"&lt;=7")</f>
        <v>29369842</v>
      </c>
      <c r="M34" s="36" t="n">
        <f aca="false">IFERROR(K34/J34-1,"-")</f>
        <v>0.0654174642415355</v>
      </c>
      <c r="N34" s="36" t="n">
        <f aca="false">IFERROR(L34/K34-1,"-")</f>
        <v>0.156872202511785</v>
      </c>
      <c r="O34" s="34" t="n">
        <f aca="false">IFERROR((L34-K34)/(SUMIFS(데이터_총괄!$H$3:$H$33,데이터_총괄!$B$3:$B$33,2026,데이터_총괄!$C$3:$C$33,"&lt;=7")-SUMIFS(데이터_총괄!$H$3:$H$33,데이터_총괄!$B$3:$B$33,2025,데이터_총괄!$C$3:$C$33,"&lt;=7")),"-")</f>
        <v>0.0199452996553954</v>
      </c>
      <c r="P34" s="24" t="n">
        <f aca="false">SUMIFS(데이터_성질별수입!$F$3:$F$627,데이터_성질별수입!$E$3:$E$627,$B34,데이터_성질별수입!$B$3:$B$627,2026,데이터_성질별수입!$C$3:$C$627,"&lt;=7")</f>
        <v>2116214.1</v>
      </c>
      <c r="Q34" s="37" t="n">
        <f aca="false">IFERROR(K34/SUMIFS(데이터_성질별수입!$F$3:$F$627,데이터_성질별수입!$E$3:$E$627,$B34,데이터_성질별수입!$B$3:$B$627,2025,데이터_성질별수입!$C$3:$C$627,"&lt;=7"),"-")</f>
        <v>13.1031733202195</v>
      </c>
      <c r="R34" s="37" t="n">
        <f aca="false">IFERROR(L34/P34,"-")</f>
        <v>13.8784832782279</v>
      </c>
      <c r="S34" s="36" t="n">
        <f aca="false">IFERROR(R34/Q34-1,"-")</f>
        <v>0.059169633115667</v>
      </c>
    </row>
    <row r="35" customFormat="false" ht="15" hidden="false" customHeight="true" outlineLevel="0" collapsed="false">
      <c r="A35" s="8" t="s">
        <v>20106</v>
      </c>
      <c r="B35" s="7" t="s">
        <v>16350</v>
      </c>
      <c r="C35" s="59" t="n">
        <f aca="false">IFERROR(분석4B_월별매트릭스!AA259/분석4B_월별매트릭스!O259-1,"-")</f>
        <v>0.0335995685125023</v>
      </c>
      <c r="D35" s="59" t="n">
        <f aca="false">IFERROR(분석4B_월별매트릭스!AB259/분석4B_월별매트릭스!P259-1,"-")</f>
        <v>0.0551405119259876</v>
      </c>
      <c r="E35" s="59" t="n">
        <f aca="false">IFERROR(분석4B_월별매트릭스!AC259/분석4B_월별매트릭스!Q259-1,"-")</f>
        <v>-0.0498794011513422</v>
      </c>
      <c r="F35" s="59" t="n">
        <f aca="false">IFERROR(분석4B_월별매트릭스!AD259/분석4B_월별매트릭스!R259-1,"-")</f>
        <v>0.0513546639532498</v>
      </c>
      <c r="G35" s="59" t="n">
        <f aca="false">IFERROR(분석4B_월별매트릭스!AE259/분석4B_월별매트릭스!S259-1,"-")</f>
        <v>0.0692636565418821</v>
      </c>
      <c r="H35" s="59" t="n">
        <f aca="false">IFERROR(분석4B_월별매트릭스!AF259/분석4B_월별매트릭스!T259-1,"-")</f>
        <v>0.127627525241234</v>
      </c>
      <c r="I35" s="59" t="n">
        <f aca="false">IFERROR(분석4B_월별매트릭스!AG259/분석4B_월별매트릭스!U259-1,"-")</f>
        <v>-0.0242725312282656</v>
      </c>
      <c r="J35" s="25" t="n">
        <f aca="false">SUMIFS(데이터_성질별수입!$G$3:$G$627,데이터_성질별수입!$E$3:$E$627,$B35,데이터_성질별수입!$B$3:$B$627,2024,데이터_성질별수입!$C$3:$C$627,"&lt;=7")</f>
        <v>13753470</v>
      </c>
      <c r="K35" s="25" t="n">
        <f aca="false">SUMIFS(데이터_성질별수입!$G$3:$G$627,데이터_성질별수입!$E$3:$E$627,$B35,데이터_성질별수입!$B$3:$B$627,2025,데이터_성질별수입!$C$3:$C$627,"&lt;=7")</f>
        <v>13432165</v>
      </c>
      <c r="L35" s="25" t="n">
        <f aca="false">SUMIFS(데이터_성질별수입!$G$3:$G$627,데이터_성질별수입!$E$3:$E$627,$B35,데이터_성질별수입!$B$3:$B$627,2026,데이터_성질별수입!$C$3:$C$627,"&lt;=7")</f>
        <v>13889625</v>
      </c>
      <c r="M35" s="36" t="n">
        <f aca="false">IFERROR(K35/J35-1,"-")</f>
        <v>-0.023361740709799</v>
      </c>
      <c r="N35" s="36" t="n">
        <f aca="false">IFERROR(L35/K35-1,"-")</f>
        <v>0.0340570563271074</v>
      </c>
      <c r="O35" s="34" t="n">
        <f aca="false">IFERROR((L35-K35)/(SUMIFS(데이터_총괄!$H$3:$H$33,데이터_총괄!$B$3:$B$33,2026,데이터_총괄!$C$3:$C$33,"&lt;=7")-SUMIFS(데이터_총괄!$H$3:$H$33,데이터_총괄!$B$3:$B$33,2025,데이터_총괄!$C$3:$C$33,"&lt;=7")),"-")</f>
        <v>0.00229103367466927</v>
      </c>
      <c r="P35" s="24" t="n">
        <f aca="false">SUMIFS(데이터_성질별수입!$F$3:$F$627,데이터_성질별수입!$E$3:$E$627,$B35,데이터_성질별수입!$B$3:$B$627,2026,데이터_성질별수입!$C$3:$C$627,"&lt;=7")</f>
        <v>856579.5</v>
      </c>
      <c r="Q35" s="37" t="n">
        <f aca="false">IFERROR(K35/SUMIFS(데이터_성질별수입!$F$3:$F$627,데이터_성질별수입!$E$3:$E$627,$B35,데이터_성질별수입!$B$3:$B$627,2025,데이터_성질별수입!$C$3:$C$627,"&lt;=7"),"-")</f>
        <v>16.2204585870164</v>
      </c>
      <c r="R35" s="37" t="n">
        <f aca="false">IFERROR(L35/P35,"-")</f>
        <v>16.2152199533143</v>
      </c>
      <c r="S35" s="36" t="n">
        <f aca="false">IFERROR(R35/Q35-1,"-")</f>
        <v>-0.00032296458660408</v>
      </c>
    </row>
    <row r="36" customFormat="false" ht="15" hidden="false" customHeight="true" outlineLevel="0" collapsed="false">
      <c r="A36" s="8" t="s">
        <v>20106</v>
      </c>
      <c r="B36" s="7" t="s">
        <v>16353</v>
      </c>
      <c r="C36" s="59" t="str">
        <f aca="false">IFERROR(분석4B_월별매트릭스!AA260/분석4B_월별매트릭스!O260-1,"-")</f>
        <v>-</v>
      </c>
      <c r="D36" s="59" t="str">
        <f aca="false">IFERROR(분석4B_월별매트릭스!AB260/분석4B_월별매트릭스!P260-1,"-")</f>
        <v>-</v>
      </c>
      <c r="E36" s="59" t="str">
        <f aca="false">IFERROR(분석4B_월별매트릭스!AC260/분석4B_월별매트릭스!Q260-1,"-")</f>
        <v>-</v>
      </c>
      <c r="F36" s="59" t="str">
        <f aca="false">IFERROR(분석4B_월별매트릭스!AD260/분석4B_월별매트릭스!R260-1,"-")</f>
        <v>-</v>
      </c>
      <c r="G36" s="59" t="str">
        <f aca="false">IFERROR(분석4B_월별매트릭스!AE260/분석4B_월별매트릭스!S260-1,"-")</f>
        <v>-</v>
      </c>
      <c r="H36" s="59" t="str">
        <f aca="false">IFERROR(분석4B_월별매트릭스!AF260/분석4B_월별매트릭스!T260-1,"-")</f>
        <v>-</v>
      </c>
      <c r="I36" s="59" t="str">
        <f aca="false">IFERROR(분석4B_월별매트릭스!AG260/분석4B_월별매트릭스!U260-1,"-")</f>
        <v>-</v>
      </c>
      <c r="J36" s="25" t="n">
        <f aca="false">SUMIFS(데이터_성질별수입!$G$3:$G$627,데이터_성질별수입!$E$3:$E$627,$B36,데이터_성질별수입!$B$3:$B$627,2024,데이터_성질별수입!$C$3:$C$627,"&lt;=7")</f>
        <v>0</v>
      </c>
      <c r="K36" s="25" t="n">
        <f aca="false">SUMIFS(데이터_성질별수입!$G$3:$G$627,데이터_성질별수입!$E$3:$E$627,$B36,데이터_성질별수입!$B$3:$B$627,2025,데이터_성질별수입!$C$3:$C$627,"&lt;=7")</f>
        <v>0</v>
      </c>
      <c r="L36" s="25" t="n">
        <f aca="false">SUMIFS(데이터_성질별수입!$G$3:$G$627,데이터_성질별수입!$E$3:$E$627,$B36,데이터_성질별수입!$B$3:$B$627,2026,데이터_성질별수입!$C$3:$C$627,"&lt;=7")</f>
        <v>0</v>
      </c>
      <c r="M36" s="36" t="str">
        <f aca="false">IFERROR(K36/J36-1,"-")</f>
        <v>-</v>
      </c>
      <c r="N36" s="36" t="str">
        <f aca="false">IFERROR(L36/K36-1,"-")</f>
        <v>-</v>
      </c>
      <c r="O36" s="34" t="n">
        <f aca="false">IFERROR((L36-K36)/(SUMIFS(데이터_총괄!$H$3:$H$33,데이터_총괄!$B$3:$B$33,2026,데이터_총괄!$C$3:$C$33,"&lt;=7")-SUMIFS(데이터_총괄!$H$3:$H$33,데이터_총괄!$B$3:$B$33,2025,데이터_총괄!$C$3:$C$33,"&lt;=7")),"-")</f>
        <v>0</v>
      </c>
      <c r="P36" s="24" t="n">
        <f aca="false">SUMIFS(데이터_성질별수입!$F$3:$F$627,데이터_성질별수입!$E$3:$E$627,$B36,데이터_성질별수입!$B$3:$B$627,2026,데이터_성질별수입!$C$3:$C$627,"&lt;=7")</f>
        <v>0.1</v>
      </c>
      <c r="Q36" s="37" t="str">
        <f aca="false">IFERROR(K36/SUMIFS(데이터_성질별수입!$F$3:$F$627,데이터_성질별수입!$E$3:$E$627,$B36,데이터_성질별수입!$B$3:$B$627,2025,데이터_성질별수입!$C$3:$C$627,"&lt;=7"),"-")</f>
        <v>-</v>
      </c>
      <c r="R36" s="37" t="n">
        <f aca="false">IFERROR(L36/P36,"-")</f>
        <v>0</v>
      </c>
      <c r="S36" s="36" t="str">
        <f aca="false">IFERROR(R36/Q36-1,"-")</f>
        <v>-</v>
      </c>
    </row>
    <row r="37" customFormat="false" ht="15" hidden="false" customHeight="true" outlineLevel="0" collapsed="false">
      <c r="A37" s="71" t="s">
        <v>20102</v>
      </c>
      <c r="B37" s="72" t="s">
        <v>20113</v>
      </c>
      <c r="C37" s="59" t="n">
        <f aca="false">IFERROR(분석4B_월별매트릭스!AA261/분석4B_월별매트릭스!O261-1,"-")</f>
        <v>-0.00284781833149528</v>
      </c>
      <c r="D37" s="59" t="n">
        <f aca="false">IFERROR(분석4B_월별매트릭스!AB261/분석4B_월별매트릭스!P261-1,"-")</f>
        <v>-0.0162291014031944</v>
      </c>
      <c r="E37" s="59" t="n">
        <f aca="false">IFERROR(분석4B_월별매트릭스!AC261/분석4B_월별매트릭스!Q261-1,"-")</f>
        <v>0.0973014108146457</v>
      </c>
      <c r="F37" s="59" t="n">
        <f aca="false">IFERROR(분석4B_월별매트릭스!AD261/분석4B_월별매트릭스!R261-1,"-")</f>
        <v>0.122105020363463</v>
      </c>
      <c r="G37" s="59" t="n">
        <f aca="false">IFERROR(분석4B_월별매트릭스!AE261/분석4B_월별매트릭스!S261-1,"-")</f>
        <v>0.218901291088761</v>
      </c>
      <c r="H37" s="59" t="n">
        <f aca="false">IFERROR(분석4B_월별매트릭스!AF261/분석4B_월별매트릭스!T261-1,"-")</f>
        <v>0.303817695353285</v>
      </c>
      <c r="I37" s="59" t="n">
        <f aca="false">IFERROR(분석4B_월별매트릭스!AG261/분석4B_월별매트릭스!U261-1,"-")</f>
        <v>0.291149797926863</v>
      </c>
      <c r="J37" s="30" t="n">
        <f aca="false">SUMIFS(데이터_성질별수입!$G$3:$G$627,데이터_성질별수입!$E$3:$E$627,$B37,데이터_성질별수입!$B$3:$B$627,2024,데이터_성질별수입!$C$3:$C$627,"&lt;=7")</f>
        <v>182987110</v>
      </c>
      <c r="K37" s="30" t="n">
        <f aca="false">SUMIFS(데이터_성질별수입!$G$3:$G$627,데이터_성질별수입!$E$3:$E$627,$B37,데이터_성질별수입!$B$3:$B$627,2025,데이터_성질별수입!$C$3:$C$627,"&lt;=7")</f>
        <v>166940161</v>
      </c>
      <c r="L37" s="30" t="n">
        <f aca="false">SUMIFS(데이터_성질별수입!$G$3:$G$627,데이터_성질별수입!$E$3:$E$627,$B37,데이터_성질별수입!$B$3:$B$627,2026,데이터_성질별수입!$C$3:$C$627,"&lt;=7")</f>
        <v>190904943</v>
      </c>
      <c r="M37" s="36" t="n">
        <f aca="false">IFERROR(K37/J37-1,"-")</f>
        <v>-0.0876944228475984</v>
      </c>
      <c r="N37" s="41" t="n">
        <f aca="false">IFERROR(L37/K37-1,"-")</f>
        <v>0.143553126200711</v>
      </c>
      <c r="O37" s="34" t="n">
        <f aca="false">IFERROR((L37-K37)/(SUMIFS(데이터_총괄!$H$3:$H$33,데이터_총괄!$B$3:$B$33,2026,데이터_총괄!$C$3:$C$33,"&lt;=7")-SUMIFS(데이터_총괄!$H$3:$H$33,데이터_총괄!$B$3:$B$33,2025,데이터_총괄!$C$3:$C$33,"&lt;=7")),"-")</f>
        <v>0.120019504586429</v>
      </c>
      <c r="P37" s="24" t="n">
        <f aca="false">SUMIFS(데이터_성질별수입!$F$3:$F$627,데이터_성질별수입!$E$3:$E$627,$B37,데이터_성질별수입!$B$3:$B$627,2026,데이터_성질별수입!$C$3:$C$627,"&lt;=7")</f>
        <v>283961284.4</v>
      </c>
      <c r="Q37" s="37" t="n">
        <f aca="false">IFERROR(K37/SUMIFS(데이터_성질별수입!$F$3:$F$627,데이터_성질별수입!$E$3:$E$627,$B37,데이터_성질별수입!$B$3:$B$627,2025,데이터_성질별수입!$C$3:$C$627,"&lt;=7"),"-")</f>
        <v>0.593183892283537</v>
      </c>
      <c r="R37" s="37" t="n">
        <f aca="false">IFERROR(L37/P37,"-")</f>
        <v>0.672292152091703</v>
      </c>
      <c r="S37" s="36" t="n">
        <f aca="false">IFERROR(R37/Q37-1,"-")</f>
        <v>0.133362117274675</v>
      </c>
    </row>
    <row r="38" customFormat="false" ht="15" hidden="false" customHeight="true" outlineLevel="0" collapsed="false">
      <c r="A38" s="8" t="s">
        <v>20106</v>
      </c>
      <c r="B38" s="7" t="s">
        <v>16357</v>
      </c>
      <c r="C38" s="59" t="n">
        <f aca="false">IFERROR(분석4B_월별매트릭스!AA262/분석4B_월별매트릭스!O262-1,"-")</f>
        <v>-0.133096590498071</v>
      </c>
      <c r="D38" s="59" t="n">
        <f aca="false">IFERROR(분석4B_월별매트릭스!AB262/분석4B_월별매트릭스!P262-1,"-")</f>
        <v>-0.0407632715979233</v>
      </c>
      <c r="E38" s="59" t="n">
        <f aca="false">IFERROR(분석4B_월별매트릭스!AC262/분석4B_월별매트릭스!Q262-1,"-")</f>
        <v>-0.033226260908236</v>
      </c>
      <c r="F38" s="59" t="n">
        <f aca="false">IFERROR(분석4B_월별매트릭스!AD262/분석4B_월별매트릭스!R262-1,"-")</f>
        <v>0.0665056721900861</v>
      </c>
      <c r="G38" s="59" t="n">
        <f aca="false">IFERROR(분석4B_월별매트릭스!AE262/분석4B_월별매트릭스!S262-1,"-")</f>
        <v>0.225828341902733</v>
      </c>
      <c r="H38" s="59" t="n">
        <f aca="false">IFERROR(분석4B_월별매트릭스!AF262/분석4B_월별매트릭스!T262-1,"-")</f>
        <v>0.413454504677441</v>
      </c>
      <c r="I38" s="59" t="n">
        <f aca="false">IFERROR(분석4B_월별매트릭스!AG262/분석4B_월별매트릭스!U262-1,"-")</f>
        <v>0.393048452902311</v>
      </c>
      <c r="J38" s="25" t="n">
        <f aca="false">SUMIFS(데이터_성질별수입!$G$3:$G$627,데이터_성질별수입!$E$3:$E$627,$B38,데이터_성질별수입!$B$3:$B$627,2024,데이터_성질별수입!$C$3:$C$627,"&lt;=7")</f>
        <v>96134690</v>
      </c>
      <c r="K38" s="25" t="n">
        <f aca="false">SUMIFS(데이터_성질별수입!$G$3:$G$627,데이터_성질별수입!$E$3:$E$627,$B38,데이터_성질별수입!$B$3:$B$627,2025,데이터_성질별수입!$C$3:$C$627,"&lt;=7")</f>
        <v>82374104</v>
      </c>
      <c r="L38" s="25" t="n">
        <f aca="false">SUMIFS(데이터_성질별수입!$G$3:$G$627,데이터_성질별수입!$E$3:$E$627,$B38,데이터_성질별수입!$B$3:$B$627,2026,데이터_성질별수입!$C$3:$C$627,"&lt;=7")</f>
        <v>91843118</v>
      </c>
      <c r="M38" s="36" t="n">
        <f aca="false">IFERROR(K38/J38-1,"-")</f>
        <v>-0.143138611046647</v>
      </c>
      <c r="N38" s="36" t="n">
        <f aca="false">IFERROR(L38/K38-1,"-")</f>
        <v>0.114951344417658</v>
      </c>
      <c r="O38" s="34" t="n">
        <f aca="false">IFERROR((L38-K38)/(SUMIFS(데이터_총괄!$H$3:$H$33,데이터_총괄!$B$3:$B$33,2026,데이터_총괄!$C$3:$C$33,"&lt;=7")-SUMIFS(데이터_총괄!$H$3:$H$33,데이터_총괄!$B$3:$B$33,2025,데이터_총괄!$C$3:$C$33,"&lt;=7")),"-")</f>
        <v>0.0474223537356595</v>
      </c>
      <c r="P38" s="24" t="n">
        <f aca="false">SUMIFS(데이터_성질별수입!$F$3:$F$627,데이터_성질별수입!$E$3:$E$627,$B38,데이터_성질별수입!$B$3:$B$627,2026,데이터_성질별수입!$C$3:$C$627,"&lt;=7")</f>
        <v>192646999.8</v>
      </c>
      <c r="Q38" s="37" t="n">
        <f aca="false">IFERROR(K38/SUMIFS(데이터_성질별수입!$F$3:$F$627,데이터_성질별수입!$E$3:$E$627,$B38,데이터_성질별수입!$B$3:$B$627,2025,데이터_성질별수입!$C$3:$C$627,"&lt;=7"),"-")</f>
        <v>0.434313389023079</v>
      </c>
      <c r="R38" s="37" t="n">
        <f aca="false">IFERROR(L38/P38,"-")</f>
        <v>0.476743048660756</v>
      </c>
      <c r="S38" s="36" t="n">
        <f aca="false">IFERROR(R38/Q38-1,"-")</f>
        <v>0.0976936486648865</v>
      </c>
    </row>
    <row r="39" customFormat="false" ht="15" hidden="false" customHeight="true" outlineLevel="0" collapsed="false">
      <c r="A39" s="8" t="s">
        <v>20106</v>
      </c>
      <c r="B39" s="7" t="s">
        <v>16360</v>
      </c>
      <c r="C39" s="59" t="n">
        <f aca="false">IFERROR(분석4B_월별매트릭스!AA263/분석4B_월별매트릭스!O263-1,"-")</f>
        <v>0.346551396306278</v>
      </c>
      <c r="D39" s="59" t="n">
        <f aca="false">IFERROR(분석4B_월별매트릭스!AB263/분석4B_월별매트릭스!P263-1,"-")</f>
        <v>0.269066742676058</v>
      </c>
      <c r="E39" s="59" t="n">
        <f aca="false">IFERROR(분석4B_월별매트릭스!AC263/분석4B_월별매트릭스!Q263-1,"-")</f>
        <v>0.383102307197784</v>
      </c>
      <c r="F39" s="59" t="n">
        <f aca="false">IFERROR(분석4B_월별매트릭스!AD263/분석4B_월별매트릭스!R263-1,"-")</f>
        <v>0.280154517932571</v>
      </c>
      <c r="G39" s="59" t="n">
        <f aca="false">IFERROR(분석4B_월별매트릭스!AE263/분석4B_월별매트릭스!S263-1,"-")</f>
        <v>0.291627812569323</v>
      </c>
      <c r="H39" s="59" t="n">
        <f aca="false">IFERROR(분석4B_월별매트릭스!AF263/분석4B_월별매트릭스!T263-1,"-")</f>
        <v>-0.00931346787941134</v>
      </c>
      <c r="I39" s="59" t="n">
        <f aca="false">IFERROR(분석4B_월별매트릭스!AG263/분석4B_월별매트릭스!U263-1,"-")</f>
        <v>0.394552692367416</v>
      </c>
      <c r="J39" s="25" t="n">
        <f aca="false">SUMIFS(데이터_성질별수입!$G$3:$G$627,데이터_성질별수입!$E$3:$E$627,$B39,데이터_성질별수입!$B$3:$B$627,2024,데이터_성질별수입!$C$3:$C$627,"&lt;=7")</f>
        <v>15447289</v>
      </c>
      <c r="K39" s="25" t="n">
        <f aca="false">SUMIFS(데이터_성질별수입!$G$3:$G$627,데이터_성질별수입!$E$3:$E$627,$B39,데이터_성질별수입!$B$3:$B$627,2025,데이터_성질별수입!$C$3:$C$627,"&lt;=7")</f>
        <v>15926740</v>
      </c>
      <c r="L39" s="25" t="n">
        <f aca="false">SUMIFS(데이터_성질별수입!$G$3:$G$627,데이터_성질별수입!$E$3:$E$627,$B39,데이터_성질별수입!$B$3:$B$627,2026,데이터_성질별수입!$C$3:$C$627,"&lt;=7")</f>
        <v>20267642</v>
      </c>
      <c r="M39" s="36" t="n">
        <f aca="false">IFERROR(K39/J39-1,"-")</f>
        <v>0.0310378733770049</v>
      </c>
      <c r="N39" s="36" t="n">
        <f aca="false">IFERROR(L39/K39-1,"-")</f>
        <v>0.272554333152924</v>
      </c>
      <c r="O39" s="34" t="n">
        <f aca="false">IFERROR((L39-K39)/(SUMIFS(데이터_총괄!$H$3:$H$33,데이터_총괄!$B$3:$B$33,2026,데이터_총괄!$C$3:$C$33,"&lt;=7")-SUMIFS(데이터_총괄!$H$3:$H$33,데이터_총괄!$B$3:$B$33,2025,데이터_총괄!$C$3:$C$33,"&lt;=7")),"-")</f>
        <v>0.0217399393617785</v>
      </c>
      <c r="P39" s="24" t="n">
        <f aca="false">SUMIFS(데이터_성질별수입!$F$3:$F$627,데이터_성질별수입!$E$3:$E$627,$B39,데이터_성질별수입!$B$3:$B$627,2026,데이터_성질별수입!$C$3:$C$627,"&lt;=7")</f>
        <v>52938712.5</v>
      </c>
      <c r="Q39" s="37" t="n">
        <f aca="false">IFERROR(K39/SUMIFS(데이터_성질별수입!$F$3:$F$627,데이터_성질별수입!$E$3:$E$627,$B39,데이터_성질별수입!$B$3:$B$627,2025,데이터_성질별수입!$C$3:$C$627,"&lt;=7"),"-")</f>
        <v>0.302924422907619</v>
      </c>
      <c r="R39" s="37" t="n">
        <f aca="false">IFERROR(L39/P39,"-")</f>
        <v>0.382851056304023</v>
      </c>
      <c r="S39" s="36" t="n">
        <f aca="false">IFERROR(R39/Q39-1,"-")</f>
        <v>0.263850080588514</v>
      </c>
    </row>
    <row r="40" customFormat="false" ht="15" hidden="false" customHeight="true" outlineLevel="0" collapsed="false">
      <c r="A40" s="8" t="s">
        <v>20106</v>
      </c>
      <c r="B40" s="7" t="s">
        <v>16363</v>
      </c>
      <c r="C40" s="59" t="n">
        <f aca="false">IFERROR(분석4B_월별매트릭스!AA264/분석4B_월별매트릭스!O264-1,"-")</f>
        <v>-0.142361793165882</v>
      </c>
      <c r="D40" s="59" t="n">
        <f aca="false">IFERROR(분석4B_월별매트릭스!AB264/분석4B_월별매트릭스!P264-1,"-")</f>
        <v>-0.241629397047254</v>
      </c>
      <c r="E40" s="59" t="n">
        <f aca="false">IFERROR(분석4B_월별매트릭스!AC264/분석4B_월별매트릭스!Q264-1,"-")</f>
        <v>-0.186959304533753</v>
      </c>
      <c r="F40" s="59" t="n">
        <f aca="false">IFERROR(분석4B_월별매트릭스!AD264/분석4B_월별매트릭스!R264-1,"-")</f>
        <v>-0.151672593534081</v>
      </c>
      <c r="G40" s="59" t="n">
        <f aca="false">IFERROR(분석4B_월별매트릭스!AE264/분석4B_월별매트릭스!S264-1,"-")</f>
        <v>-0.110176111016865</v>
      </c>
      <c r="H40" s="59" t="n">
        <f aca="false">IFERROR(분석4B_월별매트릭스!AF264/분석4B_월별매트릭스!T264-1,"-")</f>
        <v>0.00887125775839093</v>
      </c>
      <c r="I40" s="59" t="n">
        <f aca="false">IFERROR(분석4B_월별매트릭스!AG264/분석4B_월별매트릭스!U264-1,"-")</f>
        <v>-0.0592791583543216</v>
      </c>
      <c r="J40" s="25" t="n">
        <f aca="false">SUMIFS(데이터_성질별수입!$G$3:$G$627,데이터_성질별수입!$E$3:$E$627,$B40,데이터_성질별수입!$B$3:$B$627,2024,데이터_성질별수입!$C$3:$C$627,"&lt;=7")</f>
        <v>4003524</v>
      </c>
      <c r="K40" s="25" t="n">
        <f aca="false">SUMIFS(데이터_성질별수입!$G$3:$G$627,데이터_성질별수입!$E$3:$E$627,$B40,데이터_성질별수입!$B$3:$B$627,2025,데이터_성질별수입!$C$3:$C$627,"&lt;=7")</f>
        <v>3925635</v>
      </c>
      <c r="L40" s="25" t="n">
        <f aca="false">SUMIFS(데이터_성질별수입!$G$3:$G$627,데이터_성질별수입!$E$3:$E$627,$B40,데이터_성질별수입!$B$3:$B$627,2026,데이터_성질별수입!$C$3:$C$627,"&lt;=7")</f>
        <v>3423370</v>
      </c>
      <c r="M40" s="36" t="n">
        <f aca="false">IFERROR(K40/J40-1,"-")</f>
        <v>-0.0194551100480477</v>
      </c>
      <c r="N40" s="36" t="n">
        <f aca="false">IFERROR(L40/K40-1,"-")</f>
        <v>-0.127944905728627</v>
      </c>
      <c r="O40" s="34" t="n">
        <f aca="false">IFERROR((L40-K40)/(SUMIFS(데이터_총괄!$H$3:$H$33,데이터_총괄!$B$3:$B$33,2026,데이터_총괄!$C$3:$C$33,"&lt;=7")-SUMIFS(데이터_총괄!$H$3:$H$33,데이터_총괄!$B$3:$B$33,2025,데이터_총괄!$C$3:$C$33,"&lt;=7")),"-")</f>
        <v>-0.00251542436192839</v>
      </c>
      <c r="P40" s="24" t="n">
        <f aca="false">SUMIFS(데이터_성질별수입!$F$3:$F$627,데이터_성질별수입!$E$3:$E$627,$B40,데이터_성질별수입!$B$3:$B$627,2026,데이터_성질별수입!$C$3:$C$627,"&lt;=7")</f>
        <v>7852708.8</v>
      </c>
      <c r="Q40" s="37" t="n">
        <f aca="false">IFERROR(K40/SUMIFS(데이터_성질별수입!$F$3:$F$627,데이터_성질별수입!$E$3:$E$627,$B40,데이터_성질별수입!$B$3:$B$627,2025,데이터_성질별수입!$C$3:$C$627,"&lt;=7"),"-")</f>
        <v>0.452815757940161</v>
      </c>
      <c r="R40" s="37" t="n">
        <f aca="false">IFERROR(L40/P40,"-")</f>
        <v>0.435947656686314</v>
      </c>
      <c r="S40" s="36" t="n">
        <f aca="false">IFERROR(R40/Q40-1,"-")</f>
        <v>-0.0372515773977887</v>
      </c>
    </row>
    <row r="41" customFormat="false" ht="15" hidden="false" customHeight="true" outlineLevel="0" collapsed="false">
      <c r="A41" s="8" t="s">
        <v>20106</v>
      </c>
      <c r="B41" s="7" t="s">
        <v>16366</v>
      </c>
      <c r="C41" s="59" t="n">
        <f aca="false">IFERROR(분석4B_월별매트릭스!AA265/분석4B_월별매트릭스!O265-1,"-")</f>
        <v>0.295179090941214</v>
      </c>
      <c r="D41" s="59" t="n">
        <f aca="false">IFERROR(분석4B_월별매트릭스!AB265/분석4B_월별매트릭스!P265-1,"-")</f>
        <v>-0.0836089798238136</v>
      </c>
      <c r="E41" s="59" t="n">
        <f aca="false">IFERROR(분석4B_월별매트릭스!AC265/분석4B_월별매트릭스!Q265-1,"-")</f>
        <v>0.212329637593855</v>
      </c>
      <c r="F41" s="59" t="n">
        <f aca="false">IFERROR(분석4B_월별매트릭스!AD265/분석4B_월별매트릭스!R265-1,"-")</f>
        <v>0.0315509007808816</v>
      </c>
      <c r="G41" s="59" t="n">
        <f aca="false">IFERROR(분석4B_월별매트릭스!AE265/분석4B_월별매트릭스!S265-1,"-")</f>
        <v>-0.0479881691593138</v>
      </c>
      <c r="H41" s="59" t="n">
        <f aca="false">IFERROR(분석4B_월별매트릭스!AF265/분석4B_월별매트릭스!T265-1,"-")</f>
        <v>0.295963655584719</v>
      </c>
      <c r="I41" s="59" t="n">
        <f aca="false">IFERROR(분석4B_월별매트릭스!AG265/분석4B_월별매트릭스!U265-1,"-")</f>
        <v>0.531498117662558</v>
      </c>
      <c r="J41" s="25" t="n">
        <f aca="false">SUMIFS(데이터_성질별수입!$G$3:$G$627,데이터_성질별수입!$E$3:$E$627,$B41,데이터_성질별수입!$B$3:$B$627,2024,데이터_성질별수입!$C$3:$C$627,"&lt;=7")</f>
        <v>1078590</v>
      </c>
      <c r="K41" s="25" t="n">
        <f aca="false">SUMIFS(데이터_성질별수입!$G$3:$G$627,데이터_성질별수입!$E$3:$E$627,$B41,데이터_성질별수입!$B$3:$B$627,2025,데이터_성질별수입!$C$3:$C$627,"&lt;=7")</f>
        <v>1424354</v>
      </c>
      <c r="L41" s="25" t="n">
        <f aca="false">SUMIFS(데이터_성질별수입!$G$3:$G$627,데이터_성질별수입!$E$3:$E$627,$B41,데이터_성질별수입!$B$3:$B$627,2026,데이터_성질별수입!$C$3:$C$627,"&lt;=7")</f>
        <v>1668467</v>
      </c>
      <c r="M41" s="36" t="n">
        <f aca="false">IFERROR(K41/J41-1,"-")</f>
        <v>0.320570374284946</v>
      </c>
      <c r="N41" s="36" t="n">
        <f aca="false">IFERROR(L41/K41-1,"-")</f>
        <v>0.171385062982938</v>
      </c>
      <c r="O41" s="34" t="n">
        <f aca="false">IFERROR((L41-K41)/(SUMIFS(데이터_총괄!$H$3:$H$33,데이터_총괄!$B$3:$B$33,2026,데이터_총괄!$C$3:$C$33,"&lt;=7")-SUMIFS(데이터_총괄!$H$3:$H$33,데이터_총괄!$B$3:$B$33,2025,데이터_총괄!$C$3:$C$33,"&lt;=7")),"-")</f>
        <v>0.00122255738955218</v>
      </c>
      <c r="P41" s="24" t="n">
        <f aca="false">SUMIFS(데이터_성질별수입!$F$3:$F$627,데이터_성질별수입!$E$3:$E$627,$B41,데이터_성질별수입!$B$3:$B$627,2026,데이터_성질별수입!$C$3:$C$627,"&lt;=7")</f>
        <v>1152211.6</v>
      </c>
      <c r="Q41" s="37" t="n">
        <f aca="false">IFERROR(K41/SUMIFS(데이터_성질별수입!$F$3:$F$627,데이터_성질별수입!$E$3:$E$627,$B41,데이터_성질별수입!$B$3:$B$627,2025,데이터_성질별수입!$C$3:$C$627,"&lt;=7"),"-")</f>
        <v>1.3838240088978</v>
      </c>
      <c r="R41" s="37" t="n">
        <f aca="false">IFERROR(L41/P41,"-")</f>
        <v>1.44805606886791</v>
      </c>
      <c r="S41" s="36" t="n">
        <f aca="false">IFERROR(R41/Q41-1,"-")</f>
        <v>0.0464163503141331</v>
      </c>
    </row>
    <row r="42" customFormat="false" ht="15" hidden="false" customHeight="true" outlineLevel="0" collapsed="false">
      <c r="A42" s="8" t="s">
        <v>20106</v>
      </c>
      <c r="B42" s="7" t="s">
        <v>16369</v>
      </c>
      <c r="C42" s="59" t="n">
        <f aca="false">IFERROR(분석4B_월별매트릭스!AA266/분석4B_월별매트릭스!O266-1,"-")</f>
        <v>0.00539021386977612</v>
      </c>
      <c r="D42" s="59" t="n">
        <f aca="false">IFERROR(분석4B_월별매트릭스!AB266/분석4B_월별매트릭스!P266-1,"-")</f>
        <v>-0.121163862821801</v>
      </c>
      <c r="E42" s="59" t="n">
        <f aca="false">IFERROR(분석4B_월별매트릭스!AC266/분석4B_월별매트릭스!Q266-1,"-")</f>
        <v>-0.0494513477829649</v>
      </c>
      <c r="F42" s="59" t="n">
        <f aca="false">IFERROR(분석4B_월별매트릭스!AD266/분석4B_월별매트릭스!R266-1,"-")</f>
        <v>-0.0167409338288391</v>
      </c>
      <c r="G42" s="59" t="n">
        <f aca="false">IFERROR(분석4B_월별매트릭스!AE266/분석4B_월별매트릭스!S266-1,"-")</f>
        <v>0.00141644430534549</v>
      </c>
      <c r="H42" s="59" t="n">
        <f aca="false">IFERROR(분석4B_월별매트릭스!AF266/분석4B_월별매트릭스!T266-1,"-")</f>
        <v>0.168424716568322</v>
      </c>
      <c r="I42" s="59" t="n">
        <f aca="false">IFERROR(분석4B_월별매트릭스!AG266/분석4B_월별매트릭스!U266-1,"-")</f>
        <v>0.0153029817249117</v>
      </c>
      <c r="J42" s="25" t="n">
        <f aca="false">SUMIFS(데이터_성질별수입!$G$3:$G$627,데이터_성질별수입!$E$3:$E$627,$B42,데이터_성질별수입!$B$3:$B$627,2024,데이터_성질별수입!$C$3:$C$627,"&lt;=7")</f>
        <v>2255248</v>
      </c>
      <c r="K42" s="25" t="n">
        <f aca="false">SUMIFS(데이터_성질별수입!$G$3:$G$627,데이터_성질별수입!$E$3:$E$627,$B42,데이터_성질별수입!$B$3:$B$627,2025,데이터_성질별수입!$C$3:$C$627,"&lt;=7")</f>
        <v>2143240</v>
      </c>
      <c r="L42" s="25" t="n">
        <f aca="false">SUMIFS(데이터_성질별수입!$G$3:$G$627,데이터_성질별수입!$E$3:$E$627,$B42,데이터_성질별수입!$B$3:$B$627,2026,데이터_성질별수입!$C$3:$C$627,"&lt;=7")</f>
        <v>2145410</v>
      </c>
      <c r="M42" s="36" t="n">
        <f aca="false">IFERROR(K42/J42-1,"-")</f>
        <v>-0.0496654913339908</v>
      </c>
      <c r="N42" s="36" t="n">
        <f aca="false">IFERROR(L42/K42-1,"-")</f>
        <v>0.00101248576920931</v>
      </c>
      <c r="O42" s="34" t="n">
        <f aca="false">IFERROR((L42-K42)/(SUMIFS(데이터_총괄!$H$3:$H$33,데이터_총괄!$B$3:$B$33,2026,데이터_총괄!$C$3:$C$33,"&lt;=7")-SUMIFS(데이터_총괄!$H$3:$H$33,데이터_총괄!$B$3:$B$33,2025,데이터_총괄!$C$3:$C$33,"&lt;=7")),"-")</f>
        <v>1.08677109999395E-005</v>
      </c>
      <c r="P42" s="24" t="n">
        <f aca="false">SUMIFS(데이터_성질별수입!$F$3:$F$627,데이터_성질별수입!$E$3:$E$627,$B42,데이터_성질별수입!$B$3:$B$627,2026,데이터_성질별수입!$C$3:$C$627,"&lt;=7")</f>
        <v>690338.3</v>
      </c>
      <c r="Q42" s="37" t="n">
        <f aca="false">IFERROR(K42/SUMIFS(데이터_성질별수입!$F$3:$F$627,데이터_성질별수입!$E$3:$E$627,$B42,데이터_성질별수입!$B$3:$B$627,2025,데이터_성질별수입!$C$3:$C$627,"&lt;=7"),"-")</f>
        <v>3.01378931935924</v>
      </c>
      <c r="R42" s="37" t="n">
        <f aca="false">IFERROR(L42/P42,"-")</f>
        <v>3.10776614885774</v>
      </c>
      <c r="S42" s="36" t="n">
        <f aca="false">IFERROR(R42/Q42-1,"-")</f>
        <v>0.0311822823496104</v>
      </c>
    </row>
    <row r="43" customFormat="false" ht="15" hidden="false" customHeight="true" outlineLevel="0" collapsed="false">
      <c r="A43" s="8" t="s">
        <v>20106</v>
      </c>
      <c r="B43" s="7" t="s">
        <v>16372</v>
      </c>
      <c r="C43" s="59" t="n">
        <f aca="false">IFERROR(분석4B_월별매트릭스!AA267/분석4B_월별매트릭스!O267-1,"-")</f>
        <v>0.0509879259095976</v>
      </c>
      <c r="D43" s="59" t="n">
        <f aca="false">IFERROR(분석4B_월별매트릭스!AB267/분석4B_월별매트릭스!P267-1,"-")</f>
        <v>-0.0552441594748289</v>
      </c>
      <c r="E43" s="59" t="n">
        <f aca="false">IFERROR(분석4B_월별매트릭스!AC267/분석4B_월별매트릭스!Q267-1,"-")</f>
        <v>0.209773281600131</v>
      </c>
      <c r="F43" s="59" t="n">
        <f aca="false">IFERROR(분석4B_월별매트릭스!AD267/분석4B_월별매트릭스!R267-1,"-")</f>
        <v>0.214876996420461</v>
      </c>
      <c r="G43" s="59" t="n">
        <f aca="false">IFERROR(분석4B_월별매트릭스!AE267/분석4B_월별매트릭스!S267-1,"-")</f>
        <v>0.274915346130464</v>
      </c>
      <c r="H43" s="59" t="n">
        <f aca="false">IFERROR(분석4B_월별매트릭스!AF267/분석4B_월별매트릭스!T267-1,"-")</f>
        <v>0.287666860799018</v>
      </c>
      <c r="I43" s="59" t="n">
        <f aca="false">IFERROR(분석4B_월별매트릭스!AG267/분석4B_월별매트릭스!U267-1,"-")</f>
        <v>0.163065221230668</v>
      </c>
      <c r="J43" s="25" t="n">
        <f aca="false">SUMIFS(데이터_성질별수입!$G$3:$G$627,데이터_성질별수입!$E$3:$E$627,$B43,데이터_성질별수입!$B$3:$B$627,2024,데이터_성질별수입!$C$3:$C$627,"&lt;=7")</f>
        <v>33109937</v>
      </c>
      <c r="K43" s="25" t="n">
        <f aca="false">SUMIFS(데이터_성질별수입!$G$3:$G$627,데이터_성질별수입!$E$3:$E$627,$B43,데이터_성질별수입!$B$3:$B$627,2025,데이터_성질별수입!$C$3:$C$627,"&lt;=7")</f>
        <v>31476474</v>
      </c>
      <c r="L43" s="25" t="n">
        <f aca="false">SUMIFS(데이터_성질별수입!$G$3:$G$627,데이터_성질별수입!$E$3:$E$627,$B43,데이터_성질별수입!$B$3:$B$627,2026,데이터_성질별수입!$C$3:$C$627,"&lt;=7")</f>
        <v>36647027</v>
      </c>
      <c r="M43" s="36" t="n">
        <f aca="false">IFERROR(K43/J43-1,"-")</f>
        <v>-0.0493345245567819</v>
      </c>
      <c r="N43" s="36" t="n">
        <f aca="false">IFERROR(L43/K43-1,"-")</f>
        <v>0.164267223831996</v>
      </c>
      <c r="O43" s="34" t="n">
        <f aca="false">IFERROR((L43-K43)/(SUMIFS(데이터_총괄!$H$3:$H$33,데이터_총괄!$B$3:$B$33,2026,데이터_총괄!$C$3:$C$33,"&lt;=7")-SUMIFS(데이터_총괄!$H$3:$H$33,데이터_총괄!$B$3:$B$33,2025,데이터_총괄!$C$3:$C$33,"&lt;=7")),"-")</f>
        <v>0.0258949657667604</v>
      </c>
      <c r="P43" s="24" t="n">
        <f aca="false">SUMIFS(데이터_성질별수입!$F$3:$F$627,데이터_성질별수입!$E$3:$E$627,$B43,데이터_성질별수입!$B$3:$B$627,2026,데이터_성질별수입!$C$3:$C$627,"&lt;=7")</f>
        <v>12213505.6</v>
      </c>
      <c r="Q43" s="37" t="n">
        <f aca="false">IFERROR(K43/SUMIFS(데이터_성질별수입!$F$3:$F$627,데이터_성질별수입!$E$3:$E$627,$B43,데이터_성질별수입!$B$3:$B$627,2025,데이터_성질별수입!$C$3:$C$627,"&lt;=7"),"-")</f>
        <v>2.62399310282679</v>
      </c>
      <c r="R43" s="37" t="n">
        <f aca="false">IFERROR(L43/P43,"-")</f>
        <v>3.00053303287469</v>
      </c>
      <c r="S43" s="36" t="n">
        <f aca="false">IFERROR(R43/Q43-1,"-")</f>
        <v>0.143498826137257</v>
      </c>
    </row>
    <row r="44" customFormat="false" ht="15" hidden="false" customHeight="true" outlineLevel="0" collapsed="false">
      <c r="A44" s="8" t="s">
        <v>20106</v>
      </c>
      <c r="B44" s="7" t="s">
        <v>16375</v>
      </c>
      <c r="C44" s="59" t="n">
        <f aca="false">IFERROR(분석4B_월별매트릭스!AA268/분석4B_월별매트릭스!O268-1,"-")</f>
        <v>-0.125100027190604</v>
      </c>
      <c r="D44" s="59" t="n">
        <f aca="false">IFERROR(분석4B_월별매트릭스!AB268/분석4B_월별매트릭스!P268-1,"-")</f>
        <v>-0.0409614524847732</v>
      </c>
      <c r="E44" s="59" t="n">
        <f aca="false">IFERROR(분석4B_월별매트릭스!AC268/분석4B_월별매트릭스!Q268-1,"-")</f>
        <v>-0.091214546658312</v>
      </c>
      <c r="F44" s="59" t="n">
        <f aca="false">IFERROR(분석4B_월별매트릭스!AD268/분석4B_월별매트릭스!R268-1,"-")</f>
        <v>-0.0438303373553312</v>
      </c>
      <c r="G44" s="59" t="n">
        <f aca="false">IFERROR(분석4B_월별매트릭스!AE268/분석4B_월별매트릭스!S268-1,"-")</f>
        <v>0.000187632685481276</v>
      </c>
      <c r="H44" s="59" t="n">
        <f aca="false">IFERROR(분석4B_월별매트릭스!AF268/분석4B_월별매트릭스!T268-1,"-")</f>
        <v>0.113656843944547</v>
      </c>
      <c r="I44" s="59" t="n">
        <f aca="false">IFERROR(분석4B_월별매트릭스!AG268/분석4B_월별매트릭스!U268-1,"-")</f>
        <v>-0.0213879647364176</v>
      </c>
      <c r="J44" s="25" t="n">
        <f aca="false">SUMIFS(데이터_성질별수입!$G$3:$G$627,데이터_성질별수입!$E$3:$E$627,$B44,데이터_성질별수입!$B$3:$B$627,2024,데이터_성질별수입!$C$3:$C$627,"&lt;=7")</f>
        <v>12124948</v>
      </c>
      <c r="K44" s="25" t="n">
        <f aca="false">SUMIFS(데이터_성질별수입!$G$3:$G$627,데이터_성질별수입!$E$3:$E$627,$B44,데이터_성질별수입!$B$3:$B$627,2025,데이터_성질별수입!$C$3:$C$627,"&lt;=7")</f>
        <v>10844268</v>
      </c>
      <c r="L44" s="25" t="n">
        <f aca="false">SUMIFS(데이터_성질별수입!$G$3:$G$627,데이터_성질별수입!$E$3:$E$627,$B44,데이터_성질별수입!$B$3:$B$627,2026,데이터_성질별수입!$C$3:$C$627,"&lt;=7")</f>
        <v>10499363</v>
      </c>
      <c r="M44" s="36" t="n">
        <f aca="false">IFERROR(K44/J44-1,"-")</f>
        <v>-0.105623545766959</v>
      </c>
      <c r="N44" s="36" t="n">
        <f aca="false">IFERROR(L44/K44-1,"-")</f>
        <v>-0.0318052818318396</v>
      </c>
      <c r="O44" s="34" t="n">
        <f aca="false">IFERROR((L44-K44)/(SUMIFS(데이터_총괄!$H$3:$H$33,데이터_총괄!$B$3:$B$33,2026,데이터_총괄!$C$3:$C$33,"&lt;=7")-SUMIFS(데이터_총괄!$H$3:$H$33,데이터_총괄!$B$3:$B$33,2025,데이터_총괄!$C$3:$C$33,"&lt;=7")),"-")</f>
        <v>-0.00172734002877149</v>
      </c>
      <c r="P44" s="24" t="n">
        <f aca="false">SUMIFS(데이터_성질별수입!$F$3:$F$627,데이터_성질별수입!$E$3:$E$627,$B44,데이터_성질별수입!$B$3:$B$627,2026,데이터_성질별수입!$C$3:$C$627,"&lt;=7")</f>
        <v>9159289.8</v>
      </c>
      <c r="Q44" s="37" t="n">
        <f aca="false">IFERROR(K44/SUMIFS(데이터_성질별수입!$F$3:$F$627,데이터_성질별수입!$E$3:$E$627,$B44,데이터_성질별수입!$B$3:$B$627,2025,데이터_성질별수입!$C$3:$C$627,"&lt;=7"),"-")</f>
        <v>1.12738581389058</v>
      </c>
      <c r="R44" s="37" t="n">
        <f aca="false">IFERROR(L44/P44,"-")</f>
        <v>1.14630754449979</v>
      </c>
      <c r="S44" s="36" t="n">
        <f aca="false">IFERROR(R44/Q44-1,"-")</f>
        <v>0.0167837224631291</v>
      </c>
    </row>
    <row r="45" customFormat="false" ht="15" hidden="false" customHeight="true" outlineLevel="0" collapsed="false">
      <c r="A45" s="8" t="s">
        <v>20106</v>
      </c>
      <c r="B45" s="7" t="s">
        <v>16378</v>
      </c>
      <c r="C45" s="59" t="n">
        <f aca="false">IFERROR(분석4B_월별매트릭스!AA269/분석4B_월별매트릭스!O269-1,"-")</f>
        <v>0.397218034049972</v>
      </c>
      <c r="D45" s="59" t="n">
        <f aca="false">IFERROR(분석4B_월별매트릭스!AB269/분석4B_월별매트릭스!P269-1,"-")</f>
        <v>0.233774076019668</v>
      </c>
      <c r="E45" s="59" t="n">
        <f aca="false">IFERROR(분석4B_월별매트릭스!AC269/분석4B_월별매트릭스!Q269-1,"-")</f>
        <v>0.440510617595836</v>
      </c>
      <c r="F45" s="59" t="n">
        <f aca="false">IFERROR(분석4B_월별매트릭스!AD269/분석4B_월별매트릭스!R269-1,"-")</f>
        <v>0.378743584702724</v>
      </c>
      <c r="G45" s="59" t="n">
        <f aca="false">IFERROR(분석4B_월별매트릭스!AE269/분석4B_월별매트릭스!S269-1,"-")</f>
        <v>0.426421090495099</v>
      </c>
      <c r="H45" s="59" t="n">
        <f aca="false">IFERROR(분석4B_월별매트릭스!AF269/분석4B_월별매트릭스!T269-1,"-")</f>
        <v>0.735049090551024</v>
      </c>
      <c r="I45" s="59" t="n">
        <f aca="false">IFERROR(분석4B_월별매트릭스!AG269/분석4B_월별매트릭스!U269-1,"-")</f>
        <v>0.471303618143062</v>
      </c>
      <c r="J45" s="25" t="n">
        <f aca="false">SUMIFS(데이터_성질별수입!$G$3:$G$627,데이터_성질별수입!$E$3:$E$627,$B45,데이터_성질별수입!$B$3:$B$627,2024,데이터_성질별수입!$C$3:$C$627,"&lt;=7")</f>
        <v>9311917</v>
      </c>
      <c r="K45" s="25" t="n">
        <f aca="false">SUMIFS(데이터_성질별수입!$G$3:$G$627,데이터_성질별수입!$E$3:$E$627,$B45,데이터_성질별수입!$B$3:$B$627,2025,데이터_성질별수입!$C$3:$C$627,"&lt;=7")</f>
        <v>9673111</v>
      </c>
      <c r="L45" s="25" t="n">
        <f aca="false">SUMIFS(데이터_성질별수입!$G$3:$G$627,데이터_성질별수입!$E$3:$E$627,$B45,데이터_성질별수입!$B$3:$B$627,2026,데이터_성질별수입!$C$3:$C$627,"&lt;=7")</f>
        <v>13989267</v>
      </c>
      <c r="M45" s="36" t="n">
        <f aca="false">IFERROR(K45/J45-1,"-")</f>
        <v>0.0387883611935116</v>
      </c>
      <c r="N45" s="36" t="n">
        <f aca="false">IFERROR(L45/K45-1,"-")</f>
        <v>0.446201434057771</v>
      </c>
      <c r="O45" s="34" t="n">
        <f aca="false">IFERROR((L45-K45)/(SUMIFS(데이터_총괄!$H$3:$H$33,데이터_총괄!$B$3:$B$33,2026,데이터_총괄!$C$3:$C$33,"&lt;=7")-SUMIFS(데이터_총괄!$H$3:$H$33,데이터_총괄!$B$3:$B$33,2025,데이터_총괄!$C$3:$C$33,"&lt;=7")),"-")</f>
        <v>0.0216160073910852</v>
      </c>
      <c r="P45" s="24" t="n">
        <f aca="false">SUMIFS(데이터_성질별수입!$F$3:$F$627,데이터_성질별수입!$E$3:$E$627,$B45,데이터_성질별수입!$B$3:$B$627,2026,데이터_성질별수입!$C$3:$C$627,"&lt;=7")</f>
        <v>1833117.1</v>
      </c>
      <c r="Q45" s="37" t="n">
        <f aca="false">IFERROR(K45/SUMIFS(데이터_성질별수입!$F$3:$F$627,데이터_성질별수입!$E$3:$E$627,$B45,데이터_성질별수입!$B$3:$B$627,2025,데이터_성질별수입!$C$3:$C$627,"&lt;=7"),"-")</f>
        <v>5.6302632870186</v>
      </c>
      <c r="R45" s="37" t="n">
        <f aca="false">IFERROR(L45/P45,"-")</f>
        <v>7.63140936277339</v>
      </c>
      <c r="S45" s="36" t="n">
        <f aca="false">IFERROR(R45/Q45-1,"-")</f>
        <v>0.35542673117414</v>
      </c>
    </row>
    <row r="46" customFormat="false" ht="15" hidden="false" customHeight="true" outlineLevel="0" collapsed="false">
      <c r="A46" s="8" t="s">
        <v>20106</v>
      </c>
      <c r="B46" s="7" t="s">
        <v>16381</v>
      </c>
      <c r="C46" s="59" t="n">
        <f aca="false">IFERROR(분석4B_월별매트릭스!AA270/분석4B_월별매트릭스!O270-1,"-")</f>
        <v>0.375212254902808</v>
      </c>
      <c r="D46" s="59" t="n">
        <f aca="false">IFERROR(분석4B_월별매트릭스!AB270/분석4B_월별매트릭스!P270-1,"-")</f>
        <v>-0.139073966108963</v>
      </c>
      <c r="E46" s="59" t="n">
        <f aca="false">IFERROR(분석4B_월별매트릭스!AC270/분석4B_월별매트릭스!Q270-1,"-")</f>
        <v>0.502831838931474</v>
      </c>
      <c r="F46" s="59" t="n">
        <f aca="false">IFERROR(분석4B_월별매트릭스!AD270/분석4B_월별매트릭스!R270-1,"-")</f>
        <v>0.0878612300197461</v>
      </c>
      <c r="G46" s="59" t="n">
        <f aca="false">IFERROR(분석4B_월별매트릭스!AE270/분석4B_월별매트릭스!S270-1,"-")</f>
        <v>0.112113072296628</v>
      </c>
      <c r="H46" s="59" t="n">
        <f aca="false">IFERROR(분석4B_월별매트릭스!AF270/분석4B_월별매트릭스!T270-1,"-")</f>
        <v>0.0533410129574834</v>
      </c>
      <c r="I46" s="59" t="n">
        <f aca="false">IFERROR(분석4B_월별매트릭스!AG270/분석4B_월별매트릭스!U270-1,"-")</f>
        <v>0.0475969446288618</v>
      </c>
      <c r="J46" s="25" t="n">
        <f aca="false">SUMIFS(데이터_성질별수입!$G$3:$G$627,데이터_성질별수입!$E$3:$E$627,$B46,데이터_성질별수입!$B$3:$B$627,2024,데이터_성질별수입!$C$3:$C$627,"&lt;=7")</f>
        <v>9520968</v>
      </c>
      <c r="K46" s="25" t="n">
        <f aca="false">SUMIFS(데이터_성질별수입!$G$3:$G$627,데이터_성질별수입!$E$3:$E$627,$B46,데이터_성질별수입!$B$3:$B$627,2025,데이터_성질별수입!$C$3:$C$627,"&lt;=7")</f>
        <v>9152236</v>
      </c>
      <c r="L46" s="25" t="n">
        <f aca="false">SUMIFS(데이터_성질별수입!$G$3:$G$627,데이터_성질별수입!$E$3:$E$627,$B46,데이터_성질별수입!$B$3:$B$627,2026,데이터_성질별수입!$C$3:$C$627,"&lt;=7")</f>
        <v>10421280</v>
      </c>
      <c r="M46" s="36" t="n">
        <f aca="false">IFERROR(K46/J46-1,"-")</f>
        <v>-0.0387284150099023</v>
      </c>
      <c r="N46" s="36" t="n">
        <f aca="false">IFERROR(L46/K46-1,"-")</f>
        <v>0.138659448904071</v>
      </c>
      <c r="O46" s="34" t="n">
        <f aca="false">IFERROR((L46-K46)/(SUMIFS(데이터_총괄!$H$3:$H$33,데이터_총괄!$B$3:$B$33,2026,데이터_총괄!$C$3:$C$33,"&lt;=7")-SUMIFS(데이터_총괄!$H$3:$H$33,데이터_총괄!$B$3:$B$33,2025,데이터_총괄!$C$3:$C$33,"&lt;=7")),"-")</f>
        <v>0.00635557762129365</v>
      </c>
      <c r="P46" s="24" t="n">
        <f aca="false">SUMIFS(데이터_성질별수입!$F$3:$F$627,데이터_성질별수입!$E$3:$E$627,$B46,데이터_성질별수입!$B$3:$B$627,2026,데이터_성질별수입!$C$3:$C$627,"&lt;=7")</f>
        <v>5474401.2</v>
      </c>
      <c r="Q46" s="37" t="n">
        <f aca="false">IFERROR(K46/SUMIFS(데이터_성질별수입!$F$3:$F$627,데이터_성질별수입!$E$3:$E$627,$B46,데이터_성질별수입!$B$3:$B$627,2025,데이터_성질별수입!$C$3:$C$627,"&lt;=7"),"-")</f>
        <v>1.68038853723287</v>
      </c>
      <c r="R46" s="37" t="n">
        <f aca="false">IFERROR(L46/P46,"-")</f>
        <v>1.90363833765052</v>
      </c>
      <c r="S46" s="36" t="n">
        <f aca="false">IFERROR(R46/Q46-1,"-")</f>
        <v>0.132856060054583</v>
      </c>
    </row>
    <row r="47" customFormat="false" ht="15" hidden="false" customHeight="true" outlineLevel="0" collapsed="false">
      <c r="A47" s="71" t="s">
        <v>20102</v>
      </c>
      <c r="B47" s="72" t="s">
        <v>20114</v>
      </c>
      <c r="C47" s="59" t="n">
        <f aca="false">IFERROR(분석4B_월별매트릭스!AA271/분석4B_월별매트릭스!O271-1,"-")</f>
        <v>0.217239895707775</v>
      </c>
      <c r="D47" s="59" t="n">
        <f aca="false">IFERROR(분석4B_월별매트릭스!AB271/분석4B_월별매트릭스!P271-1,"-")</f>
        <v>0.16235885265526</v>
      </c>
      <c r="E47" s="59" t="n">
        <f aca="false">IFERROR(분석4B_월별매트릭스!AC271/분석4B_월별매트릭스!Q271-1,"-")</f>
        <v>0.239362642070667</v>
      </c>
      <c r="F47" s="59" t="n">
        <f aca="false">IFERROR(분석4B_월별매트릭스!AD271/분석4B_월별매트릭스!R271-1,"-")</f>
        <v>0.277543470423558</v>
      </c>
      <c r="G47" s="59" t="n">
        <f aca="false">IFERROR(분석4B_월별매트릭스!AE271/분석4B_월별매트릭스!S271-1,"-")</f>
        <v>0.280565246493611</v>
      </c>
      <c r="H47" s="59" t="n">
        <f aca="false">IFERROR(분석4B_월별매트릭스!AF271/분석4B_월별매트릭스!T271-1,"-")</f>
        <v>0.353103422327541</v>
      </c>
      <c r="I47" s="59" t="n">
        <f aca="false">IFERROR(분석4B_월별매트릭스!AG271/분석4B_월별매트릭스!U271-1,"-")</f>
        <v>0.366646185465902</v>
      </c>
      <c r="J47" s="30" t="n">
        <f aca="false">SUMIFS(데이터_성질별수입!$G$3:$G$627,데이터_성질별수입!$E$3:$E$627,$B47,데이터_성질별수입!$B$3:$B$627,2024,데이터_성질별수입!$C$3:$C$627,"&lt;=7")</f>
        <v>123475132</v>
      </c>
      <c r="K47" s="30" t="n">
        <f aca="false">SUMIFS(데이터_성질별수입!$G$3:$G$627,데이터_성질별수입!$E$3:$E$627,$B47,데이터_성질별수입!$B$3:$B$627,2025,데이터_성질별수입!$C$3:$C$627,"&lt;=7")</f>
        <v>133904008</v>
      </c>
      <c r="L47" s="30" t="n">
        <f aca="false">SUMIFS(데이터_성질별수입!$G$3:$G$627,데이터_성질별수입!$E$3:$E$627,$B47,데이터_성질별수입!$B$3:$B$627,2026,데이터_성질별수입!$C$3:$C$627,"&lt;=7")</f>
        <v>170568820</v>
      </c>
      <c r="M47" s="36" t="n">
        <f aca="false">IFERROR(K47/J47-1,"-")</f>
        <v>0.0844613472452089</v>
      </c>
      <c r="N47" s="41" t="n">
        <f aca="false">IFERROR(L47/K47-1,"-")</f>
        <v>0.273814149013374</v>
      </c>
      <c r="O47" s="34" t="n">
        <f aca="false">IFERROR((L47-K47)/(SUMIFS(데이터_총괄!$H$3:$H$33,데이터_총괄!$B$3:$B$33,2026,데이터_총괄!$C$3:$C$33,"&lt;=7")-SUMIFS(데이터_총괄!$H$3:$H$33,데이터_총괄!$B$3:$B$33,2025,데이터_총괄!$C$3:$C$33,"&lt;=7")),"-")</f>
        <v>0.183623309070559</v>
      </c>
      <c r="P47" s="24" t="n">
        <f aca="false">SUMIFS(데이터_성질별수입!$F$3:$F$627,데이터_성질별수입!$E$3:$E$627,$B47,데이터_성질별수입!$B$3:$B$627,2026,데이터_성질별수입!$C$3:$C$627,"&lt;=7")</f>
        <v>6323962.8</v>
      </c>
      <c r="Q47" s="37" t="n">
        <f aca="false">IFERROR(K47/SUMIFS(데이터_성질별수입!$F$3:$F$627,데이터_성질별수입!$E$3:$E$627,$B47,데이터_성질별수입!$B$3:$B$627,2025,데이터_성질별수입!$C$3:$C$627,"&lt;=7"),"-")</f>
        <v>25.0766844154588</v>
      </c>
      <c r="R47" s="37" t="n">
        <f aca="false">IFERROR(L47/P47,"-")</f>
        <v>26.9718253244627</v>
      </c>
      <c r="S47" s="36" t="n">
        <f aca="false">IFERROR(R47/Q47-1,"-")</f>
        <v>0.0755738229825786</v>
      </c>
    </row>
    <row r="48" customFormat="false" ht="15" hidden="false" customHeight="true" outlineLevel="0" collapsed="false">
      <c r="A48" s="8" t="s">
        <v>20106</v>
      </c>
      <c r="B48" s="7" t="s">
        <v>16387</v>
      </c>
      <c r="C48" s="59" t="n">
        <f aca="false">IFERROR(분석4B_월별매트릭스!AA272/분석4B_월별매트릭스!O272-1,"-")</f>
        <v>0.314886926885527</v>
      </c>
      <c r="D48" s="59" t="n">
        <f aca="false">IFERROR(분석4B_월별매트릭스!AB272/분석4B_월별매트릭스!P272-1,"-")</f>
        <v>0.121881073768805</v>
      </c>
      <c r="E48" s="59" t="n">
        <f aca="false">IFERROR(분석4B_월별매트릭스!AC272/분석4B_월별매트릭스!Q272-1,"-")</f>
        <v>0.105092306457963</v>
      </c>
      <c r="F48" s="59" t="n">
        <f aca="false">IFERROR(분석4B_월별매트릭스!AD272/분석4B_월별매트릭스!R272-1,"-")</f>
        <v>0.207455124488712</v>
      </c>
      <c r="G48" s="59" t="n">
        <f aca="false">IFERROR(분석4B_월별매트릭스!AE272/분석4B_월별매트릭스!S272-1,"-")</f>
        <v>0.219493076254851</v>
      </c>
      <c r="H48" s="59" t="n">
        <f aca="false">IFERROR(분석4B_월별매트릭스!AF272/분석4B_월별매트릭스!T272-1,"-")</f>
        <v>0.194878554348521</v>
      </c>
      <c r="I48" s="59" t="n">
        <f aca="false">IFERROR(분석4B_월별매트릭스!AG272/분석4B_월별매트릭스!U272-1,"-")</f>
        <v>0.25807554733785</v>
      </c>
      <c r="J48" s="25" t="n">
        <f aca="false">SUMIFS(데이터_성질별수입!$G$3:$G$627,데이터_성질별수입!$E$3:$E$627,$B48,데이터_성질별수입!$B$3:$B$627,2024,데이터_성질별수입!$C$3:$C$627,"&lt;=7")</f>
        <v>37752832</v>
      </c>
      <c r="K48" s="25" t="n">
        <f aca="false">SUMIFS(데이터_성질별수입!$G$3:$G$627,데이터_성질별수입!$E$3:$E$627,$B48,데이터_성질별수입!$B$3:$B$627,2025,데이터_성질별수입!$C$3:$C$627,"&lt;=7")</f>
        <v>43057229</v>
      </c>
      <c r="L48" s="25" t="n">
        <f aca="false">SUMIFS(데이터_성질별수입!$G$3:$G$627,데이터_성질별수입!$E$3:$E$627,$B48,데이터_성질별수입!$B$3:$B$627,2026,데이터_성질별수입!$C$3:$C$627,"&lt;=7")</f>
        <v>51589286</v>
      </c>
      <c r="M48" s="36" t="n">
        <f aca="false">IFERROR(K48/J48-1,"-")</f>
        <v>0.140503287276568</v>
      </c>
      <c r="N48" s="36" t="n">
        <f aca="false">IFERROR(L48/K48-1,"-")</f>
        <v>0.19815620275982</v>
      </c>
      <c r="O48" s="34" t="n">
        <f aca="false">IFERROR((L48-K48)/(SUMIFS(데이터_총괄!$H$3:$H$33,데이터_총괄!$B$3:$B$33,2026,데이터_총괄!$C$3:$C$33,"&lt;=7")-SUMIFS(데이터_총괄!$H$3:$H$33,데이터_총괄!$B$3:$B$33,2025,데이터_총괄!$C$3:$C$33,"&lt;=7")),"-")</f>
        <v>0.0427299215258114</v>
      </c>
      <c r="P48" s="24" t="n">
        <f aca="false">SUMIFS(데이터_성질별수입!$F$3:$F$627,데이터_성질별수입!$E$3:$E$627,$B48,데이터_성질별수입!$B$3:$B$627,2026,데이터_성질별수입!$C$3:$C$627,"&lt;=7")</f>
        <v>1377077.6</v>
      </c>
      <c r="Q48" s="37" t="n">
        <f aca="false">IFERROR(K48/SUMIFS(데이터_성질별수입!$F$3:$F$627,데이터_성질별수입!$E$3:$E$627,$B48,데이터_성질별수입!$B$3:$B$627,2025,데이터_성질별수입!$C$3:$C$627,"&lt;=7"),"-")</f>
        <v>32.8655798293414</v>
      </c>
      <c r="R48" s="37" t="n">
        <f aca="false">IFERROR(L48/P48,"-")</f>
        <v>37.4628750042844</v>
      </c>
      <c r="S48" s="36" t="n">
        <f aca="false">IFERROR(R48/Q48-1,"-")</f>
        <v>0.1398817607605</v>
      </c>
    </row>
    <row r="49" customFormat="false" ht="15" hidden="false" customHeight="true" outlineLevel="0" collapsed="false">
      <c r="A49" s="8" t="s">
        <v>20106</v>
      </c>
      <c r="B49" s="7" t="s">
        <v>16390</v>
      </c>
      <c r="C49" s="59" t="n">
        <f aca="false">IFERROR(분석4B_월별매트릭스!AA273/분석4B_월별매트릭스!O273-1,"-")</f>
        <v>0.194597896250005</v>
      </c>
      <c r="D49" s="59" t="n">
        <f aca="false">IFERROR(분석4B_월별매트릭스!AB273/분석4B_월별매트릭스!P273-1,"-")</f>
        <v>0.21398200648373</v>
      </c>
      <c r="E49" s="59" t="n">
        <f aca="false">IFERROR(분석4B_월별매트릭스!AC273/분석4B_월별매트릭스!Q273-1,"-")</f>
        <v>0.309002580525792</v>
      </c>
      <c r="F49" s="59" t="n">
        <f aca="false">IFERROR(분석4B_월별매트릭스!AD273/분석4B_월별매트릭스!R273-1,"-")</f>
        <v>0.351232221106641</v>
      </c>
      <c r="G49" s="59" t="n">
        <f aca="false">IFERROR(분석4B_월별매트릭스!AE273/분석4B_월별매트릭스!S273-1,"-")</f>
        <v>0.359434245723371</v>
      </c>
      <c r="H49" s="59" t="n">
        <f aca="false">IFERROR(분석4B_월별매트릭스!AF273/분석4B_월별매트릭스!T273-1,"-")</f>
        <v>0.486794239621847</v>
      </c>
      <c r="I49" s="59" t="n">
        <f aca="false">IFERROR(분석4B_월별매트릭스!AG273/분석4B_월별매트릭스!U273-1,"-")</f>
        <v>0.411829284220851</v>
      </c>
      <c r="J49" s="25" t="n">
        <f aca="false">SUMIFS(데이터_성질별수입!$G$3:$G$627,데이터_성질별수입!$E$3:$E$627,$B49,데이터_성질별수입!$B$3:$B$627,2024,데이터_성질별수입!$C$3:$C$627,"&lt;=7")</f>
        <v>75113923</v>
      </c>
      <c r="K49" s="25" t="n">
        <f aca="false">SUMIFS(데이터_성질별수입!$G$3:$G$627,데이터_성질별수입!$E$3:$E$627,$B49,데이터_성질별수입!$B$3:$B$627,2025,데이터_성질별수입!$C$3:$C$627,"&lt;=7")</f>
        <v>79879775</v>
      </c>
      <c r="L49" s="25" t="n">
        <f aca="false">SUMIFS(데이터_성질별수입!$G$3:$G$627,데이터_성질별수입!$E$3:$E$627,$B49,데이터_성질별수입!$B$3:$B$627,2026,데이터_성질별수입!$C$3:$C$627,"&lt;=7")</f>
        <v>106697050</v>
      </c>
      <c r="M49" s="36" t="n">
        <f aca="false">IFERROR(K49/J49-1,"-")</f>
        <v>0.0634483170317173</v>
      </c>
      <c r="N49" s="36" t="n">
        <f aca="false">IFERROR(L49/K49-1,"-")</f>
        <v>0.335720462407412</v>
      </c>
      <c r="O49" s="34" t="n">
        <f aca="false">IFERROR((L49-K49)/(SUMIFS(데이터_총괄!$H$3:$H$33,데이터_총괄!$B$3:$B$33,2026,데이터_총괄!$C$3:$C$33,"&lt;=7")-SUMIFS(데이터_총괄!$H$3:$H$33,데이터_총괄!$B$3:$B$33,2025,데이터_총괄!$C$3:$C$33,"&lt;=7")),"-")</f>
        <v>0.134305250924379</v>
      </c>
      <c r="P49" s="24" t="n">
        <f aca="false">SUMIFS(데이터_성질별수입!$F$3:$F$627,데이터_성질별수입!$E$3:$E$627,$B49,데이터_성질별수입!$B$3:$B$627,2026,데이터_성질별수입!$C$3:$C$627,"&lt;=7")</f>
        <v>1349926.8</v>
      </c>
      <c r="Q49" s="37" t="n">
        <f aca="false">IFERROR(K49/SUMIFS(데이터_성질별수입!$F$3:$F$627,데이터_성질별수입!$E$3:$E$627,$B49,데이터_성질별수입!$B$3:$B$627,2025,데이터_성질별수입!$C$3:$C$627,"&lt;=7"),"-")</f>
        <v>62.9790904573243</v>
      </c>
      <c r="R49" s="37" t="n">
        <f aca="false">IFERROR(L49/P49,"-")</f>
        <v>79.0391375295312</v>
      </c>
      <c r="S49" s="36" t="n">
        <f aca="false">IFERROR(R49/Q49-1,"-")</f>
        <v>0.25500601795908</v>
      </c>
    </row>
    <row r="50" customFormat="false" ht="15" hidden="false" customHeight="true" outlineLevel="0" collapsed="false">
      <c r="A50" s="8" t="s">
        <v>20106</v>
      </c>
      <c r="B50" s="7" t="s">
        <v>16393</v>
      </c>
      <c r="C50" s="59" t="n">
        <f aca="false">IFERROR(분석4B_월별매트릭스!AA274/분석4B_월별매트릭스!O274-1,"-")</f>
        <v>0.0519244128427243</v>
      </c>
      <c r="D50" s="59" t="n">
        <f aca="false">IFERROR(분석4B_월별매트릭스!AB274/분석4B_월별매트릭스!P274-1,"-")</f>
        <v>-0.0576039049858301</v>
      </c>
      <c r="E50" s="59" t="n">
        <f aca="false">IFERROR(분석4B_월별매트릭스!AC274/분석4B_월별매트릭스!Q274-1,"-")</f>
        <v>0.347795945450764</v>
      </c>
      <c r="F50" s="59" t="n">
        <f aca="false">IFERROR(분석4B_월별매트릭스!AD274/분석4B_월별매트릭스!R274-1,"-")</f>
        <v>0.0450332388661305</v>
      </c>
      <c r="G50" s="59" t="n">
        <f aca="false">IFERROR(분석4B_월별매트릭스!AE274/분석4B_월별매트릭스!S274-1,"-")</f>
        <v>-0.00261545906423633</v>
      </c>
      <c r="H50" s="59" t="n">
        <f aca="false">IFERROR(분석4B_월별매트릭스!AF274/분석4B_월별매트릭스!T274-1,"-")</f>
        <v>0.0319864226432358</v>
      </c>
      <c r="I50" s="59" t="n">
        <f aca="false">IFERROR(분석4B_월별매트릭스!AG274/분석4B_월별매트릭스!U274-1,"-")</f>
        <v>0.504907142297505</v>
      </c>
      <c r="J50" s="25" t="n">
        <f aca="false">SUMIFS(데이터_성질별수입!$G$3:$G$627,데이터_성질별수입!$E$3:$E$627,$B50,데이터_성질별수입!$B$3:$B$627,2024,데이터_성질별수입!$C$3:$C$627,"&lt;=7")</f>
        <v>9072299</v>
      </c>
      <c r="K50" s="25" t="n">
        <f aca="false">SUMIFS(데이터_성질별수입!$G$3:$G$627,데이터_성질별수입!$E$3:$E$627,$B50,데이터_성질별수입!$B$3:$B$627,2025,데이터_성질별수입!$C$3:$C$627,"&lt;=7")</f>
        <v>9365459</v>
      </c>
      <c r="L50" s="25" t="n">
        <f aca="false">SUMIFS(데이터_성질별수입!$G$3:$G$627,데이터_성질별수입!$E$3:$E$627,$B50,데이터_성질별수입!$B$3:$B$627,2026,데이터_성질별수입!$C$3:$C$627,"&lt;=7")</f>
        <v>10627647</v>
      </c>
      <c r="M50" s="36" t="n">
        <f aca="false">IFERROR(K50/J50-1,"-")</f>
        <v>0.0323137498003538</v>
      </c>
      <c r="N50" s="36" t="n">
        <f aca="false">IFERROR(L50/K50-1,"-")</f>
        <v>0.134770543547305</v>
      </c>
      <c r="O50" s="34" t="n">
        <f aca="false">IFERROR((L50-K50)/(SUMIFS(데이터_총괄!$H$3:$H$33,데이터_총괄!$B$3:$B$33,2026,데이터_총괄!$C$3:$C$33,"&lt;=7")-SUMIFS(데이터_총괄!$H$3:$H$33,데이터_총괄!$B$3:$B$33,2025,데이터_총괄!$C$3:$C$33,"&lt;=7")),"-")</f>
        <v>0.00632124166432794</v>
      </c>
      <c r="P50" s="24" t="n">
        <f aca="false">SUMIFS(데이터_성질별수입!$F$3:$F$627,데이터_성질별수입!$E$3:$E$627,$B50,데이터_성질별수입!$B$3:$B$627,2026,데이터_성질별수입!$C$3:$C$627,"&lt;=7")</f>
        <v>3483789.8</v>
      </c>
      <c r="Q50" s="37" t="n">
        <f aca="false">IFERROR(K50/SUMIFS(데이터_성질별수입!$F$3:$F$627,데이터_성질별수입!$E$3:$E$627,$B50,데이터_성질별수입!$B$3:$B$627,2025,데이터_성질별수입!$C$3:$C$627,"&lt;=7"),"-")</f>
        <v>3.53023143537943</v>
      </c>
      <c r="R50" s="37" t="n">
        <f aca="false">IFERROR(L50/P50,"-")</f>
        <v>3.05059937887183</v>
      </c>
      <c r="S50" s="36" t="n">
        <f aca="false">IFERROR(R50/Q50-1,"-")</f>
        <v>-0.135864196239601</v>
      </c>
    </row>
    <row r="51" customFormat="false" ht="15" hidden="false" customHeight="true" outlineLevel="0" collapsed="false">
      <c r="A51" s="8" t="s">
        <v>20106</v>
      </c>
      <c r="B51" s="7" t="s">
        <v>16396</v>
      </c>
      <c r="C51" s="59" t="n">
        <f aca="false">IFERROR(분석4B_월별매트릭스!AA275/분석4B_월별매트릭스!O275-1,"-")</f>
        <v>-0.0679700302067087</v>
      </c>
      <c r="D51" s="59" t="n">
        <f aca="false">IFERROR(분석4B_월별매트릭스!AB275/분석4B_월별매트릭스!P275-1,"-")</f>
        <v>-0.041159627773801</v>
      </c>
      <c r="E51" s="59" t="n">
        <f aca="false">IFERROR(분석4B_월별매트릭스!AC275/분석4B_월별매트릭스!Q275-1,"-")</f>
        <v>0.372493921944978</v>
      </c>
      <c r="F51" s="59" t="n">
        <f aca="false">IFERROR(분석4B_월별매트릭스!AD275/분석4B_월별매트릭스!R275-1,"-")</f>
        <v>0.0582085012546574</v>
      </c>
      <c r="G51" s="59" t="n">
        <f aca="false">IFERROR(분석4B_월별매트릭스!AE275/분석4B_월별매트릭스!S275-1,"-")</f>
        <v>-0.108492471681402</v>
      </c>
      <c r="H51" s="59" t="n">
        <f aca="false">IFERROR(분석4B_월별매트릭스!AF275/분석4B_월별매트릭스!T275-1,"-")</f>
        <v>0.0875232260431502</v>
      </c>
      <c r="I51" s="59" t="n">
        <f aca="false">IFERROR(분석4B_월별매트릭스!AG275/분석4B_월별매트릭스!U275-1,"-")</f>
        <v>-0.0212601300134141</v>
      </c>
      <c r="J51" s="25" t="n">
        <f aca="false">SUMIFS(데이터_성질별수입!$G$3:$G$627,데이터_성질별수입!$E$3:$E$627,$B51,데이터_성질별수입!$B$3:$B$627,2024,데이터_성질별수입!$C$3:$C$627,"&lt;=7")</f>
        <v>1536079</v>
      </c>
      <c r="K51" s="25" t="n">
        <f aca="false">SUMIFS(데이터_성질별수입!$G$3:$G$627,데이터_성질별수입!$E$3:$E$627,$B51,데이터_성질별수입!$B$3:$B$627,2025,데이터_성질별수입!$C$3:$C$627,"&lt;=7")</f>
        <v>1601548</v>
      </c>
      <c r="L51" s="25" t="n">
        <f aca="false">SUMIFS(데이터_성질별수입!$G$3:$G$627,데이터_성질별수입!$E$3:$E$627,$B51,데이터_성질별수입!$B$3:$B$627,2026,데이터_성질별수입!$C$3:$C$627,"&lt;=7")</f>
        <v>1654837</v>
      </c>
      <c r="M51" s="36" t="n">
        <f aca="false">IFERROR(K51/J51-1,"-")</f>
        <v>0.0426208547867655</v>
      </c>
      <c r="N51" s="36" t="n">
        <f aca="false">IFERROR(L51/K51-1,"-")</f>
        <v>0.0332734329536173</v>
      </c>
      <c r="O51" s="34" t="n">
        <f aca="false">IFERROR((L51-K51)/(SUMIFS(데이터_총괄!$H$3:$H$33,데이터_총괄!$B$3:$B$33,2026,데이터_총괄!$C$3:$C$33,"&lt;=7")-SUMIFS(데이터_총괄!$H$3:$H$33,데이터_총괄!$B$3:$B$33,2025,데이터_총괄!$C$3:$C$33,"&lt;=7")),"-")</f>
        <v>0.000266879931555657</v>
      </c>
      <c r="P51" s="24" t="n">
        <f aca="false">SUMIFS(데이터_성질별수입!$F$3:$F$627,데이터_성질별수입!$E$3:$E$627,$B51,데이터_성질별수입!$B$3:$B$627,2026,데이터_성질별수입!$C$3:$C$627,"&lt;=7")</f>
        <v>113168.6</v>
      </c>
      <c r="Q51" s="37" t="n">
        <f aca="false">IFERROR(K51/SUMIFS(데이터_성질별수입!$F$3:$F$627,데이터_성질별수입!$E$3:$E$627,$B51,데이터_성질별수입!$B$3:$B$627,2025,데이터_성질별수입!$C$3:$C$627,"&lt;=7"),"-")</f>
        <v>14.7750141380147</v>
      </c>
      <c r="R51" s="37" t="n">
        <f aca="false">IFERROR(L51/P51,"-")</f>
        <v>14.6227575493556</v>
      </c>
      <c r="S51" s="36" t="n">
        <f aca="false">IFERROR(R51/Q51-1,"-")</f>
        <v>-0.010305004600124</v>
      </c>
    </row>
    <row r="53" customFormat="false" ht="14.25" hidden="false" customHeight="true" outlineLevel="0" collapsed="false">
      <c r="A53" s="23" t="s">
        <v>20115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 customFormat="false" ht="30" hidden="false" customHeight="true" outlineLevel="0" collapsed="false">
      <c r="A54" s="5" t="s">
        <v>19674</v>
      </c>
      <c r="B54" s="5" t="s">
        <v>19663</v>
      </c>
      <c r="C54" s="44" t="s">
        <v>20116</v>
      </c>
      <c r="D54" s="44" t="s">
        <v>20117</v>
      </c>
      <c r="E54" s="44" t="s">
        <v>20118</v>
      </c>
      <c r="F54" s="44" t="s">
        <v>20119</v>
      </c>
      <c r="G54" s="44" t="s">
        <v>20120</v>
      </c>
      <c r="H54" s="44" t="s">
        <v>20121</v>
      </c>
      <c r="I54" s="44" t="s">
        <v>20122</v>
      </c>
      <c r="J54" s="5" t="s">
        <v>19956</v>
      </c>
      <c r="K54" s="5" t="s">
        <v>20111</v>
      </c>
      <c r="L54" s="5" t="s">
        <v>20123</v>
      </c>
      <c r="M54" s="5" t="s">
        <v>20124</v>
      </c>
      <c r="N54" s="5" t="s">
        <v>20125</v>
      </c>
      <c r="O54" s="44" t="s">
        <v>20126</v>
      </c>
      <c r="P54" s="44" t="s">
        <v>20127</v>
      </c>
      <c r="Q54" s="44" t="s">
        <v>20128</v>
      </c>
      <c r="R54" s="44" t="s">
        <v>20129</v>
      </c>
      <c r="S54" s="44" t="s">
        <v>20130</v>
      </c>
      <c r="T54" s="44" t="s">
        <v>20131</v>
      </c>
      <c r="U54" s="44" t="s">
        <v>20132</v>
      </c>
    </row>
    <row r="55" customFormat="false" ht="15" hidden="false" customHeight="true" outlineLevel="0" collapsed="false">
      <c r="A55" s="71" t="s">
        <v>20102</v>
      </c>
      <c r="B55" s="72" t="s">
        <v>20133</v>
      </c>
      <c r="C55" s="59" t="n">
        <f aca="false">IFERROR(분석4B_월별매트릭스!AA279/분석4B_월별매트릭스!O279-1,"-")</f>
        <v>0.122070918093937</v>
      </c>
      <c r="D55" s="59" t="n">
        <f aca="false">IFERROR(분석4B_월별매트릭스!AB279/분석4B_월별매트릭스!P279-1,"-")</f>
        <v>-0.198115435185211</v>
      </c>
      <c r="E55" s="59" t="n">
        <f aca="false">IFERROR(분석4B_월별매트릭스!AC279/분석4B_월별매트릭스!Q279-1,"-")</f>
        <v>0.000144136449489629</v>
      </c>
      <c r="F55" s="59" t="n">
        <f aca="false">IFERROR(분석4B_월별매트릭스!AD279/분석4B_월별매트릭스!R279-1,"-")</f>
        <v>-0.025111163576593</v>
      </c>
      <c r="G55" s="59" t="n">
        <f aca="false">IFERROR(분석4B_월별매트릭스!AE279/분석4B_월별매트릭스!S279-1,"-")</f>
        <v>-0.0565974353519764</v>
      </c>
      <c r="H55" s="59" t="n">
        <f aca="false">IFERROR(분석4B_월별매트릭스!AF279/분석4B_월별매트릭스!T279-1,"-")</f>
        <v>0.0664739761276481</v>
      </c>
      <c r="I55" s="59" t="n">
        <f aca="false">IFERROR(분석4B_월별매트릭스!AG279/분석4B_월별매트릭스!U279-1,"-")</f>
        <v>0.0907952616091547</v>
      </c>
      <c r="J55" s="30" t="n">
        <f aca="false">SUMIFS(데이터_신성질별!$G$3:$G$529,데이터_신성질별!$E$3:$E$529,$B55,데이터_신성질별!$B$3:$B$529,2026,데이터_신성질별!$C$3:$C$529,"&lt;=7")</f>
        <v>56695222</v>
      </c>
      <c r="K55" s="25" t="n">
        <f aca="false">SUMIFS(데이터_신성질별!$I$3:$I$529,데이터_신성질별!$E$3:$E$529,$B55,데이터_신성질별!$B$3:$B$529,2026,데이터_신성질별!$C$3:$C$529,"&lt;=7")</f>
        <v>53715614</v>
      </c>
      <c r="L55" s="25" t="n">
        <f aca="false">SUMIFS(데이터_신성질별!$G$3:$G$529,데이터_신성질별!$E$3:$E$529,$B55,데이터_신성질별!$B$3:$B$529,2025,데이터_신성질별!$C$3:$C$529,"&lt;=7")-SUMIFS(데이터_신성질별!$I$3:$I$529,데이터_신성질별!$E$3:$E$529,$B55,데이터_신성질별!$B$3:$B$529,2025,데이터_신성질별!$C$3:$C$529,"&lt;=7")</f>
        <v>6431606</v>
      </c>
      <c r="M55" s="30" t="n">
        <f aca="false">J55-K55</f>
        <v>2979608</v>
      </c>
      <c r="N55" s="25" t="n">
        <f aca="false">M55-L55</f>
        <v>-3451998</v>
      </c>
      <c r="O55" s="59" t="n">
        <f aca="false">IFERROR(분석4B_월별매트릭스!AA299/분석4B_월별매트릭스!O299-1,"-")</f>
        <v>0.146518975066012</v>
      </c>
      <c r="P55" s="59" t="n">
        <f aca="false">IFERROR(분석4B_월별매트릭스!AB299/분석4B_월별매트릭스!P299-1,"-")</f>
        <v>0.0777878015126794</v>
      </c>
      <c r="Q55" s="59" t="n">
        <f aca="false">IFERROR(분석4B_월별매트릭스!AC299/분석4B_월별매트릭스!Q299-1,"-")</f>
        <v>0.0493477815262067</v>
      </c>
      <c r="R55" s="59" t="n">
        <f aca="false">IFERROR(분석4B_월별매트릭스!AD299/분석4B_월별매트릭스!R299-1,"-")</f>
        <v>0.0564399901600714</v>
      </c>
      <c r="S55" s="59" t="n">
        <f aca="false">IFERROR(분석4B_월별매트릭스!AE299/분석4B_월별매트릭스!S299-1,"-")</f>
        <v>0.0268767214367565</v>
      </c>
      <c r="T55" s="59" t="n">
        <f aca="false">IFERROR(분석4B_월별매트릭스!AF299/분석4B_월별매트릭스!T299-1,"-")</f>
        <v>0.114420689362002</v>
      </c>
      <c r="U55" s="59" t="n">
        <f aca="false">IFERROR(분석4B_월별매트릭스!AG299/분석4B_월별매트릭스!U299-1,"-")</f>
        <v>-0.00819436884430314</v>
      </c>
    </row>
    <row r="56" customFormat="false" ht="15" hidden="false" customHeight="true" outlineLevel="0" collapsed="false">
      <c r="A56" s="8" t="s">
        <v>20106</v>
      </c>
      <c r="B56" s="7" t="s">
        <v>17604</v>
      </c>
      <c r="C56" s="59" t="n">
        <f aca="false">IFERROR(분석4B_월별매트릭스!AA280/분석4B_월별매트릭스!O280-1,"-")</f>
        <v>0.265568119981247</v>
      </c>
      <c r="D56" s="59" t="n">
        <f aca="false">IFERROR(분석4B_월별매트릭스!AB280/분석4B_월별매트릭스!P280-1,"-")</f>
        <v>-0.0566395643717733</v>
      </c>
      <c r="E56" s="59" t="n">
        <f aca="false">IFERROR(분석4B_월별매트릭스!AC280/분석4B_월별매트릭스!Q280-1,"-")</f>
        <v>0.157044727154658</v>
      </c>
      <c r="F56" s="59" t="n">
        <f aca="false">IFERROR(분석4B_월별매트릭스!AD280/분석4B_월별매트릭스!R280-1,"-")</f>
        <v>0.094029800738078</v>
      </c>
      <c r="G56" s="59" t="n">
        <f aca="false">IFERROR(분석4B_월별매트릭스!AE280/분석4B_월별매트릭스!S280-1,"-")</f>
        <v>0.0218238805813691</v>
      </c>
      <c r="H56" s="59" t="n">
        <f aca="false">IFERROR(분석4B_월별매트릭스!AF280/분석4B_월별매트릭스!T280-1,"-")</f>
        <v>0.17625736393212</v>
      </c>
      <c r="I56" s="59" t="n">
        <f aca="false">IFERROR(분석4B_월별매트릭스!AG280/분석4B_월별매트릭스!U280-1,"-")</f>
        <v>0.0432919369559508</v>
      </c>
      <c r="J56" s="25" t="n">
        <f aca="false">SUMIFS(데이터_신성질별!$G$3:$G$529,데이터_신성질별!$E$3:$E$529,$B56,데이터_신성질별!$B$3:$B$529,2026,데이터_신성질별!$C$3:$C$529,"&lt;=7")</f>
        <v>7164857</v>
      </c>
      <c r="K56" s="25" t="n">
        <f aca="false">SUMIFS(데이터_신성질별!$I$3:$I$529,데이터_신성질별!$E$3:$E$529,$B56,데이터_신성질별!$B$3:$B$529,2026,데이터_신성질별!$C$3:$C$529,"&lt;=7")</f>
        <v>19974930</v>
      </c>
      <c r="L56" s="25" t="n">
        <f aca="false">SUMIFS(데이터_신성질별!$G$3:$G$529,데이터_신성질별!$E$3:$E$529,$B56,데이터_신성질별!$B$3:$B$529,2025,데이터_신성질별!$C$3:$C$529,"&lt;=7")-SUMIFS(데이터_신성질별!$I$3:$I$529,데이터_신성질별!$E$3:$E$529,$B56,데이터_신성질별!$B$3:$B$529,2025,데이터_신성질별!$C$3:$C$529,"&lt;=7")</f>
        <v>-12897626</v>
      </c>
      <c r="M56" s="25" t="n">
        <f aca="false">J56-K56</f>
        <v>-12810073</v>
      </c>
      <c r="N56" s="25" t="n">
        <f aca="false">M56-L56</f>
        <v>87553</v>
      </c>
      <c r="O56" s="59" t="n">
        <f aca="false">IFERROR(분석4B_월별매트릭스!AA300/분석4B_월별매트릭스!O300-1,"-")</f>
        <v>0.209343899721633</v>
      </c>
      <c r="P56" s="59" t="n">
        <f aca="false">IFERROR(분석4B_월별매트릭스!AB300/분석4B_월별매트릭스!P300-1,"-")</f>
        <v>-0.0655377047958184</v>
      </c>
      <c r="Q56" s="59" t="n">
        <f aca="false">IFERROR(분석4B_월별매트릭스!AC300/분석4B_월별매트릭스!Q300-1,"-")</f>
        <v>0.0849759923304654</v>
      </c>
      <c r="R56" s="59" t="n">
        <f aca="false">IFERROR(분석4B_월별매트릭스!AD300/분석4B_월별매트릭스!R300-1,"-")</f>
        <v>0.00941367932787873</v>
      </c>
      <c r="S56" s="59" t="n">
        <f aca="false">IFERROR(분석4B_월별매트릭스!AE300/분석4B_월별매트릭스!S300-1,"-")</f>
        <v>-0.0547857793331478</v>
      </c>
      <c r="T56" s="59" t="n">
        <f aca="false">IFERROR(분석4B_월별매트릭스!AF300/분석4B_월별매트릭스!T300-1,"-")</f>
        <v>0.0254651092704965</v>
      </c>
      <c r="U56" s="59" t="n">
        <f aca="false">IFERROR(분석4B_월별매트릭스!AG300/분석4B_월별매트릭스!U300-1,"-")</f>
        <v>-0.0132185822575852</v>
      </c>
    </row>
    <row r="57" customFormat="false" ht="15" hidden="false" customHeight="true" outlineLevel="0" collapsed="false">
      <c r="A57" s="8" t="s">
        <v>20106</v>
      </c>
      <c r="B57" s="7" t="s">
        <v>17609</v>
      </c>
      <c r="C57" s="59" t="n">
        <f aca="false">IFERROR(분석4B_월별매트릭스!AA281/분석4B_월별매트릭스!O281-1,"-")</f>
        <v>0.0660894250274549</v>
      </c>
      <c r="D57" s="59" t="n">
        <f aca="false">IFERROR(분석4B_월별매트릭스!AB281/분석4B_월별매트릭스!P281-1,"-")</f>
        <v>-0.261123601003424</v>
      </c>
      <c r="E57" s="59" t="n">
        <f aca="false">IFERROR(분석4B_월별매트릭스!AC281/분석4B_월별매트릭스!Q281-1,"-")</f>
        <v>-0.0691724343260886</v>
      </c>
      <c r="F57" s="59" t="n">
        <f aca="false">IFERROR(분석4B_월별매트릭스!AD281/분석4B_월별매트릭스!R281-1,"-")</f>
        <v>-0.110770039329788</v>
      </c>
      <c r="G57" s="59" t="n">
        <f aca="false">IFERROR(분석4B_월별매트릭스!AE281/분석4B_월별매트릭스!S281-1,"-")</f>
        <v>-0.120973294984229</v>
      </c>
      <c r="H57" s="59" t="n">
        <f aca="false">IFERROR(분석4B_월별매트릭스!AF281/분석4B_월별매트릭스!T281-1,"-")</f>
        <v>-0.0200764126239106</v>
      </c>
      <c r="I57" s="59" t="n">
        <f aca="false">IFERROR(분석4B_월별매트릭스!AG281/분석4B_월별매트릭스!U281-1,"-")</f>
        <v>0.0443553665812639</v>
      </c>
      <c r="J57" s="25" t="n">
        <f aca="false">SUMIFS(데이터_신성질별!$G$3:$G$529,데이터_신성질별!$E$3:$E$529,$B57,데이터_신성질별!$B$3:$B$529,2026,데이터_신성질별!$C$3:$C$529,"&lt;=7")</f>
        <v>36025795</v>
      </c>
      <c r="K57" s="25" t="n">
        <f aca="false">SUMIFS(데이터_신성질별!$I$3:$I$529,데이터_신성질별!$E$3:$E$529,$B57,데이터_신성질별!$B$3:$B$529,2026,데이터_신성질별!$C$3:$C$529,"&lt;=7")</f>
        <v>17759637</v>
      </c>
      <c r="L57" s="25" t="n">
        <f aca="false">SUMIFS(데이터_신성질별!$G$3:$G$529,데이터_신성질별!$E$3:$E$529,$B57,데이터_신성질별!$B$3:$B$529,2025,데이터_신성질별!$C$3:$C$529,"&lt;=7")-SUMIFS(데이터_신성질별!$I$3:$I$529,데이터_신성질별!$E$3:$E$529,$B57,데이터_신성질별!$B$3:$B$529,2025,데이터_신성질별!$C$3:$C$529,"&lt;=7")</f>
        <v>23289442</v>
      </c>
      <c r="M57" s="25" t="n">
        <f aca="false">J57-K57</f>
        <v>18266158</v>
      </c>
      <c r="N57" s="25" t="n">
        <f aca="false">M57-L57</f>
        <v>-5023284</v>
      </c>
      <c r="O57" s="59" t="n">
        <f aca="false">IFERROR(분석4B_월별매트릭스!AA301/분석4B_월별매트릭스!O301-1,"-")</f>
        <v>0.16972819204255</v>
      </c>
      <c r="P57" s="59" t="n">
        <f aca="false">IFERROR(분석4B_월별매트릭스!AB301/분석4B_월별매트릭스!P301-1,"-")</f>
        <v>0.316927149195436</v>
      </c>
      <c r="Q57" s="59" t="n">
        <f aca="false">IFERROR(분석4B_월별매트릭스!AC301/분석4B_월별매트릭스!Q301-1,"-")</f>
        <v>0.108316832761828</v>
      </c>
      <c r="R57" s="59" t="n">
        <f aca="false">IFERROR(분석4B_월별매트릭스!AD301/분석4B_월별매트릭스!R301-1,"-")</f>
        <v>0.128718375853614</v>
      </c>
      <c r="S57" s="59" t="n">
        <f aca="false">IFERROR(분석4B_월별매트릭스!AE301/분석4B_월별매트릭스!S301-1,"-")</f>
        <v>0.096542561733</v>
      </c>
      <c r="T57" s="59" t="n">
        <f aca="false">IFERROR(분석4B_월별매트릭스!AF301/분석4B_월별매트릭스!T301-1,"-")</f>
        <v>0.230441646026549</v>
      </c>
      <c r="U57" s="59" t="n">
        <f aca="false">IFERROR(분석4B_월별매트릭스!AG301/분석4B_월별매트릭스!U301-1,"-")</f>
        <v>0.0113266723003249</v>
      </c>
    </row>
    <row r="58" customFormat="false" ht="15" hidden="false" customHeight="true" outlineLevel="0" collapsed="false">
      <c r="A58" s="8" t="s">
        <v>20106</v>
      </c>
      <c r="B58" s="7" t="s">
        <v>17614</v>
      </c>
      <c r="C58" s="59" t="n">
        <f aca="false">IFERROR(분석4B_월별매트릭스!AA282/분석4B_월별매트릭스!O282-1,"-")</f>
        <v>0.23357404070674</v>
      </c>
      <c r="D58" s="59" t="n">
        <f aca="false">IFERROR(분석4B_월별매트릭스!AB282/분석4B_월별매트릭스!P282-1,"-")</f>
        <v>-0.0526577041606403</v>
      </c>
      <c r="E58" s="59" t="n">
        <f aca="false">IFERROR(분석4B_월별매트릭스!AC282/분석4B_월별매트릭스!Q282-1,"-")</f>
        <v>0.153130021499823</v>
      </c>
      <c r="F58" s="59" t="n">
        <f aca="false">IFERROR(분석4B_월별매트릭스!AD282/분석4B_월별매트릭스!R282-1,"-")</f>
        <v>0.192250004547602</v>
      </c>
      <c r="G58" s="59" t="n">
        <f aca="false">IFERROR(분석4B_월별매트릭스!AE282/분석4B_월별매트릭스!S282-1,"-")</f>
        <v>0.108854728530539</v>
      </c>
      <c r="H58" s="59" t="n">
        <f aca="false">IFERROR(분석4B_월별매트릭스!AF282/분석4B_월별매트릭스!T282-1,"-")</f>
        <v>0.298994851326506</v>
      </c>
      <c r="I58" s="59" t="n">
        <f aca="false">IFERROR(분석4B_월별매트릭스!AG282/분석4B_월별매트릭스!U282-1,"-")</f>
        <v>0.262664004164148</v>
      </c>
      <c r="J58" s="25" t="n">
        <f aca="false">SUMIFS(데이터_신성질별!$G$3:$G$529,데이터_신성질별!$E$3:$E$529,$B58,데이터_신성질별!$B$3:$B$529,2026,데이터_신성질별!$C$3:$C$529,"&lt;=7")</f>
        <v>13482151</v>
      </c>
      <c r="K58" s="25" t="n">
        <f aca="false">SUMIFS(데이터_신성질별!$I$3:$I$529,데이터_신성질별!$E$3:$E$529,$B58,데이터_신성질별!$B$3:$B$529,2026,데이터_신성질별!$C$3:$C$529,"&lt;=7")</f>
        <v>15981048</v>
      </c>
      <c r="L58" s="25" t="n">
        <f aca="false">SUMIFS(데이터_신성질별!$G$3:$G$529,데이터_신성질별!$E$3:$E$529,$B58,데이터_신성질별!$B$3:$B$529,2025,데이터_신성질별!$C$3:$C$529,"&lt;=7")-SUMIFS(데이터_신성질별!$I$3:$I$529,데이터_신성질별!$E$3:$E$529,$B58,데이터_신성질별!$B$3:$B$529,2025,데이터_신성질별!$C$3:$C$529,"&lt;=7")</f>
        <v>-3982309</v>
      </c>
      <c r="M58" s="25" t="n">
        <f aca="false">J58-K58</f>
        <v>-2498897</v>
      </c>
      <c r="N58" s="25" t="n">
        <f aca="false">M58-L58</f>
        <v>1483412</v>
      </c>
      <c r="O58" s="59" t="n">
        <f aca="false">IFERROR(분석4B_월별매트릭스!AA302/분석4B_월별매트릭스!O302-1,"-")</f>
        <v>0.0514445314852254</v>
      </c>
      <c r="P58" s="59" t="n">
        <f aca="false">IFERROR(분석4B_월별매트릭스!AB302/분석4B_월별매트릭스!P302-1,"-")</f>
        <v>0.0579367573781209</v>
      </c>
      <c r="Q58" s="59" t="n">
        <f aca="false">IFERROR(분석4B_월별매트릭스!AC302/분석4B_월별매트릭스!Q302-1,"-")</f>
        <v>-0.0444606639920945</v>
      </c>
      <c r="R58" s="59" t="n">
        <f aca="false">IFERROR(분석4B_월별매트릭스!AD302/분석4B_월별매트릭스!R302-1,"-")</f>
        <v>0.0395452961438096</v>
      </c>
      <c r="S58" s="59" t="n">
        <f aca="false">IFERROR(분석4B_월별매트릭스!AE302/분석4B_월별매트릭스!S302-1,"-")</f>
        <v>0.0557415341442495</v>
      </c>
      <c r="T58" s="59" t="n">
        <f aca="false">IFERROR(분석4B_월별매트릭스!AF302/분석4B_월별매트릭스!T302-1,"-")</f>
        <v>0.103776370678039</v>
      </c>
      <c r="U58" s="59" t="n">
        <f aca="false">IFERROR(분석4B_월별매트릭스!AG302/분석4B_월별매트릭스!U302-1,"-")</f>
        <v>-0.0233043107903592</v>
      </c>
    </row>
    <row r="59" customFormat="false" ht="15" hidden="false" customHeight="true" outlineLevel="0" collapsed="false">
      <c r="A59" s="8" t="s">
        <v>20106</v>
      </c>
      <c r="B59" s="7" t="s">
        <v>17619</v>
      </c>
      <c r="C59" s="59" t="n">
        <f aca="false">IFERROR(분석4B_월별매트릭스!AA283/분석4B_월별매트릭스!O283-1,"-")</f>
        <v>0.0198237885462556</v>
      </c>
      <c r="D59" s="59" t="n">
        <f aca="false">IFERROR(분석4B_월별매트릭스!AB283/분석4B_월별매트릭스!P283-1,"-")</f>
        <v>-0.122554660529344</v>
      </c>
      <c r="E59" s="59" t="n">
        <f aca="false">IFERROR(분석4B_월별매트릭스!AC283/분석4B_월별매트릭스!Q283-1,"-")</f>
        <v>0.303616183315431</v>
      </c>
      <c r="F59" s="59" t="n">
        <f aca="false">IFERROR(분석4B_월별매트릭스!AD283/분석4B_월별매트릭스!R283-1,"-")</f>
        <v>-0.0848640705363704</v>
      </c>
      <c r="G59" s="59" t="n">
        <f aca="false">IFERROR(분석4B_월별매트릭스!AE283/분석4B_월별매트릭스!S283-1,"-")</f>
        <v>0.0487278999568779</v>
      </c>
      <c r="H59" s="59" t="n">
        <f aca="false">IFERROR(분석4B_월별매트릭스!AF283/분석4B_월별매트릭스!T283-1,"-")</f>
        <v>0.109289617486339</v>
      </c>
      <c r="I59" s="59" t="n">
        <f aca="false">IFERROR(분석4B_월별매트릭스!AG283/분석4B_월별매트릭스!U283-1,"-")</f>
        <v>-0.0855935971542908</v>
      </c>
      <c r="J59" s="25" t="n">
        <f aca="false">SUMIFS(데이터_신성질별!$G$3:$G$529,데이터_신성질별!$E$3:$E$529,$B59,데이터_신성질별!$B$3:$B$529,2026,데이터_신성질별!$C$3:$C$529,"&lt;=7")</f>
        <v>22419</v>
      </c>
      <c r="K59" s="25" t="n">
        <f aca="false">SUMIFS(데이터_신성질별!$I$3:$I$529,데이터_신성질별!$E$3:$E$529,$B59,데이터_신성질별!$B$3:$B$529,2026,데이터_신성질별!$C$3:$C$529,"&lt;=7")</f>
        <v>0</v>
      </c>
      <c r="L59" s="25" t="n">
        <f aca="false">SUMIFS(데이터_신성질별!$G$3:$G$529,데이터_신성질별!$E$3:$E$529,$B59,데이터_신성질별!$B$3:$B$529,2025,데이터_신성질별!$C$3:$C$529,"&lt;=7")-SUMIFS(데이터_신성질별!$I$3:$I$529,데이터_신성질별!$E$3:$E$529,$B59,데이터_신성질별!$B$3:$B$529,2025,데이터_신성질별!$C$3:$C$529,"&lt;=7")</f>
        <v>22097</v>
      </c>
      <c r="M59" s="25" t="n">
        <f aca="false">J59-K59</f>
        <v>22419</v>
      </c>
      <c r="N59" s="25" t="n">
        <f aca="false">M59-L59</f>
        <v>322</v>
      </c>
      <c r="O59" s="59" t="str">
        <f aca="false">IFERROR(분석4B_월별매트릭스!AA303/분석4B_월별매트릭스!O303-1,"-")</f>
        <v>-</v>
      </c>
      <c r="P59" s="59" t="str">
        <f aca="false">IFERROR(분석4B_월별매트릭스!AB303/분석4B_월별매트릭스!P303-1,"-")</f>
        <v>-</v>
      </c>
      <c r="Q59" s="59" t="str">
        <f aca="false">IFERROR(분석4B_월별매트릭스!AC303/분석4B_월별매트릭스!Q303-1,"-")</f>
        <v>-</v>
      </c>
      <c r="R59" s="59" t="str">
        <f aca="false">IFERROR(분석4B_월별매트릭스!AD303/분석4B_월별매트릭스!R303-1,"-")</f>
        <v>-</v>
      </c>
      <c r="S59" s="59" t="str">
        <f aca="false">IFERROR(분석4B_월별매트릭스!AE303/분석4B_월별매트릭스!S303-1,"-")</f>
        <v>-</v>
      </c>
      <c r="T59" s="59" t="str">
        <f aca="false">IFERROR(분석4B_월별매트릭스!AF303/분석4B_월별매트릭스!T303-1,"-")</f>
        <v>-</v>
      </c>
      <c r="U59" s="59" t="str">
        <f aca="false">IFERROR(분석4B_월별매트릭스!AG303/분석4B_월별매트릭스!U303-1,"-")</f>
        <v>-</v>
      </c>
    </row>
    <row r="60" customFormat="false" ht="15" hidden="false" customHeight="true" outlineLevel="0" collapsed="false">
      <c r="A60" s="71" t="s">
        <v>20102</v>
      </c>
      <c r="B60" s="72" t="s">
        <v>20134</v>
      </c>
      <c r="C60" s="59" t="n">
        <f aca="false">IFERROR(분석4B_월별매트릭스!AA284/분석4B_월별매트릭스!O284-1,"-")</f>
        <v>0.109199454819238</v>
      </c>
      <c r="D60" s="59" t="n">
        <f aca="false">IFERROR(분석4B_월별매트릭스!AB284/분석4B_월별매트릭스!P284-1,"-")</f>
        <v>0.0172002886709384</v>
      </c>
      <c r="E60" s="59" t="n">
        <f aca="false">IFERROR(분석4B_월별매트릭스!AC284/분석4B_월별매트릭스!Q284-1,"-")</f>
        <v>0.356540675903739</v>
      </c>
      <c r="F60" s="59" t="n">
        <f aca="false">IFERROR(분석4B_월별매트릭스!AD284/분석4B_월별매트릭스!R284-1,"-")</f>
        <v>0.200618305655562</v>
      </c>
      <c r="G60" s="59" t="n">
        <f aca="false">IFERROR(분석4B_월별매트릭스!AE284/분석4B_월별매트릭스!S284-1,"-")</f>
        <v>0.249162449550155</v>
      </c>
      <c r="H60" s="59" t="n">
        <f aca="false">IFERROR(분석4B_월별매트릭스!AF284/분석4B_월별매트릭스!T284-1,"-")</f>
        <v>0.294189265900594</v>
      </c>
      <c r="I60" s="59" t="n">
        <f aca="false">IFERROR(분석4B_월별매트릭스!AG284/분석4B_월별매트릭스!U284-1,"-")</f>
        <v>0.227979330154931</v>
      </c>
      <c r="J60" s="30" t="n">
        <f aca="false">SUMIFS(데이터_신성질별!$G$3:$G$529,데이터_신성질별!$E$3:$E$529,$B60,데이터_신성질별!$B$3:$B$529,2026,데이터_신성질별!$C$3:$C$529,"&lt;=7")</f>
        <v>134709052</v>
      </c>
      <c r="K60" s="25" t="n">
        <f aca="false">SUMIFS(데이터_신성질별!$I$3:$I$529,데이터_신성질별!$E$3:$E$529,$B60,데이터_신성질별!$B$3:$B$529,2026,데이터_신성질별!$C$3:$C$529,"&lt;=7")</f>
        <v>192903631</v>
      </c>
      <c r="L60" s="25" t="n">
        <f aca="false">SUMIFS(데이터_신성질별!$G$3:$G$529,데이터_신성질별!$E$3:$E$529,$B60,데이터_신성질별!$B$3:$B$529,2025,데이터_신성질별!$C$3:$C$529,"&lt;=7")-SUMIFS(데이터_신성질별!$I$3:$I$529,데이터_신성질별!$E$3:$E$529,$B60,데이터_신성질별!$B$3:$B$529,2025,데이터_신성질별!$C$3:$C$529,"&lt;=7")</f>
        <v>-55345994</v>
      </c>
      <c r="M60" s="30" t="n">
        <f aca="false">J60-K60</f>
        <v>-58194579</v>
      </c>
      <c r="N60" s="25" t="n">
        <f aca="false">M60-L60</f>
        <v>-2848585</v>
      </c>
      <c r="O60" s="59" t="n">
        <f aca="false">IFERROR(분석4B_월별매트릭스!AA304/분석4B_월별매트릭스!O304-1,"-")</f>
        <v>0.0415406716095661</v>
      </c>
      <c r="P60" s="59" t="n">
        <f aca="false">IFERROR(분석4B_월별매트릭스!AB304/분석4B_월별매트릭스!P304-1,"-")</f>
        <v>0.0105389468798109</v>
      </c>
      <c r="Q60" s="59" t="n">
        <f aca="false">IFERROR(분석4B_월별매트릭스!AC304/분석4B_월별매트릭스!Q304-1,"-")</f>
        <v>0.104773020103152</v>
      </c>
      <c r="R60" s="59" t="n">
        <f aca="false">IFERROR(분석4B_월별매트릭스!AD304/분석4B_월별매트릭스!R304-1,"-")</f>
        <v>0.130105895038527</v>
      </c>
      <c r="S60" s="59" t="n">
        <f aca="false">IFERROR(분석4B_월별매트릭스!AE304/분석4B_월별매트릭스!S304-1,"-")</f>
        <v>0.223342691901947</v>
      </c>
      <c r="T60" s="59" t="n">
        <f aca="false">IFERROR(분석4B_월별매트릭스!AF304/분석4B_월별매트릭스!T304-1,"-")</f>
        <v>0.300212676019069</v>
      </c>
      <c r="U60" s="59" t="n">
        <f aca="false">IFERROR(분석4B_월별매트릭스!AG304/분석4B_월별매트릭스!U304-1,"-")</f>
        <v>0.292821876358298</v>
      </c>
    </row>
    <row r="61" customFormat="false" ht="15" hidden="false" customHeight="true" outlineLevel="0" collapsed="false">
      <c r="A61" s="8" t="s">
        <v>20106</v>
      </c>
      <c r="B61" s="7" t="s">
        <v>17627</v>
      </c>
      <c r="C61" s="59" t="n">
        <f aca="false">IFERROR(분석4B_월별매트릭스!AA285/분석4B_월별매트릭스!O285-1,"-")</f>
        <v>-0.00659327048129921</v>
      </c>
      <c r="D61" s="59" t="n">
        <f aca="false">IFERROR(분석4B_월별매트릭스!AB285/분석4B_월별매트릭스!P285-1,"-")</f>
        <v>-0.195608414763787</v>
      </c>
      <c r="E61" s="59" t="n">
        <f aca="false">IFERROR(분석4B_월별매트릭스!AC285/분석4B_월별매트릭스!Q285-1,"-")</f>
        <v>0.0767807291867462</v>
      </c>
      <c r="F61" s="59" t="n">
        <f aca="false">IFERROR(분석4B_월별매트릭스!AD285/분석4B_월별매트릭스!R285-1,"-")</f>
        <v>0.0241648642407886</v>
      </c>
      <c r="G61" s="59" t="n">
        <f aca="false">IFERROR(분석4B_월별매트릭스!AE285/분석4B_월별매트릭스!S285-1,"-")</f>
        <v>0.0257139210248436</v>
      </c>
      <c r="H61" s="59" t="n">
        <f aca="false">IFERROR(분석4B_월별매트릭스!AF285/분석4B_월별매트릭스!T285-1,"-")</f>
        <v>0.0937292388194979</v>
      </c>
      <c r="I61" s="59" t="n">
        <f aca="false">IFERROR(분석4B_월별매트릭스!AG285/분석4B_월별매트릭스!U285-1,"-")</f>
        <v>0.0369135069439235</v>
      </c>
      <c r="J61" s="25" t="n">
        <f aca="false">SUMIFS(데이터_신성질별!$G$3:$G$529,데이터_신성질별!$E$3:$E$529,$B61,데이터_신성질별!$B$3:$B$529,2026,데이터_신성질별!$C$3:$C$529,"&lt;=7")</f>
        <v>3142565</v>
      </c>
      <c r="K61" s="25" t="n">
        <f aca="false">SUMIFS(데이터_신성질별!$I$3:$I$529,데이터_신성질별!$E$3:$E$529,$B61,데이터_신성질별!$B$3:$B$529,2026,데이터_신성질별!$C$3:$C$529,"&lt;=7")</f>
        <v>10300472</v>
      </c>
      <c r="L61" s="25" t="n">
        <f aca="false">SUMIFS(데이터_신성질별!$G$3:$G$529,데이터_신성질별!$E$3:$E$529,$B61,데이터_신성질별!$B$3:$B$529,2025,데이터_신성질별!$C$3:$C$529,"&lt;=7")-SUMIFS(데이터_신성질별!$I$3:$I$529,데이터_신성질별!$E$3:$E$529,$B61,데이터_신성질별!$B$3:$B$529,2025,데이터_신성질별!$C$3:$C$529,"&lt;=7")</f>
        <v>-7083561</v>
      </c>
      <c r="M61" s="25" t="n">
        <f aca="false">J61-K61</f>
        <v>-7157907</v>
      </c>
      <c r="N61" s="25" t="n">
        <f aca="false">M61-L61</f>
        <v>-74346</v>
      </c>
      <c r="O61" s="59" t="n">
        <f aca="false">IFERROR(분석4B_월별매트릭스!AA305/분석4B_월별매트릭스!O305-1,"-")</f>
        <v>0.0288160817430383</v>
      </c>
      <c r="P61" s="59" t="n">
        <f aca="false">IFERROR(분석4B_월별매트릭스!AB305/분석4B_월별매트릭스!P305-1,"-")</f>
        <v>-0.12382618544687</v>
      </c>
      <c r="Q61" s="59" t="n">
        <f aca="false">IFERROR(분석4B_월별매트릭스!AC305/분석4B_월별매트릭스!Q305-1,"-")</f>
        <v>0.0262001671013703</v>
      </c>
      <c r="R61" s="59" t="n">
        <f aca="false">IFERROR(분석4B_월별매트릭스!AD305/분석4B_월별매트릭스!R305-1,"-")</f>
        <v>-0.017693609111227</v>
      </c>
      <c r="S61" s="59" t="n">
        <f aca="false">IFERROR(분석4B_월별매트릭스!AE305/분석4B_월별매트릭스!S305-1,"-")</f>
        <v>-0.0276680564698998</v>
      </c>
      <c r="T61" s="59" t="n">
        <f aca="false">IFERROR(분석4B_월별매트릭스!AF305/분석4B_월별매트릭스!T305-1,"-")</f>
        <v>0.0836419913627542</v>
      </c>
      <c r="U61" s="59" t="n">
        <f aca="false">IFERROR(분석4B_월별매트릭스!AG305/분석4B_월별매트릭스!U305-1,"-")</f>
        <v>0.0956767797552647</v>
      </c>
    </row>
    <row r="62" customFormat="false" ht="15" hidden="false" customHeight="true" outlineLevel="0" collapsed="false">
      <c r="A62" s="8" t="s">
        <v>20106</v>
      </c>
      <c r="B62" s="7" t="s">
        <v>17632</v>
      </c>
      <c r="C62" s="59" t="n">
        <f aca="false">IFERROR(분석4B_월별매트릭스!AA286/분석4B_월별매트릭스!O286-1,"-")</f>
        <v>0.046499424502592</v>
      </c>
      <c r="D62" s="59" t="n">
        <f aca="false">IFERROR(분석4B_월별매트릭스!AB286/분석4B_월별매트릭스!P286-1,"-")</f>
        <v>-0.198090921082611</v>
      </c>
      <c r="E62" s="59" t="n">
        <f aca="false">IFERROR(분석4B_월별매트릭스!AC286/분석4B_월별매트릭스!Q286-1,"-")</f>
        <v>-0.00730109732264328</v>
      </c>
      <c r="F62" s="59" t="n">
        <f aca="false">IFERROR(분석4B_월별매트릭스!AD286/분석4B_월별매트릭스!R286-1,"-")</f>
        <v>-0.0220522301825745</v>
      </c>
      <c r="G62" s="59" t="n">
        <f aca="false">IFERROR(분석4B_월별매트릭스!AE286/분석4B_월별매트릭스!S286-1,"-")</f>
        <v>-0.108914392586925</v>
      </c>
      <c r="H62" s="59" t="n">
        <f aca="false">IFERROR(분석4B_월별매트릭스!AF286/분석4B_월별매트릭스!T286-1,"-")</f>
        <v>0.0493214600183365</v>
      </c>
      <c r="I62" s="59" t="n">
        <f aca="false">IFERROR(분석4B_월별매트릭스!AG286/분석4B_월별매트릭스!U286-1,"-")</f>
        <v>0.0194637970284961</v>
      </c>
      <c r="J62" s="25" t="n">
        <f aca="false">SUMIFS(데이터_신성질별!$G$3:$G$529,데이터_신성질별!$E$3:$E$529,$B62,데이터_신성질별!$B$3:$B$529,2026,데이터_신성질별!$C$3:$C$529,"&lt;=7")</f>
        <v>3920154</v>
      </c>
      <c r="K62" s="25" t="n">
        <f aca="false">SUMIFS(데이터_신성질별!$I$3:$I$529,데이터_신성질별!$E$3:$E$529,$B62,데이터_신성질별!$B$3:$B$529,2026,데이터_신성질별!$C$3:$C$529,"&lt;=7")</f>
        <v>2270132</v>
      </c>
      <c r="L62" s="25" t="n">
        <f aca="false">SUMIFS(데이터_신성질별!$G$3:$G$529,데이터_신성질별!$E$3:$E$529,$B62,데이터_신성질별!$B$3:$B$529,2025,데이터_신성질별!$C$3:$C$529,"&lt;=7")-SUMIFS(데이터_신성질별!$I$3:$I$529,데이터_신성질별!$E$3:$E$529,$B62,데이터_신성질별!$B$3:$B$529,2025,데이터_신성질별!$C$3:$C$529,"&lt;=7")</f>
        <v>1755557</v>
      </c>
      <c r="M62" s="25" t="n">
        <f aca="false">J62-K62</f>
        <v>1650022</v>
      </c>
      <c r="N62" s="25" t="n">
        <f aca="false">M62-L62</f>
        <v>-105535</v>
      </c>
      <c r="O62" s="59" t="n">
        <f aca="false">IFERROR(분석4B_월별매트릭스!AA306/분석4B_월별매트릭스!O306-1,"-")</f>
        <v>0.00466341781891955</v>
      </c>
      <c r="P62" s="59" t="n">
        <f aca="false">IFERROR(분석4B_월별매트릭스!AB306/분석4B_월별매트릭스!P306-1,"-")</f>
        <v>-0.138872505247342</v>
      </c>
      <c r="Q62" s="59" t="n">
        <f aca="false">IFERROR(분석4B_월별매트릭스!AC306/분석4B_월별매트릭스!Q306-1,"-")</f>
        <v>-0.0544190647799742</v>
      </c>
      <c r="R62" s="59" t="n">
        <f aca="false">IFERROR(분석4B_월별매트릭스!AD306/분석4B_월별매트릭스!R306-1,"-")</f>
        <v>-0.0308328035600763</v>
      </c>
      <c r="S62" s="59" t="n">
        <f aca="false">IFERROR(분석4B_월별매트릭스!AE306/분석4B_월별매트릭스!S306-1,"-")</f>
        <v>-0.0213690974127411</v>
      </c>
      <c r="T62" s="59" t="n">
        <f aca="false">IFERROR(분석4B_월별매트릭스!AF306/분석4B_월별매트릭스!T306-1,"-")</f>
        <v>0.151396922235821</v>
      </c>
      <c r="U62" s="59" t="n">
        <f aca="false">IFERROR(분석4B_월별매트릭스!AG306/분석4B_월별매트릭스!U306-1,"-")</f>
        <v>-0.00284226480783945</v>
      </c>
    </row>
    <row r="63" customFormat="false" ht="15" hidden="false" customHeight="true" outlineLevel="0" collapsed="false">
      <c r="A63" s="8" t="s">
        <v>20106</v>
      </c>
      <c r="B63" s="7" t="s">
        <v>17637</v>
      </c>
      <c r="C63" s="59" t="n">
        <f aca="false">IFERROR(분석4B_월별매트릭스!AA287/분석4B_월별매트릭스!O287-1,"-")</f>
        <v>0.216653822356451</v>
      </c>
      <c r="D63" s="59" t="n">
        <f aca="false">IFERROR(분석4B_월별매트릭스!AB287/분석4B_월별매트릭스!P287-1,"-")</f>
        <v>0.213894678380597</v>
      </c>
      <c r="E63" s="59" t="n">
        <f aca="false">IFERROR(분석4B_월별매트릭스!AC287/분석4B_월별매트릭스!Q287-1,"-")</f>
        <v>1.10684244795909</v>
      </c>
      <c r="F63" s="59" t="n">
        <f aca="false">IFERROR(분석4B_월별매트릭스!AD287/분석4B_월별매트릭스!R287-1,"-")</f>
        <v>0.486832615933841</v>
      </c>
      <c r="G63" s="59" t="n">
        <f aca="false">IFERROR(분석4B_월별매트릭스!AE287/분석4B_월별매트릭스!S287-1,"-")</f>
        <v>0.610804184880617</v>
      </c>
      <c r="H63" s="59" t="n">
        <f aca="false">IFERROR(분석4B_월별매트릭스!AF287/분석4B_월별매트릭스!T287-1,"-")</f>
        <v>0.540096786795996</v>
      </c>
      <c r="I63" s="59" t="n">
        <f aca="false">IFERROR(분석4B_월별매트릭스!AG287/분석4B_월별매트릭스!U287-1,"-")</f>
        <v>0.403821767306719</v>
      </c>
      <c r="J63" s="25" t="n">
        <f aca="false">SUMIFS(데이터_신성질별!$G$3:$G$529,데이터_신성질별!$E$3:$E$529,$B63,데이터_신성질별!$B$3:$B$529,2026,데이터_신성질별!$C$3:$C$529,"&lt;=7")</f>
        <v>47529382</v>
      </c>
      <c r="K63" s="25" t="n">
        <f aca="false">SUMIFS(데이터_신성질별!$I$3:$I$529,데이터_신성질별!$E$3:$E$529,$B63,데이터_신성질별!$B$3:$B$529,2026,데이터_신성질별!$C$3:$C$529,"&lt;=7")</f>
        <v>118437695</v>
      </c>
      <c r="L63" s="25" t="n">
        <f aca="false">SUMIFS(데이터_신성질별!$G$3:$G$529,데이터_신성질별!$E$3:$E$529,$B63,데이터_신성질별!$B$3:$B$529,2025,데이터_신성질별!$C$3:$C$529,"&lt;=7")-SUMIFS(데이터_신성질별!$I$3:$I$529,데이터_신성질별!$E$3:$E$529,$B63,데이터_신성질별!$B$3:$B$529,2025,데이터_신성질별!$C$3:$C$529,"&lt;=7")</f>
        <v>-70623179</v>
      </c>
      <c r="M63" s="25" t="n">
        <f aca="false">J63-K63</f>
        <v>-70908313</v>
      </c>
      <c r="N63" s="25" t="n">
        <f aca="false">M63-L63</f>
        <v>-285134</v>
      </c>
      <c r="O63" s="59" t="n">
        <f aca="false">IFERROR(분석4B_월별매트릭스!AA307/분석4B_월별매트릭스!O307-1,"-")</f>
        <v>0.00319132408340383</v>
      </c>
      <c r="P63" s="59" t="n">
        <f aca="false">IFERROR(분석4B_월별매트릭스!AB307/분석4B_월별매트릭스!P307-1,"-")</f>
        <v>0.0454802710801001</v>
      </c>
      <c r="Q63" s="59" t="n">
        <f aca="false">IFERROR(분석4B_월별매트릭스!AC307/분석4B_월별매트릭스!Q307-1,"-")</f>
        <v>0.028786512333739</v>
      </c>
      <c r="R63" s="59" t="n">
        <f aca="false">IFERROR(분석4B_월별매트릭스!AD307/분석4B_월별매트릭스!R307-1,"-")</f>
        <v>0.118226975883591</v>
      </c>
      <c r="S63" s="59" t="n">
        <f aca="false">IFERROR(분석4B_월별매트릭스!AE307/분석4B_월별매트릭스!S307-1,"-")</f>
        <v>0.246839562677316</v>
      </c>
      <c r="T63" s="59" t="n">
        <f aca="false">IFERROR(분석4B_월별매트릭스!AF307/분석4B_월별매트릭스!T307-1,"-")</f>
        <v>0.320633121935482</v>
      </c>
      <c r="U63" s="59" t="n">
        <f aca="false">IFERROR(분석4B_월별매트릭스!AG307/분석4B_월별매트릭스!U307-1,"-")</f>
        <v>0.388882120483184</v>
      </c>
    </row>
    <row r="64" customFormat="false" ht="15" hidden="false" customHeight="true" outlineLevel="0" collapsed="false">
      <c r="A64" s="8" t="s">
        <v>20106</v>
      </c>
      <c r="B64" s="7" t="s">
        <v>17642</v>
      </c>
      <c r="C64" s="59" t="n">
        <f aca="false">IFERROR(분석4B_월별매트릭스!AA288/분석4B_월별매트릭스!O288-1,"-")</f>
        <v>0.118977424046087</v>
      </c>
      <c r="D64" s="59" t="n">
        <f aca="false">IFERROR(분석4B_월별매트릭스!AB288/분석4B_월별매트릭스!P288-1,"-")</f>
        <v>0.0235843027573903</v>
      </c>
      <c r="E64" s="59" t="n">
        <f aca="false">IFERROR(분석4B_월별매트릭스!AC288/분석4B_월별매트릭스!Q288-1,"-")</f>
        <v>0.105827084231859</v>
      </c>
      <c r="F64" s="59" t="n">
        <f aca="false">IFERROR(분석4B_월별매트릭스!AD288/분석4B_월별매트릭스!R288-1,"-")</f>
        <v>0.100929589419931</v>
      </c>
      <c r="G64" s="59" t="n">
        <f aca="false">IFERROR(분석4B_월별매트릭스!AE288/분석4B_월별매트릭스!S288-1,"-")</f>
        <v>0.142510458373037</v>
      </c>
      <c r="H64" s="59" t="n">
        <f aca="false">IFERROR(분석4B_월별매트릭스!AF288/분석4B_월별매트릭스!T288-1,"-")</f>
        <v>0.25291795820837</v>
      </c>
      <c r="I64" s="59" t="n">
        <f aca="false">IFERROR(분석4B_월별매트릭스!AG288/분석4B_월별매트릭스!U288-1,"-")</f>
        <v>0.12417957347875</v>
      </c>
      <c r="J64" s="25" t="n">
        <f aca="false">SUMIFS(데이터_신성질별!$G$3:$G$529,데이터_신성질별!$E$3:$E$529,$B64,데이터_신성질별!$B$3:$B$529,2026,데이터_신성질별!$C$3:$C$529,"&lt;=7")</f>
        <v>26300119</v>
      </c>
      <c r="K64" s="25" t="n">
        <f aca="false">SUMIFS(데이터_신성질별!$I$3:$I$529,데이터_신성질별!$E$3:$E$529,$B64,데이터_신성질별!$B$3:$B$529,2026,데이터_신성질별!$C$3:$C$529,"&lt;=7")</f>
        <v>23547109</v>
      </c>
      <c r="L64" s="25" t="n">
        <f aca="false">SUMIFS(데이터_신성질별!$G$3:$G$529,데이터_신성질별!$E$3:$E$529,$B64,데이터_신성질별!$B$3:$B$529,2025,데이터_신성질별!$C$3:$C$529,"&lt;=7")-SUMIFS(데이터_신성질별!$I$3:$I$529,데이터_신성질별!$E$3:$E$529,$B64,데이터_신성질별!$B$3:$B$529,2025,데이터_신성질별!$C$3:$C$529,"&lt;=7")</f>
        <v>4102326</v>
      </c>
      <c r="M64" s="25" t="n">
        <f aca="false">J64-K64</f>
        <v>2753010</v>
      </c>
      <c r="N64" s="25" t="n">
        <f aca="false">M64-L64</f>
        <v>-1349316</v>
      </c>
      <c r="O64" s="59" t="n">
        <f aca="false">IFERROR(분석4B_월별매트릭스!AA308/분석4B_월별매트릭스!O308-1,"-")</f>
        <v>0.218967048202781</v>
      </c>
      <c r="P64" s="59" t="n">
        <f aca="false">IFERROR(분석4B_월별매트릭스!AB308/분석4B_월별매트릭스!P308-1,"-")</f>
        <v>0.103870369306289</v>
      </c>
      <c r="Q64" s="59" t="n">
        <f aca="false">IFERROR(분석4B_월별매트릭스!AC308/분석4B_월별매트릭스!Q308-1,"-")</f>
        <v>0.289272208609838</v>
      </c>
      <c r="R64" s="59" t="n">
        <f aca="false">IFERROR(분석4B_월별매트릭스!AD308/분석4B_월별매트릭스!R308-1,"-")</f>
        <v>0.14919317651811</v>
      </c>
      <c r="S64" s="59" t="n">
        <f aca="false">IFERROR(분석4B_월별매트릭스!AE308/분석4B_월별매트릭스!S308-1,"-")</f>
        <v>0.175862888371898</v>
      </c>
      <c r="T64" s="59" t="n">
        <f aca="false">IFERROR(분석4B_월별매트릭스!AF308/분석4B_월별매트릭스!T308-1,"-")</f>
        <v>0.398919183335357</v>
      </c>
      <c r="U64" s="59" t="n">
        <f aca="false">IFERROR(분석4B_월별매트릭스!AG308/분석4B_월별매트릭스!U308-1,"-")</f>
        <v>0.201141184954135</v>
      </c>
    </row>
    <row r="65" customFormat="false" ht="15" hidden="false" customHeight="true" outlineLevel="0" collapsed="false">
      <c r="A65" s="8" t="s">
        <v>20106</v>
      </c>
      <c r="B65" s="7" t="s">
        <v>17647</v>
      </c>
      <c r="C65" s="59" t="n">
        <f aca="false">IFERROR(분석4B_월별매트릭스!AA289/분석4B_월별매트릭스!O289-1,"-")</f>
        <v>0.0511874192102462</v>
      </c>
      <c r="D65" s="59" t="n">
        <f aca="false">IFERROR(분석4B_월별매트릭스!AB289/분석4B_월별매트릭스!P289-1,"-")</f>
        <v>-0.0792048695967665</v>
      </c>
      <c r="E65" s="59" t="n">
        <f aca="false">IFERROR(분석4B_월별매트릭스!AC289/분석4B_월별매트릭스!Q289-1,"-")</f>
        <v>0.0953899039307591</v>
      </c>
      <c r="F65" s="59" t="n">
        <f aca="false">IFERROR(분석4B_월별매트릭스!AD289/분석4B_월별매트릭스!R289-1,"-")</f>
        <v>0.10583061102121</v>
      </c>
      <c r="G65" s="59" t="n">
        <f aca="false">IFERROR(분석4B_월별매트릭스!AE289/분석4B_월별매트릭스!S289-1,"-")</f>
        <v>0.105788914772909</v>
      </c>
      <c r="H65" s="59" t="n">
        <f aca="false">IFERROR(분석4B_월별매트릭스!AF289/분석4B_월별매트릭스!T289-1,"-")</f>
        <v>0.178213804664094</v>
      </c>
      <c r="I65" s="59" t="n">
        <f aca="false">IFERROR(분석4B_월별매트릭스!AG289/분석4B_월별매트릭스!U289-1,"-")</f>
        <v>0.18270475038154</v>
      </c>
      <c r="J65" s="25" t="n">
        <f aca="false">SUMIFS(데이터_신성질별!$G$3:$G$529,데이터_신성질별!$E$3:$E$529,$B65,데이터_신성질별!$B$3:$B$529,2026,데이터_신성질별!$C$3:$C$529,"&lt;=7")</f>
        <v>53732678</v>
      </c>
      <c r="K65" s="25" t="n">
        <f aca="false">SUMIFS(데이터_신성질별!$I$3:$I$529,데이터_신성질별!$E$3:$E$529,$B65,데이터_신성질별!$B$3:$B$529,2026,데이터_신성질별!$C$3:$C$529,"&lt;=7")</f>
        <v>38301181</v>
      </c>
      <c r="L65" s="25" t="n">
        <f aca="false">SUMIFS(데이터_신성질별!$G$3:$G$529,데이터_신성질별!$E$3:$E$529,$B65,데이터_신성질별!$B$3:$B$529,2025,데이터_신성질별!$C$3:$C$529,"&lt;=7")-SUMIFS(데이터_신성질별!$I$3:$I$529,데이터_신성질별!$E$3:$E$529,$B65,데이터_신성질별!$B$3:$B$529,2025,데이터_신성질별!$C$3:$C$529,"&lt;=7")</f>
        <v>16482951</v>
      </c>
      <c r="M65" s="25" t="n">
        <f aca="false">J65-K65</f>
        <v>15431497</v>
      </c>
      <c r="N65" s="25" t="n">
        <f aca="false">M65-L65</f>
        <v>-1051454</v>
      </c>
      <c r="O65" s="59" t="n">
        <f aca="false">IFERROR(분석4B_월별매트릭스!AA309/분석4B_월별매트릭스!O309-1,"-")</f>
        <v>0.0950534456462475</v>
      </c>
      <c r="P65" s="59" t="n">
        <f aca="false">IFERROR(분석4B_월별매트릭스!AB309/분석4B_월별매트릭스!P309-1,"-")</f>
        <v>-0.0909813306282812</v>
      </c>
      <c r="Q65" s="59" t="n">
        <f aca="false">IFERROR(분석4B_월별매트릭스!AC309/분석4B_월별매트릭스!Q309-1,"-")</f>
        <v>0.284610222711231</v>
      </c>
      <c r="R65" s="59" t="n">
        <f aca="false">IFERROR(분석4B_월별매트릭스!AD309/분석4B_월별매트릭스!R309-1,"-")</f>
        <v>0.212682068612044</v>
      </c>
      <c r="S65" s="59" t="n">
        <f aca="false">IFERROR(분석4B_월별매트릭스!AE309/분석4B_월별매트릭스!S309-1,"-")</f>
        <v>0.280114880520761</v>
      </c>
      <c r="T65" s="59" t="n">
        <f aca="false">IFERROR(분석4B_월별매트릭스!AF309/분석4B_월별매트릭스!T309-1,"-")</f>
        <v>0.262494153355204</v>
      </c>
      <c r="U65" s="59" t="n">
        <f aca="false">IFERROR(분석4B_월별매트릭스!AG309/분석4B_월별매트릭스!U309-1,"-")</f>
        <v>0.151749187354046</v>
      </c>
    </row>
    <row r="66" customFormat="false" ht="15" hidden="false" customHeight="true" outlineLevel="0" collapsed="false">
      <c r="A66" s="8" t="s">
        <v>20106</v>
      </c>
      <c r="B66" s="7" t="s">
        <v>17652</v>
      </c>
      <c r="C66" s="59" t="n">
        <f aca="false">IFERROR(분석4B_월별매트릭스!AA290/분석4B_월별매트릭스!O290-1,"-")</f>
        <v>-0.292879256965944</v>
      </c>
      <c r="D66" s="59" t="n">
        <f aca="false">IFERROR(분석4B_월별매트릭스!AB290/분석4B_월별매트릭스!P290-1,"-")</f>
        <v>-0.462666455294864</v>
      </c>
      <c r="E66" s="59" t="n">
        <f aca="false">IFERROR(분석4B_월별매트릭스!AC290/분석4B_월별매트릭스!Q290-1,"-")</f>
        <v>1.35214530627375</v>
      </c>
      <c r="F66" s="59" t="n">
        <f aca="false">IFERROR(분석4B_월별매트릭스!AD290/분석4B_월별매트릭스!R290-1,"-")</f>
        <v>0.0569599999999999</v>
      </c>
      <c r="G66" s="59" t="n">
        <f aca="false">IFERROR(분석4B_월별매트릭스!AE290/분석4B_월별매트릭스!S290-1,"-")</f>
        <v>-0.0447728989103463</v>
      </c>
      <c r="H66" s="59" t="n">
        <f aca="false">IFERROR(분석4B_월별매트릭스!AF290/분석4B_월별매트릭스!T290-1,"-")</f>
        <v>0.521430351358086</v>
      </c>
      <c r="I66" s="59" t="n">
        <f aca="false">IFERROR(분석4B_월별매트릭스!AG290/분석4B_월별매트릭스!U290-1,"-")</f>
        <v>0.387220447284345</v>
      </c>
      <c r="J66" s="25" t="n">
        <f aca="false">SUMIFS(데이터_신성질별!$G$3:$G$529,데이터_신성질별!$E$3:$E$529,$B66,데이터_신성질별!$B$3:$B$529,2026,데이터_신성질별!$C$3:$C$529,"&lt;=7")</f>
        <v>84155</v>
      </c>
      <c r="K66" s="25" t="n">
        <f aca="false">SUMIFS(데이터_신성질별!$I$3:$I$529,데이터_신성질별!$E$3:$E$529,$B66,데이터_신성질별!$B$3:$B$529,2026,데이터_신성질별!$C$3:$C$529,"&lt;=7")</f>
        <v>47046</v>
      </c>
      <c r="L66" s="25" t="n">
        <f aca="false">SUMIFS(데이터_신성질별!$G$3:$G$529,데이터_신성질별!$E$3:$E$529,$B66,데이터_신성질별!$B$3:$B$529,2025,데이터_신성질별!$C$3:$C$529,"&lt;=7")-SUMIFS(데이터_신성질별!$I$3:$I$529,데이터_신성질별!$E$3:$E$529,$B66,데이터_신성질별!$B$3:$B$529,2025,데이터_신성질별!$C$3:$C$529,"&lt;=7")</f>
        <v>19912</v>
      </c>
      <c r="M66" s="25" t="n">
        <f aca="false">J66-K66</f>
        <v>37109</v>
      </c>
      <c r="N66" s="25" t="n">
        <f aca="false">M66-L66</f>
        <v>17197</v>
      </c>
      <c r="O66" s="59" t="n">
        <f aca="false">IFERROR(분석4B_월별매트릭스!AA310/분석4B_월별매트릭스!O310-1,"-")</f>
        <v>-0.1729375696767</v>
      </c>
      <c r="P66" s="59" t="n">
        <f aca="false">IFERROR(분석4B_월별매트릭스!AB310/분석4B_월별매트릭스!P310-1,"-")</f>
        <v>-0.186542305129913</v>
      </c>
      <c r="Q66" s="59" t="n">
        <f aca="false">IFERROR(분석4B_월별매트릭스!AC310/분석4B_월별매트릭스!Q310-1,"-")</f>
        <v>-0.134628610729023</v>
      </c>
      <c r="R66" s="59" t="n">
        <f aca="false">IFERROR(분석4B_월별매트릭스!AD310/분석4B_월별매트릭스!R310-1,"-")</f>
        <v>-0.0811561277293954</v>
      </c>
      <c r="S66" s="59" t="n">
        <f aca="false">IFERROR(분석4B_월별매트릭스!AE310/분석4B_월별매트릭스!S310-1,"-")</f>
        <v>0.0316792823100645</v>
      </c>
      <c r="T66" s="59" t="n">
        <f aca="false">IFERROR(분석4B_월별매트릭스!AF310/분석4B_월별매트릭스!T310-1,"-")</f>
        <v>0.106831214161057</v>
      </c>
      <c r="U66" s="59" t="n">
        <f aca="false">IFERROR(분석4B_월별매트릭스!AG310/분석4B_월별매트릭스!U310-1,"-")</f>
        <v>-0.113948380010983</v>
      </c>
    </row>
    <row r="67" customFormat="false" ht="15" hidden="false" customHeight="true" outlineLevel="0" collapsed="false">
      <c r="A67" s="71" t="s">
        <v>20102</v>
      </c>
      <c r="B67" s="72" t="s">
        <v>20135</v>
      </c>
      <c r="C67" s="59" t="n">
        <f aca="false">IFERROR(분석4B_월별매트릭스!AA291/분석4B_월별매트릭스!O291-1,"-")</f>
        <v>0.515765841577335</v>
      </c>
      <c r="D67" s="59" t="n">
        <f aca="false">IFERROR(분석4B_월별매트릭스!AB291/분석4B_월별매트릭스!P291-1,"-")</f>
        <v>0.595864616127438</v>
      </c>
      <c r="E67" s="59" t="n">
        <f aca="false">IFERROR(분석4B_월별매트릭스!AC291/분석4B_월별매트릭스!Q291-1,"-")</f>
        <v>0.693709159262289</v>
      </c>
      <c r="F67" s="59" t="n">
        <f aca="false">IFERROR(분석4B_월별매트릭스!AD291/분석4B_월별매트릭스!R291-1,"-")</f>
        <v>0.759036944385351</v>
      </c>
      <c r="G67" s="59" t="n">
        <f aca="false">IFERROR(분석4B_월별매트릭스!AE291/분석4B_월별매트릭스!S291-1,"-")</f>
        <v>0.804431747404258</v>
      </c>
      <c r="H67" s="59" t="n">
        <f aca="false">IFERROR(분석4B_월별매트릭스!AF291/분석4B_월별매트릭스!T291-1,"-")</f>
        <v>1.03563171753681</v>
      </c>
      <c r="I67" s="59" t="n">
        <f aca="false">IFERROR(분석4B_월별매트릭스!AG291/분석4B_월별매트릭스!U291-1,"-")</f>
        <v>0.943371651640726</v>
      </c>
      <c r="J67" s="30" t="n">
        <f aca="false">SUMIFS(데이터_신성질별!$G$3:$G$529,데이터_신성질별!$E$3:$E$529,$B67,데이터_신성질별!$B$3:$B$529,2026,데이터_신성질별!$C$3:$C$529,"&lt;=7")</f>
        <v>403658562</v>
      </c>
      <c r="K67" s="25" t="n">
        <f aca="false">SUMIFS(데이터_신성질별!$I$3:$I$529,데이터_신성질별!$E$3:$E$529,$B67,데이터_신성질별!$B$3:$B$529,2026,데이터_신성질별!$C$3:$C$529,"&lt;=7")</f>
        <v>180683898</v>
      </c>
      <c r="L67" s="25" t="n">
        <f aca="false">SUMIFS(데이터_신성질별!$G$3:$G$529,데이터_신성질별!$E$3:$E$529,$B67,데이터_신성질별!$B$3:$B$529,2025,데이터_신성질별!$C$3:$C$529,"&lt;=7")-SUMIFS(데이터_신성질별!$I$3:$I$529,데이터_신성질별!$E$3:$E$529,$B67,데이터_신성질별!$B$3:$B$529,2025,데이터_신성질별!$C$3:$C$529,"&lt;=7")</f>
        <v>82847149</v>
      </c>
      <c r="M67" s="30" t="n">
        <f aca="false">J67-K67</f>
        <v>222974664</v>
      </c>
      <c r="N67" s="25" t="n">
        <f aca="false">M67-L67</f>
        <v>140127515</v>
      </c>
      <c r="O67" s="59" t="n">
        <f aca="false">IFERROR(분석4B_월별매트릭스!AA311/분석4B_월별매트릭스!O311-1,"-")</f>
        <v>0.205596645205687</v>
      </c>
      <c r="P67" s="59" t="n">
        <f aca="false">IFERROR(분석4B_월별매트릭스!AB311/분석4B_월별매트릭스!P311-1,"-")</f>
        <v>0.152185070141667</v>
      </c>
      <c r="Q67" s="59" t="n">
        <f aca="false">IFERROR(분석4B_월별매트릭스!AC311/분석4B_월별매트릭스!Q311-1,"-")</f>
        <v>0.205743830654562</v>
      </c>
      <c r="R67" s="59" t="n">
        <f aca="false">IFERROR(분석4B_월별매트릭스!AD311/분석4B_월별매트릭스!R311-1,"-")</f>
        <v>0.249495211165556</v>
      </c>
      <c r="S67" s="59" t="n">
        <f aca="false">IFERROR(분석4B_월별매트릭스!AE311/분석4B_월별매트릭스!S311-1,"-")</f>
        <v>0.252469915635682</v>
      </c>
      <c r="T67" s="59" t="n">
        <f aca="false">IFERROR(분석4B_월별매트릭스!AF311/분석4B_월별매트릭스!T311-1,"-")</f>
        <v>0.36170539076318</v>
      </c>
      <c r="U67" s="59" t="n">
        <f aca="false">IFERROR(분석4B_월별매트릭스!AG311/분석4B_월별매트릭스!U311-1,"-")</f>
        <v>0.331297727557135</v>
      </c>
    </row>
    <row r="68" customFormat="false" ht="15" hidden="false" customHeight="true" outlineLevel="0" collapsed="false">
      <c r="A68" s="8" t="s">
        <v>20106</v>
      </c>
      <c r="B68" s="7" t="s">
        <v>17662</v>
      </c>
      <c r="C68" s="59" t="n">
        <f aca="false">IFERROR(분석4B_월별매트릭스!AA292/분석4B_월별매트릭스!O292-1,"-")</f>
        <v>0.122846147522367</v>
      </c>
      <c r="D68" s="59" t="n">
        <f aca="false">IFERROR(분석4B_월별매트릭스!AB292/분석4B_월별매트릭스!P292-1,"-")</f>
        <v>0.0834680571525237</v>
      </c>
      <c r="E68" s="59" t="n">
        <f aca="false">IFERROR(분석4B_월별매트릭스!AC292/분석4B_월별매트릭스!Q292-1,"-")</f>
        <v>0.105583236710434</v>
      </c>
      <c r="F68" s="59" t="n">
        <f aca="false">IFERROR(분석4B_월별매트릭스!AD292/분석4B_월별매트릭스!R292-1,"-")</f>
        <v>0.117301451136637</v>
      </c>
      <c r="G68" s="59" t="n">
        <f aca="false">IFERROR(분석4B_월별매트릭스!AE292/분석4B_월별매트릭스!S292-1,"-")</f>
        <v>0.0491639197551925</v>
      </c>
      <c r="H68" s="59" t="n">
        <f aca="false">IFERROR(분석4B_월별매트릭스!AF292/분석4B_월별매트릭스!T292-1,"-")</f>
        <v>0.15627968658396</v>
      </c>
      <c r="I68" s="59" t="n">
        <f aca="false">IFERROR(분석4B_월별매트릭스!AG292/분석4B_월별매트릭스!U292-1,"-")</f>
        <v>0.256443669649585</v>
      </c>
      <c r="J68" s="25" t="n">
        <f aca="false">SUMIFS(데이터_신성질별!$G$3:$G$529,데이터_신성질별!$E$3:$E$529,$B68,데이터_신성질별!$B$3:$B$529,2026,데이터_신성질별!$C$3:$C$529,"&lt;=7")</f>
        <v>49702683</v>
      </c>
      <c r="K68" s="25" t="n">
        <f aca="false">SUMIFS(데이터_신성질별!$I$3:$I$529,데이터_신성질별!$E$3:$E$529,$B68,데이터_신성질별!$B$3:$B$529,2026,데이터_신성질별!$C$3:$C$529,"&lt;=7")</f>
        <v>16793037</v>
      </c>
      <c r="L68" s="25" t="n">
        <f aca="false">SUMIFS(데이터_신성질별!$G$3:$G$529,데이터_신성질별!$E$3:$E$529,$B68,데이터_신성질별!$B$3:$B$529,2025,데이터_신성질별!$C$3:$C$529,"&lt;=7")-SUMIFS(데이터_신성질별!$I$3:$I$529,데이터_신성질별!$E$3:$E$529,$B68,데이터_신성질별!$B$3:$B$529,2025,데이터_신성질별!$C$3:$C$529,"&lt;=7")</f>
        <v>28592710</v>
      </c>
      <c r="M68" s="25" t="n">
        <f aca="false">J68-K68</f>
        <v>32909646</v>
      </c>
      <c r="N68" s="25" t="n">
        <f aca="false">M68-L68</f>
        <v>4316936</v>
      </c>
      <c r="O68" s="59" t="n">
        <f aca="false">IFERROR(분석4B_월별매트릭스!AA312/분석4B_월별매트릭스!O312-1,"-")</f>
        <v>0.109410128379149</v>
      </c>
      <c r="P68" s="59" t="n">
        <f aca="false">IFERROR(분석4B_월별매트릭스!AB312/분석4B_월별매트릭스!P312-1,"-")</f>
        <v>-0.0314734019029491</v>
      </c>
      <c r="Q68" s="59" t="n">
        <f aca="false">IFERROR(분석4B_월별매트릭스!AC312/분석4B_월별매트릭스!Q312-1,"-")</f>
        <v>0.18814633439638</v>
      </c>
      <c r="R68" s="59" t="n">
        <f aca="false">IFERROR(분석4B_월별매트릭스!AD312/분석4B_월별매트릭스!R312-1,"-")</f>
        <v>-0.00255884128912531</v>
      </c>
      <c r="S68" s="59" t="n">
        <f aca="false">IFERROR(분석4B_월별매트릭스!AE312/분석4B_월별매트릭스!S312-1,"-")</f>
        <v>-0.0576132775583759</v>
      </c>
      <c r="T68" s="59" t="n">
        <f aca="false">IFERROR(분석4B_월별매트릭스!AF312/분석4B_월별매트릭스!T312-1,"-")</f>
        <v>0.208984695960094</v>
      </c>
      <c r="U68" s="59" t="n">
        <f aca="false">IFERROR(분석4B_월별매트릭스!AG312/분석4B_월별매트릭스!U312-1,"-")</f>
        <v>0.205520067352851</v>
      </c>
    </row>
    <row r="69" customFormat="false" ht="15" hidden="false" customHeight="true" outlineLevel="0" collapsed="false">
      <c r="A69" s="8" t="s">
        <v>20106</v>
      </c>
      <c r="B69" s="7" t="s">
        <v>17667</v>
      </c>
      <c r="C69" s="59" t="n">
        <f aca="false">IFERROR(분석4B_월별매트릭스!AA293/분석4B_월별매트릭스!O293-1,"-")</f>
        <v>0.129134243590447</v>
      </c>
      <c r="D69" s="59" t="n">
        <f aca="false">IFERROR(분석4B_월별매트릭스!AB293/분석4B_월별매트릭스!P293-1,"-")</f>
        <v>-0.125122199933485</v>
      </c>
      <c r="E69" s="59" t="n">
        <f aca="false">IFERROR(분석4B_월별매트릭스!AC293/분석4B_월별매트릭스!Q293-1,"-")</f>
        <v>0.0450922633637394</v>
      </c>
      <c r="F69" s="59" t="n">
        <f aca="false">IFERROR(분석4B_월별매트릭스!AD293/분석4B_월별매트릭스!R293-1,"-")</f>
        <v>-0.0103674517827463</v>
      </c>
      <c r="G69" s="59" t="n">
        <f aca="false">IFERROR(분석4B_월별매트릭스!AE293/분석4B_월별매트릭스!S293-1,"-")</f>
        <v>-0.0222099467765858</v>
      </c>
      <c r="H69" s="59" t="n">
        <f aca="false">IFERROR(분석4B_월별매트릭스!AF293/분석4B_월별매트릭스!T293-1,"-")</f>
        <v>0.0849828019270627</v>
      </c>
      <c r="I69" s="59" t="n">
        <f aca="false">IFERROR(분석4B_월별매트릭스!AG293/분석4B_월별매트릭스!U293-1,"-")</f>
        <v>0.110072875821825</v>
      </c>
      <c r="J69" s="25" t="n">
        <f aca="false">SUMIFS(데이터_신성질별!$G$3:$G$529,데이터_신성질별!$E$3:$E$529,$B69,데이터_신성질별!$B$3:$B$529,2026,데이터_신성질별!$C$3:$C$529,"&lt;=7")</f>
        <v>63145805</v>
      </c>
      <c r="K69" s="25" t="n">
        <f aca="false">SUMIFS(데이터_신성질별!$I$3:$I$529,데이터_신성질별!$E$3:$E$529,$B69,데이터_신성질별!$B$3:$B$529,2026,데이터_신성질별!$C$3:$C$529,"&lt;=7")</f>
        <v>71367943</v>
      </c>
      <c r="L69" s="25" t="n">
        <f aca="false">SUMIFS(데이터_신성질별!$G$3:$G$529,데이터_신성질별!$E$3:$E$529,$B69,데이터_신성질별!$B$3:$B$529,2025,데이터_신성질별!$C$3:$C$529,"&lt;=7")-SUMIFS(데이터_신성질별!$I$3:$I$529,데이터_신성질별!$E$3:$E$529,$B69,데이터_신성질별!$B$3:$B$529,2025,데이터_신성질별!$C$3:$C$529,"&lt;=7")</f>
        <v>-285442</v>
      </c>
      <c r="M69" s="25" t="n">
        <f aca="false">J69-K69</f>
        <v>-8222138</v>
      </c>
      <c r="N69" s="25" t="n">
        <f aca="false">M69-L69</f>
        <v>-7936696</v>
      </c>
      <c r="O69" s="59" t="n">
        <f aca="false">IFERROR(분석4B_월별매트릭스!AA313/분석4B_월별매트릭스!O313-1,"-")</f>
        <v>0.221400238949872</v>
      </c>
      <c r="P69" s="59" t="n">
        <f aca="false">IFERROR(분석4B_월별매트릭스!AB313/분석4B_월별매트릭스!P313-1,"-")</f>
        <v>0.101843572302359</v>
      </c>
      <c r="Q69" s="59" t="n">
        <f aca="false">IFERROR(분석4B_월별매트릭스!AC313/분석4B_월별매트릭스!Q313-1,"-")</f>
        <v>0.061224015265092</v>
      </c>
      <c r="R69" s="59" t="n">
        <f aca="false">IFERROR(분석4B_월별매트릭스!AD313/분석4B_월별매트릭스!R313-1,"-")</f>
        <v>0.145955432662499</v>
      </c>
      <c r="S69" s="59" t="n">
        <f aca="false">IFERROR(분석4B_월별매트릭스!AE313/분석4B_월별매트릭스!S313-1,"-")</f>
        <v>0.164038023664805</v>
      </c>
      <c r="T69" s="59" t="n">
        <f aca="false">IFERROR(분석4B_월별매트릭스!AF313/분석4B_월별매트릭스!T313-1,"-")</f>
        <v>0.201279114668016</v>
      </c>
      <c r="U69" s="59" t="n">
        <f aca="false">IFERROR(분석4B_월별매트릭스!AG313/분석4B_월별매트릭스!U313-1,"-")</f>
        <v>0.225273183655869</v>
      </c>
    </row>
    <row r="70" customFormat="false" ht="15" hidden="false" customHeight="true" outlineLevel="0" collapsed="false">
      <c r="A70" s="8" t="s">
        <v>20106</v>
      </c>
      <c r="B70" s="7" t="s">
        <v>17672</v>
      </c>
      <c r="C70" s="59" t="n">
        <f aca="false">IFERROR(분석4B_월별매트릭스!AA294/분석4B_월별매트릭스!O294-1,"-")</f>
        <v>0.620293443783401</v>
      </c>
      <c r="D70" s="59" t="n">
        <f aca="false">IFERROR(분석4B_월별매트릭스!AB294/분석4B_월별매트릭스!P294-1,"-")</f>
        <v>0.600250980421588</v>
      </c>
      <c r="E70" s="59" t="n">
        <f aca="false">IFERROR(분석4B_월별매트릭스!AC294/분석4B_월별매트릭스!Q294-1,"-")</f>
        <v>0.737137474970807</v>
      </c>
      <c r="F70" s="59" t="n">
        <f aca="false">IFERROR(분석4B_월별매트릭스!AD294/분석4B_월별매트릭스!R294-1,"-")</f>
        <v>1.10677341331508</v>
      </c>
      <c r="G70" s="59" t="n">
        <f aca="false">IFERROR(분석4B_월별매트릭스!AE294/분석4B_월별매트릭스!S294-1,"-")</f>
        <v>0.968472327780802</v>
      </c>
      <c r="H70" s="59" t="n">
        <f aca="false">IFERROR(분석4B_월별매트릭스!AF294/분석4B_월별매트릭스!T294-1,"-")</f>
        <v>1.5262372632435</v>
      </c>
      <c r="I70" s="59" t="n">
        <f aca="false">IFERROR(분석4B_월별매트릭스!AG294/분석4B_월별매트릭스!U294-1,"-")</f>
        <v>1.27237463609594</v>
      </c>
      <c r="J70" s="25" t="n">
        <f aca="false">SUMIFS(데이터_신성질별!$G$3:$G$529,데이터_신성질별!$E$3:$E$529,$B70,데이터_신성질별!$B$3:$B$529,2026,데이터_신성질별!$C$3:$C$529,"&lt;=7")</f>
        <v>46473644</v>
      </c>
      <c r="K70" s="25" t="n">
        <f aca="false">SUMIFS(데이터_신성질별!$I$3:$I$529,데이터_신성질별!$E$3:$E$529,$B70,데이터_신성질별!$B$3:$B$529,2026,데이터_신성질별!$C$3:$C$529,"&lt;=7")</f>
        <v>22727645</v>
      </c>
      <c r="L70" s="25" t="n">
        <f aca="false">SUMIFS(데이터_신성질별!$G$3:$G$529,데이터_신성질별!$E$3:$E$529,$B70,데이터_신성질별!$B$3:$B$529,2025,데이터_신성질별!$C$3:$C$529,"&lt;=7")-SUMIFS(데이터_신성질별!$I$3:$I$529,데이터_신성질별!$E$3:$E$529,$B70,데이터_신성질별!$B$3:$B$529,2025,데이터_신성질별!$C$3:$C$529,"&lt;=7")</f>
        <v>6060516</v>
      </c>
      <c r="M70" s="25" t="n">
        <f aca="false">J70-K70</f>
        <v>23745999</v>
      </c>
      <c r="N70" s="25" t="n">
        <f aca="false">M70-L70</f>
        <v>17685483</v>
      </c>
      <c r="O70" s="59" t="n">
        <f aca="false">IFERROR(분석4B_월별매트릭스!AA314/분석4B_월별매트릭스!O314-1,"-")</f>
        <v>0.200412144701382</v>
      </c>
      <c r="P70" s="59" t="n">
        <f aca="false">IFERROR(분석4B_월별매트릭스!AB314/분석4B_월별매트릭스!P314-1,"-")</f>
        <v>0.463785263661403</v>
      </c>
      <c r="Q70" s="59" t="n">
        <f aca="false">IFERROR(분석4B_월별매트릭스!AC314/분석4B_월별매트릭스!Q314-1,"-")</f>
        <v>0.485845639549321</v>
      </c>
      <c r="R70" s="59" t="n">
        <f aca="false">IFERROR(분석4B_월별매트릭스!AD314/분석4B_월별매트릭스!R314-1,"-")</f>
        <v>0.247504908472455</v>
      </c>
      <c r="S70" s="59" t="n">
        <f aca="false">IFERROR(분석4B_월별매트릭스!AE314/분석4B_월별매트릭스!S314-1,"-")</f>
        <v>0.0689511003476051</v>
      </c>
      <c r="T70" s="59" t="n">
        <f aca="false">IFERROR(분석4B_월별매트릭스!AF314/분석4B_월별매트릭스!T314-1,"-")</f>
        <v>0.440620716763517</v>
      </c>
      <c r="U70" s="59" t="n">
        <f aca="false">IFERROR(분석4B_월별매트릭스!AG314/분석4B_월별매트릭스!U314-1,"-")</f>
        <v>0.288325982608842</v>
      </c>
    </row>
    <row r="71" customFormat="false" ht="15" hidden="false" customHeight="true" outlineLevel="0" collapsed="false">
      <c r="A71" s="8" t="s">
        <v>20106</v>
      </c>
      <c r="B71" s="7" t="s">
        <v>17677</v>
      </c>
      <c r="C71" s="59" t="n">
        <f aca="false">IFERROR(분석4B_월별매트릭스!AA295/분석4B_월별매트릭스!O295-1,"-")</f>
        <v>0.939733724286884</v>
      </c>
      <c r="D71" s="59" t="n">
        <f aca="false">IFERROR(분석4B_월별매트릭스!AB295/분석4B_월별매트릭스!P295-1,"-")</f>
        <v>1.39547139220194</v>
      </c>
      <c r="E71" s="59" t="n">
        <f aca="false">IFERROR(분석4B_월별매트릭스!AC295/분석4B_월별매트릭스!Q295-1,"-")</f>
        <v>1.37173682140631</v>
      </c>
      <c r="F71" s="59" t="n">
        <f aca="false">IFERROR(분석4B_월별매트릭스!AD295/분석4B_월별매트릭스!R295-1,"-")</f>
        <v>1.54520422239913</v>
      </c>
      <c r="G71" s="59" t="n">
        <f aca="false">IFERROR(분석4B_월별매트릭스!AE295/분석4B_월별매트릭스!S295-1,"-")</f>
        <v>1.536682982819</v>
      </c>
      <c r="H71" s="59" t="n">
        <f aca="false">IFERROR(분석4B_월별매트릭스!AF295/분석4B_월별매트릭스!T295-1,"-")</f>
        <v>1.82294165258297</v>
      </c>
      <c r="I71" s="59" t="n">
        <f aca="false">IFERROR(분석4B_월별매트릭스!AG295/분석4B_월별매트릭스!U295-1,"-")</f>
        <v>1.62091011575536</v>
      </c>
      <c r="J71" s="25" t="n">
        <f aca="false">SUMIFS(데이터_신성질별!$G$3:$G$529,데이터_신성질별!$E$3:$E$529,$B71,데이터_신성질별!$B$3:$B$529,2026,데이터_신성질별!$C$3:$C$529,"&lt;=7")</f>
        <v>244336428</v>
      </c>
      <c r="K71" s="25" t="n">
        <f aca="false">SUMIFS(데이터_신성질별!$I$3:$I$529,데이터_신성질별!$E$3:$E$529,$B71,데이터_신성질별!$B$3:$B$529,2026,데이터_신성질별!$C$3:$C$529,"&lt;=7")</f>
        <v>69795278</v>
      </c>
      <c r="L71" s="25" t="n">
        <f aca="false">SUMIFS(데이터_신성질별!$G$3:$G$529,데이터_신성질별!$E$3:$E$529,$B71,데이터_신성질별!$B$3:$B$529,2025,데이터_신성질별!$C$3:$C$529,"&lt;=7")-SUMIFS(데이터_신성질별!$I$3:$I$529,데이터_신성질별!$E$3:$E$529,$B71,데이터_신성질별!$B$3:$B$529,2025,데이터_신성질별!$C$3:$C$529,"&lt;=7")</f>
        <v>48479364</v>
      </c>
      <c r="M71" s="25" t="n">
        <f aca="false">J71-K71</f>
        <v>174541150</v>
      </c>
      <c r="N71" s="25" t="n">
        <f aca="false">M71-L71</f>
        <v>126061786</v>
      </c>
      <c r="O71" s="59" t="n">
        <f aca="false">IFERROR(분석4B_월별매트릭스!AA315/분석4B_월별매트릭스!O315-1,"-")</f>
        <v>0.215746123877536</v>
      </c>
      <c r="P71" s="59" t="n">
        <f aca="false">IFERROR(분석4B_월별매트릭스!AB315/분석4B_월별매트릭스!P315-1,"-")</f>
        <v>0.171307503856274</v>
      </c>
      <c r="Q71" s="59" t="n">
        <f aca="false">IFERROR(분석4B_월별매트릭스!AC315/분석4B_월별매트릭스!Q315-1,"-")</f>
        <v>0.320330790412279</v>
      </c>
      <c r="R71" s="59" t="n">
        <f aca="false">IFERROR(분석4B_월별매트릭스!AD315/분석4B_월별매트릭스!R315-1,"-")</f>
        <v>0.477166513872835</v>
      </c>
      <c r="S71" s="59" t="n">
        <f aca="false">IFERROR(분석4B_월별매트릭스!AE315/분석4B_월별매트릭스!S315-1,"-")</f>
        <v>0.545445368437642</v>
      </c>
      <c r="T71" s="59" t="n">
        <f aca="false">IFERROR(분석4B_월별매트릭스!AF315/분석4B_월별매트릭스!T315-1,"-")</f>
        <v>0.582452713652131</v>
      </c>
      <c r="U71" s="59" t="n">
        <f aca="false">IFERROR(분석4B_월별매트릭스!AG315/분석4B_월별매트릭스!U315-1,"-")</f>
        <v>0.509838613483051</v>
      </c>
    </row>
  </sheetData>
  <mergeCells count="6">
    <mergeCell ref="A1:W1"/>
    <mergeCell ref="A2:W2"/>
    <mergeCell ref="A3:W3"/>
    <mergeCell ref="A5:W5"/>
    <mergeCell ref="A29:W29"/>
    <mergeCell ref="A53:W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5" min="2" style="1" width="15"/>
    <col collapsed="false" customWidth="true" hidden="false" outlineLevel="0" max="9" min="6" style="1" width="11"/>
    <col collapsed="false" customWidth="true" hidden="false" outlineLevel="0" max="10" min="10" style="1" width="12"/>
    <col collapsed="false" customWidth="true" hidden="false" outlineLevel="0" max="11" min="11" style="1" width="26"/>
  </cols>
  <sheetData>
    <row r="1" customFormat="false" ht="21.75" hidden="false" customHeight="true" outlineLevel="0" collapsed="false">
      <c r="A1" s="2" t="s">
        <v>20136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20137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5" t="s">
        <v>20138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5" customFormat="false" ht="14.25" hidden="false" customHeight="true" outlineLevel="0" collapsed="false">
      <c r="A5" s="23" t="s">
        <v>20139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customFormat="false" ht="15" hidden="false" customHeight="true" outlineLevel="0" collapsed="false">
      <c r="A6" s="5" t="s">
        <v>56</v>
      </c>
      <c r="B6" s="5" t="s">
        <v>60</v>
      </c>
      <c r="C6" s="5" t="s">
        <v>20140</v>
      </c>
      <c r="D6" s="5" t="s">
        <v>20141</v>
      </c>
      <c r="E6" s="5" t="s">
        <v>20142</v>
      </c>
      <c r="F6" s="5" t="s">
        <v>20143</v>
      </c>
      <c r="G6" s="5" t="s">
        <v>20144</v>
      </c>
      <c r="H6" s="5" t="s">
        <v>20145</v>
      </c>
      <c r="I6" s="5" t="s">
        <v>20146</v>
      </c>
      <c r="J6" s="5" t="s">
        <v>20147</v>
      </c>
      <c r="K6" s="5" t="s">
        <v>20148</v>
      </c>
    </row>
    <row r="7" customFormat="false" ht="15" hidden="false" customHeight="true" outlineLevel="0" collapsed="false">
      <c r="A7" s="66" t="str">
        <f aca="false">분석2_월별추이!A17</f>
        <v>2025.01</v>
      </c>
      <c r="B7" s="25" t="n">
        <f aca="false">분석2_월별추이!E17</f>
        <v>49176984</v>
      </c>
      <c r="C7" s="25" t="n">
        <f aca="false">분석2_월별추이!E17-분석2_월별추이!E5</f>
        <v>-5532839</v>
      </c>
      <c r="D7" s="25" t="n">
        <f aca="false">(분석2_월별추이!D17-분석2_월별추이!D5)*분석2_월별추이!O5</f>
        <v>-6778807.83613511</v>
      </c>
      <c r="E7" s="25" t="n">
        <f aca="false">(분석2_월별추이!O17-분석2_월별추이!O5)*분석2_월별추이!D5</f>
        <v>1422184.24240383</v>
      </c>
      <c r="F7" s="25" t="n">
        <f aca="false">(분석2_월별추이!D17-분석2_월별추이!D5)*(분석2_월별추이!O17-분석2_월별추이!O5)</f>
        <v>-176215.406268723</v>
      </c>
      <c r="G7" s="36" t="n">
        <f aca="false">IFERROR(D7/$C7,"-")</f>
        <v>1.22519520921088</v>
      </c>
      <c r="H7" s="36" t="n">
        <f aca="false">IFERROR(E7/$C7,"-")</f>
        <v>-0.257044212275801</v>
      </c>
      <c r="I7" s="36" t="n">
        <f aca="false">분석2_월별추이!D17/분석2_월별추이!D5-1</f>
        <v>-0.12390476635494</v>
      </c>
      <c r="J7" s="36" t="n">
        <f aca="false">분석2_월별추이!O17/분석2_월별추이!O5-1</f>
        <v>0.0259950437493433</v>
      </c>
      <c r="K7" s="8" t="str">
        <f aca="false">IF(ABS(D7+E7+F7-C7)&lt;1,"OK","불일치")</f>
        <v>OK</v>
      </c>
    </row>
    <row r="8" customFormat="false" ht="15" hidden="false" customHeight="true" outlineLevel="0" collapsed="false">
      <c r="A8" s="66" t="str">
        <f aca="false">분석2_월별추이!A18</f>
        <v>2025.02</v>
      </c>
      <c r="B8" s="25" t="n">
        <f aca="false">분석2_월별추이!E18</f>
        <v>52292301</v>
      </c>
      <c r="C8" s="25" t="n">
        <f aca="false">분석2_월별추이!E18-분석2_월별추이!E6</f>
        <v>215911</v>
      </c>
      <c r="D8" s="25" t="n">
        <f aca="false">(분석2_월별추이!D18-분석2_월별추이!D6)*분석2_월별추이!O6</f>
        <v>1570727.17939619</v>
      </c>
      <c r="E8" s="25" t="n">
        <f aca="false">(분석2_월별추이!O18-분석2_월별추이!O6)*분석2_월별추이!D6</f>
        <v>-1315148.68731181</v>
      </c>
      <c r="F8" s="25" t="n">
        <f aca="false">(분석2_월별추이!D18-분석2_월별추이!D6)*(분석2_월별추이!O18-분석2_월별추이!O6)</f>
        <v>-39667.4920843762</v>
      </c>
      <c r="G8" s="36" t="n">
        <f aca="false">IFERROR(D8/$C8,"-")</f>
        <v>7.27488261087296</v>
      </c>
      <c r="H8" s="36" t="n">
        <f aca="false">IFERROR(E8/$C8,"-")</f>
        <v>-6.09116111412487</v>
      </c>
      <c r="I8" s="36" t="n">
        <f aca="false">분석2_월별추이!D18/분석2_월별추이!D6-1</f>
        <v>0.0301619827986577</v>
      </c>
      <c r="J8" s="36" t="n">
        <f aca="false">분석2_월별추이!O18/분석2_월별추이!O6-1</f>
        <v>-0.0252542214871617</v>
      </c>
      <c r="K8" s="8" t="str">
        <f aca="false">IF(ABS(D8+E8+F8-C8)&lt;1,"OK","불일치")</f>
        <v>OK</v>
      </c>
    </row>
    <row r="9" customFormat="false" ht="15" hidden="false" customHeight="true" outlineLevel="0" collapsed="false">
      <c r="A9" s="66" t="str">
        <f aca="false">분석2_월별추이!A19</f>
        <v>2025.03</v>
      </c>
      <c r="B9" s="25" t="n">
        <f aca="false">분석2_월별추이!E19</f>
        <v>58064562</v>
      </c>
      <c r="C9" s="25" t="n">
        <f aca="false">분석2_월별추이!E19-분석2_월별추이!E7</f>
        <v>1546253</v>
      </c>
      <c r="D9" s="25" t="n">
        <f aca="false">(분석2_월별추이!D19-분석2_월별추이!D7)*분석2_월별추이!O7</f>
        <v>-3711376.0139223</v>
      </c>
      <c r="E9" s="25" t="n">
        <f aca="false">(분석2_월별추이!O19-분석2_월별추이!O7)*분석2_월별추이!D7</f>
        <v>5627145.61162961</v>
      </c>
      <c r="F9" s="25" t="n">
        <f aca="false">(분석2_월별추이!D19-분석2_월별추이!D7)*(분석2_월별추이!O19-분석2_월별추이!O7)</f>
        <v>-369516.597707307</v>
      </c>
      <c r="G9" s="36" t="n">
        <f aca="false">IFERROR(D9/$C9,"-")</f>
        <v>-2.40023852107146</v>
      </c>
      <c r="H9" s="36" t="n">
        <f aca="false">IFERROR(E9/$C9,"-")</f>
        <v>3.63921403006469</v>
      </c>
      <c r="I9" s="36" t="n">
        <f aca="false">분석2_월별추이!D19/분석2_월별추이!D7-1</f>
        <v>-0.0656667915156893</v>
      </c>
      <c r="J9" s="36" t="n">
        <f aca="false">분석2_월별추이!O19/분석2_월별추이!O7-1</f>
        <v>0.0995632337766794</v>
      </c>
      <c r="K9" s="8" t="str">
        <f aca="false">IF(ABS(D9+E9+F9-C9)&lt;1,"OK","불일치")</f>
        <v>OK</v>
      </c>
    </row>
    <row r="10" customFormat="false" ht="15" hidden="false" customHeight="true" outlineLevel="0" collapsed="false">
      <c r="A10" s="66" t="str">
        <f aca="false">분석2_월별추이!A20</f>
        <v>2025.04</v>
      </c>
      <c r="B10" s="25" t="n">
        <f aca="false">분석2_월별추이!E20</f>
        <v>58035745</v>
      </c>
      <c r="C10" s="25" t="n">
        <f aca="false">분석2_월별추이!E20-분석2_월별추이!E8</f>
        <v>1887446</v>
      </c>
      <c r="D10" s="25" t="n">
        <f aca="false">(분석2_월별추이!D20-분석2_월별추이!D8)*분석2_월별추이!O8</f>
        <v>3528326.46637707</v>
      </c>
      <c r="E10" s="25" t="n">
        <f aca="false">(분석2_월별추이!O20-분석2_월별추이!O8)*분석2_월별추이!D8</f>
        <v>-1543864.89399117</v>
      </c>
      <c r="F10" s="25" t="n">
        <f aca="false">(분석2_월별추이!D20-분석2_월별추이!D8)*(분석2_월별추이!O20-분석2_월별추이!O8)</f>
        <v>-97015.5723858969</v>
      </c>
      <c r="G10" s="36" t="n">
        <f aca="false">IFERROR(D10/$C10,"-")</f>
        <v>1.86936551635229</v>
      </c>
      <c r="H10" s="36" t="n">
        <f aca="false">IFERROR(E10/$C10,"-")</f>
        <v>-0.817965067075388</v>
      </c>
      <c r="I10" s="36" t="n">
        <f aca="false">분석2_월별추이!D20/분석2_월별추이!D8-1</f>
        <v>0.0628394186327368</v>
      </c>
      <c r="J10" s="36" t="n">
        <f aca="false">분석2_월별추이!O20/분석2_월별추이!O8-1</f>
        <v>-0.0274962006238367</v>
      </c>
      <c r="K10" s="8" t="str">
        <f aca="false">IF(ABS(D10+E10+F10-C10)&lt;1,"OK","불일치")</f>
        <v>OK</v>
      </c>
    </row>
    <row r="11" customFormat="false" ht="15" hidden="false" customHeight="true" outlineLevel="0" collapsed="false">
      <c r="A11" s="66" t="str">
        <f aca="false">분석2_월별추이!A21</f>
        <v>2025.05</v>
      </c>
      <c r="B11" s="25" t="n">
        <f aca="false">분석2_월별추이!E21</f>
        <v>57261063</v>
      </c>
      <c r="C11" s="25" t="n">
        <f aca="false">분석2_월별추이!E21-분석2_월별추이!E9</f>
        <v>-759494</v>
      </c>
      <c r="D11" s="25" t="n">
        <f aca="false">(분석2_월별추이!D21-분석2_월별추이!D9)*분석2_월별추이!O9</f>
        <v>-761232.696283492</v>
      </c>
      <c r="E11" s="25" t="n">
        <f aca="false">(분석2_월별추이!O21-분석2_월별추이!O9)*분석2_월별추이!D9</f>
        <v>1761.81133900096</v>
      </c>
      <c r="F11" s="25" t="n">
        <f aca="false">(분석2_월별추이!D21-분석2_월별추이!D9)*(분석2_월별추이!O21-분석2_월별추이!O9)</f>
        <v>-23.1150555126613</v>
      </c>
      <c r="G11" s="36" t="n">
        <f aca="false">IFERROR(D11/$C11,"-")</f>
        <v>1.00228928244791</v>
      </c>
      <c r="H11" s="36" t="n">
        <f aca="false">IFERROR(E11/$C11,"-")</f>
        <v>-0.00231971725780712</v>
      </c>
      <c r="I11" s="36" t="n">
        <f aca="false">분석2_월별추이!D21/분석2_월별추이!D9-1</f>
        <v>-0.0131200515066322</v>
      </c>
      <c r="J11" s="36" t="n">
        <f aca="false">분석2_월별추이!O21/분석2_월별추이!O9-1</f>
        <v>3.03652951660904E-005</v>
      </c>
      <c r="K11" s="8" t="str">
        <f aca="false">IF(ABS(D11+E11+F11-C11)&lt;1,"OK","불일치")</f>
        <v>OK</v>
      </c>
    </row>
    <row r="12" customFormat="false" ht="15" hidden="false" customHeight="true" outlineLevel="0" collapsed="false">
      <c r="A12" s="66" t="str">
        <f aca="false">분석2_월별추이!A22</f>
        <v>2025.06</v>
      </c>
      <c r="B12" s="25" t="n">
        <f aca="false">분석2_월별추이!E22</f>
        <v>59833797</v>
      </c>
      <c r="C12" s="25" t="n">
        <f aca="false">분석2_월별추이!E22-분석2_월별추이!E10</f>
        <v>2492163</v>
      </c>
      <c r="D12" s="25" t="n">
        <f aca="false">(분석2_월별추이!D22-분석2_월별추이!D10)*분석2_월별추이!O10</f>
        <v>6186816.12540902</v>
      </c>
      <c r="E12" s="25" t="n">
        <f aca="false">(분석2_월별추이!O22-분석2_월별추이!O10)*분석2_월별추이!D10</f>
        <v>-3334843.63078181</v>
      </c>
      <c r="F12" s="25" t="n">
        <f aca="false">(분석2_월별추이!D22-분석2_월별추이!D10)*(분석2_월별추이!O22-분석2_월별추이!O10)</f>
        <v>-359809.494627211</v>
      </c>
      <c r="G12" s="36" t="n">
        <f aca="false">IFERROR(D12/$C12,"-")</f>
        <v>2.48250861817988</v>
      </c>
      <c r="H12" s="36" t="n">
        <f aca="false">IFERROR(E12/$C12,"-")</f>
        <v>-1.3381322292249</v>
      </c>
      <c r="I12" s="36" t="n">
        <f aca="false">분석2_월별추이!D22/분석2_월별추이!D10-1</f>
        <v>0.107893962795149</v>
      </c>
      <c r="J12" s="36" t="n">
        <f aca="false">분석2_월별추이!O22/분석2_월별추이!O10-1</f>
        <v>-0.0581574572985104</v>
      </c>
      <c r="K12" s="8" t="str">
        <f aca="false">IF(ABS(D12+E12+F12-C12)&lt;1,"OK","불일치")</f>
        <v>OK</v>
      </c>
    </row>
    <row r="13" customFormat="false" ht="15" hidden="false" customHeight="true" outlineLevel="0" collapsed="false">
      <c r="A13" s="66" t="str">
        <f aca="false">분석2_월별추이!A23</f>
        <v>2025.07</v>
      </c>
      <c r="B13" s="25" t="n">
        <f aca="false">분석2_월별추이!E23</f>
        <v>60724322</v>
      </c>
      <c r="C13" s="25" t="n">
        <f aca="false">분석2_월별추이!E23-분석2_월별추이!E11</f>
        <v>3265534</v>
      </c>
      <c r="D13" s="25" t="n">
        <f aca="false">(분석2_월별추이!D23-분석2_월별추이!D11)*분석2_월별추이!O11</f>
        <v>3041110.55084594</v>
      </c>
      <c r="E13" s="25" t="n">
        <f aca="false">(분석2_월별추이!O23-분석2_월별추이!O11)*분석2_월별추이!D11</f>
        <v>213142.496037984</v>
      </c>
      <c r="F13" s="25" t="n">
        <f aca="false">(분석2_월별추이!D23-분석2_월별추이!D11)*(분석2_월별추이!O23-분석2_월별추이!O11)</f>
        <v>11280.9531160795</v>
      </c>
      <c r="G13" s="36" t="n">
        <f aca="false">IFERROR(D13/$C13,"-")</f>
        <v>0.931275114834491</v>
      </c>
      <c r="H13" s="36" t="n">
        <f aca="false">IFERROR(E13/$C13,"-")</f>
        <v>0.0652703343581734</v>
      </c>
      <c r="I13" s="36" t="n">
        <f aca="false">분석2_월별추이!D23/분석2_월별추이!D11-1</f>
        <v>0.0529268134031289</v>
      </c>
      <c r="J13" s="36" t="n">
        <f aca="false">분석2_월별추이!O23/분석2_월별추이!O11-1</f>
        <v>0.00370948471864718</v>
      </c>
      <c r="K13" s="8" t="str">
        <f aca="false">IF(ABS(D13+E13+F13-C13)&lt;1,"OK","불일치")</f>
        <v>OK</v>
      </c>
    </row>
    <row r="14" customFormat="false" ht="15" hidden="false" customHeight="true" outlineLevel="0" collapsed="false">
      <c r="A14" s="66" t="str">
        <f aca="false">분석2_월별추이!A24</f>
        <v>2025.08</v>
      </c>
      <c r="B14" s="25" t="n">
        <f aca="false">분석2_월별추이!E24</f>
        <v>58259332</v>
      </c>
      <c r="C14" s="25" t="n">
        <f aca="false">분석2_월별추이!E24-분석2_월별추이!E12</f>
        <v>616408</v>
      </c>
      <c r="D14" s="25" t="n">
        <f aca="false">(분석2_월별추이!D24-분석2_월별추이!D12)*분석2_월별추이!O12</f>
        <v>164226.221794934</v>
      </c>
      <c r="E14" s="25" t="n">
        <f aca="false">(분석2_월별추이!O24-분석2_월별추이!O12)*분석2_월별추이!D12</f>
        <v>450897.160217253</v>
      </c>
      <c r="F14" s="25" t="n">
        <f aca="false">(분석2_월별추이!D24-분석2_월별추이!D12)*(분석2_월별추이!O24-분석2_월별추이!O12)</f>
        <v>1284.61798781312</v>
      </c>
      <c r="G14" s="36" t="n">
        <f aca="false">IFERROR(D14/$C14,"-")</f>
        <v>0.266424546396112</v>
      </c>
      <c r="H14" s="36" t="n">
        <f aca="false">IFERROR(E14/$C14,"-")</f>
        <v>0.731491415129676</v>
      </c>
      <c r="I14" s="36" t="n">
        <f aca="false">분석2_월별추이!D24/분석2_월별추이!D12-1</f>
        <v>0.00284902656560115</v>
      </c>
      <c r="J14" s="36" t="n">
        <f aca="false">분석2_월별추이!O24/분석2_월별추이!O12-1</f>
        <v>0.00782224649494268</v>
      </c>
      <c r="K14" s="8" t="str">
        <f aca="false">IF(ABS(D14+E14+F14-C14)&lt;1,"OK","불일치")</f>
        <v>OK</v>
      </c>
    </row>
    <row r="15" customFormat="false" ht="15" hidden="false" customHeight="true" outlineLevel="0" collapsed="false">
      <c r="A15" s="66" t="str">
        <f aca="false">분석2_월별추이!A25</f>
        <v>2025.09</v>
      </c>
      <c r="B15" s="25" t="n">
        <f aca="false">분석2_월별추이!E25</f>
        <v>65904118</v>
      </c>
      <c r="C15" s="25" t="n">
        <f aca="false">분석2_월별추이!E25-분석2_월별추이!E13</f>
        <v>7359425</v>
      </c>
      <c r="D15" s="25" t="n">
        <f aca="false">(분석2_월별추이!D25-분석2_월별추이!D13)*분석2_월별추이!O13</f>
        <v>5790230.33859571</v>
      </c>
      <c r="E15" s="25" t="n">
        <f aca="false">(분석2_월별추이!O25-분석2_월별추이!O13)*분석2_월별추이!D13</f>
        <v>1427965.01405078</v>
      </c>
      <c r="F15" s="25" t="n">
        <f aca="false">(분석2_월별추이!D25-분석2_월별추이!D13)*(분석2_월별추이!O25-분석2_월별추이!O13)</f>
        <v>141229.647353519</v>
      </c>
      <c r="G15" s="36" t="n">
        <f aca="false">IFERROR(D15/$C15,"-")</f>
        <v>0.786777545609298</v>
      </c>
      <c r="H15" s="36" t="n">
        <f aca="false">IFERROR(E15/$C15,"-")</f>
        <v>0.194032144366004</v>
      </c>
      <c r="I15" s="36" t="n">
        <f aca="false">분석2_월별추이!D25/분석2_월별추이!D13-1</f>
        <v>0.0989027363862973</v>
      </c>
      <c r="J15" s="36" t="n">
        <f aca="false">분석2_월별추이!O25/분석2_월별추이!O13-1</f>
        <v>0.0243910240344207</v>
      </c>
      <c r="K15" s="8" t="str">
        <f aca="false">IF(ABS(D15+E15+F15-C15)&lt;1,"OK","불일치")</f>
        <v>OK</v>
      </c>
    </row>
    <row r="16" customFormat="false" ht="15" hidden="false" customHeight="true" outlineLevel="0" collapsed="false">
      <c r="A16" s="66" t="str">
        <f aca="false">분석2_월별추이!A26</f>
        <v>2025.10</v>
      </c>
      <c r="B16" s="25" t="n">
        <f aca="false">분석2_월별추이!E26</f>
        <v>59511578</v>
      </c>
      <c r="C16" s="25" t="n">
        <f aca="false">분석2_월별추이!E26-분석2_월별추이!E14</f>
        <v>2011386</v>
      </c>
      <c r="D16" s="25" t="n">
        <f aca="false">(분석2_월별추이!D26-분석2_월별추이!D14)*분석2_월별추이!O14</f>
        <v>80721.6836358011</v>
      </c>
      <c r="E16" s="25" t="n">
        <f aca="false">(분석2_월별추이!O26-분석2_월별추이!O14)*분석2_월별추이!D14</f>
        <v>1927957.75156378</v>
      </c>
      <c r="F16" s="25" t="n">
        <f aca="false">(분석2_월별추이!D26-분석2_월별추이!D14)*(분석2_월별추이!O26-분석2_월별추이!O14)</f>
        <v>2706.56480042574</v>
      </c>
      <c r="G16" s="36" t="n">
        <f aca="false">IFERROR(D16/$C16,"-")</f>
        <v>0.040132368245479</v>
      </c>
      <c r="H16" s="36" t="n">
        <f aca="false">IFERROR(E16/$C16,"-")</f>
        <v>0.958522009979077</v>
      </c>
      <c r="I16" s="36" t="n">
        <f aca="false">분석2_월별추이!D26/분석2_월별추이!D14-1</f>
        <v>0.00140385067993853</v>
      </c>
      <c r="J16" s="36" t="n">
        <f aca="false">분석2_월별추이!O26/분석2_월별추이!O14-1</f>
        <v>0.0335295880675282</v>
      </c>
      <c r="K16" s="8" t="str">
        <f aca="false">IF(ABS(D16+E16+F16-C16)&lt;1,"OK","불일치")</f>
        <v>OK</v>
      </c>
    </row>
    <row r="17" customFormat="false" ht="15" hidden="false" customHeight="true" outlineLevel="0" collapsed="false">
      <c r="A17" s="66" t="str">
        <f aca="false">분석2_월별추이!A27</f>
        <v>2025.11</v>
      </c>
      <c r="B17" s="25" t="n">
        <f aca="false">분석2_월별추이!E27</f>
        <v>60752618</v>
      </c>
      <c r="C17" s="25" t="n">
        <f aca="false">분석2_월별추이!E27-분석2_월별추이!E15</f>
        <v>4463989</v>
      </c>
      <c r="D17" s="25" t="n">
        <f aca="false">(분석2_월별추이!D27-분석2_월별추이!D15)*분석2_월별추이!O15</f>
        <v>-4564511.18006671</v>
      </c>
      <c r="E17" s="25" t="n">
        <f aca="false">(분석2_월별추이!O27-분석2_월별추이!O15)*분석2_월별추이!D15</f>
        <v>9825240.4967332</v>
      </c>
      <c r="F17" s="25" t="n">
        <f aca="false">(분석2_월별추이!D27-분석2_월별추이!D15)*(분석2_월별추이!O27-분석2_월별추이!O15)</f>
        <v>-796740.316666496</v>
      </c>
      <c r="G17" s="36" t="n">
        <f aca="false">IFERROR(D17/$C17,"-")</f>
        <v>-1.0225184650022</v>
      </c>
      <c r="H17" s="36" t="n">
        <f aca="false">IFERROR(E17/$C17,"-")</f>
        <v>2.20100015854278</v>
      </c>
      <c r="I17" s="36" t="n">
        <f aca="false">분석2_월별추이!D27/분석2_월별추이!D15-1</f>
        <v>-0.0810911770486844</v>
      </c>
      <c r="J17" s="36" t="n">
        <f aca="false">분석2_월별추이!O27/분석2_월별추이!O15-1</f>
        <v>0.174551071349299</v>
      </c>
      <c r="K17" s="8" t="str">
        <f aca="false">IF(ABS(D17+E17+F17-C17)&lt;1,"OK","불일치")</f>
        <v>OK</v>
      </c>
    </row>
    <row r="18" customFormat="false" ht="15" hidden="false" customHeight="true" outlineLevel="0" collapsed="false">
      <c r="A18" s="66" t="str">
        <f aca="false">분석2_월별추이!A28</f>
        <v>2025.12</v>
      </c>
      <c r="B18" s="25" t="n">
        <f aca="false">분석2_월별추이!E28</f>
        <v>69513624</v>
      </c>
      <c r="C18" s="25" t="n">
        <f aca="false">분석2_월별추이!E28-분석2_월별추이!E16</f>
        <v>8154374</v>
      </c>
      <c r="D18" s="25" t="n">
        <f aca="false">(분석2_월별추이!D28-분석2_월별추이!D16)*분석2_월별추이!O16</f>
        <v>1245288.01951029</v>
      </c>
      <c r="E18" s="25" t="n">
        <f aca="false">(분석2_월별추이!O28-분석2_월별추이!O16)*분석2_월별추이!D16</f>
        <v>6771655.01670576</v>
      </c>
      <c r="F18" s="25" t="n">
        <f aca="false">(분석2_월별추이!D28-분석2_월별추이!D16)*(분석2_월별추이!O28-분석2_월별추이!O16)</f>
        <v>137430.963783951</v>
      </c>
      <c r="G18" s="36" t="n">
        <f aca="false">IFERROR(D18/$C18,"-")</f>
        <v>0.152714116314788</v>
      </c>
      <c r="H18" s="36" t="n">
        <f aca="false">IFERROR(E18/$C18,"-")</f>
        <v>0.830432233879113</v>
      </c>
      <c r="I18" s="36" t="n">
        <f aca="false">분석2_월별추이!D28/분석2_월별추이!D16-1</f>
        <v>0.0202950332592118</v>
      </c>
      <c r="J18" s="36" t="n">
        <f aca="false">분석2_월별추이!O28/분석2_월별추이!O16-1</f>
        <v>0.11036078532097</v>
      </c>
      <c r="K18" s="8" t="str">
        <f aca="false">IF(ABS(D18+E18+F18-C18)&lt;1,"OK","불일치")</f>
        <v>OK</v>
      </c>
    </row>
    <row r="19" customFormat="false" ht="15" hidden="false" customHeight="true" outlineLevel="0" collapsed="false">
      <c r="A19" s="66" t="str">
        <f aca="false">분석2_월별추이!A29</f>
        <v>2026.01</v>
      </c>
      <c r="B19" s="25" t="n">
        <f aca="false">분석2_월별추이!E29</f>
        <v>65843937</v>
      </c>
      <c r="C19" s="25" t="n">
        <f aca="false">분석2_월별추이!E29-분석2_월별추이!E17</f>
        <v>16666953</v>
      </c>
      <c r="D19" s="25" t="n">
        <f aca="false">(분석2_월별추이!D29-분석2_월별추이!D17)*분석2_월별추이!O17</f>
        <v>5754523.55942911</v>
      </c>
      <c r="E19" s="25" t="n">
        <f aca="false">(분석2_월별추이!O29-분석2_월별추이!O17)*분석2_월별추이!D17</f>
        <v>9769263.43081892</v>
      </c>
      <c r="F19" s="25" t="n">
        <f aca="false">(분석2_월별추이!D29-분석2_월별추이!D17)*(분석2_월별추이!O29-분석2_월별추이!O17)</f>
        <v>1143166.00975198</v>
      </c>
      <c r="G19" s="36" t="n">
        <f aca="false">IFERROR(D19/$C19,"-")</f>
        <v>0.345265481904767</v>
      </c>
      <c r="H19" s="36" t="n">
        <f aca="false">IFERROR(E19/$C19,"-")</f>
        <v>0.586145735865393</v>
      </c>
      <c r="I19" s="36" t="n">
        <f aca="false">분석2_월별추이!D29/분석2_월별추이!D17-1</f>
        <v>0.117016601901188</v>
      </c>
      <c r="J19" s="36" t="n">
        <f aca="false">분석2_월별추이!O29/분석2_월별추이!O17-1</f>
        <v>0.19865519672412</v>
      </c>
      <c r="K19" s="8" t="str">
        <f aca="false">IF(ABS(D19+E19+F19-C19)&lt;1,"OK","불일치")</f>
        <v>OK</v>
      </c>
    </row>
    <row r="20" customFormat="false" ht="15" hidden="false" customHeight="true" outlineLevel="0" collapsed="false">
      <c r="A20" s="66" t="str">
        <f aca="false">분석2_월별추이!A30</f>
        <v>2026.02</v>
      </c>
      <c r="B20" s="25" t="n">
        <f aca="false">분석2_월별추이!E30</f>
        <v>67642547</v>
      </c>
      <c r="C20" s="25" t="n">
        <f aca="false">분석2_월별추이!E30-분석2_월별추이!E18</f>
        <v>15350246</v>
      </c>
      <c r="D20" s="25" t="n">
        <f aca="false">(분석2_월별추이!D30-분석2_월별추이!D18)*분석2_월별추이!O18</f>
        <v>-1781864.93021288</v>
      </c>
      <c r="E20" s="25" t="n">
        <f aca="false">(분석2_월별추이!O30-분석2_월별추이!O18)*분석2_월별추이!D18</f>
        <v>17736483.2148807</v>
      </c>
      <c r="F20" s="25" t="n">
        <f aca="false">(분석2_월별추이!D30-분석2_월별추이!D18)*(분석2_월별추이!O30-분석2_월별추이!O18)</f>
        <v>-604372.28466778</v>
      </c>
      <c r="G20" s="36" t="n">
        <f aca="false">IFERROR(D20/$C20,"-")</f>
        <v>-0.116080545563431</v>
      </c>
      <c r="H20" s="36" t="n">
        <f aca="false">IFERROR(E20/$C20,"-")</f>
        <v>1.15545270185772</v>
      </c>
      <c r="I20" s="36" t="n">
        <f aca="false">분석2_월별추이!D30/분석2_월별추이!D18-1</f>
        <v>-0.0340750912875851</v>
      </c>
      <c r="J20" s="36" t="n">
        <f aca="false">분석2_월별추이!O30/분석2_월별추이!O18-1</f>
        <v>0.339179628276076</v>
      </c>
      <c r="K20" s="8" t="str">
        <f aca="false">IF(ABS(D20+E20+F20-C20)&lt;1,"OK","불일치")</f>
        <v>OK</v>
      </c>
    </row>
    <row r="21" customFormat="false" ht="15" hidden="false" customHeight="true" outlineLevel="0" collapsed="false">
      <c r="A21" s="66" t="str">
        <f aca="false">분석2_월별추이!A31</f>
        <v>2026.03</v>
      </c>
      <c r="B21" s="25" t="n">
        <f aca="false">분석2_월별추이!E31</f>
        <v>87333128</v>
      </c>
      <c r="C21" s="25" t="n">
        <f aca="false">분석2_월별추이!E31-분석2_월별추이!E19</f>
        <v>29268566</v>
      </c>
      <c r="D21" s="25" t="n">
        <f aca="false">(분석2_월별추이!D31-분석2_월별추이!D19)*분석2_월별추이!O19</f>
        <v>1768305.11188028</v>
      </c>
      <c r="E21" s="25" t="n">
        <f aca="false">(분석2_월별추이!O31-분석2_월별추이!O19)*분석2_월별추이!D19</f>
        <v>26687516.0832356</v>
      </c>
      <c r="F21" s="25" t="n">
        <f aca="false">(분석2_월별추이!D31-분석2_월별추이!D19)*(분석2_월별추이!O31-분석2_월별추이!O19)</f>
        <v>812744.804884133</v>
      </c>
      <c r="G21" s="36" t="n">
        <f aca="false">IFERROR(D21/$C21,"-")</f>
        <v>0.060416527132907</v>
      </c>
      <c r="H21" s="36" t="n">
        <f aca="false">IFERROR(E21/$C21,"-")</f>
        <v>0.911814951345262</v>
      </c>
      <c r="I21" s="36" t="n">
        <f aca="false">분석2_월별추이!D31/분석2_월별추이!D19-1</f>
        <v>0.0304541195347392</v>
      </c>
      <c r="J21" s="36" t="n">
        <f aca="false">분석2_월별추이!O31/분석2_월별추이!O19-1</f>
        <v>0.459617969446417</v>
      </c>
      <c r="K21" s="8" t="str">
        <f aca="false">IF(ABS(D21+E21+F21-C21)&lt;1,"OK","불일치")</f>
        <v>OK</v>
      </c>
    </row>
    <row r="22" customFormat="false" ht="15" hidden="false" customHeight="true" outlineLevel="0" collapsed="false">
      <c r="A22" s="66" t="str">
        <f aca="false">분석2_월별추이!A32</f>
        <v>2026.04</v>
      </c>
      <c r="B22" s="25" t="n">
        <f aca="false">분석2_월별추이!E32</f>
        <v>85751883</v>
      </c>
      <c r="C22" s="25" t="n">
        <f aca="false">분석2_월별추이!E32-분석2_월별추이!E20</f>
        <v>27716138</v>
      </c>
      <c r="D22" s="25" t="n">
        <f aca="false">(분석2_월별추이!D32-분석2_월별추이!D20)*분석2_월별추이!O20</f>
        <v>-10310997.5927175</v>
      </c>
      <c r="E22" s="25" t="n">
        <f aca="false">(분석2_월별추이!O32-분석2_월별추이!O20)*분석2_월별추이!D20</f>
        <v>46242950.7589727</v>
      </c>
      <c r="F22" s="25" t="n">
        <f aca="false">(분석2_월별추이!D32-분석2_월별추이!D20)*(분석2_월별추이!O32-분석2_월별추이!O20)</f>
        <v>-8215815.16625521</v>
      </c>
      <c r="G22" s="36" t="n">
        <f aca="false">IFERROR(D22/$C22,"-")</f>
        <v>-0.372021440819694</v>
      </c>
      <c r="H22" s="36" t="n">
        <f aca="false">IFERROR(E22/$C22,"-")</f>
        <v>1.66844856808595</v>
      </c>
      <c r="I22" s="36" t="n">
        <f aca="false">분석2_월별추이!D32/분석2_월별추이!D20-1</f>
        <v>-0.177666326032645</v>
      </c>
      <c r="J22" s="36" t="n">
        <f aca="false">분석2_월별추이!O32/분석2_월별추이!O20-1</f>
        <v>0.796801191385975</v>
      </c>
      <c r="K22" s="8" t="str">
        <f aca="false">IF(ABS(D22+E22+F22-C22)&lt;1,"OK","불일치")</f>
        <v>OK</v>
      </c>
    </row>
    <row r="23" customFormat="false" ht="15" hidden="false" customHeight="true" outlineLevel="0" collapsed="false">
      <c r="A23" s="66" t="str">
        <f aca="false">분석2_월별추이!A33</f>
        <v>2026.05</v>
      </c>
      <c r="B23" s="25" t="n">
        <f aca="false">분석2_월별추이!E33</f>
        <v>87576083</v>
      </c>
      <c r="C23" s="25" t="n">
        <f aca="false">분석2_월별추이!E33-분석2_월별추이!E21</f>
        <v>30315020</v>
      </c>
      <c r="D23" s="25" t="n">
        <f aca="false">(분석2_월별추이!D33-분석2_월별추이!D21)*분석2_월별추이!O21</f>
        <v>-10309507.5294464</v>
      </c>
      <c r="E23" s="25" t="n">
        <f aca="false">(분석2_월별추이!O33-분석2_월별추이!O21)*분석2_월별추이!D21</f>
        <v>49544761.7633836</v>
      </c>
      <c r="F23" s="25" t="n">
        <f aca="false">(분석2_월별추이!D33-분석2_월별추이!D21)*(분석2_월별추이!O33-분석2_월별추이!O21)</f>
        <v>-8920234.23393714</v>
      </c>
      <c r="G23" s="36" t="n">
        <f aca="false">IFERROR(D23/$C23,"-")</f>
        <v>-0.340079192738333</v>
      </c>
      <c r="H23" s="36" t="n">
        <f aca="false">IFERROR(E23/$C23,"-")</f>
        <v>1.63433049898643</v>
      </c>
      <c r="I23" s="36" t="n">
        <f aca="false">분석2_월별추이!D33/분석2_월별추이!D21-1</f>
        <v>-0.180043942415921</v>
      </c>
      <c r="J23" s="36" t="n">
        <f aca="false">분석2_월별추이!O33/분석2_월별추이!O21-1</f>
        <v>0.865243486020921</v>
      </c>
      <c r="K23" s="8" t="str">
        <f aca="false">IF(ABS(D23+E23+F23-C23)&lt;1,"OK","불일치")</f>
        <v>OK</v>
      </c>
    </row>
    <row r="24" customFormat="false" ht="15" hidden="false" customHeight="true" outlineLevel="0" collapsed="false">
      <c r="A24" s="66" t="str">
        <f aca="false">분석2_월별추이!A34</f>
        <v>2026.06</v>
      </c>
      <c r="B24" s="25" t="n">
        <f aca="false">분석2_월별추이!E34</f>
        <v>101956159</v>
      </c>
      <c r="C24" s="25" t="n">
        <f aca="false">분석2_월별추이!E34-분석2_월별추이!E22</f>
        <v>42122362</v>
      </c>
      <c r="D24" s="25" t="n">
        <f aca="false">(분석2_월별추이!D34-분석2_월별추이!D22)*분석2_월별추이!O22</f>
        <v>-1966890.61029905</v>
      </c>
      <c r="E24" s="25" t="n">
        <f aca="false">(분석2_월별추이!O34-분석2_월별추이!O22)*분석2_월별추이!D22</f>
        <v>45587842.0871634</v>
      </c>
      <c r="F24" s="25" t="n">
        <f aca="false">(분석2_월별추이!D34-분석2_월별추이!D22)*(분석2_월별추이!O34-분석2_월별추이!O22)</f>
        <v>-1498589.47686435</v>
      </c>
      <c r="G24" s="36" t="n">
        <f aca="false">IFERROR(D24/$C24,"-")</f>
        <v>-0.0466946893979746</v>
      </c>
      <c r="H24" s="36" t="n">
        <f aca="false">IFERROR(E24/$C24,"-")</f>
        <v>1.0822717417215</v>
      </c>
      <c r="I24" s="36" t="n">
        <f aca="false">분석2_월별추이!D34/분석2_월별추이!D22-1</f>
        <v>-0.0328725688309409</v>
      </c>
      <c r="J24" s="36" t="n">
        <f aca="false">분석2_월별추이!O34/분석2_월별추이!O22-1</f>
        <v>0.761907891073057</v>
      </c>
      <c r="K24" s="8" t="str">
        <f aca="false">IF(ABS(D24+E24+F24-C24)&lt;1,"OK","불일치")</f>
        <v>OK</v>
      </c>
    </row>
    <row r="25" customFormat="false" ht="15" hidden="false" customHeight="true" outlineLevel="0" collapsed="false">
      <c r="A25" s="66" t="str">
        <f aca="false">분석2_월별추이!A35</f>
        <v>2026.07</v>
      </c>
      <c r="B25" s="25" t="n">
        <f aca="false">분석2_월별추이!E35</f>
        <v>98959099</v>
      </c>
      <c r="C25" s="25" t="n">
        <f aca="false">분석2_월별추이!E35-분석2_월별추이!E23</f>
        <v>38234777</v>
      </c>
      <c r="D25" s="25" t="n">
        <f aca="false">(분석2_월별추이!D35-분석2_월별추이!D23)*분석2_월별추이!O23</f>
        <v>275776.133317415</v>
      </c>
      <c r="E25" s="25" t="n">
        <f aca="false">(분석2_월별추이!O35-분석2_월별추이!O23)*분석2_월별추이!D23</f>
        <v>37787391.5282725</v>
      </c>
      <c r="F25" s="25" t="n">
        <f aca="false">(분석2_월별추이!D35-분석2_월별추이!D23)*(분석2_월별추이!O35-분석2_월별추이!O23)</f>
        <v>171609.33841004</v>
      </c>
      <c r="G25" s="36" t="n">
        <f aca="false">IFERROR(D25/$C25,"-")</f>
        <v>0.00721270411273524</v>
      </c>
      <c r="H25" s="36" t="n">
        <f aca="false">IFERROR(E25/$C25,"-")</f>
        <v>0.988298990949327</v>
      </c>
      <c r="I25" s="36" t="n">
        <f aca="false">분석2_월별추이!D35/분석2_월별추이!D23-1</f>
        <v>0.00454144442020144</v>
      </c>
      <c r="J25" s="36" t="n">
        <f aca="false">분석2_월별추이!O35/분석2_월별추이!O23-1</f>
        <v>0.622277701647662</v>
      </c>
      <c r="K25" s="8" t="str">
        <f aca="false">IF(ABS(D25+E25+F25-C25)&lt;1,"OK","불일치")</f>
        <v>OK</v>
      </c>
    </row>
    <row r="26" customFormat="false" ht="15" hidden="false" customHeight="true" outlineLevel="0" collapsed="false">
      <c r="A26" s="48" t="s">
        <v>20149</v>
      </c>
      <c r="C26" s="30" t="n">
        <f aca="false">SUM(C19:C25)</f>
        <v>199674062</v>
      </c>
      <c r="D26" s="30" t="n">
        <f aca="false">SUM(D19:D25)</f>
        <v>-16570655.858049</v>
      </c>
      <c r="E26" s="30" t="n">
        <f aca="false">SUM(E19:E25)</f>
        <v>233356208.866727</v>
      </c>
      <c r="F26" s="30" t="n">
        <f aca="false">SUM(F19:F25)</f>
        <v>-17111491.0086783</v>
      </c>
      <c r="G26" s="41" t="n">
        <f aca="false">D26/C26</f>
        <v>-0.082988524859323</v>
      </c>
      <c r="H26" s="41" t="n">
        <f aca="false">E26/C26</f>
        <v>1.16868563963369</v>
      </c>
    </row>
    <row r="27" customFormat="false" ht="15" hidden="false" customHeight="true" outlineLevel="0" collapsed="false">
      <c r="A27" s="48" t="s">
        <v>20150</v>
      </c>
      <c r="C27" s="30" t="n">
        <f aca="false">SUM(C7:C13)</f>
        <v>3114974</v>
      </c>
      <c r="D27" s="30" t="n">
        <f aca="false">SUM(D7:D13)</f>
        <v>3075563.77568732</v>
      </c>
      <c r="E27" s="30" t="n">
        <f aca="false">SUM(E7:E13)</f>
        <v>1070376.94932563</v>
      </c>
      <c r="F27" s="30" t="n">
        <f aca="false">SUM(F7:F13)</f>
        <v>-1030966.72501295</v>
      </c>
      <c r="G27" s="41" t="n">
        <f aca="false">D27/C27</f>
        <v>0.987348136994826</v>
      </c>
      <c r="H27" s="41" t="n">
        <f aca="false">E27/C27</f>
        <v>0.343623076573232</v>
      </c>
    </row>
    <row r="29" customFormat="false" ht="14.25" hidden="false" customHeight="true" outlineLevel="0" collapsed="false">
      <c r="A29" s="23" t="s">
        <v>20151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customFormat="false" ht="15" hidden="false" customHeight="true" outlineLevel="0" collapsed="false">
      <c r="A30" s="5" t="s">
        <v>20152</v>
      </c>
      <c r="B30" s="5" t="s">
        <v>20140</v>
      </c>
      <c r="C30" s="5" t="s">
        <v>20141</v>
      </c>
      <c r="D30" s="5" t="s">
        <v>20142</v>
      </c>
      <c r="E30" s="5" t="s">
        <v>20143</v>
      </c>
      <c r="F30" s="5" t="s">
        <v>20144</v>
      </c>
      <c r="G30" s="5" t="s">
        <v>20145</v>
      </c>
      <c r="H30" s="5" t="s">
        <v>20146</v>
      </c>
      <c r="I30" s="5" t="s">
        <v>20147</v>
      </c>
      <c r="J30" s="5" t="s">
        <v>20148</v>
      </c>
    </row>
    <row r="31" customFormat="false" ht="15" hidden="false" customHeight="true" outlineLevel="0" collapsed="false">
      <c r="A31" s="48" t="s">
        <v>20153</v>
      </c>
      <c r="B31" s="25" t="n">
        <f aca="false">SUMIFS(데이터_총괄!$H$3:$H$33,데이터_총괄!$B$3:$B$33,2025,데이터_총괄!$C$3:$C$33,"&lt;=7")-SUMIFS(데이터_총괄!$H$3:$H$33,데이터_총괄!$B$3:$B$33,2024,데이터_총괄!$C$3:$C$33,"&lt;=7")</f>
        <v>3114974</v>
      </c>
      <c r="C31" s="25" t="n">
        <f aca="false">(SUMIFS(데이터_총괄!$G$3:$G$33,데이터_총괄!$B$3:$B$33,2025,데이터_총괄!$C$3:$C$33,"&lt;=7")-SUMIFS(데이터_총괄!$G$3:$G$33,데이터_총괄!$B$3:$B$33,2024,데이터_총괄!$C$3:$C$33,"&lt;=7"))*(SUMIFS(데이터_총괄!$H$3:$H$33,데이터_총괄!$B$3:$B$33,2024,데이터_총괄!$C$3:$C$33,"&lt;=7")/SUMIFS(데이터_총괄!$G$3:$G$33,데이터_총괄!$B$3:$B$33,2024,데이터_총괄!$C$3:$C$33,"&lt;=7"))</f>
        <v>1817821.15782818</v>
      </c>
      <c r="D31" s="25" t="n">
        <f aca="false">((SUMIFS(데이터_총괄!$H$3:$H$33,데이터_총괄!$B$3:$B$33,2025,데이터_총괄!$C$3:$C$33,"&lt;=7")/SUMIFS(데이터_총괄!$G$3:$G$33,데이터_총괄!$B$3:$B$33,2025,데이터_총괄!$C$3:$C$33,"&lt;=7"))-(SUMIFS(데이터_총괄!$H$3:$H$33,데이터_총괄!$B$3:$B$33,2024,데이터_총괄!$C$3:$C$33,"&lt;=7")/SUMIFS(데이터_총괄!$G$3:$G$33,데이터_총괄!$B$3:$B$33,2024,데이터_총괄!$C$3:$C$33,"&lt;=7")))*SUMIFS(데이터_총괄!$G$3:$G$33,데이터_총괄!$B$3:$B$33,2024,데이터_총괄!$C$3:$C$33,"&lt;=7")</f>
        <v>1291169.48258018</v>
      </c>
      <c r="E31" s="25" t="n">
        <f aca="false">(SUMIFS(데이터_총괄!$G$3:$G$33,데이터_총괄!$B$3:$B$33,2025,데이터_총괄!$C$3:$C$33,"&lt;=7")-SUMIFS(데이터_총괄!$G$3:$G$33,데이터_총괄!$B$3:$B$33,2024,데이터_총괄!$C$3:$C$33,"&lt;=7"))*((SUMIFS(데이터_총괄!$H$3:$H$33,데이터_총괄!$B$3:$B$33,2025,데이터_총괄!$C$3:$C$33,"&lt;=7")/SUMIFS(데이터_총괄!$G$3:$G$33,데이터_총괄!$B$3:$B$33,2025,데이터_총괄!$C$3:$C$33,"&lt;=7"))-(SUMIFS(데이터_총괄!$H$3:$H$33,데이터_총괄!$B$3:$B$33,2024,데이터_총괄!$C$3:$C$33,"&lt;=7")/SUMIFS(데이터_총괄!$G$3:$G$33,데이터_총괄!$B$3:$B$33,2024,데이터_총괄!$C$3:$C$33,"&lt;=7")))</f>
        <v>5983.35959163301</v>
      </c>
      <c r="F31" s="36" t="n">
        <f aca="false">C31/B31</f>
        <v>0.583575066060964</v>
      </c>
      <c r="G31" s="36" t="n">
        <f aca="false">D31/B31</f>
        <v>0.414504096207604</v>
      </c>
      <c r="H31" s="36" t="n">
        <f aca="false">SUMIFS(데이터_총괄!$G$3:$G$33,데이터_총괄!$B$3:$B$33,2025,데이터_총괄!$C$3:$C$33,"&lt;=7")/SUMIFS(데이터_총괄!$G$3:$G$33,데이터_총괄!$B$3:$B$33,2024,데이터_총괄!$C$3:$C$33,"&lt;=7")-1</f>
        <v>0.00463406212147777</v>
      </c>
      <c r="I31" s="36" t="n">
        <f aca="false">(SUMIFS(데이터_총괄!$H$3:$H$33,데이터_총괄!$B$3:$B$33,2025,데이터_총괄!$C$3:$C$33,"&lt;=7")/SUMIFS(데이터_총괄!$G$3:$G$33,데이터_총괄!$B$3:$B$33,2025,데이터_총괄!$C$3:$C$33,"&lt;=7"))/(SUMIFS(데이터_총괄!$H$3:$H$33,데이터_총괄!$B$3:$B$33,2024,데이터_총괄!$C$3:$C$33,"&lt;=7")/SUMIFS(데이터_총괄!$G$3:$G$33,데이터_총괄!$B$3:$B$33,2024,데이터_총괄!$C$3:$C$33,"&lt;=7"))-1</f>
        <v>0.00329150068798922</v>
      </c>
      <c r="J31" s="8" t="str">
        <f aca="false">IF(ABS(C31+D31+E31-B31)&lt;1,"OK","불일치")</f>
        <v>OK</v>
      </c>
    </row>
    <row r="32" customFormat="false" ht="15" hidden="false" customHeight="true" outlineLevel="0" collapsed="false">
      <c r="A32" s="48" t="s">
        <v>20154</v>
      </c>
      <c r="B32" s="25" t="n">
        <f aca="false">SUMIFS(데이터_총괄!$H$3:$H$33,데이터_총괄!$B$3:$B$33,2026,데이터_총괄!$C$3:$C$33,"&lt;=7")-SUMIFS(데이터_총괄!$H$3:$H$33,데이터_총괄!$B$3:$B$33,2025,데이터_총괄!$C$3:$C$33,"&lt;=7")</f>
        <v>199674062</v>
      </c>
      <c r="C32" s="25" t="n">
        <f aca="false">(SUMIFS(데이터_총괄!$G$3:$G$33,데이터_총괄!$B$3:$B$33,2026,데이터_총괄!$C$3:$C$33,"&lt;=7")-SUMIFS(데이터_총괄!$G$3:$G$33,데이터_총괄!$B$3:$B$33,2025,데이터_총괄!$C$3:$C$33,"&lt;=7"))*(SUMIFS(데이터_총괄!$H$3:$H$33,데이터_총괄!$B$3:$B$33,2025,데이터_총괄!$C$3:$C$33,"&lt;=7")/SUMIFS(데이터_총괄!$G$3:$G$33,데이터_총괄!$B$3:$B$33,2025,데이터_총괄!$C$3:$C$33,"&lt;=7"))</f>
        <v>-16781212.1409328</v>
      </c>
      <c r="D32" s="25" t="n">
        <f aca="false">((SUMIFS(데이터_총괄!$H$3:$H$33,데이터_총괄!$B$3:$B$33,2026,데이터_총괄!$C$3:$C$33,"&lt;=7")/SUMIFS(데이터_총괄!$G$3:$G$33,데이터_총괄!$B$3:$B$33,2026,데이터_총괄!$C$3:$C$33,"&lt;=7"))-(SUMIFS(데이터_총괄!$H$3:$H$33,데이터_총괄!$B$3:$B$33,2025,데이터_총괄!$C$3:$C$33,"&lt;=7")/SUMIFS(데이터_총괄!$G$3:$G$33,데이터_총괄!$B$3:$B$33,2025,데이터_총괄!$C$3:$C$33,"&lt;=7")))*SUMIFS(데이터_총괄!$G$3:$G$33,데이터_총괄!$B$3:$B$33,2025,데이터_총괄!$C$3:$C$33,"&lt;=7")</f>
        <v>226049329.411638</v>
      </c>
      <c r="E32" s="25" t="n">
        <f aca="false">(SUMIFS(데이터_총괄!$G$3:$G$33,데이터_총괄!$B$3:$B$33,2026,데이터_총괄!$C$3:$C$33,"&lt;=7")-SUMIFS(데이터_총괄!$G$3:$G$33,데이터_총괄!$B$3:$B$33,2025,데이터_총괄!$C$3:$C$33,"&lt;=7"))*((SUMIFS(데이터_총괄!$H$3:$H$33,데이터_총괄!$B$3:$B$33,2026,데이터_총괄!$C$3:$C$33,"&lt;=7")/SUMIFS(데이터_총괄!$G$3:$G$33,데이터_총괄!$B$3:$B$33,2026,데이터_총괄!$C$3:$C$33,"&lt;=7"))-(SUMIFS(데이터_총괄!$H$3:$H$33,데이터_총괄!$B$3:$B$33,2025,데이터_총괄!$C$3:$C$33,"&lt;=7")/SUMIFS(데이터_총괄!$G$3:$G$33,데이터_총괄!$B$3:$B$33,2025,데이터_총괄!$C$3:$C$33,"&lt;=7")))</f>
        <v>-9594055.27070504</v>
      </c>
      <c r="F32" s="36" t="n">
        <f aca="false">C32/B32</f>
        <v>-0.0840430247817207</v>
      </c>
      <c r="G32" s="36" t="n">
        <f aca="false">D32/B32</f>
        <v>1.13209160542664</v>
      </c>
      <c r="H32" s="36" t="n">
        <f aca="false">SUMIFS(데이터_총괄!$G$3:$G$33,데이터_총괄!$B$3:$B$33,2026,데이터_총괄!$C$3:$C$33,"&lt;=7")/SUMIFS(데이터_총괄!$G$3:$G$33,데이터_총괄!$B$3:$B$33,2025,데이터_총괄!$C$3:$C$33,"&lt;=7")-1</f>
        <v>-0.0424423080381459</v>
      </c>
      <c r="I32" s="36" t="n">
        <f aca="false">(SUMIFS(데이터_총괄!$H$3:$H$33,데이터_총괄!$B$3:$B$33,2026,데이터_총괄!$C$3:$C$33,"&lt;=7")/SUMIFS(데이터_총괄!$G$3:$G$33,데이터_총괄!$B$3:$B$33,2026,데이터_총괄!$C$3:$C$33,"&lt;=7"))/(SUMIFS(데이터_총괄!$H$3:$H$33,데이터_총괄!$B$3:$B$33,2025,데이터_총괄!$C$3:$C$33,"&lt;=7")/SUMIFS(데이터_총괄!$G$3:$G$33,데이터_총괄!$B$3:$B$33,2025,데이터_총괄!$C$3:$C$33,"&lt;=7"))-1</f>
        <v>0.571714080611803</v>
      </c>
      <c r="J32" s="8" t="str">
        <f aca="false">IF(ABS(C32+D32+E32-B32)&lt;1,"OK","불일치")</f>
        <v>OK</v>
      </c>
    </row>
    <row r="34" customFormat="false" ht="14.25" hidden="false" customHeight="true" outlineLevel="0" collapsed="false">
      <c r="A34" s="23" t="s">
        <v>20155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customFormat="false" ht="15" hidden="false" customHeight="true" outlineLevel="0" collapsed="false">
      <c r="A35" s="5" t="s">
        <v>20156</v>
      </c>
      <c r="B35" s="5" t="s">
        <v>20157</v>
      </c>
      <c r="C35" s="5" t="s">
        <v>20158</v>
      </c>
      <c r="D35" s="5" t="s">
        <v>20159</v>
      </c>
      <c r="E35" s="5" t="s">
        <v>20160</v>
      </c>
      <c r="F35" s="5" t="s">
        <v>20146</v>
      </c>
      <c r="G35" s="5" t="s">
        <v>20147</v>
      </c>
      <c r="H35" s="5" t="s">
        <v>20141</v>
      </c>
      <c r="I35" s="5" t="s">
        <v>20142</v>
      </c>
      <c r="J35" s="44" t="s">
        <v>20161</v>
      </c>
    </row>
    <row r="36" customFormat="false" ht="15" hidden="false" customHeight="true" outlineLevel="0" collapsed="false">
      <c r="A36" s="6" t="s">
        <v>17604</v>
      </c>
      <c r="B36" s="24" t="n">
        <f aca="false">SUMIFS(데이터_신성질별!$F$3:$F$529,데이터_신성질별!$E$3:$E$529,"가.직접소비재",데이터_신성질별!$B$3:$B$529,2025,데이터_신성질별!$C$3:$C$529,"&lt;=7")</f>
        <v>1955741.8</v>
      </c>
      <c r="C36" s="25" t="n">
        <f aca="false">SUMIFS(데이터_신성질별!$G$3:$G$529,데이터_신성질별!$E$3:$E$529,"가.직접소비재",데이터_신성질별!$B$3:$B$529,2025,데이터_신성질별!$C$3:$C$529,"&lt;=7")</f>
        <v>6542723</v>
      </c>
      <c r="D36" s="24" t="n">
        <f aca="false">SUMIFS(데이터_신성질별!$F$3:$F$529,데이터_신성질별!$E$3:$E$529,"가.직접소비재",데이터_신성질별!$B$3:$B$529,2026,데이터_신성질별!$C$3:$C$529,"&lt;=7")</f>
        <v>2120470.3</v>
      </c>
      <c r="E36" s="25" t="n">
        <f aca="false">SUMIFS(데이터_신성질별!$G$3:$G$529,데이터_신성질별!$E$3:$E$529,"가.직접소비재",데이터_신성질별!$B$3:$B$529,2026,데이터_신성질별!$C$3:$C$529,"&lt;=7")</f>
        <v>7164857</v>
      </c>
      <c r="F36" s="36" t="n">
        <f aca="false">IFERROR(D36/B36-1,"-")</f>
        <v>0.0842281429992444</v>
      </c>
      <c r="G36" s="36" t="n">
        <f aca="false">IFERROR((E36/D36)/(C36/B36)-1,"-")</f>
        <v>0.010016147536706</v>
      </c>
      <c r="H36" s="25" t="n">
        <f aca="false">IFERROR((D36-B36)*(C36/B36),"-")</f>
        <v>551081.408448446</v>
      </c>
      <c r="I36" s="25" t="n">
        <f aca="false">IFERROR(((E36/D36)-(C36/B36))*B36,"-")</f>
        <v>65532.878859799</v>
      </c>
      <c r="J36" s="25" t="n">
        <f aca="false">E36-C36</f>
        <v>622134</v>
      </c>
    </row>
    <row r="37" customFormat="false" ht="15" hidden="false" customHeight="true" outlineLevel="0" collapsed="false">
      <c r="A37" s="6" t="s">
        <v>17609</v>
      </c>
      <c r="B37" s="24" t="n">
        <f aca="false">SUMIFS(데이터_신성질별!$F$3:$F$529,데이터_신성질별!$E$3:$E$529,"나.내구소비재",데이터_신성질별!$B$3:$B$529,2025,데이터_신성질별!$C$3:$C$529,"&lt;=7")</f>
        <v>3415862.5</v>
      </c>
      <c r="C37" s="25" t="n">
        <f aca="false">SUMIFS(데이터_신성질별!$G$3:$G$529,데이터_신성질별!$E$3:$E$529,"나.내구소비재",데이터_신성질별!$B$3:$B$529,2025,데이터_신성질별!$C$3:$C$529,"&lt;=7")</f>
        <v>38836614</v>
      </c>
      <c r="D37" s="24" t="n">
        <f aca="false">SUMIFS(데이터_신성질별!$F$3:$F$529,데이터_신성질별!$E$3:$E$529,"나.내구소비재",데이터_신성질별!$B$3:$B$529,2026,데이터_신성질별!$C$3:$C$529,"&lt;=7")</f>
        <v>3116743.2</v>
      </c>
      <c r="E37" s="25" t="n">
        <f aca="false">SUMIFS(데이터_신성질별!$G$3:$G$529,데이터_신성질별!$E$3:$E$529,"나.내구소비재",데이터_신성질별!$B$3:$B$529,2026,데이터_신성질별!$C$3:$C$529,"&lt;=7")</f>
        <v>36025795</v>
      </c>
      <c r="F37" s="36" t="n">
        <f aca="false">IFERROR(D37/B37-1,"-")</f>
        <v>-0.0875677226469156</v>
      </c>
      <c r="G37" s="36" t="n">
        <f aca="false">IFERROR((E37/D37)/(C37/B37)-1,"-")</f>
        <v>0.0166502569066684</v>
      </c>
      <c r="H37" s="25" t="n">
        <f aca="false">IFERROR((D37-B37)*(C37/B37),"-")</f>
        <v>-3400833.84329732</v>
      </c>
      <c r="I37" s="25" t="n">
        <f aca="false">IFERROR(((E37/D37)-(C37/B37))*B37,"-")</f>
        <v>646639.600485117</v>
      </c>
      <c r="J37" s="25" t="n">
        <f aca="false">E37-C37</f>
        <v>-2810819</v>
      </c>
    </row>
    <row r="38" customFormat="false" ht="15" hidden="false" customHeight="true" outlineLevel="0" collapsed="false">
      <c r="A38" s="6" t="s">
        <v>17614</v>
      </c>
      <c r="B38" s="24" t="n">
        <f aca="false">SUMIFS(데이터_신성질별!$F$3:$F$529,데이터_신성질별!$E$3:$E$529,"다.비내구소비재",데이터_신성질별!$B$3:$B$529,2025,데이터_신성질별!$C$3:$C$529,"&lt;=7")</f>
        <v>1131803.9</v>
      </c>
      <c r="C38" s="25" t="n">
        <f aca="false">SUMIFS(데이터_신성질별!$G$3:$G$529,데이터_신성질별!$E$3:$E$529,"다.비내구소비재",데이터_신성질별!$B$3:$B$529,2025,데이터_신성질별!$C$3:$C$529,"&lt;=7")</f>
        <v>11506662</v>
      </c>
      <c r="D38" s="24" t="n">
        <f aca="false">SUMIFS(데이터_신성질별!$F$3:$F$529,데이터_신성질별!$E$3:$E$529,"다.비내구소비재",데이터_신성질별!$B$3:$B$529,2026,데이터_신성질별!$C$3:$C$529,"&lt;=7")</f>
        <v>1148356.2</v>
      </c>
      <c r="E38" s="25" t="n">
        <f aca="false">SUMIFS(데이터_신성질별!$G$3:$G$529,데이터_신성질별!$E$3:$E$529,"다.비내구소비재",데이터_신성질별!$B$3:$B$529,2026,데이터_신성질별!$C$3:$C$529,"&lt;=7")</f>
        <v>13482151</v>
      </c>
      <c r="F38" s="36" t="n">
        <f aca="false">IFERROR(D38/B38-1,"-")</f>
        <v>0.0146247066298324</v>
      </c>
      <c r="G38" s="36" t="n">
        <f aca="false">IFERROR((E38/D38)/(C38/B38)-1,"-")</f>
        <v>0.154793677184556</v>
      </c>
      <c r="H38" s="25" t="n">
        <f aca="false">IFERROR((D38-B38)*(C38/B38),"-")</f>
        <v>168281.556038639</v>
      </c>
      <c r="I38" s="25" t="n">
        <f aca="false">IFERROR(((E38/D38)-(C38/B38))*B38,"-")</f>
        <v>1781158.5230998</v>
      </c>
      <c r="J38" s="25" t="n">
        <f aca="false">E38-C38</f>
        <v>1975489</v>
      </c>
    </row>
    <row r="39" customFormat="false" ht="15" hidden="false" customHeight="true" outlineLevel="0" collapsed="false">
      <c r="A39" s="6" t="s">
        <v>17619</v>
      </c>
      <c r="B39" s="24" t="n">
        <f aca="false">SUMIFS(데이터_신성질별!$F$3:$F$529,데이터_신성질별!$E$3:$E$529,"라.간이세율적용분",데이터_신성질별!$B$3:$B$529,2025,데이터_신성질별!$C$3:$C$529,"&lt;=7")</f>
        <v>18488.8</v>
      </c>
      <c r="C39" s="25" t="n">
        <f aca="false">SUMIFS(데이터_신성질별!$G$3:$G$529,데이터_신성질별!$E$3:$E$529,"라.간이세율적용분",데이터_신성질별!$B$3:$B$529,2025,데이터_신성질별!$C$3:$C$529,"&lt;=7")</f>
        <v>22097</v>
      </c>
      <c r="D39" s="24" t="n">
        <f aca="false">SUMIFS(데이터_신성질별!$F$3:$F$529,데이터_신성질별!$E$3:$E$529,"라.간이세율적용분",데이터_신성질별!$B$3:$B$529,2026,데이터_신성질별!$C$3:$C$529,"&lt;=7")</f>
        <v>19686.1</v>
      </c>
      <c r="E39" s="25" t="n">
        <f aca="false">SUMIFS(데이터_신성질별!$G$3:$G$529,데이터_신성질별!$E$3:$E$529,"라.간이세율적용분",데이터_신성질별!$B$3:$B$529,2026,데이터_신성질별!$C$3:$C$529,"&lt;=7")</f>
        <v>22419</v>
      </c>
      <c r="F39" s="36" t="n">
        <f aca="false">IFERROR(D39/B39-1,"-")</f>
        <v>0.0647581238371338</v>
      </c>
      <c r="G39" s="36" t="n">
        <f aca="false">IFERROR((E39/D39)/(C39/B39)-1,"-")</f>
        <v>-0.0471337187779938</v>
      </c>
      <c r="H39" s="25" t="n">
        <f aca="false">IFERROR((D39-B39)*(C39/B39),"-")</f>
        <v>1430.96026242915</v>
      </c>
      <c r="I39" s="25" t="n">
        <f aca="false">IFERROR(((E39/D39)-(C39/B39))*B39,"-")</f>
        <v>-1041.51378383733</v>
      </c>
      <c r="J39" s="25" t="n">
        <f aca="false">E39-C39</f>
        <v>322</v>
      </c>
    </row>
    <row r="40" customFormat="false" ht="15" hidden="false" customHeight="true" outlineLevel="0" collapsed="false">
      <c r="A40" s="6" t="s">
        <v>17627</v>
      </c>
      <c r="B40" s="24" t="n">
        <f aca="false">SUMIFS(데이터_신성질별!$F$3:$F$529,데이터_신성질별!$E$3:$E$529,"가.동식물성 연·원료",데이터_신성질별!$B$3:$B$529,2025,데이터_신성질별!$C$3:$C$529,"&lt;=7")</f>
        <v>2563315.6</v>
      </c>
      <c r="C40" s="25" t="n">
        <f aca="false">SUMIFS(데이터_신성질별!$G$3:$G$529,데이터_신성질별!$E$3:$E$529,"가.동식물성 연·원료",데이터_신성질별!$B$3:$B$529,2025,데이터_신성질별!$C$3:$C$529,"&lt;=7")</f>
        <v>3118852</v>
      </c>
      <c r="D40" s="24" t="n">
        <f aca="false">SUMIFS(데이터_신성질별!$F$3:$F$529,데이터_신성질별!$E$3:$E$529,"가.동식물성 연·원료",데이터_신성질별!$B$3:$B$529,2026,데이터_신성질별!$C$3:$C$529,"&lt;=7")</f>
        <v>2531268.8</v>
      </c>
      <c r="E40" s="25" t="n">
        <f aca="false">SUMIFS(데이터_신성질별!$G$3:$G$529,데이터_신성질별!$E$3:$E$529,"가.동식물성 연·원료",데이터_신성질별!$B$3:$B$529,2026,데이터_신성질별!$C$3:$C$529,"&lt;=7")</f>
        <v>3142565</v>
      </c>
      <c r="F40" s="36" t="n">
        <f aca="false">IFERROR(D40/B40-1,"-")</f>
        <v>-0.0125020890911756</v>
      </c>
      <c r="G40" s="36" t="n">
        <f aca="false">IFERROR((E40/D40)/(C40/B40)-1,"-")</f>
        <v>0.0203597465264904</v>
      </c>
      <c r="H40" s="25" t="n">
        <f aca="false">IFERROR((D40-B40)*(C40/B40),"-")</f>
        <v>-38992.1655661913</v>
      </c>
      <c r="I40" s="25" t="n">
        <f aca="false">IFERROR(((E40/D40)-(C40/B40))*B40,"-")</f>
        <v>63499.0361736376</v>
      </c>
      <c r="J40" s="25" t="n">
        <f aca="false">E40-C40</f>
        <v>23713</v>
      </c>
    </row>
    <row r="41" customFormat="false" ht="15" hidden="false" customHeight="true" outlineLevel="0" collapsed="false">
      <c r="A41" s="6" t="s">
        <v>17632</v>
      </c>
      <c r="B41" s="24" t="n">
        <f aca="false">SUMIFS(데이터_신성질별!$F$3:$F$529,데이터_신성질별!$E$3:$E$529,"나.섬유류",데이터_신성질별!$B$3:$B$529,2025,데이터_신성질별!$C$3:$C$529,"&lt;=7")</f>
        <v>831501.3</v>
      </c>
      <c r="C41" s="25" t="n">
        <f aca="false">SUMIFS(데이터_신성질별!$G$3:$G$529,데이터_신성질별!$E$3:$E$529,"나.섬유류",데이터_신성질별!$B$3:$B$529,2025,데이터_신성질별!$C$3:$C$529,"&lt;=7")</f>
        <v>4055603</v>
      </c>
      <c r="D41" s="24" t="n">
        <f aca="false">SUMIFS(데이터_신성질별!$F$3:$F$529,데이터_신성질별!$E$3:$E$529,"나.섬유류",데이터_신성질별!$B$3:$B$529,2026,데이터_신성질별!$C$3:$C$529,"&lt;=7")</f>
        <v>789318.7</v>
      </c>
      <c r="E41" s="25" t="n">
        <f aca="false">SUMIFS(데이터_신성질별!$G$3:$G$529,데이터_신성질별!$E$3:$E$529,"나.섬유류",데이터_신성질별!$B$3:$B$529,2026,데이터_신성질별!$C$3:$C$529,"&lt;=7")</f>
        <v>3920154</v>
      </c>
      <c r="F41" s="36" t="n">
        <f aca="false">IFERROR(D41/B41-1,"-")</f>
        <v>-0.0507306482864189</v>
      </c>
      <c r="G41" s="36" t="n">
        <f aca="false">IFERROR((E41/D41)/(C41/B41)-1,"-")</f>
        <v>0.0182589434750553</v>
      </c>
      <c r="H41" s="25" t="n">
        <f aca="false">IFERROR((D41-B41)*(C41/B41),"-")</f>
        <v>-205743.369382345</v>
      </c>
      <c r="I41" s="25" t="n">
        <f aca="false">IFERROR(((E41/D41)-(C41/B41))*B41,"-")</f>
        <v>74051.0259342649</v>
      </c>
      <c r="J41" s="25" t="n">
        <f aca="false">E41-C41</f>
        <v>-135449</v>
      </c>
    </row>
    <row r="42" customFormat="false" ht="15" hidden="false" customHeight="true" outlineLevel="0" collapsed="false">
      <c r="A42" s="6" t="s">
        <v>17637</v>
      </c>
      <c r="B42" s="24" t="n">
        <f aca="false">SUMIFS(데이터_신성질별!$F$3:$F$529,데이터_신성질별!$E$3:$E$529,"다.광산물",데이터_신성질별!$B$3:$B$529,2025,데이터_신성질별!$C$3:$C$529,"&lt;=7")</f>
        <v>43476756.7</v>
      </c>
      <c r="C42" s="25" t="n">
        <f aca="false">SUMIFS(데이터_신성질별!$G$3:$G$529,데이터_신성질별!$E$3:$E$529,"다.광산물",데이터_신성질별!$B$3:$B$529,2025,데이터_신성질별!$C$3:$C$529,"&lt;=7")</f>
        <v>31632529</v>
      </c>
      <c r="D42" s="24" t="n">
        <f aca="false">SUMIFS(데이터_신성질별!$F$3:$F$529,데이터_신성질별!$E$3:$E$529,"다.광산물",데이터_신성질별!$B$3:$B$529,2026,데이터_신성질별!$C$3:$C$529,"&lt;=7")</f>
        <v>40059481.1</v>
      </c>
      <c r="E42" s="25" t="n">
        <f aca="false">SUMIFS(데이터_신성질별!$G$3:$G$529,데이터_신성질별!$E$3:$E$529,"다.광산물",데이터_신성질별!$B$3:$B$529,2026,데이터_신성질별!$C$3:$C$529,"&lt;=7")</f>
        <v>47529382</v>
      </c>
      <c r="F42" s="36" t="n">
        <f aca="false">IFERROR(D42/B42-1,"-")</f>
        <v>-0.078600058039748</v>
      </c>
      <c r="G42" s="36" t="n">
        <f aca="false">IFERROR((E42/D42)/(C42/B42)-1,"-")</f>
        <v>0.630722532114221</v>
      </c>
      <c r="H42" s="25" t="n">
        <f aca="false">IFERROR((D42-B42)*(C42/B42),"-")</f>
        <v>-2486318.61534401</v>
      </c>
      <c r="I42" s="25" t="n">
        <f aca="false">IFERROR(((E42/D42)-(C42/B42))*B42,"-")</f>
        <v>19951348.7880565</v>
      </c>
      <c r="J42" s="25" t="n">
        <f aca="false">E42-C42</f>
        <v>15896853</v>
      </c>
    </row>
    <row r="43" customFormat="false" ht="15" hidden="false" customHeight="true" outlineLevel="0" collapsed="false">
      <c r="A43" s="6" t="s">
        <v>17642</v>
      </c>
      <c r="B43" s="24" t="n">
        <f aca="false">SUMIFS(데이터_신성질별!$F$3:$F$529,데이터_신성질별!$E$3:$E$529,"라.철강 및 금속제품",데이터_신성질별!$B$3:$B$529,2025,데이터_신성질별!$C$3:$C$529,"&lt;=7")</f>
        <v>18424842.9</v>
      </c>
      <c r="C43" s="25" t="n">
        <f aca="false">SUMIFS(데이터_신성질별!$G$3:$G$529,데이터_신성질별!$E$3:$E$529,"라.철강 및 금속제품",데이터_신성질별!$B$3:$B$529,2025,데이터_신성질별!$C$3:$C$529,"&lt;=7")</f>
        <v>23400008</v>
      </c>
      <c r="D43" s="24" t="n">
        <f aca="false">SUMIFS(데이터_신성질별!$F$3:$F$529,데이터_신성질별!$E$3:$E$529,"라.철강 및 금속제품",데이터_신성질별!$B$3:$B$529,2026,데이터_신성질별!$C$3:$C$529,"&lt;=7")</f>
        <v>18994455.3</v>
      </c>
      <c r="E43" s="25" t="n">
        <f aca="false">SUMIFS(데이터_신성질별!$G$3:$G$529,데이터_신성질별!$E$3:$E$529,"라.철강 및 금속제품",데이터_신성질별!$B$3:$B$529,2026,데이터_신성질별!$C$3:$C$529,"&lt;=7")</f>
        <v>26300119</v>
      </c>
      <c r="F43" s="36" t="n">
        <f aca="false">IFERROR(D43/B43-1,"-")</f>
        <v>0.0309154549154935</v>
      </c>
      <c r="G43" s="36" t="n">
        <f aca="false">IFERROR((E43/D43)/(C43/B43)-1,"-")</f>
        <v>0.0902313276912758</v>
      </c>
      <c r="H43" s="25" t="n">
        <f aca="false">IFERROR((D43-B43)*(C43/B43),"-")</f>
        <v>723421.89234619</v>
      </c>
      <c r="I43" s="25" t="n">
        <f aca="false">IFERROR(((E43/D43)-(C43/B43))*B43,"-")</f>
        <v>2111413.78982648</v>
      </c>
      <c r="J43" s="25" t="n">
        <f aca="false">E43-C43</f>
        <v>2900111</v>
      </c>
    </row>
    <row r="44" customFormat="false" ht="15" hidden="false" customHeight="true" outlineLevel="0" collapsed="false">
      <c r="A44" s="6" t="s">
        <v>17647</v>
      </c>
      <c r="B44" s="24" t="n">
        <f aca="false">SUMIFS(데이터_신성질별!$F$3:$F$529,데이터_신성질별!$E$3:$E$529,"마.화학공업제품",데이터_신성질별!$B$3:$B$529,2025,데이터_신성질별!$C$3:$C$529,"&lt;=7")</f>
        <v>29117238.7</v>
      </c>
      <c r="C44" s="25" t="n">
        <f aca="false">SUMIFS(데이터_신성질별!$G$3:$G$529,데이터_신성질별!$E$3:$E$529,"마.화학공업제품",데이터_신성질별!$B$3:$B$529,2025,데이터_신성질별!$C$3:$C$529,"&lt;=7")</f>
        <v>49233678</v>
      </c>
      <c r="D44" s="24" t="n">
        <f aca="false">SUMIFS(데이터_신성질별!$F$3:$F$529,데이터_신성질별!$E$3:$E$529,"마.화학공업제품",데이터_신성질별!$B$3:$B$529,2026,데이터_신성질별!$C$3:$C$529,"&lt;=7")</f>
        <v>27222494.4</v>
      </c>
      <c r="E44" s="25" t="n">
        <f aca="false">SUMIFS(데이터_신성질별!$G$3:$G$529,데이터_신성질별!$E$3:$E$529,"마.화학공업제품",데이터_신성질별!$B$3:$B$529,2026,데이터_신성질별!$C$3:$C$529,"&lt;=7")</f>
        <v>53732678</v>
      </c>
      <c r="F44" s="36" t="n">
        <f aca="false">IFERROR(D44/B44-1,"-")</f>
        <v>-0.0650729390764654</v>
      </c>
      <c r="G44" s="36" t="n">
        <f aca="false">IFERROR((E44/D44)/(C44/B44)-1,"-")</f>
        <v>0.167342976745077</v>
      </c>
      <c r="H44" s="25" t="n">
        <f aca="false">IFERROR((D44-B44)*(C44/B44),"-")</f>
        <v>-3203780.12900432</v>
      </c>
      <c r="I44" s="25" t="n">
        <f aca="false">IFERROR(((E44/D44)-(C44/B44))*B44,"-")</f>
        <v>8238910.23262862</v>
      </c>
      <c r="J44" s="25" t="n">
        <f aca="false">E44-C44</f>
        <v>4499000</v>
      </c>
    </row>
    <row r="45" customFormat="false" ht="15" hidden="false" customHeight="true" outlineLevel="0" collapsed="false">
      <c r="A45" s="6" t="s">
        <v>17652</v>
      </c>
      <c r="B45" s="24" t="n">
        <f aca="false">SUMIFS(데이터_신성질별!$F$3:$F$529,데이터_신성질별!$E$3:$E$529,"바.기타 원자재",데이터_신성질별!$B$3:$B$529,2025,데이터_신성질별!$C$3:$C$529,"&lt;=7")</f>
        <v>18225.2</v>
      </c>
      <c r="C45" s="25" t="n">
        <f aca="false">SUMIFS(데이터_신성질별!$G$3:$G$529,데이터_신성질별!$E$3:$E$529,"바.기타 원자재",데이터_신성질별!$B$3:$B$529,2025,데이터_신성질별!$C$3:$C$529,"&lt;=7")</f>
        <v>70772</v>
      </c>
      <c r="D45" s="24" t="n">
        <f aca="false">SUMIFS(데이터_신성질별!$F$3:$F$529,데이터_신성질별!$E$3:$E$529,"바.기타 원자재",데이터_신성질별!$B$3:$B$529,2026,데이터_신성질별!$C$3:$C$529,"&lt;=7")</f>
        <v>16011.1</v>
      </c>
      <c r="E45" s="25" t="n">
        <f aca="false">SUMIFS(데이터_신성질별!$G$3:$G$529,데이터_신성질별!$E$3:$E$529,"바.기타 원자재",데이터_신성질별!$B$3:$B$529,2026,데이터_신성질별!$C$3:$C$529,"&lt;=7")</f>
        <v>84155</v>
      </c>
      <c r="F45" s="36" t="n">
        <f aca="false">IFERROR(D45/B45-1,"-")</f>
        <v>-0.121485635274236</v>
      </c>
      <c r="G45" s="36" t="n">
        <f aca="false">IFERROR((E45/D45)/(C45/B45)-1,"-")</f>
        <v>0.353535305587678</v>
      </c>
      <c r="H45" s="25" t="n">
        <f aca="false">IFERROR((D45-B45)*(C45/B45),"-")</f>
        <v>-8597.78137962821</v>
      </c>
      <c r="I45" s="25" t="n">
        <f aca="false">IFERROR(((E45/D45)-(C45/B45))*B45,"-")</f>
        <v>25020.4006470511</v>
      </c>
      <c r="J45" s="25" t="n">
        <f aca="false">E45-C45</f>
        <v>13383</v>
      </c>
    </row>
    <row r="46" customFormat="false" ht="15" hidden="false" customHeight="true" outlineLevel="0" collapsed="false">
      <c r="A46" s="6" t="s">
        <v>17662</v>
      </c>
      <c r="B46" s="24" t="n">
        <f aca="false">SUMIFS(데이터_신성질별!$F$3:$F$529,데이터_신성질별!$E$3:$E$529,"가.수송장비",데이터_신성질별!$B$3:$B$529,2025,데이터_신성질별!$C$3:$C$529,"&lt;=7")</f>
        <v>8886131.8</v>
      </c>
      <c r="C46" s="25" t="n">
        <f aca="false">SUMIFS(데이터_신성질별!$G$3:$G$529,데이터_신성질별!$E$3:$E$529,"가.수송장비",데이터_신성질별!$B$3:$B$529,2025,데이터_신성질별!$C$3:$C$529,"&lt;=7")</f>
        <v>44031680</v>
      </c>
      <c r="D46" s="24" t="n">
        <f aca="false">SUMIFS(데이터_신성질별!$F$3:$F$529,데이터_신성질별!$E$3:$E$529,"가.수송장비",데이터_신성질별!$B$3:$B$529,2026,데이터_신성질별!$C$3:$C$529,"&lt;=7")</f>
        <v>8997571.6</v>
      </c>
      <c r="E46" s="25" t="n">
        <f aca="false">SUMIFS(데이터_신성질별!$G$3:$G$529,데이터_신성질별!$E$3:$E$529,"가.수송장비",데이터_신성질별!$B$3:$B$529,2026,데이터_신성질별!$C$3:$C$529,"&lt;=7")</f>
        <v>49702683</v>
      </c>
      <c r="F46" s="36" t="n">
        <f aca="false">IFERROR(D46/B46-1,"-")</f>
        <v>0.0125408673321725</v>
      </c>
      <c r="G46" s="36" t="n">
        <f aca="false">IFERROR((E46/D46)/(C46/B46)-1,"-")</f>
        <v>0.114812978688017</v>
      </c>
      <c r="H46" s="25" t="n">
        <f aca="false">IFERROR((D46-B46)*(C46/B46),"-")</f>
        <v>552195.457292672</v>
      </c>
      <c r="I46" s="25" t="n">
        <f aca="false">IFERROR(((E46/D46)-(C46/B46))*B46,"-")</f>
        <v>5055408.33743757</v>
      </c>
      <c r="J46" s="25" t="n">
        <f aca="false">E46-C46</f>
        <v>5671003</v>
      </c>
    </row>
    <row r="47" customFormat="false" ht="15" hidden="false" customHeight="true" outlineLevel="0" collapsed="false">
      <c r="A47" s="6" t="s">
        <v>17667</v>
      </c>
      <c r="B47" s="24" t="n">
        <f aca="false">SUMIFS(데이터_신성질별!$F$3:$F$529,데이터_신성질별!$E$3:$E$529,"나.기계류",데이터_신성질별!$B$3:$B$529,2025,데이터_신성질별!$C$3:$C$529,"&lt;=7")</f>
        <v>4617007.7</v>
      </c>
      <c r="C47" s="25" t="n">
        <f aca="false">SUMIFS(데이터_신성질별!$G$3:$G$529,데이터_신성질별!$E$3:$E$529,"나.기계류",데이터_신성질별!$B$3:$B$529,2025,데이터_신성질별!$C$3:$C$529,"&lt;=7")</f>
        <v>61358103</v>
      </c>
      <c r="D47" s="24" t="n">
        <f aca="false">SUMIFS(데이터_신성질별!$F$3:$F$529,데이터_신성질별!$E$3:$E$529,"나.기계류",데이터_신성질별!$B$3:$B$529,2026,데이터_신성질별!$C$3:$C$529,"&lt;=7")</f>
        <v>4561735.8</v>
      </c>
      <c r="E47" s="25" t="n">
        <f aca="false">SUMIFS(데이터_신성질별!$G$3:$G$529,데이터_신성질별!$E$3:$E$529,"나.기계류",데이터_신성질별!$B$3:$B$529,2026,데이터_신성질별!$C$3:$C$529,"&lt;=7")</f>
        <v>63145805</v>
      </c>
      <c r="F47" s="36" t="n">
        <f aca="false">IFERROR(D47/B47-1,"-")</f>
        <v>-0.0119713683821667</v>
      </c>
      <c r="G47" s="36" t="n">
        <f aca="false">IFERROR((E47/D47)/(C47/B47)-1,"-")</f>
        <v>0.0416049857238305</v>
      </c>
      <c r="H47" s="25" t="n">
        <f aca="false">IFERROR((D47-B47)*(C47/B47),"-")</f>
        <v>-734540.45424393</v>
      </c>
      <c r="I47" s="25" t="n">
        <f aca="false">IFERROR(((E47/D47)-(C47/B47))*B47,"-")</f>
        <v>2552802.99935633</v>
      </c>
      <c r="J47" s="25" t="n">
        <f aca="false">E47-C47</f>
        <v>1787702</v>
      </c>
    </row>
    <row r="48" customFormat="false" ht="15" hidden="false" customHeight="true" outlineLevel="0" collapsed="false">
      <c r="A48" s="6" t="s">
        <v>17672</v>
      </c>
      <c r="B48" s="24" t="n">
        <f aca="false">SUMIFS(데이터_신성질별!$F$3:$F$529,데이터_신성질별!$E$3:$E$529,"다.IT제품",데이터_신성질별!$B$3:$B$529,2025,데이터_신성질별!$C$3:$C$529,"&lt;=7")</f>
        <v>83392</v>
      </c>
      <c r="C48" s="25" t="n">
        <f aca="false">SUMIFS(데이터_신성질별!$G$3:$G$529,데이터_신성질별!$E$3:$E$529,"다.IT제품",데이터_신성질별!$B$3:$B$529,2025,데이터_신성질별!$C$3:$C$529,"&lt;=7")</f>
        <v>23460946</v>
      </c>
      <c r="D48" s="24" t="n">
        <f aca="false">SUMIFS(데이터_신성질별!$F$3:$F$529,데이터_신성질별!$E$3:$E$529,"다.IT제품",데이터_신성질별!$B$3:$B$529,2026,데이터_신성질별!$C$3:$C$529,"&lt;=7")</f>
        <v>86203.3</v>
      </c>
      <c r="E48" s="25" t="n">
        <f aca="false">SUMIFS(데이터_신성질별!$G$3:$G$529,데이터_신성질별!$E$3:$E$529,"다.IT제품",데이터_신성질별!$B$3:$B$529,2026,데이터_신성질별!$C$3:$C$529,"&lt;=7")</f>
        <v>46473644</v>
      </c>
      <c r="F48" s="36" t="n">
        <f aca="false">IFERROR(D48/B48-1,"-")</f>
        <v>0.0337118668457406</v>
      </c>
      <c r="G48" s="36" t="n">
        <f aca="false">IFERROR((E48/D48)/(C48/B48)-1,"-")</f>
        <v>0.916292081572573</v>
      </c>
      <c r="H48" s="25" t="n">
        <f aca="false">IFERROR((D48-B48)*(C48/B48),"-")</f>
        <v>790912.287627111</v>
      </c>
      <c r="I48" s="25" t="n">
        <f aca="false">IFERROR(((E48/D48)-(C48/B48))*B48,"-")</f>
        <v>21497079.0460017</v>
      </c>
      <c r="J48" s="25" t="n">
        <f aca="false">E48-C48</f>
        <v>23012698</v>
      </c>
    </row>
    <row r="49" customFormat="false" ht="15" hidden="false" customHeight="true" outlineLevel="0" collapsed="false">
      <c r="A49" s="6" t="s">
        <v>17677</v>
      </c>
      <c r="B49" s="24" t="n">
        <f aca="false">SUMIFS(데이터_신성질별!$F$3:$F$529,데이터_신성질별!$E$3:$E$529,"라.IT부품",데이터_신성질별!$B$3:$B$529,2025,데이터_신성질별!$C$3:$C$529,"&lt;=7")</f>
        <v>203210.5</v>
      </c>
      <c r="C49" s="25" t="n">
        <f aca="false">SUMIFS(데이터_신성질별!$G$3:$G$529,데이터_신성질별!$E$3:$E$529,"라.IT부품",데이터_신성질별!$B$3:$B$529,2025,데이터_신성질별!$C$3:$C$529,"&lt;=7")</f>
        <v>98118505</v>
      </c>
      <c r="D49" s="24" t="n">
        <f aca="false">SUMIFS(데이터_신성질별!$F$3:$F$529,데이터_신성질별!$E$3:$E$529,"라.IT부품",데이터_신성질별!$B$3:$B$529,2026,데이터_신성질별!$C$3:$C$529,"&lt;=7")</f>
        <v>209743.6</v>
      </c>
      <c r="E49" s="25" t="n">
        <f aca="false">SUMIFS(데이터_신성질별!$G$3:$G$529,데이터_신성질별!$E$3:$E$529,"라.IT부품",데이터_신성질별!$B$3:$B$529,2026,데이터_신성질별!$C$3:$C$529,"&lt;=7")</f>
        <v>244336428</v>
      </c>
      <c r="F49" s="36" t="n">
        <f aca="false">IFERROR(D49/B49-1,"-")</f>
        <v>0.0321494214127716</v>
      </c>
      <c r="G49" s="36" t="n">
        <f aca="false">IFERROR((E49/D49)/(C49/B49)-1,"-")</f>
        <v>1.41265222647469</v>
      </c>
      <c r="H49" s="25" t="n">
        <f aca="false">IFERROR((D49-B49)*(C49/B49),"-")</f>
        <v>3154453.16563613</v>
      </c>
      <c r="I49" s="25" t="n">
        <f aca="false">IFERROR(((E49/D49)-(C49/B49))*B49,"-")</f>
        <v>138607324.546618</v>
      </c>
      <c r="J49" s="25" t="n">
        <f aca="false">E49-C49</f>
        <v>146217923</v>
      </c>
    </row>
    <row r="50" customFormat="false" ht="15" hidden="false" customHeight="true" outlineLevel="0" collapsed="false">
      <c r="A50" s="6" t="s">
        <v>19952</v>
      </c>
      <c r="B50" s="31" t="n">
        <f aca="false">SUM(B36:B49)</f>
        <v>114743519.4</v>
      </c>
      <c r="C50" s="30" t="n">
        <f aca="false">SUM(C36:C49)</f>
        <v>395388772</v>
      </c>
      <c r="D50" s="31" t="n">
        <f aca="false">SUM(D36:D49)</f>
        <v>109873539.5</v>
      </c>
      <c r="E50" s="30" t="n">
        <f aca="false">SUM(E36:E49)</f>
        <v>595062835</v>
      </c>
      <c r="F50" s="41" t="n">
        <f aca="false">D50/B50-1</f>
        <v>-0.0424423089466437</v>
      </c>
      <c r="G50" s="41" t="n">
        <f aca="false">(E50/D50)/(C50/B50)-1</f>
        <v>0.571714087411955</v>
      </c>
      <c r="H50" s="30" t="n">
        <f aca="false">SUM(H36:H49)</f>
        <v>-4137029.63056613</v>
      </c>
      <c r="I50" s="30" t="n">
        <f aca="false">SUM(I36:I49)</f>
        <v>200669147.691341</v>
      </c>
      <c r="J50" s="30" t="n">
        <f aca="false">SUM(J36:J49)</f>
        <v>199674063</v>
      </c>
    </row>
    <row r="52" customFormat="false" ht="14.25" hidden="false" customHeight="true" outlineLevel="0" collapsed="false">
      <c r="A52" s="23" t="s">
        <v>20162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customFormat="false" ht="15" hidden="false" customHeight="true" outlineLevel="0" collapsed="false">
      <c r="A53" s="5" t="s">
        <v>20163</v>
      </c>
      <c r="B53" s="5" t="s">
        <v>20164</v>
      </c>
      <c r="C53" s="5" t="s">
        <v>20165</v>
      </c>
      <c r="D53" s="5" t="s">
        <v>20166</v>
      </c>
    </row>
    <row r="54" customFormat="false" ht="15" hidden="false" customHeight="true" outlineLevel="0" collapsed="false">
      <c r="A54" s="6" t="s">
        <v>20167</v>
      </c>
      <c r="B54" s="73" t="n">
        <f aca="false">SUMPRODUCT($D$36:$D$49,$C$36:$C$49/$B$36:$B$49)/SUMPRODUCT($B$36:$B$49,$C$36:$C$49/$B$36:$B$49)</f>
        <v>0.98953680548479</v>
      </c>
      <c r="C54" s="36" t="n">
        <f aca="false">B54-1</f>
        <v>-0.0104631945152103</v>
      </c>
      <c r="D54" s="7" t="s">
        <v>20168</v>
      </c>
    </row>
    <row r="55" customFormat="false" ht="15" hidden="false" customHeight="true" outlineLevel="0" collapsed="false">
      <c r="A55" s="6" t="s">
        <v>20169</v>
      </c>
      <c r="B55" s="73" t="n">
        <f aca="false">SUM($E$36:$E$49)/SUMPRODUCT($B$36:$B$49,$E$36:$E$49/$D$36:$D$49)</f>
        <v>0.998330557050804</v>
      </c>
      <c r="C55" s="36" t="n">
        <f aca="false">B55-1</f>
        <v>-0.00166944294919558</v>
      </c>
      <c r="D55" s="7" t="s">
        <v>20170</v>
      </c>
    </row>
    <row r="56" customFormat="false" ht="15" hidden="false" customHeight="true" outlineLevel="0" collapsed="false">
      <c r="A56" s="6" t="s">
        <v>20171</v>
      </c>
      <c r="B56" s="74" t="n">
        <f aca="false">SQRT(B54*B55)</f>
        <v>0.993923955965397</v>
      </c>
      <c r="C56" s="36" t="n">
        <f aca="false">B56-1</f>
        <v>-0.00607604403460338</v>
      </c>
      <c r="D56" s="7" t="s">
        <v>20172</v>
      </c>
    </row>
    <row r="57" customFormat="false" ht="15" hidden="false" customHeight="true" outlineLevel="0" collapsed="false">
      <c r="A57" s="6" t="s">
        <v>20173</v>
      </c>
      <c r="B57" s="73" t="n">
        <f aca="false">SUMPRODUCT($B$36:$B$49,$E$36:$E$49/$D$36:$D$49)/SUMPRODUCT($B$36:$B$49,$C$36:$C$49/$B$36:$B$49)</f>
        <v>1.50752363724517</v>
      </c>
      <c r="C57" s="36" t="n">
        <f aca="false">B57-1</f>
        <v>0.507523637245169</v>
      </c>
      <c r="D57" s="7" t="s">
        <v>20174</v>
      </c>
    </row>
    <row r="58" customFormat="false" ht="15" hidden="false" customHeight="true" outlineLevel="0" collapsed="false">
      <c r="A58" s="6" t="s">
        <v>20175</v>
      </c>
      <c r="B58" s="73" t="n">
        <f aca="false">SUM($E$36:$E$49)/SUMPRODUCT($D$36:$D$49,$C$36:$C$49/$B$36:$B$49)</f>
        <v>1.52092060062475</v>
      </c>
      <c r="C58" s="36" t="n">
        <f aca="false">B58-1</f>
        <v>0.520920600624752</v>
      </c>
      <c r="D58" s="7" t="s">
        <v>20176</v>
      </c>
    </row>
    <row r="59" customFormat="false" ht="15" hidden="false" customHeight="true" outlineLevel="0" collapsed="false">
      <c r="A59" s="6" t="s">
        <v>20177</v>
      </c>
      <c r="B59" s="74" t="n">
        <f aca="false">SQRT(B57*B58)</f>
        <v>1.51420730278748</v>
      </c>
      <c r="C59" s="36" t="n">
        <f aca="false">B59-1</f>
        <v>0.514207302787479</v>
      </c>
      <c r="D59" s="7" t="s">
        <v>20172</v>
      </c>
    </row>
    <row r="60" customFormat="false" ht="15" hidden="false" customHeight="true" outlineLevel="0" collapsed="false">
      <c r="A60" s="6" t="s">
        <v>20178</v>
      </c>
      <c r="B60" s="73" t="n">
        <f aca="false">SUM($E$36:$E$49)/SUMPRODUCT($B$36:$B$49,$C$36:$C$49/$B$36:$B$49)</f>
        <v>1.50500691253822</v>
      </c>
      <c r="C60" s="36" t="n">
        <f aca="false">B60-1</f>
        <v>0.505006912538225</v>
      </c>
      <c r="D60" s="7" t="s">
        <v>20179</v>
      </c>
    </row>
    <row r="61" customFormat="false" ht="15" hidden="false" customHeight="true" outlineLevel="0" collapsed="false">
      <c r="A61" s="6" t="s">
        <v>20180</v>
      </c>
      <c r="B61" s="73" t="n">
        <f aca="false">((E50/D50)/(C50/B50))/B59</f>
        <v>1.03797814507869</v>
      </c>
      <c r="C61" s="75" t="n">
        <f aca="false">B61-1</f>
        <v>0.0379781450786905</v>
      </c>
      <c r="D61" s="7" t="s">
        <v>20181</v>
      </c>
    </row>
  </sheetData>
  <mergeCells count="7">
    <mergeCell ref="A1:K1"/>
    <mergeCell ref="A2:K2"/>
    <mergeCell ref="A3:K3"/>
    <mergeCell ref="A5:K5"/>
    <mergeCell ref="A29:K29"/>
    <mergeCell ref="A34:K34"/>
    <mergeCell ref="A52:K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10" min="2" style="1" width="12"/>
  </cols>
  <sheetData>
    <row r="1" customFormat="false" ht="21.75" hidden="false" customHeight="true" outlineLevel="0" collapsed="false">
      <c r="A1" s="2" t="s">
        <v>20182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20183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 t="s">
        <v>20184</v>
      </c>
      <c r="B3" s="3"/>
      <c r="C3" s="3"/>
      <c r="D3" s="3"/>
      <c r="E3" s="3"/>
      <c r="F3" s="3"/>
      <c r="G3" s="3"/>
      <c r="H3" s="3"/>
      <c r="I3" s="3"/>
      <c r="J3" s="3"/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2"/>
  </cols>
  <sheetData>
    <row r="1" customFormat="false" ht="21.75" hidden="false" customHeight="true" outlineLevel="0" collapsed="false">
      <c r="A1" s="2" t="s">
        <v>20185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20186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4.25" hidden="false" customHeight="true" outlineLevel="0" collapsed="false">
      <c r="A4" s="4" t="s">
        <v>20187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" hidden="false" customHeight="true" outlineLevel="0" collapsed="false">
      <c r="A5" s="5" t="s">
        <v>20188</v>
      </c>
      <c r="B5" s="5" t="s">
        <v>20189</v>
      </c>
      <c r="C5" s="44" t="s">
        <v>19898</v>
      </c>
    </row>
    <row r="6" customFormat="false" ht="15" hidden="false" customHeight="true" outlineLevel="0" collapsed="false">
      <c r="A6" s="46" t="s">
        <v>19831</v>
      </c>
      <c r="B6" s="25" t="n">
        <f aca="false">분석6_HS부문별!E83-분석6_HS부문별!D83</f>
        <v>169940061</v>
      </c>
      <c r="C6" s="36" t="n">
        <f aca="false">분석6_HS부문별!G83</f>
        <v>0.993414083204462</v>
      </c>
    </row>
    <row r="7" customFormat="false" ht="15" hidden="false" customHeight="true" outlineLevel="0" collapsed="false">
      <c r="A7" s="46" t="s">
        <v>19809</v>
      </c>
      <c r="B7" s="25" t="n">
        <f aca="false">분석6_HS부문별!E84-분석6_HS부문별!D84</f>
        <v>9543479</v>
      </c>
      <c r="C7" s="36" t="n">
        <f aca="false">분석6_HS부문별!G84</f>
        <v>0.345053063120535</v>
      </c>
    </row>
    <row r="8" customFormat="false" ht="15" hidden="false" customHeight="true" outlineLevel="0" collapsed="false">
      <c r="A8" s="46" t="s">
        <v>19827</v>
      </c>
      <c r="B8" s="25" t="n">
        <f aca="false">분석6_HS부문별!E85-분석6_HS부문별!D85</f>
        <v>6049489</v>
      </c>
      <c r="C8" s="36" t="n">
        <f aca="false">분석6_HS부문별!G85</f>
        <v>1.5489400130634</v>
      </c>
    </row>
    <row r="9" customFormat="false" ht="15" hidden="false" customHeight="true" outlineLevel="0" collapsed="false">
      <c r="A9" s="46" t="s">
        <v>19811</v>
      </c>
      <c r="B9" s="25" t="n">
        <f aca="false">분석6_HS부문별!E86-분석6_HS부문별!D86</f>
        <v>5542971</v>
      </c>
      <c r="C9" s="36" t="n">
        <f aca="false">분석6_HS부문별!G86</f>
        <v>0.15262366071211</v>
      </c>
    </row>
    <row r="10" customFormat="false" ht="15" hidden="false" customHeight="true" outlineLevel="0" collapsed="false">
      <c r="A10" s="46" t="s">
        <v>19833</v>
      </c>
      <c r="B10" s="25" t="n">
        <f aca="false">분석6_HS부문별!E87-분석6_HS부문별!D87</f>
        <v>3218274</v>
      </c>
      <c r="C10" s="36" t="n">
        <f aca="false">분석6_HS부문별!G87</f>
        <v>0.0450509892343742</v>
      </c>
    </row>
    <row r="11" customFormat="false" ht="15" hidden="false" customHeight="true" outlineLevel="0" collapsed="false">
      <c r="A11" s="46" t="s">
        <v>19829</v>
      </c>
      <c r="B11" s="25" t="n">
        <f aca="false">분석6_HS부문별!E88-분석6_HS부문별!D88</f>
        <v>2914348</v>
      </c>
      <c r="C11" s="36" t="n">
        <f aca="false">분석6_HS부문별!G88</f>
        <v>0.0987296160730238</v>
      </c>
    </row>
    <row r="12" customFormat="false" ht="15" hidden="false" customHeight="true" outlineLevel="0" collapsed="false">
      <c r="A12" s="46" t="s">
        <v>19813</v>
      </c>
      <c r="B12" s="25" t="n">
        <f aca="false">분석6_HS부문별!E89-분석6_HS부문별!D89</f>
        <v>1270022</v>
      </c>
      <c r="C12" s="36" t="n">
        <f aca="false">분석6_HS부문별!G89</f>
        <v>0.0511479000888588</v>
      </c>
    </row>
    <row r="13" customFormat="false" ht="15" hidden="false" customHeight="true" outlineLevel="0" collapsed="false">
      <c r="A13" s="46" t="s">
        <v>19835</v>
      </c>
      <c r="B13" s="25" t="n">
        <f aca="false">분석6_HS부문별!E90-분석6_HS부문별!D90</f>
        <v>446031</v>
      </c>
      <c r="C13" s="36" t="n">
        <f aca="false">분석6_HS부문별!G90</f>
        <v>0.0450592619442185</v>
      </c>
    </row>
    <row r="14" customFormat="false" ht="15" hidden="false" customHeight="true" outlineLevel="0" collapsed="false">
      <c r="A14" s="46" t="s">
        <v>19801</v>
      </c>
      <c r="B14" s="25" t="n">
        <f aca="false">분석6_HS부문별!E91-분석6_HS부문별!D91</f>
        <v>333823</v>
      </c>
      <c r="C14" s="36" t="n">
        <f aca="false">분석6_HS부문별!G91</f>
        <v>0.30716563073653</v>
      </c>
    </row>
    <row r="15" customFormat="false" ht="15" hidden="false" customHeight="true" outlineLevel="0" collapsed="false">
      <c r="A15" s="46" t="s">
        <v>19807</v>
      </c>
      <c r="B15" s="25" t="n">
        <f aca="false">분석6_HS부문별!E92-분석6_HS부문별!D92</f>
        <v>303935</v>
      </c>
      <c r="C15" s="36" t="n">
        <f aca="false">분석6_HS부문별!G92</f>
        <v>0.0594445169188089</v>
      </c>
    </row>
    <row r="16" customFormat="false" ht="15" hidden="false" customHeight="true" outlineLevel="0" collapsed="false">
      <c r="A16" s="46" t="s">
        <v>19815</v>
      </c>
      <c r="B16" s="25" t="n">
        <f aca="false">분석6_HS부문별!E93-분석6_HS부문별!D93</f>
        <v>110758</v>
      </c>
      <c r="C16" s="36" t="n">
        <f aca="false">분석6_HS부문별!G93</f>
        <v>0.246168822942388</v>
      </c>
    </row>
    <row r="17" customFormat="false" ht="15" hidden="false" customHeight="true" outlineLevel="0" collapsed="false">
      <c r="A17" s="46" t="s">
        <v>19837</v>
      </c>
      <c r="B17" s="25" t="n">
        <f aca="false">분석6_HS부문별!E94-분석6_HS부문별!D94</f>
        <v>66218</v>
      </c>
      <c r="C17" s="36" t="n">
        <f aca="false">분석6_HS부문별!G94</f>
        <v>0.0369641790544879</v>
      </c>
    </row>
    <row r="18" customFormat="false" ht="15" hidden="false" customHeight="true" outlineLevel="0" collapsed="false">
      <c r="A18" s="46" t="s">
        <v>19839</v>
      </c>
      <c r="B18" s="25" t="n">
        <f aca="false">분석6_HS부문별!E95-분석6_HS부문별!D95</f>
        <v>61967</v>
      </c>
      <c r="C18" s="36" t="n">
        <f aca="false">분석6_HS부문별!G95</f>
        <v>0.0441072005625951</v>
      </c>
    </row>
    <row r="19" customFormat="false" ht="15" hidden="false" customHeight="true" outlineLevel="0" collapsed="false">
      <c r="A19" s="46" t="s">
        <v>19823</v>
      </c>
      <c r="B19" s="25" t="n">
        <f aca="false">분석6_HS부문별!E96-분석6_HS부문별!D96</f>
        <v>47143</v>
      </c>
      <c r="C19" s="36" t="n">
        <f aca="false">분석6_HS부문별!G96</f>
        <v>0.159794862755998</v>
      </c>
    </row>
    <row r="20" customFormat="false" ht="15" hidden="false" customHeight="true" outlineLevel="0" collapsed="false">
      <c r="A20" s="46" t="s">
        <v>19819</v>
      </c>
      <c r="B20" s="25" t="n">
        <f aca="false">분석6_HS부문별!E97-분석6_HS부문별!D97</f>
        <v>43477</v>
      </c>
      <c r="C20" s="36" t="n">
        <f aca="false">분석6_HS부문별!G97</f>
        <v>0.0234859358262483</v>
      </c>
    </row>
    <row r="21" customFormat="false" ht="15" hidden="false" customHeight="true" outlineLevel="0" collapsed="false">
      <c r="A21" s="46" t="s">
        <v>19817</v>
      </c>
      <c r="B21" s="25" t="n">
        <f aca="false">분석6_HS부문별!E98-분석6_HS부문별!D98</f>
        <v>8245</v>
      </c>
      <c r="C21" s="36" t="n">
        <f aca="false">분석6_HS부문별!G98</f>
        <v>0.191610504299326</v>
      </c>
    </row>
    <row r="22" customFormat="false" ht="15" hidden="false" customHeight="true" outlineLevel="0" collapsed="false">
      <c r="A22" s="54" t="s">
        <v>19843</v>
      </c>
      <c r="B22" s="25" t="n">
        <f aca="false">분석6_HS부문별!E99-분석6_HS부문별!D99</f>
        <v>0</v>
      </c>
      <c r="C22" s="36" t="str">
        <f aca="false">분석6_HS부문별!G99</f>
        <v>-</v>
      </c>
    </row>
    <row r="23" customFormat="false" ht="15" hidden="false" customHeight="true" outlineLevel="0" collapsed="false">
      <c r="A23" s="46" t="s">
        <v>19825</v>
      </c>
      <c r="B23" s="25" t="n">
        <f aca="false">분석6_HS부문별!E100-분석6_HS부문별!D100</f>
        <v>-22671</v>
      </c>
      <c r="C23" s="36" t="n">
        <f aca="false">분석6_HS부문별!G100</f>
        <v>-0.0119005937436188</v>
      </c>
    </row>
    <row r="24" customFormat="false" ht="15" hidden="false" customHeight="true" outlineLevel="0" collapsed="false">
      <c r="A24" s="46" t="s">
        <v>19805</v>
      </c>
      <c r="B24" s="25" t="n">
        <f aca="false">분석6_HS부문별!E101-분석6_HS부문별!D101</f>
        <v>-36240</v>
      </c>
      <c r="C24" s="36" t="n">
        <f aca="false">분석6_HS부문별!G101</f>
        <v>-0.155961526047382</v>
      </c>
    </row>
    <row r="25" customFormat="false" ht="15" hidden="false" customHeight="true" outlineLevel="0" collapsed="false">
      <c r="A25" s="46" t="s">
        <v>19803</v>
      </c>
      <c r="B25" s="25" t="n">
        <f aca="false">분석6_HS부문별!E102-분석6_HS부문별!D102</f>
        <v>-45008</v>
      </c>
      <c r="C25" s="36" t="n">
        <f aca="false">분석6_HS부문별!G102</f>
        <v>-0.0591135592908685</v>
      </c>
    </row>
    <row r="26" customFormat="false" ht="15" hidden="false" customHeight="true" outlineLevel="0" collapsed="false">
      <c r="A26" s="46" t="s">
        <v>19841</v>
      </c>
      <c r="B26" s="25" t="n">
        <f aca="false">분석6_HS부문별!E103-분석6_HS부문별!D103</f>
        <v>-48509</v>
      </c>
      <c r="C26" s="36" t="n">
        <f aca="false">분석6_HS부문별!G103</f>
        <v>-0.270430434225124</v>
      </c>
    </row>
    <row r="27" customFormat="false" ht="15" hidden="false" customHeight="true" outlineLevel="0" collapsed="false">
      <c r="A27" s="46" t="s">
        <v>19821</v>
      </c>
      <c r="B27" s="25" t="n">
        <f aca="false">분석6_HS부문별!E104-분석6_HS부문별!D104</f>
        <v>-90986</v>
      </c>
      <c r="C27" s="36" t="n">
        <f aca="false">분석6_HS부문별!G104</f>
        <v>-0.0166696407927469</v>
      </c>
    </row>
    <row r="29" customFormat="false" ht="14.25" hidden="false" customHeight="true" outlineLevel="0" collapsed="false">
      <c r="A29" s="4" t="s">
        <v>20190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15" hidden="false" customHeight="true" outlineLevel="0" collapsed="false">
      <c r="A30" s="5" t="s">
        <v>20080</v>
      </c>
      <c r="B30" s="44" t="s">
        <v>20161</v>
      </c>
      <c r="C30" s="5" t="s">
        <v>20081</v>
      </c>
    </row>
    <row r="31" customFormat="false" ht="15" hidden="false" customHeight="true" outlineLevel="0" collapsed="false">
      <c r="A31" s="7" t="s">
        <v>20085</v>
      </c>
      <c r="B31" s="25" t="n">
        <f aca="false">분석7_HS류별상세!D107</f>
        <v>199448022</v>
      </c>
      <c r="C31" s="25" t="n">
        <f aca="false">분석7_HS류별상세!B107</f>
        <v>38</v>
      </c>
    </row>
    <row r="32" customFormat="false" ht="15" hidden="false" customHeight="true" outlineLevel="0" collapsed="false">
      <c r="A32" s="7" t="s">
        <v>20086</v>
      </c>
      <c r="B32" s="25" t="n">
        <f aca="false">분석7_HS류별상세!D108</f>
        <v>908433</v>
      </c>
      <c r="C32" s="25" t="n">
        <f aca="false">분석7_HS류별상세!B108</f>
        <v>11</v>
      </c>
    </row>
    <row r="33" customFormat="false" ht="15" hidden="false" customHeight="true" outlineLevel="0" collapsed="false">
      <c r="A33" s="7" t="s">
        <v>20087</v>
      </c>
      <c r="B33" s="25" t="n">
        <f aca="false">분석7_HS류별상세!D109</f>
        <v>912449</v>
      </c>
      <c r="C33" s="25" t="n">
        <f aca="false">분석7_HS류별상세!B109</f>
        <v>6</v>
      </c>
    </row>
    <row r="34" customFormat="false" ht="15" hidden="false" customHeight="true" outlineLevel="0" collapsed="false">
      <c r="A34" s="7" t="s">
        <v>20088</v>
      </c>
      <c r="B34" s="25" t="n">
        <f aca="false">분석7_HS류별상세!D110</f>
        <v>-1564341</v>
      </c>
      <c r="C34" s="25" t="n">
        <f aca="false">분석7_HS류별상세!B110</f>
        <v>33</v>
      </c>
    </row>
    <row r="35" customFormat="false" ht="15" hidden="false" customHeight="true" outlineLevel="0" collapsed="false">
      <c r="A35" s="7" t="s">
        <v>20089</v>
      </c>
      <c r="B35" s="25" t="n">
        <f aca="false">분석7_HS류별상세!D111</f>
        <v>-47736</v>
      </c>
      <c r="C35" s="25" t="n">
        <f aca="false">분석7_HS류별상세!B111</f>
        <v>9</v>
      </c>
    </row>
    <row r="37" customFormat="false" ht="14.25" hidden="false" customHeight="true" outlineLevel="0" collapsed="false">
      <c r="A37" s="4" t="s">
        <v>20191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5" hidden="false" customHeight="true" outlineLevel="0" collapsed="false">
      <c r="A38" s="44" t="s">
        <v>20192</v>
      </c>
      <c r="B38" s="5" t="s">
        <v>20189</v>
      </c>
    </row>
    <row r="39" customFormat="false" ht="15" hidden="false" customHeight="true" outlineLevel="0" collapsed="false">
      <c r="A39" s="46" t="s">
        <v>20193</v>
      </c>
      <c r="B39" s="25" t="n">
        <f aca="false">분석7_HS류별상세!T6-분석7_HS류별상세!S6</f>
        <v>133740994</v>
      </c>
    </row>
    <row r="40" customFormat="false" ht="15" hidden="false" customHeight="true" outlineLevel="0" collapsed="false">
      <c r="A40" s="46" t="s">
        <v>20194</v>
      </c>
      <c r="B40" s="25" t="n">
        <f aca="false">분석7_HS류별상세!T7-분석7_HS류별상세!S7</f>
        <v>36199067</v>
      </c>
    </row>
    <row r="41" customFormat="false" ht="15" hidden="false" customHeight="true" outlineLevel="0" collapsed="false">
      <c r="A41" s="46" t="s">
        <v>20195</v>
      </c>
      <c r="B41" s="25" t="n">
        <f aca="false">분석7_HS류별상세!T8-분석7_HS류별상세!S8</f>
        <v>9283295</v>
      </c>
    </row>
    <row r="42" customFormat="false" ht="15" hidden="false" customHeight="true" outlineLevel="0" collapsed="false">
      <c r="A42" s="46" t="s">
        <v>20196</v>
      </c>
      <c r="B42" s="25" t="n">
        <f aca="false">분석7_HS류별상세!T9-분석7_HS류별상세!S9</f>
        <v>6049489</v>
      </c>
    </row>
    <row r="43" customFormat="false" ht="15" hidden="false" customHeight="true" outlineLevel="0" collapsed="false">
      <c r="A43" s="46" t="s">
        <v>20197</v>
      </c>
      <c r="B43" s="25" t="n">
        <f aca="false">분석7_HS류별상세!T10-분석7_HS류별상세!S10</f>
        <v>3585206</v>
      </c>
    </row>
    <row r="44" customFormat="false" ht="15" hidden="false" customHeight="true" outlineLevel="0" collapsed="false">
      <c r="A44" s="46" t="s">
        <v>20198</v>
      </c>
      <c r="B44" s="25" t="n">
        <f aca="false">분석7_HS류별상세!T11-분석7_HS류별상세!S11</f>
        <v>1778567</v>
      </c>
    </row>
    <row r="45" customFormat="false" ht="15" hidden="false" customHeight="true" outlineLevel="0" collapsed="false">
      <c r="A45" s="46" t="s">
        <v>20199</v>
      </c>
      <c r="B45" s="25" t="n">
        <f aca="false">분석7_HS류별상세!T12-분석7_HS류별상세!S12</f>
        <v>1584570</v>
      </c>
    </row>
    <row r="46" customFormat="false" ht="15" hidden="false" customHeight="true" outlineLevel="0" collapsed="false">
      <c r="A46" s="46" t="s">
        <v>20200</v>
      </c>
      <c r="B46" s="25" t="n">
        <f aca="false">분석7_HS류별상세!T13-분석7_HS류별상세!S13</f>
        <v>1183000</v>
      </c>
    </row>
    <row r="47" customFormat="false" ht="15" hidden="false" customHeight="true" outlineLevel="0" collapsed="false">
      <c r="A47" s="46" t="s">
        <v>20201</v>
      </c>
      <c r="B47" s="25" t="n">
        <f aca="false">분석7_HS류별상세!T14-분석7_HS류별상세!S14</f>
        <v>1088824</v>
      </c>
    </row>
    <row r="48" customFormat="false" ht="15" hidden="false" customHeight="true" outlineLevel="0" collapsed="false">
      <c r="A48" s="46" t="s">
        <v>20202</v>
      </c>
      <c r="B48" s="25" t="n">
        <f aca="false">분석7_HS류별상세!T15-분석7_HS류별상세!S15</f>
        <v>944613</v>
      </c>
    </row>
    <row r="49" customFormat="false" ht="15" hidden="false" customHeight="true" outlineLevel="0" collapsed="false">
      <c r="A49" s="46" t="s">
        <v>20203</v>
      </c>
      <c r="B49" s="25" t="n">
        <f aca="false">분석7_HS류별상세!T16-분석7_HS류별상세!S16</f>
        <v>886200</v>
      </c>
    </row>
    <row r="50" customFormat="false" ht="15" hidden="false" customHeight="true" outlineLevel="0" collapsed="false">
      <c r="A50" s="46" t="s">
        <v>20204</v>
      </c>
      <c r="B50" s="25" t="n">
        <f aca="false">분석7_HS류별상세!T17-분석7_HS류별상세!S17</f>
        <v>813796</v>
      </c>
    </row>
    <row r="51" customFormat="false" ht="15" hidden="false" customHeight="true" outlineLevel="0" collapsed="false">
      <c r="A51" s="46" t="s">
        <v>20205</v>
      </c>
      <c r="B51" s="25" t="n">
        <f aca="false">분석7_HS류별상세!T18-분석7_HS류별상세!S18</f>
        <v>542804</v>
      </c>
    </row>
    <row r="52" customFormat="false" ht="15" hidden="false" customHeight="true" outlineLevel="0" collapsed="false">
      <c r="A52" s="46" t="s">
        <v>20206</v>
      </c>
      <c r="B52" s="25" t="n">
        <f aca="false">분석7_HS류별상세!T19-분석7_HS류별상세!S19</f>
        <v>460078</v>
      </c>
    </row>
    <row r="53" customFormat="false" ht="15" hidden="false" customHeight="true" outlineLevel="0" collapsed="false">
      <c r="A53" s="46" t="s">
        <v>20207</v>
      </c>
      <c r="B53" s="25" t="n">
        <f aca="false">분석7_HS류별상세!T20-분석7_HS류별상세!S20</f>
        <v>327754</v>
      </c>
    </row>
    <row r="55" customFormat="false" ht="15" hidden="false" customHeight="true" outlineLevel="0" collapsed="false">
      <c r="A55" s="44" t="s">
        <v>20208</v>
      </c>
      <c r="B55" s="5" t="s">
        <v>20189</v>
      </c>
    </row>
    <row r="56" customFormat="false" ht="15" hidden="false" customHeight="true" outlineLevel="0" collapsed="false">
      <c r="A56" s="46" t="s">
        <v>20209</v>
      </c>
      <c r="B56" s="25" t="n">
        <f aca="false">분석7_HS류별상세!T93-분석7_HS류별상세!S93</f>
        <v>-45294</v>
      </c>
    </row>
    <row r="57" customFormat="false" ht="15" hidden="false" customHeight="true" outlineLevel="0" collapsed="false">
      <c r="A57" s="46" t="s">
        <v>20210</v>
      </c>
      <c r="B57" s="25" t="n">
        <f aca="false">분석7_HS류별상세!T94-분석7_HS류별상세!S94</f>
        <v>-48509</v>
      </c>
    </row>
    <row r="58" customFormat="false" ht="15" hidden="false" customHeight="true" outlineLevel="0" collapsed="false">
      <c r="A58" s="46" t="s">
        <v>20211</v>
      </c>
      <c r="B58" s="25" t="n">
        <f aca="false">분석7_HS류별상세!T95-분석7_HS류별상세!S95</f>
        <v>-49222</v>
      </c>
    </row>
    <row r="59" customFormat="false" ht="15" hidden="false" customHeight="true" outlineLevel="0" collapsed="false">
      <c r="A59" s="46" t="s">
        <v>20212</v>
      </c>
      <c r="B59" s="25" t="n">
        <f aca="false">분석7_HS류별상세!T96-분석7_HS류별상세!S96</f>
        <v>-50609</v>
      </c>
    </row>
    <row r="60" customFormat="false" ht="15" hidden="false" customHeight="true" outlineLevel="0" collapsed="false">
      <c r="A60" s="46" t="s">
        <v>20213</v>
      </c>
      <c r="B60" s="25" t="n">
        <f aca="false">분석7_HS류별상세!T97-분석7_HS류별상세!S97</f>
        <v>-57178</v>
      </c>
    </row>
    <row r="61" customFormat="false" ht="15" hidden="false" customHeight="true" outlineLevel="0" collapsed="false">
      <c r="A61" s="46" t="s">
        <v>20214</v>
      </c>
      <c r="B61" s="25" t="n">
        <f aca="false">분석7_HS류별상세!T98-분석7_HS류별상세!S98</f>
        <v>-70785</v>
      </c>
    </row>
    <row r="62" customFormat="false" ht="15" hidden="false" customHeight="true" outlineLevel="0" collapsed="false">
      <c r="A62" s="46" t="s">
        <v>20215</v>
      </c>
      <c r="B62" s="25" t="n">
        <f aca="false">분석7_HS류별상세!T99-분석7_HS류별상세!S99</f>
        <v>-90340</v>
      </c>
    </row>
    <row r="63" customFormat="false" ht="15" hidden="false" customHeight="true" outlineLevel="0" collapsed="false">
      <c r="A63" s="46" t="s">
        <v>20216</v>
      </c>
      <c r="B63" s="25" t="n">
        <f aca="false">분석7_HS류별상세!T100-분석7_HS류별상세!S100</f>
        <v>-135254</v>
      </c>
    </row>
    <row r="64" customFormat="false" ht="15" hidden="false" customHeight="true" outlineLevel="0" collapsed="false">
      <c r="A64" s="46" t="s">
        <v>20217</v>
      </c>
      <c r="B64" s="25" t="n">
        <f aca="false">분석7_HS류별상세!T101-분석7_HS류별상세!S101</f>
        <v>-229520</v>
      </c>
    </row>
    <row r="65" customFormat="false" ht="15" hidden="false" customHeight="true" outlineLevel="0" collapsed="false">
      <c r="A65" s="46" t="s">
        <v>20218</v>
      </c>
      <c r="B65" s="25" t="n">
        <f aca="false">분석7_HS류별상세!T102-분석7_HS류별상세!S102</f>
        <v>-553803</v>
      </c>
    </row>
    <row r="67" customFormat="false" ht="14.25" hidden="false" customHeight="true" outlineLevel="0" collapsed="false">
      <c r="A67" s="4" t="s">
        <v>20219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Format="false" ht="15" hidden="false" customHeight="true" outlineLevel="0" collapsed="false">
      <c r="A68" s="5" t="s">
        <v>56</v>
      </c>
      <c r="B68" s="5" t="s">
        <v>19900</v>
      </c>
      <c r="C68" s="5" t="s">
        <v>20220</v>
      </c>
      <c r="D68" s="5" t="s">
        <v>20221</v>
      </c>
    </row>
    <row r="69" customFormat="false" ht="15" hidden="false" customHeight="true" outlineLevel="0" collapsed="false">
      <c r="A69" s="67" t="s">
        <v>179</v>
      </c>
      <c r="B69" s="57" t="n">
        <f aca="false">분석13_월별변화요약!F6*분석13_월별변화요약!E6</f>
        <v>342647</v>
      </c>
      <c r="C69" s="57" t="n">
        <f aca="false">분석13_월별변화요약!G6*분석13_월별변화요약!E6</f>
        <v>-5875486</v>
      </c>
      <c r="D69" s="57" t="n">
        <f aca="false">분석13_월별변화요약!E6</f>
        <v>-5532839</v>
      </c>
    </row>
    <row r="70" customFormat="false" ht="15" hidden="false" customHeight="true" outlineLevel="0" collapsed="false">
      <c r="A70" s="67" t="s">
        <v>187</v>
      </c>
      <c r="B70" s="57" t="n">
        <f aca="false">분석13_월별변화요약!F7*분석13_월별변화요약!E7</f>
        <v>99535</v>
      </c>
      <c r="C70" s="57" t="n">
        <f aca="false">분석13_월별변화요약!G7*분석13_월별변화요약!E7</f>
        <v>116376</v>
      </c>
      <c r="D70" s="57" t="n">
        <f aca="false">분석13_월별변화요약!E7</f>
        <v>215911</v>
      </c>
    </row>
    <row r="71" customFormat="false" ht="15" hidden="false" customHeight="true" outlineLevel="0" collapsed="false">
      <c r="A71" s="67" t="s">
        <v>195</v>
      </c>
      <c r="B71" s="57" t="n">
        <f aca="false">분석13_월별변화요약!F8*분석13_월별변화요약!E8</f>
        <v>1882296</v>
      </c>
      <c r="C71" s="57" t="n">
        <f aca="false">분석13_월별변화요약!G8*분석13_월별변화요약!E8</f>
        <v>-336043</v>
      </c>
      <c r="D71" s="57" t="n">
        <f aca="false">분석13_월별변화요약!E8</f>
        <v>1546253</v>
      </c>
    </row>
    <row r="72" customFormat="false" ht="15" hidden="false" customHeight="true" outlineLevel="0" collapsed="false">
      <c r="A72" s="67" t="s">
        <v>203</v>
      </c>
      <c r="B72" s="57" t="n">
        <f aca="false">분석13_월별변화요약!F9*분석13_월별변화요약!E9</f>
        <v>1794873</v>
      </c>
      <c r="C72" s="57" t="n">
        <f aca="false">분석13_월별변화요약!G9*분석13_월별변화요약!E9</f>
        <v>92573</v>
      </c>
      <c r="D72" s="57" t="n">
        <f aca="false">분석13_월별변화요약!E9</f>
        <v>1887446</v>
      </c>
    </row>
    <row r="73" customFormat="false" ht="15" hidden="false" customHeight="true" outlineLevel="0" collapsed="false">
      <c r="A73" s="67" t="s">
        <v>211</v>
      </c>
      <c r="B73" s="57" t="n">
        <f aca="false">분석13_월별변화요약!F10*분석13_월별변화요약!E10</f>
        <v>2154491</v>
      </c>
      <c r="C73" s="57" t="n">
        <f aca="false">분석13_월별변화요약!G10*분석13_월별변화요약!E10</f>
        <v>-2913985</v>
      </c>
      <c r="D73" s="57" t="n">
        <f aca="false">분석13_월별변화요약!E10</f>
        <v>-759494</v>
      </c>
    </row>
    <row r="74" customFormat="false" ht="15" hidden="false" customHeight="true" outlineLevel="0" collapsed="false">
      <c r="A74" s="67" t="s">
        <v>219</v>
      </c>
      <c r="B74" s="57" t="n">
        <f aca="false">분석13_월별변화요약!F11*분석13_월별변화요약!E11</f>
        <v>1106961</v>
      </c>
      <c r="C74" s="57" t="n">
        <f aca="false">분석13_월별변화요약!G11*분석13_월별변화요약!E11</f>
        <v>1385202</v>
      </c>
      <c r="D74" s="57" t="n">
        <f aca="false">분석13_월별변화요약!E11</f>
        <v>2492163</v>
      </c>
    </row>
    <row r="75" customFormat="false" ht="15" hidden="false" customHeight="true" outlineLevel="0" collapsed="false">
      <c r="A75" s="67" t="s">
        <v>228</v>
      </c>
      <c r="B75" s="57" t="n">
        <f aca="false">분석13_월별변화요약!F12*분석13_월별변화요약!E12</f>
        <v>2918165</v>
      </c>
      <c r="C75" s="57" t="n">
        <f aca="false">분석13_월별변화요약!G12*분석13_월별변화요약!E12</f>
        <v>347369</v>
      </c>
      <c r="D75" s="57" t="n">
        <f aca="false">분석13_월별변화요약!E12</f>
        <v>3265534</v>
      </c>
    </row>
    <row r="76" customFormat="false" ht="15" hidden="false" customHeight="true" outlineLevel="0" collapsed="false">
      <c r="A76" s="67" t="s">
        <v>236</v>
      </c>
      <c r="B76" s="57" t="n">
        <f aca="false">분석13_월별변화요약!F13*분석13_월별변화요약!E13</f>
        <v>2612607</v>
      </c>
      <c r="C76" s="57" t="n">
        <f aca="false">분석13_월별변화요약!G13*분석13_월별변화요약!E13</f>
        <v>-1996199</v>
      </c>
      <c r="D76" s="57" t="n">
        <f aca="false">분석13_월별변화요약!E13</f>
        <v>616408</v>
      </c>
    </row>
    <row r="77" customFormat="false" ht="15" hidden="false" customHeight="true" outlineLevel="0" collapsed="false">
      <c r="A77" s="67" t="s">
        <v>244</v>
      </c>
      <c r="B77" s="57" t="n">
        <f aca="false">분석13_월별변화요약!F14*분석13_월별변화요약!E14</f>
        <v>2894069</v>
      </c>
      <c r="C77" s="57" t="n">
        <f aca="false">분석13_월별변화요약!G14*분석13_월별변화요약!E14</f>
        <v>4465356</v>
      </c>
      <c r="D77" s="57" t="n">
        <f aca="false">분석13_월별변화요약!E14</f>
        <v>7359425</v>
      </c>
    </row>
    <row r="78" customFormat="false" ht="15" hidden="false" customHeight="true" outlineLevel="0" collapsed="false">
      <c r="A78" s="67" t="s">
        <v>252</v>
      </c>
      <c r="B78" s="57" t="n">
        <f aca="false">분석13_월별변화요약!F15*분석13_월별변화요약!E15</f>
        <v>2873052</v>
      </c>
      <c r="C78" s="57" t="n">
        <f aca="false">분석13_월별변화요약!G15*분석13_월별변화요약!E15</f>
        <v>-861666</v>
      </c>
      <c r="D78" s="57" t="n">
        <f aca="false">분석13_월별변화요약!E15</f>
        <v>2011386</v>
      </c>
    </row>
    <row r="79" customFormat="false" ht="15" hidden="false" customHeight="true" outlineLevel="0" collapsed="false">
      <c r="A79" s="67" t="s">
        <v>260</v>
      </c>
      <c r="B79" s="57" t="n">
        <f aca="false">분석13_월별변화요약!F16*분석13_월별변화요약!E16</f>
        <v>4969983</v>
      </c>
      <c r="C79" s="57" t="n">
        <f aca="false">분석13_월별변화요약!G16*분석13_월별변화요약!E16</f>
        <v>-505994</v>
      </c>
      <c r="D79" s="57" t="n">
        <f aca="false">분석13_월별변화요약!E16</f>
        <v>4463989</v>
      </c>
    </row>
    <row r="80" customFormat="false" ht="15" hidden="false" customHeight="true" outlineLevel="0" collapsed="false">
      <c r="A80" s="67" t="s">
        <v>268</v>
      </c>
      <c r="B80" s="57" t="n">
        <f aca="false">분석13_월별변화요약!F17*분석13_월별변화요약!E17</f>
        <v>7290363</v>
      </c>
      <c r="C80" s="57" t="n">
        <f aca="false">분석13_월별변화요약!G17*분석13_월별변화요약!E17</f>
        <v>864011</v>
      </c>
      <c r="D80" s="57" t="n">
        <f aca="false">분석13_월별변화요약!E17</f>
        <v>8154374</v>
      </c>
    </row>
    <row r="81" customFormat="false" ht="15" hidden="false" customHeight="true" outlineLevel="0" collapsed="false">
      <c r="A81" s="67" t="s">
        <v>276</v>
      </c>
      <c r="B81" s="57" t="n">
        <f aca="false">분석13_월별변화요약!F18*분석13_월별변화요약!E18</f>
        <v>12551392</v>
      </c>
      <c r="C81" s="57" t="n">
        <f aca="false">분석13_월별변화요약!G18*분석13_월별변화요약!E18</f>
        <v>4115561</v>
      </c>
      <c r="D81" s="57" t="n">
        <f aca="false">분석13_월별변화요약!E18</f>
        <v>16666953</v>
      </c>
    </row>
    <row r="82" customFormat="false" ht="15" hidden="false" customHeight="true" outlineLevel="0" collapsed="false">
      <c r="A82" s="67" t="s">
        <v>284</v>
      </c>
      <c r="B82" s="57" t="n">
        <f aca="false">분석13_월별변화요약!F19*분석13_월별변화요약!E19</f>
        <v>17336298</v>
      </c>
      <c r="C82" s="57" t="n">
        <f aca="false">분석13_월별변화요약!G19*분석13_월별변화요약!E19</f>
        <v>-1986052</v>
      </c>
      <c r="D82" s="57" t="n">
        <f aca="false">분석13_월별변화요약!E19</f>
        <v>15350246</v>
      </c>
    </row>
    <row r="83" customFormat="false" ht="15" hidden="false" customHeight="true" outlineLevel="0" collapsed="false">
      <c r="A83" s="67" t="s">
        <v>293</v>
      </c>
      <c r="B83" s="57" t="n">
        <f aca="false">분석13_월별변화요약!F20*분석13_월별변화요약!E20</f>
        <v>22626264</v>
      </c>
      <c r="C83" s="57" t="n">
        <f aca="false">분석13_월별변화요약!G20*분석13_월별변화요약!E20</f>
        <v>6642302</v>
      </c>
      <c r="D83" s="57" t="n">
        <f aca="false">분석13_월별변화요약!E20</f>
        <v>29268566</v>
      </c>
    </row>
    <row r="84" customFormat="false" ht="15" hidden="false" customHeight="true" outlineLevel="0" collapsed="false">
      <c r="A84" s="67" t="s">
        <v>301</v>
      </c>
      <c r="B84" s="57" t="n">
        <f aca="false">분석13_월별변화요약!F21*분석13_월별변화요약!E21</f>
        <v>23925004</v>
      </c>
      <c r="C84" s="57" t="n">
        <f aca="false">분석13_월별변화요약!G21*분석13_월별변화요약!E21</f>
        <v>3791134</v>
      </c>
      <c r="D84" s="57" t="n">
        <f aca="false">분석13_월별변화요약!E21</f>
        <v>27716138</v>
      </c>
    </row>
    <row r="85" customFormat="false" ht="15" hidden="false" customHeight="true" outlineLevel="0" collapsed="false">
      <c r="A85" s="67" t="s">
        <v>309</v>
      </c>
      <c r="B85" s="57" t="n">
        <f aca="false">분석13_월별변화요약!F22*분석13_월별변화요약!E22</f>
        <v>26811493</v>
      </c>
      <c r="C85" s="57" t="n">
        <f aca="false">분석13_월별변화요약!G22*분석13_월별변화요약!E22</f>
        <v>3503527</v>
      </c>
      <c r="D85" s="57" t="n">
        <f aca="false">분석13_월별변화요약!E22</f>
        <v>30315020</v>
      </c>
    </row>
    <row r="86" customFormat="false" ht="15" hidden="false" customHeight="true" outlineLevel="0" collapsed="false">
      <c r="A86" s="67" t="s">
        <v>317</v>
      </c>
      <c r="B86" s="57" t="n">
        <f aca="false">분석13_월별변화요약!F23*분석13_월별변화요약!E23</f>
        <v>35036410</v>
      </c>
      <c r="C86" s="57" t="n">
        <f aca="false">분석13_월별변화요약!G23*분석13_월별변화요약!E23</f>
        <v>7085952</v>
      </c>
      <c r="D86" s="57" t="n">
        <f aca="false">분석13_월별변화요약!E23</f>
        <v>42122362</v>
      </c>
    </row>
    <row r="87" customFormat="false" ht="15" hidden="false" customHeight="true" outlineLevel="0" collapsed="false">
      <c r="A87" s="67" t="s">
        <v>325</v>
      </c>
      <c r="B87" s="57" t="n">
        <f aca="false">분석13_월별변화요약!F24*분석13_월별변화요약!E24</f>
        <v>30943760</v>
      </c>
      <c r="C87" s="57" t="n">
        <f aca="false">분석13_월별변화요약!G24*분석13_월별변화요약!E24</f>
        <v>7291017</v>
      </c>
      <c r="D87" s="57" t="n">
        <f aca="false">분석13_월별변화요약!E24</f>
        <v>38234777</v>
      </c>
    </row>
  </sheetData>
  <mergeCells count="6">
    <mergeCell ref="A1:M1"/>
    <mergeCell ref="A2:M2"/>
    <mergeCell ref="A4:M4"/>
    <mergeCell ref="A29:M29"/>
    <mergeCell ref="A37:M37"/>
    <mergeCell ref="A67:M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5"/>
    <col collapsed="false" customWidth="true" hidden="false" outlineLevel="0" max="9" min="5" style="1" width="13"/>
  </cols>
  <sheetData>
    <row r="1" customFormat="false" ht="21.75" hidden="false" customHeight="true" outlineLevel="0" collapsed="false">
      <c r="A1" s="2" t="s">
        <v>20222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20223</v>
      </c>
      <c r="B2" s="3"/>
      <c r="C2" s="3"/>
      <c r="D2" s="3"/>
      <c r="E2" s="3"/>
      <c r="F2" s="3"/>
      <c r="G2" s="3"/>
      <c r="H2" s="3"/>
      <c r="I2" s="3"/>
    </row>
    <row r="4" customFormat="false" ht="14.25" hidden="false" customHeight="true" outlineLevel="0" collapsed="false">
      <c r="A4" s="23" t="s">
        <v>20224</v>
      </c>
      <c r="B4" s="23"/>
      <c r="C4" s="23"/>
      <c r="D4" s="23"/>
      <c r="E4" s="23"/>
      <c r="F4" s="23"/>
      <c r="G4" s="23"/>
      <c r="H4" s="23"/>
      <c r="I4" s="23"/>
    </row>
    <row r="5" customFormat="false" ht="15" hidden="false" customHeight="true" outlineLevel="0" collapsed="false">
      <c r="A5" s="5" t="s">
        <v>19674</v>
      </c>
      <c r="B5" s="44" t="s">
        <v>276</v>
      </c>
      <c r="C5" s="44" t="s">
        <v>284</v>
      </c>
      <c r="D5" s="44" t="s">
        <v>293</v>
      </c>
      <c r="E5" s="44" t="s">
        <v>301</v>
      </c>
      <c r="F5" s="44" t="s">
        <v>309</v>
      </c>
      <c r="G5" s="44" t="s">
        <v>317</v>
      </c>
      <c r="H5" s="44" t="s">
        <v>325</v>
      </c>
    </row>
    <row r="6" customFormat="false" ht="15" hidden="false" customHeight="true" outlineLevel="0" collapsed="false">
      <c r="A6" s="6" t="s">
        <v>19874</v>
      </c>
      <c r="B6" s="36" t="n">
        <f aca="false">분석5_반도체vs비반도체!N20</f>
        <v>0.338917754695977</v>
      </c>
      <c r="C6" s="36" t="n">
        <f aca="false">분석5_반도체vs비반도체!O20</f>
        <v>0.293546960192094</v>
      </c>
      <c r="D6" s="36" t="n">
        <f aca="false">분석5_반도체vs비반도체!P20</f>
        <v>0.504069349562992</v>
      </c>
      <c r="E6" s="36" t="n">
        <f aca="false">분석5_반도체vs비반도체!Q20</f>
        <v>0.477570125101349</v>
      </c>
      <c r="F6" s="36" t="n">
        <f aca="false">분석5_반도체vs비반도체!R20</f>
        <v>0.529417695232099</v>
      </c>
      <c r="G6" s="36" t="n">
        <f aca="false">분석5_반도체vs비반도체!S20</f>
        <v>0.70398945264998</v>
      </c>
      <c r="H6" s="36" t="n">
        <f aca="false">분석5_반도체vs비반도체!T20</f>
        <v>0.629645185663827</v>
      </c>
    </row>
    <row r="7" customFormat="false" ht="15" hidden="false" customHeight="true" outlineLevel="0" collapsed="false">
      <c r="A7" s="6" t="s">
        <v>19900</v>
      </c>
      <c r="B7" s="36" t="n">
        <f aca="false">분석5_반도체vs비반도체!N17</f>
        <v>0.87387941745791</v>
      </c>
      <c r="C7" s="36" t="n">
        <f aca="false">분석5_반도체vs비반도체!O17</f>
        <v>1.21695970139793</v>
      </c>
      <c r="D7" s="36" t="n">
        <f aca="false">분석5_반도체vs비반도체!P17</f>
        <v>1.24216499816856</v>
      </c>
      <c r="E7" s="36" t="n">
        <f aca="false">분석5_반도체vs비반도체!Q17</f>
        <v>1.45865030393573</v>
      </c>
      <c r="F7" s="36" t="n">
        <f aca="false">분석5_반도체vs비반도체!R17</f>
        <v>1.43016512766673</v>
      </c>
      <c r="G7" s="36" t="n">
        <f aca="false">분석5_반도체vs비반도체!S17</f>
        <v>1.77344742533484</v>
      </c>
      <c r="H7" s="36" t="n">
        <f aca="false">분석5_반도체vs비반도체!T17</f>
        <v>1.55884362970366</v>
      </c>
    </row>
    <row r="8" customFormat="false" ht="15" hidden="false" customHeight="true" outlineLevel="0" collapsed="false">
      <c r="A8" s="6" t="s">
        <v>20220</v>
      </c>
      <c r="B8" s="36" t="n">
        <f aca="false">분석5_반도체vs비반도체!N19</f>
        <v>0.11821520691218</v>
      </c>
      <c r="C8" s="36" t="n">
        <f aca="false">분석5_반도체vs비반도체!O19</f>
        <v>-0.0522003473624008</v>
      </c>
      <c r="D8" s="36" t="n">
        <f aca="false">분석5_반도체vs비반도체!P19</f>
        <v>0.166685211498157</v>
      </c>
      <c r="E8" s="36" t="n">
        <f aca="false">분석5_반도체vs비반도체!Q19</f>
        <v>0.0910594961141116</v>
      </c>
      <c r="F8" s="36" t="n">
        <f aca="false">분석5_반도체vs비반도체!R19</f>
        <v>0.0909677827753344</v>
      </c>
      <c r="G8" s="36" t="n">
        <f aca="false">분석5_반도체vs비반도체!S19</f>
        <v>0.176805382066144</v>
      </c>
      <c r="H8" s="36" t="n">
        <f aca="false">분석5_반도체vs비반도체!T19</f>
        <v>0.178378462090102</v>
      </c>
    </row>
    <row r="9" customFormat="false" ht="15" hidden="false" customHeight="true" outlineLevel="0" collapsed="false">
      <c r="A9" s="48" t="s">
        <v>19901</v>
      </c>
      <c r="B9" s="36" t="n">
        <f aca="false">분석5_반도체vs비반도체!N18</f>
        <v>0.727055033719935</v>
      </c>
      <c r="C9" s="36" t="n">
        <f aca="false">분석5_반도체vs비반도체!O18</f>
        <v>0.859156798154595</v>
      </c>
      <c r="D9" s="36" t="n">
        <f aca="false">분석5_반도체vs비반도체!P18</f>
        <v>0.96787713807326</v>
      </c>
      <c r="E9" s="36" t="n">
        <f aca="false">분석5_반도체vs비반도체!Q18</f>
        <v>1.1177624870716</v>
      </c>
      <c r="F9" s="36" t="n">
        <f aca="false">분석5_반도체vs비반도체!R18</f>
        <v>1.1388505659863</v>
      </c>
      <c r="G9" s="36" t="n">
        <f aca="false">분석5_반도체vs비반도체!S18</f>
        <v>1.36906317882046</v>
      </c>
      <c r="H9" s="36" t="n">
        <f aca="false">분석5_반도체vs비반도체!T18</f>
        <v>1.27200502534358</v>
      </c>
    </row>
    <row r="10" customFormat="false" ht="15" hidden="false" customHeight="true" outlineLevel="0" collapsed="false">
      <c r="A10" s="6" t="s">
        <v>20225</v>
      </c>
      <c r="B10" s="34" t="n">
        <f aca="false">분석5_반도체vs비반도체!N23</f>
        <v>0.753070582247397</v>
      </c>
      <c r="C10" s="34" t="n">
        <f aca="false">분석5_반도체vs비반도체!O23</f>
        <v>1.12938242162373</v>
      </c>
      <c r="D10" s="34" t="n">
        <f aca="false">분석5_반도체vs비반도체!P23</f>
        <v>0.773056800937907</v>
      </c>
      <c r="E10" s="34" t="n">
        <f aca="false">분석5_반도체vs비반도체!Q23</f>
        <v>0.863215647143913</v>
      </c>
      <c r="F10" s="34" t="n">
        <f aca="false">분석5_반도체vs비반도체!R23</f>
        <v>0.884429335689041</v>
      </c>
      <c r="G10" s="34" t="n">
        <f aca="false">분석5_반도체vs비반도체!S23</f>
        <v>0.831776954958034</v>
      </c>
      <c r="H10" s="34" t="n">
        <f aca="false">분석5_반도체vs비반도체!T23</f>
        <v>0.809309284058333</v>
      </c>
    </row>
    <row r="12" customFormat="false" ht="14.25" hidden="false" customHeight="true" outlineLevel="0" collapsed="false">
      <c r="A12" s="23" t="s">
        <v>20226</v>
      </c>
      <c r="B12" s="23"/>
      <c r="C12" s="23"/>
      <c r="D12" s="23"/>
      <c r="E12" s="23"/>
      <c r="F12" s="23"/>
      <c r="G12" s="23"/>
      <c r="H12" s="23"/>
      <c r="I12" s="23"/>
    </row>
    <row r="13" customFormat="false" ht="30" hidden="false" customHeight="true" outlineLevel="0" collapsed="false">
      <c r="A13" s="76" t="s">
        <v>20227</v>
      </c>
      <c r="B13" s="76"/>
      <c r="C13" s="76"/>
      <c r="D13" s="76"/>
      <c r="E13" s="76"/>
      <c r="F13" s="76"/>
      <c r="G13" s="76"/>
      <c r="H13" s="76"/>
      <c r="I13" s="76"/>
    </row>
    <row r="14" customFormat="false" ht="30" hidden="false" customHeight="true" outlineLevel="0" collapsed="false">
      <c r="A14" s="76" t="s">
        <v>20228</v>
      </c>
      <c r="B14" s="76"/>
      <c r="C14" s="76"/>
      <c r="D14" s="76"/>
      <c r="E14" s="76"/>
      <c r="F14" s="76"/>
      <c r="G14" s="76"/>
      <c r="H14" s="76"/>
      <c r="I14" s="76"/>
    </row>
    <row r="15" customFormat="false" ht="30" hidden="false" customHeight="true" outlineLevel="0" collapsed="false">
      <c r="A15" s="76" t="s">
        <v>20229</v>
      </c>
      <c r="B15" s="76"/>
      <c r="C15" s="76"/>
      <c r="D15" s="76"/>
      <c r="E15" s="76"/>
      <c r="F15" s="76"/>
      <c r="G15" s="76"/>
      <c r="H15" s="76"/>
      <c r="I15" s="76"/>
    </row>
    <row r="17" customFormat="false" ht="14.25" hidden="false" customHeight="true" outlineLevel="0" collapsed="false">
      <c r="A17" s="23" t="s">
        <v>20230</v>
      </c>
      <c r="B17" s="23"/>
      <c r="C17" s="23"/>
      <c r="D17" s="23"/>
      <c r="E17" s="23"/>
      <c r="F17" s="23"/>
      <c r="G17" s="23"/>
      <c r="H17" s="23"/>
      <c r="I17" s="23"/>
    </row>
    <row r="18" customFormat="false" ht="45" hidden="false" customHeight="true" outlineLevel="0" collapsed="false">
      <c r="A18" s="76" t="s">
        <v>20231</v>
      </c>
      <c r="B18" s="76"/>
      <c r="C18" s="76"/>
      <c r="D18" s="76"/>
      <c r="E18" s="76"/>
      <c r="F18" s="76"/>
      <c r="G18" s="76"/>
      <c r="H18" s="76"/>
      <c r="I18" s="76"/>
    </row>
    <row r="19" customFormat="false" ht="45" hidden="false" customHeight="true" outlineLevel="0" collapsed="false">
      <c r="A19" s="76" t="s">
        <v>20232</v>
      </c>
      <c r="B19" s="76"/>
      <c r="C19" s="76"/>
      <c r="D19" s="76"/>
      <c r="E19" s="76"/>
      <c r="F19" s="76"/>
      <c r="G19" s="76"/>
      <c r="H19" s="76"/>
      <c r="I19" s="76"/>
    </row>
    <row r="20" customFormat="false" ht="45" hidden="false" customHeight="true" outlineLevel="0" collapsed="false">
      <c r="A20" s="76" t="s">
        <v>20233</v>
      </c>
      <c r="B20" s="76"/>
      <c r="C20" s="76"/>
      <c r="D20" s="76"/>
      <c r="E20" s="76"/>
      <c r="F20" s="76"/>
      <c r="G20" s="76"/>
      <c r="H20" s="76"/>
      <c r="I20" s="76"/>
    </row>
    <row r="21" customFormat="false" ht="30" hidden="false" customHeight="true" outlineLevel="0" collapsed="false">
      <c r="A21" s="76" t="s">
        <v>20234</v>
      </c>
      <c r="B21" s="76"/>
      <c r="C21" s="76"/>
      <c r="D21" s="76"/>
      <c r="E21" s="76"/>
      <c r="F21" s="76"/>
      <c r="G21" s="76"/>
      <c r="H21" s="76"/>
      <c r="I21" s="76"/>
    </row>
    <row r="23" customFormat="false" ht="14.25" hidden="false" customHeight="true" outlineLevel="0" collapsed="false">
      <c r="A23" s="23" t="s">
        <v>20235</v>
      </c>
      <c r="B23" s="23"/>
      <c r="C23" s="23"/>
      <c r="D23" s="23"/>
      <c r="E23" s="23"/>
      <c r="F23" s="23"/>
      <c r="G23" s="23"/>
      <c r="H23" s="23"/>
      <c r="I23" s="23"/>
    </row>
    <row r="24" customFormat="false" ht="30" hidden="false" customHeight="true" outlineLevel="0" collapsed="false">
      <c r="A24" s="76" t="s">
        <v>20236</v>
      </c>
      <c r="B24" s="76"/>
      <c r="C24" s="76"/>
      <c r="D24" s="76"/>
      <c r="E24" s="76"/>
      <c r="F24" s="76"/>
      <c r="G24" s="76"/>
      <c r="H24" s="76"/>
      <c r="I24" s="76"/>
    </row>
    <row r="25" customFormat="false" ht="45" hidden="false" customHeight="true" outlineLevel="0" collapsed="false">
      <c r="A25" s="76" t="s">
        <v>20237</v>
      </c>
      <c r="B25" s="76"/>
      <c r="C25" s="76"/>
      <c r="D25" s="76"/>
      <c r="E25" s="76"/>
      <c r="F25" s="76"/>
      <c r="G25" s="76"/>
      <c r="H25" s="76"/>
      <c r="I25" s="76"/>
    </row>
    <row r="26" customFormat="false" ht="45" hidden="false" customHeight="true" outlineLevel="0" collapsed="false">
      <c r="A26" s="76" t="s">
        <v>20238</v>
      </c>
      <c r="B26" s="76"/>
      <c r="C26" s="76"/>
      <c r="D26" s="76"/>
      <c r="E26" s="76"/>
      <c r="F26" s="76"/>
      <c r="G26" s="76"/>
      <c r="H26" s="76"/>
      <c r="I26" s="76"/>
    </row>
    <row r="27" customFormat="false" ht="45" hidden="false" customHeight="true" outlineLevel="0" collapsed="false">
      <c r="A27" s="76" t="s">
        <v>20239</v>
      </c>
      <c r="B27" s="76"/>
      <c r="C27" s="76"/>
      <c r="D27" s="76"/>
      <c r="E27" s="76"/>
      <c r="F27" s="76"/>
      <c r="G27" s="76"/>
      <c r="H27" s="76"/>
      <c r="I27" s="76"/>
    </row>
    <row r="29" customFormat="false" ht="14.25" hidden="false" customHeight="true" outlineLevel="0" collapsed="false">
      <c r="A29" s="23" t="s">
        <v>20240</v>
      </c>
      <c r="B29" s="23"/>
      <c r="C29" s="23"/>
      <c r="D29" s="23"/>
      <c r="E29" s="23"/>
      <c r="F29" s="23"/>
      <c r="G29" s="23"/>
      <c r="H29" s="23"/>
      <c r="I29" s="23"/>
    </row>
    <row r="30" customFormat="false" ht="30" hidden="false" customHeight="true" outlineLevel="0" collapsed="false">
      <c r="A30" s="76" t="s">
        <v>20241</v>
      </c>
      <c r="B30" s="76"/>
      <c r="C30" s="76"/>
      <c r="D30" s="76"/>
      <c r="E30" s="76"/>
      <c r="F30" s="76"/>
      <c r="G30" s="76"/>
      <c r="H30" s="76"/>
      <c r="I30" s="76"/>
    </row>
    <row r="31" customFormat="false" ht="30" hidden="false" customHeight="true" outlineLevel="0" collapsed="false">
      <c r="A31" s="76" t="s">
        <v>20242</v>
      </c>
      <c r="B31" s="76"/>
      <c r="C31" s="76"/>
      <c r="D31" s="76"/>
      <c r="E31" s="76"/>
      <c r="F31" s="76"/>
      <c r="G31" s="76"/>
      <c r="H31" s="76"/>
      <c r="I31" s="76"/>
    </row>
    <row r="32" customFormat="false" ht="45" hidden="false" customHeight="true" outlineLevel="0" collapsed="false">
      <c r="A32" s="76" t="s">
        <v>20243</v>
      </c>
      <c r="B32" s="76"/>
      <c r="C32" s="76"/>
      <c r="D32" s="76"/>
      <c r="E32" s="76"/>
      <c r="F32" s="76"/>
      <c r="G32" s="76"/>
      <c r="H32" s="76"/>
      <c r="I32" s="76"/>
    </row>
    <row r="33" customFormat="false" ht="30" hidden="false" customHeight="true" outlineLevel="0" collapsed="false">
      <c r="A33" s="76" t="s">
        <v>20244</v>
      </c>
      <c r="B33" s="76"/>
      <c r="C33" s="76"/>
      <c r="D33" s="76"/>
      <c r="E33" s="76"/>
      <c r="F33" s="76"/>
      <c r="G33" s="76"/>
      <c r="H33" s="76"/>
      <c r="I33" s="76"/>
    </row>
    <row r="35" customFormat="false" ht="14.25" hidden="false" customHeight="true" outlineLevel="0" collapsed="false">
      <c r="A35" s="23" t="s">
        <v>20245</v>
      </c>
      <c r="B35" s="23"/>
      <c r="C35" s="23"/>
      <c r="D35" s="23"/>
      <c r="E35" s="23"/>
      <c r="F35" s="23"/>
      <c r="G35" s="23"/>
      <c r="H35" s="23"/>
      <c r="I35" s="23"/>
    </row>
    <row r="36" customFormat="false" ht="30" hidden="false" customHeight="true" outlineLevel="0" collapsed="false">
      <c r="A36" s="76" t="s">
        <v>20246</v>
      </c>
      <c r="B36" s="76"/>
      <c r="C36" s="76"/>
      <c r="D36" s="76"/>
      <c r="E36" s="76"/>
      <c r="F36" s="76"/>
      <c r="G36" s="76"/>
      <c r="H36" s="76"/>
      <c r="I36" s="76"/>
    </row>
    <row r="37" customFormat="false" ht="45" hidden="false" customHeight="true" outlineLevel="0" collapsed="false">
      <c r="A37" s="76" t="s">
        <v>20247</v>
      </c>
      <c r="B37" s="76"/>
      <c r="C37" s="76"/>
      <c r="D37" s="76"/>
      <c r="E37" s="76"/>
      <c r="F37" s="76"/>
      <c r="G37" s="76"/>
      <c r="H37" s="76"/>
      <c r="I37" s="76"/>
    </row>
    <row r="38" customFormat="false" ht="45" hidden="false" customHeight="true" outlineLevel="0" collapsed="false">
      <c r="A38" s="76" t="s">
        <v>20248</v>
      </c>
      <c r="B38" s="76"/>
      <c r="C38" s="76"/>
      <c r="D38" s="76"/>
      <c r="E38" s="76"/>
      <c r="F38" s="76"/>
      <c r="G38" s="76"/>
      <c r="H38" s="76"/>
      <c r="I38" s="76"/>
    </row>
    <row r="39" customFormat="false" ht="45" hidden="false" customHeight="true" outlineLevel="0" collapsed="false">
      <c r="A39" s="76" t="s">
        <v>20249</v>
      </c>
      <c r="B39" s="76"/>
      <c r="C39" s="76"/>
      <c r="D39" s="76"/>
      <c r="E39" s="76"/>
      <c r="F39" s="76"/>
      <c r="G39" s="76"/>
      <c r="H39" s="76"/>
      <c r="I39" s="76"/>
    </row>
    <row r="40" customFormat="false" ht="45" hidden="false" customHeight="true" outlineLevel="0" collapsed="false">
      <c r="A40" s="76" t="s">
        <v>20250</v>
      </c>
      <c r="B40" s="76"/>
      <c r="C40" s="76"/>
      <c r="D40" s="76"/>
      <c r="E40" s="76"/>
      <c r="F40" s="76"/>
      <c r="G40" s="76"/>
      <c r="H40" s="76"/>
      <c r="I40" s="76"/>
    </row>
    <row r="42" customFormat="false" ht="14.25" hidden="false" customHeight="true" outlineLevel="0" collapsed="false">
      <c r="A42" s="23" t="s">
        <v>20251</v>
      </c>
      <c r="B42" s="23"/>
      <c r="C42" s="23"/>
      <c r="D42" s="23"/>
      <c r="E42" s="23"/>
      <c r="F42" s="23"/>
      <c r="G42" s="23"/>
      <c r="H42" s="23"/>
      <c r="I42" s="23"/>
    </row>
    <row r="43" customFormat="false" ht="30" hidden="false" customHeight="true" outlineLevel="0" collapsed="false">
      <c r="A43" s="76" t="s">
        <v>20252</v>
      </c>
      <c r="B43" s="76"/>
      <c r="C43" s="76"/>
      <c r="D43" s="76"/>
      <c r="E43" s="76"/>
      <c r="F43" s="76"/>
      <c r="G43" s="76"/>
      <c r="H43" s="76"/>
      <c r="I43" s="76"/>
    </row>
    <row r="44" customFormat="false" ht="45" hidden="false" customHeight="true" outlineLevel="0" collapsed="false">
      <c r="A44" s="76" t="s">
        <v>20253</v>
      </c>
      <c r="B44" s="76"/>
      <c r="C44" s="76"/>
      <c r="D44" s="76"/>
      <c r="E44" s="76"/>
      <c r="F44" s="76"/>
      <c r="G44" s="76"/>
      <c r="H44" s="76"/>
      <c r="I44" s="76"/>
    </row>
    <row r="45" customFormat="false" ht="45" hidden="false" customHeight="true" outlineLevel="0" collapsed="false">
      <c r="A45" s="76" t="s">
        <v>20254</v>
      </c>
      <c r="B45" s="76"/>
      <c r="C45" s="76"/>
      <c r="D45" s="76"/>
      <c r="E45" s="76"/>
      <c r="F45" s="76"/>
      <c r="G45" s="76"/>
      <c r="H45" s="76"/>
      <c r="I45" s="76"/>
    </row>
    <row r="47" customFormat="false" ht="14.25" hidden="false" customHeight="true" outlineLevel="0" collapsed="false">
      <c r="A47" s="23" t="s">
        <v>20255</v>
      </c>
      <c r="B47" s="23"/>
      <c r="C47" s="23"/>
      <c r="D47" s="23"/>
      <c r="E47" s="23"/>
      <c r="F47" s="23"/>
      <c r="G47" s="23"/>
      <c r="H47" s="23"/>
      <c r="I47" s="23"/>
    </row>
    <row r="48" customFormat="false" ht="30" hidden="false" customHeight="true" outlineLevel="0" collapsed="false">
      <c r="A48" s="76" t="s">
        <v>20256</v>
      </c>
      <c r="B48" s="76"/>
      <c r="C48" s="76"/>
      <c r="D48" s="76"/>
      <c r="E48" s="76"/>
      <c r="F48" s="76"/>
      <c r="G48" s="76"/>
      <c r="H48" s="76"/>
      <c r="I48" s="76"/>
    </row>
    <row r="49" customFormat="false" ht="30" hidden="false" customHeight="true" outlineLevel="0" collapsed="false">
      <c r="A49" s="76" t="s">
        <v>20257</v>
      </c>
      <c r="B49" s="76"/>
      <c r="C49" s="76"/>
      <c r="D49" s="76"/>
      <c r="E49" s="76"/>
      <c r="F49" s="76"/>
      <c r="G49" s="76"/>
      <c r="H49" s="76"/>
      <c r="I49" s="76"/>
    </row>
    <row r="50" customFormat="false" ht="30" hidden="false" customHeight="true" outlineLevel="0" collapsed="false">
      <c r="A50" s="76" t="s">
        <v>20258</v>
      </c>
      <c r="B50" s="76"/>
      <c r="C50" s="76"/>
      <c r="D50" s="76"/>
      <c r="E50" s="76"/>
      <c r="F50" s="76"/>
      <c r="G50" s="76"/>
      <c r="H50" s="76"/>
      <c r="I50" s="76"/>
    </row>
    <row r="51" customFormat="false" ht="30" hidden="false" customHeight="true" outlineLevel="0" collapsed="false">
      <c r="A51" s="76" t="s">
        <v>20259</v>
      </c>
      <c r="B51" s="76"/>
      <c r="C51" s="76"/>
      <c r="D51" s="76"/>
      <c r="E51" s="76"/>
      <c r="F51" s="76"/>
      <c r="G51" s="76"/>
      <c r="H51" s="76"/>
      <c r="I51" s="76"/>
    </row>
    <row r="52" customFormat="false" ht="30" hidden="false" customHeight="true" outlineLevel="0" collapsed="false">
      <c r="A52" s="76" t="s">
        <v>20260</v>
      </c>
      <c r="B52" s="76"/>
      <c r="C52" s="76"/>
      <c r="D52" s="76"/>
      <c r="E52" s="76"/>
      <c r="F52" s="76"/>
      <c r="G52" s="76"/>
      <c r="H52" s="76"/>
      <c r="I52" s="76"/>
    </row>
    <row r="53" customFormat="false" ht="15.75" hidden="false" customHeight="true" outlineLevel="0" collapsed="false">
      <c r="A53" s="76" t="s">
        <v>20261</v>
      </c>
      <c r="B53" s="76"/>
      <c r="C53" s="76"/>
      <c r="D53" s="76"/>
      <c r="E53" s="76"/>
      <c r="F53" s="76"/>
      <c r="G53" s="76"/>
      <c r="H53" s="76"/>
      <c r="I53" s="76"/>
    </row>
    <row r="55" customFormat="false" ht="15" hidden="false" customHeight="true" outlineLevel="0" collapsed="false">
      <c r="A55" s="3" t="s">
        <v>20262</v>
      </c>
      <c r="B55" s="3"/>
      <c r="C55" s="3"/>
      <c r="D55" s="3"/>
      <c r="E55" s="3"/>
      <c r="F55" s="3"/>
      <c r="G55" s="3"/>
      <c r="H55" s="3"/>
      <c r="I55" s="3"/>
    </row>
  </sheetData>
  <mergeCells count="40">
    <mergeCell ref="A1:I1"/>
    <mergeCell ref="A2:I2"/>
    <mergeCell ref="A4:I4"/>
    <mergeCell ref="A12:I12"/>
    <mergeCell ref="A13:I13"/>
    <mergeCell ref="A14:I14"/>
    <mergeCell ref="A15:I15"/>
    <mergeCell ref="A17:I17"/>
    <mergeCell ref="A18:I18"/>
    <mergeCell ref="A19:I19"/>
    <mergeCell ref="A20:I20"/>
    <mergeCell ref="A21:I21"/>
    <mergeCell ref="A23:I23"/>
    <mergeCell ref="A24:I24"/>
    <mergeCell ref="A25:I25"/>
    <mergeCell ref="A26:I26"/>
    <mergeCell ref="A27:I27"/>
    <mergeCell ref="A29:I29"/>
    <mergeCell ref="A30:I30"/>
    <mergeCell ref="A31:I31"/>
    <mergeCell ref="A32:I32"/>
    <mergeCell ref="A33:I33"/>
    <mergeCell ref="A35:I35"/>
    <mergeCell ref="A36:I36"/>
    <mergeCell ref="A37:I37"/>
    <mergeCell ref="A38:I38"/>
    <mergeCell ref="A39:I39"/>
    <mergeCell ref="A40:I40"/>
    <mergeCell ref="A42:I42"/>
    <mergeCell ref="A43:I43"/>
    <mergeCell ref="A44:I44"/>
    <mergeCell ref="A45:I45"/>
    <mergeCell ref="A47:I47"/>
    <mergeCell ref="A48:I48"/>
    <mergeCell ref="A49:I49"/>
    <mergeCell ref="A50:I50"/>
    <mergeCell ref="A51:I51"/>
    <mergeCell ref="A52:I52"/>
    <mergeCell ref="A53:I53"/>
    <mergeCell ref="A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4" min="3" style="1" width="9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13"/>
    <col collapsed="false" customWidth="true" hidden="false" outlineLevel="0" max="12" min="12" style="1" width="16"/>
    <col collapsed="false" customWidth="true" hidden="false" outlineLevel="0" max="13" min="13" style="1" width="13"/>
    <col collapsed="false" customWidth="true" hidden="false" outlineLevel="0" max="14" min="14" style="1" width="16"/>
    <col collapsed="false" customWidth="true" hidden="false" outlineLevel="0" max="15" min="15" style="1" width="13"/>
    <col collapsed="false" customWidth="true" hidden="false" outlineLevel="0" max="16" min="16" style="1" width="16"/>
    <col collapsed="false" customWidth="true" hidden="false" outlineLevel="0" max="17" min="17" style="1" width="13"/>
    <col collapsed="false" customWidth="true" hidden="false" outlineLevel="0" max="18" min="18" style="1" width="16"/>
    <col collapsed="false" customWidth="true" hidden="false" outlineLevel="0" max="19" min="19" style="1" width="13"/>
    <col collapsed="false" customWidth="true" hidden="false" outlineLevel="0" max="20" min="20" style="1" width="52"/>
  </cols>
  <sheetData>
    <row r="1" customFormat="false" ht="21.75" hidden="false" customHeight="true" outlineLevel="0" collapsed="false">
      <c r="A1" s="2" t="s">
        <v>20263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true" outlineLevel="0" collapsed="false">
      <c r="A2" s="3" t="s">
        <v>20264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" hidden="false" customHeight="true" outlineLevel="0" collapsed="false">
      <c r="A3" s="3" t="s">
        <v>20265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customFormat="false" ht="30" hidden="false" customHeight="true" outlineLevel="0" collapsed="false">
      <c r="A5" s="5" t="s">
        <v>56</v>
      </c>
      <c r="B5" s="5" t="s">
        <v>60</v>
      </c>
      <c r="C5" s="44" t="s">
        <v>19728</v>
      </c>
      <c r="D5" s="44" t="s">
        <v>19726</v>
      </c>
      <c r="E5" s="5" t="s">
        <v>20221</v>
      </c>
      <c r="F5" s="5" t="s">
        <v>20266</v>
      </c>
      <c r="G5" s="5" t="s">
        <v>20267</v>
      </c>
      <c r="H5" s="5" t="s">
        <v>20268</v>
      </c>
      <c r="I5" s="44" t="s">
        <v>20269</v>
      </c>
      <c r="J5" s="5" t="s">
        <v>20270</v>
      </c>
      <c r="K5" s="44" t="s">
        <v>20269</v>
      </c>
      <c r="L5" s="5" t="s">
        <v>20271</v>
      </c>
      <c r="M5" s="44" t="s">
        <v>20269</v>
      </c>
      <c r="N5" s="5" t="s">
        <v>20272</v>
      </c>
      <c r="O5" s="44" t="s">
        <v>20269</v>
      </c>
      <c r="P5" s="5" t="s">
        <v>20273</v>
      </c>
      <c r="Q5" s="44" t="s">
        <v>20269</v>
      </c>
      <c r="R5" s="5" t="s">
        <v>20274</v>
      </c>
      <c r="S5" s="44" t="s">
        <v>20269</v>
      </c>
      <c r="T5" s="5" t="s">
        <v>20275</v>
      </c>
    </row>
    <row r="6" customFormat="false" ht="31.5" hidden="false" customHeight="true" outlineLevel="0" collapsed="false">
      <c r="A6" s="33" t="s">
        <v>179</v>
      </c>
      <c r="B6" s="25" t="n">
        <f aca="false">분석2_월별추이!E17</f>
        <v>49176984</v>
      </c>
      <c r="C6" s="36" t="n">
        <f aca="false">분석2_월별추이!J17</f>
        <v>-0.101130632427745</v>
      </c>
      <c r="D6" s="36" t="n">
        <f aca="false">분석2_월별추이!H17</f>
        <v>-0.198540008230218</v>
      </c>
      <c r="E6" s="25" t="n">
        <f aca="false">분석2_월별추이!E17-분석2_월별추이!E5</f>
        <v>-5532839</v>
      </c>
      <c r="F6" s="34" t="n">
        <f aca="false">IFERROR((분석5_반도체vs비반도체!N8-분석5_반도체vs비반도체!B8)/E6,"-")</f>
        <v>-0.0619296892607936</v>
      </c>
      <c r="G6" s="34" t="n">
        <f aca="false">IFERROR((분석5_반도체vs비반도체!N11-분석5_반도체vs비반도체!B11)/E6,"-")</f>
        <v>1.06192968926079</v>
      </c>
      <c r="H6" s="46" t="s">
        <v>20276</v>
      </c>
      <c r="I6" s="57" t="n">
        <f aca="false">분석4B_월별매트릭스!O92-분석4B_월별매트릭스!C92</f>
        <v>195253</v>
      </c>
      <c r="J6" s="46" t="s">
        <v>20202</v>
      </c>
      <c r="K6" s="57" t="n">
        <f aca="false">분석4B_월별매트릭스!O35-분석4B_월별매트릭스!C35</f>
        <v>125395</v>
      </c>
      <c r="L6" s="46" t="s">
        <v>20277</v>
      </c>
      <c r="M6" s="57" t="n">
        <f aca="false">분석4B_월별매트릭스!O76-분석4B_월별매트릭스!C76</f>
        <v>35292</v>
      </c>
      <c r="N6" s="46" t="s">
        <v>20278</v>
      </c>
      <c r="O6" s="57" t="n">
        <f aca="false">분석4B_월별매트릭스!O91-분석4B_월별매트릭스!C91</f>
        <v>-1573406</v>
      </c>
      <c r="P6" s="46" t="s">
        <v>20279</v>
      </c>
      <c r="Q6" s="57" t="n">
        <f aca="false">분석4B_월별매트릭스!O32-분석4B_월별매트릭스!C32</f>
        <v>-1358636</v>
      </c>
      <c r="R6" s="46" t="s">
        <v>20280</v>
      </c>
      <c r="S6" s="57" t="n">
        <f aca="false">분석4B_월별매트릭스!O89-분석4B_월별매트릭스!C89</f>
        <v>-588759</v>
      </c>
      <c r="T6" s="77" t="str">
        <f aca="false">IF(C6&gt;0.5,"전년 대비 큰 폭 증가. ",IF(C6&gt;0.1,"전년 대비 뚜렷한 증가. ",IF(C6&gt;0,"전년 대비 소폭 증가. ",IF(C6&gt;-0.1,"전년 대비 소폭 감소. ","전년 대비 뚜렷한 감소. "))))&amp;IF(D6&gt;0,"전월보다도 늘었다. ","전월보다는 줄었다. ")&amp;IF(AND(E6&gt;0,F6&gt;0.7),"증가의 대부분(70% 이상)을 반도체가 만들었다. ",IF(AND(E6&gt;0,F6&gt;0.4),"반도체가 증가의 절반 안팎을 만들었다. ",IF(AND(E6&gt;0,F6&lt;=0.4),"반도체 외 품목의 기여가 더 컸다. ","")))&amp;"주도 품목은 "&amp;H6&amp;"("&amp;TEXT(I6,"#,##0")&amp;"). "&amp;IF(O6&lt;0,"반대로 "&amp;N6&amp;"("&amp;TEXT(O6,"#,##0")&amp;")가 가장 크게 줄었다.","")</f>
        <v>전년 대비 뚜렷한 감소. 전월보다는 줄었다. 주도 품목은 88. 항공기와 우주선, 이들(195,253). 반대로 87. 철도용이나 궤도용 외의(-1,573,406)가 가장 크게 줄었다.</v>
      </c>
    </row>
    <row r="7" customFormat="false" ht="31.5" hidden="false" customHeight="true" outlineLevel="0" collapsed="false">
      <c r="A7" s="33" t="s">
        <v>187</v>
      </c>
      <c r="B7" s="25" t="n">
        <f aca="false">분석2_월별추이!E18</f>
        <v>52292301</v>
      </c>
      <c r="C7" s="36" t="n">
        <f aca="false">분석2_월별추이!J18</f>
        <v>0.00414604391740681</v>
      </c>
      <c r="D7" s="36" t="n">
        <f aca="false">분석2_월별추이!H18</f>
        <v>0.0633490862310711</v>
      </c>
      <c r="E7" s="25" t="n">
        <f aca="false">분석2_월별추이!E18-분석2_월별추이!E6</f>
        <v>215911</v>
      </c>
      <c r="F7" s="34" t="n">
        <f aca="false">IFERROR((분석5_반도체vs비반도체!O8-분석5_반도체vs비반도체!C8)/E7,"-")</f>
        <v>0.461000134314602</v>
      </c>
      <c r="G7" s="34" t="n">
        <f aca="false">IFERROR((분석5_반도체vs비반도체!O11-분석5_반도체vs비반도체!C11)/E7,"-")</f>
        <v>0.538999865685398</v>
      </c>
      <c r="H7" s="46" t="s">
        <v>20278</v>
      </c>
      <c r="I7" s="57" t="n">
        <f aca="false">분석4B_월별매트릭스!P91-분석4B_월별매트릭스!D91</f>
        <v>811116</v>
      </c>
      <c r="J7" s="46" t="s">
        <v>20281</v>
      </c>
      <c r="K7" s="57" t="n">
        <f aca="false">분석4B_월별매트릭스!P97-분석4B_월별매트릭스!D97</f>
        <v>209393</v>
      </c>
      <c r="L7" s="46" t="s">
        <v>20277</v>
      </c>
      <c r="M7" s="57" t="n">
        <f aca="false">분석4B_월별매트릭스!P76-분석4B_월별매트릭스!D76</f>
        <v>175742</v>
      </c>
      <c r="N7" s="46" t="s">
        <v>20279</v>
      </c>
      <c r="O7" s="57" t="n">
        <f aca="false">분석4B_월별매트릭스!P32-분석4B_월별매트릭스!D32</f>
        <v>-516548</v>
      </c>
      <c r="P7" s="46" t="s">
        <v>20282</v>
      </c>
      <c r="Q7" s="57" t="n">
        <f aca="false">분석4B_월별매트릭스!P33-분석4B_월별매트릭스!D33</f>
        <v>-226561</v>
      </c>
      <c r="R7" s="46" t="s">
        <v>20197</v>
      </c>
      <c r="S7" s="57" t="n">
        <f aca="false">분석4B_월별매트릭스!P93-분석4B_월별매트릭스!D93</f>
        <v>-175031</v>
      </c>
      <c r="T7" s="77" t="str">
        <f aca="false">IF(C7&gt;0.5,"전년 대비 큰 폭 증가. ",IF(C7&gt;0.1,"전년 대비 뚜렷한 증가. ",IF(C7&gt;0,"전년 대비 소폭 증가. ",IF(C7&gt;-0.1,"전년 대비 소폭 감소. ","전년 대비 뚜렷한 감소. "))))&amp;IF(D7&gt;0,"전월보다도 늘었다. ","전월보다는 줄었다. ")&amp;IF(AND(E7&gt;0,F7&gt;0.7),"증가의 대부분(70% 이상)을 반도체가 만들었다. ",IF(AND(E7&gt;0,F7&gt;0.4),"반도체가 증가의 절반 안팎을 만들었다. ",IF(AND(E7&gt;0,F7&lt;=0.4),"반도체 외 품목의 기여가 더 컸다. ","")))&amp;"주도 품목은 "&amp;H7&amp;"("&amp;TEXT(I7,"#,##0")&amp;"). "&amp;IF(O7&lt;0,"반대로 "&amp;N7&amp;"("&amp;TEXT(O7,"#,##0")&amp;")가 가장 크게 줄었다.","")</f>
        <v>전년 대비 소폭 증가. 전월보다도 늘었다. 반도체가 증가의 절반 안팎을 만들었다. 주도 품목은 87. 철도용이나 궤도용 외의(811,116). 반대로 27. 광물성 연료ㆍ광물유(鑛(-516,548)가 가장 크게 줄었다.</v>
      </c>
    </row>
    <row r="8" customFormat="false" ht="31.5" hidden="false" customHeight="true" outlineLevel="0" collapsed="false">
      <c r="A8" s="33" t="s">
        <v>195</v>
      </c>
      <c r="B8" s="25" t="n">
        <f aca="false">분석2_월별추이!E19</f>
        <v>58064562</v>
      </c>
      <c r="C8" s="36" t="n">
        <f aca="false">분석2_월별추이!J19</f>
        <v>0.0273584441459493</v>
      </c>
      <c r="D8" s="36" t="n">
        <f aca="false">분석2_월별추이!H19</f>
        <v>0.110384528689988</v>
      </c>
      <c r="E8" s="25" t="n">
        <f aca="false">분석2_월별추이!E19-분석2_월별추이!E7</f>
        <v>1546253</v>
      </c>
      <c r="F8" s="34" t="n">
        <f aca="false">IFERROR((분석5_반도체vs비반도체!P8-분석5_반도체vs비반도체!D8)/E8,"-")</f>
        <v>1.21732730672147</v>
      </c>
      <c r="G8" s="34" t="n">
        <f aca="false">IFERROR((분석5_반도체vs비반도체!P11-분석5_반도체vs비반도체!D11)/E8,"-")</f>
        <v>-0.217327306721474</v>
      </c>
      <c r="H8" s="46" t="s">
        <v>20280</v>
      </c>
      <c r="I8" s="57" t="n">
        <f aca="false">분석4B_월별매트릭스!Q89-분석4B_월별매트릭스!E89</f>
        <v>1462535</v>
      </c>
      <c r="J8" s="46" t="s">
        <v>20197</v>
      </c>
      <c r="K8" s="57" t="n">
        <f aca="false">분석4B_월별매트릭스!Q93-분석4B_월별매트릭스!E93</f>
        <v>1057409</v>
      </c>
      <c r="L8" s="46" t="s">
        <v>20283</v>
      </c>
      <c r="M8" s="57" t="n">
        <f aca="false">분석4B_월별매트릭스!Q88-분석4B_월별매트릭스!E88</f>
        <v>402285</v>
      </c>
      <c r="N8" s="46" t="s">
        <v>20279</v>
      </c>
      <c r="O8" s="57" t="n">
        <f aca="false">분석4B_월별매트릭스!Q32-분석4B_월별매트릭스!E32</f>
        <v>-1412143</v>
      </c>
      <c r="P8" s="46" t="s">
        <v>20284</v>
      </c>
      <c r="Q8" s="57" t="n">
        <f aca="false">분석4B_월별매트릭스!Q77-분석4B_월별매트릭스!E77</f>
        <v>-306359</v>
      </c>
      <c r="R8" s="46" t="s">
        <v>20204</v>
      </c>
      <c r="S8" s="57" t="n">
        <f aca="false">분석4B_월별매트릭스!Q34-분석4B_월별매트릭스!E34</f>
        <v>-278290</v>
      </c>
      <c r="T8" s="77" t="str">
        <f aca="false">IF(C8&gt;0.5,"전년 대비 큰 폭 증가. ",IF(C8&gt;0.1,"전년 대비 뚜렷한 증가. ",IF(C8&gt;0,"전년 대비 소폭 증가. ",IF(C8&gt;-0.1,"전년 대비 소폭 감소. ","전년 대비 뚜렷한 감소. "))))&amp;IF(D8&gt;0,"전월보다도 늘었다. ","전월보다는 줄었다. ")&amp;IF(AND(E8&gt;0,F8&gt;0.7),"증가의 대부분(70% 이상)을 반도체가 만들었다. ",IF(AND(E8&gt;0,F8&gt;0.4),"반도체가 증가의 절반 안팎을 만들었다. ",IF(AND(E8&gt;0,F8&lt;=0.4),"반도체 외 품목의 기여가 더 컸다. ","")))&amp;"주도 품목은 "&amp;H8&amp;"("&amp;TEXT(I8,"#,##0")&amp;"). "&amp;IF(O8&lt;0,"반대로 "&amp;N8&amp;"("&amp;TEXT(O8,"#,##0")&amp;")가 가장 크게 줄었다.","")</f>
        <v>전년 대비 소폭 증가. 전월보다도 늘었다. 증가의 대부분(70% 이상)을 반도체가 만들었다. 주도 품목은 85. 전기기기와 그 부분품,(1,462,535). 반대로 27. 광물성 연료ㆍ광물유(鑛(-1,412,143)가 가장 크게 줄었다.</v>
      </c>
    </row>
    <row r="9" customFormat="false" ht="31.5" hidden="false" customHeight="true" outlineLevel="0" collapsed="false">
      <c r="A9" s="33" t="s">
        <v>203</v>
      </c>
      <c r="B9" s="25" t="n">
        <f aca="false">분석2_월별추이!E20</f>
        <v>58035745</v>
      </c>
      <c r="C9" s="36" t="n">
        <f aca="false">분석2_월별추이!J20</f>
        <v>0.0336153727470889</v>
      </c>
      <c r="D9" s="36" t="n">
        <f aca="false">분석2_월별추이!H20</f>
        <v>-0.000496292385706809</v>
      </c>
      <c r="E9" s="25" t="n">
        <f aca="false">분석2_월별추이!E20-분석2_월별추이!E8</f>
        <v>1887446</v>
      </c>
      <c r="F9" s="34" t="n">
        <f aca="false">IFERROR((분석5_반도체vs비반도체!Q8-분석5_반도체vs비반도체!E8)/E9,"-")</f>
        <v>0.950953298796363</v>
      </c>
      <c r="G9" s="34" t="n">
        <f aca="false">IFERROR((분석5_반도체vs비반도체!Q11-분석5_반도체vs비반도체!E11)/E9,"-")</f>
        <v>0.0490467012036371</v>
      </c>
      <c r="H9" s="46" t="s">
        <v>20280</v>
      </c>
      <c r="I9" s="57" t="n">
        <f aca="false">분석4B_월별매트릭스!R89-분석4B_월별매트릭스!F89</f>
        <v>1510482</v>
      </c>
      <c r="J9" s="46" t="s">
        <v>20283</v>
      </c>
      <c r="K9" s="57" t="n">
        <f aca="false">분석4B_월별매트릭스!R88-분석4B_월별매트릭스!F88</f>
        <v>429548</v>
      </c>
      <c r="L9" s="46" t="s">
        <v>20197</v>
      </c>
      <c r="M9" s="57" t="n">
        <f aca="false">분석4B_월별매트릭스!R93-분석4B_월별매트릭스!F93</f>
        <v>248397</v>
      </c>
      <c r="N9" s="46" t="s">
        <v>20279</v>
      </c>
      <c r="O9" s="57" t="n">
        <f aca="false">분석4B_월별매트릭스!R32-분석4B_월별매트릭스!F32</f>
        <v>-681061</v>
      </c>
      <c r="P9" s="46" t="s">
        <v>20204</v>
      </c>
      <c r="Q9" s="57" t="n">
        <f aca="false">분석4B_월별매트릭스!R34-분석4B_월별매트릭스!F34</f>
        <v>-478655</v>
      </c>
      <c r="R9" s="46" t="s">
        <v>20282</v>
      </c>
      <c r="S9" s="57" t="n">
        <f aca="false">분석4B_월별매트릭스!R33-분석4B_월별매트릭스!F33</f>
        <v>-134873</v>
      </c>
      <c r="T9" s="77" t="str">
        <f aca="false">IF(C9&gt;0.5,"전년 대비 큰 폭 증가. ",IF(C9&gt;0.1,"전년 대비 뚜렷한 증가. ",IF(C9&gt;0,"전년 대비 소폭 증가. ",IF(C9&gt;-0.1,"전년 대비 소폭 감소. ","전년 대비 뚜렷한 감소. "))))&amp;IF(D9&gt;0,"전월보다도 늘었다. ","전월보다는 줄었다. ")&amp;IF(AND(E9&gt;0,F9&gt;0.7),"증가의 대부분(70% 이상)을 반도체가 만들었다. ",IF(AND(E9&gt;0,F9&gt;0.4),"반도체가 증가의 절반 안팎을 만들었다. ",IF(AND(E9&gt;0,F9&lt;=0.4),"반도체 외 품목의 기여가 더 컸다. ","")))&amp;"주도 품목은 "&amp;H9&amp;"("&amp;TEXT(I9,"#,##0")&amp;"). "&amp;IF(O9&lt;0,"반대로 "&amp;N9&amp;"("&amp;TEXT(O9,"#,##0")&amp;")가 가장 크게 줄었다.","")</f>
        <v>전년 대비 소폭 증가. 전월보다는 줄었다. 증가의 대부분(70% 이상)을 반도체가 만들었다. 주도 품목은 85. 전기기기와 그 부분품,(1,510,482). 반대로 27. 광물성 연료ㆍ광물유(鑛(-681,061)가 가장 크게 줄었다.</v>
      </c>
    </row>
    <row r="10" customFormat="false" ht="31.5" hidden="false" customHeight="true" outlineLevel="0" collapsed="false">
      <c r="A10" s="33" t="s">
        <v>211</v>
      </c>
      <c r="B10" s="25" t="n">
        <f aca="false">분석2_월별추이!E21</f>
        <v>57261063</v>
      </c>
      <c r="C10" s="36" t="n">
        <f aca="false">분석2_월별추이!J21</f>
        <v>-0.0130900846057028</v>
      </c>
      <c r="D10" s="36" t="n">
        <f aca="false">분석2_월별추이!H21</f>
        <v>-0.0133483597048681</v>
      </c>
      <c r="E10" s="25" t="n">
        <f aca="false">분석2_월별추이!E21-분석2_월별추이!E9</f>
        <v>-759494</v>
      </c>
      <c r="F10" s="34" t="n">
        <f aca="false">IFERROR((분석5_반도체vs비반도체!R8-분석5_반도체vs비반도체!F8)/E10,"-")</f>
        <v>-2.83674525407706</v>
      </c>
      <c r="G10" s="34" t="n">
        <f aca="false">IFERROR((분석5_반도체vs비반도체!R11-분석5_반도체vs비반도체!F11)/E10,"-")</f>
        <v>3.83674525407706</v>
      </c>
      <c r="H10" s="46" t="s">
        <v>20280</v>
      </c>
      <c r="I10" s="57" t="n">
        <f aca="false">분석4B_월별매트릭스!S89-분석4B_월별매트릭스!G89</f>
        <v>1396853</v>
      </c>
      <c r="J10" s="46" t="s">
        <v>20281</v>
      </c>
      <c r="K10" s="57" t="n">
        <f aca="false">분석4B_월별매트릭스!S97-분석4B_월별매트릭스!G97</f>
        <v>204142</v>
      </c>
      <c r="L10" s="46" t="s">
        <v>20276</v>
      </c>
      <c r="M10" s="57" t="n">
        <f aca="false">분석4B_월별매트릭스!S92-분석4B_월별매트릭스!G92</f>
        <v>192531</v>
      </c>
      <c r="N10" s="46" t="s">
        <v>20279</v>
      </c>
      <c r="O10" s="57" t="n">
        <f aca="false">분석4B_월별매트릭스!S32-분석4B_월별매트릭스!G32</f>
        <v>-1007229</v>
      </c>
      <c r="P10" s="46" t="s">
        <v>20201</v>
      </c>
      <c r="Q10" s="57" t="n">
        <f aca="false">분석4B_월별매트릭스!S44-분석4B_월별매트릭스!G44</f>
        <v>-429012</v>
      </c>
      <c r="R10" s="46" t="s">
        <v>20278</v>
      </c>
      <c r="S10" s="57" t="n">
        <f aca="false">분석4B_월별매트릭스!S91-분석4B_월별매트릭스!G91</f>
        <v>-406947</v>
      </c>
      <c r="T10" s="77" t="str">
        <f aca="false">IF(C10&gt;0.5,"전년 대비 큰 폭 증가. ",IF(C10&gt;0.1,"전년 대비 뚜렷한 증가. ",IF(C10&gt;0,"전년 대비 소폭 증가. ",IF(C10&gt;-0.1,"전년 대비 소폭 감소. ","전년 대비 뚜렷한 감소. "))))&amp;IF(D10&gt;0,"전월보다도 늘었다. ","전월보다는 줄었다. ")&amp;IF(AND(E10&gt;0,F10&gt;0.7),"증가의 대부분(70% 이상)을 반도체가 만들었다. ",IF(AND(E10&gt;0,F10&gt;0.4),"반도체가 증가의 절반 안팎을 만들었다. ",IF(AND(E10&gt;0,F10&lt;=0.4),"반도체 외 품목의 기여가 더 컸다. ","")))&amp;"주도 품목은 "&amp;H10&amp;"("&amp;TEXT(I10,"#,##0")&amp;"). "&amp;IF(O10&lt;0,"반대로 "&amp;N10&amp;"("&amp;TEXT(O10,"#,##0")&amp;")가 가장 크게 줄었다.","")</f>
        <v>전년 대비 소폭 감소. 전월보다는 줄었다. 주도 품목은 85. 전기기기와 그 부분품,(1,396,853). 반대로 27. 광물성 연료ㆍ광물유(鑛(-1,007,229)가 가장 크게 줄었다.</v>
      </c>
    </row>
    <row r="11" customFormat="false" ht="31.5" hidden="false" customHeight="true" outlineLevel="0" collapsed="false">
      <c r="A11" s="33" t="s">
        <v>219</v>
      </c>
      <c r="B11" s="25" t="n">
        <f aca="false">분석2_월별추이!E22</f>
        <v>59833797</v>
      </c>
      <c r="C11" s="36" t="n">
        <f aca="false">분석2_월별추이!J22</f>
        <v>0.0434616669626122</v>
      </c>
      <c r="D11" s="36" t="n">
        <f aca="false">분석2_월별추이!H22</f>
        <v>0.0449299028905559</v>
      </c>
      <c r="E11" s="25" t="n">
        <f aca="false">분석2_월별추이!E22-분석2_월별추이!E10</f>
        <v>2492163</v>
      </c>
      <c r="F11" s="34" t="n">
        <f aca="false">IFERROR((분석5_반도체vs비반도체!S8-분석5_반도체vs비반도체!G8)/E11,"-")</f>
        <v>0.444176805449724</v>
      </c>
      <c r="G11" s="34" t="n">
        <f aca="false">IFERROR((분석5_반도체vs비반도체!S11-분석5_반도체vs비반도체!G11)/E11,"-")</f>
        <v>0.555823194550276</v>
      </c>
      <c r="H11" s="46" t="s">
        <v>20197</v>
      </c>
      <c r="I11" s="57" t="n">
        <f aca="false">분석4B_월별매트릭스!T93-분석4B_월별매트릭스!H93</f>
        <v>913717</v>
      </c>
      <c r="J11" s="46" t="s">
        <v>20280</v>
      </c>
      <c r="K11" s="57" t="n">
        <f aca="false">분석4B_월별매트릭스!T89-분석4B_월별매트릭스!H89</f>
        <v>587943</v>
      </c>
      <c r="L11" s="46" t="s">
        <v>20278</v>
      </c>
      <c r="M11" s="57" t="n">
        <f aca="false">분석4B_월별매트릭스!T91-분석4B_월별매트릭스!H91</f>
        <v>458441</v>
      </c>
      <c r="N11" s="46" t="s">
        <v>20201</v>
      </c>
      <c r="O11" s="57" t="n">
        <f aca="false">분석4B_월별매트릭스!T44-분석4B_월별매트릭스!H44</f>
        <v>-428708</v>
      </c>
      <c r="P11" s="46" t="s">
        <v>20217</v>
      </c>
      <c r="Q11" s="57" t="n">
        <f aca="false">분석4B_월별매트릭스!T78-분석4B_월별매트릭스!H78</f>
        <v>-118527</v>
      </c>
      <c r="R11" s="46" t="s">
        <v>20284</v>
      </c>
      <c r="S11" s="57" t="n">
        <f aca="false">분석4B_월별매트릭스!T77-분석4B_월별매트릭스!H77</f>
        <v>-99046</v>
      </c>
      <c r="T11" s="77" t="str">
        <f aca="false">IF(C11&gt;0.5,"전년 대비 큰 폭 증가. ",IF(C11&gt;0.1,"전년 대비 뚜렷한 증가. ",IF(C11&gt;0,"전년 대비 소폭 증가. ",IF(C11&gt;-0.1,"전년 대비 소폭 감소. ","전년 대비 뚜렷한 감소. "))))&amp;IF(D11&gt;0,"전월보다도 늘었다. ","전월보다는 줄었다. ")&amp;IF(AND(E11&gt;0,F11&gt;0.7),"증가의 대부분(70% 이상)을 반도체가 만들었다. ",IF(AND(E11&gt;0,F11&gt;0.4),"반도체가 증가의 절반 안팎을 만들었다. ",IF(AND(E11&gt;0,F11&lt;=0.4),"반도체 외 품목의 기여가 더 컸다. ","")))&amp;"주도 품목은 "&amp;H11&amp;"("&amp;TEXT(I11,"#,##0")&amp;"). "&amp;IF(O11&lt;0,"반대로 "&amp;N11&amp;"("&amp;TEXT(O11,"#,##0")&amp;")가 가장 크게 줄었다.","")</f>
        <v>전년 대비 소폭 증가. 전월보다도 늘었다. 반도체가 증가의 절반 안팎을 만들었다. 주도 품목은 89. 선박과 수상 구조물(913,717). 반대로 39. 플라스틱과 그 제품(-428,708)가 가장 크게 줄었다.</v>
      </c>
    </row>
    <row r="12" customFormat="false" ht="31.5" hidden="false" customHeight="true" outlineLevel="0" collapsed="false">
      <c r="A12" s="33" t="s">
        <v>228</v>
      </c>
      <c r="B12" s="25" t="n">
        <f aca="false">분석2_월별추이!E23</f>
        <v>60724322</v>
      </c>
      <c r="C12" s="36" t="n">
        <f aca="false">분석2_월별추이!J23</f>
        <v>0.0568326293273016</v>
      </c>
      <c r="D12" s="36" t="n">
        <f aca="false">분석2_월별추이!H23</f>
        <v>0.0148833108485493</v>
      </c>
      <c r="E12" s="25" t="n">
        <f aca="false">분석2_월별추이!E23-분석2_월별추이!E11</f>
        <v>3265534</v>
      </c>
      <c r="F12" s="34" t="n">
        <f aca="false">IFERROR((분석5_반도체vs비반도체!T8-분석5_반도체vs비반도체!H8)/E12,"-")</f>
        <v>0.89362566734874</v>
      </c>
      <c r="G12" s="34" t="n">
        <f aca="false">IFERROR((분석5_반도체vs비반도체!T11-분석5_반도체vs비반도체!H11)/E12,"-")</f>
        <v>0.10637433265126</v>
      </c>
      <c r="H12" s="46" t="s">
        <v>20280</v>
      </c>
      <c r="I12" s="57" t="n">
        <f aca="false">분석4B_월별매트릭스!U89-분석4B_월별매트릭스!I89</f>
        <v>2105239</v>
      </c>
      <c r="J12" s="46" t="s">
        <v>20197</v>
      </c>
      <c r="K12" s="57" t="n">
        <f aca="false">분석4B_월별매트릭스!U93-분석4B_월별매트릭스!I93</f>
        <v>1115175</v>
      </c>
      <c r="L12" s="46" t="s">
        <v>20278</v>
      </c>
      <c r="M12" s="57" t="n">
        <f aca="false">분석4B_월별매트릭스!U91-분석4B_월별매트릭스!I91</f>
        <v>298593</v>
      </c>
      <c r="N12" s="46" t="s">
        <v>20204</v>
      </c>
      <c r="O12" s="57" t="n">
        <f aca="false">분석4B_월별매트릭스!U34-분석4B_월별매트릭스!I34</f>
        <v>-296664</v>
      </c>
      <c r="P12" s="46" t="s">
        <v>20279</v>
      </c>
      <c r="Q12" s="57" t="n">
        <f aca="false">분석4B_월별매트릭스!U32-분석4B_월별매트릭스!I32</f>
        <v>-275835</v>
      </c>
      <c r="R12" s="46" t="s">
        <v>20201</v>
      </c>
      <c r="S12" s="57" t="n">
        <f aca="false">분석4B_월별매트릭스!U44-분석4B_월별매트릭스!I44</f>
        <v>-111130</v>
      </c>
      <c r="T12" s="77" t="str">
        <f aca="false">IF(C12&gt;0.5,"전년 대비 큰 폭 증가. ",IF(C12&gt;0.1,"전년 대비 뚜렷한 증가. ",IF(C12&gt;0,"전년 대비 소폭 증가. ",IF(C12&gt;-0.1,"전년 대비 소폭 감소. ","전년 대비 뚜렷한 감소. "))))&amp;IF(D12&gt;0,"전월보다도 늘었다. ","전월보다는 줄었다. ")&amp;IF(AND(E12&gt;0,F12&gt;0.7),"증가의 대부분(70% 이상)을 반도체가 만들었다. ",IF(AND(E12&gt;0,F12&gt;0.4),"반도체가 증가의 절반 안팎을 만들었다. ",IF(AND(E12&gt;0,F12&lt;=0.4),"반도체 외 품목의 기여가 더 컸다. ","")))&amp;"주도 품목은 "&amp;H12&amp;"("&amp;TEXT(I12,"#,##0")&amp;"). "&amp;IF(O12&lt;0,"반대로 "&amp;N12&amp;"("&amp;TEXT(O12,"#,##0")&amp;")가 가장 크게 줄었다.","")</f>
        <v>전년 대비 소폭 증가. 전월보다도 늘었다. 증가의 대부분(70% 이상)을 반도체가 만들었다. 주도 품목은 85. 전기기기와 그 부분품,(2,105,239). 반대로 29. 유기화학품(-296,664)가 가장 크게 줄었다.</v>
      </c>
    </row>
    <row r="13" customFormat="false" ht="31.5" hidden="false" customHeight="true" outlineLevel="0" collapsed="false">
      <c r="A13" s="33" t="s">
        <v>236</v>
      </c>
      <c r="B13" s="25" t="n">
        <f aca="false">분석2_월별추이!E24</f>
        <v>58259332</v>
      </c>
      <c r="C13" s="36" t="n">
        <f aca="false">분석2_월별추이!J24</f>
        <v>0.0106935588486108</v>
      </c>
      <c r="D13" s="36" t="n">
        <f aca="false">분석2_월별추이!H24</f>
        <v>-0.0405931251072675</v>
      </c>
      <c r="E13" s="25" t="n">
        <f aca="false">분석2_월별추이!E24-분석2_월별추이!E12</f>
        <v>616408</v>
      </c>
      <c r="F13" s="34" t="n">
        <f aca="false">IFERROR((분석5_반도체vs비반도체!U8-분석5_반도체vs비반도체!I8)/E13,"-")</f>
        <v>4.23843785285071</v>
      </c>
      <c r="G13" s="34" t="n">
        <f aca="false">IFERROR((분석5_반도체vs비반도체!U11-분석5_반도체vs비반도체!I11)/E13,"-")</f>
        <v>-3.23843785285071</v>
      </c>
      <c r="H13" s="46" t="s">
        <v>20280</v>
      </c>
      <c r="I13" s="57" t="n">
        <f aca="false">분석4B_월별매트릭스!V89-분석4B_월별매트릭스!J89</f>
        <v>1720158</v>
      </c>
      <c r="J13" s="46" t="s">
        <v>20278</v>
      </c>
      <c r="K13" s="57" t="n">
        <f aca="false">분석4B_월별매트릭스!V91-분석4B_월별매트릭스!J91</f>
        <v>284892</v>
      </c>
      <c r="L13" s="46" t="s">
        <v>20197</v>
      </c>
      <c r="M13" s="57" t="n">
        <f aca="false">분석4B_월별매트릭스!V93-분석4B_월별매트릭스!J93</f>
        <v>243652</v>
      </c>
      <c r="N13" s="46" t="s">
        <v>20204</v>
      </c>
      <c r="O13" s="57" t="n">
        <f aca="false">분석4B_월별매트릭스!V34-분석4B_월별매트릭스!J34</f>
        <v>-397695</v>
      </c>
      <c r="P13" s="46" t="s">
        <v>20279</v>
      </c>
      <c r="Q13" s="57" t="n">
        <f aca="false">분석4B_월별매트릭스!V32-분석4B_월별매트릭스!J32</f>
        <v>-343708</v>
      </c>
      <c r="R13" s="46" t="s">
        <v>20284</v>
      </c>
      <c r="S13" s="57" t="n">
        <f aca="false">분석4B_월별매트릭스!V77-분석4B_월별매트릭스!J77</f>
        <v>-309651</v>
      </c>
      <c r="T13" s="77" t="str">
        <f aca="false">IF(C13&gt;0.5,"전년 대비 큰 폭 증가. ",IF(C13&gt;0.1,"전년 대비 뚜렷한 증가. ",IF(C13&gt;0,"전년 대비 소폭 증가. ",IF(C13&gt;-0.1,"전년 대비 소폭 감소. ","전년 대비 뚜렷한 감소. "))))&amp;IF(D13&gt;0,"전월보다도 늘었다. ","전월보다는 줄었다. ")&amp;IF(AND(E13&gt;0,F13&gt;0.7),"증가의 대부분(70% 이상)을 반도체가 만들었다. ",IF(AND(E13&gt;0,F13&gt;0.4),"반도체가 증가의 절반 안팎을 만들었다. ",IF(AND(E13&gt;0,F13&lt;=0.4),"반도체 외 품목의 기여가 더 컸다. ","")))&amp;"주도 품목은 "&amp;H13&amp;"("&amp;TEXT(I13,"#,##0")&amp;"). "&amp;IF(O13&lt;0,"반대로 "&amp;N13&amp;"("&amp;TEXT(O13,"#,##0")&amp;")가 가장 크게 줄었다.","")</f>
        <v>전년 대비 소폭 증가. 전월보다는 줄었다. 증가의 대부분(70% 이상)을 반도체가 만들었다. 주도 품목은 85. 전기기기와 그 부분품,(1,720,158). 반대로 29. 유기화학품(-397,695)가 가장 크게 줄었다.</v>
      </c>
    </row>
    <row r="14" customFormat="false" ht="31.5" hidden="false" customHeight="true" outlineLevel="0" collapsed="false">
      <c r="A14" s="33" t="s">
        <v>244</v>
      </c>
      <c r="B14" s="25" t="n">
        <f aca="false">분석2_월별추이!E25</f>
        <v>65904118</v>
      </c>
      <c r="C14" s="36" t="n">
        <f aca="false">분석2_월별추이!J25</f>
        <v>0.125706099440986</v>
      </c>
      <c r="D14" s="36" t="n">
        <f aca="false">분석2_월별추이!H25</f>
        <v>0.131219939150693</v>
      </c>
      <c r="E14" s="25" t="n">
        <f aca="false">분석2_월별추이!E25-분석2_월별추이!E13</f>
        <v>7359425</v>
      </c>
      <c r="F14" s="34" t="n">
        <f aca="false">IFERROR((분석5_반도체vs비반도체!V8-분석5_반도체vs비반도체!J8)/E14,"-")</f>
        <v>0.39324661913125</v>
      </c>
      <c r="G14" s="34" t="n">
        <f aca="false">IFERROR((분석5_반도체vs비반도체!V11-분석5_반도체vs비반도체!J11)/E14,"-")</f>
        <v>0.60675338086875</v>
      </c>
      <c r="H14" s="46" t="s">
        <v>20280</v>
      </c>
      <c r="I14" s="57" t="n">
        <f aca="false">분석4B_월별매트릭스!W89-분석4B_월별매트릭스!K89</f>
        <v>2336382</v>
      </c>
      <c r="J14" s="46" t="s">
        <v>20283</v>
      </c>
      <c r="K14" s="57" t="n">
        <f aca="false">분석4B_월별매트릭스!W88-분석4B_월별매트릭스!K88</f>
        <v>1181327</v>
      </c>
      <c r="L14" s="46" t="s">
        <v>20278</v>
      </c>
      <c r="M14" s="57" t="n">
        <f aca="false">분석4B_월별매트릭스!W91-분석4B_월별매트릭스!K91</f>
        <v>1118950</v>
      </c>
      <c r="N14" s="46" t="s">
        <v>20284</v>
      </c>
      <c r="O14" s="57" t="n">
        <f aca="false">분석4B_월별매트릭스!W77-분석4B_월별매트릭스!K77</f>
        <v>-60259</v>
      </c>
      <c r="P14" s="46" t="s">
        <v>20217</v>
      </c>
      <c r="Q14" s="57" t="n">
        <f aca="false">분석4B_월별매트릭스!W78-분석4B_월별매트릭스!K78</f>
        <v>-53331</v>
      </c>
      <c r="R14" s="46" t="s">
        <v>20285</v>
      </c>
      <c r="S14" s="57" t="n">
        <f aca="false">분석4B_월별매트릭스!W31-분석4B_월별매트릭스!K31</f>
        <v>-34664</v>
      </c>
      <c r="T14" s="77" t="str">
        <f aca="false">IF(C14&gt;0.5,"전년 대비 큰 폭 증가. ",IF(C14&gt;0.1,"전년 대비 뚜렷한 증가. ",IF(C14&gt;0,"전년 대비 소폭 증가. ",IF(C14&gt;-0.1,"전년 대비 소폭 감소. ","전년 대비 뚜렷한 감소. "))))&amp;IF(D14&gt;0,"전월보다도 늘었다. ","전월보다는 줄었다. ")&amp;IF(AND(E14&gt;0,F14&gt;0.7),"증가의 대부분(70% 이상)을 반도체가 만들었다. ",IF(AND(E14&gt;0,F14&gt;0.4),"반도체가 증가의 절반 안팎을 만들었다. ",IF(AND(E14&gt;0,F14&lt;=0.4),"반도체 외 품목의 기여가 더 컸다. ","")))&amp;"주도 품목은 "&amp;H14&amp;"("&amp;TEXT(I14,"#,##0")&amp;"). "&amp;IF(O14&lt;0,"반대로 "&amp;N14&amp;"("&amp;TEXT(O14,"#,##0")&amp;")가 가장 크게 줄었다.","")</f>
        <v>전년 대비 뚜렷한 증가. 전월보다도 늘었다. 반도체 외 품목의 기여가 더 컸다. 주도 품목은 85. 전기기기와 그 부분품,(2,336,382). 반대로 72. 철강(-60,259)가 가장 크게 줄었다.</v>
      </c>
    </row>
    <row r="15" customFormat="false" ht="31.5" hidden="false" customHeight="true" outlineLevel="0" collapsed="false">
      <c r="A15" s="33" t="s">
        <v>252</v>
      </c>
      <c r="B15" s="25" t="n">
        <f aca="false">분석2_월별추이!E26</f>
        <v>59511578</v>
      </c>
      <c r="C15" s="36" t="n">
        <f aca="false">분석2_월별추이!J26</f>
        <v>0.0349805092824733</v>
      </c>
      <c r="D15" s="36" t="n">
        <f aca="false">분석2_월별추이!H26</f>
        <v>-0.0969975806367669</v>
      </c>
      <c r="E15" s="25" t="n">
        <f aca="false">분석2_월별추이!E26-분석2_월별추이!E14</f>
        <v>2011386</v>
      </c>
      <c r="F15" s="34" t="n">
        <f aca="false">IFERROR((분석5_반도체vs비반도체!W8-분석5_반도체vs비반도체!K8)/E15,"-")</f>
        <v>1.42839415209214</v>
      </c>
      <c r="G15" s="34" t="n">
        <f aca="false">IFERROR((분석5_반도체vs비반도체!W11-분석5_반도체vs비반도체!K11)/E15,"-")</f>
        <v>-0.428394152092139</v>
      </c>
      <c r="H15" s="46" t="s">
        <v>20197</v>
      </c>
      <c r="I15" s="57" t="n">
        <f aca="false">분석4B_월별매트릭스!X93-분석4B_월별매트릭스!L93</f>
        <v>2664944</v>
      </c>
      <c r="J15" s="46" t="s">
        <v>20280</v>
      </c>
      <c r="K15" s="57" t="n">
        <f aca="false">분석4B_월별매트릭스!X89-분석4B_월별매트릭스!L89</f>
        <v>1740263</v>
      </c>
      <c r="L15" s="46" t="s">
        <v>20277</v>
      </c>
      <c r="M15" s="57" t="n">
        <f aca="false">분석4B_월별매트릭스!X76-분석4B_월별매트릭스!L76</f>
        <v>610376</v>
      </c>
      <c r="N15" s="46" t="s">
        <v>20278</v>
      </c>
      <c r="O15" s="57" t="n">
        <f aca="false">분석4B_월별매트릭스!X91-분석4B_월별매트릭스!L91</f>
        <v>-1023469</v>
      </c>
      <c r="P15" s="46" t="s">
        <v>20201</v>
      </c>
      <c r="Q15" s="57" t="n">
        <f aca="false">분석4B_월별매트릭스!X44-분석4B_월별매트릭스!L44</f>
        <v>-473632</v>
      </c>
      <c r="R15" s="46" t="s">
        <v>20284</v>
      </c>
      <c r="S15" s="57" t="n">
        <f aca="false">분석4B_월별매트릭스!X77-분석4B_월별매트릭스!L77</f>
        <v>-345042</v>
      </c>
      <c r="T15" s="77" t="str">
        <f aca="false">IF(C15&gt;0.5,"전년 대비 큰 폭 증가. ",IF(C15&gt;0.1,"전년 대비 뚜렷한 증가. ",IF(C15&gt;0,"전년 대비 소폭 증가. ",IF(C15&gt;-0.1,"전년 대비 소폭 감소. ","전년 대비 뚜렷한 감소. "))))&amp;IF(D15&gt;0,"전월보다도 늘었다. ","전월보다는 줄었다. ")&amp;IF(AND(E15&gt;0,F15&gt;0.7),"증가의 대부분(70% 이상)을 반도체가 만들었다. ",IF(AND(E15&gt;0,F15&gt;0.4),"반도체가 증가의 절반 안팎을 만들었다. ",IF(AND(E15&gt;0,F15&lt;=0.4),"반도체 외 품목의 기여가 더 컸다. ","")))&amp;"주도 품목은 "&amp;H15&amp;"("&amp;TEXT(I15,"#,##0")&amp;"). "&amp;IF(O15&lt;0,"반대로 "&amp;N15&amp;"("&amp;TEXT(O15,"#,##0")&amp;")가 가장 크게 줄었다.","")</f>
        <v>전년 대비 소폭 증가. 전월보다는 줄었다. 증가의 대부분(70% 이상)을 반도체가 만들었다. 주도 품목은 89. 선박과 수상 구조물(2,664,944). 반대로 87. 철도용이나 궤도용 외의(-1,023,469)가 가장 크게 줄었다.</v>
      </c>
    </row>
    <row r="16" customFormat="false" ht="31.5" hidden="false" customHeight="true" outlineLevel="0" collapsed="false">
      <c r="A16" s="33" t="s">
        <v>260</v>
      </c>
      <c r="B16" s="25" t="n">
        <f aca="false">분석2_월별추이!E27</f>
        <v>60752618</v>
      </c>
      <c r="C16" s="36" t="n">
        <f aca="false">분석2_월별추이!J27</f>
        <v>0.0793053424697909</v>
      </c>
      <c r="D16" s="36" t="n">
        <f aca="false">분석2_월별추이!H27</f>
        <v>0.0208537572302316</v>
      </c>
      <c r="E16" s="25" t="n">
        <f aca="false">분석2_월별추이!E27-분석2_월별추이!E15</f>
        <v>4463989</v>
      </c>
      <c r="F16" s="34" t="n">
        <f aca="false">IFERROR((분석5_반도체vs비반도체!X8-분석5_반도체vs비반도체!L8)/E16,"-")</f>
        <v>1.11335018970701</v>
      </c>
      <c r="G16" s="34" t="n">
        <f aca="false">IFERROR((분석5_반도체vs비반도체!X11-분석5_반도체vs비반도체!L11)/E16,"-")</f>
        <v>-0.113350189707009</v>
      </c>
      <c r="H16" s="46" t="s">
        <v>20280</v>
      </c>
      <c r="I16" s="57" t="n">
        <f aca="false">분석4B_월별매트릭스!Y89-분석4B_월별매트릭스!M89</f>
        <v>3830653</v>
      </c>
      <c r="J16" s="46" t="s">
        <v>20283</v>
      </c>
      <c r="K16" s="57" t="n">
        <f aca="false">분석4B_월별매트릭스!Y88-분석4B_월별매트릭스!M88</f>
        <v>1037553</v>
      </c>
      <c r="L16" s="46" t="s">
        <v>20278</v>
      </c>
      <c r="M16" s="57" t="n">
        <f aca="false">분석4B_월별매트릭스!Y91-분석4B_월별매트릭스!M91</f>
        <v>664385</v>
      </c>
      <c r="N16" s="46" t="s">
        <v>20197</v>
      </c>
      <c r="O16" s="57" t="n">
        <f aca="false">분석4B_월별매트릭스!Y93-분석4B_월별매트릭스!M93</f>
        <v>-715190</v>
      </c>
      <c r="P16" s="46" t="s">
        <v>20279</v>
      </c>
      <c r="Q16" s="57" t="n">
        <f aca="false">분석4B_월별매트릭스!Y32-분석4B_월별매트릭스!M32</f>
        <v>-454915</v>
      </c>
      <c r="R16" s="46" t="s">
        <v>20201</v>
      </c>
      <c r="S16" s="57" t="n">
        <f aca="false">분석4B_월별매트릭스!Y44-분석4B_월별매트릭스!M44</f>
        <v>-355259</v>
      </c>
      <c r="T16" s="77" t="str">
        <f aca="false">IF(C16&gt;0.5,"전년 대비 큰 폭 증가. ",IF(C16&gt;0.1,"전년 대비 뚜렷한 증가. ",IF(C16&gt;0,"전년 대비 소폭 증가. ",IF(C16&gt;-0.1,"전년 대비 소폭 감소. ","전년 대비 뚜렷한 감소. "))))&amp;IF(D16&gt;0,"전월보다도 늘었다. ","전월보다는 줄었다. ")&amp;IF(AND(E16&gt;0,F16&gt;0.7),"증가의 대부분(70% 이상)을 반도체가 만들었다. ",IF(AND(E16&gt;0,F16&gt;0.4),"반도체가 증가의 절반 안팎을 만들었다. ",IF(AND(E16&gt;0,F16&lt;=0.4),"반도체 외 품목의 기여가 더 컸다. ","")))&amp;"주도 품목은 "&amp;H16&amp;"("&amp;TEXT(I16,"#,##0")&amp;"). "&amp;IF(O16&lt;0,"반대로 "&amp;N16&amp;"("&amp;TEXT(O16,"#,##0")&amp;")가 가장 크게 줄었다.","")</f>
        <v>전년 대비 소폭 증가. 전월보다도 늘었다. 증가의 대부분(70% 이상)을 반도체가 만들었다. 주도 품목은 85. 전기기기와 그 부분품,(3,830,653). 반대로 89. 선박과 수상 구조물(-715,190)가 가장 크게 줄었다.</v>
      </c>
    </row>
    <row r="17" customFormat="false" ht="31.5" hidden="false" customHeight="true" outlineLevel="0" collapsed="false">
      <c r="A17" s="33" t="s">
        <v>268</v>
      </c>
      <c r="B17" s="25" t="n">
        <f aca="false">분석2_월별추이!E28</f>
        <v>69513624</v>
      </c>
      <c r="C17" s="36" t="n">
        <f aca="false">분석2_월별추이!J28</f>
        <v>0.132895594388784</v>
      </c>
      <c r="D17" s="36" t="n">
        <f aca="false">분석2_월별추이!H28</f>
        <v>0.144207875947009</v>
      </c>
      <c r="E17" s="25" t="n">
        <f aca="false">분석2_월별추이!E28-분석2_월별추이!E16</f>
        <v>8154374</v>
      </c>
      <c r="F17" s="34" t="n">
        <f aca="false">IFERROR((분석5_반도체vs비반도체!Y8-분석5_반도체vs비반도체!M8)/E17,"-")</f>
        <v>0.894043245992887</v>
      </c>
      <c r="G17" s="34" t="n">
        <f aca="false">IFERROR((분석5_반도체vs비반도체!Y11-분석5_반도체vs비반도체!M11)/E17,"-")</f>
        <v>0.105956754007113</v>
      </c>
      <c r="H17" s="46" t="s">
        <v>20280</v>
      </c>
      <c r="I17" s="57" t="n">
        <f aca="false">분석4B_월별매트릭스!Z89-분석4B_월별매트릭스!N89</f>
        <v>6125641</v>
      </c>
      <c r="J17" s="46" t="s">
        <v>20283</v>
      </c>
      <c r="K17" s="57" t="n">
        <f aca="false">분석4B_월별매트릭스!Z88-분석4B_월별매트릭스!N88</f>
        <v>1156283</v>
      </c>
      <c r="L17" s="46" t="s">
        <v>20277</v>
      </c>
      <c r="M17" s="57" t="n">
        <f aca="false">분석4B_월별매트릭스!Z76-분석4B_월별매트릭스!N76</f>
        <v>406439</v>
      </c>
      <c r="N17" s="46" t="s">
        <v>20278</v>
      </c>
      <c r="O17" s="57" t="n">
        <f aca="false">분석4B_월별매트릭스!Z91-분석4B_월별매트릭스!N91</f>
        <v>-328157</v>
      </c>
      <c r="P17" s="46" t="s">
        <v>20284</v>
      </c>
      <c r="Q17" s="57" t="n">
        <f aca="false">분석4B_월별매트릭스!Z77-분석4B_월별매트릭스!N77</f>
        <v>-206035</v>
      </c>
      <c r="R17" s="46" t="s">
        <v>20204</v>
      </c>
      <c r="S17" s="57" t="n">
        <f aca="false">분석4B_월별매트릭스!Z34-분석4B_월별매트릭스!N34</f>
        <v>-162030</v>
      </c>
      <c r="T17" s="77" t="str">
        <f aca="false">IF(C17&gt;0.5,"전년 대비 큰 폭 증가. ",IF(C17&gt;0.1,"전년 대비 뚜렷한 증가. ",IF(C17&gt;0,"전년 대비 소폭 증가. ",IF(C17&gt;-0.1,"전년 대비 소폭 감소. ","전년 대비 뚜렷한 감소. "))))&amp;IF(D17&gt;0,"전월보다도 늘었다. ","전월보다는 줄었다. ")&amp;IF(AND(E17&gt;0,F17&gt;0.7),"증가의 대부분(70% 이상)을 반도체가 만들었다. ",IF(AND(E17&gt;0,F17&gt;0.4),"반도체가 증가의 절반 안팎을 만들었다. ",IF(AND(E17&gt;0,F17&lt;=0.4),"반도체 외 품목의 기여가 더 컸다. ","")))&amp;"주도 품목은 "&amp;H17&amp;"("&amp;TEXT(I17,"#,##0")&amp;"). "&amp;IF(O17&lt;0,"반대로 "&amp;N17&amp;"("&amp;TEXT(O17,"#,##0")&amp;")가 가장 크게 줄었다.","")</f>
        <v>전년 대비 뚜렷한 증가. 전월보다도 늘었다. 증가의 대부분(70% 이상)을 반도체가 만들었다. 주도 품목은 85. 전기기기와 그 부분품,(6,125,641). 반대로 87. 철도용이나 궤도용 외의(-328,157)가 가장 크게 줄었다.</v>
      </c>
    </row>
    <row r="18" customFormat="false" ht="31.5" hidden="false" customHeight="true" outlineLevel="0" collapsed="false">
      <c r="A18" s="33" t="s">
        <v>276</v>
      </c>
      <c r="B18" s="25" t="n">
        <f aca="false">분석2_월별추이!E29</f>
        <v>65843937</v>
      </c>
      <c r="C18" s="36" t="n">
        <f aca="false">분석2_월별추이!J29</f>
        <v>0.338917754695977</v>
      </c>
      <c r="D18" s="36" t="n">
        <f aca="false">분석2_월별추이!H29</f>
        <v>-0.052790903262359</v>
      </c>
      <c r="E18" s="25" t="n">
        <f aca="false">분석2_월별추이!E29-분석2_월별추이!E17</f>
        <v>16666953</v>
      </c>
      <c r="F18" s="34" t="n">
        <f aca="false">IFERROR((분석5_반도체vs비반도체!Z8-분석5_반도체vs비반도체!N8)/E18,"-")</f>
        <v>0.753070582247397</v>
      </c>
      <c r="G18" s="34" t="n">
        <f aca="false">IFERROR((분석5_반도체vs비반도체!Z11-분석5_반도체vs비반도체!N11)/E18,"-")</f>
        <v>0.246929417752603</v>
      </c>
      <c r="H18" s="46" t="s">
        <v>20280</v>
      </c>
      <c r="I18" s="57" t="n">
        <f aca="false">분석4B_월별매트릭스!AA89-분석4B_월별매트릭스!O89</f>
        <v>10544690</v>
      </c>
      <c r="J18" s="46" t="s">
        <v>20283</v>
      </c>
      <c r="K18" s="57" t="n">
        <f aca="false">분석4B_월별매트릭스!AA88-분석4B_월별매트릭스!O88</f>
        <v>2574486</v>
      </c>
      <c r="L18" s="46" t="s">
        <v>20278</v>
      </c>
      <c r="M18" s="57" t="n">
        <f aca="false">분석4B_월별매트릭스!AA91-분석4B_월별매트릭스!O91</f>
        <v>1017290</v>
      </c>
      <c r="N18" s="46" t="s">
        <v>20276</v>
      </c>
      <c r="O18" s="57" t="n">
        <f aca="false">분석4B_월별매트릭스!AA92-분석4B_월별매트릭스!O92</f>
        <v>-78973</v>
      </c>
      <c r="P18" s="46" t="s">
        <v>20197</v>
      </c>
      <c r="Q18" s="57" t="n">
        <f aca="false">분석4B_월별매트릭스!AA93-분석4B_월별매트릭스!O93</f>
        <v>-42409</v>
      </c>
      <c r="R18" s="46" t="s">
        <v>20286</v>
      </c>
      <c r="S18" s="57" t="n">
        <f aca="false">분석4B_월별매트릭스!AA20-분석4B_월별매트릭스!O20</f>
        <v>-27983</v>
      </c>
      <c r="T18" s="77" t="str">
        <f aca="false">IF(C18&gt;0.5,"전년 대비 큰 폭 증가. ",IF(C18&gt;0.1,"전년 대비 뚜렷한 증가. ",IF(C18&gt;0,"전년 대비 소폭 증가. ",IF(C18&gt;-0.1,"전년 대비 소폭 감소. ","전년 대비 뚜렷한 감소. "))))&amp;IF(D18&gt;0,"전월보다도 늘었다. ","전월보다는 줄었다. ")&amp;IF(AND(E18&gt;0,F18&gt;0.7),"증가의 대부분(70% 이상)을 반도체가 만들었다. ",IF(AND(E18&gt;0,F18&gt;0.4),"반도체가 증가의 절반 안팎을 만들었다. ",IF(AND(E18&gt;0,F18&lt;=0.4),"반도체 외 품목의 기여가 더 컸다. ","")))&amp;"주도 품목은 "&amp;H18&amp;"("&amp;TEXT(I18,"#,##0")&amp;"). "&amp;IF(O18&lt;0,"반대로 "&amp;N18&amp;"("&amp;TEXT(O18,"#,##0")&amp;")가 가장 크게 줄었다.","")</f>
        <v>전년 대비 뚜렷한 증가. 전월보다는 줄었다. 증가의 대부분(70% 이상)을 반도체가 만들었다. 주도 품목은 85. 전기기기와 그 부분품,(10,544,690). 반대로 88. 항공기와 우주선, 이들(-78,973)가 가장 크게 줄었다.</v>
      </c>
    </row>
    <row r="19" customFormat="false" ht="31.5" hidden="false" customHeight="true" outlineLevel="0" collapsed="false">
      <c r="A19" s="33" t="s">
        <v>284</v>
      </c>
      <c r="B19" s="25" t="n">
        <f aca="false">분석2_월별추이!E30</f>
        <v>67642547</v>
      </c>
      <c r="C19" s="36" t="n">
        <f aca="false">분석2_월별추이!J30</f>
        <v>0.293546960192094</v>
      </c>
      <c r="D19" s="36" t="n">
        <f aca="false">분석2_월별추이!H30</f>
        <v>0.0273162584430515</v>
      </c>
      <c r="E19" s="25" t="n">
        <f aca="false">분석2_월별추이!E30-분석2_월별추이!E18</f>
        <v>15350246</v>
      </c>
      <c r="F19" s="34" t="n">
        <f aca="false">IFERROR((분석5_반도체vs비반도체!AA8-분석5_반도체vs비반도체!O8)/E19,"-")</f>
        <v>1.12938242162373</v>
      </c>
      <c r="G19" s="34" t="n">
        <f aca="false">IFERROR((분석5_반도체vs비반도체!AA11-분석5_반도체vs비반도체!O11)/E19,"-")</f>
        <v>-0.129382421623732</v>
      </c>
      <c r="H19" s="46" t="s">
        <v>20280</v>
      </c>
      <c r="I19" s="57" t="n">
        <f aca="false">분석4B_월별매트릭스!AB89-분석4B_월별매트릭스!P89</f>
        <v>12958363</v>
      </c>
      <c r="J19" s="46" t="s">
        <v>20283</v>
      </c>
      <c r="K19" s="57" t="n">
        <f aca="false">분석4B_월별매트릭스!AB88-분석4B_월별매트릭스!P88</f>
        <v>3441780</v>
      </c>
      <c r="L19" s="46" t="s">
        <v>20277</v>
      </c>
      <c r="M19" s="57" t="n">
        <f aca="false">분석4B_월별매트릭스!AB76-분석4B_월별매트릭스!P76</f>
        <v>717881</v>
      </c>
      <c r="N19" s="46" t="s">
        <v>20278</v>
      </c>
      <c r="O19" s="57" t="n">
        <f aca="false">분석4B_월별매트릭스!AB91-분석4B_월별매트릭스!P91</f>
        <v>-1568484</v>
      </c>
      <c r="P19" s="46" t="s">
        <v>20201</v>
      </c>
      <c r="Q19" s="57" t="n">
        <f aca="false">분석4B_월별매트릭스!AB44-분석4B_월별매트릭스!P44</f>
        <v>-392768</v>
      </c>
      <c r="R19" s="46" t="s">
        <v>20287</v>
      </c>
      <c r="S19" s="57" t="n">
        <f aca="false">분석4B_월별매트릭스!AB94-분석4B_월별매트릭스!P94</f>
        <v>-219446</v>
      </c>
      <c r="T19" s="77" t="str">
        <f aca="false">IF(C19&gt;0.5,"전년 대비 큰 폭 증가. ",IF(C19&gt;0.1,"전년 대비 뚜렷한 증가. ",IF(C19&gt;0,"전년 대비 소폭 증가. ",IF(C19&gt;-0.1,"전년 대비 소폭 감소. ","전년 대비 뚜렷한 감소. "))))&amp;IF(D19&gt;0,"전월보다도 늘었다. ","전월보다는 줄었다. ")&amp;IF(AND(E19&gt;0,F19&gt;0.7),"증가의 대부분(70% 이상)을 반도체가 만들었다. ",IF(AND(E19&gt;0,F19&gt;0.4),"반도체가 증가의 절반 안팎을 만들었다. ",IF(AND(E19&gt;0,F19&lt;=0.4),"반도체 외 품목의 기여가 더 컸다. ","")))&amp;"주도 품목은 "&amp;H19&amp;"("&amp;TEXT(I19,"#,##0")&amp;"). "&amp;IF(O19&lt;0,"반대로 "&amp;N19&amp;"("&amp;TEXT(O19,"#,##0")&amp;")가 가장 크게 줄었다.","")</f>
        <v>전년 대비 뚜렷한 증가. 전월보다도 늘었다. 증가의 대부분(70% 이상)을 반도체가 만들었다. 주도 품목은 85. 전기기기와 그 부분품,(12,958,363). 반대로 87. 철도용이나 궤도용 외의(-1,568,484)가 가장 크게 줄었다.</v>
      </c>
    </row>
    <row r="20" customFormat="false" ht="31.5" hidden="false" customHeight="true" outlineLevel="0" collapsed="false">
      <c r="A20" s="33" t="s">
        <v>293</v>
      </c>
      <c r="B20" s="25" t="n">
        <f aca="false">분석2_월별추이!E31</f>
        <v>87333128</v>
      </c>
      <c r="C20" s="36" t="n">
        <f aca="false">분석2_월별추이!J31</f>
        <v>0.504069349562992</v>
      </c>
      <c r="D20" s="36" t="n">
        <f aca="false">분석2_월별추이!H31</f>
        <v>0.29109756910839</v>
      </c>
      <c r="E20" s="25" t="n">
        <f aca="false">분석2_월별추이!E31-분석2_월별추이!E19</f>
        <v>29268566</v>
      </c>
      <c r="F20" s="34" t="n">
        <f aca="false">IFERROR((분석5_반도체vs비반도체!AB8-분석5_반도체vs비반도체!P8)/E20,"-")</f>
        <v>0.773056800937907</v>
      </c>
      <c r="G20" s="34" t="n">
        <f aca="false">IFERROR((분석5_반도체vs비반도체!AB11-분석5_반도체vs비반도체!P11)/E20,"-")</f>
        <v>0.226943199062093</v>
      </c>
      <c r="H20" s="46" t="s">
        <v>20280</v>
      </c>
      <c r="I20" s="57" t="n">
        <f aca="false">분석4B_월별매트릭스!AC89-분석4B_월별매트릭스!Q89</f>
        <v>17531930</v>
      </c>
      <c r="J20" s="46" t="s">
        <v>20283</v>
      </c>
      <c r="K20" s="57" t="n">
        <f aca="false">분석4B_월별매트릭스!AC88-분석4B_월별매트릭스!Q88</f>
        <v>5279739</v>
      </c>
      <c r="L20" s="46" t="s">
        <v>20279</v>
      </c>
      <c r="M20" s="57" t="n">
        <f aca="false">분석4B_월별매트릭스!AC32-분석4B_월별매트릭스!Q32</f>
        <v>2945015</v>
      </c>
      <c r="N20" s="46" t="s">
        <v>20217</v>
      </c>
      <c r="O20" s="57" t="n">
        <f aca="false">분석4B_월별매트릭스!AC78-분석4B_월별매트릭스!Q78</f>
        <v>-140845</v>
      </c>
      <c r="P20" s="46" t="s">
        <v>20278</v>
      </c>
      <c r="Q20" s="57" t="n">
        <f aca="false">분석4B_월별매트릭스!AC91-분석4B_월별매트릭스!Q91</f>
        <v>-66830</v>
      </c>
      <c r="R20" s="46" t="s">
        <v>20276</v>
      </c>
      <c r="S20" s="57" t="n">
        <f aca="false">분석4B_월별매트릭스!AC92-분석4B_월별매트릭스!Q92</f>
        <v>-59581</v>
      </c>
      <c r="T20" s="77" t="str">
        <f aca="false">IF(C20&gt;0.5,"전년 대비 큰 폭 증가. ",IF(C20&gt;0.1,"전년 대비 뚜렷한 증가. ",IF(C20&gt;0,"전년 대비 소폭 증가. ",IF(C20&gt;-0.1,"전년 대비 소폭 감소. ","전년 대비 뚜렷한 감소. "))))&amp;IF(D20&gt;0,"전월보다도 늘었다. ","전월보다는 줄었다. ")&amp;IF(AND(E20&gt;0,F20&gt;0.7),"증가의 대부분(70% 이상)을 반도체가 만들었다. ",IF(AND(E20&gt;0,F20&gt;0.4),"반도체가 증가의 절반 안팎을 만들었다. ",IF(AND(E20&gt;0,F20&lt;=0.4),"반도체 외 품목의 기여가 더 컸다. ","")))&amp;"주도 품목은 "&amp;H20&amp;"("&amp;TEXT(I20,"#,##0")&amp;"). "&amp;IF(O20&lt;0,"반대로 "&amp;N20&amp;"("&amp;TEXT(O20,"#,##0")&amp;")가 가장 크게 줄었다.","")</f>
        <v>전년 대비 큰 폭 증가. 전월보다도 늘었다. 증가의 대부분(70% 이상)을 반도체가 만들었다. 주도 품목은 85. 전기기기와 그 부분품,(17,531,930). 반대로 73. 철강의 제품(-140,845)가 가장 크게 줄었다.</v>
      </c>
    </row>
    <row r="21" customFormat="false" ht="31.5" hidden="false" customHeight="true" outlineLevel="0" collapsed="false">
      <c r="A21" s="33" t="s">
        <v>301</v>
      </c>
      <c r="B21" s="25" t="n">
        <f aca="false">분석2_월별추이!E32</f>
        <v>85751883</v>
      </c>
      <c r="C21" s="36" t="n">
        <f aca="false">분석2_월별추이!J32</f>
        <v>0.477570125101349</v>
      </c>
      <c r="D21" s="36" t="n">
        <f aca="false">분석2_월별추이!H32</f>
        <v>-0.0181059013482261</v>
      </c>
      <c r="E21" s="25" t="n">
        <f aca="false">분석2_월별추이!E32-분석2_월별추이!E20</f>
        <v>27716138</v>
      </c>
      <c r="F21" s="34" t="n">
        <f aca="false">IFERROR((분석5_반도체vs비반도체!AC8-분석5_반도체vs비반도체!Q8)/E21,"-")</f>
        <v>0.863215647143913</v>
      </c>
      <c r="G21" s="34" t="n">
        <f aca="false">IFERROR((분석5_반도체vs비반도체!AC11-분석5_반도체vs비반도체!Q11)/E21,"-")</f>
        <v>0.136784352856087</v>
      </c>
      <c r="H21" s="46" t="s">
        <v>20280</v>
      </c>
      <c r="I21" s="57" t="n">
        <f aca="false">분석4B_월별매트릭스!AD89-분석4B_월별매트릭스!R89</f>
        <v>19112604</v>
      </c>
      <c r="J21" s="46" t="s">
        <v>20283</v>
      </c>
      <c r="K21" s="57" t="n">
        <f aca="false">분석4B_월별매트릭스!AD88-분석4B_월별매트릭스!R88</f>
        <v>4584718</v>
      </c>
      <c r="L21" s="46" t="s">
        <v>20279</v>
      </c>
      <c r="M21" s="57" t="n">
        <f aca="false">분석4B_월별매트릭스!AD32-분석4B_월별매트릭스!R32</f>
        <v>1313290</v>
      </c>
      <c r="N21" s="46" t="s">
        <v>20278</v>
      </c>
      <c r="O21" s="57" t="n">
        <f aca="false">분석4B_월별매트릭스!AD91-분석4B_월별매트릭스!R91</f>
        <v>-638112</v>
      </c>
      <c r="P21" s="46" t="s">
        <v>20284</v>
      </c>
      <c r="Q21" s="57" t="n">
        <f aca="false">분석4B_월별매트릭스!AD77-분석4B_월별매트릭스!R77</f>
        <v>-224781</v>
      </c>
      <c r="R21" s="46" t="s">
        <v>20217</v>
      </c>
      <c r="S21" s="57" t="n">
        <f aca="false">분석4B_월별매트릭스!AD78-분석4B_월별매트릭스!R78</f>
        <v>-154229</v>
      </c>
      <c r="T21" s="77" t="str">
        <f aca="false">IF(C21&gt;0.5,"전년 대비 큰 폭 증가. ",IF(C21&gt;0.1,"전년 대비 뚜렷한 증가. ",IF(C21&gt;0,"전년 대비 소폭 증가. ",IF(C21&gt;-0.1,"전년 대비 소폭 감소. ","전년 대비 뚜렷한 감소. "))))&amp;IF(D21&gt;0,"전월보다도 늘었다. ","전월보다는 줄었다. ")&amp;IF(AND(E21&gt;0,F21&gt;0.7),"증가의 대부분(70% 이상)을 반도체가 만들었다. ",IF(AND(E21&gt;0,F21&gt;0.4),"반도체가 증가의 절반 안팎을 만들었다. ",IF(AND(E21&gt;0,F21&lt;=0.4),"반도체 외 품목의 기여가 더 컸다. ","")))&amp;"주도 품목은 "&amp;H21&amp;"("&amp;TEXT(I21,"#,##0")&amp;"). "&amp;IF(O21&lt;0,"반대로 "&amp;N21&amp;"("&amp;TEXT(O21,"#,##0")&amp;")가 가장 크게 줄었다.","")</f>
        <v>전년 대비 뚜렷한 증가. 전월보다는 줄었다. 증가의 대부분(70% 이상)을 반도체가 만들었다. 주도 품목은 85. 전기기기와 그 부분품,(19,112,604). 반대로 87. 철도용이나 궤도용 외의(-638,112)가 가장 크게 줄었다.</v>
      </c>
    </row>
    <row r="22" customFormat="false" ht="31.5" hidden="false" customHeight="true" outlineLevel="0" collapsed="false">
      <c r="A22" s="33" t="s">
        <v>309</v>
      </c>
      <c r="B22" s="25" t="n">
        <f aca="false">분석2_월별추이!E33</f>
        <v>87576083</v>
      </c>
      <c r="C22" s="36" t="n">
        <f aca="false">분석2_월별추이!J33</f>
        <v>0.529417695232099</v>
      </c>
      <c r="D22" s="36" t="n">
        <f aca="false">분석2_월별추이!H33</f>
        <v>0.0212730022499914</v>
      </c>
      <c r="E22" s="25" t="n">
        <f aca="false">분석2_월별추이!E33-분석2_월별추이!E21</f>
        <v>30315020</v>
      </c>
      <c r="F22" s="34" t="n">
        <f aca="false">IFERROR((분석5_반도체vs비반도체!AD8-분석5_반도체vs비반도체!R8)/E22,"-")</f>
        <v>0.884429335689041</v>
      </c>
      <c r="G22" s="34" t="n">
        <f aca="false">IFERROR((분석5_반도체vs비반도체!AD11-분석5_반도체vs비반도체!R11)/E22,"-")</f>
        <v>0.115570664310959</v>
      </c>
      <c r="H22" s="46" t="s">
        <v>20280</v>
      </c>
      <c r="I22" s="57" t="n">
        <f aca="false">분석4B_월별매트릭스!AE89-분석4B_월별매트릭스!S89</f>
        <v>21421171</v>
      </c>
      <c r="J22" s="46" t="s">
        <v>20283</v>
      </c>
      <c r="K22" s="57" t="n">
        <f aca="false">분석4B_월별매트릭스!AE88-분석4B_월별매트릭스!S88</f>
        <v>5236125</v>
      </c>
      <c r="L22" s="46" t="s">
        <v>20279</v>
      </c>
      <c r="M22" s="57" t="n">
        <f aca="false">분석4B_월별매트릭스!AE32-분석4B_월별매트릭스!S32</f>
        <v>1542874</v>
      </c>
      <c r="N22" s="46" t="s">
        <v>20278</v>
      </c>
      <c r="O22" s="57" t="n">
        <f aca="false">분석4B_월별매트릭스!AE91-분석4B_월별매트릭스!S91</f>
        <v>-451832</v>
      </c>
      <c r="P22" s="46" t="s">
        <v>20276</v>
      </c>
      <c r="Q22" s="57" t="n">
        <f aca="false">분석4B_월별매트릭스!AE92-분석4B_월별매트릭스!S92</f>
        <v>-176722</v>
      </c>
      <c r="R22" s="46" t="s">
        <v>20281</v>
      </c>
      <c r="S22" s="57" t="n">
        <f aca="false">분석4B_월별매트릭스!AE97-분석4B_월별매트릭스!S97</f>
        <v>-154723</v>
      </c>
      <c r="T22" s="77" t="str">
        <f aca="false">IF(C22&gt;0.5,"전년 대비 큰 폭 증가. ",IF(C22&gt;0.1,"전년 대비 뚜렷한 증가. ",IF(C22&gt;0,"전년 대비 소폭 증가. ",IF(C22&gt;-0.1,"전년 대비 소폭 감소. ","전년 대비 뚜렷한 감소. "))))&amp;IF(D22&gt;0,"전월보다도 늘었다. ","전월보다는 줄었다. ")&amp;IF(AND(E22&gt;0,F22&gt;0.7),"증가의 대부분(70% 이상)을 반도체가 만들었다. ",IF(AND(E22&gt;0,F22&gt;0.4),"반도체가 증가의 절반 안팎을 만들었다. ",IF(AND(E22&gt;0,F22&lt;=0.4),"반도체 외 품목의 기여가 더 컸다. ","")))&amp;"주도 품목은 "&amp;H22&amp;"("&amp;TEXT(I22,"#,##0")&amp;"). "&amp;IF(O22&lt;0,"반대로 "&amp;N22&amp;"("&amp;TEXT(O22,"#,##0")&amp;")가 가장 크게 줄었다.","")</f>
        <v>전년 대비 큰 폭 증가. 전월보다도 늘었다. 증가의 대부분(70% 이상)을 반도체가 만들었다. 주도 품목은 85. 전기기기와 그 부분품,(21,421,171). 반대로 87. 철도용이나 궤도용 외의(-451,832)가 가장 크게 줄었다.</v>
      </c>
    </row>
    <row r="23" customFormat="false" ht="31.5" hidden="false" customHeight="true" outlineLevel="0" collapsed="false">
      <c r="A23" s="33" t="s">
        <v>317</v>
      </c>
      <c r="B23" s="25" t="n">
        <f aca="false">분석2_월별추이!E34</f>
        <v>101956159</v>
      </c>
      <c r="C23" s="36" t="n">
        <f aca="false">분석2_월별추이!J34</f>
        <v>0.70398945264998</v>
      </c>
      <c r="D23" s="36" t="n">
        <f aca="false">분석2_월별추이!H34</f>
        <v>0.164200949704499</v>
      </c>
      <c r="E23" s="25" t="n">
        <f aca="false">분석2_월별추이!E34-분석2_월별추이!E22</f>
        <v>42122362</v>
      </c>
      <c r="F23" s="34" t="n">
        <f aca="false">IFERROR((분석5_반도체vs비반도체!AE8-분석5_반도체vs비반도체!S8)/E23,"-")</f>
        <v>0.831776954958034</v>
      </c>
      <c r="G23" s="34" t="n">
        <f aca="false">IFERROR((분석5_반도체vs비반도체!AE11-분석5_반도체vs비반도체!S11)/E23,"-")</f>
        <v>0.168223045041966</v>
      </c>
      <c r="H23" s="46" t="s">
        <v>20280</v>
      </c>
      <c r="I23" s="57" t="n">
        <f aca="false">분석4B_월별매트릭스!AF89-분석4B_월별매트릭스!T89</f>
        <v>26745012</v>
      </c>
      <c r="J23" s="46" t="s">
        <v>20283</v>
      </c>
      <c r="K23" s="57" t="n">
        <f aca="false">분석4B_월별매트릭스!AF88-분석4B_월별매트릭스!T88</f>
        <v>8922505</v>
      </c>
      <c r="L23" s="46" t="s">
        <v>20279</v>
      </c>
      <c r="M23" s="57" t="n">
        <f aca="false">분석4B_월별매트릭스!AF32-분석4B_월별매트릭스!T32</f>
        <v>1593498</v>
      </c>
      <c r="N23" s="46" t="s">
        <v>20281</v>
      </c>
      <c r="O23" s="57" t="n">
        <f aca="false">분석4B_월별매트릭스!AF97-분석4B_월별매트릭스!T97</f>
        <v>-171314</v>
      </c>
      <c r="P23" s="46" t="s">
        <v>20215</v>
      </c>
      <c r="Q23" s="57" t="n">
        <f aca="false">분석4B_월별매트릭스!AF95-분석4B_월별매트릭스!T95</f>
        <v>-85204</v>
      </c>
      <c r="R23" s="46" t="s">
        <v>20288</v>
      </c>
      <c r="S23" s="57" t="n">
        <f aca="false">분석4B_월별매트릭스!AF29-분석4B_월별매트릭스!T29</f>
        <v>-9170</v>
      </c>
      <c r="T23" s="77" t="str">
        <f aca="false">IF(C23&gt;0.5,"전년 대비 큰 폭 증가. ",IF(C23&gt;0.1,"전년 대비 뚜렷한 증가. ",IF(C23&gt;0,"전년 대비 소폭 증가. ",IF(C23&gt;-0.1,"전년 대비 소폭 감소. ","전년 대비 뚜렷한 감소. "))))&amp;IF(D23&gt;0,"전월보다도 늘었다. ","전월보다는 줄었다. ")&amp;IF(AND(E23&gt;0,F23&gt;0.7),"증가의 대부분(70% 이상)을 반도체가 만들었다. ",IF(AND(E23&gt;0,F23&gt;0.4),"반도체가 증가의 절반 안팎을 만들었다. ",IF(AND(E23&gt;0,F23&lt;=0.4),"반도체 외 품목의 기여가 더 컸다. ","")))&amp;"주도 품목은 "&amp;H23&amp;"("&amp;TEXT(I23,"#,##0")&amp;"). "&amp;IF(O23&lt;0,"반대로 "&amp;N23&amp;"("&amp;TEXT(O23,"#,##0")&amp;")가 가장 크게 줄었다.","")</f>
        <v>전년 대비 큰 폭 증가. 전월보다도 늘었다. 증가의 대부분(70% 이상)을 반도체가 만들었다. 주도 품목은 85. 전기기기와 그 부분품,(26,745,012). 반대로 93. 무기ㆍ총포탄과 이들의 (-171,314)가 가장 크게 줄었다.</v>
      </c>
    </row>
    <row r="24" customFormat="false" ht="31.5" hidden="false" customHeight="true" outlineLevel="0" collapsed="false">
      <c r="A24" s="33" t="s">
        <v>325</v>
      </c>
      <c r="B24" s="25" t="n">
        <f aca="false">분석2_월별추이!E35</f>
        <v>98959099</v>
      </c>
      <c r="C24" s="36" t="n">
        <f aca="false">분석2_월별추이!J35</f>
        <v>0.629645185663827</v>
      </c>
      <c r="D24" s="36" t="n">
        <f aca="false">분석2_월별추이!H35</f>
        <v>-0.0293955757984175</v>
      </c>
      <c r="E24" s="25" t="n">
        <f aca="false">분석2_월별추이!E35-분석2_월별추이!E23</f>
        <v>38234777</v>
      </c>
      <c r="F24" s="34" t="n">
        <f aca="false">IFERROR((분석5_반도체vs비반도체!AF8-분석5_반도체vs비반도체!T8)/E24,"-")</f>
        <v>0.809309284058333</v>
      </c>
      <c r="G24" s="34" t="n">
        <f aca="false">IFERROR((분석5_반도체vs비반도체!AF11-분석5_반도체vs비반도체!T11)/E24,"-")</f>
        <v>0.190690715941667</v>
      </c>
      <c r="H24" s="46" t="s">
        <v>20280</v>
      </c>
      <c r="I24" s="57" t="n">
        <f aca="false">분석4B_월별매트릭스!AG89-분석4B_월별매트릭스!U89</f>
        <v>25427224</v>
      </c>
      <c r="J24" s="46" t="s">
        <v>20283</v>
      </c>
      <c r="K24" s="57" t="n">
        <f aca="false">분석4B_월별매트릭스!AG88-분석4B_월별매트릭스!U88</f>
        <v>6159714</v>
      </c>
      <c r="L24" s="46" t="s">
        <v>20279</v>
      </c>
      <c r="M24" s="57" t="n">
        <f aca="false">분석4B_월별매트릭스!AG32-분석4B_월별매트릭스!U32</f>
        <v>1489092</v>
      </c>
      <c r="N24" s="46" t="s">
        <v>20289</v>
      </c>
      <c r="O24" s="57" t="n">
        <f aca="false">분석4B_월별매트릭스!AG17-분석4B_월별매트릭스!U17</f>
        <v>-31760</v>
      </c>
      <c r="P24" s="46" t="s">
        <v>20290</v>
      </c>
      <c r="Q24" s="57" t="n">
        <f aca="false">분석4B_월별매트릭스!AG83-분석4B_월별매트릭스!U83</f>
        <v>-24520</v>
      </c>
      <c r="R24" s="46" t="s">
        <v>20210</v>
      </c>
      <c r="S24" s="57" t="n">
        <f aca="false">분석4B_월별매트릭스!AG101-분석4B_월별매트릭스!U101</f>
        <v>-21051</v>
      </c>
      <c r="T24" s="77" t="str">
        <f aca="false">IF(C24&gt;0.5,"전년 대비 큰 폭 증가. ",IF(C24&gt;0.1,"전년 대비 뚜렷한 증가. ",IF(C24&gt;0,"전년 대비 소폭 증가. ",IF(C24&gt;-0.1,"전년 대비 소폭 감소. ","전년 대비 뚜렷한 감소. "))))&amp;IF(D24&gt;0,"전월보다도 늘었다. ","전월보다는 줄었다. ")&amp;IF(AND(E24&gt;0,F24&gt;0.7),"증가의 대부분(70% 이상)을 반도체가 만들었다. ",IF(AND(E24&gt;0,F24&gt;0.4),"반도체가 증가의 절반 안팎을 만들었다. ",IF(AND(E24&gt;0,F24&lt;=0.4),"반도체 외 품목의 기여가 더 컸다. ","")))&amp;"주도 품목은 "&amp;H24&amp;"("&amp;TEXT(I24,"#,##0")&amp;"). "&amp;IF(O24&lt;0,"반대로 "&amp;N24&amp;"("&amp;TEXT(O24,"#,##0")&amp;")가 가장 크게 줄었다.","")</f>
        <v>전년 대비 큰 폭 증가. 전월보다는 줄었다. 증가의 대부분(70% 이상)을 반도체가 만들었다. 주도 품목은 85. 전기기기와 그 부분품,(25,427,224). 반대로 12. 채유(採油)에 적합한 (-31,760)가 가장 크게 줄었다.</v>
      </c>
    </row>
    <row r="25" customFormat="false" ht="15" hidden="false" customHeight="true" outlineLevel="0" collapsed="false">
      <c r="A25" s="3" t="s">
        <v>20291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</sheetData>
  <mergeCells count="4">
    <mergeCell ref="A1:T1"/>
    <mergeCell ref="A2:T2"/>
    <mergeCell ref="A3:T3"/>
    <mergeCell ref="A25:T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2026-08-24T02:08:18Z</dcterms:created>
  <dc:creator>openpyxl</dc:creator>
  <dc:description/>
  <dc:language>en-US</dc:language>
  <cp:lastModifiedBy/>
  <dcterms:modified xsi:type="dcterms:W3CDTF">2026-08-24T04:19:11Z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